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rrantcarter/Dropbox/antasy Sports/Fantasy Football 2020/"/>
    </mc:Choice>
  </mc:AlternateContent>
  <xr:revisionPtr revIDLastSave="0" documentId="13_ncr:1_{9AF5243D-B867-FA4F-8DDA-158B6A5DA763}" xr6:coauthVersionLast="45" xr6:coauthVersionMax="45" xr10:uidLastSave="{00000000-0000-0000-0000-000000000000}"/>
  <bookViews>
    <workbookView minimized="1" xWindow="0" yWindow="460" windowWidth="25600" windowHeight="13880" firstSheet="3" activeTab="9" xr2:uid="{9CD05D9A-E1D9-7647-9507-443305249FF7}"/>
  </bookViews>
  <sheets>
    <sheet name="WR1 Results" sheetId="14" r:id="rId1"/>
    <sheet name="Avgs" sheetId="17" r:id="rId2"/>
    <sheet name="Sheet1" sheetId="18" r:id="rId3"/>
    <sheet name="WR2 Results" sheetId="15" r:id="rId4"/>
    <sheet name="TE Results" sheetId="16" r:id="rId5"/>
    <sheet name="WR1" sheetId="26" r:id="rId6"/>
    <sheet name="WR2" sheetId="3" r:id="rId7"/>
    <sheet name="Sheet2" sheetId="27" r:id="rId8"/>
    <sheet name="TE" sheetId="5" r:id="rId9"/>
    <sheet name="2019-20 Combined" sheetId="30" r:id="rId10"/>
    <sheet name="Sheet6" sheetId="33" r:id="rId11"/>
    <sheet name="2020 cleaned" sheetId="29" r:id="rId12"/>
    <sheet name="2020 raw" sheetId="28" r:id="rId13"/>
    <sheet name="2019 cleaned" sheetId="22" r:id="rId14"/>
    <sheet name="Sheet5" sheetId="32" r:id="rId15"/>
    <sheet name="2019 clean clean" sheetId="31" r:id="rId16"/>
    <sheet name="Sheet7" sheetId="34" r:id="rId17"/>
    <sheet name="2018 Cleaned" sheetId="23" r:id="rId18"/>
    <sheet name="2019 raw" sheetId="21" r:id="rId19"/>
    <sheet name="2018 raw" sheetId="19" r:id="rId20"/>
    <sheet name="MAP" sheetId="20" r:id="rId21"/>
    <sheet name="Week16" sheetId="13" r:id="rId22"/>
    <sheet name="Week15" sheetId="12" r:id="rId23"/>
    <sheet name="WR3" sheetId="11" r:id="rId24"/>
  </sheets>
  <definedNames>
    <definedName name="_xlnm._FilterDatabase" localSheetId="17" hidden="1">'2018 Cleaned'!$A$1:$L$325</definedName>
    <definedName name="_xlnm._FilterDatabase" localSheetId="19" hidden="1">'2018 raw'!$A$1:$N$325</definedName>
    <definedName name="_xlnm._FilterDatabase" localSheetId="13" hidden="1">'2019 cleaned'!$A$1:$K$385</definedName>
    <definedName name="_xlnm._FilterDatabase" localSheetId="18" hidden="1">'2019 raw'!$A$1:$AR$271</definedName>
    <definedName name="_xlnm._FilterDatabase" localSheetId="9" hidden="1">'2019-20 Combined'!$A$1:$CF$403</definedName>
    <definedName name="_xlnm._FilterDatabase" localSheetId="11" hidden="1">'2020 cleaned'!$A$1:$J$211</definedName>
    <definedName name="_xlnm._FilterDatabase" localSheetId="12" hidden="1">'2020 raw'!$A$1:$CU$211</definedName>
    <definedName name="_xlnm._FilterDatabase" localSheetId="8" hidden="1">TE!$A$1:$W$387</definedName>
    <definedName name="_xlnm._FilterDatabase" localSheetId="4" hidden="1">'TE Results'!$A$1:$K$39</definedName>
    <definedName name="_xlnm._FilterDatabase" localSheetId="22" hidden="1">Week15!$A$1:$R$65</definedName>
    <definedName name="_xlnm._FilterDatabase" localSheetId="5" hidden="1">'WR1'!$A$1:$W$20</definedName>
    <definedName name="_xlnm._FilterDatabase" localSheetId="0" hidden="1">'WR1 Results'!$A$1:$K$39</definedName>
    <definedName name="_xlnm._FilterDatabase" localSheetId="3" hidden="1">'WR2 Results'!$A$1:$K$39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78" i="30" l="1"/>
  <c r="H277" i="30"/>
  <c r="H274" i="30"/>
  <c r="H271" i="30"/>
  <c r="H270" i="30"/>
  <c r="H266" i="30"/>
  <c r="H262" i="30"/>
  <c r="H260" i="30"/>
  <c r="H251" i="30"/>
  <c r="H242" i="30"/>
  <c r="H241" i="30"/>
  <c r="H240" i="30"/>
  <c r="H234" i="30"/>
  <c r="H232" i="30"/>
  <c r="H225" i="30"/>
  <c r="H224" i="30"/>
  <c r="H223" i="30"/>
  <c r="H221" i="30"/>
  <c r="H218" i="30"/>
  <c r="H217" i="30"/>
  <c r="H215" i="30"/>
  <c r="H210" i="30"/>
  <c r="H204" i="30"/>
  <c r="H201" i="30"/>
  <c r="H197" i="30"/>
  <c r="H193" i="30"/>
  <c r="H192" i="30"/>
  <c r="H191" i="30"/>
  <c r="H187" i="30"/>
  <c r="H185" i="30"/>
  <c r="H184" i="30"/>
  <c r="H178" i="30"/>
  <c r="H171" i="30"/>
  <c r="H169" i="30"/>
  <c r="H162" i="30"/>
  <c r="H159" i="30"/>
  <c r="H156" i="30"/>
  <c r="H154" i="30"/>
  <c r="H149" i="30"/>
  <c r="H146" i="30"/>
  <c r="H144" i="30"/>
  <c r="H142" i="30"/>
  <c r="H138" i="30"/>
  <c r="H136" i="30"/>
  <c r="H134" i="30"/>
  <c r="H128" i="30"/>
  <c r="H119" i="30"/>
  <c r="H118" i="30"/>
  <c r="H116" i="30"/>
  <c r="H114" i="30"/>
  <c r="H113" i="30"/>
  <c r="H111" i="30"/>
  <c r="E108" i="30"/>
  <c r="H105" i="30"/>
  <c r="H104" i="30"/>
  <c r="H100" i="30"/>
  <c r="H98" i="30"/>
  <c r="H93" i="30"/>
  <c r="H92" i="30"/>
  <c r="H90" i="30"/>
  <c r="H88" i="30"/>
  <c r="H87" i="30"/>
  <c r="H85" i="30"/>
  <c r="H83" i="30"/>
  <c r="H80" i="30"/>
  <c r="H78" i="30"/>
  <c r="H77" i="30"/>
  <c r="H76" i="30"/>
  <c r="H75" i="30"/>
  <c r="H73" i="30"/>
  <c r="H72" i="30"/>
  <c r="H70" i="30"/>
  <c r="H68" i="30"/>
  <c r="H67" i="30"/>
  <c r="H66" i="30"/>
  <c r="H64" i="30"/>
  <c r="H63" i="30"/>
  <c r="H62" i="30"/>
  <c r="H57" i="30"/>
  <c r="H52" i="30"/>
  <c r="H51" i="30"/>
  <c r="H49" i="30"/>
  <c r="H47" i="30"/>
  <c r="H45" i="30"/>
  <c r="H44" i="30"/>
  <c r="H42" i="30"/>
  <c r="H38" i="30"/>
  <c r="H35" i="30"/>
  <c r="H34" i="30"/>
  <c r="H32" i="30"/>
  <c r="H28" i="30"/>
  <c r="H26" i="30"/>
  <c r="H25" i="30"/>
  <c r="H22" i="30"/>
  <c r="H20" i="30"/>
  <c r="H19" i="30"/>
  <c r="H18" i="30"/>
  <c r="H16" i="30"/>
  <c r="H15" i="30"/>
  <c r="H13" i="30"/>
  <c r="H12" i="30"/>
  <c r="H7" i="30"/>
  <c r="H4" i="30"/>
  <c r="H278" i="32"/>
  <c r="H277" i="32"/>
  <c r="H274" i="32"/>
  <c r="H271" i="32"/>
  <c r="H270" i="32"/>
  <c r="H266" i="32"/>
  <c r="H262" i="32"/>
  <c r="H260" i="32"/>
  <c r="H251" i="32"/>
  <c r="H242" i="32"/>
  <c r="H241" i="32"/>
  <c r="H240" i="32"/>
  <c r="H234" i="32"/>
  <c r="H232" i="32"/>
  <c r="H225" i="32"/>
  <c r="H224" i="32"/>
  <c r="H223" i="32"/>
  <c r="H221" i="32"/>
  <c r="H218" i="32"/>
  <c r="H217" i="32"/>
  <c r="H215" i="32"/>
  <c r="H210" i="32"/>
  <c r="H204" i="32"/>
  <c r="H201" i="32"/>
  <c r="H197" i="32"/>
  <c r="H193" i="32"/>
  <c r="H192" i="32"/>
  <c r="H191" i="32"/>
  <c r="H187" i="32"/>
  <c r="H185" i="32"/>
  <c r="H184" i="32"/>
  <c r="H178" i="32"/>
  <c r="H171" i="32"/>
  <c r="H169" i="32"/>
  <c r="H162" i="32"/>
  <c r="H159" i="32"/>
  <c r="H156" i="32"/>
  <c r="H154" i="32"/>
  <c r="H149" i="32"/>
  <c r="H146" i="32"/>
  <c r="H144" i="32"/>
  <c r="H142" i="32"/>
  <c r="H138" i="32"/>
  <c r="H136" i="32"/>
  <c r="H134" i="32"/>
  <c r="H128" i="32"/>
  <c r="H119" i="32"/>
  <c r="H118" i="32"/>
  <c r="H116" i="32"/>
  <c r="H114" i="32"/>
  <c r="H113" i="32"/>
  <c r="H111" i="32"/>
  <c r="E108" i="32"/>
  <c r="H105" i="32"/>
  <c r="H104" i="32"/>
  <c r="H100" i="32"/>
  <c r="H98" i="32"/>
  <c r="H93" i="32"/>
  <c r="H92" i="32"/>
  <c r="H90" i="32"/>
  <c r="H88" i="32"/>
  <c r="H87" i="32"/>
  <c r="H85" i="32"/>
  <c r="H83" i="32"/>
  <c r="H80" i="32"/>
  <c r="H78" i="32"/>
  <c r="H77" i="32"/>
  <c r="H76" i="32"/>
  <c r="H75" i="32"/>
  <c r="H73" i="32"/>
  <c r="H72" i="32"/>
  <c r="H70" i="32"/>
  <c r="H68" i="32"/>
  <c r="H67" i="32"/>
  <c r="H66" i="32"/>
  <c r="H64" i="32"/>
  <c r="H63" i="32"/>
  <c r="H62" i="32"/>
  <c r="H57" i="32"/>
  <c r="H52" i="32"/>
  <c r="H51" i="32"/>
  <c r="H49" i="32"/>
  <c r="H47" i="32"/>
  <c r="H45" i="32"/>
  <c r="H44" i="32"/>
  <c r="H42" i="32"/>
  <c r="H38" i="32"/>
  <c r="H35" i="32"/>
  <c r="H34" i="32"/>
  <c r="H32" i="32"/>
  <c r="H28" i="32"/>
  <c r="H26" i="32"/>
  <c r="H25" i="32"/>
  <c r="H22" i="32"/>
  <c r="H20" i="32"/>
  <c r="H19" i="32"/>
  <c r="H18" i="32"/>
  <c r="H16" i="32"/>
  <c r="H15" i="32"/>
  <c r="H13" i="32"/>
  <c r="H12" i="32"/>
  <c r="H7" i="32"/>
  <c r="H4" i="32"/>
  <c r="H278" i="31"/>
  <c r="H277" i="31"/>
  <c r="H274" i="31"/>
  <c r="H271" i="31"/>
  <c r="H270" i="31"/>
  <c r="H266" i="31"/>
  <c r="H262" i="31"/>
  <c r="H260" i="31"/>
  <c r="H251" i="31"/>
  <c r="H242" i="31"/>
  <c r="H241" i="31"/>
  <c r="H240" i="31"/>
  <c r="H234" i="31"/>
  <c r="H232" i="31"/>
  <c r="H225" i="31"/>
  <c r="H224" i="31"/>
  <c r="H223" i="31"/>
  <c r="H221" i="31"/>
  <c r="H218" i="31"/>
  <c r="H217" i="31"/>
  <c r="H215" i="31"/>
  <c r="H210" i="31"/>
  <c r="H204" i="31"/>
  <c r="H201" i="31"/>
  <c r="H197" i="31"/>
  <c r="H193" i="31"/>
  <c r="H192" i="31"/>
  <c r="H191" i="31"/>
  <c r="H187" i="31"/>
  <c r="H185" i="31"/>
  <c r="H184" i="31"/>
  <c r="H178" i="31"/>
  <c r="H171" i="31"/>
  <c r="H169" i="31"/>
  <c r="H162" i="31"/>
  <c r="H159" i="31"/>
  <c r="H156" i="31"/>
  <c r="H154" i="31"/>
  <c r="H149" i="31"/>
  <c r="H146" i="31"/>
  <c r="H144" i="31"/>
  <c r="H142" i="31"/>
  <c r="H138" i="31"/>
  <c r="H136" i="31"/>
  <c r="H134" i="31"/>
  <c r="H128" i="31"/>
  <c r="H119" i="31"/>
  <c r="H118" i="31"/>
  <c r="H116" i="31"/>
  <c r="H114" i="31"/>
  <c r="H113" i="31"/>
  <c r="H111" i="31"/>
  <c r="E108" i="31"/>
  <c r="H105" i="31"/>
  <c r="H104" i="31"/>
  <c r="H100" i="31"/>
  <c r="H98" i="31"/>
  <c r="H93" i="31"/>
  <c r="H92" i="31"/>
  <c r="H90" i="31"/>
  <c r="H88" i="31"/>
  <c r="H87" i="31"/>
  <c r="H85" i="31"/>
  <c r="H83" i="31"/>
  <c r="H80" i="31"/>
  <c r="H78" i="31"/>
  <c r="H77" i="31"/>
  <c r="H76" i="31"/>
  <c r="H75" i="31"/>
  <c r="H73" i="31"/>
  <c r="H72" i="31"/>
  <c r="H70" i="31"/>
  <c r="H68" i="31"/>
  <c r="H67" i="31"/>
  <c r="H66" i="31"/>
  <c r="H64" i="31"/>
  <c r="H63" i="31"/>
  <c r="H62" i="31"/>
  <c r="H57" i="31"/>
  <c r="H52" i="31"/>
  <c r="H51" i="31"/>
  <c r="H49" i="31"/>
  <c r="H47" i="31"/>
  <c r="H45" i="31"/>
  <c r="H44" i="31"/>
  <c r="H42" i="31"/>
  <c r="H38" i="31"/>
  <c r="H35" i="31"/>
  <c r="H34" i="31"/>
  <c r="H32" i="31"/>
  <c r="H28" i="31"/>
  <c r="H26" i="31"/>
  <c r="H25" i="31"/>
  <c r="H22" i="31"/>
  <c r="H20" i="31"/>
  <c r="H19" i="31"/>
  <c r="H18" i="31"/>
  <c r="H16" i="31"/>
  <c r="H15" i="31"/>
  <c r="H13" i="31"/>
  <c r="H12" i="31"/>
  <c r="H7" i="31"/>
  <c r="H4" i="31"/>
  <c r="D7" i="27" l="1"/>
  <c r="E3" i="27"/>
  <c r="E2" i="27"/>
  <c r="R698" i="5" l="1"/>
  <c r="R690" i="5"/>
  <c r="R686" i="5"/>
  <c r="R682" i="5"/>
  <c r="R680" i="5"/>
  <c r="R661" i="5"/>
  <c r="R660" i="5"/>
  <c r="R654" i="5"/>
  <c r="R652" i="5"/>
  <c r="R644" i="5"/>
  <c r="R643" i="5"/>
  <c r="R638" i="5"/>
  <c r="R637" i="5"/>
  <c r="R635" i="5"/>
  <c r="R630" i="5"/>
  <c r="R624" i="5"/>
  <c r="R621" i="5"/>
  <c r="R617" i="5"/>
  <c r="R611" i="5"/>
  <c r="R607" i="5"/>
  <c r="R605" i="5"/>
  <c r="R604" i="5"/>
  <c r="R591" i="5"/>
  <c r="R582" i="5"/>
  <c r="R579" i="5"/>
  <c r="R576" i="5"/>
  <c r="R566" i="5"/>
  <c r="R564" i="5"/>
  <c r="R562" i="5"/>
  <c r="R558" i="5"/>
  <c r="R554" i="5"/>
  <c r="R548" i="5"/>
  <c r="R539" i="5"/>
  <c r="R538" i="5"/>
  <c r="R536" i="5"/>
  <c r="R534" i="5"/>
  <c r="R533" i="5"/>
  <c r="R531" i="5"/>
  <c r="R525" i="5"/>
  <c r="R520" i="5"/>
  <c r="R518" i="5"/>
  <c r="R513" i="5"/>
  <c r="R510" i="5"/>
  <c r="R508" i="5"/>
  <c r="R507" i="5"/>
  <c r="R505" i="5"/>
  <c r="R503" i="5"/>
  <c r="R500" i="5"/>
  <c r="R498" i="5"/>
  <c r="R497" i="5"/>
  <c r="R496" i="5"/>
  <c r="R495" i="5"/>
  <c r="R493" i="5"/>
  <c r="R492" i="5"/>
  <c r="R490" i="5"/>
  <c r="R488" i="5"/>
  <c r="R487" i="5"/>
  <c r="R486" i="5"/>
  <c r="R483" i="5"/>
  <c r="R482" i="5"/>
  <c r="R477" i="5"/>
  <c r="R472" i="5"/>
  <c r="R471" i="5"/>
  <c r="R469" i="5"/>
  <c r="R465" i="5"/>
  <c r="R464" i="5"/>
  <c r="R462" i="5"/>
  <c r="R458" i="5"/>
  <c r="R455" i="5"/>
  <c r="R454" i="5"/>
  <c r="R452" i="5"/>
  <c r="R448" i="5"/>
  <c r="R445" i="5"/>
  <c r="R442" i="5"/>
  <c r="R440" i="5"/>
  <c r="R439" i="5"/>
  <c r="R438" i="5"/>
  <c r="R436" i="5"/>
  <c r="R435" i="5"/>
  <c r="R433" i="5"/>
  <c r="R432" i="5"/>
  <c r="R427" i="5"/>
  <c r="R424" i="5"/>
  <c r="R419" i="5"/>
  <c r="R418" i="5"/>
  <c r="R413" i="5"/>
  <c r="R410" i="5"/>
  <c r="R409" i="5"/>
  <c r="R406" i="5"/>
  <c r="R404" i="5"/>
  <c r="R403" i="5"/>
  <c r="R402" i="5"/>
  <c r="R400" i="5"/>
  <c r="R392" i="5"/>
  <c r="R391" i="5"/>
  <c r="R389" i="5"/>
  <c r="R374" i="5"/>
  <c r="R371" i="5"/>
  <c r="R368" i="5"/>
  <c r="R364" i="5"/>
  <c r="R363" i="5"/>
  <c r="R360" i="5"/>
  <c r="R357" i="5"/>
  <c r="R356" i="5"/>
  <c r="R351" i="5"/>
  <c r="R349" i="5"/>
  <c r="R341" i="5"/>
  <c r="R340" i="5"/>
  <c r="R337" i="5"/>
  <c r="R334" i="5"/>
  <c r="R332" i="5"/>
  <c r="R329" i="5"/>
  <c r="R328" i="5"/>
  <c r="S659" i="3"/>
  <c r="S497" i="3"/>
  <c r="S496" i="3"/>
  <c r="S467" i="3"/>
  <c r="S359" i="3"/>
  <c r="R319" i="3"/>
  <c r="R111" i="3"/>
  <c r="R91" i="3"/>
  <c r="R368" i="3"/>
  <c r="C19" i="14"/>
  <c r="S650" i="26" l="1"/>
  <c r="S538" i="26"/>
  <c r="S717" i="26" l="1"/>
  <c r="S716" i="26"/>
  <c r="S715" i="26"/>
  <c r="S714" i="26"/>
  <c r="S713" i="26"/>
  <c r="S712" i="26"/>
  <c r="S711" i="26"/>
  <c r="S710" i="26"/>
  <c r="R528" i="26"/>
  <c r="F91" i="23" l="1"/>
  <c r="F111" i="23"/>
  <c r="F319" i="23"/>
  <c r="H245" i="22" l="1"/>
  <c r="H258" i="22"/>
  <c r="H252" i="22"/>
  <c r="H265" i="22"/>
  <c r="H250" i="22"/>
  <c r="H255" i="22"/>
  <c r="H267" i="22"/>
  <c r="H232" i="22"/>
  <c r="H224" i="22"/>
  <c r="H242" i="22"/>
  <c r="H238" i="22"/>
  <c r="H240" i="22"/>
  <c r="H234" i="22"/>
  <c r="H230" i="22"/>
  <c r="H215" i="22"/>
  <c r="H214" i="22"/>
  <c r="E204" i="22"/>
  <c r="H196" i="22"/>
  <c r="H212" i="22"/>
  <c r="H188" i="22"/>
  <c r="H200" i="22"/>
  <c r="H194" i="22"/>
  <c r="H207" i="22"/>
  <c r="H209" i="22"/>
  <c r="H201" i="22"/>
  <c r="H186" i="22"/>
  <c r="H189" i="22"/>
  <c r="H210" i="22"/>
  <c r="H174" i="22"/>
  <c r="H168" i="22"/>
  <c r="H184" i="22"/>
  <c r="H176" i="22"/>
  <c r="H160" i="22"/>
  <c r="H172" i="22"/>
  <c r="H166" i="22"/>
  <c r="H169" i="22"/>
  <c r="H159" i="22"/>
  <c r="H179" i="22"/>
  <c r="H173" i="22"/>
  <c r="H164" i="22"/>
  <c r="H171" i="22"/>
  <c r="H158" i="22"/>
  <c r="H183" i="22"/>
  <c r="H163" i="22"/>
  <c r="H162" i="22"/>
  <c r="H181" i="22"/>
  <c r="H148" i="22"/>
  <c r="H130" i="22"/>
  <c r="H145" i="22"/>
  <c r="H143" i="22"/>
  <c r="H147" i="22"/>
  <c r="H138" i="22"/>
  <c r="H141" i="22"/>
  <c r="H140" i="22"/>
  <c r="H128" i="22"/>
  <c r="H131" i="22"/>
  <c r="H134" i="22"/>
  <c r="H153" i="22"/>
  <c r="H118" i="22"/>
  <c r="H124" i="22"/>
  <c r="H100" i="22"/>
  <c r="H116" i="22"/>
  <c r="H114" i="22"/>
  <c r="H109" i="22"/>
  <c r="H108" i="22"/>
  <c r="H112" i="22"/>
  <c r="H121" i="22"/>
  <c r="H122" i="22"/>
  <c r="H111" i="22"/>
  <c r="H115" i="22"/>
  <c r="H103" i="22"/>
  <c r="H86" i="22"/>
  <c r="H78" i="22"/>
  <c r="H94" i="22"/>
  <c r="H68" i="22"/>
  <c r="H82" i="22"/>
  <c r="H77" i="22"/>
  <c r="H76" i="22"/>
  <c r="H80" i="22"/>
  <c r="H89" i="22"/>
  <c r="H67" i="22"/>
  <c r="H85" i="22"/>
  <c r="H79" i="22"/>
  <c r="H95" i="22"/>
  <c r="H65" i="22"/>
  <c r="H36" i="22"/>
  <c r="H50" i="22"/>
  <c r="H44" i="22"/>
  <c r="H57" i="22"/>
  <c r="H53" i="22"/>
  <c r="F42" i="22"/>
  <c r="H47" i="22"/>
  <c r="H40" i="22"/>
  <c r="H39" i="22"/>
  <c r="H374" i="22"/>
  <c r="H366" i="22"/>
  <c r="H356" i="22"/>
  <c r="H370" i="22"/>
  <c r="H358" i="22"/>
  <c r="H373" i="22"/>
  <c r="H362" i="22"/>
  <c r="H367" i="22"/>
  <c r="H337" i="22"/>
  <c r="H336" i="22"/>
  <c r="H347" i="22"/>
  <c r="H338" i="22"/>
  <c r="H328" i="22"/>
  <c r="H330" i="22"/>
  <c r="H317" i="22"/>
  <c r="H319" i="22"/>
  <c r="H300" i="22"/>
  <c r="H313" i="22"/>
  <c r="H320" i="22"/>
  <c r="H311" i="22"/>
  <c r="H321" i="22"/>
  <c r="H306" i="22"/>
  <c r="H314" i="22"/>
  <c r="H289" i="22"/>
  <c r="H297" i="22"/>
  <c r="H293" i="22"/>
  <c r="H274" i="22"/>
  <c r="H287" i="22"/>
  <c r="H281" i="22"/>
  <c r="H288" i="22"/>
  <c r="H280" i="22"/>
  <c r="H283" i="22"/>
  <c r="H32" i="22"/>
  <c r="H33" i="22"/>
  <c r="H4" i="22"/>
  <c r="H13" i="22"/>
  <c r="H16" i="22"/>
  <c r="H25" i="22"/>
  <c r="H27" i="22"/>
  <c r="H10" i="22"/>
  <c r="H17" i="22"/>
  <c r="H5" i="22"/>
  <c r="H8" i="22"/>
  <c r="B2" i="14"/>
  <c r="D3" i="17" l="1"/>
  <c r="B3" i="17"/>
  <c r="AP22" i="21"/>
  <c r="AN22" i="21" s="1"/>
  <c r="AP54" i="21"/>
  <c r="AN54" i="21" s="1"/>
  <c r="AP86" i="21"/>
  <c r="AN86" i="21" s="1"/>
  <c r="X86" i="21"/>
  <c r="AN118" i="21"/>
  <c r="X118" i="21"/>
  <c r="AP146" i="21"/>
  <c r="AN146" i="21" s="1"/>
  <c r="AP174" i="21"/>
  <c r="AN174" i="21" s="1"/>
  <c r="Y174" i="21"/>
  <c r="X174" i="21"/>
  <c r="AP204" i="21"/>
  <c r="AN204" i="21" s="1"/>
  <c r="L204" i="21"/>
  <c r="B4" i="17" s="1"/>
  <c r="AP232" i="21"/>
  <c r="AN232" i="21" s="1"/>
  <c r="X232" i="21"/>
  <c r="AP261" i="21"/>
  <c r="AN261" i="21" s="1"/>
  <c r="AP289" i="21"/>
  <c r="AN289" i="21" s="1"/>
  <c r="X289" i="21"/>
  <c r="AN317" i="21"/>
  <c r="Y317" i="21"/>
  <c r="X317" i="21"/>
  <c r="AN374" i="21"/>
  <c r="X374" i="21"/>
  <c r="AP14" i="21"/>
  <c r="AN14" i="21" s="1"/>
  <c r="AP46" i="21"/>
  <c r="AN46" i="21" s="1"/>
  <c r="AN78" i="21"/>
  <c r="Y78" i="21"/>
  <c r="X78" i="21"/>
  <c r="AP110" i="21"/>
  <c r="AN110" i="21" s="1"/>
  <c r="AN139" i="21"/>
  <c r="AL139" i="21"/>
  <c r="AP168" i="21"/>
  <c r="AN168" i="21" s="1"/>
  <c r="Y168" i="21"/>
  <c r="X168" i="21"/>
  <c r="AP196" i="21"/>
  <c r="AN196" i="21" s="1"/>
  <c r="X196" i="21"/>
  <c r="AN224" i="21"/>
  <c r="X224" i="21"/>
  <c r="AN254" i="21"/>
  <c r="AP309" i="21"/>
  <c r="AN309" i="21" s="1"/>
  <c r="AI309" i="21"/>
  <c r="AP337" i="21"/>
  <c r="AN337" i="21" s="1"/>
  <c r="X337" i="21"/>
  <c r="AP366" i="21"/>
  <c r="AN366" i="21" s="1"/>
  <c r="X366" i="21"/>
  <c r="AN32" i="21"/>
  <c r="AL32" i="21"/>
  <c r="X32" i="21"/>
  <c r="AN64" i="21"/>
  <c r="AN96" i="21"/>
  <c r="AN126" i="21"/>
  <c r="AN156" i="21"/>
  <c r="AO184" i="21"/>
  <c r="AN184" i="21" s="1"/>
  <c r="AH184" i="21"/>
  <c r="Y184" i="21"/>
  <c r="X184" i="21"/>
  <c r="E184" i="21"/>
  <c r="AN212" i="21"/>
  <c r="Y212" i="21"/>
  <c r="X212" i="21"/>
  <c r="AN242" i="21"/>
  <c r="Y242" i="21"/>
  <c r="X242" i="21"/>
  <c r="AN270" i="21"/>
  <c r="AN297" i="21"/>
  <c r="X297" i="21"/>
  <c r="AN352" i="21"/>
  <c r="AN384" i="21"/>
  <c r="AN28" i="21"/>
  <c r="AP60" i="21"/>
  <c r="AO60" i="21"/>
  <c r="AI60" i="21"/>
  <c r="AH60" i="21"/>
  <c r="AN92" i="21"/>
  <c r="AP123" i="21"/>
  <c r="AN123" i="21" s="1"/>
  <c r="AO152" i="21"/>
  <c r="AN152" i="21" s="1"/>
  <c r="E152" i="21"/>
  <c r="AP180" i="21"/>
  <c r="AN180" i="21" s="1"/>
  <c r="AN238" i="21"/>
  <c r="X238" i="21"/>
  <c r="AN266" i="21"/>
  <c r="AN293" i="21"/>
  <c r="X293" i="21"/>
  <c r="AP322" i="21"/>
  <c r="F322" i="21"/>
  <c r="AP348" i="21"/>
  <c r="AO348" i="21"/>
  <c r="E348" i="21"/>
  <c r="AP380" i="21"/>
  <c r="AN380" i="21" s="1"/>
  <c r="AP30" i="21"/>
  <c r="AN30" i="21" s="1"/>
  <c r="AI30" i="21"/>
  <c r="AP62" i="21"/>
  <c r="AN62" i="21" s="1"/>
  <c r="AN94" i="21"/>
  <c r="X94" i="21"/>
  <c r="AN124" i="21"/>
  <c r="Y124" i="21"/>
  <c r="X124" i="21"/>
  <c r="AP154" i="21"/>
  <c r="AN154" i="21" s="1"/>
  <c r="AN182" i="21"/>
  <c r="AN211" i="21"/>
  <c r="AN240" i="21"/>
  <c r="X240" i="21"/>
  <c r="AN268" i="21"/>
  <c r="AN295" i="21"/>
  <c r="AP350" i="21"/>
  <c r="AN350" i="21" s="1"/>
  <c r="AP382" i="21"/>
  <c r="AN382" i="21" s="1"/>
  <c r="AI382" i="21"/>
  <c r="AP24" i="21"/>
  <c r="AN24" i="21" s="1"/>
  <c r="E24" i="21"/>
  <c r="AO56" i="21"/>
  <c r="AN56" i="21" s="1"/>
  <c r="E56" i="21"/>
  <c r="AN88" i="21"/>
  <c r="AL88" i="21"/>
  <c r="AP120" i="21"/>
  <c r="AN120" i="21" s="1"/>
  <c r="E120" i="21"/>
  <c r="AP148" i="21"/>
  <c r="AO148" i="21"/>
  <c r="X148" i="21"/>
  <c r="AN176" i="21"/>
  <c r="X176" i="21"/>
  <c r="E176" i="21"/>
  <c r="AN206" i="21"/>
  <c r="E206" i="21"/>
  <c r="AP234" i="21"/>
  <c r="AN234" i="21" s="1"/>
  <c r="Y234" i="21"/>
  <c r="X234" i="21"/>
  <c r="AO290" i="21"/>
  <c r="AN290" i="21" s="1"/>
  <c r="E290" i="21"/>
  <c r="AP319" i="21"/>
  <c r="AN319" i="21" s="1"/>
  <c r="X319" i="21"/>
  <c r="AN344" i="21"/>
  <c r="AP376" i="21"/>
  <c r="AN376" i="21" s="1"/>
  <c r="AN33" i="21"/>
  <c r="X33" i="21"/>
  <c r="AN65" i="21"/>
  <c r="X65" i="21"/>
  <c r="AP97" i="21"/>
  <c r="AN97" i="21" s="1"/>
  <c r="AO127" i="21"/>
  <c r="AN127" i="21" s="1"/>
  <c r="E127" i="21"/>
  <c r="AP157" i="21"/>
  <c r="AN157" i="21" s="1"/>
  <c r="AP185" i="21"/>
  <c r="AN185" i="21" s="1"/>
  <c r="AP213" i="21"/>
  <c r="AN213" i="21" s="1"/>
  <c r="AN243" i="21"/>
  <c r="E243" i="21"/>
  <c r="AN271" i="21"/>
  <c r="AN325" i="21"/>
  <c r="AP353" i="21"/>
  <c r="AN353" i="21" s="1"/>
  <c r="AP385" i="21"/>
  <c r="AN385" i="21" s="1"/>
  <c r="AP4" i="21"/>
  <c r="AN4" i="21" s="1"/>
  <c r="AI4" i="21"/>
  <c r="Y4" i="21"/>
  <c r="X4" i="21"/>
  <c r="E4" i="21"/>
  <c r="AP36" i="21"/>
  <c r="AN36" i="21" s="1"/>
  <c r="Y36" i="21"/>
  <c r="X36" i="21"/>
  <c r="AP68" i="21"/>
  <c r="AN68" i="21" s="1"/>
  <c r="AI68" i="21"/>
  <c r="Y68" i="21"/>
  <c r="X68" i="21"/>
  <c r="AP100" i="21"/>
  <c r="AN100" i="21" s="1"/>
  <c r="Y100" i="21"/>
  <c r="X100" i="21"/>
  <c r="AP130" i="21"/>
  <c r="AN130" i="21" s="1"/>
  <c r="Y130" i="21"/>
  <c r="X130" i="21"/>
  <c r="AP160" i="21"/>
  <c r="AN160" i="21" s="1"/>
  <c r="Y160" i="21"/>
  <c r="X160" i="21"/>
  <c r="AP188" i="21"/>
  <c r="AN188" i="21" s="1"/>
  <c r="X188" i="21"/>
  <c r="AP245" i="21"/>
  <c r="AN245" i="21" s="1"/>
  <c r="Y245" i="21"/>
  <c r="X245" i="21"/>
  <c r="AP274" i="21"/>
  <c r="AN274" i="21" s="1"/>
  <c r="Y274" i="21"/>
  <c r="X274" i="21"/>
  <c r="AP300" i="21"/>
  <c r="AI300" i="21"/>
  <c r="Y300" i="21"/>
  <c r="X300" i="21"/>
  <c r="AP327" i="21"/>
  <c r="AO327" i="21"/>
  <c r="AP356" i="21"/>
  <c r="X356" i="21"/>
  <c r="AP20" i="21"/>
  <c r="AN20" i="21" s="1"/>
  <c r="AN52" i="21"/>
  <c r="AN84" i="21"/>
  <c r="AN116" i="21"/>
  <c r="X116" i="21"/>
  <c r="AN145" i="21"/>
  <c r="Y145" i="21"/>
  <c r="X145" i="21"/>
  <c r="AN172" i="21"/>
  <c r="X172" i="21"/>
  <c r="AP202" i="21"/>
  <c r="AN202" i="21" s="1"/>
  <c r="AN230" i="21"/>
  <c r="X230" i="21"/>
  <c r="AN287" i="21"/>
  <c r="Y287" i="21"/>
  <c r="X287" i="21"/>
  <c r="AN315" i="21"/>
  <c r="AN341" i="21"/>
  <c r="AP372" i="21"/>
  <c r="AN372" i="21" s="1"/>
  <c r="AN18" i="21"/>
  <c r="AP50" i="21"/>
  <c r="AN50" i="21" s="1"/>
  <c r="X50" i="21"/>
  <c r="AP82" i="21"/>
  <c r="AN82" i="21" s="1"/>
  <c r="X82" i="21"/>
  <c r="AP114" i="21"/>
  <c r="AN114" i="21" s="1"/>
  <c r="AI114" i="21"/>
  <c r="X114" i="21"/>
  <c r="AP143" i="21"/>
  <c r="AN143" i="21" s="1"/>
  <c r="Y143" i="21"/>
  <c r="X143" i="21"/>
  <c r="AP200" i="21"/>
  <c r="AO200" i="21"/>
  <c r="Y200" i="21"/>
  <c r="X200" i="21"/>
  <c r="E200" i="21"/>
  <c r="AP228" i="21"/>
  <c r="AN228" i="21" s="1"/>
  <c r="AP258" i="21"/>
  <c r="AN258" i="21" s="1"/>
  <c r="Y258" i="21"/>
  <c r="X258" i="21"/>
  <c r="AN285" i="21"/>
  <c r="AN313" i="21"/>
  <c r="X313" i="21"/>
  <c r="AP340" i="21"/>
  <c r="AN340" i="21" s="1"/>
  <c r="AP370" i="21"/>
  <c r="AN370" i="21" s="1"/>
  <c r="X370" i="21"/>
  <c r="AP23" i="21"/>
  <c r="AN23" i="21" s="1"/>
  <c r="AI23" i="21"/>
  <c r="AP55" i="21"/>
  <c r="AN55" i="21" s="1"/>
  <c r="AL55" i="21"/>
  <c r="AN87" i="21"/>
  <c r="E87" i="21"/>
  <c r="AN119" i="21"/>
  <c r="AP147" i="21"/>
  <c r="AN147" i="21" s="1"/>
  <c r="Y147" i="21"/>
  <c r="X147" i="21"/>
  <c r="AP175" i="21"/>
  <c r="AN175" i="21" s="1"/>
  <c r="W175" i="21"/>
  <c r="V175" i="21"/>
  <c r="U175" i="21"/>
  <c r="AP205" i="21"/>
  <c r="AN233" i="21"/>
  <c r="AP262" i="21"/>
  <c r="AN262" i="21" s="1"/>
  <c r="AP318" i="21"/>
  <c r="AN318" i="21" s="1"/>
  <c r="AP343" i="21"/>
  <c r="AN343" i="21" s="1"/>
  <c r="AP375" i="21"/>
  <c r="AN375" i="21" s="1"/>
  <c r="AN6" i="21"/>
  <c r="AN38" i="21"/>
  <c r="AN70" i="21"/>
  <c r="AN102" i="21"/>
  <c r="AP132" i="21"/>
  <c r="AN132" i="21" s="1"/>
  <c r="AN161" i="21"/>
  <c r="AP217" i="21"/>
  <c r="AN217" i="21" s="1"/>
  <c r="AN247" i="21"/>
  <c r="AN276" i="21"/>
  <c r="AN302" i="21"/>
  <c r="AN329" i="21"/>
  <c r="AN358" i="21"/>
  <c r="X358" i="21"/>
  <c r="AN13" i="21"/>
  <c r="Y13" i="21"/>
  <c r="X13" i="21"/>
  <c r="AP45" i="21"/>
  <c r="AN45" i="21" s="1"/>
  <c r="AP77" i="21"/>
  <c r="AN77" i="21" s="1"/>
  <c r="X77" i="21"/>
  <c r="AN109" i="21"/>
  <c r="Y109" i="21"/>
  <c r="X109" i="21"/>
  <c r="AN138" i="21"/>
  <c r="Y138" i="21"/>
  <c r="X138" i="21"/>
  <c r="AN167" i="21"/>
  <c r="AI167" i="21"/>
  <c r="AN195" i="21"/>
  <c r="AN223" i="21"/>
  <c r="AN253" i="21"/>
  <c r="AP282" i="21"/>
  <c r="AN282" i="21" s="1"/>
  <c r="AP336" i="21"/>
  <c r="AN336" i="21" s="1"/>
  <c r="X336" i="21"/>
  <c r="AP365" i="21"/>
  <c r="AN365" i="21" s="1"/>
  <c r="AP12" i="21"/>
  <c r="AN12" i="21" s="1"/>
  <c r="AP44" i="21"/>
  <c r="AN44" i="21" s="1"/>
  <c r="Y44" i="21"/>
  <c r="X44" i="21"/>
  <c r="AP76" i="21"/>
  <c r="AN76" i="21" s="1"/>
  <c r="X76" i="21"/>
  <c r="AP108" i="21"/>
  <c r="AN108" i="21" s="1"/>
  <c r="X108" i="21"/>
  <c r="AN166" i="21"/>
  <c r="X166" i="21"/>
  <c r="AP194" i="21"/>
  <c r="X194" i="21"/>
  <c r="G194" i="21"/>
  <c r="F194" i="21"/>
  <c r="AP222" i="21"/>
  <c r="AN222" i="21" s="1"/>
  <c r="AP252" i="21"/>
  <c r="AN252" i="21" s="1"/>
  <c r="Y252" i="21"/>
  <c r="X252" i="21"/>
  <c r="AP281" i="21"/>
  <c r="AN281" i="21" s="1"/>
  <c r="X281" i="21"/>
  <c r="AP308" i="21"/>
  <c r="AN308" i="21" s="1"/>
  <c r="AN335" i="21"/>
  <c r="AP364" i="21"/>
  <c r="AN364" i="21" s="1"/>
  <c r="AP26" i="21"/>
  <c r="AN26" i="21" s="1"/>
  <c r="AL26" i="21"/>
  <c r="AP58" i="21"/>
  <c r="AN58" i="21" s="1"/>
  <c r="AN90" i="21"/>
  <c r="AN150" i="21"/>
  <c r="AN178" i="21"/>
  <c r="AN208" i="21"/>
  <c r="AN236" i="21"/>
  <c r="AN264" i="21"/>
  <c r="AN292" i="21"/>
  <c r="AP320" i="21"/>
  <c r="AN320" i="21" s="1"/>
  <c r="AI320" i="21"/>
  <c r="X320" i="21"/>
  <c r="AP346" i="21"/>
  <c r="AN346" i="21" s="1"/>
  <c r="AP378" i="21"/>
  <c r="AN16" i="21"/>
  <c r="X16" i="21"/>
  <c r="E16" i="21"/>
  <c r="AN48" i="21"/>
  <c r="AN80" i="21"/>
  <c r="X80" i="21"/>
  <c r="AP112" i="21"/>
  <c r="X112" i="21"/>
  <c r="AN141" i="21"/>
  <c r="X141" i="21"/>
  <c r="AN169" i="21"/>
  <c r="X169" i="21"/>
  <c r="AN198" i="21"/>
  <c r="AN226" i="21"/>
  <c r="AN256" i="21"/>
  <c r="AN311" i="21"/>
  <c r="X311" i="21"/>
  <c r="AN339" i="21"/>
  <c r="AO368" i="21"/>
  <c r="AN368" i="21" s="1"/>
  <c r="AH368" i="21"/>
  <c r="AP25" i="21"/>
  <c r="AO25" i="21"/>
  <c r="X25" i="21"/>
  <c r="AN57" i="21"/>
  <c r="Y57" i="21"/>
  <c r="X57" i="21"/>
  <c r="AP89" i="21"/>
  <c r="AN89" i="21" s="1"/>
  <c r="X89" i="21"/>
  <c r="AP121" i="21"/>
  <c r="AN121" i="21" s="1"/>
  <c r="X121" i="21"/>
  <c r="AP149" i="21"/>
  <c r="AN149" i="21" s="1"/>
  <c r="F149" i="21"/>
  <c r="AN177" i="21"/>
  <c r="AN207" i="21"/>
  <c r="X207" i="21"/>
  <c r="AN235" i="21"/>
  <c r="AN263" i="21"/>
  <c r="AN291" i="21"/>
  <c r="AN345" i="21"/>
  <c r="AN377" i="21"/>
  <c r="AP3" i="21"/>
  <c r="AN3" i="21" s="1"/>
  <c r="AP35" i="21"/>
  <c r="AN35" i="21" s="1"/>
  <c r="AN67" i="21"/>
  <c r="X67" i="21"/>
  <c r="AN99" i="21"/>
  <c r="AN129" i="21"/>
  <c r="AN159" i="21"/>
  <c r="Y159" i="21"/>
  <c r="X159" i="21"/>
  <c r="AO187" i="21"/>
  <c r="AN187" i="21" s="1"/>
  <c r="E187" i="21"/>
  <c r="AP215" i="21"/>
  <c r="AN215" i="21" s="1"/>
  <c r="Y215" i="21"/>
  <c r="X215" i="21"/>
  <c r="AP273" i="21"/>
  <c r="AN273" i="21" s="1"/>
  <c r="AP299" i="21"/>
  <c r="AN299" i="21" s="1"/>
  <c r="AP326" i="21"/>
  <c r="AO326" i="21"/>
  <c r="AN355" i="21"/>
  <c r="AP27" i="21"/>
  <c r="AN27" i="21" s="1"/>
  <c r="AI27" i="21"/>
  <c r="Y27" i="21"/>
  <c r="X27" i="21"/>
  <c r="AP59" i="21"/>
  <c r="AO59" i="21"/>
  <c r="E59" i="21"/>
  <c r="AP91" i="21"/>
  <c r="AN91" i="21" s="1"/>
  <c r="AP122" i="21"/>
  <c r="AN122" i="21" s="1"/>
  <c r="X122" i="21"/>
  <c r="AP151" i="21"/>
  <c r="AN151" i="21" s="1"/>
  <c r="AL151" i="21"/>
  <c r="AP179" i="21"/>
  <c r="AN179" i="21" s="1"/>
  <c r="Y179" i="21"/>
  <c r="X179" i="21"/>
  <c r="AP209" i="21"/>
  <c r="AN209" i="21" s="1"/>
  <c r="Y209" i="21"/>
  <c r="X209" i="21"/>
  <c r="AP237" i="21"/>
  <c r="AN237" i="21" s="1"/>
  <c r="AP265" i="21"/>
  <c r="AN265" i="21" s="1"/>
  <c r="X265" i="21"/>
  <c r="AP321" i="21"/>
  <c r="AN321" i="21" s="1"/>
  <c r="Y321" i="21"/>
  <c r="X321" i="21"/>
  <c r="AN347" i="21"/>
  <c r="Y347" i="21"/>
  <c r="X347" i="21"/>
  <c r="AN379" i="21"/>
  <c r="AN21" i="21"/>
  <c r="AP53" i="21"/>
  <c r="AO53" i="21"/>
  <c r="Y53" i="21"/>
  <c r="X53" i="21"/>
  <c r="E53" i="21"/>
  <c r="AP85" i="21"/>
  <c r="AN85" i="21" s="1"/>
  <c r="X85" i="21"/>
  <c r="E85" i="21"/>
  <c r="AP117" i="21"/>
  <c r="AN117" i="21" s="1"/>
  <c r="AP173" i="21"/>
  <c r="AO173" i="21"/>
  <c r="AH173" i="21"/>
  <c r="X173" i="21"/>
  <c r="E173" i="21"/>
  <c r="AP203" i="21"/>
  <c r="AN203" i="21" s="1"/>
  <c r="AN231" i="21"/>
  <c r="AN260" i="21"/>
  <c r="AN288" i="21"/>
  <c r="X288" i="21"/>
  <c r="AN316" i="21"/>
  <c r="AN342" i="21"/>
  <c r="AN373" i="21"/>
  <c r="X373" i="21"/>
  <c r="AP10" i="21"/>
  <c r="AN10" i="21" s="1"/>
  <c r="X10" i="21"/>
  <c r="AP42" i="21"/>
  <c r="AN42" i="21" s="1"/>
  <c r="P42" i="21"/>
  <c r="O42" i="21"/>
  <c r="C4" i="17" s="1"/>
  <c r="AN74" i="21"/>
  <c r="AI74" i="21"/>
  <c r="AN106" i="21"/>
  <c r="AP136" i="21"/>
  <c r="AP164" i="21"/>
  <c r="AN164" i="21" s="1"/>
  <c r="Y164" i="21"/>
  <c r="X164" i="21"/>
  <c r="AN192" i="21"/>
  <c r="AN250" i="21"/>
  <c r="X250" i="21"/>
  <c r="AN280" i="21"/>
  <c r="X280" i="21"/>
  <c r="AN306" i="21"/>
  <c r="Y306" i="21"/>
  <c r="X306" i="21"/>
  <c r="AP333" i="21"/>
  <c r="AN333" i="21" s="1"/>
  <c r="AN362" i="21"/>
  <c r="X362" i="21"/>
  <c r="AP15" i="21"/>
  <c r="AP47" i="21"/>
  <c r="X47" i="21"/>
  <c r="AN79" i="21"/>
  <c r="Y79" i="21"/>
  <c r="X79" i="21"/>
  <c r="AP111" i="21"/>
  <c r="X111" i="21"/>
  <c r="AP140" i="21"/>
  <c r="AN140" i="21"/>
  <c r="Y140" i="21"/>
  <c r="X140" i="21"/>
  <c r="AN197" i="21"/>
  <c r="AP225" i="21"/>
  <c r="AN225" i="21" s="1"/>
  <c r="Y225" i="21"/>
  <c r="AO255" i="21"/>
  <c r="Y255" i="21"/>
  <c r="X255" i="21"/>
  <c r="E255" i="21"/>
  <c r="AP283" i="21"/>
  <c r="X283" i="21"/>
  <c r="AP310" i="21"/>
  <c r="AI310" i="21"/>
  <c r="G310" i="21"/>
  <c r="F310" i="21"/>
  <c r="AP338" i="21"/>
  <c r="Y338" i="21"/>
  <c r="X338" i="21"/>
  <c r="AP367" i="21"/>
  <c r="X367" i="21"/>
  <c r="AP17" i="21"/>
  <c r="X17" i="21"/>
  <c r="AN49" i="21"/>
  <c r="AP81" i="21"/>
  <c r="AN81" i="21" s="1"/>
  <c r="AI81" i="21"/>
  <c r="AN113" i="21"/>
  <c r="Y113" i="21"/>
  <c r="AN142" i="21"/>
  <c r="AN170" i="21"/>
  <c r="AP199" i="21"/>
  <c r="AO199" i="21"/>
  <c r="E199" i="21"/>
  <c r="AN227" i="21"/>
  <c r="AN257" i="21"/>
  <c r="AN284" i="21"/>
  <c r="AP312" i="21"/>
  <c r="V312" i="21"/>
  <c r="U312" i="21"/>
  <c r="AP369" i="21"/>
  <c r="AN369" i="21" s="1"/>
  <c r="AP19" i="21"/>
  <c r="AN19" i="21" s="1"/>
  <c r="AP51" i="21"/>
  <c r="AN51" i="21" s="1"/>
  <c r="AP83" i="21"/>
  <c r="AN83" i="21" s="1"/>
  <c r="AN115" i="21"/>
  <c r="X115" i="21"/>
  <c r="AN144" i="21"/>
  <c r="AN171" i="21"/>
  <c r="X171" i="21"/>
  <c r="AN201" i="21"/>
  <c r="X201" i="21"/>
  <c r="AN229" i="21"/>
  <c r="AN259" i="21"/>
  <c r="AN286" i="21"/>
  <c r="AP314" i="21"/>
  <c r="X314" i="21"/>
  <c r="V314" i="21"/>
  <c r="U314" i="21"/>
  <c r="AN371" i="21"/>
  <c r="AN2" i="21"/>
  <c r="AN34" i="21"/>
  <c r="AN66" i="21"/>
  <c r="AN98" i="21"/>
  <c r="AP128" i="21"/>
  <c r="AN128" i="21" s="1"/>
  <c r="X128" i="21"/>
  <c r="AN158" i="21"/>
  <c r="X158" i="21"/>
  <c r="AN186" i="21"/>
  <c r="X186" i="21"/>
  <c r="AN214" i="21"/>
  <c r="X214" i="21"/>
  <c r="AN244" i="21"/>
  <c r="AN272" i="21"/>
  <c r="AN298" i="21"/>
  <c r="AN354" i="21"/>
  <c r="AP31" i="21"/>
  <c r="AN31" i="21" s="1"/>
  <c r="AL31" i="21"/>
  <c r="AI31" i="21"/>
  <c r="AN63" i="21"/>
  <c r="AP95" i="21"/>
  <c r="X95" i="21"/>
  <c r="AN125" i="21"/>
  <c r="AP155" i="21"/>
  <c r="AN155" i="21" s="1"/>
  <c r="AP183" i="21"/>
  <c r="AN183" i="21" s="1"/>
  <c r="Y183" i="21"/>
  <c r="X183" i="21"/>
  <c r="AP241" i="21"/>
  <c r="AN241" i="21" s="1"/>
  <c r="AP269" i="21"/>
  <c r="AN269" i="21" s="1"/>
  <c r="AP296" i="21"/>
  <c r="AN296" i="21" s="1"/>
  <c r="AN324" i="21"/>
  <c r="AP351" i="21"/>
  <c r="AN351" i="21" s="1"/>
  <c r="AN383" i="21"/>
  <c r="AP9" i="21"/>
  <c r="AN9" i="21" s="1"/>
  <c r="AN41" i="21"/>
  <c r="AN73" i="21"/>
  <c r="AP105" i="21"/>
  <c r="AN105" i="21" s="1"/>
  <c r="AN135" i="21"/>
  <c r="V135" i="21"/>
  <c r="AN163" i="21"/>
  <c r="X163" i="21"/>
  <c r="AN220" i="21"/>
  <c r="AN249" i="21"/>
  <c r="AN279" i="21"/>
  <c r="AN305" i="21"/>
  <c r="AP332" i="21"/>
  <c r="AN332" i="21" s="1"/>
  <c r="AP361" i="21"/>
  <c r="AP5" i="21"/>
  <c r="AN5" i="21" s="1"/>
  <c r="AI5" i="21"/>
  <c r="X5" i="21"/>
  <c r="AP37" i="21"/>
  <c r="AN37" i="21" s="1"/>
  <c r="AN69" i="21"/>
  <c r="AO101" i="21"/>
  <c r="AN101" i="21" s="1"/>
  <c r="AH101" i="21"/>
  <c r="E101" i="21"/>
  <c r="AN131" i="21"/>
  <c r="X131" i="21"/>
  <c r="AP189" i="21"/>
  <c r="AN189" i="21" s="1"/>
  <c r="X189" i="21"/>
  <c r="AP216" i="21"/>
  <c r="AN246" i="21"/>
  <c r="AN275" i="21"/>
  <c r="AP301" i="21"/>
  <c r="AN301" i="21" s="1"/>
  <c r="AN328" i="21"/>
  <c r="X328" i="21"/>
  <c r="AN357" i="21"/>
  <c r="AP8" i="21"/>
  <c r="AI8" i="21"/>
  <c r="Y8" i="21"/>
  <c r="X8" i="21"/>
  <c r="AP40" i="21"/>
  <c r="AN40" i="21" s="1"/>
  <c r="X40" i="21"/>
  <c r="AN72" i="21"/>
  <c r="AN104" i="21"/>
  <c r="AN134" i="21"/>
  <c r="X134" i="21"/>
  <c r="AN162" i="21"/>
  <c r="Y162" i="21"/>
  <c r="X162" i="21"/>
  <c r="AN191" i="21"/>
  <c r="AN219" i="21"/>
  <c r="AN278" i="21"/>
  <c r="AN304" i="21"/>
  <c r="AN331" i="21"/>
  <c r="AN360" i="21"/>
  <c r="AP7" i="21"/>
  <c r="AN7" i="21" s="1"/>
  <c r="AI7" i="21"/>
  <c r="AP39" i="21"/>
  <c r="AN39" i="21" s="1"/>
  <c r="Y39" i="21"/>
  <c r="X39" i="21"/>
  <c r="AN71" i="21"/>
  <c r="AN103" i="21"/>
  <c r="Y103" i="21"/>
  <c r="X103" i="21"/>
  <c r="E103" i="21"/>
  <c r="AN133" i="21"/>
  <c r="AN190" i="21"/>
  <c r="AN218" i="21"/>
  <c r="AN248" i="21"/>
  <c r="AN277" i="21"/>
  <c r="AN303" i="21"/>
  <c r="AN330" i="21"/>
  <c r="X330" i="21"/>
  <c r="AN359" i="21"/>
  <c r="D2" i="17"/>
  <c r="B2" i="17"/>
  <c r="C2" i="17"/>
  <c r="AN200" i="21" l="1"/>
  <c r="AN148" i="21"/>
  <c r="AN53" i="21"/>
  <c r="AN60" i="21"/>
  <c r="AN199" i="21"/>
  <c r="AN25" i="21"/>
  <c r="AN173" i="21"/>
  <c r="AN327" i="21"/>
  <c r="AN326" i="21"/>
  <c r="AN348" i="21"/>
  <c r="AN322" i="21"/>
  <c r="AN356" i="21"/>
  <c r="AN300" i="21"/>
  <c r="AN205" i="21"/>
  <c r="AN194" i="21"/>
  <c r="AN378" i="21"/>
  <c r="AN112" i="21"/>
  <c r="AN59" i="21"/>
  <c r="AN95" i="21"/>
  <c r="AK31" i="21"/>
  <c r="AN312" i="21"/>
  <c r="AN338" i="21"/>
  <c r="AN283" i="21"/>
  <c r="AN111" i="21"/>
  <c r="AN216" i="21"/>
  <c r="AN361" i="21"/>
  <c r="AN314" i="21"/>
  <c r="AN17" i="21"/>
  <c r="AN255" i="21"/>
  <c r="AN15" i="21"/>
  <c r="AN136" i="21"/>
  <c r="AN367" i="21"/>
  <c r="AN310" i="21"/>
  <c r="AN47" i="21"/>
  <c r="AN8" i="21"/>
  <c r="AP29" i="21"/>
  <c r="AN29" i="21" s="1"/>
  <c r="AL29" i="21"/>
  <c r="AI29" i="21"/>
  <c r="F29" i="21"/>
  <c r="AP61" i="21"/>
  <c r="AN61" i="21" s="1"/>
  <c r="AI61" i="21"/>
  <c r="AP93" i="21"/>
  <c r="AN93" i="21" s="1"/>
  <c r="AI93" i="21"/>
  <c r="AP153" i="21"/>
  <c r="AI153" i="21"/>
  <c r="X153" i="21"/>
  <c r="V153" i="21"/>
  <c r="AP181" i="21"/>
  <c r="AN181" i="21" s="1"/>
  <c r="AI181" i="21"/>
  <c r="X181" i="21"/>
  <c r="AP210" i="21"/>
  <c r="AN210" i="21" s="1"/>
  <c r="X210" i="21"/>
  <c r="AP239" i="21"/>
  <c r="AN239" i="21" s="1"/>
  <c r="AP267" i="21"/>
  <c r="AN267" i="21" s="1"/>
  <c r="AI267" i="21"/>
  <c r="Y267" i="21"/>
  <c r="X267" i="21"/>
  <c r="AP294" i="21"/>
  <c r="AN323" i="21"/>
  <c r="AP349" i="21"/>
  <c r="AN381" i="21"/>
  <c r="D4" i="17" l="1"/>
  <c r="AN294" i="21"/>
  <c r="AN153" i="21"/>
  <c r="AN349" i="21"/>
  <c r="E211" i="19" l="1"/>
  <c r="F172" i="19"/>
  <c r="F171" i="19"/>
  <c r="H314" i="19"/>
  <c r="F166" i="19"/>
  <c r="H195" i="19"/>
  <c r="C3" i="17" s="1"/>
  <c r="E189" i="19"/>
  <c r="E278" i="19"/>
  <c r="H305" i="19"/>
  <c r="F151" i="19"/>
  <c r="AM74" i="13" l="1"/>
  <c r="AL74" i="13"/>
  <c r="AK74" i="13"/>
  <c r="AJ74" i="13"/>
  <c r="X74" i="13"/>
  <c r="V74" i="13"/>
  <c r="AM71" i="13"/>
  <c r="AL71" i="13"/>
  <c r="AK71" i="13"/>
  <c r="AJ71" i="13"/>
  <c r="X71" i="13"/>
  <c r="V71" i="13"/>
  <c r="AM68" i="13"/>
  <c r="AL68" i="13"/>
  <c r="AK68" i="13"/>
  <c r="AJ68" i="13"/>
  <c r="X68" i="13"/>
  <c r="W68" i="13"/>
  <c r="V68" i="13"/>
  <c r="U68" i="13"/>
  <c r="AM65" i="13"/>
  <c r="AL65" i="13"/>
  <c r="AK65" i="13"/>
  <c r="AJ65" i="13"/>
  <c r="X65" i="13"/>
  <c r="V65" i="13"/>
  <c r="AM62" i="13"/>
  <c r="AL62" i="13"/>
  <c r="AK62" i="13"/>
  <c r="AJ62" i="13"/>
  <c r="X62" i="13"/>
  <c r="V62" i="13"/>
  <c r="AY35" i="13"/>
  <c r="AW59" i="13"/>
  <c r="AV59" i="13"/>
  <c r="AU59" i="13"/>
  <c r="AT59" i="13"/>
  <c r="AM59" i="13"/>
  <c r="AK59" i="13"/>
  <c r="AH59" i="13"/>
  <c r="AF59" i="13"/>
  <c r="AW56" i="13"/>
  <c r="AV56" i="13"/>
  <c r="AU56" i="13"/>
  <c r="AT56" i="13"/>
  <c r="AK56" i="13"/>
  <c r="AJ56" i="13"/>
  <c r="AH56" i="13"/>
  <c r="AF56" i="13"/>
  <c r="AW53" i="13"/>
  <c r="AV53" i="13"/>
  <c r="AU53" i="13"/>
  <c r="AT53" i="13"/>
  <c r="AH53" i="13"/>
  <c r="AF53" i="13"/>
  <c r="BG32" i="13"/>
  <c r="AW50" i="13"/>
  <c r="AV50" i="13"/>
  <c r="AU50" i="13"/>
  <c r="AT50" i="13"/>
  <c r="AM50" i="13"/>
  <c r="AL50" i="13"/>
  <c r="AK50" i="13"/>
  <c r="AJ50" i="13"/>
  <c r="AH50" i="13"/>
  <c r="AF50" i="13"/>
  <c r="AL41" i="13"/>
  <c r="AL53" i="13"/>
  <c r="AW47" i="13"/>
  <c r="AV47" i="13"/>
  <c r="AU47" i="13"/>
  <c r="AT47" i="13"/>
  <c r="AK47" i="13"/>
  <c r="AH47" i="13"/>
  <c r="AF47" i="13"/>
  <c r="BE29" i="13"/>
  <c r="BG44" i="13"/>
  <c r="BE44" i="13"/>
  <c r="BD44" i="13"/>
  <c r="BB44" i="13"/>
  <c r="BA44" i="13"/>
  <c r="AZ44" i="13"/>
  <c r="AY44" i="13"/>
  <c r="AW44" i="13"/>
  <c r="AV44" i="13"/>
  <c r="AU44" i="13"/>
  <c r="AT44" i="13"/>
  <c r="AR44" i="13"/>
  <c r="AQ44" i="13"/>
  <c r="AP44" i="13"/>
  <c r="AO44" i="13"/>
  <c r="AM44" i="13"/>
  <c r="AL44" i="13"/>
  <c r="AK44" i="13"/>
  <c r="AJ44" i="13"/>
  <c r="AH44" i="13"/>
  <c r="AF44" i="13"/>
  <c r="X44" i="13"/>
  <c r="W44" i="13"/>
  <c r="AM56" i="13"/>
  <c r="BG41" i="13"/>
  <c r="BE41" i="13"/>
  <c r="BB41" i="13"/>
  <c r="AZ41" i="13"/>
  <c r="AW41" i="13"/>
  <c r="AV41" i="13"/>
  <c r="AU41" i="13"/>
  <c r="AT41" i="13"/>
  <c r="AR41" i="13"/>
  <c r="AP41" i="13"/>
  <c r="AM41" i="13"/>
  <c r="AK41" i="13"/>
  <c r="AH41" i="13"/>
  <c r="AF41" i="13"/>
  <c r="AC41" i="13"/>
  <c r="X41" i="13"/>
  <c r="V41" i="13"/>
  <c r="W74" i="13"/>
  <c r="BE38" i="13"/>
  <c r="BA38" i="13"/>
  <c r="AZ38" i="13"/>
  <c r="AW38" i="13"/>
  <c r="AV38" i="13"/>
  <c r="AU38" i="13"/>
  <c r="AT38" i="13"/>
  <c r="AQ38" i="13"/>
  <c r="AP38" i="13"/>
  <c r="AM38" i="13"/>
  <c r="AL38" i="13"/>
  <c r="AK38" i="13"/>
  <c r="AJ38" i="13"/>
  <c r="AH38" i="13"/>
  <c r="AF38" i="13"/>
  <c r="AA38" i="13"/>
  <c r="X38" i="13"/>
  <c r="W38" i="13"/>
  <c r="AP29" i="13"/>
  <c r="BG35" i="13"/>
  <c r="BE35" i="13"/>
  <c r="BB35" i="13"/>
  <c r="BA35" i="13"/>
  <c r="AZ35" i="13"/>
  <c r="AW35" i="13"/>
  <c r="AV35" i="13"/>
  <c r="AU35" i="13"/>
  <c r="AT35" i="13"/>
  <c r="AR35" i="13"/>
  <c r="AQ35" i="13"/>
  <c r="AP35" i="13"/>
  <c r="AO35" i="13"/>
  <c r="AM35" i="13"/>
  <c r="AL35" i="13"/>
  <c r="AK35" i="13"/>
  <c r="AH35" i="13"/>
  <c r="AF35" i="13"/>
  <c r="AC35" i="13"/>
  <c r="AA35" i="13"/>
  <c r="X35" i="13"/>
  <c r="W35" i="13"/>
  <c r="V35" i="13"/>
  <c r="AK53" i="13"/>
  <c r="V53" i="13"/>
  <c r="BE32" i="13"/>
  <c r="AW32" i="13"/>
  <c r="AV32" i="13"/>
  <c r="AU32" i="13"/>
  <c r="AT32" i="13"/>
  <c r="AP32" i="13"/>
  <c r="AM32" i="13"/>
  <c r="AJ32" i="13"/>
  <c r="AH32" i="13"/>
  <c r="AF32" i="13"/>
  <c r="X32" i="13"/>
  <c r="X50" i="13"/>
  <c r="BG29" i="13"/>
  <c r="BB29" i="13"/>
  <c r="BA29" i="13"/>
  <c r="AZ29" i="13"/>
  <c r="AY29" i="13"/>
  <c r="AW29" i="13"/>
  <c r="AV29" i="13"/>
  <c r="AU29" i="13"/>
  <c r="AT29" i="13"/>
  <c r="AR29" i="13"/>
  <c r="AM29" i="13"/>
  <c r="AL29" i="13"/>
  <c r="AK29" i="13"/>
  <c r="AJ29" i="13"/>
  <c r="AH29" i="13"/>
  <c r="AF29" i="13"/>
  <c r="AC29" i="13"/>
  <c r="X29" i="13"/>
  <c r="W29" i="13"/>
  <c r="V29" i="13"/>
  <c r="U29" i="13"/>
  <c r="AM53" i="13"/>
  <c r="AC44" i="13"/>
  <c r="BG26" i="13"/>
  <c r="BF26" i="13"/>
  <c r="BE26" i="13"/>
  <c r="BD26" i="13"/>
  <c r="BB26" i="13"/>
  <c r="BA26" i="13"/>
  <c r="AZ26" i="13"/>
  <c r="AY26" i="13"/>
  <c r="AW26" i="13"/>
  <c r="AV26" i="13"/>
  <c r="AU26" i="13"/>
  <c r="AT26" i="13"/>
  <c r="AR26" i="13"/>
  <c r="AQ26" i="13"/>
  <c r="AP26" i="13"/>
  <c r="AM26" i="13"/>
  <c r="AL26" i="13"/>
  <c r="AK26" i="13"/>
  <c r="AJ26" i="13"/>
  <c r="AH26" i="13"/>
  <c r="AF26" i="13"/>
  <c r="AC26" i="13"/>
  <c r="X26" i="13"/>
  <c r="W26" i="13"/>
  <c r="V26" i="13"/>
  <c r="U26" i="13"/>
  <c r="W65" i="13"/>
  <c r="W62" i="13"/>
  <c r="BA41" i="13"/>
  <c r="BG23" i="13"/>
  <c r="BE23" i="13"/>
  <c r="BB23" i="13"/>
  <c r="BA23" i="13"/>
  <c r="AZ23" i="13"/>
  <c r="AY23" i="13"/>
  <c r="AW23" i="13"/>
  <c r="AV23" i="13"/>
  <c r="AU23" i="13"/>
  <c r="AT23" i="13"/>
  <c r="AQ23" i="13"/>
  <c r="AP23" i="13"/>
  <c r="AM23" i="13"/>
  <c r="AL23" i="13"/>
  <c r="AK23" i="13"/>
  <c r="AJ23" i="13"/>
  <c r="AH23" i="13"/>
  <c r="AF23" i="13"/>
  <c r="AA23" i="13"/>
  <c r="X23" i="13"/>
  <c r="W23" i="13"/>
  <c r="V23" i="13"/>
  <c r="U23" i="13"/>
  <c r="BF41" i="13"/>
  <c r="BG20" i="13"/>
  <c r="BE20" i="13"/>
  <c r="BB20" i="13"/>
  <c r="BA20" i="13"/>
  <c r="AZ20" i="13"/>
  <c r="AY20" i="13"/>
  <c r="AW20" i="13"/>
  <c r="AV20" i="13"/>
  <c r="AU20" i="13"/>
  <c r="AT20" i="13"/>
  <c r="AR20" i="13"/>
  <c r="AQ20" i="13"/>
  <c r="AO20" i="13"/>
  <c r="AM20" i="13"/>
  <c r="AL20" i="13"/>
  <c r="AK20" i="13"/>
  <c r="AJ20" i="13"/>
  <c r="AH20" i="13"/>
  <c r="AF20" i="13"/>
  <c r="AC20" i="13"/>
  <c r="X20" i="13"/>
  <c r="W20" i="13"/>
  <c r="V20" i="13"/>
  <c r="U20" i="13"/>
  <c r="V50" i="13"/>
  <c r="BG17" i="13"/>
  <c r="BB17" i="13"/>
  <c r="BA17" i="13"/>
  <c r="AZ17" i="13"/>
  <c r="AY17" i="13"/>
  <c r="AW17" i="13"/>
  <c r="AV17" i="13"/>
  <c r="AU17" i="13"/>
  <c r="AT17" i="13"/>
  <c r="AR17" i="13"/>
  <c r="AM17" i="13"/>
  <c r="AL17" i="13"/>
  <c r="AK17" i="13"/>
  <c r="AJ17" i="13"/>
  <c r="AH17" i="13"/>
  <c r="AF17" i="13"/>
  <c r="AC17" i="13"/>
  <c r="X17" i="13"/>
  <c r="W17" i="13"/>
  <c r="V17" i="13"/>
  <c r="U17" i="13"/>
  <c r="AA26" i="13"/>
  <c r="V47" i="13"/>
  <c r="BG14" i="13"/>
  <c r="BF14" i="13"/>
  <c r="BE14" i="13"/>
  <c r="BB14" i="13"/>
  <c r="AZ14" i="13"/>
  <c r="AW14" i="13"/>
  <c r="AV14" i="13"/>
  <c r="AU14" i="13"/>
  <c r="AT14" i="13"/>
  <c r="AR14" i="13"/>
  <c r="AQ14" i="13"/>
  <c r="AP14" i="13"/>
  <c r="AO14" i="13"/>
  <c r="AM14" i="13"/>
  <c r="AK14" i="13"/>
  <c r="AH14" i="13"/>
  <c r="AF14" i="13"/>
  <c r="AB14" i="13"/>
  <c r="AA14" i="13"/>
  <c r="AE44" i="13"/>
  <c r="V38" i="13"/>
  <c r="BG11" i="13"/>
  <c r="BF11" i="13"/>
  <c r="BE11" i="13"/>
  <c r="BD11" i="13"/>
  <c r="BB11" i="13"/>
  <c r="BA11" i="13"/>
  <c r="AZ11" i="13"/>
  <c r="AY11" i="13"/>
  <c r="AW11" i="13"/>
  <c r="AV11" i="13"/>
  <c r="AU11" i="13"/>
  <c r="AT11" i="13"/>
  <c r="AR11" i="13"/>
  <c r="AP11" i="13"/>
  <c r="AO11" i="13"/>
  <c r="AM11" i="13"/>
  <c r="AK11" i="13"/>
  <c r="AJ11" i="13"/>
  <c r="AH11" i="13"/>
  <c r="AF11" i="13"/>
  <c r="AE11" i="13"/>
  <c r="AC11" i="13"/>
  <c r="AA11" i="13"/>
  <c r="X11" i="13"/>
  <c r="V11" i="13"/>
  <c r="V14" i="13"/>
  <c r="W56" i="13"/>
  <c r="BG8" i="13"/>
  <c r="BE8" i="13"/>
  <c r="BB8" i="13"/>
  <c r="BA8" i="13"/>
  <c r="AZ8" i="13"/>
  <c r="AY8" i="13"/>
  <c r="AW8" i="13"/>
  <c r="AV8" i="13"/>
  <c r="AU8" i="13"/>
  <c r="AT8" i="13"/>
  <c r="AR8" i="13"/>
  <c r="AQ8" i="13"/>
  <c r="AP8" i="13"/>
  <c r="AO8" i="13"/>
  <c r="AM8" i="13"/>
  <c r="AL8" i="13"/>
  <c r="AK8" i="13"/>
  <c r="AJ8" i="13"/>
  <c r="AH8" i="13"/>
  <c r="AF8" i="13"/>
  <c r="AC8" i="13"/>
  <c r="AA8" i="13"/>
  <c r="X8" i="13"/>
  <c r="BG5" i="13"/>
  <c r="BE5" i="13"/>
  <c r="BB5" i="13"/>
  <c r="BA5" i="13"/>
  <c r="AZ5" i="13"/>
  <c r="AY5" i="13"/>
  <c r="AW5" i="13"/>
  <c r="AV5" i="13"/>
  <c r="AU5" i="13"/>
  <c r="AT5" i="13"/>
  <c r="AR5" i="13"/>
  <c r="AQ5" i="13"/>
  <c r="AP5" i="13"/>
  <c r="AO5" i="13"/>
  <c r="AM5" i="13"/>
  <c r="AL5" i="13"/>
  <c r="AK5" i="13"/>
  <c r="AH5" i="13"/>
  <c r="AF5" i="13"/>
  <c r="AC5" i="13"/>
  <c r="AA5" i="13"/>
  <c r="X5" i="13"/>
  <c r="V5" i="13"/>
  <c r="AJ59" i="13"/>
  <c r="AG50" i="13"/>
  <c r="BF38" i="13"/>
  <c r="BG2" i="13"/>
  <c r="BE2" i="13"/>
  <c r="BD2" i="13"/>
  <c r="BB2" i="13"/>
  <c r="BA2" i="13"/>
  <c r="AZ2" i="13"/>
  <c r="AY2" i="13"/>
  <c r="AW2" i="13"/>
  <c r="AV2" i="13"/>
  <c r="AU2" i="13"/>
  <c r="AT2" i="13"/>
  <c r="AQ2" i="13"/>
  <c r="AP2" i="13"/>
  <c r="AO2" i="13"/>
  <c r="AL2" i="13"/>
  <c r="AK2" i="13"/>
  <c r="AJ2" i="13"/>
  <c r="AH2" i="13"/>
  <c r="AF2" i="13"/>
  <c r="AE2" i="13"/>
  <c r="AA2" i="13"/>
  <c r="Z2" i="13"/>
  <c r="V2" i="13"/>
  <c r="U2" i="13"/>
  <c r="AE59" i="13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2" i="12"/>
  <c r="AB2" i="13" l="1"/>
  <c r="BF2" i="13"/>
  <c r="W14" i="13"/>
  <c r="AG14" i="13"/>
  <c r="AL14" i="13"/>
  <c r="BA14" i="13"/>
  <c r="Z20" i="13"/>
  <c r="AE20" i="13"/>
  <c r="BD20" i="13"/>
  <c r="U32" i="13"/>
  <c r="Z32" i="13"/>
  <c r="AE32" i="13"/>
  <c r="AO32" i="13"/>
  <c r="AY32" i="13"/>
  <c r="U44" i="13"/>
  <c r="X53" i="13"/>
  <c r="U56" i="13"/>
  <c r="AE56" i="13"/>
  <c r="V59" i="13"/>
  <c r="X2" i="13"/>
  <c r="AC2" i="13"/>
  <c r="AM2" i="13"/>
  <c r="AR2" i="13"/>
  <c r="U5" i="13"/>
  <c r="Z5" i="13"/>
  <c r="AE5" i="13"/>
  <c r="AJ5" i="13"/>
  <c r="BD5" i="13"/>
  <c r="V8" i="13"/>
  <c r="W11" i="13"/>
  <c r="AB11" i="13"/>
  <c r="AG11" i="13"/>
  <c r="AL11" i="13"/>
  <c r="AQ11" i="13"/>
  <c r="X14" i="13"/>
  <c r="AC14" i="13"/>
  <c r="Z17" i="13"/>
  <c r="AE17" i="13"/>
  <c r="AO17" i="13"/>
  <c r="BD17" i="13"/>
  <c r="AA20" i="13"/>
  <c r="AP20" i="13"/>
  <c r="AB23" i="13"/>
  <c r="AG23" i="13"/>
  <c r="BF23" i="13"/>
  <c r="Z29" i="13"/>
  <c r="AE29" i="13"/>
  <c r="AO29" i="13"/>
  <c r="BD29" i="13"/>
  <c r="V32" i="13"/>
  <c r="AA32" i="13"/>
  <c r="AK32" i="13"/>
  <c r="AZ32" i="13"/>
  <c r="AB35" i="13"/>
  <c r="AG35" i="13"/>
  <c r="BF35" i="13"/>
  <c r="AC38" i="13"/>
  <c r="AR38" i="13"/>
  <c r="BB38" i="13"/>
  <c r="BG38" i="13"/>
  <c r="U41" i="13"/>
  <c r="Z41" i="13"/>
  <c r="AE41" i="13"/>
  <c r="AJ41" i="13"/>
  <c r="AO41" i="13"/>
  <c r="AY41" i="13"/>
  <c r="BD41" i="13"/>
  <c r="V44" i="13"/>
  <c r="AA44" i="13"/>
  <c r="W47" i="13"/>
  <c r="AG47" i="13"/>
  <c r="AL47" i="13"/>
  <c r="U53" i="13"/>
  <c r="AE53" i="13"/>
  <c r="AJ53" i="13"/>
  <c r="V56" i="13"/>
  <c r="W59" i="13"/>
  <c r="AG59" i="13"/>
  <c r="AL59" i="13"/>
  <c r="U65" i="13"/>
  <c r="U71" i="13"/>
  <c r="U74" i="13"/>
  <c r="W8" i="13"/>
  <c r="AB8" i="13"/>
  <c r="AG8" i="13"/>
  <c r="BF8" i="13"/>
  <c r="U14" i="13"/>
  <c r="Z14" i="13"/>
  <c r="AE14" i="13"/>
  <c r="AJ14" i="13"/>
  <c r="AY14" i="13"/>
  <c r="BD14" i="13"/>
  <c r="AA17" i="13"/>
  <c r="AP17" i="13"/>
  <c r="BE17" i="13"/>
  <c r="AB20" i="13"/>
  <c r="AG20" i="13"/>
  <c r="BF20" i="13"/>
  <c r="AC23" i="13"/>
  <c r="AR23" i="13"/>
  <c r="Z26" i="13"/>
  <c r="AE26" i="13"/>
  <c r="AO26" i="13"/>
  <c r="AA29" i="13"/>
  <c r="W32" i="13"/>
  <c r="AB32" i="13"/>
  <c r="AG32" i="13"/>
  <c r="AL32" i="13"/>
  <c r="AQ32" i="13"/>
  <c r="BA32" i="13"/>
  <c r="BF32" i="13"/>
  <c r="U38" i="13"/>
  <c r="Z38" i="13"/>
  <c r="AE38" i="13"/>
  <c r="AO38" i="13"/>
  <c r="AY38" i="13"/>
  <c r="BD38" i="13"/>
  <c r="AA41" i="13"/>
  <c r="AB44" i="13"/>
  <c r="AG44" i="13"/>
  <c r="BF44" i="13"/>
  <c r="X47" i="13"/>
  <c r="AM47" i="13"/>
  <c r="U50" i="13"/>
  <c r="AE50" i="13"/>
  <c r="AG56" i="13"/>
  <c r="AL56" i="13"/>
  <c r="X59" i="13"/>
  <c r="U62" i="13"/>
  <c r="W5" i="13"/>
  <c r="AB5" i="13"/>
  <c r="AG5" i="13"/>
  <c r="BF5" i="13"/>
  <c r="U11" i="13"/>
  <c r="Z11" i="13"/>
  <c r="AB17" i="13"/>
  <c r="AG17" i="13"/>
  <c r="AQ17" i="13"/>
  <c r="BF17" i="13"/>
  <c r="Z23" i="13"/>
  <c r="AE23" i="13"/>
  <c r="AO23" i="13"/>
  <c r="BD23" i="13"/>
  <c r="AB29" i="13"/>
  <c r="AG29" i="13"/>
  <c r="AQ29" i="13"/>
  <c r="BF29" i="13"/>
  <c r="AC32" i="13"/>
  <c r="AR32" i="13"/>
  <c r="BB32" i="13"/>
  <c r="U35" i="13"/>
  <c r="Z35" i="13"/>
  <c r="AE35" i="13"/>
  <c r="AJ35" i="13"/>
  <c r="BD35" i="13"/>
  <c r="W41" i="13"/>
  <c r="AB41" i="13"/>
  <c r="AG41" i="13"/>
  <c r="AQ41" i="13"/>
  <c r="U47" i="13"/>
  <c r="AE47" i="13"/>
  <c r="AJ47" i="13"/>
  <c r="W53" i="13"/>
  <c r="AG53" i="13"/>
  <c r="X56" i="13"/>
  <c r="U59" i="13"/>
  <c r="W71" i="13"/>
  <c r="W2" i="13"/>
  <c r="AG2" i="13"/>
  <c r="U8" i="13"/>
  <c r="Z8" i="13"/>
  <c r="AE8" i="13"/>
  <c r="BD8" i="13"/>
  <c r="AB26" i="13"/>
  <c r="AG26" i="13"/>
  <c r="BD32" i="13"/>
  <c r="AB38" i="13"/>
  <c r="AG38" i="13"/>
  <c r="Z44" i="13"/>
  <c r="W50" i="13"/>
  <c r="AM74" i="12" l="1"/>
  <c r="AK74" i="12"/>
  <c r="X74" i="12"/>
  <c r="AM71" i="12"/>
  <c r="AL71" i="12"/>
  <c r="AK71" i="12"/>
  <c r="AJ71" i="12"/>
  <c r="X71" i="12"/>
  <c r="W71" i="12"/>
  <c r="V71" i="12"/>
  <c r="U71" i="12"/>
  <c r="AM68" i="12"/>
  <c r="AL68" i="12"/>
  <c r="AK68" i="12"/>
  <c r="AJ68" i="12"/>
  <c r="W68" i="12"/>
  <c r="V68" i="12"/>
  <c r="AM65" i="12"/>
  <c r="AL65" i="12"/>
  <c r="AK65" i="12"/>
  <c r="AJ65" i="12"/>
  <c r="X65" i="12"/>
  <c r="V65" i="12"/>
  <c r="AM62" i="12"/>
  <c r="AK62" i="12"/>
  <c r="AW59" i="12"/>
  <c r="AU59" i="12"/>
  <c r="AH59" i="12"/>
  <c r="AF59" i="12"/>
  <c r="BB26" i="12"/>
  <c r="AW56" i="12"/>
  <c r="AV56" i="12"/>
  <c r="AU56" i="12"/>
  <c r="AT56" i="12"/>
  <c r="AL56" i="12"/>
  <c r="AK56" i="12"/>
  <c r="AH56" i="12"/>
  <c r="AG56" i="12"/>
  <c r="AF56" i="12"/>
  <c r="AE56" i="12"/>
  <c r="W56" i="12"/>
  <c r="AM53" i="12"/>
  <c r="AW53" i="12"/>
  <c r="AV53" i="12"/>
  <c r="AU53" i="12"/>
  <c r="AT53" i="12"/>
  <c r="AL53" i="12"/>
  <c r="AK53" i="12"/>
  <c r="AJ53" i="12"/>
  <c r="AH53" i="12"/>
  <c r="AG53" i="12"/>
  <c r="AF53" i="12"/>
  <c r="AE53" i="12"/>
  <c r="X53" i="12"/>
  <c r="W53" i="12"/>
  <c r="V53" i="12"/>
  <c r="U53" i="12"/>
  <c r="AO41" i="12"/>
  <c r="AW50" i="12"/>
  <c r="AV50" i="12"/>
  <c r="AU50" i="12"/>
  <c r="AT50" i="12"/>
  <c r="AM50" i="12"/>
  <c r="AL50" i="12"/>
  <c r="AK50" i="12"/>
  <c r="AJ50" i="12"/>
  <c r="AH50" i="12"/>
  <c r="AG50" i="12"/>
  <c r="AF50" i="12"/>
  <c r="AE50" i="12"/>
  <c r="W50" i="12"/>
  <c r="V50" i="12"/>
  <c r="AW47" i="12"/>
  <c r="AU47" i="12"/>
  <c r="AH47" i="12"/>
  <c r="AF47" i="12"/>
  <c r="BG44" i="12"/>
  <c r="BF44" i="12"/>
  <c r="BE44" i="12"/>
  <c r="BB44" i="12"/>
  <c r="AZ44" i="12"/>
  <c r="AW44" i="12"/>
  <c r="AV44" i="12"/>
  <c r="AU44" i="12"/>
  <c r="AR44" i="12"/>
  <c r="AQ44" i="12"/>
  <c r="AH44" i="12"/>
  <c r="AG44" i="12"/>
  <c r="AF44" i="12"/>
  <c r="AC44" i="12"/>
  <c r="AB44" i="12"/>
  <c r="BB38" i="12"/>
  <c r="AJ56" i="12"/>
  <c r="BG41" i="12"/>
  <c r="BF41" i="12"/>
  <c r="BE41" i="12"/>
  <c r="BD41" i="12"/>
  <c r="BB41" i="12"/>
  <c r="AZ41" i="12"/>
  <c r="AW41" i="12"/>
  <c r="AV41" i="12"/>
  <c r="AU41" i="12"/>
  <c r="AT41" i="12"/>
  <c r="AR41" i="12"/>
  <c r="AP41" i="12"/>
  <c r="AK41" i="12"/>
  <c r="AH41" i="12"/>
  <c r="AG41" i="12"/>
  <c r="AF41" i="12"/>
  <c r="AE41" i="12"/>
  <c r="AC41" i="12"/>
  <c r="AB41" i="12"/>
  <c r="AA41" i="12"/>
  <c r="V41" i="12"/>
  <c r="AM44" i="12"/>
  <c r="BG38" i="12"/>
  <c r="BF38" i="12"/>
  <c r="BE38" i="12"/>
  <c r="BD38" i="12"/>
  <c r="AZ38" i="12"/>
  <c r="AW38" i="12"/>
  <c r="AV38" i="12"/>
  <c r="AU38" i="12"/>
  <c r="AT38" i="12"/>
  <c r="AQ38" i="12"/>
  <c r="AP38" i="12"/>
  <c r="AK38" i="12"/>
  <c r="AH38" i="12"/>
  <c r="AG38" i="12"/>
  <c r="AF38" i="12"/>
  <c r="AE38" i="12"/>
  <c r="AB38" i="12"/>
  <c r="AA38" i="12"/>
  <c r="V38" i="12"/>
  <c r="BA44" i="12"/>
  <c r="BG35" i="12"/>
  <c r="BF35" i="12"/>
  <c r="BE35" i="12"/>
  <c r="BD35" i="12"/>
  <c r="BA35" i="12"/>
  <c r="AZ35" i="12"/>
  <c r="AW35" i="12"/>
  <c r="AV35" i="12"/>
  <c r="AU35" i="12"/>
  <c r="AT35" i="12"/>
  <c r="AR35" i="12"/>
  <c r="AQ35" i="12"/>
  <c r="AP35" i="12"/>
  <c r="AO35" i="12"/>
  <c r="AL35" i="12"/>
  <c r="AK35" i="12"/>
  <c r="AH35" i="12"/>
  <c r="AG35" i="12"/>
  <c r="AF35" i="12"/>
  <c r="AE35" i="12"/>
  <c r="AC35" i="12"/>
  <c r="AB35" i="12"/>
  <c r="AA35" i="12"/>
  <c r="Z35" i="12"/>
  <c r="W35" i="12"/>
  <c r="V35" i="12"/>
  <c r="BB35" i="12"/>
  <c r="BG32" i="12"/>
  <c r="BF32" i="12"/>
  <c r="BE32" i="12"/>
  <c r="AZ32" i="12"/>
  <c r="AW32" i="12"/>
  <c r="AV32" i="12"/>
  <c r="AU32" i="12"/>
  <c r="AQ32" i="12"/>
  <c r="AH32" i="12"/>
  <c r="AG32" i="12"/>
  <c r="AF32" i="12"/>
  <c r="AB32" i="12"/>
  <c r="AO38" i="12"/>
  <c r="BG29" i="12"/>
  <c r="BF29" i="12"/>
  <c r="BE29" i="12"/>
  <c r="AW29" i="12"/>
  <c r="AV29" i="12"/>
  <c r="AU29" i="12"/>
  <c r="AR29" i="12"/>
  <c r="AM29" i="12"/>
  <c r="AL29" i="12"/>
  <c r="AK29" i="12"/>
  <c r="AJ29" i="12"/>
  <c r="AH29" i="12"/>
  <c r="AG29" i="12"/>
  <c r="AF29" i="12"/>
  <c r="AC29" i="12"/>
  <c r="X29" i="12"/>
  <c r="W29" i="12"/>
  <c r="V29" i="12"/>
  <c r="U29" i="12"/>
  <c r="BA32" i="12"/>
  <c r="BG26" i="12"/>
  <c r="BF26" i="12"/>
  <c r="BE26" i="12"/>
  <c r="BD26" i="12"/>
  <c r="AZ26" i="12"/>
  <c r="AY26" i="12"/>
  <c r="AW26" i="12"/>
  <c r="AV26" i="12"/>
  <c r="AU26" i="12"/>
  <c r="AT26" i="12"/>
  <c r="AR26" i="12"/>
  <c r="AQ26" i="12"/>
  <c r="AP26" i="12"/>
  <c r="AO26" i="12"/>
  <c r="AM26" i="12"/>
  <c r="AL26" i="12"/>
  <c r="AK26" i="12"/>
  <c r="AJ26" i="12"/>
  <c r="AH26" i="12"/>
  <c r="AG26" i="12"/>
  <c r="AF26" i="12"/>
  <c r="AE26" i="12"/>
  <c r="AC26" i="12"/>
  <c r="X26" i="12"/>
  <c r="W26" i="12"/>
  <c r="V26" i="12"/>
  <c r="U26" i="12"/>
  <c r="AJ74" i="12"/>
  <c r="AK44" i="12"/>
  <c r="BG23" i="12"/>
  <c r="BF23" i="12"/>
  <c r="BE23" i="12"/>
  <c r="BD23" i="12"/>
  <c r="BB23" i="12"/>
  <c r="BA23" i="12"/>
  <c r="AZ23" i="12"/>
  <c r="AY23" i="12"/>
  <c r="AW23" i="12"/>
  <c r="AV23" i="12"/>
  <c r="AU23" i="12"/>
  <c r="AT23" i="12"/>
  <c r="AR23" i="12"/>
  <c r="AQ23" i="12"/>
  <c r="AP23" i="12"/>
  <c r="AM23" i="12"/>
  <c r="AL23" i="12"/>
  <c r="AK23" i="12"/>
  <c r="AJ23" i="12"/>
  <c r="AH23" i="12"/>
  <c r="AG23" i="12"/>
  <c r="AF23" i="12"/>
  <c r="AE23" i="12"/>
  <c r="AC23" i="12"/>
  <c r="AA23" i="12"/>
  <c r="X23" i="12"/>
  <c r="W23" i="12"/>
  <c r="V23" i="12"/>
  <c r="U23" i="12"/>
  <c r="BD17" i="12"/>
  <c r="AY41" i="12"/>
  <c r="BG20" i="12"/>
  <c r="BF20" i="12"/>
  <c r="BE20" i="12"/>
  <c r="BD20" i="12"/>
  <c r="BB20" i="12"/>
  <c r="BA20" i="12"/>
  <c r="AZ20" i="12"/>
  <c r="AY20" i="12"/>
  <c r="AW20" i="12"/>
  <c r="AV20" i="12"/>
  <c r="AU20" i="12"/>
  <c r="AT20" i="12"/>
  <c r="AR20" i="12"/>
  <c r="AQ20" i="12"/>
  <c r="AP20" i="12"/>
  <c r="AO20" i="12"/>
  <c r="AM20" i="12"/>
  <c r="AL20" i="12"/>
  <c r="AK20" i="12"/>
  <c r="AJ20" i="12"/>
  <c r="AH20" i="12"/>
  <c r="AG20" i="12"/>
  <c r="AF20" i="12"/>
  <c r="AE20" i="12"/>
  <c r="AB20" i="12"/>
  <c r="AA20" i="12"/>
  <c r="X20" i="12"/>
  <c r="W20" i="12"/>
  <c r="V20" i="12"/>
  <c r="U20" i="12"/>
  <c r="AL59" i="12"/>
  <c r="AJ41" i="12"/>
  <c r="BD29" i="12"/>
  <c r="BG17" i="12"/>
  <c r="BF17" i="12"/>
  <c r="BE17" i="12"/>
  <c r="AZ17" i="12"/>
  <c r="AW17" i="12"/>
  <c r="AV17" i="12"/>
  <c r="AU17" i="12"/>
  <c r="AT17" i="12"/>
  <c r="AQ17" i="12"/>
  <c r="AP17" i="12"/>
  <c r="AM17" i="12"/>
  <c r="AL17" i="12"/>
  <c r="AK17" i="12"/>
  <c r="AJ17" i="12"/>
  <c r="AH17" i="12"/>
  <c r="AG17" i="12"/>
  <c r="AF17" i="12"/>
  <c r="AE17" i="12"/>
  <c r="X17" i="12"/>
  <c r="W17" i="12"/>
  <c r="V17" i="12"/>
  <c r="U17" i="12"/>
  <c r="AZ29" i="12"/>
  <c r="BD44" i="12"/>
  <c r="BG14" i="12"/>
  <c r="BF14" i="12"/>
  <c r="BE14" i="12"/>
  <c r="BD14" i="12"/>
  <c r="BB14" i="12"/>
  <c r="AZ14" i="12"/>
  <c r="AY14" i="12"/>
  <c r="AW14" i="12"/>
  <c r="AV14" i="12"/>
  <c r="AU14" i="12"/>
  <c r="AT14" i="12"/>
  <c r="AR14" i="12"/>
  <c r="AQ14" i="12"/>
  <c r="AP14" i="12"/>
  <c r="AO14" i="12"/>
  <c r="AK14" i="12"/>
  <c r="AJ14" i="12"/>
  <c r="AH14" i="12"/>
  <c r="AG14" i="12"/>
  <c r="AF14" i="12"/>
  <c r="AE14" i="12"/>
  <c r="AC14" i="12"/>
  <c r="AB14" i="12"/>
  <c r="AA14" i="12"/>
  <c r="Z14" i="12"/>
  <c r="U14" i="12"/>
  <c r="AY38" i="12"/>
  <c r="AM59" i="12"/>
  <c r="AL44" i="12"/>
  <c r="BG11" i="12"/>
  <c r="BF11" i="12"/>
  <c r="BE11" i="12"/>
  <c r="BD11" i="12"/>
  <c r="BB11" i="12"/>
  <c r="AZ11" i="12"/>
  <c r="AW11" i="12"/>
  <c r="AV11" i="12"/>
  <c r="AU11" i="12"/>
  <c r="AT11" i="12"/>
  <c r="AR11" i="12"/>
  <c r="AQ11" i="12"/>
  <c r="AP11" i="12"/>
  <c r="AO11" i="12"/>
  <c r="AM11" i="12"/>
  <c r="AK11" i="12"/>
  <c r="AH11" i="12"/>
  <c r="AG11" i="12"/>
  <c r="AF11" i="12"/>
  <c r="AE11" i="12"/>
  <c r="AC11" i="12"/>
  <c r="AB11" i="12"/>
  <c r="AA11" i="12"/>
  <c r="Z11" i="12"/>
  <c r="X11" i="12"/>
  <c r="U41" i="12"/>
  <c r="U74" i="12"/>
  <c r="U65" i="12"/>
  <c r="BG8" i="12"/>
  <c r="BF8" i="12"/>
  <c r="BE8" i="12"/>
  <c r="BD8" i="12"/>
  <c r="BB8" i="12"/>
  <c r="BA8" i="12"/>
  <c r="AZ8" i="12"/>
  <c r="AW8" i="12"/>
  <c r="AV8" i="12"/>
  <c r="AU8" i="12"/>
  <c r="AT8" i="12"/>
  <c r="AR8" i="12"/>
  <c r="AQ8" i="12"/>
  <c r="AP8" i="12"/>
  <c r="AO8" i="12"/>
  <c r="AM8" i="12"/>
  <c r="AL8" i="12"/>
  <c r="AK8" i="12"/>
  <c r="AJ8" i="12"/>
  <c r="AH8" i="12"/>
  <c r="AG8" i="12"/>
  <c r="AF8" i="12"/>
  <c r="AE8" i="12"/>
  <c r="AC8" i="12"/>
  <c r="AB8" i="12"/>
  <c r="AA8" i="12"/>
  <c r="Z8" i="12"/>
  <c r="X8" i="12"/>
  <c r="V8" i="12"/>
  <c r="AA29" i="12"/>
  <c r="U38" i="12"/>
  <c r="W59" i="12"/>
  <c r="BG5" i="12"/>
  <c r="BF5" i="12"/>
  <c r="BE5" i="12"/>
  <c r="BD5" i="12"/>
  <c r="BB5" i="12"/>
  <c r="BA5" i="12"/>
  <c r="AZ5" i="12"/>
  <c r="AY5" i="12"/>
  <c r="AW5" i="12"/>
  <c r="AV5" i="12"/>
  <c r="AU5" i="12"/>
  <c r="AT5" i="12"/>
  <c r="AR5" i="12"/>
  <c r="AQ5" i="12"/>
  <c r="AP5" i="12"/>
  <c r="AO5" i="12"/>
  <c r="AM5" i="12"/>
  <c r="AL5" i="12"/>
  <c r="AK5" i="12"/>
  <c r="AJ5" i="12"/>
  <c r="AH5" i="12"/>
  <c r="AG5" i="12"/>
  <c r="AF5" i="12"/>
  <c r="AE5" i="12"/>
  <c r="AC5" i="12"/>
  <c r="AB5" i="12"/>
  <c r="AA5" i="12"/>
  <c r="Z5" i="12"/>
  <c r="W5" i="12"/>
  <c r="V5" i="12"/>
  <c r="X35" i="12"/>
  <c r="U50" i="12"/>
  <c r="Z26" i="12"/>
  <c r="BG2" i="12"/>
  <c r="BF2" i="12"/>
  <c r="BE2" i="12"/>
  <c r="BD2" i="12"/>
  <c r="BB2" i="12"/>
  <c r="AZ2" i="12"/>
  <c r="AY2" i="12"/>
  <c r="AW2" i="12"/>
  <c r="AV2" i="12"/>
  <c r="AU2" i="12"/>
  <c r="AT2" i="12"/>
  <c r="AR2" i="12"/>
  <c r="AQ2" i="12"/>
  <c r="AP2" i="12"/>
  <c r="AO2" i="12"/>
  <c r="AM2" i="12"/>
  <c r="AK2" i="12"/>
  <c r="AJ2" i="12"/>
  <c r="AH2" i="12"/>
  <c r="AG2" i="12"/>
  <c r="AF2" i="12"/>
  <c r="AE2" i="12"/>
  <c r="AC2" i="12"/>
  <c r="AB2" i="12"/>
  <c r="AA2" i="12"/>
  <c r="Z2" i="12"/>
  <c r="U2" i="12"/>
  <c r="U62" i="12"/>
  <c r="V2" i="12" l="1"/>
  <c r="V14" i="12"/>
  <c r="AB17" i="12"/>
  <c r="BA17" i="12"/>
  <c r="AC20" i="12"/>
  <c r="Z23" i="12"/>
  <c r="AO23" i="12"/>
  <c r="AA26" i="12"/>
  <c r="AB29" i="12"/>
  <c r="AQ29" i="12"/>
  <c r="BA29" i="12"/>
  <c r="X32" i="12"/>
  <c r="AC32" i="12"/>
  <c r="AM32" i="12"/>
  <c r="AR32" i="12"/>
  <c r="BB32" i="12"/>
  <c r="U35" i="12"/>
  <c r="AJ35" i="12"/>
  <c r="AY35" i="12"/>
  <c r="W41" i="12"/>
  <c r="AL41" i="12"/>
  <c r="AQ41" i="12"/>
  <c r="BA41" i="12"/>
  <c r="X44" i="12"/>
  <c r="U47" i="12"/>
  <c r="AE47" i="12"/>
  <c r="AJ47" i="12"/>
  <c r="AT47" i="12"/>
  <c r="X56" i="12"/>
  <c r="AM56" i="12"/>
  <c r="U59" i="12"/>
  <c r="AE59" i="12"/>
  <c r="AJ59" i="12"/>
  <c r="AT59" i="12"/>
  <c r="V62" i="12"/>
  <c r="W65" i="12"/>
  <c r="X68" i="12"/>
  <c r="V74" i="12"/>
  <c r="W8" i="12"/>
  <c r="AJ11" i="12"/>
  <c r="W2" i="12"/>
  <c r="AL2" i="12"/>
  <c r="X5" i="12"/>
  <c r="U8" i="12"/>
  <c r="AY8" i="12"/>
  <c r="V11" i="12"/>
  <c r="W14" i="12"/>
  <c r="AL14" i="12"/>
  <c r="BA14" i="12"/>
  <c r="AC17" i="12"/>
  <c r="AR17" i="12"/>
  <c r="BB17" i="12"/>
  <c r="Z20" i="12"/>
  <c r="AB26" i="12"/>
  <c r="BA26" i="12"/>
  <c r="BB29" i="12"/>
  <c r="U32" i="12"/>
  <c r="Z32" i="12"/>
  <c r="AE32" i="12"/>
  <c r="AJ32" i="12"/>
  <c r="AO32" i="12"/>
  <c r="AT32" i="12"/>
  <c r="AY32" i="12"/>
  <c r="BD32" i="12"/>
  <c r="W38" i="12"/>
  <c r="AL38" i="12"/>
  <c r="BA38" i="12"/>
  <c r="X41" i="12"/>
  <c r="AM41" i="12"/>
  <c r="U44" i="12"/>
  <c r="Z44" i="12"/>
  <c r="AE44" i="12"/>
  <c r="AJ44" i="12"/>
  <c r="AO44" i="12"/>
  <c r="AT44" i="12"/>
  <c r="AY44" i="12"/>
  <c r="V47" i="12"/>
  <c r="AK47" i="12"/>
  <c r="U56" i="12"/>
  <c r="V59" i="12"/>
  <c r="AK59" i="12"/>
  <c r="W62" i="12"/>
  <c r="AL62" i="12"/>
  <c r="U68" i="12"/>
  <c r="W74" i="12"/>
  <c r="AL74" i="12"/>
  <c r="AA17" i="12"/>
  <c r="U11" i="12"/>
  <c r="AY11" i="12"/>
  <c r="BA2" i="12"/>
  <c r="X2" i="12"/>
  <c r="U5" i="12"/>
  <c r="W11" i="12"/>
  <c r="AL11" i="12"/>
  <c r="BA11" i="12"/>
  <c r="X14" i="12"/>
  <c r="AM14" i="12"/>
  <c r="Z17" i="12"/>
  <c r="AO17" i="12"/>
  <c r="AY17" i="12"/>
  <c r="AB23" i="12"/>
  <c r="Z29" i="12"/>
  <c r="AE29" i="12"/>
  <c r="AO29" i="12"/>
  <c r="AT29" i="12"/>
  <c r="AY29" i="12"/>
  <c r="V32" i="12"/>
  <c r="AA32" i="12"/>
  <c r="AK32" i="12"/>
  <c r="AP32" i="12"/>
  <c r="X38" i="12"/>
  <c r="AC38" i="12"/>
  <c r="AM38" i="12"/>
  <c r="AR38" i="12"/>
  <c r="Z41" i="12"/>
  <c r="V44" i="12"/>
  <c r="AA44" i="12"/>
  <c r="AP44" i="12"/>
  <c r="W47" i="12"/>
  <c r="AG47" i="12"/>
  <c r="AL47" i="12"/>
  <c r="AV47" i="12"/>
  <c r="X50" i="12"/>
  <c r="V56" i="12"/>
  <c r="AG59" i="12"/>
  <c r="AV59" i="12"/>
  <c r="X62" i="12"/>
  <c r="AP29" i="12"/>
  <c r="W32" i="12"/>
  <c r="AL32" i="12"/>
  <c r="AM35" i="12"/>
  <c r="Z38" i="12"/>
  <c r="AJ38" i="12"/>
  <c r="W44" i="12"/>
  <c r="X47" i="12"/>
  <c r="AM47" i="12"/>
  <c r="X59" i="12"/>
  <c r="AJ62" i="12"/>
  <c r="S726" i="3" l="1"/>
  <c r="S725" i="3"/>
  <c r="S724" i="3"/>
  <c r="S723" i="3"/>
  <c r="S728" i="3"/>
  <c r="S722" i="3"/>
  <c r="S711" i="5"/>
  <c r="S710" i="5"/>
  <c r="AM74" i="11" l="1"/>
  <c r="AK74" i="11"/>
  <c r="X74" i="11"/>
  <c r="V74" i="11"/>
  <c r="AM71" i="11"/>
  <c r="AL71" i="11"/>
  <c r="AK71" i="11"/>
  <c r="AJ71" i="11"/>
  <c r="X71" i="11"/>
  <c r="W71" i="11"/>
  <c r="V71" i="11"/>
  <c r="U71" i="11"/>
  <c r="AM68" i="11"/>
  <c r="AK68" i="11"/>
  <c r="X68" i="11"/>
  <c r="V68" i="11"/>
  <c r="AK65" i="11"/>
  <c r="V65" i="11"/>
  <c r="AK62" i="11"/>
  <c r="V62" i="11"/>
  <c r="AW59" i="11"/>
  <c r="AU59" i="11"/>
  <c r="AM59" i="11"/>
  <c r="AL59" i="11"/>
  <c r="AK59" i="11"/>
  <c r="AJ59" i="11"/>
  <c r="AH59" i="11"/>
  <c r="AF59" i="11"/>
  <c r="X59" i="11"/>
  <c r="W59" i="11"/>
  <c r="V59" i="11"/>
  <c r="U59" i="11"/>
  <c r="AW56" i="11"/>
  <c r="AV56" i="11"/>
  <c r="AU56" i="11"/>
  <c r="AT56" i="11"/>
  <c r="AM56" i="11"/>
  <c r="AL56" i="11"/>
  <c r="AK56" i="11"/>
  <c r="AJ56" i="11"/>
  <c r="AH56" i="11"/>
  <c r="AG56" i="11"/>
  <c r="AF56" i="11"/>
  <c r="AE56" i="11"/>
  <c r="X56" i="11"/>
  <c r="W56" i="11"/>
  <c r="V56" i="11"/>
  <c r="U56" i="11"/>
  <c r="AW53" i="11"/>
  <c r="AV53" i="11"/>
  <c r="AU53" i="11"/>
  <c r="AT53" i="11"/>
  <c r="AM53" i="11"/>
  <c r="AL53" i="11"/>
  <c r="AK53" i="11"/>
  <c r="AJ53" i="11"/>
  <c r="AH53" i="11"/>
  <c r="AG53" i="11"/>
  <c r="AF53" i="11"/>
  <c r="AE53" i="11"/>
  <c r="X53" i="11"/>
  <c r="W53" i="11"/>
  <c r="V53" i="11"/>
  <c r="U53" i="11"/>
  <c r="AU50" i="11"/>
  <c r="AK50" i="11"/>
  <c r="AF50" i="11"/>
  <c r="V50" i="11"/>
  <c r="AU47" i="11"/>
  <c r="AK47" i="11"/>
  <c r="AF47" i="11"/>
  <c r="V47" i="11"/>
  <c r="BG44" i="11"/>
  <c r="BF44" i="11"/>
  <c r="BE44" i="11"/>
  <c r="BD44" i="11"/>
  <c r="BB44" i="11"/>
  <c r="BA44" i="11"/>
  <c r="AZ44" i="11"/>
  <c r="AY44" i="11"/>
  <c r="AW44" i="11"/>
  <c r="AV44" i="11"/>
  <c r="AU44" i="11"/>
  <c r="AT44" i="11"/>
  <c r="AR44" i="11"/>
  <c r="AQ44" i="11"/>
  <c r="AP44" i="11"/>
  <c r="AO44" i="11"/>
  <c r="AM44" i="11"/>
  <c r="AL44" i="11"/>
  <c r="AK44" i="11"/>
  <c r="AJ44" i="11"/>
  <c r="AH44" i="11"/>
  <c r="AG44" i="11"/>
  <c r="AF44" i="11"/>
  <c r="AE44" i="11"/>
  <c r="AC44" i="11"/>
  <c r="AB44" i="11"/>
  <c r="AA44" i="11"/>
  <c r="Z44" i="11"/>
  <c r="X44" i="11"/>
  <c r="W44" i="11"/>
  <c r="V44" i="11"/>
  <c r="U44" i="11"/>
  <c r="BG41" i="11"/>
  <c r="BF41" i="11"/>
  <c r="BE41" i="11"/>
  <c r="BD41" i="11"/>
  <c r="BB41" i="11"/>
  <c r="BA41" i="11"/>
  <c r="AZ41" i="11"/>
  <c r="AY41" i="11"/>
  <c r="AW41" i="11"/>
  <c r="AV41" i="11"/>
  <c r="AU41" i="11"/>
  <c r="AT41" i="11"/>
  <c r="AR41" i="11"/>
  <c r="AQ41" i="11"/>
  <c r="AP41" i="11"/>
  <c r="AO41" i="11"/>
  <c r="AM41" i="11"/>
  <c r="AL41" i="11"/>
  <c r="AK41" i="11"/>
  <c r="AJ41" i="11"/>
  <c r="AH41" i="11"/>
  <c r="AG41" i="11"/>
  <c r="AF41" i="11"/>
  <c r="AE41" i="11"/>
  <c r="AC41" i="11"/>
  <c r="AB41" i="11"/>
  <c r="AA41" i="11"/>
  <c r="Z41" i="11"/>
  <c r="X41" i="11"/>
  <c r="W41" i="11"/>
  <c r="V41" i="11"/>
  <c r="U41" i="11"/>
  <c r="BG38" i="11"/>
  <c r="BF38" i="11"/>
  <c r="BE38" i="11"/>
  <c r="BD38" i="11"/>
  <c r="BB38" i="11"/>
  <c r="AW38" i="11"/>
  <c r="AV38" i="11"/>
  <c r="AU38" i="11"/>
  <c r="AT38" i="11"/>
  <c r="AR38" i="11"/>
  <c r="AQ38" i="11"/>
  <c r="AP38" i="11"/>
  <c r="AO38" i="11"/>
  <c r="AM38" i="11"/>
  <c r="AH38" i="11"/>
  <c r="AG38" i="11"/>
  <c r="AF38" i="11"/>
  <c r="AE38" i="11"/>
  <c r="AC38" i="11"/>
  <c r="AB38" i="11"/>
  <c r="AA38" i="11"/>
  <c r="Z38" i="11"/>
  <c r="X38" i="11"/>
  <c r="BG35" i="11"/>
  <c r="BF35" i="11"/>
  <c r="BE35" i="11"/>
  <c r="BD35" i="11"/>
  <c r="AV35" i="11"/>
  <c r="AU35" i="11"/>
  <c r="AG35" i="11"/>
  <c r="AF35" i="11"/>
  <c r="BG32" i="11"/>
  <c r="BF32" i="11"/>
  <c r="BE32" i="11"/>
  <c r="BD32" i="11"/>
  <c r="AV32" i="11"/>
  <c r="AU32" i="11"/>
  <c r="AG32" i="11"/>
  <c r="AF32" i="11"/>
  <c r="BG29" i="11"/>
  <c r="BF29" i="11"/>
  <c r="BE29" i="11"/>
  <c r="BD29" i="11"/>
  <c r="BB29" i="11"/>
  <c r="AZ29" i="11"/>
  <c r="AW29" i="11"/>
  <c r="AV29" i="11"/>
  <c r="AU29" i="11"/>
  <c r="AT29" i="11"/>
  <c r="AR29" i="11"/>
  <c r="AQ29" i="11"/>
  <c r="AP29" i="11"/>
  <c r="AO29" i="11"/>
  <c r="AM29" i="11"/>
  <c r="AL29" i="11"/>
  <c r="AK29" i="11"/>
  <c r="AJ29" i="11"/>
  <c r="AH29" i="11"/>
  <c r="AG29" i="11"/>
  <c r="AF29" i="11"/>
  <c r="AE29" i="11"/>
  <c r="AC29" i="11"/>
  <c r="AB29" i="11"/>
  <c r="AA29" i="11"/>
  <c r="Z29" i="11"/>
  <c r="X29" i="11"/>
  <c r="W29" i="11"/>
  <c r="V29" i="11"/>
  <c r="U29" i="11"/>
  <c r="BG26" i="11"/>
  <c r="BF26" i="11"/>
  <c r="BE26" i="11"/>
  <c r="BD26" i="11"/>
  <c r="BB26" i="11"/>
  <c r="BA26" i="11"/>
  <c r="AZ26" i="11"/>
  <c r="AY26" i="11"/>
  <c r="AW26" i="11"/>
  <c r="AV26" i="11"/>
  <c r="AU26" i="11"/>
  <c r="AT26" i="11"/>
  <c r="AR26" i="11"/>
  <c r="AQ26" i="11"/>
  <c r="AP26" i="11"/>
  <c r="AO26" i="11"/>
  <c r="AM26" i="11"/>
  <c r="AL26" i="11"/>
  <c r="AK26" i="11"/>
  <c r="AJ26" i="11"/>
  <c r="AH26" i="11"/>
  <c r="AG26" i="11"/>
  <c r="AF26" i="11"/>
  <c r="AE26" i="11"/>
  <c r="AC26" i="11"/>
  <c r="AB26" i="11"/>
  <c r="AA26" i="11"/>
  <c r="Z26" i="11"/>
  <c r="X26" i="11"/>
  <c r="W26" i="11"/>
  <c r="V26" i="11"/>
  <c r="U26" i="11"/>
  <c r="BG23" i="11"/>
  <c r="BF23" i="11"/>
  <c r="BE23" i="11"/>
  <c r="BD23" i="11"/>
  <c r="BB23" i="11"/>
  <c r="BA23" i="11"/>
  <c r="AZ23" i="11"/>
  <c r="AY23" i="11"/>
  <c r="AW23" i="11"/>
  <c r="AV23" i="11"/>
  <c r="AU23" i="11"/>
  <c r="AT23" i="11"/>
  <c r="AR23" i="11"/>
  <c r="AP23" i="11"/>
  <c r="AM23" i="11"/>
  <c r="AL23" i="11"/>
  <c r="AK23" i="11"/>
  <c r="AJ23" i="11"/>
  <c r="AH23" i="11"/>
  <c r="AG23" i="11"/>
  <c r="AF23" i="11"/>
  <c r="AE23" i="11"/>
  <c r="AC23" i="11"/>
  <c r="AA23" i="11"/>
  <c r="X23" i="11"/>
  <c r="W23" i="11"/>
  <c r="V23" i="11"/>
  <c r="U23" i="11"/>
  <c r="BG20" i="11"/>
  <c r="BF20" i="11"/>
  <c r="BE20" i="11"/>
  <c r="BD20" i="11"/>
  <c r="AZ20" i="11"/>
  <c r="AV20" i="11"/>
  <c r="AU20" i="11"/>
  <c r="AM20" i="11"/>
  <c r="AL20" i="11"/>
  <c r="AK20" i="11"/>
  <c r="AJ20" i="11"/>
  <c r="AG20" i="11"/>
  <c r="AF20" i="11"/>
  <c r="X20" i="11"/>
  <c r="W20" i="11"/>
  <c r="V20" i="11"/>
  <c r="U20" i="11"/>
  <c r="BG17" i="11"/>
  <c r="BF17" i="11"/>
  <c r="BE17" i="11"/>
  <c r="BD17" i="11"/>
  <c r="AZ17" i="11"/>
  <c r="AV17" i="11"/>
  <c r="AU17" i="11"/>
  <c r="AM17" i="11"/>
  <c r="AL17" i="11"/>
  <c r="AK17" i="11"/>
  <c r="AJ17" i="11"/>
  <c r="AG17" i="11"/>
  <c r="AF17" i="11"/>
  <c r="X17" i="11"/>
  <c r="W17" i="11"/>
  <c r="V17" i="11"/>
  <c r="U17" i="11"/>
  <c r="BG14" i="11"/>
  <c r="BF14" i="11"/>
  <c r="BE14" i="11"/>
  <c r="BD14" i="11"/>
  <c r="BB14" i="11"/>
  <c r="BA14" i="11"/>
  <c r="AZ14" i="11"/>
  <c r="AY14" i="11"/>
  <c r="AW14" i="11"/>
  <c r="AV14" i="11"/>
  <c r="AU14" i="11"/>
  <c r="AT14" i="11"/>
  <c r="AR14" i="11"/>
  <c r="AQ14" i="11"/>
  <c r="AP14" i="11"/>
  <c r="AO14" i="11"/>
  <c r="AM14" i="11"/>
  <c r="AK14" i="11"/>
  <c r="AH14" i="11"/>
  <c r="AG14" i="11"/>
  <c r="AF14" i="11"/>
  <c r="AE14" i="11"/>
  <c r="AC14" i="11"/>
  <c r="AB14" i="11"/>
  <c r="AA14" i="11"/>
  <c r="Z14" i="11"/>
  <c r="X14" i="11"/>
  <c r="V14" i="11"/>
  <c r="BG11" i="11"/>
  <c r="BF11" i="11"/>
  <c r="BE11" i="11"/>
  <c r="BD11" i="11"/>
  <c r="BB11" i="11"/>
  <c r="BA11" i="11"/>
  <c r="AZ11" i="11"/>
  <c r="AY11" i="11"/>
  <c r="AW11" i="11"/>
  <c r="AV11" i="11"/>
  <c r="AU11" i="11"/>
  <c r="AT11" i="11"/>
  <c r="AR11" i="11"/>
  <c r="AQ11" i="11"/>
  <c r="AP11" i="11"/>
  <c r="AO11" i="11"/>
  <c r="AM11" i="11"/>
  <c r="AL11" i="11"/>
  <c r="AK11" i="11"/>
  <c r="AJ11" i="11"/>
  <c r="AH11" i="11"/>
  <c r="AG11" i="11"/>
  <c r="AF11" i="11"/>
  <c r="AE11" i="11"/>
  <c r="AC11" i="11"/>
  <c r="AB11" i="11"/>
  <c r="AA11" i="11"/>
  <c r="Z11" i="11"/>
  <c r="X11" i="11"/>
  <c r="W11" i="11"/>
  <c r="V11" i="11"/>
  <c r="U11" i="11"/>
  <c r="BG8" i="11"/>
  <c r="BF8" i="11"/>
  <c r="BE8" i="11"/>
  <c r="BD8" i="11"/>
  <c r="BB8" i="11"/>
  <c r="BA8" i="11"/>
  <c r="AZ8" i="11"/>
  <c r="AY8" i="11"/>
  <c r="AW8" i="11"/>
  <c r="AV8" i="11"/>
  <c r="AU8" i="11"/>
  <c r="AT8" i="11"/>
  <c r="AR8" i="11"/>
  <c r="AQ8" i="11"/>
  <c r="AP8" i="11"/>
  <c r="AO8" i="11"/>
  <c r="AM8" i="11"/>
  <c r="AH8" i="11"/>
  <c r="AG8" i="11"/>
  <c r="AF8" i="11"/>
  <c r="AE8" i="11"/>
  <c r="AC8" i="11"/>
  <c r="AB8" i="11"/>
  <c r="AA8" i="11"/>
  <c r="Z8" i="11"/>
  <c r="X8" i="11"/>
  <c r="BG5" i="11"/>
  <c r="BF5" i="11"/>
  <c r="BE5" i="11"/>
  <c r="BD5" i="11"/>
  <c r="BB5" i="11"/>
  <c r="AZ5" i="11"/>
  <c r="AV5" i="11"/>
  <c r="AU5" i="11"/>
  <c r="AG5" i="11"/>
  <c r="AF5" i="11"/>
  <c r="BG2" i="11"/>
  <c r="BF2" i="11"/>
  <c r="BE2" i="11"/>
  <c r="BD2" i="11"/>
  <c r="BB2" i="11"/>
  <c r="AZ2" i="11"/>
  <c r="AV2" i="11"/>
  <c r="AU2" i="11"/>
  <c r="AG2" i="11"/>
  <c r="AF2" i="11"/>
  <c r="S727" i="3"/>
  <c r="R26" i="11" l="1"/>
  <c r="R25" i="11"/>
  <c r="R24" i="11" l="1"/>
  <c r="AL38" i="11" l="1"/>
  <c r="W38" i="11"/>
  <c r="R23" i="11" l="1"/>
  <c r="R22" i="11" l="1"/>
  <c r="R20" i="11" l="1"/>
  <c r="R21" i="11"/>
  <c r="R19" i="11"/>
  <c r="R18" i="11"/>
  <c r="R17" i="11"/>
  <c r="R16" i="11"/>
  <c r="R15" i="11"/>
  <c r="R14" i="11"/>
  <c r="R13" i="11"/>
  <c r="R12" i="11"/>
  <c r="R9" i="11"/>
  <c r="BA20" i="11" s="1"/>
  <c r="R10" i="11"/>
  <c r="R11" i="11"/>
  <c r="R8" i="11"/>
  <c r="R7" i="11"/>
  <c r="R6" i="11"/>
  <c r="R5" i="11"/>
  <c r="R4" i="11"/>
  <c r="R3" i="11"/>
  <c r="R2" i="11"/>
  <c r="AL35" i="11" l="1"/>
  <c r="W35" i="11"/>
  <c r="AL32" i="11"/>
  <c r="W32" i="11"/>
  <c r="AM35" i="11"/>
  <c r="X35" i="11"/>
  <c r="AM32" i="11"/>
  <c r="X32" i="11"/>
  <c r="AL65" i="11"/>
  <c r="W65" i="11"/>
  <c r="AQ20" i="11"/>
  <c r="AB20" i="11"/>
  <c r="AQ17" i="11"/>
  <c r="AB17" i="11"/>
  <c r="AJ65" i="11"/>
  <c r="U65" i="11"/>
  <c r="AQ35" i="11"/>
  <c r="AB35" i="11"/>
  <c r="AQ32" i="11"/>
  <c r="AB32" i="11"/>
  <c r="AL68" i="11"/>
  <c r="W68" i="11"/>
  <c r="BA38" i="11"/>
  <c r="AQ23" i="11"/>
  <c r="AB23" i="11"/>
  <c r="AL8" i="11"/>
  <c r="W8" i="11"/>
  <c r="AJ68" i="11"/>
  <c r="U68" i="11"/>
  <c r="AY38" i="11"/>
  <c r="AO23" i="11"/>
  <c r="Z23" i="11"/>
  <c r="AJ8" i="11"/>
  <c r="U8" i="11"/>
  <c r="AW50" i="11"/>
  <c r="AM50" i="11"/>
  <c r="AH50" i="11"/>
  <c r="X50" i="11"/>
  <c r="AW47" i="11"/>
  <c r="AM47" i="11"/>
  <c r="AH47" i="11"/>
  <c r="X47" i="11"/>
  <c r="AW35" i="11"/>
  <c r="AR35" i="11"/>
  <c r="AH35" i="11"/>
  <c r="AC35" i="11"/>
  <c r="AW32" i="11"/>
  <c r="AR32" i="11"/>
  <c r="AH32" i="11"/>
  <c r="AC32" i="11"/>
  <c r="BB20" i="11"/>
  <c r="AW20" i="11"/>
  <c r="AR20" i="11"/>
  <c r="AH20" i="11"/>
  <c r="AC20" i="11"/>
  <c r="BB17" i="11"/>
  <c r="AW17" i="11"/>
  <c r="AR17" i="11"/>
  <c r="AH17" i="11"/>
  <c r="AC17" i="11"/>
  <c r="AW5" i="11"/>
  <c r="AR5" i="11"/>
  <c r="AM5" i="11"/>
  <c r="AH5" i="11"/>
  <c r="AC5" i="11"/>
  <c r="X5" i="11"/>
  <c r="AW2" i="11"/>
  <c r="AR2" i="11"/>
  <c r="AM2" i="11"/>
  <c r="AH2" i="11"/>
  <c r="AC2" i="11"/>
  <c r="X2" i="11"/>
  <c r="AT50" i="11"/>
  <c r="AE50" i="11"/>
  <c r="AT47" i="11"/>
  <c r="AE47" i="11"/>
  <c r="AT35" i="11"/>
  <c r="AO35" i="11"/>
  <c r="AE35" i="11"/>
  <c r="Z35" i="11"/>
  <c r="AT32" i="11"/>
  <c r="AO32" i="11"/>
  <c r="AE32" i="11"/>
  <c r="Z32" i="11"/>
  <c r="AY20" i="11"/>
  <c r="AT20" i="11"/>
  <c r="AO20" i="11"/>
  <c r="AE20" i="11"/>
  <c r="Z20" i="11"/>
  <c r="AY17" i="11"/>
  <c r="AT17" i="11"/>
  <c r="AO17" i="11"/>
  <c r="AE17" i="11"/>
  <c r="Z17" i="11"/>
  <c r="AT5" i="11"/>
  <c r="AO5" i="11"/>
  <c r="AE5" i="11"/>
  <c r="Z5" i="11"/>
  <c r="AT2" i="11"/>
  <c r="AO2" i="11"/>
  <c r="AE2" i="11"/>
  <c r="Z2" i="11"/>
  <c r="BA35" i="11"/>
  <c r="BA32" i="11"/>
  <c r="AY35" i="11"/>
  <c r="AY32" i="11"/>
  <c r="AL50" i="11"/>
  <c r="W50" i="11"/>
  <c r="AL47" i="11"/>
  <c r="W47" i="11"/>
  <c r="BA5" i="11"/>
  <c r="AL5" i="11"/>
  <c r="W5" i="11"/>
  <c r="BA2" i="11"/>
  <c r="AL2" i="11"/>
  <c r="W2" i="11"/>
  <c r="AJ50" i="11"/>
  <c r="U50" i="11"/>
  <c r="AJ47" i="11"/>
  <c r="U47" i="11"/>
  <c r="AY5" i="11"/>
  <c r="AJ5" i="11"/>
  <c r="U5" i="11"/>
  <c r="AY2" i="11"/>
  <c r="AJ2" i="11"/>
  <c r="U2" i="11"/>
  <c r="AV50" i="11"/>
  <c r="AG50" i="11"/>
  <c r="AL74" i="11"/>
  <c r="W74" i="11"/>
  <c r="AL62" i="11"/>
  <c r="W62" i="11"/>
  <c r="AV59" i="11"/>
  <c r="AG59" i="11"/>
  <c r="AV47" i="11"/>
  <c r="AG47" i="11"/>
  <c r="BA29" i="11"/>
  <c r="BA17" i="11"/>
  <c r="AL14" i="11"/>
  <c r="W14" i="11"/>
  <c r="AJ74" i="11"/>
  <c r="U74" i="11"/>
  <c r="AJ62" i="11"/>
  <c r="U62" i="11"/>
  <c r="AT59" i="11"/>
  <c r="AE59" i="11"/>
  <c r="AY29" i="11"/>
  <c r="AJ14" i="11"/>
  <c r="U14" i="11"/>
  <c r="BB35" i="11"/>
  <c r="BB32" i="11"/>
  <c r="AQ5" i="11"/>
  <c r="AB5" i="11"/>
  <c r="AQ2" i="11"/>
  <c r="AB2" i="11"/>
  <c r="AZ35" i="11"/>
  <c r="AP35" i="11"/>
  <c r="AK35" i="11"/>
  <c r="AA35" i="11"/>
  <c r="V35" i="11"/>
  <c r="AZ32" i="11"/>
  <c r="AP32" i="11"/>
  <c r="AK32" i="11"/>
  <c r="AA32" i="11"/>
  <c r="V32" i="11"/>
  <c r="AP20" i="11"/>
  <c r="AA20" i="11"/>
  <c r="AP17" i="11"/>
  <c r="AA17" i="11"/>
  <c r="AP5" i="11"/>
  <c r="AK5" i="11"/>
  <c r="AA5" i="11"/>
  <c r="V5" i="11"/>
  <c r="AP2" i="11"/>
  <c r="AK2" i="11"/>
  <c r="AA2" i="11"/>
  <c r="V2" i="11"/>
  <c r="AJ35" i="11"/>
  <c r="U35" i="11"/>
  <c r="AJ32" i="11"/>
  <c r="U32" i="11"/>
  <c r="AM65" i="11"/>
  <c r="X65" i="11"/>
  <c r="AM62" i="11"/>
  <c r="X62" i="11"/>
  <c r="AZ38" i="11"/>
  <c r="AK38" i="11"/>
  <c r="V38" i="11"/>
  <c r="AK8" i="11"/>
  <c r="V8" i="11"/>
  <c r="AJ38" i="11"/>
  <c r="U38" i="11"/>
  <c r="K7" i="15"/>
  <c r="I16" i="16"/>
  <c r="D44" i="14"/>
  <c r="J3" i="15"/>
  <c r="F32" i="16"/>
  <c r="K14" i="16"/>
  <c r="K39" i="14"/>
  <c r="K44" i="16"/>
  <c r="D37" i="16"/>
  <c r="J45" i="16"/>
  <c r="E49" i="15"/>
  <c r="H16" i="14"/>
  <c r="J25" i="16"/>
  <c r="I24" i="14"/>
  <c r="B29" i="14"/>
  <c r="J26" i="15"/>
  <c r="E16" i="15"/>
  <c r="E28" i="16"/>
  <c r="I29" i="15"/>
  <c r="E7" i="14"/>
  <c r="K9" i="14"/>
  <c r="I48" i="16"/>
  <c r="J5" i="15"/>
  <c r="G42" i="16"/>
  <c r="K50" i="15"/>
  <c r="H17" i="15"/>
  <c r="B4" i="16"/>
  <c r="E33" i="14"/>
  <c r="E9" i="15"/>
  <c r="E25" i="14"/>
  <c r="H7" i="14"/>
  <c r="I26" i="16"/>
  <c r="E24" i="15"/>
  <c r="G19" i="16"/>
  <c r="K10" i="14"/>
  <c r="E2" i="15"/>
  <c r="H40" i="16"/>
  <c r="D20" i="14"/>
  <c r="C3" i="16"/>
  <c r="C16" i="14"/>
  <c r="C17" i="16"/>
  <c r="E34" i="14"/>
  <c r="D4" i="14"/>
  <c r="C33" i="16"/>
  <c r="E42" i="16"/>
  <c r="K40" i="16"/>
  <c r="C8" i="16"/>
  <c r="K46" i="16"/>
  <c r="G23" i="14"/>
  <c r="C10" i="15"/>
  <c r="F5" i="14"/>
  <c r="E9" i="16"/>
  <c r="C49" i="16"/>
  <c r="B35" i="16"/>
  <c r="E19" i="16"/>
  <c r="K38" i="15"/>
  <c r="G38" i="14"/>
  <c r="K49" i="14"/>
  <c r="J11" i="14"/>
  <c r="F37" i="15"/>
  <c r="H4" i="15"/>
  <c r="H29" i="14"/>
  <c r="E17" i="16"/>
  <c r="K7" i="16"/>
  <c r="G11" i="15"/>
  <c r="I28" i="14"/>
  <c r="C31" i="15"/>
  <c r="D11" i="16"/>
  <c r="B6" i="14"/>
  <c r="I27" i="15"/>
  <c r="J15" i="14"/>
  <c r="C34" i="15"/>
  <c r="I20" i="16"/>
  <c r="G49" i="15"/>
  <c r="F26" i="16"/>
  <c r="C45" i="16"/>
  <c r="K14" i="15"/>
  <c r="F24" i="14"/>
  <c r="I15" i="15"/>
  <c r="D26" i="15"/>
  <c r="B34" i="14"/>
  <c r="I18" i="16"/>
  <c r="H5" i="15"/>
  <c r="I29" i="14"/>
  <c r="D37" i="14"/>
  <c r="E29" i="14"/>
  <c r="H14" i="14"/>
  <c r="I8" i="15"/>
  <c r="F25" i="16"/>
  <c r="H21" i="14"/>
  <c r="G24" i="14"/>
  <c r="C28" i="14"/>
  <c r="K30" i="14"/>
  <c r="H31" i="15"/>
  <c r="H51" i="14"/>
  <c r="E16" i="16"/>
  <c r="J22" i="14"/>
  <c r="D31" i="14"/>
  <c r="K25" i="15"/>
  <c r="J37" i="15"/>
  <c r="K31" i="16"/>
  <c r="K10" i="15"/>
  <c r="I6" i="16"/>
  <c r="E14" i="15"/>
  <c r="E48" i="16"/>
  <c r="F36" i="15"/>
  <c r="B10" i="16"/>
  <c r="J36" i="14"/>
  <c r="J46" i="16"/>
  <c r="C22" i="16"/>
  <c r="G23" i="16"/>
  <c r="I30" i="14"/>
  <c r="G43" i="15"/>
  <c r="J38" i="15"/>
  <c r="K32" i="15"/>
  <c r="J42" i="15"/>
  <c r="I33" i="15"/>
  <c r="D30" i="14"/>
  <c r="D25" i="16"/>
  <c r="G40" i="16"/>
  <c r="C46" i="14"/>
  <c r="J11" i="15"/>
  <c r="B3" i="14"/>
  <c r="H32" i="15"/>
  <c r="H48" i="16"/>
  <c r="F13" i="16"/>
  <c r="K51" i="14"/>
  <c r="I35" i="16"/>
  <c r="E43" i="14"/>
  <c r="D25" i="14"/>
  <c r="G33" i="16"/>
  <c r="K20" i="14"/>
  <c r="F45" i="16"/>
  <c r="E28" i="14"/>
  <c r="H29" i="16"/>
  <c r="G6" i="15"/>
  <c r="D32" i="16"/>
  <c r="H26" i="14"/>
  <c r="C42" i="15"/>
  <c r="H36" i="14"/>
  <c r="B7" i="14"/>
  <c r="E35" i="16"/>
  <c r="F29" i="14"/>
  <c r="D49" i="14"/>
  <c r="C35" i="16"/>
  <c r="I12" i="16"/>
  <c r="G49" i="16"/>
  <c r="I51" i="15"/>
  <c r="B32" i="16"/>
  <c r="I47" i="16"/>
  <c r="J36" i="16"/>
  <c r="C2" i="15"/>
  <c r="B30" i="16"/>
  <c r="K26" i="14"/>
  <c r="C51" i="14"/>
  <c r="H8" i="16"/>
  <c r="K43" i="15"/>
  <c r="E24" i="16"/>
  <c r="H13" i="16"/>
  <c r="G30" i="16"/>
  <c r="C36" i="14"/>
  <c r="J43" i="16"/>
  <c r="D14" i="15"/>
  <c r="J39" i="16"/>
  <c r="H31" i="14"/>
  <c r="H49" i="14"/>
  <c r="K27" i="14"/>
  <c r="E31" i="14"/>
  <c r="D50" i="16"/>
  <c r="K15" i="14"/>
  <c r="F18" i="15"/>
  <c r="C36" i="15"/>
  <c r="G19" i="15"/>
  <c r="G12" i="14"/>
  <c r="G18" i="16"/>
  <c r="H10" i="16"/>
  <c r="H3" i="14"/>
  <c r="E38" i="14"/>
  <c r="J33" i="16"/>
  <c r="G7" i="16"/>
  <c r="I33" i="14"/>
  <c r="K24" i="16"/>
  <c r="H41" i="15"/>
  <c r="F34" i="14"/>
  <c r="H38" i="14"/>
  <c r="F29" i="16"/>
  <c r="G46" i="15"/>
  <c r="H6" i="16"/>
  <c r="K50" i="16"/>
  <c r="E31" i="15"/>
  <c r="B28" i="14"/>
  <c r="K9" i="15"/>
  <c r="F13" i="15"/>
  <c r="E41" i="14"/>
  <c r="F17" i="14"/>
  <c r="F39" i="14"/>
  <c r="E51" i="14"/>
  <c r="F28" i="15"/>
  <c r="C32" i="15"/>
  <c r="G16" i="16"/>
  <c r="D24" i="15"/>
  <c r="E21" i="16"/>
  <c r="D7" i="14"/>
  <c r="I38" i="14"/>
  <c r="E10" i="14"/>
  <c r="I20" i="15"/>
  <c r="C8" i="15"/>
  <c r="C15" i="15"/>
  <c r="G5" i="16"/>
  <c r="D9" i="15"/>
  <c r="G27" i="14"/>
  <c r="C23" i="16"/>
  <c r="I23" i="15"/>
  <c r="I2" i="14"/>
  <c r="K2" i="16"/>
  <c r="C6" i="16"/>
  <c r="B8" i="16"/>
  <c r="F51" i="14"/>
  <c r="H25" i="14"/>
  <c r="G16" i="15"/>
  <c r="C35" i="14"/>
  <c r="D3" i="15"/>
  <c r="J21" i="16"/>
  <c r="J28" i="15"/>
  <c r="G22" i="16"/>
  <c r="I42" i="15"/>
  <c r="D32" i="14"/>
  <c r="K16" i="14"/>
  <c r="E12" i="14"/>
  <c r="F42" i="16"/>
  <c r="G15" i="15"/>
  <c r="C41" i="14"/>
  <c r="J17" i="16"/>
  <c r="D51" i="14"/>
  <c r="E46" i="15"/>
  <c r="K40" i="15"/>
  <c r="K48" i="16"/>
  <c r="E18" i="15"/>
  <c r="D2" i="15"/>
  <c r="J13" i="14"/>
  <c r="G9" i="14"/>
  <c r="J30" i="14"/>
  <c r="J31" i="16"/>
  <c r="E22" i="16"/>
  <c r="C21" i="14"/>
  <c r="I22" i="16"/>
  <c r="K38" i="16"/>
  <c r="C8" i="14"/>
  <c r="C18" i="15"/>
  <c r="I10" i="14"/>
  <c r="D23" i="15"/>
  <c r="E44" i="15"/>
  <c r="D45" i="14"/>
  <c r="C25" i="15"/>
  <c r="G13" i="15"/>
  <c r="G17" i="16"/>
  <c r="J6" i="16"/>
  <c r="I34" i="16"/>
  <c r="K21" i="16"/>
  <c r="G18" i="14"/>
  <c r="I45" i="15"/>
  <c r="E13" i="15"/>
  <c r="I21" i="14"/>
  <c r="I40" i="14"/>
  <c r="C9" i="15"/>
  <c r="K39" i="15"/>
  <c r="G37" i="15"/>
  <c r="J19" i="16"/>
  <c r="I25" i="16"/>
  <c r="G6" i="14"/>
  <c r="D11" i="15"/>
  <c r="D21" i="16"/>
  <c r="E5" i="16"/>
  <c r="I50" i="15"/>
  <c r="K2" i="15"/>
  <c r="B27" i="16"/>
  <c r="E14" i="14"/>
  <c r="I13" i="15"/>
  <c r="B33" i="16"/>
  <c r="D38" i="14"/>
  <c r="E5" i="15"/>
  <c r="F18" i="16"/>
  <c r="K14" i="14"/>
  <c r="K36" i="14"/>
  <c r="E44" i="16"/>
  <c r="H49" i="15"/>
  <c r="I30" i="15"/>
  <c r="K46" i="15"/>
  <c r="H13" i="14"/>
  <c r="K4" i="15"/>
  <c r="J8" i="14"/>
  <c r="F18" i="14"/>
  <c r="I11" i="14"/>
  <c r="J17" i="14"/>
  <c r="B41" i="16"/>
  <c r="K8" i="14"/>
  <c r="D36" i="14"/>
  <c r="J24" i="15"/>
  <c r="F24" i="16"/>
  <c r="D41" i="16"/>
  <c r="G34" i="15"/>
  <c r="I22" i="14"/>
  <c r="G17" i="15"/>
  <c r="D24" i="14"/>
  <c r="B47" i="14"/>
  <c r="K40" i="14"/>
  <c r="I40" i="15"/>
  <c r="I37" i="16"/>
  <c r="J21" i="14"/>
  <c r="D48" i="14"/>
  <c r="E7" i="15"/>
  <c r="H31" i="16"/>
  <c r="G35" i="16"/>
  <c r="H42" i="14"/>
  <c r="E27" i="15"/>
  <c r="K2" i="14"/>
  <c r="G36" i="14"/>
  <c r="G51" i="14"/>
  <c r="G24" i="16"/>
  <c r="H9" i="16"/>
  <c r="C43" i="14"/>
  <c r="C31" i="16"/>
  <c r="C34" i="14"/>
  <c r="H39" i="16"/>
  <c r="G2" i="14"/>
  <c r="K28" i="14"/>
  <c r="K50" i="14"/>
  <c r="G40" i="15"/>
  <c r="E41" i="15"/>
  <c r="B11" i="16"/>
  <c r="H12" i="16"/>
  <c r="K25" i="14"/>
  <c r="D27" i="14"/>
  <c r="J7" i="14"/>
  <c r="G23" i="15"/>
  <c r="D19" i="14"/>
  <c r="E18" i="16"/>
  <c r="F2" i="14"/>
  <c r="F21" i="16"/>
  <c r="F43" i="16"/>
  <c r="C39" i="16"/>
  <c r="C19" i="16"/>
  <c r="G25" i="16"/>
  <c r="E11" i="15"/>
  <c r="H38" i="16"/>
  <c r="D10" i="15"/>
  <c r="K13" i="14"/>
  <c r="E17" i="14"/>
  <c r="E3" i="15"/>
  <c r="G21" i="15"/>
  <c r="D17" i="16"/>
  <c r="I33" i="16"/>
  <c r="C14" i="14"/>
  <c r="H22" i="14"/>
  <c r="G17" i="14"/>
  <c r="C23" i="15"/>
  <c r="I38" i="15"/>
  <c r="I25" i="15"/>
  <c r="F16" i="16"/>
  <c r="F14" i="15"/>
  <c r="H39" i="14"/>
  <c r="K23" i="14"/>
  <c r="H34" i="16"/>
  <c r="J22" i="15"/>
  <c r="B7" i="15"/>
  <c r="E20" i="14"/>
  <c r="J22" i="16"/>
  <c r="I36" i="14"/>
  <c r="G12" i="15"/>
  <c r="K26" i="16"/>
  <c r="J24" i="14"/>
  <c r="B43" i="16"/>
  <c r="K33" i="15"/>
  <c r="D18" i="15"/>
  <c r="K18" i="14"/>
  <c r="F6" i="15"/>
  <c r="G44" i="15"/>
  <c r="J35" i="14"/>
  <c r="D33" i="16"/>
  <c r="I41" i="14"/>
  <c r="C33" i="14"/>
  <c r="G28" i="16"/>
  <c r="E33" i="15"/>
  <c r="G41" i="16"/>
  <c r="C51" i="15"/>
  <c r="I45" i="14"/>
  <c r="E32" i="15"/>
  <c r="H35" i="16"/>
  <c r="G35" i="15"/>
  <c r="D15" i="15"/>
  <c r="C16" i="16"/>
  <c r="D39" i="16"/>
  <c r="F31" i="16"/>
  <c r="H19" i="16"/>
  <c r="G36" i="15"/>
  <c r="B12" i="14"/>
  <c r="B20" i="15"/>
  <c r="J7" i="16"/>
  <c r="E42" i="14"/>
  <c r="I47" i="15"/>
  <c r="E3" i="16"/>
  <c r="C6" i="15"/>
  <c r="B13" i="14"/>
  <c r="D6" i="16"/>
  <c r="G34" i="16"/>
  <c r="I14" i="15"/>
  <c r="C11" i="16"/>
  <c r="D4" i="16"/>
  <c r="F5" i="15"/>
  <c r="K10" i="16"/>
  <c r="F8" i="14"/>
  <c r="K22" i="16"/>
  <c r="C17" i="15"/>
  <c r="G30" i="15"/>
  <c r="E10" i="16"/>
  <c r="H47" i="14"/>
  <c r="D50" i="15"/>
  <c r="K23" i="16"/>
  <c r="C27" i="15"/>
  <c r="F22" i="16"/>
  <c r="C24" i="15"/>
  <c r="D47" i="16"/>
  <c r="G29" i="15"/>
  <c r="C26" i="15"/>
  <c r="F49" i="16"/>
  <c r="G49" i="14"/>
  <c r="D3" i="14"/>
  <c r="B26" i="16"/>
  <c r="G26" i="14"/>
  <c r="F48" i="14"/>
  <c r="K3" i="15"/>
  <c r="D7" i="16"/>
  <c r="K27" i="15"/>
  <c r="B27" i="14"/>
  <c r="E38" i="15"/>
  <c r="F14" i="16"/>
  <c r="E11" i="14"/>
  <c r="C30" i="14"/>
  <c r="I17" i="15"/>
  <c r="B14" i="14"/>
  <c r="K47" i="15"/>
  <c r="J38" i="16"/>
  <c r="K4" i="16"/>
  <c r="B25" i="16"/>
  <c r="E4" i="15"/>
  <c r="B17" i="16"/>
  <c r="J41" i="16"/>
  <c r="H27" i="14"/>
  <c r="D10" i="16"/>
  <c r="C24" i="14"/>
  <c r="K13" i="16"/>
  <c r="H14" i="16"/>
  <c r="D43" i="16"/>
  <c r="C49" i="14"/>
  <c r="B5" i="16"/>
  <c r="H5" i="14"/>
  <c r="E32" i="14"/>
  <c r="C42" i="14"/>
  <c r="G22" i="15"/>
  <c r="K4" i="14"/>
  <c r="E36" i="14"/>
  <c r="B17" i="14"/>
  <c r="E34" i="15"/>
  <c r="G39" i="16"/>
  <c r="F39" i="16"/>
  <c r="G3" i="16"/>
  <c r="F17" i="16"/>
  <c r="I48" i="15"/>
  <c r="D27" i="15"/>
  <c r="J2" i="15"/>
  <c r="I43" i="16"/>
  <c r="B46" i="14"/>
  <c r="G16" i="14"/>
  <c r="D23" i="16"/>
  <c r="G48" i="14"/>
  <c r="G4" i="15"/>
  <c r="C9" i="14"/>
  <c r="G38" i="15"/>
  <c r="F13" i="14"/>
  <c r="J13" i="16"/>
  <c r="I32" i="16"/>
  <c r="E5" i="14"/>
  <c r="G28" i="14"/>
  <c r="K19" i="14"/>
  <c r="B15" i="16"/>
  <c r="J19" i="15"/>
  <c r="J23" i="15"/>
  <c r="D30" i="16"/>
  <c r="K29" i="16"/>
  <c r="I36" i="16"/>
  <c r="C10" i="16"/>
  <c r="D40" i="14"/>
  <c r="D24" i="16"/>
  <c r="E27" i="14"/>
  <c r="I27" i="14"/>
  <c r="J23" i="16"/>
  <c r="C32" i="14"/>
  <c r="H20" i="16"/>
  <c r="D21" i="14"/>
  <c r="G46" i="16"/>
  <c r="G51" i="15"/>
  <c r="D47" i="14"/>
  <c r="I18" i="14"/>
  <c r="E49" i="16"/>
  <c r="C49" i="15"/>
  <c r="K30" i="15"/>
  <c r="B5" i="14"/>
  <c r="C4" i="16"/>
  <c r="G37" i="16"/>
  <c r="I46" i="15"/>
  <c r="G39" i="14"/>
  <c r="H27" i="16"/>
  <c r="E2" i="14"/>
  <c r="H34" i="14"/>
  <c r="B15" i="14"/>
  <c r="D7" i="15"/>
  <c r="H11" i="16"/>
  <c r="K21" i="15"/>
  <c r="E12" i="16"/>
  <c r="K33" i="14"/>
  <c r="F8" i="16"/>
  <c r="D15" i="16"/>
  <c r="H6" i="14"/>
  <c r="D34" i="14"/>
  <c r="I26" i="15"/>
  <c r="B37" i="14"/>
  <c r="D11" i="14"/>
  <c r="K51" i="15"/>
  <c r="I49" i="15"/>
  <c r="C37" i="14"/>
  <c r="I50" i="16"/>
  <c r="K6" i="15"/>
  <c r="H17" i="16"/>
  <c r="K26" i="15"/>
  <c r="I35" i="15"/>
  <c r="B44" i="16"/>
  <c r="D28" i="14"/>
  <c r="J12" i="16"/>
  <c r="H15" i="14"/>
  <c r="J49" i="14"/>
  <c r="E20" i="15"/>
  <c r="K45" i="15"/>
  <c r="E39" i="14"/>
  <c r="I36" i="15"/>
  <c r="I28" i="16"/>
  <c r="E45" i="15"/>
  <c r="G45" i="16"/>
  <c r="J23" i="14"/>
  <c r="G51" i="16"/>
  <c r="C27" i="14"/>
  <c r="J49" i="15"/>
  <c r="E42" i="15"/>
  <c r="F46" i="14"/>
  <c r="B38" i="14"/>
  <c r="F27" i="14"/>
  <c r="I44" i="15"/>
  <c r="E40" i="16"/>
  <c r="G22" i="14"/>
  <c r="F21" i="14"/>
  <c r="C12" i="16"/>
  <c r="E41" i="16"/>
  <c r="I31" i="16"/>
  <c r="F19" i="16"/>
  <c r="E25" i="15"/>
  <c r="J3" i="16"/>
  <c r="J36" i="15"/>
  <c r="G18" i="15"/>
  <c r="E26" i="14"/>
  <c r="C42" i="16"/>
  <c r="H3" i="16"/>
  <c r="G44" i="16"/>
  <c r="J37" i="14"/>
  <c r="G42" i="15"/>
  <c r="K16" i="15"/>
  <c r="E26" i="15"/>
  <c r="F6" i="14"/>
  <c r="K22" i="15"/>
  <c r="C18" i="14"/>
  <c r="K36" i="16"/>
  <c r="E13" i="14"/>
  <c r="E30" i="15"/>
  <c r="K3" i="16"/>
  <c r="C26" i="16"/>
  <c r="D22" i="14"/>
  <c r="D36" i="16"/>
  <c r="H2" i="15"/>
  <c r="F38" i="16"/>
  <c r="B9" i="16"/>
  <c r="D14" i="16"/>
  <c r="F38" i="14"/>
  <c r="B49" i="16"/>
  <c r="G29" i="14"/>
  <c r="H6" i="15"/>
  <c r="K8" i="15"/>
  <c r="B31" i="16"/>
  <c r="D39" i="15"/>
  <c r="C37" i="16"/>
  <c r="F2" i="15"/>
  <c r="I12" i="14"/>
  <c r="C38" i="16"/>
  <c r="I3" i="16"/>
  <c r="F24" i="15"/>
  <c r="D15" i="14"/>
  <c r="G14" i="15"/>
  <c r="B27" i="15"/>
  <c r="D45" i="15"/>
  <c r="I22" i="15"/>
  <c r="H30" i="14"/>
  <c r="K11" i="16"/>
  <c r="K36" i="15"/>
  <c r="B49" i="14"/>
  <c r="E8" i="14"/>
  <c r="J31" i="15"/>
  <c r="D6" i="15"/>
  <c r="J18" i="16"/>
  <c r="I11" i="16"/>
  <c r="F15" i="14"/>
  <c r="J24" i="16"/>
  <c r="G8" i="14"/>
  <c r="B3" i="16"/>
  <c r="I10" i="16"/>
  <c r="I32" i="15"/>
  <c r="C25" i="16"/>
  <c r="D48" i="16"/>
  <c r="B22" i="14"/>
  <c r="E10" i="15"/>
  <c r="H32" i="16"/>
  <c r="D12" i="16"/>
  <c r="J40" i="14"/>
  <c r="E38" i="16"/>
  <c r="C44" i="14"/>
  <c r="I8" i="14"/>
  <c r="C15" i="14"/>
  <c r="K38" i="14"/>
  <c r="E27" i="16"/>
  <c r="E14" i="16"/>
  <c r="G26" i="15"/>
  <c r="C19" i="15"/>
  <c r="B25" i="15"/>
  <c r="B25" i="14"/>
  <c r="H50" i="14"/>
  <c r="F32" i="14"/>
  <c r="F9" i="14"/>
  <c r="K39" i="16"/>
  <c r="B21" i="15"/>
  <c r="G47" i="15"/>
  <c r="F40" i="16"/>
  <c r="G15" i="14"/>
  <c r="K43" i="14"/>
  <c r="F50" i="14"/>
  <c r="K20" i="15"/>
  <c r="F9" i="16"/>
  <c r="J38" i="14"/>
  <c r="B9" i="14"/>
  <c r="J42" i="14"/>
  <c r="D16" i="16"/>
  <c r="C29" i="14"/>
  <c r="H41" i="16"/>
  <c r="D5" i="14"/>
  <c r="J21" i="15"/>
  <c r="E20" i="16"/>
  <c r="B35" i="15"/>
  <c r="C7" i="16"/>
  <c r="H36" i="16"/>
  <c r="J6" i="15"/>
  <c r="H51" i="16"/>
  <c r="C10" i="14"/>
  <c r="D8" i="15"/>
  <c r="J30" i="15"/>
  <c r="J32" i="16"/>
  <c r="I19" i="14"/>
  <c r="G2" i="15"/>
  <c r="C6" i="14"/>
  <c r="E43" i="15"/>
  <c r="G20" i="16"/>
  <c r="J45" i="14"/>
  <c r="C25" i="14"/>
  <c r="E23" i="15"/>
  <c r="D16" i="14"/>
  <c r="G29" i="16"/>
  <c r="F20" i="16"/>
  <c r="F12" i="14"/>
  <c r="G27" i="15"/>
  <c r="J29" i="14"/>
  <c r="B12" i="16"/>
  <c r="I4" i="15"/>
  <c r="H33" i="16"/>
  <c r="E9" i="14"/>
  <c r="G32" i="14"/>
  <c r="C50" i="15"/>
  <c r="D26" i="16"/>
  <c r="K32" i="14"/>
  <c r="G9" i="16"/>
  <c r="G11" i="14"/>
  <c r="I25" i="14"/>
  <c r="I5" i="14"/>
  <c r="K20" i="16"/>
  <c r="J12" i="15"/>
  <c r="B5" i="15"/>
  <c r="F14" i="14"/>
  <c r="G8" i="16"/>
  <c r="E50" i="15"/>
  <c r="I39" i="16"/>
  <c r="D17" i="15"/>
  <c r="B36" i="16"/>
  <c r="K34" i="16"/>
  <c r="J16" i="16"/>
  <c r="H28" i="16"/>
  <c r="K12" i="15"/>
  <c r="C40" i="14"/>
  <c r="G10" i="15"/>
  <c r="K32" i="16"/>
  <c r="J5" i="16"/>
  <c r="I6" i="14"/>
  <c r="J25" i="14"/>
  <c r="H45" i="16"/>
  <c r="B21" i="16"/>
  <c r="J10" i="14"/>
  <c r="G47" i="16"/>
  <c r="D41" i="15"/>
  <c r="J3" i="14"/>
  <c r="C48" i="14"/>
  <c r="K19" i="15"/>
  <c r="I46" i="14"/>
  <c r="K27" i="16"/>
  <c r="D25" i="15"/>
  <c r="F3" i="16"/>
  <c r="B39" i="15"/>
  <c r="I10" i="15"/>
  <c r="J33" i="14"/>
  <c r="F4" i="15"/>
  <c r="C20" i="14"/>
  <c r="E47" i="16"/>
  <c r="G7" i="15"/>
  <c r="G15" i="16"/>
  <c r="J9" i="14"/>
  <c r="F22" i="15"/>
  <c r="K8" i="16"/>
  <c r="K24" i="15"/>
  <c r="C29" i="16"/>
  <c r="C16" i="15"/>
  <c r="C20" i="16"/>
  <c r="I5" i="16"/>
  <c r="B13" i="16"/>
  <c r="C35" i="15"/>
  <c r="F42" i="15"/>
  <c r="E51" i="15"/>
  <c r="C27" i="16"/>
  <c r="H38" i="15"/>
  <c r="I21" i="15"/>
  <c r="E6" i="14"/>
  <c r="D34" i="16"/>
  <c r="D31" i="16"/>
  <c r="J32" i="14"/>
  <c r="K18" i="15"/>
  <c r="I48" i="14"/>
  <c r="J32" i="15"/>
  <c r="E25" i="16"/>
  <c r="B45" i="14"/>
  <c r="G28" i="15"/>
  <c r="K35" i="15"/>
  <c r="D35" i="15"/>
  <c r="H19" i="14"/>
  <c r="E33" i="16"/>
  <c r="H10" i="14"/>
  <c r="I7" i="16"/>
  <c r="D49" i="16"/>
  <c r="C30" i="15"/>
  <c r="I19" i="16"/>
  <c r="B14" i="16"/>
  <c r="C22" i="14"/>
  <c r="D23" i="14"/>
  <c r="C43" i="15"/>
  <c r="I13" i="16"/>
  <c r="C4" i="14"/>
  <c r="B2" i="15"/>
  <c r="G21" i="14"/>
  <c r="G4" i="16"/>
  <c r="C7" i="14"/>
  <c r="K15" i="15"/>
  <c r="F21" i="15"/>
  <c r="D41" i="14"/>
  <c r="G21" i="16"/>
  <c r="G38" i="16"/>
  <c r="D9" i="14"/>
  <c r="I18" i="15"/>
  <c r="E40" i="14"/>
  <c r="E43" i="16"/>
  <c r="F3" i="15"/>
  <c r="K51" i="16"/>
  <c r="F2" i="16"/>
  <c r="C50" i="16"/>
  <c r="J7" i="15"/>
  <c r="G5" i="15"/>
  <c r="C45" i="14"/>
  <c r="E37" i="15"/>
  <c r="I27" i="16"/>
  <c r="H25" i="15"/>
  <c r="F23" i="16"/>
  <c r="H35" i="14"/>
  <c r="F48" i="16"/>
  <c r="B18" i="16"/>
  <c r="E12" i="15"/>
  <c r="D26" i="14"/>
  <c r="J41" i="15"/>
  <c r="E29" i="15"/>
  <c r="D2" i="16"/>
  <c r="B40" i="16"/>
  <c r="B37" i="16"/>
  <c r="B46" i="16"/>
  <c r="C9" i="16"/>
  <c r="D46" i="14"/>
  <c r="D13" i="14"/>
  <c r="E7" i="16"/>
  <c r="H37" i="15"/>
  <c r="G3" i="14"/>
  <c r="J26" i="16"/>
  <c r="H46" i="14"/>
  <c r="G10" i="14"/>
  <c r="E22" i="15"/>
  <c r="E11" i="16"/>
  <c r="F47" i="14"/>
  <c r="H36" i="15"/>
  <c r="H48" i="14"/>
  <c r="F11" i="14"/>
  <c r="K9" i="16"/>
  <c r="K18" i="16"/>
  <c r="C39" i="14"/>
  <c r="C37" i="15"/>
  <c r="F31" i="14"/>
  <c r="I37" i="15"/>
  <c r="D22" i="15"/>
  <c r="C40" i="15"/>
  <c r="F47" i="16"/>
  <c r="E50" i="16"/>
  <c r="C24" i="16"/>
  <c r="H12" i="14"/>
  <c r="F37" i="16"/>
  <c r="K28" i="16"/>
  <c r="K48" i="15"/>
  <c r="D20" i="16"/>
  <c r="K48" i="14"/>
  <c r="K13" i="15"/>
  <c r="J13" i="15"/>
  <c r="F19" i="15"/>
  <c r="K41" i="14"/>
  <c r="J34" i="16"/>
  <c r="E8" i="16"/>
  <c r="B3" i="15"/>
  <c r="J47" i="15"/>
  <c r="E45" i="14"/>
  <c r="C43" i="16"/>
  <c r="I32" i="14"/>
  <c r="B33" i="14"/>
  <c r="E19" i="15"/>
  <c r="F33" i="14"/>
  <c r="C40" i="16"/>
  <c r="D5" i="16"/>
  <c r="B16" i="14"/>
  <c r="K35" i="16"/>
  <c r="K41" i="15"/>
  <c r="D28" i="16"/>
  <c r="B10" i="14"/>
  <c r="K5" i="14"/>
  <c r="D20" i="15"/>
  <c r="H50" i="16"/>
  <c r="H51" i="15"/>
  <c r="K19" i="16"/>
  <c r="I50" i="14"/>
  <c r="F28" i="14"/>
  <c r="H43" i="16"/>
  <c r="I43" i="14"/>
  <c r="B6" i="16"/>
  <c r="E35" i="15"/>
  <c r="F43" i="14"/>
  <c r="I28" i="15"/>
  <c r="I17" i="14"/>
  <c r="B20" i="16"/>
  <c r="J30" i="16"/>
  <c r="G45" i="15"/>
  <c r="I51" i="16"/>
  <c r="B4" i="14"/>
  <c r="F36" i="16"/>
  <c r="E51" i="16"/>
  <c r="C2" i="14"/>
  <c r="K47" i="14"/>
  <c r="C14" i="15"/>
  <c r="D39" i="14"/>
  <c r="D35" i="14"/>
  <c r="D38" i="16"/>
  <c r="C11" i="15"/>
  <c r="J20" i="16"/>
  <c r="E48" i="15"/>
  <c r="G39" i="15"/>
  <c r="I15" i="14"/>
  <c r="G12" i="16"/>
  <c r="B42" i="16"/>
  <c r="J48" i="14"/>
  <c r="D40" i="16"/>
  <c r="K12" i="14"/>
  <c r="C5" i="16"/>
  <c r="H28" i="15"/>
  <c r="B43" i="14"/>
  <c r="D8" i="16"/>
  <c r="C33" i="15"/>
  <c r="F36" i="14"/>
  <c r="D35" i="16"/>
  <c r="D44" i="16"/>
  <c r="F3" i="14"/>
  <c r="B18" i="15"/>
  <c r="I20" i="14"/>
  <c r="J48" i="16"/>
  <c r="I46" i="16"/>
  <c r="B21" i="14"/>
  <c r="K49" i="16"/>
  <c r="B36" i="14"/>
  <c r="B4" i="15"/>
  <c r="I29" i="16"/>
  <c r="G34" i="14"/>
  <c r="I45" i="16"/>
  <c r="I7" i="15"/>
  <c r="J4" i="15"/>
  <c r="F49" i="14"/>
  <c r="E34" i="16"/>
  <c r="J51" i="14"/>
  <c r="F44" i="14"/>
  <c r="K33" i="16"/>
  <c r="H24" i="16"/>
  <c r="K37" i="14"/>
  <c r="I38" i="16"/>
  <c r="K44" i="14"/>
  <c r="C28" i="15"/>
  <c r="K12" i="16"/>
  <c r="D36" i="15"/>
  <c r="B29" i="16"/>
  <c r="B38" i="16"/>
  <c r="C32" i="16"/>
  <c r="H37" i="14"/>
  <c r="E37" i="14"/>
  <c r="E22" i="14"/>
  <c r="F49" i="15"/>
  <c r="B23" i="14"/>
  <c r="I39" i="15"/>
  <c r="C41" i="15"/>
  <c r="H26" i="16"/>
  <c r="F7" i="14"/>
  <c r="G48" i="16"/>
  <c r="E47" i="15"/>
  <c r="E23" i="14"/>
  <c r="H18" i="15"/>
  <c r="G11" i="16"/>
  <c r="E2" i="16"/>
  <c r="I9" i="15"/>
  <c r="F34" i="16"/>
  <c r="I42" i="16"/>
  <c r="G7" i="14"/>
  <c r="H40" i="14"/>
  <c r="I9" i="16"/>
  <c r="F41" i="16"/>
  <c r="E6" i="15"/>
  <c r="E30" i="14"/>
  <c r="B24" i="16"/>
  <c r="E36" i="16"/>
  <c r="D45" i="16"/>
  <c r="H5" i="16"/>
  <c r="J4" i="14"/>
  <c r="K7" i="14"/>
  <c r="F23" i="15"/>
  <c r="G25" i="15"/>
  <c r="B51" i="16"/>
  <c r="G48" i="15"/>
  <c r="E45" i="16"/>
  <c r="C5" i="15"/>
  <c r="B34" i="16"/>
  <c r="F51" i="15"/>
  <c r="F50" i="16"/>
  <c r="K17" i="15"/>
  <c r="C17" i="14"/>
  <c r="H27" i="15"/>
  <c r="G50" i="15"/>
  <c r="J50" i="16"/>
  <c r="I4" i="14"/>
  <c r="J2" i="16"/>
  <c r="D38" i="15"/>
  <c r="D51" i="15"/>
  <c r="D42" i="15"/>
  <c r="I11" i="15"/>
  <c r="C47" i="15"/>
  <c r="D12" i="14"/>
  <c r="C4" i="15"/>
  <c r="G43" i="14"/>
  <c r="B30" i="15"/>
  <c r="J46" i="14"/>
  <c r="G37" i="14"/>
  <c r="E15" i="14"/>
  <c r="H2" i="16"/>
  <c r="G24" i="15"/>
  <c r="J34" i="15"/>
  <c r="B50" i="14"/>
  <c r="C47" i="16"/>
  <c r="B45" i="16"/>
  <c r="H2" i="14"/>
  <c r="I9" i="14"/>
  <c r="H23" i="15"/>
  <c r="F17" i="15"/>
  <c r="C38" i="15"/>
  <c r="C30" i="16"/>
  <c r="H45" i="15"/>
  <c r="B41" i="14"/>
  <c r="E46" i="14"/>
  <c r="B47" i="15"/>
  <c r="B10" i="15"/>
  <c r="H21" i="15"/>
  <c r="K47" i="16"/>
  <c r="I51" i="14"/>
  <c r="J51" i="15"/>
  <c r="F20" i="15"/>
  <c r="D29" i="16"/>
  <c r="J46" i="15"/>
  <c r="J41" i="14"/>
  <c r="B17" i="15"/>
  <c r="D8" i="14"/>
  <c r="K34" i="15"/>
  <c r="D31" i="15"/>
  <c r="I34" i="14"/>
  <c r="H35" i="15"/>
  <c r="K31" i="14"/>
  <c r="B8" i="14"/>
  <c r="F26" i="14"/>
  <c r="I43" i="15"/>
  <c r="K49" i="15"/>
  <c r="J50" i="14"/>
  <c r="C18" i="16"/>
  <c r="C26" i="14"/>
  <c r="C29" i="15"/>
  <c r="H19" i="15"/>
  <c r="F10" i="14"/>
  <c r="C48" i="16"/>
  <c r="E21" i="15"/>
  <c r="E4" i="16"/>
  <c r="F20" i="14"/>
  <c r="I35" i="14"/>
  <c r="F9" i="15"/>
  <c r="D13" i="15"/>
  <c r="B50" i="15"/>
  <c r="E48" i="14"/>
  <c r="E8" i="15"/>
  <c r="J39" i="14"/>
  <c r="I40" i="16"/>
  <c r="B31" i="15"/>
  <c r="D28" i="15"/>
  <c r="J40" i="16"/>
  <c r="J28" i="14"/>
  <c r="H34" i="15"/>
  <c r="J35" i="16"/>
  <c r="F15" i="15"/>
  <c r="G27" i="16"/>
  <c r="G40" i="14"/>
  <c r="H7" i="16"/>
  <c r="I34" i="15"/>
  <c r="H16" i="16"/>
  <c r="F4" i="16"/>
  <c r="E46" i="16"/>
  <c r="D2" i="14"/>
  <c r="H46" i="16"/>
  <c r="J33" i="15"/>
  <c r="F44" i="16"/>
  <c r="C3" i="14"/>
  <c r="I19" i="15"/>
  <c r="E31" i="16"/>
  <c r="G14" i="16"/>
  <c r="G50" i="14"/>
  <c r="F44" i="15"/>
  <c r="F32" i="15"/>
  <c r="F46" i="16"/>
  <c r="H9" i="14"/>
  <c r="F6" i="16"/>
  <c r="J40" i="15"/>
  <c r="K23" i="15"/>
  <c r="G31" i="15"/>
  <c r="I44" i="14"/>
  <c r="E32" i="16"/>
  <c r="I2" i="15"/>
  <c r="H4" i="16"/>
  <c r="K46" i="14"/>
  <c r="I31" i="14"/>
  <c r="H8" i="15"/>
  <c r="F38" i="15"/>
  <c r="G30" i="14"/>
  <c r="C50" i="14"/>
  <c r="B48" i="14"/>
  <c r="J43" i="15"/>
  <c r="F34" i="15"/>
  <c r="C7" i="15"/>
  <c r="C5" i="14"/>
  <c r="F48" i="15"/>
  <c r="F12" i="16"/>
  <c r="K34" i="14"/>
  <c r="J8" i="16"/>
  <c r="C12" i="14"/>
  <c r="B46" i="15"/>
  <c r="H40" i="15"/>
  <c r="F12" i="15"/>
  <c r="I7" i="14"/>
  <c r="B24" i="15"/>
  <c r="C21" i="15"/>
  <c r="D43" i="14"/>
  <c r="H26" i="15"/>
  <c r="J42" i="16"/>
  <c r="I49" i="14"/>
  <c r="H33" i="14"/>
  <c r="E19" i="14"/>
  <c r="I24" i="16"/>
  <c r="K21" i="14"/>
  <c r="H30" i="15"/>
  <c r="E21" i="14"/>
  <c r="B19" i="16"/>
  <c r="G42" i="14"/>
  <c r="B23" i="16"/>
  <c r="I42" i="14"/>
  <c r="F30" i="14"/>
  <c r="B39" i="16"/>
  <c r="B6" i="15"/>
  <c r="D17" i="14"/>
  <c r="G50" i="16"/>
  <c r="E30" i="16"/>
  <c r="H30" i="16"/>
  <c r="H16" i="15"/>
  <c r="F26" i="15"/>
  <c r="D44" i="15"/>
  <c r="E15" i="16"/>
  <c r="J18" i="15"/>
  <c r="J34" i="14"/>
  <c r="I26" i="14"/>
  <c r="J48" i="15"/>
  <c r="F33" i="15"/>
  <c r="H23" i="14"/>
  <c r="J44" i="16"/>
  <c r="H32" i="14"/>
  <c r="H21" i="16"/>
  <c r="B18" i="14"/>
  <c r="C15" i="16"/>
  <c r="H18" i="14"/>
  <c r="D50" i="14"/>
  <c r="B42" i="14"/>
  <c r="C23" i="14"/>
  <c r="K29" i="15"/>
  <c r="J27" i="15"/>
  <c r="J14" i="16"/>
  <c r="J44" i="15"/>
  <c r="B24" i="14"/>
  <c r="C48" i="15"/>
  <c r="G31" i="14"/>
  <c r="B12" i="15"/>
  <c r="D30" i="15"/>
  <c r="K41" i="16"/>
  <c r="F45" i="15"/>
  <c r="I39" i="14"/>
  <c r="K22" i="14"/>
  <c r="B50" i="16"/>
  <c r="E28" i="15"/>
  <c r="B8" i="15"/>
  <c r="B28" i="15"/>
  <c r="I6" i="15"/>
  <c r="E29" i="16"/>
  <c r="D12" i="15"/>
  <c r="E35" i="14"/>
  <c r="J27" i="14"/>
  <c r="D33" i="14"/>
  <c r="B22" i="15"/>
  <c r="K45" i="16"/>
  <c r="H12" i="15"/>
  <c r="D21" i="15"/>
  <c r="D42" i="16"/>
  <c r="K17" i="16"/>
  <c r="F25" i="15"/>
  <c r="J19" i="14"/>
  <c r="H24" i="15"/>
  <c r="D51" i="16"/>
  <c r="E3" i="14"/>
  <c r="C44" i="16"/>
  <c r="I30" i="16"/>
  <c r="K11" i="14"/>
  <c r="D34" i="15"/>
  <c r="B45" i="15"/>
  <c r="D37" i="15"/>
  <c r="J16" i="14"/>
  <c r="K17" i="14"/>
  <c r="F33" i="16"/>
  <c r="H8" i="14"/>
  <c r="K24" i="14"/>
  <c r="C46" i="16"/>
  <c r="D29" i="15"/>
  <c r="F35" i="16"/>
  <c r="I41" i="16"/>
  <c r="J6" i="14"/>
  <c r="H44" i="15"/>
  <c r="J35" i="15"/>
  <c r="B47" i="16"/>
  <c r="G43" i="16"/>
  <c r="F8" i="15"/>
  <c r="K15" i="16"/>
  <c r="J20" i="15"/>
  <c r="I2" i="16"/>
  <c r="B26" i="14"/>
  <c r="J51" i="16"/>
  <c r="J31" i="14"/>
  <c r="H22" i="16"/>
  <c r="J47" i="16"/>
  <c r="F7" i="16"/>
  <c r="I14" i="14"/>
  <c r="I8" i="16"/>
  <c r="H41" i="14"/>
  <c r="J17" i="15"/>
  <c r="C38" i="14"/>
  <c r="C12" i="15"/>
  <c r="J26" i="14"/>
  <c r="J16" i="15"/>
  <c r="J45" i="15"/>
  <c r="D46" i="16"/>
  <c r="B2" i="16"/>
  <c r="K37" i="15"/>
  <c r="E17" i="15"/>
  <c r="H43" i="15"/>
  <c r="F47" i="15"/>
  <c r="G14" i="14"/>
  <c r="F22" i="14"/>
  <c r="I24" i="15"/>
  <c r="F4" i="14"/>
  <c r="I49" i="16"/>
  <c r="F28" i="16"/>
  <c r="B16" i="15"/>
  <c r="C46" i="15"/>
  <c r="D40" i="15"/>
  <c r="H18" i="16"/>
  <c r="D33" i="15"/>
  <c r="B38" i="15"/>
  <c r="E15" i="15"/>
  <c r="D48" i="15"/>
  <c r="K31" i="15"/>
  <c r="J14" i="14"/>
  <c r="E16" i="14"/>
  <c r="B51" i="15"/>
  <c r="D42" i="14"/>
  <c r="H43" i="14"/>
  <c r="D14" i="14"/>
  <c r="K42" i="14"/>
  <c r="J10" i="15"/>
  <c r="B33" i="15"/>
  <c r="B41" i="15"/>
  <c r="E13" i="16"/>
  <c r="I31" i="15"/>
  <c r="H3" i="15"/>
  <c r="K6" i="16"/>
  <c r="D6" i="14"/>
  <c r="B29" i="15"/>
  <c r="C51" i="16"/>
  <c r="F5" i="16"/>
  <c r="G3" i="15"/>
  <c r="H42" i="16"/>
  <c r="H25" i="16"/>
  <c r="J11" i="16"/>
  <c r="E39" i="16"/>
  <c r="E26" i="16"/>
  <c r="H28" i="14"/>
  <c r="J49" i="16"/>
  <c r="J5" i="14"/>
  <c r="E23" i="16"/>
  <c r="D43" i="15"/>
  <c r="J2" i="14"/>
  <c r="J8" i="15"/>
  <c r="B42" i="15"/>
  <c r="D19" i="16"/>
  <c r="G19" i="14"/>
  <c r="G10" i="16"/>
  <c r="E36" i="15"/>
  <c r="C36" i="16"/>
  <c r="B11" i="15"/>
  <c r="J20" i="14"/>
  <c r="F19" i="14"/>
  <c r="F11" i="16"/>
  <c r="F37" i="14"/>
  <c r="B39" i="14"/>
  <c r="C47" i="14"/>
  <c r="D22" i="16"/>
  <c r="F41" i="14"/>
  <c r="J10" i="16"/>
  <c r="J43" i="14"/>
  <c r="G35" i="14"/>
  <c r="J44" i="14"/>
  <c r="G6" i="16"/>
  <c r="F15" i="16"/>
  <c r="J12" i="14"/>
  <c r="B51" i="14"/>
  <c r="D5" i="15"/>
  <c r="H10" i="15"/>
  <c r="B13" i="15"/>
  <c r="C22" i="15"/>
  <c r="J28" i="16"/>
  <c r="F41" i="15"/>
  <c r="H4" i="14"/>
  <c r="I47" i="14"/>
  <c r="H45" i="14"/>
  <c r="B48" i="16"/>
  <c r="D47" i="15"/>
  <c r="H44" i="14"/>
  <c r="K30" i="16"/>
  <c r="B44" i="15"/>
  <c r="G8" i="15"/>
  <c r="E18" i="14"/>
  <c r="H11" i="14"/>
  <c r="G5" i="14"/>
  <c r="G33" i="14"/>
  <c r="F16" i="14"/>
  <c r="J25" i="15"/>
  <c r="B23" i="15"/>
  <c r="B22" i="16"/>
  <c r="E24" i="14"/>
  <c r="H49" i="16"/>
  <c r="B14" i="15"/>
  <c r="H14" i="15"/>
  <c r="B44" i="14"/>
  <c r="F30" i="16"/>
  <c r="H15" i="15"/>
  <c r="F42" i="14"/>
  <c r="B43" i="15"/>
  <c r="C13" i="14"/>
  <c r="D29" i="14"/>
  <c r="D18" i="14"/>
  <c r="E47" i="14"/>
  <c r="D16" i="15"/>
  <c r="F40" i="14"/>
  <c r="G41" i="15"/>
  <c r="H29" i="15"/>
  <c r="B49" i="15"/>
  <c r="B20" i="14"/>
  <c r="H22" i="15"/>
  <c r="G4" i="14"/>
  <c r="I41" i="15"/>
  <c r="I13" i="14"/>
  <c r="D18" i="16"/>
  <c r="K5" i="16"/>
  <c r="G46" i="14"/>
  <c r="C34" i="16"/>
  <c r="J39" i="15"/>
  <c r="C13" i="16"/>
  <c r="G20" i="14"/>
  <c r="C21" i="16"/>
  <c r="D13" i="16"/>
  <c r="D3" i="16"/>
  <c r="B35" i="14"/>
  <c r="E49" i="14"/>
  <c r="K16" i="16"/>
  <c r="G2" i="16"/>
  <c r="C31" i="14"/>
  <c r="H20" i="15"/>
  <c r="K35" i="14"/>
  <c r="F30" i="15"/>
  <c r="I12" i="15"/>
  <c r="K11" i="15"/>
  <c r="D32" i="15"/>
  <c r="H7" i="15"/>
  <c r="E6" i="16"/>
  <c r="K6" i="14"/>
  <c r="C39" i="15"/>
  <c r="K44" i="15"/>
  <c r="E39" i="15"/>
  <c r="J50" i="15"/>
  <c r="G36" i="16"/>
  <c r="H42" i="15"/>
  <c r="F43" i="15"/>
  <c r="B26" i="15"/>
  <c r="B40" i="14"/>
  <c r="F10" i="15"/>
  <c r="J29" i="15"/>
  <c r="G45" i="14"/>
  <c r="G31" i="16"/>
  <c r="G32" i="16"/>
  <c r="H17" i="14"/>
  <c r="I21" i="16"/>
  <c r="B11" i="14"/>
  <c r="H9" i="15"/>
  <c r="G9" i="15"/>
  <c r="G47" i="14"/>
  <c r="E37" i="16"/>
  <c r="I16" i="14"/>
  <c r="F46" i="15"/>
  <c r="F51" i="16"/>
  <c r="F27" i="16"/>
  <c r="F7" i="15"/>
  <c r="J9" i="15"/>
  <c r="K42" i="16"/>
  <c r="J27" i="16"/>
  <c r="G26" i="16"/>
  <c r="F11" i="15"/>
  <c r="F31" i="15"/>
  <c r="I14" i="16"/>
  <c r="C45" i="15"/>
  <c r="C2" i="16"/>
  <c r="K43" i="16"/>
  <c r="H47" i="16"/>
  <c r="H24" i="14"/>
  <c r="H15" i="16"/>
  <c r="I3" i="15"/>
  <c r="G33" i="15"/>
  <c r="F35" i="15"/>
  <c r="K25" i="16"/>
  <c r="B30" i="14"/>
  <c r="C11" i="14"/>
  <c r="I37" i="14"/>
  <c r="J18" i="14"/>
  <c r="G13" i="16"/>
  <c r="J47" i="14"/>
  <c r="B40" i="15"/>
  <c r="D46" i="15"/>
  <c r="H46" i="15"/>
  <c r="C28" i="16"/>
  <c r="G13" i="14"/>
  <c r="B7" i="16"/>
  <c r="I3" i="14"/>
  <c r="H39" i="15"/>
  <c r="B19" i="14"/>
  <c r="F16" i="15"/>
  <c r="I15" i="16"/>
  <c r="B19" i="15"/>
  <c r="J15" i="15"/>
  <c r="H48" i="15"/>
  <c r="F39" i="15"/>
  <c r="H33" i="15"/>
  <c r="J9" i="16"/>
  <c r="C3" i="15"/>
  <c r="F23" i="14"/>
  <c r="H13" i="15"/>
  <c r="H44" i="16"/>
  <c r="J4" i="16"/>
  <c r="H11" i="15"/>
  <c r="B36" i="15"/>
  <c r="H23" i="16"/>
  <c r="E50" i="14"/>
  <c r="I44" i="16"/>
  <c r="F45" i="14"/>
  <c r="B28" i="16"/>
  <c r="G41" i="14"/>
  <c r="F27" i="15"/>
  <c r="B37" i="15"/>
  <c r="B34" i="15"/>
  <c r="G32" i="15"/>
  <c r="B48" i="15"/>
  <c r="F10" i="16"/>
  <c r="J37" i="16"/>
  <c r="E40" i="15"/>
  <c r="G25" i="14"/>
  <c r="B32" i="15"/>
  <c r="F50" i="15"/>
  <c r="C13" i="15"/>
  <c r="I4" i="16"/>
  <c r="H47" i="15"/>
  <c r="E44" i="14"/>
  <c r="K42" i="15"/>
  <c r="J29" i="16"/>
  <c r="H50" i="15"/>
  <c r="K3" i="14"/>
  <c r="D10" i="14"/>
  <c r="J14" i="15"/>
  <c r="C14" i="16"/>
  <c r="B31" i="14"/>
  <c r="I17" i="16"/>
  <c r="I23" i="16"/>
  <c r="K37" i="16"/>
  <c r="I23" i="14"/>
  <c r="D4" i="15"/>
  <c r="G20" i="15"/>
  <c r="D9" i="16"/>
  <c r="I16" i="15"/>
  <c r="I5" i="15"/>
  <c r="B15" i="15"/>
  <c r="C44" i="15"/>
  <c r="D49" i="15"/>
  <c r="H20" i="14"/>
  <c r="B9" i="15"/>
  <c r="C20" i="15"/>
  <c r="F25" i="14"/>
  <c r="H37" i="16"/>
  <c r="E4" i="14"/>
  <c r="F40" i="15"/>
  <c r="K5" i="15"/>
  <c r="F35" i="14"/>
  <c r="J15" i="16"/>
  <c r="C41" i="16"/>
  <c r="K45" i="14"/>
  <c r="B32" i="14"/>
  <c r="G44" i="14"/>
  <c r="K29" i="14"/>
  <c r="B16" i="16"/>
  <c r="D27" i="16"/>
  <c r="K28" i="15"/>
  <c r="F29" i="15"/>
  <c r="D19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A6" authorId="0" shapeId="0" xr:uid="{147D9237-89E0-4141-9FD3-1EF4FFDC111C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9" authorId="0" shapeId="0" xr:uid="{79B43307-0593-DD45-9A60-9371EF5BAF9B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14" authorId="0" shapeId="0" xr:uid="{61E12980-BEA8-1B4A-B6B4-5FB2C5F9A09D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20" authorId="0" shapeId="0" xr:uid="{25E0D68F-A80B-BE4D-B6BC-E1BA22491FF4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25" authorId="0" shapeId="0" xr:uid="{C8E32559-7849-3042-BACC-6B14518CB902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36" authorId="0" shapeId="0" xr:uid="{4012D3D3-52E8-6043-BAB8-389E4D50938E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37" authorId="0" shapeId="0" xr:uid="{C3931602-60E7-1545-8F6A-BCAFF73B13E9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38" authorId="0" shapeId="0" xr:uid="{77FF7307-3E58-E347-8F1C-31AD1C381B43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39" authorId="0" shapeId="0" xr:uid="{813EDE05-E8EF-0A42-A3FF-6327ACEFFEE2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A11" authorId="0" shapeId="0" xr:uid="{30962535-714C-D647-864E-DA76D491D1EA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12" authorId="0" shapeId="0" xr:uid="{04A75D53-83AE-EE4F-B854-EA00776C6B98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20" authorId="0" shapeId="0" xr:uid="{10F06B13-4EB7-D34C-993F-A31EC8FD831A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23" authorId="0" shapeId="0" xr:uid="{9EB4911C-50CA-C84F-BD0F-116DA5D801C4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30" authorId="0" shapeId="0" xr:uid="{ADECA764-D918-414C-A472-90E98686BE37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32" authorId="0" shapeId="0" xr:uid="{DC60C9A0-C5E9-C74D-8C33-D0B9836C9CC8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37" authorId="0" shapeId="0" xr:uid="{B5A8AF8A-7423-3342-8458-448B14135480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38" authorId="0" shapeId="0" xr:uid="{F345AA58-F3F8-F74F-B5C2-2FBA3FBB79A8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51" authorId="0" shapeId="0" xr:uid="{CA654A89-1868-E24C-8450-F499F7EDB19F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A5" authorId="0" shapeId="0" xr:uid="{DAA31AB2-0345-A646-BD59-4C2B9B4771A0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7" authorId="0" shapeId="0" xr:uid="{E3136276-CBB5-6C41-9B36-B9EC4ED6E0B4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10" authorId="0" shapeId="0" xr:uid="{BA468654-E156-584F-8E3B-54C203D2B718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38" authorId="0" shapeId="0" xr:uid="{62A5296B-8723-1847-B3DA-7D572AA58F26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39" authorId="0" shapeId="0" xr:uid="{15A11914-41BF-474F-95A0-E39D395DBCB2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40" authorId="0" shapeId="0" xr:uid="{F253B1D0-E5D1-0348-AF71-FFB527265AE4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41" authorId="0" shapeId="0" xr:uid="{A77295AC-EBBE-7E46-97DB-FFF6A6EF8262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45" authorId="0" shapeId="0" xr:uid="{527E5E1D-2B83-7140-A6AD-994C19952495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47" authorId="0" shapeId="0" xr:uid="{98F76282-DAA2-8B4D-9A71-8211BADD1FC8}">
      <text>
        <r>
          <rPr>
            <b/>
            <sz val="10"/>
            <color rgb="FF000000"/>
            <rFont val="Tahoma"/>
            <family val="2"/>
          </rPr>
          <t>both def bot 10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D1" authorId="0" shapeId="0" xr:uid="{E77AEF43-FE7A-D347-91D7-8691ACB769CA}">
      <text>
        <r>
          <rPr>
            <b/>
            <sz val="10"/>
            <color rgb="FF000000"/>
            <rFont val="Tahoma"/>
            <family val="2"/>
          </rPr>
          <t>1) tot WR afa &gt;= 1.0 or 2) WR total yards afa &gt;= 2.0 yards</t>
        </r>
      </text>
    </comment>
    <comment ref="E1" authorId="0" shapeId="0" xr:uid="{A664FCB9-FBE7-F041-8C24-C70D7075E327}">
      <text>
        <r>
          <rPr>
            <b/>
            <sz val="10"/>
            <color rgb="FF000000"/>
            <rFont val="Tahoma"/>
            <family val="2"/>
          </rPr>
          <t>Both Defenses &gt;= 0.1 afa for all postitions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" authorId="0" shapeId="0" xr:uid="{46325AAF-278C-024B-A9B2-5B2AF3B9F1AE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" authorId="0" shapeId="0" xr:uid="{F2BE05BE-B22E-3D48-BB89-D66969736120}">
      <text>
        <r>
          <rPr>
            <b/>
            <sz val="10"/>
            <color rgb="FF000000"/>
            <rFont val="Tahoma"/>
            <family val="2"/>
          </rPr>
          <t>1) PF (QB AFF points - RB AFF points) &gt;=1 or 2) QB AFF points &gt;=2</t>
        </r>
      </text>
    </comment>
    <comment ref="H1" authorId="0" shapeId="0" xr:uid="{922B40EC-5872-7445-BB87-DC224B2A0FC8}">
      <text>
        <r>
          <rPr>
            <b/>
            <sz val="10"/>
            <color rgb="FF000000"/>
            <rFont val="Tahoma"/>
            <family val="2"/>
          </rPr>
          <t xml:space="preserve">1) PF (QB afa points - RB afa points) &gt;=2 </t>
        </r>
        <r>
          <rPr>
            <b/>
            <sz val="10"/>
            <color rgb="FF000000"/>
            <rFont val="Calibri"/>
            <family val="2"/>
            <scheme val="minor"/>
          </rPr>
          <t xml:space="preserve">and must be POS for QB scoring </t>
        </r>
        <r>
          <rPr>
            <b/>
            <sz val="10"/>
            <color rgb="FF000000"/>
            <rFont val="Tahoma"/>
            <family val="2"/>
          </rPr>
          <t>or 2) QB afa points &gt;=2.0 3) PF yards &gt;=20 yards and has a positive afa for QBs</t>
        </r>
      </text>
    </comment>
    <comment ref="J1" authorId="0" shapeId="0" xr:uid="{E7BC823B-0E9C-4F4C-A379-7220455CB834}">
      <text>
        <r>
          <rPr>
            <b/>
            <sz val="10"/>
            <color rgb="FF000000"/>
            <rFont val="Tahoma"/>
            <family val="2"/>
          </rPr>
          <t>max 4 weeks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K1" authorId="0" shapeId="0" xr:uid="{08D214C3-C968-E345-8E3B-ABA6B3DEEF64}">
      <text>
        <r>
          <rPr>
            <b/>
            <sz val="10"/>
            <color rgb="FF000000"/>
            <rFont val="Tahoma"/>
            <family val="2"/>
          </rPr>
          <t>max 4 weeks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26" authorId="0" shapeId="0" xr:uid="{7A6B2B5C-28F2-8049-8146-24E997A56A78}">
      <text>
        <r>
          <rPr>
            <b/>
            <sz val="10"/>
            <color rgb="FF000000"/>
            <rFont val="Tahoma"/>
            <family val="2"/>
          </rPr>
          <t>Fitz</t>
        </r>
      </text>
    </comment>
    <comment ref="R328" authorId="0" shapeId="0" xr:uid="{EC690D50-B041-8B4B-8E1A-56CB2F5465D0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R341" authorId="0" shapeId="0" xr:uid="{FA5018E7-36DF-CD4A-B573-3E5A9D3BF24E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R344" authorId="0" shapeId="0" xr:uid="{F6F17567-2C45-E94E-BD6D-ED6CFECD7988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R345" authorId="0" shapeId="0" xr:uid="{46CF5199-EC0E-5448-8C50-A557ECE04030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R346" authorId="0" shapeId="0" xr:uid="{595D6E8C-2C5D-6B48-AB1B-4438A0501BC4}">
      <text>
        <r>
          <rPr>
            <b/>
            <sz val="10"/>
            <color rgb="FF000000"/>
            <rFont val="Tahoma"/>
            <family val="2"/>
          </rPr>
          <t>Thielen</t>
        </r>
      </text>
    </comment>
    <comment ref="R347" authorId="0" shapeId="0" xr:uid="{CBDB62A6-131C-8D47-A9F3-EEFC15544104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49" authorId="0" shapeId="0" xr:uid="{264D67FD-8FDB-3D4E-98C1-902238A9DFFC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50" authorId="0" shapeId="0" xr:uid="{480B3D98-19ED-2145-90D5-3CEC04D8A286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53" authorId="0" shapeId="0" xr:uid="{08CA92BD-996B-C54A-B68B-591D4B3A3BBC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R354" authorId="0" shapeId="0" xr:uid="{C5DD0F10-E8AA-3B42-A366-769DDF15FCCA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R355" authorId="0" shapeId="0" xr:uid="{D5FFF58D-BB72-1B44-AEBA-F14B2D7DDF5B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R356" authorId="0" shapeId="0" xr:uid="{D45F4FDF-132C-7B49-AA66-D73166AE1AB8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R357" authorId="0" shapeId="0" xr:uid="{1AB13108-F6E3-6F4C-BD56-FC2CFAA3BB78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R359" authorId="0" shapeId="0" xr:uid="{CD111E4C-4485-ED46-976F-5488306941C2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60" authorId="0" shapeId="0" xr:uid="{CB895D37-4167-F942-AC3B-A734A1258699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R373" authorId="0" shapeId="0" xr:uid="{46B1CADF-7B6E-1240-9CA4-232B445B2D0F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R376" authorId="0" shapeId="0" xr:uid="{4439C0C2-1BF6-FA42-A3F9-A01A8E2F2F63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R377" authorId="0" shapeId="0" xr:uid="{FB6C19BB-234B-7F4E-AE78-FCE4E30B5CB1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R378" authorId="0" shapeId="0" xr:uid="{708CB1E2-5D82-F74A-B3D0-BB0A28DEDABE}">
      <text>
        <r>
          <rPr>
            <b/>
            <sz val="10"/>
            <color rgb="FF000000"/>
            <rFont val="Tahoma"/>
            <family val="2"/>
          </rPr>
          <t>Thielen</t>
        </r>
      </text>
    </comment>
    <comment ref="R379" authorId="0" shapeId="0" xr:uid="{D43B16FE-AB95-CD41-BEB0-7F356684FD8D}">
      <text>
        <r>
          <rPr>
            <b/>
            <sz val="10"/>
            <color rgb="FF000000"/>
            <rFont val="Tahoma"/>
            <family val="2"/>
          </rPr>
          <t>AB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81" authorId="0" shapeId="0" xr:uid="{47CB9D6F-039B-784C-BF85-E7305C8930A6}">
      <text>
        <r>
          <rPr>
            <sz val="10"/>
            <color rgb="FF000000"/>
            <rFont val="Tahoma"/>
            <family val="2"/>
          </rPr>
          <t>Fowler</t>
        </r>
      </text>
    </comment>
    <comment ref="R382" authorId="0" shapeId="0" xr:uid="{F3684A40-062B-E24C-8DC6-7C242C360357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83" authorId="0" shapeId="0" xr:uid="{BB6645E7-2F88-094E-A21D-CC3722A6924C}">
      <text>
        <r>
          <rPr>
            <b/>
            <sz val="10"/>
            <color rgb="FF000000"/>
            <rFont val="Tahoma"/>
            <family val="2"/>
          </rPr>
          <t>Agholor -- Alshon and DJax injured in 1st quarter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85" authorId="0" shapeId="0" xr:uid="{755F48A5-DB2F-4B44-8F24-CC095BB264CC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R386" authorId="0" shapeId="0" xr:uid="{63251433-9081-F24A-AE82-9EC42D859795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R387" authorId="0" shapeId="0" xr:uid="{B389F903-1D48-0D4B-A358-F8A94E33B713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R388" authorId="0" shapeId="0" xr:uid="{11E07A6B-A9F1-C94D-8573-C89F7EF8C9BC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R389" authorId="0" shapeId="0" xr:uid="{98096CD9-F21E-D04A-A173-A45F685A9748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R390" authorId="0" shapeId="0" xr:uid="{2A1EB8DB-3624-1C41-8DA1-9C0A4707C8F5}">
      <text>
        <r>
          <rPr>
            <b/>
            <sz val="10"/>
            <color rgb="FF000000"/>
            <rFont val="Tahoma"/>
            <family val="2"/>
          </rPr>
          <t>Fitz</t>
        </r>
      </text>
    </comment>
    <comment ref="R392" authorId="0" shapeId="0" xr:uid="{6170D817-0056-7942-8EFB-C2EE5D10F382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R405" authorId="0" shapeId="0" xr:uid="{6857EF1F-4CBF-264D-983C-D9529B2C7053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R408" authorId="0" shapeId="0" xr:uid="{3B5C262D-D80C-A542-8037-C8FC90F52AD7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R409" authorId="0" shapeId="0" xr:uid="{3BB832F8-EE6E-8F4D-B86F-3C608AB81FF5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R411" authorId="0" shapeId="0" xr:uid="{78DE7D23-2976-2846-BFDA-D8C4A1CAA673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13" authorId="0" shapeId="0" xr:uid="{859BFCDE-7C26-914A-89D2-F5EF68C89378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14" authorId="0" shapeId="0" xr:uid="{C35BB1FC-B218-0547-9EBB-3F97F22855D8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15" authorId="0" shapeId="0" xr:uid="{31C34D05-09E9-3041-8371-8D1546DD03EB}">
      <text>
        <r>
          <rPr>
            <b/>
            <sz val="10"/>
            <color rgb="FF000000"/>
            <rFont val="Tahoma"/>
            <family val="2"/>
          </rPr>
          <t>Agholor -- Alshon and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17" authorId="0" shapeId="0" xr:uid="{3AC54F16-49EA-864D-A0E6-0E1B0E006414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R418" authorId="0" shapeId="0" xr:uid="{C07B7ADD-CA05-754C-9755-806B376DA845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R419" authorId="0" shapeId="0" xr:uid="{4F414261-3345-6C42-A7FC-070B30B5EE02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R420" authorId="0" shapeId="0" xr:uid="{85E1D707-89E7-BB41-A22E-6AFDCE992DDD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R421" authorId="0" shapeId="0" xr:uid="{6AA22141-B40C-D84E-ACBC-39C437AAA4A4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R422" authorId="0" shapeId="0" xr:uid="{173ADD43-AF0A-6C4F-AC92-DC1EE889273C}">
      <text>
        <r>
          <rPr>
            <b/>
            <sz val="10"/>
            <color rgb="FF000000"/>
            <rFont val="Tahoma"/>
            <family val="2"/>
          </rPr>
          <t>Fitz</t>
        </r>
      </text>
    </comment>
    <comment ref="R423" authorId="0" shapeId="0" xr:uid="{B355CA29-488B-9047-86DF-D05E6E0B0EEF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24" authorId="0" shapeId="0" xr:uid="{39932E0C-2FE9-D845-B578-BBA9875A29A1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R435" authorId="0" shapeId="0" xr:uid="{E16A4231-9C93-6B47-88AF-A27802EB8214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37" authorId="0" shapeId="0" xr:uid="{5B09BD02-27B6-D04F-B11C-B0D81170ED35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R440" authorId="0" shapeId="0" xr:uid="{726EFE86-A1B7-5440-9501-570C4375BA18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R441" authorId="0" shapeId="0" xr:uid="{13201EA0-D89E-ED46-9C83-4FD41D75B119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R443" authorId="0" shapeId="0" xr:uid="{DF527971-6F98-7C4A-8536-3A4BD7597237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45" authorId="0" shapeId="0" xr:uid="{C8AA9F54-329A-D94D-B33E-FB4802A668C9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46" authorId="0" shapeId="0" xr:uid="{DBECA84C-730E-E048-89FE-D70B720F1E32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48" authorId="0" shapeId="0" xr:uid="{8093246D-EBEB-B749-840A-A79A6943778E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R449" authorId="0" shapeId="0" xr:uid="{5D260C91-FDC0-E640-8151-5F41715B4324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R450" authorId="0" shapeId="0" xr:uid="{8C9FF099-D103-F04D-A6C0-BC9E0E78A058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R451" authorId="0" shapeId="0" xr:uid="{D5AEB86D-6F2D-C043-B0FB-339D1E971A17}">
      <text>
        <r>
          <rPr>
            <b/>
            <sz val="10"/>
            <color rgb="FF000000"/>
            <rFont val="Tahoma"/>
            <family val="2"/>
          </rPr>
          <t>Paul Richardson</t>
        </r>
        <r>
          <rPr>
            <b/>
            <sz val="10"/>
            <color rgb="FF000000"/>
            <rFont val="Calibri"/>
            <family val="2"/>
          </rPr>
          <t xml:space="preserve"> - McLaurin out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R452" authorId="0" shapeId="0" xr:uid="{3046B0DB-5308-0542-B521-01606999C13C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R453" authorId="0" shapeId="0" xr:uid="{02D65C7D-6C9F-794A-8381-C36C6BF7578A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54" authorId="0" shapeId="0" xr:uid="{AF82D309-9BEC-A64F-BC20-C9524AB23636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R457" authorId="0" shapeId="0" xr:uid="{CF0A2B16-DF3D-0147-8855-38C8F327D8DE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62" authorId="0" shapeId="0" xr:uid="{7353AE31-4DCA-8B41-A1E7-B7A3B6D24B85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R466" authorId="0" shapeId="0" xr:uid="{D4C2F658-6421-1541-BC32-75BE3DFCAF3B}">
      <text>
        <r>
          <rPr>
            <b/>
            <sz val="10"/>
            <color rgb="FF000000"/>
            <rFont val="Tahoma"/>
            <family val="2"/>
          </rPr>
          <t>Pringle - Watkins injured early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67" authorId="0" shapeId="0" xr:uid="{324CDCBA-E48B-674B-BCF6-7F1530908CDC}">
      <text>
        <r>
          <rPr>
            <b/>
            <sz val="10"/>
            <color rgb="FF000000"/>
            <rFont val="Tahoma"/>
            <family val="2"/>
          </rPr>
          <t>Renfrow - Tyrell Williams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69" authorId="0" shapeId="0" xr:uid="{97C69A22-D0DC-A24E-9E54-399F4C93C742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R471" authorId="0" shapeId="0" xr:uid="{611D29FF-A607-B44C-A97D-E5EA69B9499F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73" authorId="0" shapeId="0" xr:uid="{43A1F75B-BAAB-2A46-8EE2-ECDC2D6F4970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74" authorId="0" shapeId="0" xr:uid="{FC3F6AA2-23E6-0F40-96AB-ACCD7A147D99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75" authorId="0" shapeId="0" xr:uid="{30E775EE-A7D3-B341-8B89-D9E467EE5744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77" authorId="0" shapeId="0" xr:uid="{2F79D8B3-0A48-654F-AED8-1312B696ECFE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R478" authorId="0" shapeId="0" xr:uid="{55DB3DF9-8EB3-6145-8612-309F09F94197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R479" authorId="0" shapeId="0" xr:uid="{313F2E17-B744-FD40-87C0-444D18BABC7A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R480" authorId="0" shapeId="0" xr:uid="{5EFD42E3-8B03-4A4F-88B7-80CC693FBA40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R481" authorId="0" shapeId="0" xr:uid="{58C436A5-CC12-9045-A516-06CD6BD39FA9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R482" authorId="0" shapeId="0" xr:uid="{023598C2-9F07-0D47-831A-2792974E39B0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R483" authorId="0" shapeId="0" xr:uid="{439D0034-D5B5-4942-9FB1-294B0A7EE967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84" authorId="0" shapeId="0" xr:uid="{2CA23D95-10F2-584A-BD88-B4F8B0D6B563}">
      <text>
        <r>
          <rPr>
            <b/>
            <sz val="10"/>
            <color rgb="FF000000"/>
            <rFont val="Tahoma"/>
            <family val="2"/>
          </rPr>
          <t>Snead - Marquise Brown out</t>
        </r>
      </text>
    </comment>
    <comment ref="R488" authorId="0" shapeId="0" xr:uid="{EEB1A69B-91B4-C146-9172-BC2E11A0DFBF}">
      <text>
        <r>
          <rPr>
            <b/>
            <sz val="10"/>
            <color rgb="FF000000"/>
            <rFont val="Tahoma"/>
            <family val="2"/>
          </rPr>
          <t>Cooper injured in 1st Q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91" authorId="0" shapeId="0" xr:uid="{32A5DB6D-C8E1-C940-BA48-E9A708F6F271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R494" authorId="0" shapeId="0" xr:uid="{2679B5B2-B7E4-324B-98D5-894172C38002}">
      <text>
        <r>
          <rPr>
            <b/>
            <sz val="10"/>
            <color rgb="FF000000"/>
            <rFont val="Tahoma"/>
            <family val="2"/>
          </rPr>
          <t>Tyreek Hill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96" authorId="0" shapeId="0" xr:uid="{F356ECDC-EA73-F34A-A7BE-924126D42C05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R497" authorId="0" shapeId="0" xr:uid="{851F8057-68BD-F445-82C5-7DE70593F871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R499" authorId="0" shapeId="0" xr:uid="{D708E095-28ED-E14A-A7E8-28D2D5E58193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01" authorId="0" shapeId="0" xr:uid="{C70CBF3E-F116-8147-932E-291257F534BF}">
      <text>
        <r>
          <rPr>
            <b/>
            <sz val="10"/>
            <color rgb="FF000000"/>
            <rFont val="Tahoma"/>
            <family val="2"/>
          </rPr>
          <t>Tate - Shepard and Engram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02" authorId="0" shapeId="0" xr:uid="{D86786B7-9E06-B846-9152-2B1BFED8FFA2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03" authorId="0" shapeId="0" xr:uid="{980B65EC-37F5-384B-8611-8CD5F00ADDEB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05" authorId="0" shapeId="0" xr:uid="{7289E2A1-1D25-7341-A64D-4189F24766B2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07" authorId="0" shapeId="0" xr:uid="{112D890B-92A3-354E-BB11-9F373DF6EAED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R508" authorId="0" shapeId="0" xr:uid="{D9A6D02D-F7B8-E946-930E-382418C31A4D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R509" authorId="0" shapeId="0" xr:uid="{87D161F8-6FC1-3C4E-9398-6F40B4AE9AA0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R510" authorId="0" shapeId="0" xr:uid="{3D111C6A-6746-964B-BE72-EFE14EFC997D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R511" authorId="0" shapeId="0" xr:uid="{2FF09B95-94B0-ED41-9A60-74593115E79B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12" authorId="0" shapeId="0" xr:uid="{5DE65441-1E75-9447-B872-9BA8808AC3E2}">
      <text>
        <r>
          <rPr>
            <b/>
            <sz val="10"/>
            <color rgb="FF000000"/>
            <rFont val="Tahoma"/>
            <family val="2"/>
          </rPr>
          <t>Snead - Marquise Brown out</t>
        </r>
      </text>
    </comment>
    <comment ref="R514" authorId="0" shapeId="0" xr:uid="{F8473CBB-0386-A941-9E33-8245CE2164EF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19" authorId="0" shapeId="0" xr:uid="{2520E686-67FD-8E47-814F-E69AD53F65B9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R523" authorId="0" shapeId="0" xr:uid="{14E72483-EA27-5E4B-A90B-0E1DEE4C1950}">
      <text>
        <r>
          <rPr>
            <b/>
            <sz val="10"/>
            <color rgb="FF000000"/>
            <rFont val="Tahoma"/>
            <family val="2"/>
          </rPr>
          <t>Tyreek Hill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24" authorId="0" shapeId="0" xr:uid="{72607CA7-A793-FE42-B4BB-8B6ECE2C90C7}">
      <text>
        <r>
          <rPr>
            <b/>
            <sz val="10"/>
            <color rgb="FF000000"/>
            <rFont val="Tahoma"/>
            <family val="2"/>
          </rPr>
          <t xml:space="preserve">Keelan Doss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26" authorId="0" shapeId="0" xr:uid="{BE73FF0E-2FF1-5449-9F49-762EABC215E9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R527" authorId="0" shapeId="0" xr:uid="{279007DA-9F41-8E46-9584-C52782AC7BDE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R529" authorId="0" shapeId="0" xr:uid="{4B0FC9A8-D393-A842-8009-7C6C38586BBD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30" authorId="0" shapeId="0" xr:uid="{75A927FC-C296-F441-8A85-8CF1467841DD}">
      <text>
        <r>
          <rPr>
            <b/>
            <sz val="10"/>
            <color rgb="FF000000"/>
            <rFont val="Calibri"/>
            <family val="2"/>
          </rPr>
          <t>Tre'Quan and Cook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R531" authorId="0" shapeId="0" xr:uid="{E95F7EDB-D6F0-C945-B3C2-7F4784016C17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R532" authorId="0" shapeId="0" xr:uid="{7098EB7D-ED23-244D-83E9-383E8D59DBA3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33" authorId="0" shapeId="0" xr:uid="{A687DD3A-7072-874C-A03E-C59C9AE2C0EF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34" authorId="0" shapeId="0" xr:uid="{7A32D80E-79C5-1D45-8D3D-3586E3487C75}">
      <text>
        <r>
          <rPr>
            <b/>
            <sz val="10"/>
            <color rgb="FF000000"/>
            <rFont val="Tahoma"/>
            <family val="2"/>
          </rPr>
          <t>Kendrick Bourne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36" authorId="0" shapeId="0" xr:uid="{03E47F70-D447-7A4B-8BDE-D9FDA5561A5B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R537" authorId="0" shapeId="0" xr:uid="{5099F666-A2BD-C549-AC8B-66F502641FD1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R538" authorId="0" shapeId="0" xr:uid="{EF098CCD-0B60-3043-A98C-72F3AB89AB11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39" authorId="0" shapeId="0" xr:uid="{5B658D7A-2FF5-3447-A7BE-5E335403AD8F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42" authorId="0" shapeId="0" xr:uid="{1571F0E2-F0DA-9340-94E8-E7331D657BB2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47" authorId="0" shapeId="0" xr:uid="{C4531FC1-156D-DC4C-B0BB-32761ABE236A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R550" authorId="0" shapeId="0" xr:uid="{9F19DD18-FCD9-2944-A37C-C95E87D356BA}">
      <text>
        <r>
          <rPr>
            <b/>
            <sz val="10"/>
            <color rgb="FF000000"/>
            <rFont val="Tahoma"/>
            <family val="2"/>
          </rPr>
          <t>DJ Chark - Westbrook injured in game</t>
        </r>
      </text>
    </comment>
    <comment ref="R551" authorId="0" shapeId="0" xr:uid="{372E9EDE-1B02-0F49-B8BE-B7F7D4BBE121}">
      <text>
        <r>
          <rPr>
            <b/>
            <sz val="10"/>
            <color rgb="FF000000"/>
            <rFont val="Tahoma"/>
            <family val="2"/>
          </rPr>
          <t>Tyreek 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52" authorId="0" shapeId="0" xr:uid="{9E87F10A-DD26-6149-8AE6-DE063AE89658}">
      <text>
        <r>
          <rPr>
            <b/>
            <sz val="10"/>
            <color rgb="FF000000"/>
            <rFont val="Tahoma"/>
            <family val="2"/>
          </rPr>
          <t>Tyrell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54" authorId="0" shapeId="0" xr:uid="{ED7144CD-FC87-0F45-B415-D817EB06ABEA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R555" authorId="0" shapeId="0" xr:uid="{C5AFB4B6-7CE2-6C42-8396-39CF08CA9393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R556" authorId="0" shapeId="0" xr:uid="{404CBDFB-A4CE-0242-A88A-40522582ED66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57" authorId="0" shapeId="0" xr:uid="{4086070E-CE4C-D646-AA8F-A71DD389A50A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59" authorId="0" shapeId="0" xr:uid="{5EE528FB-DE04-1949-8790-F510BCA8A75B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R560" authorId="0" shapeId="0" xr:uid="{1E5D08DF-B0E3-E647-9274-D4528678A961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61" authorId="0" shapeId="0" xr:uid="{672EB5EE-6F39-3A47-89D7-8BD3AF4C7534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63" authorId="0" shapeId="0" xr:uid="{8B09B04D-AB88-3847-ADDA-835B20561AC4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R566" authorId="0" shapeId="0" xr:uid="{BAD80C36-D49E-AC45-81F3-6A71E44D4102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R567" authorId="0" shapeId="0" xr:uid="{6A860B1D-3644-444A-AD1B-3D8DA774EFA7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R568" authorId="0" shapeId="0" xr:uid="{26BD9E56-0DFD-294C-862C-4F5C138E5D07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69" authorId="0" shapeId="0" xr:uid="{69E6CBF3-65F6-1643-A761-40BA68375FCC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R579" authorId="0" shapeId="0" xr:uid="{C7448032-D351-804F-95C2-AF70C926B5E4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80" authorId="0" shapeId="0" xr:uid="{2BAE1BDB-9259-974F-BBD9-37A1428611C4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581" authorId="0" shapeId="0" xr:uid="{4A739C28-F81C-164B-BAAF-27C58E9AE492}">
      <text>
        <r>
          <rPr>
            <b/>
            <sz val="10"/>
            <color rgb="FF000000"/>
            <rFont val="Tahoma"/>
            <family val="2"/>
          </rPr>
          <t>Tyreek 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82" authorId="0" shapeId="0" xr:uid="{62E6EBA1-B792-0844-A328-795828027869}">
      <text>
        <r>
          <rPr>
            <b/>
            <sz val="10"/>
            <color rgb="FF000000"/>
            <rFont val="Tahoma"/>
            <family val="2"/>
          </rPr>
          <t>Tyrell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84" authorId="0" shapeId="0" xr:uid="{F9B3F213-C752-E34A-89B5-A4096FFB0EC9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R585" authorId="0" shapeId="0" xr:uid="{7E34B978-BCCA-3944-AC13-F198EF8006CB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87" authorId="0" shapeId="0" xr:uid="{49C9EFE7-C6A7-8042-A077-D9F8D8E0AD73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R588" authorId="0" shapeId="0" xr:uid="{FB873BC0-600A-8948-A943-40CE96E5C8BA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89" authorId="0" shapeId="0" xr:uid="{45B668CD-7035-D244-99AB-C885A024DB74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91" authorId="0" shapeId="0" xr:uid="{A2C7D352-6781-F548-8BA8-87571F8CD3DE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R594" authorId="0" shapeId="0" xr:uid="{2C05FD46-F357-684F-A105-9840D86FAC7E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R595" authorId="0" shapeId="0" xr:uid="{6F9BE22A-E8DD-FD40-A706-F6300D003551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R596" authorId="0" shapeId="0" xr:uid="{E4A852D6-520C-3B4B-B62B-E651975EAF3C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97" authorId="0" shapeId="0" xr:uid="{CD72213C-E771-9B4B-A6E7-024514A7A0CD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98" authorId="0" shapeId="0" xr:uid="{388C88A3-C3D8-DF4F-A9CA-194D232F7D86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R607" authorId="0" shapeId="0" xr:uid="{27C50A1D-9D8D-FF4C-AB30-0028B568AF34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11" authorId="0" shapeId="0" xr:uid="{A767080B-19AC-F64A-A8D5-88AB3A0C1924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R612" authorId="0" shapeId="0" xr:uid="{557F0937-2C68-054B-B0A1-B1C4320A5578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13" authorId="0" shapeId="0" xr:uid="{DB90A7DB-B52A-E343-98BB-72D17626515E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15" authorId="0" shapeId="0" xr:uid="{205D5FBC-625D-704D-AC9D-F21334706789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R616" authorId="0" shapeId="0" xr:uid="{50169A96-2CA9-6849-9795-F92646415BBB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18" authorId="0" shapeId="0" xr:uid="{A735B598-02FB-094E-AE8D-9EC5AFE5394C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R621" authorId="0" shapeId="0" xr:uid="{81906A66-EFD5-D741-8B18-36E7E59B4606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622" authorId="0" shapeId="0" xr:uid="{BEE8C004-0ECD-874B-8591-375C46EB9139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34" authorId="0" shapeId="0" xr:uid="{A5F22F75-CE4D-FA4B-B985-5D3D33ABC2E6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36" authorId="0" shapeId="0" xr:uid="{3E87F46B-5B45-8746-A344-425CB06B8751}">
      <text>
        <r>
          <rPr>
            <b/>
            <sz val="10"/>
            <color rgb="FF000000"/>
            <rFont val="Tahoma"/>
            <family val="2"/>
          </rPr>
          <t>Watkins - Tyreek injured 1st drive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39" authorId="0" shapeId="0" xr:uid="{4AB6D850-999A-2D4D-AB73-D09681A5569A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R640" authorId="0" shapeId="0" xr:uid="{8DF3D312-A109-F344-8BD6-27C18F48509E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41" authorId="0" shapeId="0" xr:uid="{9613FB77-227B-B340-A629-72AD6D308CEA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44" authorId="0" shapeId="0" xr:uid="{0B01A7D4-0679-A943-83A5-9796ED2B588B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45" authorId="0" shapeId="0" xr:uid="{9B84A189-A508-6047-873C-77AFE020A147}">
      <text>
        <r>
          <rPr>
            <b/>
            <sz val="10"/>
            <color rgb="FF000000"/>
            <rFont val="Tahoma"/>
            <family val="2"/>
          </rPr>
          <t>Agholor -- Alshon and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46" authorId="0" shapeId="0" xr:uid="{F66BC7C6-EA7C-054B-9422-F481146DF97B}">
      <text>
        <r>
          <rPr>
            <b/>
            <sz val="10"/>
            <color rgb="FF000000"/>
            <rFont val="Tahoma"/>
            <family val="2"/>
          </rPr>
          <t>JuJu injured in 1st half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47" authorId="0" shapeId="0" xr:uid="{B3B6B72C-F329-2649-9BEB-09FBBC6AA4C9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R649" authorId="0" shapeId="0" xr:uid="{FA940CB3-8AA4-6D40-B305-3E91E74592D5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R665" authorId="0" shapeId="0" xr:uid="{1D838BE2-1347-7B4D-83C7-89869DAB83AE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R666" authorId="0" shapeId="0" xr:uid="{3E00A77D-22D9-3443-9963-317C8614AC11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69" authorId="0" shapeId="0" xr:uid="{3EC6A1BE-68AC-0A40-95F3-471B29E9C9A5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70" authorId="0" shapeId="0" xr:uid="{0A994B60-07F5-174C-8E65-2555186D7A8A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72" authorId="0" shapeId="0" xr:uid="{E74604AA-3249-8E4B-B135-10CA5693FC40}">
      <text>
        <r>
          <rPr>
            <b/>
            <sz val="10"/>
            <color rgb="FF000000"/>
            <rFont val="Tahoma"/>
            <family val="2"/>
          </rPr>
          <t>James Washington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73" authorId="0" shapeId="0" xr:uid="{4E19A70F-8001-CA43-8414-CBDE57C68D23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R676" authorId="0" shapeId="0" xr:uid="{19D0FAB5-AEBC-814E-AF63-1128638310A0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678" authorId="0" shapeId="0" xr:uid="{6D911A77-DE40-7B46-9E27-882A466FC7E8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91" authorId="0" shapeId="0" xr:uid="{ABEBE0F8-7ABF-B140-BD30-97403BFA8FC8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96" authorId="0" shapeId="0" xr:uid="{07520AD7-2587-F64E-80B5-AD9E69D73438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R698" authorId="0" shapeId="0" xr:uid="{801CBDF7-A227-8645-9DB7-3D75F5A15F83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701" authorId="0" shapeId="0" xr:uid="{59F1F42A-BB55-B043-BC85-3C6CCD3C1221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702" authorId="0" shapeId="0" xr:uid="{06EB709E-A88B-CC42-AFB0-A27E9C078C43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703" authorId="0" shapeId="0" xr:uid="{6FA1B72B-8385-914C-80C4-B56EF6A8E3C4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704" authorId="0" shapeId="0" xr:uid="{44D29B01-F0C9-4E4F-AE24-AADDE6B41FC8}">
      <text>
        <r>
          <rPr>
            <b/>
            <sz val="10"/>
            <color rgb="FF000000"/>
            <rFont val="Tahoma"/>
            <family val="2"/>
          </rPr>
          <t>James Washington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705" authorId="0" shapeId="0" xr:uid="{9E920C46-8E5E-8245-942A-031246A4EF4F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R708" authorId="0" shapeId="0" xr:uid="{50BFC2E1-0A23-2143-A963-CCA64C194BA7}">
      <text>
        <r>
          <rPr>
            <b/>
            <sz val="10"/>
            <color rgb="FF000000"/>
            <rFont val="Tahoma"/>
            <family val="2"/>
          </rPr>
          <t>A.J. Brown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D1" authorId="0" shapeId="0" xr:uid="{F088273F-08A3-A84A-B66B-735898C73641}">
      <text>
        <r>
          <rPr>
            <b/>
            <sz val="10"/>
            <color rgb="FF000000"/>
            <rFont val="Tahoma"/>
            <family val="2"/>
          </rPr>
          <t>1) tot WR afa &gt;= 1.0 or 2) WR total yards afa &gt;= 2.0 yards</t>
        </r>
      </text>
    </comment>
    <comment ref="E1" authorId="0" shapeId="0" xr:uid="{4916CEDD-0063-4848-BF48-48659C291CB0}">
      <text>
        <r>
          <rPr>
            <b/>
            <sz val="10"/>
            <color rgb="FF000000"/>
            <rFont val="Tahoma"/>
            <family val="2"/>
          </rPr>
          <t>Both Defenses &gt;= 0.1 afa for all postitions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" authorId="0" shapeId="0" xr:uid="{B0115A61-339F-6B45-8ED0-A6244E8A0527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" authorId="0" shapeId="0" xr:uid="{8FEFC023-F217-3940-9590-0BAAAA3F065C}">
      <text>
        <r>
          <rPr>
            <b/>
            <sz val="10"/>
            <color rgb="FF000000"/>
            <rFont val="Tahoma"/>
            <family val="2"/>
          </rPr>
          <t>1) PF (QB AFF points - RB AFF points) &gt;=1 or 2) QB AFF points &gt;=2</t>
        </r>
      </text>
    </comment>
    <comment ref="H1" authorId="0" shapeId="0" xr:uid="{A77C7F88-330D-BD41-B1DE-885C7E9BE4E8}">
      <text>
        <r>
          <rPr>
            <b/>
            <sz val="10"/>
            <color rgb="FF000000"/>
            <rFont val="Tahoma"/>
            <family val="2"/>
          </rPr>
          <t xml:space="preserve">1) PF (QB afa points - RB afa points) &gt;=2 </t>
        </r>
        <r>
          <rPr>
            <b/>
            <sz val="10"/>
            <color rgb="FF000000"/>
            <rFont val="Calibri"/>
            <family val="2"/>
            <scheme val="minor"/>
          </rPr>
          <t xml:space="preserve">and must be POS for QB scoring </t>
        </r>
        <r>
          <rPr>
            <b/>
            <sz val="10"/>
            <color rgb="FF000000"/>
            <rFont val="Tahoma"/>
            <family val="2"/>
          </rPr>
          <t>or 2) QB afa points &gt;=2.0 3) PF yards &gt;=20 yards and has a positive afa for QBs</t>
        </r>
      </text>
    </comment>
    <comment ref="J1" authorId="0" shapeId="0" xr:uid="{A7136E7D-54A3-104F-BCDB-23428E0929FC}">
      <text>
        <r>
          <rPr>
            <b/>
            <sz val="10"/>
            <color rgb="FF000000"/>
            <rFont val="Tahoma"/>
            <family val="2"/>
          </rPr>
          <t>max 4 weeks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K1" authorId="0" shapeId="0" xr:uid="{5B0AF1FE-6834-2843-8CAC-914D3EF0EDBB}">
      <text>
        <r>
          <rPr>
            <b/>
            <sz val="10"/>
            <color rgb="FF000000"/>
            <rFont val="Tahoma"/>
            <family val="2"/>
          </rPr>
          <t>max 4 weeks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26" authorId="0" shapeId="0" xr:uid="{76A925B9-44FA-6A44-AD59-E048CEDAD8BA}">
      <text>
        <r>
          <rPr>
            <b/>
            <sz val="10"/>
            <color rgb="FF000000"/>
            <rFont val="Tahoma"/>
            <family val="2"/>
          </rPr>
          <t>Kirk</t>
        </r>
      </text>
    </comment>
    <comment ref="R328" authorId="0" shapeId="0" xr:uid="{95769FC5-3526-224F-9905-7D62DBE7319C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R329" authorId="0" shapeId="0" xr:uid="{E63C5559-CAC2-184B-8011-425DB67E4E93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35" authorId="0" shapeId="0" xr:uid="{595D8A1D-A049-DE4C-99E1-5F2CA5B7D34E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37" authorId="0" shapeId="0" xr:uid="{D3EABAAE-BA0E-4245-8B10-31156EA09590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338" authorId="0" shapeId="0" xr:uid="{BCE3A5DB-45E3-D949-B61E-0E6D4DF7FC4B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R339" authorId="0" shapeId="0" xr:uid="{35BFEAF1-81F2-A744-AFA2-E09CCF621B13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R341" authorId="0" shapeId="0" xr:uid="{54A1744C-4319-AB4D-A1F7-52F53306E3FD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342" authorId="0" shapeId="0" xr:uid="{92D2023E-AA80-3B47-A6CF-D113F828A155}">
      <text>
        <r>
          <rPr>
            <b/>
            <sz val="10"/>
            <color rgb="FF000000"/>
            <rFont val="Tahoma"/>
            <family val="2"/>
          </rPr>
          <t xml:space="preserve">Hill injured in game
</t>
        </r>
      </text>
    </comment>
    <comment ref="R345" authorId="0" shapeId="0" xr:uid="{85955106-AE3C-7C46-8E9A-7F47C7D838AB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346" authorId="0" shapeId="0" xr:uid="{99AC5B4A-37EA-F440-AE18-2C5CD173E844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47" authorId="0" shapeId="0" xr:uid="{4653D368-8335-224D-9FC1-192F5779C262}">
      <text>
        <r>
          <rPr>
            <b/>
            <sz val="10"/>
            <color rgb="FF000000"/>
            <rFont val="Tahoma"/>
            <family val="2"/>
          </rPr>
          <t>Diggs</t>
        </r>
      </text>
    </comment>
    <comment ref="R349" authorId="0" shapeId="0" xr:uid="{EE48BB56-62DA-6940-A1C2-10DACE30EBB7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R351" authorId="0" shapeId="0" xr:uid="{C4301734-832F-8C4A-9931-787350473BAE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53" authorId="0" shapeId="0" xr:uid="{601D8501-82B0-2044-8FE3-58466863C423}">
      <text>
        <r>
          <rPr>
            <b/>
            <sz val="10"/>
            <color rgb="FF000000"/>
            <rFont val="Tahoma"/>
            <family val="2"/>
          </rPr>
          <t>Moncrief</t>
        </r>
      </text>
    </comment>
    <comment ref="R354" authorId="0" shapeId="0" xr:uid="{5B088334-59E9-A747-A9AC-8EB7BE95E4A7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R355" authorId="0" shapeId="0" xr:uid="{9BC5BDAA-E405-9C49-9ADD-D4D81CBCAD15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357" authorId="0" shapeId="0" xr:uid="{43F9675E-73A7-0443-90D8-122409EDB425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358" authorId="0" shapeId="0" xr:uid="{9D116BAC-1AB4-FC42-B026-52238C6AF275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R360" authorId="0" shapeId="0" xr:uid="{6E43A6D0-EBFC-174E-8DC4-CC2BD28A8F63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61" authorId="0" shapeId="0" xr:uid="{59CCABA7-EA08-FE4E-A434-024A0DC90CDC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R362" authorId="0" shapeId="0" xr:uid="{DEE9F343-C4E8-3D45-9EDE-0009A945CD37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64" authorId="0" shapeId="0" xr:uid="{9C092935-A619-C049-856C-A67C916F902D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70" authorId="0" shapeId="0" xr:uid="{D6959E4D-5085-4244-A7BE-05370AEF9A6B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371" authorId="0" shapeId="0" xr:uid="{FE9F85E4-4F9F-B740-9719-2A0824E37619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R372" authorId="0" shapeId="0" xr:uid="{75223D82-4A65-2D43-8535-816B61E984CC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R374" authorId="0" shapeId="0" xr:uid="{8ABA3174-9316-184F-8A9C-63CCA7649F34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375" authorId="0" shapeId="0" xr:uid="{3DFFFC8A-1D5E-6C4D-A552-47CADABAE006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R376" authorId="0" shapeId="0" xr:uid="{482A4E42-4D31-0F44-8ED9-695ADFABB09D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78" authorId="0" shapeId="0" xr:uid="{478151EF-3D9E-AA42-8DDF-F720AAD6278F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379" authorId="0" shapeId="0" xr:uid="{BB744A0C-1D80-834D-BBC3-70F788F79749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80" authorId="0" shapeId="0" xr:uid="{8D29BCF4-B0C1-9847-AD1C-50784BBA2C9D}">
      <text>
        <r>
          <rPr>
            <b/>
            <sz val="10"/>
            <color rgb="FF000000"/>
            <rFont val="Tahoma"/>
            <family val="2"/>
          </rPr>
          <t>Diggs</t>
        </r>
      </text>
    </comment>
    <comment ref="R381" authorId="0" shapeId="0" xr:uid="{A739FAC4-BE8E-6648-8E76-2595554D2BED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82" authorId="0" shapeId="0" xr:uid="{E9407999-878D-2F40-B959-58EA56465009}">
      <text>
        <r>
          <rPr>
            <b/>
            <sz val="10"/>
            <color rgb="FF000000"/>
            <rFont val="Tahoma"/>
            <family val="2"/>
          </rPr>
          <t>Tre'quan Smith</t>
        </r>
      </text>
    </comment>
    <comment ref="R383" authorId="0" shapeId="0" xr:uid="{28700833-CEBE-4444-90F9-360EE150A52E}">
      <text>
        <r>
          <rPr>
            <b/>
            <sz val="10"/>
            <color rgb="FF000000"/>
            <rFont val="Tahoma"/>
            <family val="2"/>
          </rPr>
          <t>Latimer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84" authorId="0" shapeId="0" xr:uid="{F72678F8-48CA-C24F-ABE3-2A47B19C3998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85" authorId="0" shapeId="0" xr:uid="{085B59F3-E133-D343-933D-E41E45684E85}">
      <text>
        <r>
          <rPr>
            <b/>
            <sz val="10"/>
            <color rgb="FF000000"/>
            <rFont val="Tahoma"/>
            <family val="2"/>
          </rPr>
          <t>Hollins -- Alshon and DJax injured in 1st quarter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86" authorId="0" shapeId="0" xr:uid="{53EA53AA-227F-6E45-A178-8EF4EFBE62DB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R387" authorId="0" shapeId="0" xr:uid="{8DC5E67A-7F43-1A47-BAA7-2B961DCDDA7E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R388" authorId="0" shapeId="0" xr:uid="{F3480A16-81AA-FC43-A701-ACE839937ED1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390" authorId="0" shapeId="0" xr:uid="{DC5D79D2-1BA3-DD48-8670-6F56C5FDDAA3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391" authorId="0" shapeId="0" xr:uid="{7FD213F7-A45A-0543-9CD8-46EA542CB7B1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R392" authorId="0" shapeId="0" xr:uid="{5D5BD9FD-33A5-4545-8E5E-B577AEE0103E}">
      <text>
        <r>
          <rPr>
            <b/>
            <sz val="10"/>
            <color rgb="FF000000"/>
            <rFont val="Tahoma"/>
            <family val="2"/>
          </rPr>
          <t>Kirk</t>
        </r>
      </text>
    </comment>
    <comment ref="R393" authorId="0" shapeId="0" xr:uid="{5C91534C-72C9-8548-8060-8B3EB4A75DF7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94" authorId="0" shapeId="0" xr:uid="{7041663E-E54C-3A40-9914-6DE7AE2939EA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R395" authorId="0" shapeId="0" xr:uid="{7169096C-7C7F-B74C-B675-253FF535A1C3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97" authorId="0" shapeId="0" xr:uid="{9C0C37DD-5F83-ED43-A7D2-AAD6F7738C8B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01" authorId="0" shapeId="0" xr:uid="{4C8B585A-C7B4-904E-9130-9B41C28D6330}">
      <text>
        <r>
          <rPr>
            <b/>
            <sz val="10"/>
            <color rgb="FF000000"/>
            <rFont val="Tahoma"/>
            <family val="2"/>
          </rPr>
          <t>Devin Smith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03" authorId="0" shapeId="0" xr:uid="{038DACAC-7903-C84B-B5B6-9F7B4CA50E46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404" authorId="0" shapeId="0" xr:uid="{C72C2305-1701-DA41-A442-31821039CD06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R405" authorId="0" shapeId="0" xr:uid="{D8BF3060-39CA-854B-ADFC-0E4D447E7B3E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R406" authorId="0" shapeId="0" xr:uid="{FC065055-5C52-804A-88B9-9041E8540A62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07" authorId="0" shapeId="0" xr:uid="{860E9966-B1E1-C84C-B2E3-4B94332A8F56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409" authorId="0" shapeId="0" xr:uid="{4FD2AA31-3BFB-4E46-B541-D59F947233B4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11" authorId="0" shapeId="0" xr:uid="{5E15695F-F1AB-7745-A6D2-588541C6F8A1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412" authorId="0" shapeId="0" xr:uid="{A7D36257-00D5-9C4C-8E3D-08018EEC5965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14" authorId="0" shapeId="0" xr:uid="{D6C51618-3D6B-0D49-89F2-E0464D13EF83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R415" authorId="0" shapeId="0" xr:uid="{DF3464BF-484A-CD4B-9905-4BA8A56F490A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R416" authorId="0" shapeId="0" xr:uid="{0DA6B2AF-59C1-6643-8FDE-70D9E9CC0EB0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17" authorId="0" shapeId="0" xr:uid="{D4EDB568-83E2-454B-87D7-F706914DA9F3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18" authorId="0" shapeId="0" xr:uid="{8F1A6D25-D02B-8049-9434-F23BA57C900D}">
      <text>
        <r>
          <rPr>
            <b/>
            <sz val="10"/>
            <color rgb="FF000000"/>
            <rFont val="Tahoma"/>
            <family val="2"/>
          </rPr>
          <t>Hollins -- Alshon and DJax out</t>
        </r>
      </text>
    </comment>
    <comment ref="R419" authorId="0" shapeId="0" xr:uid="{B495DB8D-7334-4C46-A07C-2FAA3165680C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20" authorId="0" shapeId="0" xr:uid="{37630855-9EA0-8647-8D70-37F4B48E8FFD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21" authorId="0" shapeId="0" xr:uid="{212CFB98-0E73-244F-8C1E-1838F1E79A1A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423" authorId="0" shapeId="0" xr:uid="{758387E1-C8CF-3A4C-B5F6-E3ECAF0063D2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R424" authorId="0" shapeId="0" xr:uid="{70CBCA4E-EFF1-654B-B099-D674CDA67416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R425" authorId="0" shapeId="0" xr:uid="{83BB4BBA-2687-CF49-AF87-F4DF8A2B6D7E}">
      <text>
        <r>
          <rPr>
            <b/>
            <sz val="10"/>
            <color rgb="FF000000"/>
            <rFont val="Tahoma"/>
            <family val="2"/>
          </rPr>
          <t>Kirk</t>
        </r>
      </text>
    </comment>
    <comment ref="R426" authorId="0" shapeId="0" xr:uid="{BC3C7171-F106-BC43-A893-61119B6EC21A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27" authorId="0" shapeId="0" xr:uid="{B10550AF-5B1F-0249-9043-49F4399E1C41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R428" authorId="0" shapeId="0" xr:uid="{14FC3999-CB40-0E4D-8CEB-40953D21E4C4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30" authorId="0" shapeId="0" xr:uid="{773A8A42-A1BA-4244-A4FE-EA4EEF1C7B82}">
      <text>
        <r>
          <rPr>
            <b/>
            <sz val="10"/>
            <color rgb="FF000000"/>
            <rFont val="Tahoma"/>
            <family val="2"/>
          </rPr>
          <t>Javon Wims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34" authorId="0" shapeId="0" xr:uid="{C71617C0-7D9B-AA4F-A415-874D1B47321E}">
      <text>
        <r>
          <rPr>
            <b/>
            <sz val="10"/>
            <color rgb="FF000000"/>
            <rFont val="Tahoma"/>
            <family val="2"/>
          </rPr>
          <t>Devin Smith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36" authorId="0" shapeId="0" xr:uid="{829F6154-5B6C-D84B-8F01-9874CFC6D33B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437" authorId="0" shapeId="0" xr:uid="{34B47520-4450-7A48-8FAA-C8F91ED80DE6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R438" authorId="0" shapeId="0" xr:uid="{17A1D0D9-2DCF-5646-899E-9D5C4BA2A274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R440" authorId="0" shapeId="0" xr:uid="{C78AB856-F659-2C4B-A94D-A1BEB1532AC5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441" authorId="0" shapeId="0" xr:uid="{55286744-1427-5B44-80C8-02F049853DA6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R442" authorId="0" shapeId="0" xr:uid="{44E06E95-2040-F34A-8F7C-7AB3EF40DF16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44" authorId="0" shapeId="0" xr:uid="{68843710-062F-6946-B5C0-9049C74AB73C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445" authorId="0" shapeId="0" xr:uid="{0D484931-1BF3-034B-BCA9-EA226508F34B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47" authorId="0" shapeId="0" xr:uid="{157F2F8D-1C26-E24A-A7F3-6D81F132E104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R448" authorId="0" shapeId="0" xr:uid="{DF9AB720-F3A5-734A-BC2C-954D0B63AAE1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R449" authorId="0" shapeId="0" xr:uid="{A521A38B-2509-B14A-972F-C5ECCD3A9532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50" authorId="0" shapeId="0" xr:uid="{554869A8-420B-4840-A44F-A8E389D84E37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R451" authorId="0" shapeId="0" xr:uid="{019E6101-AA1E-9847-8690-6C544DEA8DBD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52" authorId="0" shapeId="0" xr:uid="{B97D2E97-27A8-CB49-8FFD-54C2025657B9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454" authorId="0" shapeId="0" xr:uid="{6E4AF450-F61A-AC43-99EC-978B1CACFBA7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456" authorId="0" shapeId="0" xr:uid="{8480E8DD-39C4-BD4F-B75A-0685BDF1AA44}">
      <text>
        <r>
          <rPr>
            <b/>
            <sz val="10"/>
            <color rgb="FF000000"/>
            <rFont val="Tahoma"/>
            <family val="2"/>
          </rPr>
          <t xml:space="preserve">KeeSean Johnson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57" authorId="0" shapeId="0" xr:uid="{0FF20F49-59D4-7641-8C38-1FDA01DFA7B7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58" authorId="0" shapeId="0" xr:uid="{71937026-6066-ED46-AEE9-E4D14326CBC2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R459" authorId="0" shapeId="0" xr:uid="{FD05EE09-444E-9440-9B09-DF14BB6E0945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61" authorId="0" shapeId="0" xr:uid="{50051F0E-F9B0-D741-A5C5-39A1F92987BB}">
      <text>
        <r>
          <rPr>
            <b/>
            <sz val="10"/>
            <color rgb="FF000000"/>
            <rFont val="Tahoma"/>
            <family val="2"/>
          </rPr>
          <t xml:space="preserve">Anthony Miller </t>
        </r>
        <r>
          <rPr>
            <b/>
            <sz val="10"/>
            <color rgb="FF000000"/>
            <rFont val="Calibri"/>
            <family val="2"/>
          </rPr>
          <t>- Gabriel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62" authorId="0" shapeId="0" xr:uid="{9B15CD80-6B3F-C940-BAB3-010F77BFB83C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64" authorId="0" shapeId="0" xr:uid="{7BB9B9FF-3C87-2A49-905D-921F34742670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68" authorId="0" shapeId="0" xr:uid="{35AC0DC4-443D-ED44-BE2F-70FE418BCA7F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R469" authorId="0" shapeId="0" xr:uid="{A02209D7-72DC-7C4D-802A-96DA6944BFD9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70" authorId="0" shapeId="0" xr:uid="{E4C45106-BC9E-AC49-B447-D36B875280ED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471" authorId="0" shapeId="0" xr:uid="{EFBA96FF-819B-084B-BCF0-40D5B3EBDD86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R474" authorId="0" shapeId="0" xr:uid="{E6CEFC03-153E-1348-9CD9-EB00B067A1D2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476" authorId="0" shapeId="0" xr:uid="{9BBE0CA0-2C6A-E842-9A1C-D14DB9B712DA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R477" authorId="0" shapeId="0" xr:uid="{3B0CA08B-3353-6449-8C7B-04AB8F806DFE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R478" authorId="0" shapeId="0" xr:uid="{D581D4F9-4AA0-4547-92A5-92B2D58A3F1A}">
      <text>
        <r>
          <rPr>
            <b/>
            <sz val="10"/>
            <color rgb="FF000000"/>
            <rFont val="Tahoma"/>
            <family val="2"/>
          </rPr>
          <t>Golden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79" authorId="0" shapeId="0" xr:uid="{29B0F758-3592-8140-B104-69A6A5E3BFCF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80" authorId="0" shapeId="0" xr:uid="{D691D415-6A35-664F-9BD5-E4896FCCB1C5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R481" authorId="0" shapeId="0" xr:uid="{C4211D4C-97B2-4841-B65C-A01891EF12E9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82" authorId="0" shapeId="0" xr:uid="{0F94266E-2812-A646-A707-0E2AA1F5C386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83" authorId="0" shapeId="0" xr:uid="{DA5175BC-A2E7-DE40-A1FE-43CE87053581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485" authorId="0" shapeId="0" xr:uid="{F4BE71B8-7C30-1843-97D6-475D84F79BD2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R486" authorId="0" shapeId="0" xr:uid="{1EFB5405-EF6A-984E-8CCB-560E80AABB73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R487" authorId="0" shapeId="0" xr:uid="{18B0D539-50E6-BF4D-9926-AAFBD458760F}">
      <text>
        <r>
          <rPr>
            <b/>
            <sz val="10"/>
            <color rgb="FF000000"/>
            <rFont val="Calibri"/>
            <family val="2"/>
          </rPr>
          <t>Damiere Byrd-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88" authorId="0" shapeId="0" xr:uid="{A0B25DB6-0BD3-8A49-AC07-10111CF161E3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89" authorId="0" shapeId="0" xr:uid="{DC179B85-AD66-E242-A547-79CA0C818864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R491" authorId="0" shapeId="0" xr:uid="{E68EF0A2-4830-8843-BDA3-355F8AACE5B6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93" authorId="0" shapeId="0" xr:uid="{E11D6B01-B710-414D-9123-793D199CC7D4}">
      <text>
        <r>
          <rPr>
            <b/>
            <sz val="10"/>
            <color rgb="FF000000"/>
            <rFont val="Tahoma"/>
            <family val="2"/>
          </rPr>
          <t>Gallup - Cobb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95" authorId="0" shapeId="0" xr:uid="{DB3354DE-EB42-7442-98A0-A7D0CD2DB6B8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498" authorId="0" shapeId="0" xr:uid="{D00D1DF9-7B62-AA40-934B-645F8AEF5852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R499" authorId="0" shapeId="0" xr:uid="{D167C0BB-BB93-B043-8675-A111D2F04DC6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500" authorId="0" shapeId="0" xr:uid="{27020799-389C-4A4B-AC4A-934FA60F957D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- Watkins out</t>
        </r>
      </text>
    </comment>
    <comment ref="R502" authorId="0" shapeId="0" xr:uid="{7308F773-D31A-904F-885E-32506B711611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503" authorId="0" shapeId="0" xr:uid="{9108565B-143E-2848-85BF-C335E617CC8C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05" authorId="0" shapeId="0" xr:uid="{D128E68A-6884-9047-BB83-AF1CA5681852}">
      <text>
        <r>
          <rPr>
            <b/>
            <sz val="10"/>
            <color rgb="FF000000"/>
            <rFont val="Tahoma"/>
            <family val="2"/>
          </rPr>
          <t>Josh Gordon - inj 1st quater and Dorsett out</t>
        </r>
      </text>
    </comment>
    <comment ref="R506" authorId="0" shapeId="0" xr:uid="{33A8E8B7-CA01-5D41-9376-A7F92FA78F7F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R507" authorId="0" shapeId="0" xr:uid="{F10145B0-8E26-7F4F-9C44-9D4F632104DB}">
      <text>
        <r>
          <rPr>
            <b/>
            <sz val="10"/>
            <color rgb="FF000000"/>
            <rFont val="Tahoma"/>
            <family val="2"/>
          </rPr>
          <t xml:space="preserve">Tate - </t>
        </r>
        <r>
          <rPr>
            <b/>
            <sz val="10"/>
            <color rgb="FF000000"/>
            <rFont val="Calibri"/>
            <family val="2"/>
          </rPr>
          <t>Shepard and Engram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08" authorId="0" shapeId="0" xr:uid="{0E6ABD54-DA4E-3242-919E-C1A889C1CEF5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09" authorId="0" shapeId="0" xr:uid="{C406750E-D3FE-674A-8905-B4A197548E6B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R510" authorId="0" shapeId="0" xr:uid="{2F89D27F-7B54-704A-9A50-C07F6359C8A8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11" authorId="0" shapeId="0" xr:uid="{DACB92E4-C484-264E-B1F4-A7F6BD7D7EF7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R512" authorId="0" shapeId="0" xr:uid="{62D938D0-F3FE-0C49-A852-1B20EFED1938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514" authorId="0" shapeId="0" xr:uid="{D43C677A-0BDD-4748-94F6-5F8D6BC51B57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R515" authorId="0" shapeId="0" xr:uid="{4F6B272B-0933-5248-8B2F-DCF88D480FEA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R516" authorId="0" shapeId="0" xr:uid="{37699181-6E9C-D84E-9B01-38D737DCE154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17" authorId="0" shapeId="0" xr:uid="{E6004DCE-03EC-9141-8545-DFDFE078CBA7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18" authorId="0" shapeId="0" xr:uid="{C375F877-10DA-BE41-81C6-59A413393493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R519" authorId="0" shapeId="0" xr:uid="{5F62B563-B08D-A145-893D-9150D01DB75F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20" authorId="0" shapeId="0" xr:uid="{B098CB78-9EE9-C94B-B5B0-0DF1D98B073E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21" authorId="0" shapeId="0" xr:uid="{1D32F7A1-3316-A944-BDEE-6A5A1078A2BD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22" authorId="0" shapeId="0" xr:uid="{22D45042-5BA1-0D4B-A537-138CF545AFB8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24" authorId="0" shapeId="0" xr:uid="{AD6BD341-7A67-4549-B8D3-DEB7872C1C58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526" authorId="0" shapeId="0" xr:uid="{821B0B90-FB1E-E742-804D-CC8984398B5E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R527" authorId="0" shapeId="0" xr:uid="{85B3E763-892B-254C-A515-AD0D4EEC721E}">
      <text>
        <r>
          <rPr>
            <b/>
            <sz val="10"/>
            <color rgb="FF000000"/>
            <rFont val="Tahoma"/>
            <family val="2"/>
          </rPr>
          <t>Stills - Fuller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28" authorId="0" shapeId="0" xr:uid="{1F1E8128-AD07-BE4F-A206-9C19EAAC2B80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29" authorId="0" shapeId="0" xr:uid="{7B5CBEB2-1511-E346-8318-A87740F37B99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530" authorId="0" shapeId="0" xr:uid="{7C252333-27F5-9048-934C-CA62887932F0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- Watkins out</t>
        </r>
      </text>
    </comment>
    <comment ref="R531" authorId="0" shapeId="0" xr:uid="{0F90D5EA-1AA9-0B42-A34A-56A31000F4F5}">
      <text>
        <r>
          <rPr>
            <b/>
            <sz val="10"/>
            <color rgb="FF000000"/>
            <rFont val="Tahoma"/>
            <family val="2"/>
          </rPr>
          <t>Renfrow - Tyrell Williams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33" authorId="0" shapeId="0" xr:uid="{CA462273-0BE0-CB4B-B9DB-054050F31A90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534" authorId="0" shapeId="0" xr:uid="{8EE98B9F-E34A-A44B-BA90-AC268B7FCF3B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36" authorId="0" shapeId="0" xr:uid="{108D854B-AA70-294D-8A8D-BE60F4647DDB}">
      <text>
        <r>
          <rPr>
            <b/>
            <sz val="10"/>
            <color rgb="FF000000"/>
            <rFont val="Tahoma"/>
            <family val="2"/>
          </rPr>
          <t>Dorsett - Gordon out</t>
        </r>
      </text>
    </comment>
    <comment ref="R537" authorId="0" shapeId="0" xr:uid="{7C6D7143-4C76-EB48-9118-3E702FBCD47E}">
      <text>
        <r>
          <rPr>
            <b/>
            <sz val="10"/>
            <color rgb="FF000000"/>
            <rFont val="Tahoma"/>
            <family val="2"/>
          </rPr>
          <t>Ted Ginn - Tre'Quan and Cook out</t>
        </r>
      </text>
    </comment>
    <comment ref="R538" authorId="0" shapeId="0" xr:uid="{384FE057-D12A-AD4B-AF13-9059C1203F72}">
      <text>
        <r>
          <rPr>
            <b/>
            <sz val="10"/>
            <color rgb="FF000000"/>
            <rFont val="Tahoma"/>
            <family val="2"/>
          </rPr>
          <t>Benny Fowler - 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39" authorId="0" shapeId="0" xr:uid="{06FE2887-BA09-6544-A808-B1F53966129F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40" authorId="0" shapeId="0" xr:uid="{9C6002C2-5545-5841-9D07-33FA9E17BEF9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R541" authorId="0" shapeId="0" xr:uid="{24B056D5-C22C-0C48-889D-99CAA3852A81}">
      <text>
        <r>
          <rPr>
            <b/>
            <sz val="10"/>
            <color rgb="FF000000"/>
            <rFont val="Tahoma"/>
            <family val="2"/>
          </rPr>
          <t>Richie James Jr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42" authorId="0" shapeId="0" xr:uid="{7407685A-7498-BF4B-8F1D-365F7D9040E7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543" authorId="0" shapeId="0" xr:uid="{A609C856-F6D0-2641-898B-F5DF42DF7E6A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544" authorId="0" shapeId="0" xr:uid="{4A263CA7-0695-7847-8D67-021F341CD79B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R545" authorId="0" shapeId="0" xr:uid="{168FA869-58BB-4147-8057-5EBB3A8571D0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46" authorId="0" shapeId="0" xr:uid="{33563042-F5F3-CF44-9356-C9E970417EFF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47" authorId="0" shapeId="0" xr:uid="{F69A0F34-F167-154B-8EC2-15E5BFFEF08B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49" authorId="0" shapeId="0" xr:uid="{B072C027-1A2A-004E-BDC2-CD0A6D4247D4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50" authorId="0" shapeId="0" xr:uid="{F6B5EF9D-1800-9A41-90D3-5E9B52DE6C6B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53" authorId="0" shapeId="0" xr:uid="{34253F2A-9E9C-AC43-96E6-71A8B7981AE2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R555" authorId="0" shapeId="0" xr:uid="{AA168874-C5F3-0147-A695-8F7A47111F42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R556" authorId="0" shapeId="0" xr:uid="{10100530-2822-0C42-ABA2-594702E09CDB}">
      <text>
        <r>
          <rPr>
            <b/>
            <sz val="10"/>
            <color rgb="FF000000"/>
            <rFont val="Tahoma"/>
            <family val="2"/>
          </rPr>
          <t>Stills - Fuller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57" authorId="0" shapeId="0" xr:uid="{E6BC823C-8534-A449-A692-35A8A9CF203B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58" authorId="0" shapeId="0" xr:uid="{9E063F81-3218-7648-A474-01D43F23041A}">
      <text>
        <r>
          <rPr>
            <b/>
            <sz val="10"/>
            <color rgb="FF000000"/>
            <rFont val="Tahoma"/>
            <family val="2"/>
          </rPr>
          <t>Conley - Westbrook injured in game</t>
        </r>
      </text>
    </comment>
    <comment ref="R559" authorId="0" shapeId="0" xr:uid="{135BF0D8-2C85-9849-808C-D2A8D9CB9DB3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R560" authorId="0" shapeId="0" xr:uid="{44D031A5-3872-5144-82C0-BA8B4BB0A957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62" authorId="0" shapeId="0" xr:uid="{09B4FF74-D09A-0945-8681-D105CC2374B3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563" authorId="0" shapeId="0" xr:uid="{284D7841-E87B-6449-A40C-2F0028E6EC9F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65" authorId="0" shapeId="0" xr:uid="{D947397B-5B22-8043-BD05-C2358D8BD6B1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67" authorId="0" shapeId="0" xr:uid="{A79493C9-8713-9646-9126-B6A055813379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68" authorId="0" shapeId="0" xr:uid="{441A4A78-2AA9-CF43-B520-46AC3C77F0BB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69" authorId="0" shapeId="0" xr:uid="{6D2091A0-9456-A148-8CE3-F57BAF45BCC8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R570" authorId="0" shapeId="0" xr:uid="{F3B6BB39-39EE-1844-AA2A-C78E28A72280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71" authorId="0" shapeId="0" xr:uid="{0BAED396-A501-CB4C-877C-01B45FFCAD4C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R572" authorId="0" shapeId="0" xr:uid="{8FB77E4B-0E69-4148-BD28-013780BA20EC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574" authorId="0" shapeId="0" xr:uid="{0420AE60-24ED-5D40-9D2D-14DE57D82C05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575" authorId="0" shapeId="0" xr:uid="{CF29DCC3-2E8F-B54D-89D1-9E313D8BD539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R576" authorId="0" shapeId="0" xr:uid="{437010BC-B8BF-514E-BC57-4F751989C887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78" authorId="0" shapeId="0" xr:uid="{245CE35D-C72A-F24E-9D1A-A31736098D6F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80" authorId="0" shapeId="0" xr:uid="{0CA320AE-B10B-F549-A771-9EBB68FB1BAC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82" authorId="0" shapeId="0" xr:uid="{CFF1BB06-E14F-BE44-A0AA-53AD8BC2112E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84" authorId="0" shapeId="0" xr:uid="{2CEE3752-3675-244B-A0C3-AA07EA748D33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585" authorId="0" shapeId="0" xr:uid="{25F85B13-96AB-6C4D-A3CC-47535CACE484}">
      <text>
        <r>
          <rPr>
            <b/>
            <sz val="10"/>
            <color rgb="FF000000"/>
            <rFont val="Tahoma"/>
            <family val="2"/>
          </rPr>
          <t>Lazard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86" authorId="0" shapeId="0" xr:uid="{DD33E7DE-AB3F-B24B-9FD8-DCF0CEA8F228}">
      <text>
        <r>
          <rPr>
            <b/>
            <sz val="10"/>
            <color rgb="FF000000"/>
            <rFont val="Tahoma"/>
            <family val="2"/>
          </rPr>
          <t>Stills - Fuller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88" authorId="0" shapeId="0" xr:uid="{6F225C45-FE1F-AD44-ADAB-DFF8A20928A1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R589" authorId="0" shapeId="0" xr:uid="{991A1D60-B0D9-A340-B4AE-8C984E48A84B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R590" authorId="0" shapeId="0" xr:uid="{D5523FC3-25CB-C940-A41F-EC6231C9C3E0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92" authorId="0" shapeId="0" xr:uid="{A776F1FE-92FE-6549-B913-EE9B32808739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94" authorId="0" shapeId="0" xr:uid="{07D9786A-6891-8C42-A8B8-4E9FFED70532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95" authorId="0" shapeId="0" xr:uid="{C20AEC58-426E-6841-8C0B-F28C3D8AE5F6}">
      <text>
        <r>
          <rPr>
            <b/>
            <sz val="10"/>
            <color rgb="FF000000"/>
            <rFont val="Tahoma"/>
            <family val="2"/>
          </rPr>
          <t>Latimer - 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96" authorId="0" shapeId="0" xr:uid="{437247E8-4B3C-1042-8196-0B85CA12E4E5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97" authorId="0" shapeId="0" xr:uid="{FCC17645-0307-E649-90F7-2244675FE14C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R598" authorId="0" shapeId="0" xr:uid="{956ED40F-DEF6-BA45-9BA5-11F762F26F28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R599" authorId="0" shapeId="0" xr:uid="{535B40AC-6DE4-8E44-BF83-68DCF1C69903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R600" authorId="0" shapeId="0" xr:uid="{2D6702DA-E14D-CD48-9178-5C31A722A2A5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602" authorId="0" shapeId="0" xr:uid="{1167F22B-647B-8D4A-A46F-9DE19AB964A5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603" authorId="0" shapeId="0" xr:uid="{772D88C1-A765-5B43-904C-68C5CF374D6A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R604" authorId="0" shapeId="0" xr:uid="{AF5C70E6-2EEF-9E4C-AEC3-05FAE6BD5F2B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05" authorId="0" shapeId="0" xr:uid="{11D2D704-3650-1542-85B4-1707349F9480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10" authorId="0" shapeId="0" xr:uid="{E70FD356-5C3A-EE4A-B358-9247CC37F99F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19" authorId="0" shapeId="0" xr:uid="{1C0313E1-552E-E34E-873C-2A69152B0BD1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624" authorId="0" shapeId="0" xr:uid="{6F68A898-B0EA-D648-8A53-1FBAC75952A6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25" authorId="0" shapeId="0" xr:uid="{7B4C909C-56F9-024D-BF8E-E513A93C8451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26" authorId="0" shapeId="0" xr:uid="{C186FA08-B3E6-ED48-A7FA-37BDEBD2818D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R630" authorId="0" shapeId="0" xr:uid="{BBF8CAF0-BC0A-D042-A372-511397A88AE7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R631" authorId="0" shapeId="0" xr:uid="{9ACF58A9-3F3E-8D4F-BE24-7CC8D2AD45E2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37" authorId="0" shapeId="0" xr:uid="{FD4EE487-7B1D-5A42-977F-336A8BA5D1F7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44" authorId="0" shapeId="0" xr:uid="{1F257F13-51AD-7148-9570-8D72F9D53E24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648" authorId="0" shapeId="0" xr:uid="{B7A543AD-1245-534C-BD4A-55C0CB6121E7}">
      <text>
        <r>
          <rPr>
            <b/>
            <sz val="10"/>
            <color rgb="FF000000"/>
            <rFont val="Tahoma"/>
            <family val="2"/>
          </rPr>
          <t>Josh Reynolds - Cooks and Woods out</t>
        </r>
      </text>
    </comment>
    <comment ref="R651" authorId="0" shapeId="0" xr:uid="{0FC85859-A622-BC4C-9498-3FF641030D2F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53" authorId="0" shapeId="0" xr:uid="{E6C1F9C8-225B-7543-95DA-2D964A764205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J656" authorId="0" shapeId="0" xr:uid="{DA49A9AC-E631-9147-8650-27C6CA695DD6}">
      <text>
        <r>
          <rPr>
            <b/>
            <sz val="10"/>
            <color rgb="FF000000"/>
            <rFont val="Tahoma"/>
            <family val="2"/>
          </rPr>
          <t>Sanders played a little bit, but was expected to be extremely limited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64" authorId="0" shapeId="0" xr:uid="{9378F346-1DEC-0A42-ABAF-0E0A7CD9298F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70" authorId="0" shapeId="0" xr:uid="{936BED78-AAE8-C642-A612-632B2EED19C8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R674" authorId="0" shapeId="0" xr:uid="{8978DD23-D3B5-B54E-803B-3ECA80FB075D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678" authorId="0" shapeId="0" xr:uid="{9C94C89E-5B2F-4A4C-8787-3AE20953639D}">
      <text>
        <r>
          <rPr>
            <b/>
            <sz val="10"/>
            <color rgb="FF000000"/>
            <rFont val="Tahoma"/>
            <family val="2"/>
          </rPr>
          <t>Tate</t>
        </r>
      </text>
    </comment>
    <comment ref="R679" authorId="0" shapeId="0" xr:uid="{A154F7F7-3424-7F43-938A-955A50D32B72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82" authorId="0" shapeId="0" xr:uid="{1D462626-13F6-E943-B90D-FAFA840D8289}">
      <text>
        <r>
          <rPr>
            <b/>
            <sz val="10"/>
            <color rgb="FF000000"/>
            <rFont val="Tahoma"/>
            <family val="2"/>
          </rPr>
          <t>Diontae Johnson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83" authorId="0" shapeId="0" xr:uid="{2067276F-D6DD-4340-8153-50C997E49A38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R686" authorId="0" shapeId="0" xr:uid="{8E727923-01E5-CF4C-BEFC-ACF034935391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R688" authorId="0" shapeId="0" xr:uid="{CFC246F8-1C56-9943-84E3-EF4EEF4C746D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95" authorId="0" shapeId="0" xr:uid="{360431B5-64C1-3740-966E-3D8E2D3EBFFC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707" authorId="0" shapeId="0" xr:uid="{1961862C-4335-094A-B2F7-CED52C8D7CFF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713" authorId="0" shapeId="0" xr:uid="{1C5B659F-0CD1-0743-88E3-816BD6CDE4BC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715" authorId="0" shapeId="0" xr:uid="{AEB2E66E-3A68-C144-83C2-DFB4C27FA1D2}">
      <text>
        <r>
          <rPr>
            <b/>
            <sz val="10"/>
            <color rgb="FF000000"/>
            <rFont val="Tahoma"/>
            <family val="2"/>
          </rPr>
          <t>Diontae Johnson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717" authorId="0" shapeId="0" xr:uid="{23E9E3CA-5C51-0E48-BF35-9E8FBF2DC027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R720" authorId="0" shapeId="0" xr:uid="{DAEDD7AA-2111-D341-923C-58AF818B171D}">
      <text>
        <r>
          <rPr>
            <b/>
            <sz val="10"/>
            <color rgb="FF000000"/>
            <rFont val="Tahoma"/>
            <family val="2"/>
          </rPr>
          <t>Corey Davis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D1" authorId="0" shapeId="0" xr:uid="{EA5FC5A4-D996-2E43-92BC-964DE0396466}">
      <text>
        <r>
          <rPr>
            <b/>
            <sz val="10"/>
            <color rgb="FF000000"/>
            <rFont val="Tahoma"/>
            <family val="2"/>
          </rPr>
          <t>1) tot WR afa &gt;= 1.0 or 2) WR total yards afa &gt;= 2.0 yards</t>
        </r>
      </text>
    </comment>
    <comment ref="E1" authorId="0" shapeId="0" xr:uid="{09BE2625-ECA0-DB49-8737-AE80B5F26CE5}">
      <text>
        <r>
          <rPr>
            <b/>
            <sz val="10"/>
            <color rgb="FF000000"/>
            <rFont val="Tahoma"/>
            <family val="2"/>
          </rPr>
          <t>Both Defenses &gt;= 0.1 afa for all postitions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" authorId="0" shapeId="0" xr:uid="{472C57D6-AE00-4748-8FAE-DF940A143296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" authorId="0" shapeId="0" xr:uid="{6D4CAA35-DC21-594D-BDE5-DD81A990DEE3}">
      <text>
        <r>
          <rPr>
            <b/>
            <sz val="10"/>
            <color rgb="FF000000"/>
            <rFont val="Tahoma"/>
            <family val="2"/>
          </rPr>
          <t>1) PF (QB AFF points - RB AFF points) &gt;=1 or 2) QB AFF points &gt;=2</t>
        </r>
      </text>
    </comment>
    <comment ref="H1" authorId="0" shapeId="0" xr:uid="{04271B0D-54C0-764F-ACB7-CFAB8DA247F5}">
      <text>
        <r>
          <rPr>
            <b/>
            <sz val="10"/>
            <color rgb="FF000000"/>
            <rFont val="Tahoma"/>
            <family val="2"/>
          </rPr>
          <t xml:space="preserve">1) PF (QB afa points - RB afa points) &gt;=2 </t>
        </r>
        <r>
          <rPr>
            <b/>
            <sz val="10"/>
            <color rgb="FF000000"/>
            <rFont val="Calibri"/>
            <family val="2"/>
            <scheme val="minor"/>
          </rPr>
          <t xml:space="preserve">and must be POS for QB scoring </t>
        </r>
        <r>
          <rPr>
            <b/>
            <sz val="10"/>
            <color rgb="FF000000"/>
            <rFont val="Tahoma"/>
            <family val="2"/>
          </rPr>
          <t>or 2) QB afa points &gt;=2.0 3) PF yards &gt;=20 yards and has a positive afa for QBs</t>
        </r>
      </text>
    </comment>
    <comment ref="J1" authorId="0" shapeId="0" xr:uid="{78288881-9BFB-3F40-BA0D-2526F0D481E6}">
      <text>
        <r>
          <rPr>
            <b/>
            <sz val="10"/>
            <color rgb="FF000000"/>
            <rFont val="Tahoma"/>
            <family val="2"/>
          </rPr>
          <t>max 4 weeks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K1" authorId="0" shapeId="0" xr:uid="{3448746F-67FF-9F41-B70A-E379AD775285}">
      <text>
        <r>
          <rPr>
            <b/>
            <sz val="10"/>
            <color rgb="FF000000"/>
            <rFont val="Tahoma"/>
            <family val="2"/>
          </rPr>
          <t>max 4 weeks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29" authorId="0" shapeId="0" xr:uid="{5472C2F2-D040-D64A-ABBB-0CAABBF6970F}">
      <text>
        <r>
          <rPr>
            <b/>
            <sz val="10"/>
            <color rgb="FF000000"/>
            <rFont val="Tahoma"/>
            <family val="2"/>
          </rPr>
          <t xml:space="preserve">Kroft out </t>
        </r>
      </text>
    </comment>
    <comment ref="R343" authorId="0" shapeId="0" xr:uid="{12B654E9-EB28-8540-9B73-D05AC6112EAC}">
      <text>
        <r>
          <rPr>
            <b/>
            <sz val="10"/>
            <color rgb="FF000000"/>
            <rFont val="Tahoma"/>
            <family val="2"/>
          </rPr>
          <t>Hunter Henry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65" authorId="0" shapeId="0" xr:uid="{C45FC2E2-D50F-6A47-81FF-3140725C43D8}">
      <text>
        <r>
          <rPr>
            <b/>
            <sz val="10"/>
            <color rgb="FF000000"/>
            <rFont val="Tahoma"/>
            <family val="2"/>
          </rPr>
          <t>Njoku injured in 1st half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84" authorId="0" shapeId="0" xr:uid="{CE5B9904-AF21-6E44-A343-0940EBA189D4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R501" authorId="0" shapeId="0" xr:uid="{063F27F9-19D9-FA41-AD7D-D442FB8BA34B}">
      <text>
        <r>
          <rPr>
            <b/>
            <sz val="10"/>
            <color rgb="FF000000"/>
            <rFont val="Calibri"/>
            <family val="2"/>
            <scheme val="minor"/>
          </rPr>
          <t>Shepard and Engram out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06" authorId="0" shapeId="0" xr:uid="{E3EC52A3-4E3B-8D4F-9C45-146677070DE7}">
      <text>
        <r>
          <rPr>
            <b/>
            <sz val="10"/>
            <color rgb="FF000000"/>
            <rFont val="Tahoma"/>
            <family val="2"/>
          </rPr>
          <t>Dissly injurd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09" authorId="0" shapeId="0" xr:uid="{D15A9815-E2B5-4746-ACE4-B536BB66D491}">
      <text>
        <r>
          <rPr>
            <b/>
            <sz val="10"/>
            <color rgb="FF000000"/>
            <rFont val="Tahoma"/>
            <family val="2"/>
          </rPr>
          <t>Sprinkle - Davis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22" authorId="0" shapeId="0" xr:uid="{225B2636-831D-BD44-B877-41EBF0BB57A9}">
      <text>
        <r>
          <rPr>
            <b/>
            <sz val="10"/>
            <color rgb="FF000000"/>
            <rFont val="Tahoma"/>
            <family val="2"/>
          </rPr>
          <t>O'Shaunnesey and Swaim out for season - The only 2 TEs that ran routes for Jags all season. Might funnel more targets to WRs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37" authorId="0" shapeId="0" xr:uid="{6FD4D11F-1F11-C747-AB94-0CD9DD54F6C1}">
      <text>
        <r>
          <rPr>
            <b/>
            <sz val="10"/>
            <color rgb="FF000000"/>
            <rFont val="Tahoma"/>
            <family val="2"/>
          </rPr>
          <t>Sprinkle - Davis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J647" authorId="0" shapeId="0" xr:uid="{7635221F-C66E-ED40-A593-74F3B19CEEF9}">
      <text>
        <r>
          <rPr>
            <b/>
            <sz val="10"/>
            <color rgb="FF000000"/>
            <rFont val="Tahoma"/>
            <family val="2"/>
          </rPr>
          <t>Sanders played a little bit, but was expected to be extremely limited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K1" authorId="0" shapeId="0" xr:uid="{DC62A79A-E6D8-104E-A6A2-9EA8B9E32CF4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" authorId="0" shapeId="0" xr:uid="{288E7B5C-DE49-ED42-802E-85A829F6D31A}">
      <text>
        <r>
          <rPr>
            <b/>
            <sz val="10"/>
            <color rgb="FF000000"/>
            <rFont val="Tahoma"/>
            <family val="2"/>
          </rPr>
          <t>Fitz</t>
        </r>
      </text>
    </comment>
    <comment ref="F2" authorId="0" shapeId="0" xr:uid="{D75C3958-6D7B-F54F-BF7C-38E385B606A1}">
      <text>
        <r>
          <rPr>
            <b/>
            <sz val="10"/>
            <color rgb="FF000000"/>
            <rFont val="Tahoma"/>
            <family val="2"/>
          </rPr>
          <t>Kirk</t>
        </r>
      </text>
    </comment>
    <comment ref="G2" authorId="0" shapeId="0" xr:uid="{5546BC91-CEDA-CD4F-8BC1-0BC9F8A087F7}">
      <text>
        <r>
          <rPr>
            <b/>
            <sz val="10"/>
            <color rgb="FF000000"/>
            <rFont val="Tahoma"/>
            <family val="2"/>
          </rPr>
          <t>Keesean Johnson</t>
        </r>
      </text>
    </comment>
    <comment ref="E3" authorId="0" shapeId="0" xr:uid="{6513704E-CD06-8B4E-B70E-056EEFB67BB6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" authorId="0" shapeId="0" xr:uid="{693493F7-FBDD-374D-B224-9F6B5BD65938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" authorId="0" shapeId="0" xr:uid="{EF28CBEE-4A76-5845-9F18-0F0F14D78B21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4" authorId="0" shapeId="0" xr:uid="{580B5F66-E2D1-ED4E-BD14-AC261854C5B7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4" authorId="0" shapeId="0" xr:uid="{85F59EBE-D966-9C46-9241-00AC90863ED6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G4" authorId="0" shapeId="0" xr:uid="{480709FF-34F4-8546-A66A-02DE638AAAD0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5" authorId="0" shapeId="0" xr:uid="{F3D77CA3-D201-7341-B236-9E6A89A70483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" authorId="0" shapeId="0" xr:uid="{2350AF35-B378-FB48-AB39-65752DC655BD}">
      <text>
        <r>
          <rPr>
            <b/>
            <sz val="10"/>
            <color rgb="FF000000"/>
            <rFont val="Tahoma"/>
            <family val="2"/>
          </rPr>
          <t>Zay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" authorId="0" shapeId="0" xr:uid="{4BCFA7A0-D9D9-8D4C-9536-9E490B6E8E12}">
      <text>
        <r>
          <rPr>
            <b/>
            <sz val="10"/>
            <color rgb="FF000000"/>
            <rFont val="Tahoma"/>
            <family val="2"/>
          </rPr>
          <t>Javon Wims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" authorId="0" shapeId="0" xr:uid="{B54D6E34-D3A5-384D-B98C-C08A419EE846}">
      <text>
        <r>
          <rPr>
            <b/>
            <sz val="10"/>
            <color rgb="FF000000"/>
            <rFont val="Tahoma"/>
            <family val="2"/>
          </rPr>
          <t>Devin Smith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" authorId="0" shapeId="0" xr:uid="{BD16FF8E-9C6D-C847-B4AE-45EA83A45D65}">
      <text>
        <r>
          <rPr>
            <b/>
            <sz val="10"/>
            <color rgb="FF000000"/>
            <rFont val="Tahoma"/>
            <family val="2"/>
          </rPr>
          <t xml:space="preserve">Cobb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" authorId="0" shapeId="0" xr:uid="{0A7159B7-8F54-CD48-BB4E-60374A2A206D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12" authorId="0" shapeId="0" xr:uid="{3BE24063-5AAF-514D-84BF-70862C33BED7}">
      <text>
        <r>
          <rPr>
            <b/>
            <sz val="10"/>
            <color rgb="FF000000"/>
            <rFont val="Tahoma"/>
            <family val="2"/>
          </rPr>
          <t>Marvin Hall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" authorId="0" shapeId="0" xr:uid="{57FF0AC2-BF10-0C48-B3D2-500C4DA6E03B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G13" authorId="0" shapeId="0" xr:uid="{9DE0E10A-1764-884B-B07C-B4E72BEDE9F3}">
      <text>
        <r>
          <rPr>
            <b/>
            <sz val="10"/>
            <color rgb="FF000000"/>
            <rFont val="Tahoma"/>
            <family val="2"/>
          </rPr>
          <t>Allison</t>
        </r>
      </text>
    </comment>
    <comment ref="F14" authorId="0" shapeId="0" xr:uid="{61C664F2-6228-214A-8204-5060432C48AC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14" authorId="0" shapeId="0" xr:uid="{D800F998-A5DE-F04B-8CB7-4CD004F3EDD1}">
      <text>
        <r>
          <rPr>
            <b/>
            <sz val="10"/>
            <color rgb="FF000000"/>
            <rFont val="Tahoma"/>
            <family val="2"/>
          </rPr>
          <t xml:space="preserve">Stills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5" authorId="0" shapeId="0" xr:uid="{B8F0C7D3-106F-1147-9458-D69B64813636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" authorId="0" shapeId="0" xr:uid="{CB57A444-F4A4-5140-9D46-55EEEE6E1212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5" authorId="0" shapeId="0" xr:uid="{3C93A6C8-8820-CC45-AEF2-BA7321453050}">
      <text>
        <r>
          <rPr>
            <b/>
            <sz val="10"/>
            <color rgb="FF000000"/>
            <rFont val="Tahoma"/>
            <family val="2"/>
          </rPr>
          <t>Parris Campbell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" authorId="0" shapeId="0" xr:uid="{BA9A7C9C-ADAE-5D49-97EB-7F208905CE07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16" authorId="0" shapeId="0" xr:uid="{C1ADD32F-2C9D-CE4A-84CF-B2640373431C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17" authorId="0" shapeId="0" xr:uid="{9FA7CC22-7BD8-7A40-855A-ABE23B38BCA7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F17" authorId="0" shapeId="0" xr:uid="{E56F6767-056F-E946-9C25-B24C99D4526F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G17" authorId="0" shapeId="0" xr:uid="{84F0A2B5-3A46-BA4B-AEE0-971FB44D6A7C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8" authorId="0" shapeId="0" xr:uid="{646F48E6-8A34-764E-BF5F-8FC691E03469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0" authorId="0" shapeId="0" xr:uid="{015599A3-E546-CA4B-8730-0B09322AE579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0" authorId="0" shapeId="0" xr:uid="{1EB150CB-300B-7B4D-AA94-FFBC7DEF4989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20" authorId="0" shapeId="0" xr:uid="{CAE3622C-C2B0-6544-8751-557F78E1AF7A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21" authorId="0" shapeId="0" xr:uid="{AE4E915A-9A62-0C43-839C-1962B44AB4C2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21" authorId="0" shapeId="0" xr:uid="{366FF566-11FC-0B40-8B91-702C4F08AEB5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1" authorId="0" shapeId="0" xr:uid="{AE2C29E2-FFC0-C44A-99AF-D8EA48BFCACB}">
      <text>
        <r>
          <rPr>
            <b/>
            <sz val="10"/>
            <color rgb="FF000000"/>
            <rFont val="Tahoma"/>
            <family val="2"/>
          </rPr>
          <t>Jakeem Grant</t>
        </r>
      </text>
    </comment>
    <comment ref="E23" authorId="0" shapeId="0" xr:uid="{C22EEB35-35D0-5245-98DA-8BFE9E08CE33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3" authorId="0" shapeId="0" xr:uid="{23C37C8A-DA0A-3949-8235-D6D6D8A29FD7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G23" authorId="0" shapeId="0" xr:uid="{5EA93A1F-ADE1-8E47-927F-E740A5F7B4B4}">
      <text>
        <r>
          <rPr>
            <b/>
            <sz val="10"/>
            <color rgb="FF000000"/>
            <rFont val="Tahoma"/>
            <family val="2"/>
          </rPr>
          <t>Phillip 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" authorId="0" shapeId="0" xr:uid="{018ECE29-CD61-B94B-904A-E20471DF8655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E25" authorId="0" shapeId="0" xr:uid="{5523AB6C-064B-FE44-986E-D79AE1792484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" authorId="0" shapeId="0" xr:uid="{DFB20774-B1DD-7441-8347-547AAA8C296F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5" authorId="0" shapeId="0" xr:uid="{10310129-F450-8045-A8CF-3E8304442943}">
      <text>
        <r>
          <rPr>
            <b/>
            <sz val="10"/>
            <color rgb="FF000000"/>
            <rFont val="Tahoma"/>
            <family val="2"/>
          </rPr>
          <t>Russell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6" authorId="0" shapeId="0" xr:uid="{EEA37190-B37F-6146-B7DA-35943346CFFC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6" authorId="0" shapeId="0" xr:uid="{A4E70A6D-E948-494C-B75E-1955B99E3DF3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26" authorId="0" shapeId="0" xr:uid="{7B6CDA23-179F-9E4E-A202-E85FEBF985A2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7" authorId="0" shapeId="0" xr:uid="{5C6F1F5E-7CC8-D64B-83EF-9214E80E9BA9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7" authorId="0" shapeId="0" xr:uid="{E5CACD1E-2976-6D44-9B02-26123493F8A8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E28" authorId="0" shapeId="0" xr:uid="{6FFE9610-A38C-7348-81A5-D1A47532216F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F28" authorId="0" shapeId="0" xr:uid="{D08C2CB5-2BD1-CA4E-8396-83D9007AA12F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28" authorId="0" shapeId="0" xr:uid="{A6C18A1B-B119-724C-B84F-EFE0224C9EBF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29" authorId="0" shapeId="0" xr:uid="{0057B61A-EABE-7049-982E-95B5E0040D20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30" authorId="0" shapeId="0" xr:uid="{C3EB8743-42A3-514B-AF50-636C53EBC139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30" authorId="0" shapeId="0" xr:uid="{C18ACD55-1A80-5F43-BFCE-17F0937EFE85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30" authorId="0" shapeId="0" xr:uid="{0383DB86-4F83-674F-B1D5-C5ECF6D553A8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31" authorId="0" shapeId="0" xr:uid="{401717B9-2E13-F44B-9278-F0E52BEBF93E}">
      <text>
        <r>
          <rPr>
            <b/>
            <sz val="10"/>
            <color rgb="FF000000"/>
            <rFont val="Tahoma"/>
            <family val="2"/>
          </rPr>
          <t>Paul Richardson</t>
        </r>
        <r>
          <rPr>
            <b/>
            <sz val="10"/>
            <color rgb="FF000000"/>
            <rFont val="Calibri"/>
            <family val="2"/>
          </rPr>
          <t xml:space="preserve"> - McLaurin out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F31" authorId="0" shapeId="0" xr:uid="{5F2E8BF7-523B-DA41-B9F4-1AC12C8BD84C}">
      <text>
        <r>
          <rPr>
            <b/>
            <sz val="10"/>
            <color rgb="FF000000"/>
            <rFont val="Tahoma"/>
            <family val="2"/>
          </rPr>
          <t>Trey Quinn</t>
        </r>
        <r>
          <rPr>
            <b/>
            <sz val="10"/>
            <color rgb="FF000000"/>
            <rFont val="Calibri"/>
            <family val="2"/>
          </rPr>
          <t xml:space="preserve"> - McLaurin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 xml:space="preserve">
</t>
        </r>
      </text>
    </comment>
    <comment ref="G31" authorId="0" shapeId="0" xr:uid="{FB4DA623-2A23-0A47-979F-5E75293AD942}">
      <text>
        <r>
          <rPr>
            <b/>
            <sz val="10"/>
            <color rgb="FF000000"/>
            <rFont val="Tahoma"/>
            <family val="2"/>
          </rPr>
          <t>Kelvin Harmon - McLaurin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2" authorId="0" shapeId="0" xr:uid="{90686F43-8467-304C-97A1-937040A183EA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F32" authorId="0" shapeId="0" xr:uid="{04C2A8F7-26B5-3E48-A0CD-292A4DE72405}">
      <text>
        <r>
          <rPr>
            <b/>
            <sz val="10"/>
            <color rgb="FF000000"/>
            <rFont val="Tahoma"/>
            <family val="2"/>
          </rPr>
          <t xml:space="preserve">KeeSean Johnson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2" authorId="0" shapeId="0" xr:uid="{346D6970-BE0D-A348-A64B-7168C7E62CB8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3" authorId="0" shapeId="0" xr:uid="{550E22BF-AE70-5844-A67A-A36271CFC47D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3" authorId="0" shapeId="0" xr:uid="{B513C057-FB56-304D-ACDB-723535119B5C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3" authorId="0" shapeId="0" xr:uid="{0AA70639-ED35-2F46-90CE-5B5593120553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4" authorId="0" shapeId="0" xr:uid="{B80D0748-5B9B-F140-AFAF-73D585060C61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34" authorId="0" shapeId="0" xr:uid="{09541C9C-538E-CD41-8CE2-AB5006CB1CE0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G34" authorId="0" shapeId="0" xr:uid="{EE10A622-B1CF-1349-A644-28F76A10151C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35" authorId="0" shapeId="0" xr:uid="{1592B294-14C0-C843-9048-FD175A0776F8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5" authorId="0" shapeId="0" xr:uid="{4DF3B26A-807A-8342-9146-B78D3BF4FED5}">
      <text>
        <r>
          <rPr>
            <b/>
            <sz val="10"/>
            <color rgb="FF000000"/>
            <rFont val="Tahoma"/>
            <family val="2"/>
          </rPr>
          <t>Isaiah McKenzie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7" authorId="0" shapeId="0" xr:uid="{2AEE3DCD-F4C6-954F-8E58-931DBBE91B03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7" authorId="0" shapeId="0" xr:uid="{75FBC492-B017-DC4C-B11C-08992F798C72}">
      <text>
        <r>
          <rPr>
            <b/>
            <sz val="10"/>
            <color rgb="FF000000"/>
            <rFont val="Tahoma"/>
            <family val="2"/>
          </rPr>
          <t xml:space="preserve">Anthony Miller </t>
        </r>
        <r>
          <rPr>
            <b/>
            <sz val="10"/>
            <color rgb="FF000000"/>
            <rFont val="Calibri"/>
            <family val="2"/>
          </rPr>
          <t>- Gabriel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7" authorId="0" shapeId="0" xr:uid="{7CC72BE3-9DAA-B841-BD00-35DF9C3BD1CC}">
      <text>
        <r>
          <rPr>
            <b/>
            <sz val="10"/>
            <color rgb="FF000000"/>
            <rFont val="Tahoma"/>
            <family val="2"/>
          </rPr>
          <t xml:space="preserve">Javon Wims </t>
        </r>
        <r>
          <rPr>
            <b/>
            <sz val="10"/>
            <color rgb="FF000000"/>
            <rFont val="Calibri"/>
            <family val="2"/>
          </rPr>
          <t>- Gabriel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8" authorId="0" shapeId="0" xr:uid="{29DBB75E-078D-F549-8722-58883A1E745A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8" authorId="0" shapeId="0" xr:uid="{9240B12F-0166-6649-B67B-DC52D6756935}">
      <text>
        <r>
          <rPr>
            <b/>
            <sz val="10"/>
            <color rgb="FF000000"/>
            <rFont val="Tahoma"/>
            <family val="2"/>
          </rPr>
          <t>Damion Willis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0" authorId="0" shapeId="0" xr:uid="{D14AA310-EA49-3A4A-877F-F0081FC4BBA8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40" authorId="0" shapeId="0" xr:uid="{D5268706-6FA5-8B4C-8114-E80464523978}">
      <text>
        <r>
          <rPr>
            <b/>
            <sz val="10"/>
            <color rgb="FF000000"/>
            <rFont val="Tahoma"/>
            <family val="2"/>
          </rPr>
          <t>Cobb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42" authorId="0" shapeId="0" xr:uid="{98CF8281-7030-6943-BC21-726894F4618E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42" authorId="0" shapeId="0" xr:uid="{CB3D40B6-03C4-EF40-9356-604A364557B1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F43" authorId="0" shapeId="0" xr:uid="{9BC39B07-319F-3944-9CD4-DCE55C435FC4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43" authorId="0" shapeId="0" xr:uid="{FE03624A-A22C-5349-BA16-65CE1E201999}">
      <text>
        <r>
          <rPr>
            <b/>
            <sz val="10"/>
            <color rgb="FF000000"/>
            <rFont val="Tahoma"/>
            <family val="2"/>
          </rPr>
          <t>Coutee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4" authorId="0" shapeId="0" xr:uid="{D910DB25-8433-DC40-8DA7-CD08412F75BA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5" authorId="0" shapeId="0" xr:uid="{4AAF1500-92FC-DF49-8103-C120E18EE3FC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45" authorId="0" shapeId="0" xr:uid="{2DF236AE-1BAC-9743-A31C-96E6D73DC170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46" authorId="0" shapeId="0" xr:uid="{A998E60D-4B24-3D43-9B4D-3B66B7E07DCB}">
      <text>
        <r>
          <rPr>
            <b/>
            <sz val="10"/>
            <color rgb="FF000000"/>
            <rFont val="Tahoma"/>
            <family val="2"/>
          </rPr>
          <t>Pringle - Watkins injured early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6" authorId="0" shapeId="0" xr:uid="{47F880F3-3E65-C944-8A0D-F924B259DAC7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G46" authorId="0" shapeId="0" xr:uid="{DF9D66DC-8C7F-4041-B11F-104A746C1D95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47" authorId="0" shapeId="0" xr:uid="{1CC8E556-6354-294C-B2FF-2E3BD8831ACA}">
      <text>
        <r>
          <rPr>
            <b/>
            <sz val="10"/>
            <color rgb="FF000000"/>
            <rFont val="Tahoma"/>
            <family val="2"/>
          </rPr>
          <t>Renfrow - Tyrell Williams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7" authorId="0" shapeId="0" xr:uid="{2FF0DE5D-B08E-8746-AA5E-667633ABE7C4}">
      <text>
        <r>
          <rPr>
            <b/>
            <sz val="10"/>
            <color rgb="FF000000"/>
            <rFont val="Tahoma"/>
            <family val="2"/>
          </rPr>
          <t xml:space="preserve">Trevor Davis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47" authorId="0" shapeId="0" xr:uid="{E767DF47-E3F1-2A4D-858C-E9B37BE2B66C}">
      <text>
        <r>
          <rPr>
            <b/>
            <sz val="10"/>
            <color rgb="FF000000"/>
            <rFont val="Tahoma"/>
            <family val="2"/>
          </rPr>
          <t xml:space="preserve">Keelan Doss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49" authorId="0" shapeId="0" xr:uid="{B04AFB34-C278-3947-AB00-EDD4757AB44A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49" authorId="0" shapeId="0" xr:uid="{19E5896B-EF31-284A-A884-FCB727210EEF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49" authorId="0" shapeId="0" xr:uid="{780CE3E6-AD8B-D349-9BF8-1FA33361ACA7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51" authorId="0" shapeId="0" xr:uid="{AECBF0B2-DD23-E548-9946-8A5843FAA665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1" authorId="0" shapeId="0" xr:uid="{31795946-70A6-C646-984A-CEA50F92B287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G51" authorId="0" shapeId="0" xr:uid="{DCA6701F-727A-544C-AD42-F81D2DB71CB8}">
      <text>
        <r>
          <rPr>
            <b/>
            <sz val="10"/>
            <color rgb="FF000000"/>
            <rFont val="Tahoma"/>
            <family val="2"/>
          </rPr>
          <t>Phillip 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2" authorId="0" shapeId="0" xr:uid="{C6C3B898-D0F6-5646-A1FC-39D2502A25D3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E53" authorId="0" shapeId="0" xr:uid="{40A71189-3C08-7E43-82E5-BE0DF5964C42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3" authorId="0" shapeId="0" xr:uid="{98BED89F-617B-5049-8CE9-C4A5397AE049}">
      <text>
        <r>
          <rPr>
            <b/>
            <sz val="10"/>
            <color rgb="FF000000"/>
            <rFont val="Tahoma"/>
            <family val="2"/>
          </rPr>
          <t>Golden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3" authorId="0" shapeId="0" xr:uid="{ABC99B88-645C-4E4D-9917-2DB6EE982BA1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54" authorId="0" shapeId="0" xr:uid="{58DDA325-60FC-E54A-9BED-854CB9C19A14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4" authorId="0" shapeId="0" xr:uid="{F45EB3DC-A8E9-DF4F-9C2A-612978A7F3AD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55" authorId="0" shapeId="0" xr:uid="{E301D85F-BBD9-B940-89D7-FD81A8E95D8A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5" authorId="0" shapeId="0" xr:uid="{DA55EE9B-9FC6-EA4B-92FD-9670FF80C725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55" authorId="0" shapeId="0" xr:uid="{2A26AF64-5B5F-F743-A1BD-C07D94CC1C65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6" authorId="0" shapeId="0" xr:uid="{675B08C5-9764-8F41-9D05-8DE76C164D3D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6" authorId="0" shapeId="0" xr:uid="{9CB70D71-C8A8-E648-A0F4-145296A452D9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E57" authorId="0" shapeId="0" xr:uid="{47E9F464-A3FC-C242-9497-BB89C31C0D69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F57" authorId="0" shapeId="0" xr:uid="{2444609A-2F44-1E4E-B894-C1482E32E77C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7" authorId="0" shapeId="0" xr:uid="{082AA2C4-57E5-AA43-8198-9FA56334E66F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58" authorId="0" shapeId="0" xr:uid="{C650BA87-520B-E649-85C2-F9ACADCE4951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F58" authorId="0" shapeId="0" xr:uid="{E6E36E43-20B7-9E47-BC06-EDD247E48F5D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58" authorId="0" shapeId="0" xr:uid="{3AB9ADE0-FC68-874D-B5CB-DB8133D2DBFD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59" authorId="0" shapeId="0" xr:uid="{1D1B907C-532A-774C-A5F9-ECC702C115B0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60" authorId="0" shapeId="0" xr:uid="{131257C8-C85C-D44E-9E5A-0ACCBDF18834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60" authorId="0" shapeId="0" xr:uid="{9C84F8B2-2D1E-4A43-AF1F-C291EC4069A9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G60" authorId="0" shapeId="0" xr:uid="{5B3B5FCC-34D3-5341-A14A-1C50A553414F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E61" authorId="0" shapeId="0" xr:uid="{7924E7E0-9B37-4E4D-96F2-E9E86F26F168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61" authorId="0" shapeId="0" xr:uid="{36F5DD82-49DC-7840-AC94-BE91FD22AB10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G61" authorId="0" shapeId="0" xr:uid="{B886E5AB-FEA9-4C4C-96C7-E6C136F06207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E62" authorId="0" shapeId="0" xr:uid="{8259145A-69DB-6042-A595-DF0D0C83C2B2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F62" authorId="0" shapeId="0" xr:uid="{FB0EC476-200A-2048-B062-9E2FB725D873}">
      <text>
        <r>
          <rPr>
            <b/>
            <sz val="10"/>
            <color rgb="FF000000"/>
            <rFont val="Calibri"/>
            <family val="2"/>
          </rPr>
          <t>Damiere Byrd-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2" authorId="0" shapeId="0" xr:uid="{69768EC3-DD76-FC4E-8A53-9E8ABCD3ED11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63" authorId="0" shapeId="0" xr:uid="{FD883C44-A117-8848-9D6A-3F70DF2243A2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63" authorId="0" shapeId="0" xr:uid="{3AA4C624-5C14-904C-B0AF-9D5979BFB0F6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3" authorId="0" shapeId="0" xr:uid="{E504860F-1309-6D41-A5DF-6CE8B0F8DEBB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64" authorId="0" shapeId="0" xr:uid="{1F5E1644-EBE2-C743-A264-193DC27AE7F9}">
      <text>
        <r>
          <rPr>
            <b/>
            <sz val="10"/>
            <color rgb="FF000000"/>
            <rFont val="Tahoma"/>
            <family val="2"/>
          </rPr>
          <t>Snead - Marquise Brown out</t>
        </r>
      </text>
    </comment>
    <comment ref="F64" authorId="0" shapeId="0" xr:uid="{E16EB466-2A03-324A-89EE-95FC58B03FC6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G64" authorId="0" shapeId="0" xr:uid="{B8F95F59-3232-0645-9D45-326CEB2FB9DB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H64" authorId="0" shapeId="0" xr:uid="{5A8B620C-CFB9-C840-AC47-BB96032DB9F9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F66" authorId="0" shapeId="0" xr:uid="{47D3280F-101B-194E-8A07-C33381DBA716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6" authorId="0" shapeId="0" xr:uid="{BC0A86D6-A25E-A849-971E-E6981EFEE7B7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68" authorId="0" shapeId="0" xr:uid="{320903EA-27B7-B648-8D0A-BAD247B6784C}">
      <text>
        <r>
          <rPr>
            <b/>
            <sz val="10"/>
            <color rgb="FF000000"/>
            <rFont val="Tahoma"/>
            <family val="2"/>
          </rPr>
          <t>Cooper injured in 1st Q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68" authorId="0" shapeId="0" xr:uid="{FF851B27-DC8C-C543-A1B5-289F66AEAFD0}">
      <text>
        <r>
          <rPr>
            <b/>
            <sz val="10"/>
            <color rgb="FF000000"/>
            <rFont val="Tahoma"/>
            <family val="2"/>
          </rPr>
          <t>Gallup - Cobb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8" authorId="0" shapeId="0" xr:uid="{E6F3C380-B45E-5D45-A3ED-1BE9E5513283}">
      <text>
        <r>
          <rPr>
            <b/>
            <sz val="10"/>
            <color rgb="FF000000"/>
            <rFont val="Tahoma"/>
            <family val="2"/>
          </rPr>
          <t>Tavon Austin - Cobb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0" authorId="0" shapeId="0" xr:uid="{CE1756CC-AC57-444C-8387-31BE007E6EB0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70" authorId="0" shapeId="0" xr:uid="{A4887835-1FC6-354A-A0BC-98FA6C3D471C}">
      <text>
        <r>
          <rPr>
            <b/>
            <sz val="10"/>
            <color rgb="FF000000"/>
            <rFont val="Tahoma"/>
            <family val="2"/>
          </rPr>
          <t>MArvin Hall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71" authorId="0" shapeId="0" xr:uid="{B92977B9-EE6F-9044-9A84-75920B632574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F71" authorId="0" shapeId="0" xr:uid="{3520A641-76D2-F64F-9045-8A48513429FD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G71" authorId="0" shapeId="0" xr:uid="{45EA5DAB-03F0-3640-9F7A-AEB014654662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72" authorId="0" shapeId="0" xr:uid="{520C52DD-56A1-174B-945D-24299BC91326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72" authorId="0" shapeId="0" xr:uid="{7B568F8A-F84C-FF43-A830-44C0B16FE390}">
      <text>
        <r>
          <rPr>
            <b/>
            <sz val="10"/>
            <color rgb="FF000000"/>
            <rFont val="Tahoma"/>
            <family val="2"/>
          </rPr>
          <t>Coutee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3" authorId="0" shapeId="0" xr:uid="{CFFBDDE4-5369-524F-9809-72988F4C126B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73" authorId="0" shapeId="0" xr:uid="{C1CE909C-604F-A84E-BBF1-FF4FEFB4E7B6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74" authorId="0" shapeId="0" xr:uid="{3A008734-751C-8B48-8EB0-55BEE71D9FC3}">
      <text>
        <r>
          <rPr>
            <b/>
            <sz val="10"/>
            <color rgb="FF000000"/>
            <rFont val="Tahoma"/>
            <family val="2"/>
          </rPr>
          <t>Tyreek Hill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4" authorId="0" shapeId="0" xr:uid="{AF7CFBDE-5A36-9D4C-9283-2EBA3FFA4068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- Watkins out</t>
        </r>
      </text>
    </comment>
    <comment ref="G74" authorId="0" shapeId="0" xr:uid="{9DA50463-34BF-0642-8367-B0CBD92A88BE}">
      <text>
        <r>
          <rPr>
            <b/>
            <sz val="10"/>
            <color rgb="FF000000"/>
            <rFont val="Tahoma"/>
            <family val="2"/>
          </rPr>
          <t>Pringle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76" authorId="0" shapeId="0" xr:uid="{A7C6571A-6656-C14C-BD9A-105C4465FCE3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76" authorId="0" shapeId="0" xr:uid="{657B4149-9A57-0242-A2CD-97628EEFA360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76" authorId="0" shapeId="0" xr:uid="{781CB20F-B3B3-CE49-A4BB-68C2C4FA2653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77" authorId="0" shapeId="0" xr:uid="{60E3DAF8-B9CE-554E-B945-4849CAD48E6E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77" authorId="0" shapeId="0" xr:uid="{611994AE-CF58-2349-AE60-71B048C0144D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77" authorId="0" shapeId="0" xr:uid="{06AE3AF3-5CC6-9047-B1FA-BD2F98387612}">
      <text>
        <r>
          <rPr>
            <b/>
            <sz val="10"/>
            <color rgb="FF000000"/>
            <rFont val="Tahoma"/>
            <family val="2"/>
          </rPr>
          <t>Albert Wilson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79" authorId="0" shapeId="0" xr:uid="{2CE308DE-AAF2-2E49-94D8-A315926C9079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9" authorId="0" shapeId="0" xr:uid="{BF7D78BB-3155-814D-B8E8-90290ED7CDDF}">
      <text>
        <r>
          <rPr>
            <b/>
            <sz val="10"/>
            <color rgb="FF000000"/>
            <rFont val="Tahoma"/>
            <family val="2"/>
          </rPr>
          <t>Josh Gordon - inj 1st quater and Dorsett out</t>
        </r>
      </text>
    </comment>
    <comment ref="G79" authorId="0" shapeId="0" xr:uid="{D5ECF5FB-D8D0-064B-9C5E-A49162F18549}">
      <text>
        <r>
          <rPr>
            <b/>
            <sz val="10"/>
            <color rgb="FF000000"/>
            <rFont val="Tahoma"/>
            <family val="2"/>
          </rPr>
          <t>Jakobi Meyers - Dorsett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0" authorId="0" shapeId="0" xr:uid="{2B738C1E-0CBC-664B-87DB-6798445E23DC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E81" authorId="0" shapeId="0" xr:uid="{0D737614-7E46-F24B-8A3D-56C54D0E94C2}">
      <text>
        <r>
          <rPr>
            <b/>
            <sz val="10"/>
            <color rgb="FF000000"/>
            <rFont val="Tahoma"/>
            <family val="2"/>
          </rPr>
          <t>Tate - Shepard and Engram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1" authorId="0" shapeId="0" xr:uid="{75738E5F-76F6-C74C-B8E8-5855F296B9AD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and Engram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81" authorId="0" shapeId="0" xr:uid="{DA12CEDC-89E5-A743-8E60-7E954EF6D8B8}">
      <text>
        <r>
          <rPr>
            <b/>
            <sz val="10"/>
            <color rgb="FF000000"/>
            <rFont val="Calibri"/>
            <family val="2"/>
          </rPr>
          <t>Shepard and Engram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H81" authorId="0" shapeId="0" xr:uid="{1E17B4C8-A6BA-2649-973C-C703F5FF5DD8}">
      <text>
        <r>
          <rPr>
            <b/>
            <sz val="10"/>
            <color rgb="FF000000"/>
            <rFont val="Calibri"/>
            <family val="2"/>
            <scheme val="minor"/>
          </rPr>
          <t>Shepard and Engram out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2" authorId="0" shapeId="0" xr:uid="{E825DF64-ABF6-CF48-9C66-15E76DDB9E33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2" authorId="0" shapeId="0" xr:uid="{5C8ABC73-D0EC-A04B-91DB-7FCDB429DF54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3" authorId="0" shapeId="0" xr:uid="{67EF6F90-ACB5-8F4A-B6C5-7CC8B2CEA8E8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3" authorId="0" shapeId="0" xr:uid="{2100CF24-0BB4-8043-A26C-530E4DFEBAEA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83" authorId="0" shapeId="0" xr:uid="{12616527-FB26-744D-85C7-C2639E8AEE20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4" authorId="0" shapeId="0" xr:uid="{BA2A3143-C12E-004A-820B-A895FBEDE480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84" authorId="0" shapeId="0" xr:uid="{A0DF95DD-2354-EB45-87B3-A7DBDDE991BA}">
      <text>
        <r>
          <rPr>
            <b/>
            <sz val="10"/>
            <color rgb="FF000000"/>
            <rFont val="Tahoma"/>
            <family val="2"/>
          </rPr>
          <t>Moncrief</t>
        </r>
      </text>
    </comment>
    <comment ref="E85" authorId="0" shapeId="0" xr:uid="{6E804417-FF6A-3346-8EC2-4106FA92D6CD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5" authorId="0" shapeId="0" xr:uid="{C9E04E27-6FFB-CF44-AFCB-860761148FC2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G85" authorId="0" shapeId="0" xr:uid="{FFE12B54-491C-D943-8EF6-8A11697BE6B9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F86" authorId="0" shapeId="0" xr:uid="{5881EE94-BD6B-9B4B-B9E4-3AF108FD4AE7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86" authorId="0" shapeId="0" xr:uid="{8FBFB920-8DC6-274A-9A12-10A8D6F8A037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H86" authorId="0" shapeId="0" xr:uid="{2749205B-C2C7-7E40-BC86-797BB5EE5EFF}">
      <text>
        <r>
          <rPr>
            <b/>
            <sz val="10"/>
            <color rgb="FF000000"/>
            <rFont val="Tahoma"/>
            <family val="2"/>
          </rPr>
          <t>Dissly injurd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7" authorId="0" shapeId="0" xr:uid="{D79B0331-D33F-CE4D-B7BF-BF7E61DA421B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88" authorId="0" shapeId="0" xr:uid="{36CE38EB-4738-4D41-AE03-1DC5518399A8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88" authorId="0" shapeId="0" xr:uid="{FD7A03CC-B776-6E40-9E57-5A04E6AB2373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G88" authorId="0" shapeId="0" xr:uid="{88E90580-8F75-F34C-87C4-A1C4AAE6E89B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E89" authorId="0" shapeId="0" xr:uid="{E4C5894E-8E11-BD47-80AD-0F5157006FD6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89" authorId="0" shapeId="0" xr:uid="{3104EEC0-37C0-9940-9419-78650E3BE84C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G89" authorId="0" shapeId="0" xr:uid="{A38DBC5A-0AA8-4942-96A5-E12C7634510E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H89" authorId="0" shapeId="0" xr:uid="{4838731B-36F0-694D-AD0B-600227C0E753}">
      <text>
        <r>
          <rPr>
            <b/>
            <sz val="10"/>
            <color rgb="FF000000"/>
            <rFont val="Tahoma"/>
            <family val="2"/>
          </rPr>
          <t>Sprinkle - Davis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0" authorId="0" shapeId="0" xr:uid="{35A3E1B9-6AB6-3E47-B30C-2C8F12D6BD32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F90" authorId="0" shapeId="0" xr:uid="{475604A8-1AA4-1844-8FF4-B68CAB55B62B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0" authorId="0" shapeId="0" xr:uid="{3BCF331E-4217-1145-B458-B626A2435A4C}">
      <text>
        <r>
          <rPr>
            <b/>
            <sz val="10"/>
            <color rgb="FF000000"/>
            <rFont val="Calibri"/>
            <family val="2"/>
          </rPr>
          <t>Damiere Byrd-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1" authorId="0" shapeId="0" xr:uid="{4D3B150E-655F-C34D-A9F0-D3F606162939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1" authorId="0" shapeId="0" xr:uid="{F7E04E3C-D1A7-E94B-A43D-2F2049586B12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1" authorId="0" shapeId="0" xr:uid="{DA237D13-4F6C-E947-8B38-BFEE0780B75A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2" authorId="0" shapeId="0" xr:uid="{29A8EF80-5F9D-874B-BE4D-B3D45DFEA8BD}">
      <text>
        <r>
          <rPr>
            <b/>
            <sz val="10"/>
            <color rgb="FF000000"/>
            <rFont val="Tahoma"/>
            <family val="2"/>
          </rPr>
          <t>Snead - Marquise Brown out</t>
        </r>
      </text>
    </comment>
    <comment ref="F92" authorId="0" shapeId="0" xr:uid="{7952E6F8-4A04-BA4B-9015-3D4C49CA9D2E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G92" authorId="0" shapeId="0" xr:uid="{4FABD29B-CD28-394F-9E62-839832807498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F93" authorId="0" shapeId="0" xr:uid="{CA8A5E08-6B1A-704D-A5FA-ACCC3A419E56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3" authorId="0" shapeId="0" xr:uid="{51A80C18-CA3D-5D43-9F81-D6D4E8975F7C}">
      <text>
        <r>
          <rPr>
            <b/>
            <sz val="10"/>
            <color rgb="FF000000"/>
            <rFont val="Tahoma"/>
            <family val="2"/>
          </rPr>
          <t>Duke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4" authorId="0" shapeId="0" xr:uid="{28748E5E-057A-0347-B893-44F4178E8D9C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4" authorId="0" shapeId="0" xr:uid="{9A899AC9-2282-C642-8C33-D4A4E0D39F82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4" authorId="0" shapeId="0" xr:uid="{16C9847D-28D2-E445-9F2E-9B6C20652CE4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5" authorId="0" shapeId="0" xr:uid="{7A54F957-F56B-4D43-A965-F0D5B48D874E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5" authorId="0" shapeId="0" xr:uid="{1CE04C87-34F6-9B42-AD28-9E130D76B144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6" authorId="0" shapeId="0" xr:uid="{80957091-A8E3-A64F-8F38-2053F942C62C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6" authorId="0" shapeId="0" xr:uid="{B4DE9011-7393-5745-9481-DFD899DF2897}">
      <text>
        <r>
          <rPr>
            <b/>
            <sz val="10"/>
            <color rgb="FF000000"/>
            <rFont val="Tahoma"/>
            <family val="2"/>
          </rPr>
          <t>Cobb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8" authorId="0" shapeId="0" xr:uid="{E3FE08B1-57E2-F943-A129-504404203E1F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98" authorId="0" shapeId="0" xr:uid="{4DD92B93-AFB0-D74E-82C0-0600E8DEECEC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E99" authorId="0" shapeId="0" xr:uid="{CFE06F10-DCC9-1C40-9D8F-2FF48BF2BD04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99" authorId="0" shapeId="0" xr:uid="{79F889A6-F67E-0B4A-9735-C58B548EC041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G99" authorId="0" shapeId="0" xr:uid="{C117F421-6114-7C45-879D-FBCAD77A26B2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F100" authorId="0" shapeId="0" xr:uid="{4E1402D0-A768-6A44-BC8B-75D3C3392408}">
      <text>
        <r>
          <rPr>
            <b/>
            <sz val="10"/>
            <color rgb="FF000000"/>
            <rFont val="Tahoma"/>
            <family val="2"/>
          </rPr>
          <t>Stills - Fuller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0" authorId="0" shapeId="0" xr:uid="{F4478BBA-AD91-B141-AAC1-5A6A9EF7584D}">
      <text>
        <r>
          <rPr>
            <b/>
            <sz val="10"/>
            <color rgb="FF000000"/>
            <rFont val="Tahoma"/>
            <family val="2"/>
          </rPr>
          <t>Coutee - Fuller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1" authorId="0" shapeId="0" xr:uid="{B82484E7-D22A-BC49-A0B2-20FA348A8CFA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2" authorId="0" shapeId="0" xr:uid="{C7B417C6-A10E-684A-8A24-5FFA7DFE3830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102" authorId="0" shapeId="0" xr:uid="{547E1B3D-AEEF-A34B-A01A-3E02D8E43A0C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H102" authorId="0" shapeId="0" xr:uid="{05E2BAA2-6CDD-CE46-B48F-943AE338B1AB}">
      <text>
        <r>
          <rPr>
            <b/>
            <sz val="10"/>
            <color rgb="FF000000"/>
            <rFont val="Tahoma"/>
            <family val="2"/>
          </rPr>
          <t>O'Shaunnesey and Swaim out for season - The only 2 TEs that ran routes for Jags all season. Might funnel more targets to WRs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03" authorId="0" shapeId="0" xr:uid="{F9D4359D-64DA-C248-8122-03954E4BF46D}">
      <text>
        <r>
          <rPr>
            <b/>
            <sz val="10"/>
            <color rgb="FF000000"/>
            <rFont val="Tahoma"/>
            <family val="2"/>
          </rPr>
          <t>Tyreek Hill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3" authorId="0" shapeId="0" xr:uid="{F19B2C2F-1D8B-6643-945C-815D1E63E62A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- Watkins out</t>
        </r>
      </text>
    </comment>
    <comment ref="G103" authorId="0" shapeId="0" xr:uid="{081B126C-1EF0-F84F-B2F3-25B9F913ED5D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E104" authorId="0" shapeId="0" xr:uid="{59CCC438-709A-094F-AE84-8CC20DCD6EB0}">
      <text>
        <r>
          <rPr>
            <b/>
            <sz val="10"/>
            <color rgb="FF000000"/>
            <rFont val="Tahoma"/>
            <family val="2"/>
          </rPr>
          <t xml:space="preserve">Keelan Doss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4" authorId="0" shapeId="0" xr:uid="{782E746C-179B-6949-B798-CDA1E4F18F15}">
      <text>
        <r>
          <rPr>
            <b/>
            <sz val="10"/>
            <color rgb="FF000000"/>
            <rFont val="Tahoma"/>
            <family val="2"/>
          </rPr>
          <t>Renfrow - Tyrell Williams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4" authorId="0" shapeId="0" xr:uid="{62AEB3E1-5A61-BA48-A392-65357C6C6F5D}">
      <text>
        <r>
          <rPr>
            <b/>
            <sz val="10"/>
            <color rgb="FF000000"/>
            <rFont val="Tahoma"/>
            <family val="2"/>
          </rPr>
          <t xml:space="preserve">Trevor Davis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06" authorId="0" shapeId="0" xr:uid="{AA1AD0E9-5C27-3A4A-B41A-AE5340BBC0C6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106" authorId="0" shapeId="0" xr:uid="{BB28F428-7BAC-F54F-9E0A-92726C5C0963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106" authorId="0" shapeId="0" xr:uid="{5D9B10C4-8FDA-BE48-8AFB-40CA3092779C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107" authorId="0" shapeId="0" xr:uid="{32FF4132-B17E-104A-AC3C-C786A09EA636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107" authorId="0" shapeId="0" xr:uid="{6863B25E-1D8E-6345-8D43-24023FAB6F79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7" authorId="0" shapeId="0" xr:uid="{D622A927-CC94-964D-848E-6D39F9F72B90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09" authorId="0" shapeId="0" xr:uid="{7CFFF0EA-82C6-1548-9C5F-21FBFC485377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9" authorId="0" shapeId="0" xr:uid="{0E57B62C-51E8-1A45-886C-BA16753F6FB9}">
      <text>
        <r>
          <rPr>
            <b/>
            <sz val="10"/>
            <color rgb="FF000000"/>
            <rFont val="Tahoma"/>
            <family val="2"/>
          </rPr>
          <t>Dorsett - Gordon out</t>
        </r>
      </text>
    </comment>
    <comment ref="G109" authorId="0" shapeId="0" xr:uid="{596C7402-912E-1545-93F7-0B4ECD8A1B8B}">
      <text>
        <r>
          <rPr>
            <b/>
            <sz val="10"/>
            <color rgb="FF000000"/>
            <rFont val="Tahoma"/>
            <family val="2"/>
          </rPr>
          <t>Jakobi Meyers - Gordon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0" authorId="0" shapeId="0" xr:uid="{A0860483-952A-B649-8FBD-B11632C9299C}">
      <text>
        <r>
          <rPr>
            <b/>
            <sz val="10"/>
            <color rgb="FF000000"/>
            <rFont val="Calibri"/>
            <family val="2"/>
          </rPr>
          <t>Tre'Quan and Cook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F110" authorId="0" shapeId="0" xr:uid="{4CE7F5BF-3C50-434C-9DC5-29F816759F64}">
      <text>
        <r>
          <rPr>
            <b/>
            <sz val="10"/>
            <color rgb="FF000000"/>
            <rFont val="Tahoma"/>
            <family val="2"/>
          </rPr>
          <t>Ted Ginn - Tre'Quan and Cook out</t>
        </r>
      </text>
    </comment>
    <comment ref="E111" authorId="0" shapeId="0" xr:uid="{DE1E3276-988F-5649-9376-6D43A28EA048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111" authorId="0" shapeId="0" xr:uid="{354AE6DE-FC3A-4545-9345-815DDC9A25F8}">
      <text>
        <r>
          <rPr>
            <b/>
            <sz val="10"/>
            <color rgb="FF000000"/>
            <rFont val="Tahoma"/>
            <family val="2"/>
          </rPr>
          <t>Benny Fowler - 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1" authorId="0" shapeId="0" xr:uid="{76582A55-BB94-A641-AD52-A56CEB3FB1E6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2" authorId="0" shapeId="0" xr:uid="{1F65F584-53E4-7846-8BBB-73D09ABD89EF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2" authorId="0" shapeId="0" xr:uid="{26045A39-2B58-E448-8C22-FD5C4173B59A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2" authorId="0" shapeId="0" xr:uid="{16A30C18-49A7-FA4E-9740-34ACC6C0D660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3" authorId="0" shapeId="0" xr:uid="{844DEE4C-34B5-5E49-A348-9277A7487C9B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3" authorId="0" shapeId="0" xr:uid="{F2C36B34-C4D0-694E-852D-3E2B46274629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113" authorId="0" shapeId="0" xr:uid="{85454B3C-0D81-1948-83D2-3F12D3F9141F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4" authorId="0" shapeId="0" xr:uid="{457C9508-B391-4441-8C41-E6F4411D9CD4}">
      <text>
        <r>
          <rPr>
            <b/>
            <sz val="10"/>
            <color rgb="FF000000"/>
            <rFont val="Tahoma"/>
            <family val="2"/>
          </rPr>
          <t>Kendrick Bourne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4" authorId="0" shapeId="0" xr:uid="{C22DD7DE-C224-2E4A-ABEF-549E97986B85}">
      <text>
        <r>
          <rPr>
            <b/>
            <sz val="10"/>
            <color rgb="FF000000"/>
            <rFont val="Tahoma"/>
            <family val="2"/>
          </rPr>
          <t>Richie James Jr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4" authorId="0" shapeId="0" xr:uid="{09BC7991-C42C-BE46-8A7D-54DD525CE81B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5" authorId="0" shapeId="0" xr:uid="{C2FDC278-B878-0A45-B1E3-D3E09284FD4D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115" authorId="0" shapeId="0" xr:uid="{C9FB59D0-32A7-CB47-9713-0EEA886D1227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116" authorId="0" shapeId="0" xr:uid="{5CEB0318-ACF1-C248-A8F4-8971588F9E3E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116" authorId="0" shapeId="0" xr:uid="{E1679251-207A-8A47-B61A-A59ECC563942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116" authorId="0" shapeId="0" xr:uid="{2EB58FAA-BC36-C340-9038-01EDC3DD8410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117" authorId="0" shapeId="0" xr:uid="{8C1407DE-A3B3-2741-AD3F-433CEAC0F2AF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117" authorId="0" shapeId="0" xr:uid="{AC71E2E4-2E2E-7A49-971C-04036BC99473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G117" authorId="0" shapeId="0" xr:uid="{8A664E94-CE9A-EE44-86F4-BA1B29FF5DD0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H117" authorId="0" shapeId="0" xr:uid="{A985A254-F1E9-9245-BCDC-1F0DC3488186}">
      <text>
        <r>
          <rPr>
            <b/>
            <sz val="10"/>
            <color rgb="FF000000"/>
            <rFont val="Tahoma"/>
            <family val="2"/>
          </rPr>
          <t>Sprinkle - Davis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8" authorId="0" shapeId="0" xr:uid="{38C88D19-4B6F-024C-A7D0-EA44F70A633A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8" authorId="0" shapeId="0" xr:uid="{EAA29800-B850-5649-BB25-0AE73F4AB978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9" authorId="0" shapeId="0" xr:uid="{B6C70FDD-F0DE-F547-A243-9B33513081D8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9" authorId="0" shapeId="0" xr:uid="{5D0C1BE7-DDB1-154C-A15C-71C629EA50F9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9" authorId="0" shapeId="0" xr:uid="{3FE5D76A-D3F4-7C43-8E99-FF918A8338CE}">
      <text>
        <r>
          <rPr>
            <b/>
            <sz val="10"/>
            <color rgb="FF000000"/>
            <rFont val="Tahoma"/>
            <family val="2"/>
          </rPr>
          <t>Gage - Sanu traded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0" authorId="0" shapeId="0" xr:uid="{036788E6-38CB-1C48-AFD2-411660A4BA88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0" authorId="0" shapeId="0" xr:uid="{989B6254-B357-5446-85F0-1571D0B4428E}">
      <text>
        <r>
          <rPr>
            <b/>
            <sz val="10"/>
            <color rgb="FF000000"/>
            <rFont val="Tahoma"/>
            <family val="2"/>
          </rPr>
          <t>Duke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22" authorId="0" shapeId="0" xr:uid="{4F767133-0A45-544D-B6D2-5FC8CFA40C6A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2" authorId="0" shapeId="0" xr:uid="{CA0C0F8F-650D-A642-97C7-CE0277DE30FD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2" authorId="0" shapeId="0" xr:uid="{FB515A18-161B-5442-AA4F-B6965ED10E8E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3" authorId="0" shapeId="0" xr:uid="{F86CE950-34CE-9845-8856-48FC5C5C9BD9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3" authorId="0" shapeId="0" xr:uid="{CE0E0A7D-2D17-0F42-BD23-F32E3EB6E903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6" authorId="0" shapeId="0" xr:uid="{DCB415FF-B5F0-7C41-A17A-989392E5B28F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E127" authorId="0" shapeId="0" xr:uid="{D1DF5AC8-2691-CF4A-815D-03D77391E754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127" authorId="0" shapeId="0" xr:uid="{B3254A8F-CD70-4A4B-8F25-9CC92B8991FB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G127" authorId="0" shapeId="0" xr:uid="{9E02556D-019E-0C4B-B3FF-F34F8B4BF4DC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F128" authorId="0" shapeId="0" xr:uid="{21AD4DAF-6042-CE41-B20B-5C6D3F713317}">
      <text>
        <r>
          <rPr>
            <b/>
            <sz val="10"/>
            <color rgb="FF000000"/>
            <rFont val="Tahoma"/>
            <family val="2"/>
          </rPr>
          <t>Stills - Fuller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8" authorId="0" shapeId="0" xr:uid="{D4CD837A-8E67-A446-9FD2-388E54A4D09B}">
      <text>
        <r>
          <rPr>
            <b/>
            <sz val="10"/>
            <color rgb="FF000000"/>
            <rFont val="Tahoma"/>
            <family val="2"/>
          </rPr>
          <t>Carter - Still out and Coutee benched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9" authorId="0" shapeId="0" xr:uid="{C3D84A58-A950-C24A-8103-B8CFE5FF94C0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0" authorId="0" shapeId="0" xr:uid="{E5F256D3-84DA-E641-9D31-419CD1E0E030}">
      <text>
        <r>
          <rPr>
            <b/>
            <sz val="10"/>
            <color rgb="FF000000"/>
            <rFont val="Tahoma"/>
            <family val="2"/>
          </rPr>
          <t>DJ Chark - Westbrook injured in game</t>
        </r>
      </text>
    </comment>
    <comment ref="F130" authorId="0" shapeId="0" xr:uid="{2B531124-AF11-B14B-AB53-7B12E8C671AC}">
      <text>
        <r>
          <rPr>
            <b/>
            <sz val="10"/>
            <color rgb="FF000000"/>
            <rFont val="Tahoma"/>
            <family val="2"/>
          </rPr>
          <t>Conley - Westbrook injured in game</t>
        </r>
      </text>
    </comment>
    <comment ref="E131" authorId="0" shapeId="0" xr:uid="{24E5B53C-2B9B-1742-81DB-D79388EAD674}">
      <text>
        <r>
          <rPr>
            <b/>
            <sz val="10"/>
            <color rgb="FF000000"/>
            <rFont val="Tahoma"/>
            <family val="2"/>
          </rPr>
          <t>Tyreek 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1" authorId="0" shapeId="0" xr:uid="{F6DA632A-476F-7B4C-BB25-A8EC3D99A6A9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G131" authorId="0" shapeId="0" xr:uid="{447FEF72-0A8C-5D41-8F3F-EE7E04CCBAF4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2" authorId="0" shapeId="0" xr:uid="{FBEDAD4F-D1A7-6A46-86F2-5D80B4C3F5ED}">
      <text>
        <r>
          <rPr>
            <b/>
            <sz val="10"/>
            <color rgb="FF000000"/>
            <rFont val="Tahoma"/>
            <family val="2"/>
          </rPr>
          <t>Tyrell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2" authorId="0" shapeId="0" xr:uid="{CB630D6D-3EA3-1A41-8720-414BE9C008BE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4" authorId="0" shapeId="0" xr:uid="{4FE5F1B1-5255-464D-A039-89A961763D2D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134" authorId="0" shapeId="0" xr:uid="{A85B9630-8DB7-3C4F-BB23-CC97677C8A36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134" authorId="0" shapeId="0" xr:uid="{C6C11E04-B02E-154B-A5F5-13408E0EB0AB}">
      <text>
        <r>
          <rPr>
            <b/>
            <sz val="10"/>
            <color rgb="FF000000"/>
            <rFont val="Tahoma"/>
            <family val="2"/>
          </rPr>
          <t>Josh Reynolds - Cooks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5" authorId="0" shapeId="0" xr:uid="{B5CB0B6A-0ABB-4C47-9DCC-EF7EBD550EEE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135" authorId="0" shapeId="0" xr:uid="{BE876D85-8BA5-A24E-9518-11EA2BC65AD4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35" authorId="0" shapeId="0" xr:uid="{0DA09FEF-7CAB-5349-80C5-91CD595914E1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6" authorId="0" shapeId="0" xr:uid="{7293CDB4-0215-A046-B718-2AF5E60952FB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7" authorId="0" shapeId="0" xr:uid="{ED82416A-285A-EF45-9BB1-E18755AD2C7F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7" authorId="0" shapeId="0" xr:uid="{1491B54A-BCC1-B64E-9B9A-9768035EB8D3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37" authorId="0" shapeId="0" xr:uid="{0C0FCBBB-E6C6-DB48-99BD-2DBDD43FE70B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9" authorId="0" shapeId="0" xr:uid="{03319F88-E6A8-2744-94F5-A9A11C486C1F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139" authorId="0" shapeId="0" xr:uid="{77125FC3-4192-1641-90D1-AD6E2B478662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0" authorId="0" shapeId="0" xr:uid="{B87276DF-0658-2546-91DC-D9EF49873995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0" authorId="0" shapeId="0" xr:uid="{BB5EBD37-C144-2744-8405-1FA60F2EB1F0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40" authorId="0" shapeId="0" xr:uid="{3C15F90B-D44F-D446-946D-22CC5A677C01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1" authorId="0" shapeId="0" xr:uid="{6C487E34-BE0B-AC4E-A755-9F682234E7E3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1" authorId="0" shapeId="0" xr:uid="{814A95C4-4791-6743-9AE1-0924A693F7A0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F142" authorId="0" shapeId="0" xr:uid="{6F2A2DE5-D395-5F4E-91EC-71EBC72E56EC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3" authorId="0" shapeId="0" xr:uid="{FC226C3E-AC3C-B649-A355-DA4E7E5D1768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143" authorId="0" shapeId="0" xr:uid="{B647B11F-6CC2-F44E-9497-5726DF5EEAD1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F144" authorId="0" shapeId="0" xr:uid="{74673B49-515D-944B-83C4-85D4724948A4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E146" authorId="0" shapeId="0" xr:uid="{047212D2-7BB9-FA48-9C50-20E4D73CAE74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146" authorId="0" shapeId="0" xr:uid="{73C1857A-59EC-E249-A87C-EBC113EAB3E4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146" authorId="0" shapeId="0" xr:uid="{38B862DA-487E-BA40-BABD-54405A5EC451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7" authorId="0" shapeId="0" xr:uid="{6FEC726E-5663-D64B-8A16-35322C49D74E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147" authorId="0" shapeId="0" xr:uid="{0635AB98-D677-134B-96AB-6C4BD9AD3376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G147" authorId="0" shapeId="0" xr:uid="{EBCD1727-CA44-954A-9C0F-55EC0F1D5606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E148" authorId="0" shapeId="0" xr:uid="{EAAAC470-2525-EE45-91C5-38F584564381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8" authorId="0" shapeId="0" xr:uid="{5BD8BB53-E748-544F-B289-3C40B1B3BE41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9" authorId="0" shapeId="0" xr:uid="{1CB333CF-E6B5-204A-A4D5-1ECEF66E14AF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150" authorId="0" shapeId="0" xr:uid="{CD739FFD-AF92-A94E-94E5-E25D39E28A84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2" authorId="0" shapeId="0" xr:uid="{888197E6-89DD-F24B-9DBF-3B6A79A394D2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4" authorId="0" shapeId="0" xr:uid="{11BF874E-0A68-2341-8A46-B3ECD95E79AE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6" authorId="0" shapeId="0" xr:uid="{48EB5D6B-900D-9A49-88DA-2DB5CA5A4B97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156" authorId="0" shapeId="0" xr:uid="{F0DB4706-C57A-EE49-BDD3-6EAD9815BCB8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F157" authorId="0" shapeId="0" xr:uid="{3F45998A-B1FF-B94B-B9AF-48C7C77265E0}">
      <text>
        <r>
          <rPr>
            <b/>
            <sz val="10"/>
            <color rgb="FF000000"/>
            <rFont val="Tahoma"/>
            <family val="2"/>
          </rPr>
          <t>Lazard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8" authorId="0" shapeId="0" xr:uid="{36E92F5D-90F2-484C-829E-3F1813F27A92}">
      <text>
        <r>
          <rPr>
            <b/>
            <sz val="10"/>
            <color rgb="FF000000"/>
            <rFont val="Tahoma"/>
            <family val="2"/>
          </rPr>
          <t>Stills - Fuller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58" authorId="0" shapeId="0" xr:uid="{A616B45F-5899-794C-8C5E-B5875EDCC507}">
      <text>
        <r>
          <rPr>
            <b/>
            <sz val="10"/>
            <color rgb="FF000000"/>
            <rFont val="Tahoma"/>
            <family val="2"/>
          </rPr>
          <t>Carter - Still out and Coutee benched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59" authorId="0" shapeId="0" xr:uid="{C3EF8DEF-B710-F644-88F3-4B60A80BFC51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9" authorId="0" shapeId="0" xr:uid="{5DEF98D5-56A9-4844-B8E7-802623DAB4EE}">
      <text>
        <r>
          <rPr>
            <b/>
            <sz val="10"/>
            <color rgb="FF000000"/>
            <rFont val="Tahoma"/>
            <family val="2"/>
          </rPr>
          <t>Parris Campbell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59" authorId="0" shapeId="0" xr:uid="{E8149FE3-A072-4A4A-8D0E-DA1E22C5751B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0" authorId="0" shapeId="0" xr:uid="{6868E02B-642F-3B4D-B121-DD939B16D876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F160" authorId="0" shapeId="0" xr:uid="{C30052CC-3221-C243-9979-799F4B22B823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161" authorId="0" shapeId="0" xr:uid="{71A294CB-3E2D-B34D-8D5F-A5AA435597AF}">
      <text>
        <r>
          <rPr>
            <b/>
            <sz val="10"/>
            <color rgb="FF000000"/>
            <rFont val="Tahoma"/>
            <family val="2"/>
          </rPr>
          <t>Tyreek 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1" authorId="0" shapeId="0" xr:uid="{6DAF4C17-5143-A943-8F1E-B8307D1386DB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E162" authorId="0" shapeId="0" xr:uid="{4A6ACE08-59F8-114A-9B19-61C30C6751A6}">
      <text>
        <r>
          <rPr>
            <b/>
            <sz val="10"/>
            <color rgb="FF000000"/>
            <rFont val="Tahoma"/>
            <family val="2"/>
          </rPr>
          <t>Tyrell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2" authorId="0" shapeId="0" xr:uid="{4DA4FFC3-9D9E-E846-9F83-905023F60BA8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4" authorId="0" shapeId="0" xr:uid="{DF1B5DE1-31B3-DA43-8CB7-2434973F1EE9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164" authorId="0" shapeId="0" xr:uid="{9BD74D49-F3C8-CE4D-9826-716C02F0B1F3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5" authorId="0" shapeId="0" xr:uid="{2A027D0C-ECEC-5543-8002-37A323EA98A0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6" authorId="0" shapeId="0" xr:uid="{1F8B643A-D274-E44E-AACA-963893B9628E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66" authorId="0" shapeId="0" xr:uid="{7A59351E-B238-C94E-931A-977197171E38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7" authorId="0" shapeId="0" xr:uid="{E2449C99-955D-9047-8F56-F5DE94D6CA3E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167" authorId="0" shapeId="0" xr:uid="{A802AB67-4BBA-1E41-9867-F88E91F38468}">
      <text>
        <r>
          <rPr>
            <b/>
            <sz val="10"/>
            <color rgb="FF000000"/>
            <rFont val="Tahoma"/>
            <family val="2"/>
          </rPr>
          <t>Latimer - 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8" authorId="0" shapeId="0" xr:uid="{B113CE46-B6ED-8D43-8DA8-A6E356FF0E6F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8" authorId="0" shapeId="0" xr:uid="{0F30C625-1475-2E4A-8540-38C8FB38BC60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9" authorId="0" shapeId="0" xr:uid="{A6FCDFDB-DFED-6F43-A8FD-9F5348019115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9" authorId="0" shapeId="0" xr:uid="{9A7D63A5-A37A-4E4B-9AA0-4CEF15F8F668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F170" authorId="0" shapeId="0" xr:uid="{797E8F34-8B6A-1B47-80F0-224319C5DD9D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G170" authorId="0" shapeId="0" xr:uid="{DE6021AB-6C32-184A-A149-39370EA608E4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1" authorId="0" shapeId="0" xr:uid="{4DC97E3D-C508-3C44-B750-522F4C6C7532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171" authorId="0" shapeId="0" xr:uid="{A9FDA0E6-3F3E-874B-BAF3-BF363FADEB91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F172" authorId="0" shapeId="0" xr:uid="{42563BA7-E1DD-4444-921A-36C3C434D7AA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E174" authorId="0" shapeId="0" xr:uid="{F636D37E-EB12-994C-AFDD-1CA762B0DF2F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174" authorId="0" shapeId="0" xr:uid="{BBE99512-B3A9-674E-A594-D6B34A695F0F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174" authorId="0" shapeId="0" xr:uid="{1FD73069-6807-504F-8A29-5DA42E6BEE68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5" authorId="0" shapeId="0" xr:uid="{01614097-0B35-3C4E-A14D-6FA357CCDF67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175" authorId="0" shapeId="0" xr:uid="{AE5B4937-E8AD-3141-9316-C54FB1DD36B3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E176" authorId="0" shapeId="0" xr:uid="{FACD4EF1-097D-7B47-ABCE-117FD3A5345A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6" authorId="0" shapeId="0" xr:uid="{B7F818DC-883D-CA4E-8E16-17FA89F34031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7" authorId="0" shapeId="0" xr:uid="{7B1369A6-F0FF-804A-8444-A6F533D2426D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7" authorId="0" shapeId="0" xr:uid="{945B0C9F-01DE-CC49-A1F2-AD16A88ADADD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77" authorId="0" shapeId="0" xr:uid="{F314DEDF-5DC1-FB4C-A5EA-257EA32604D4}">
      <text>
        <r>
          <rPr>
            <b/>
            <sz val="10"/>
            <color rgb="FF000000"/>
            <rFont val="Tahoma"/>
            <family val="2"/>
          </rPr>
          <t>Gage - Sanu traded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8" authorId="0" shapeId="0" xr:uid="{D9131433-01E7-EC48-8068-3CE1D1D8D3BA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182" authorId="0" shapeId="0" xr:uid="{64E14AF4-8EE0-7B42-B03E-4EC356A2B412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87" authorId="0" shapeId="0" xr:uid="{D770FB94-A9EB-3841-AB26-D011E01F8EDA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87" authorId="0" shapeId="0" xr:uid="{20BBFFCA-F756-5440-9EDA-E2EA3C564BA7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1" authorId="0" shapeId="0" xr:uid="{CF3AA740-07B8-7B4C-9970-5999B67BBCF9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191" authorId="0" shapeId="0" xr:uid="{41F69F25-1BA5-E246-9E0C-D0B8D1F7D1AC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191" authorId="0" shapeId="0" xr:uid="{CD59814F-3396-494E-9806-CDB195E34DE1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192" authorId="0" shapeId="0" xr:uid="{EA77C59B-F9A7-444C-81FC-74742B8AAB05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2" authorId="0" shapeId="0" xr:uid="{117B4F0F-B177-5E4D-87A9-7F6D89A553F8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92" authorId="0" shapeId="0" xr:uid="{7CD0B3F0-9587-5741-9CAD-B7EC6521BBB4}">
      <text>
        <r>
          <rPr>
            <b/>
            <sz val="10"/>
            <color rgb="FF000000"/>
            <rFont val="Tahoma"/>
            <family val="2"/>
          </rPr>
          <t>Jakeem Grant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3" authorId="0" shapeId="0" xr:uid="{09314C65-E5BE-1541-8F85-BB08C6B295B0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5" authorId="0" shapeId="0" xr:uid="{CFA59398-CADF-8C49-B966-8F4BA0299397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195" authorId="0" shapeId="0" xr:uid="{976C39DB-A4A5-BD4F-9634-6C3FD1387A3E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6" authorId="0" shapeId="0" xr:uid="{FB1E3547-9E55-694F-ACE1-BB1BF17C22DA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6" authorId="0" shapeId="0" xr:uid="{4E5A62BC-8128-3549-8B47-1F98FA4EAA16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96" authorId="0" shapeId="0" xr:uid="{F40BDE6A-5728-A24B-9BCB-9770FDC55D26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7" authorId="0" shapeId="0" xr:uid="{8D18345B-6157-1D43-B349-7A3F96D189A1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G197" authorId="0" shapeId="0" xr:uid="{9AD4F815-6629-E941-B708-4C7FD4569021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8" authorId="0" shapeId="0" xr:uid="{8EE178A6-7F48-1642-881D-87AC2746503E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201" authorId="0" shapeId="0" xr:uid="{E5AE815A-0197-A145-8CDE-0D0CEE64ABFE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F201" authorId="0" shapeId="0" xr:uid="{D6110BBB-46E9-934F-AF65-675B95CCBE11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G201" authorId="0" shapeId="0" xr:uid="{88F1680C-4BEB-234A-8B86-0BA4B0DB6B3D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02" authorId="0" shapeId="0" xr:uid="{32313AB1-29B7-2E4D-8840-AF28F1CBC955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02" authorId="0" shapeId="0" xr:uid="{E3502AC9-30CE-B943-A9D3-3BE7851237C0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08" authorId="0" shapeId="0" xr:uid="{03DE5232-14FE-0645-92FC-6CE20D6BAD09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14" authorId="0" shapeId="0" xr:uid="{536A6BEE-C48E-064B-81A8-C64275AAC631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4" authorId="0" shapeId="0" xr:uid="{836C8DAB-B2B6-BA4F-BA2D-1C740E57B26A}">
      <text>
        <r>
          <rPr>
            <b/>
            <sz val="10"/>
            <color rgb="FF000000"/>
            <rFont val="Tahoma"/>
            <family val="2"/>
          </rPr>
          <t>Marcus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14" authorId="0" shapeId="0" xr:uid="{9C25194F-655B-794D-BBE2-FFECFBCE965F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5" authorId="0" shapeId="0" xr:uid="{9E78AE64-965E-A147-8BDC-6D355AE1ECB5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E216" authorId="0" shapeId="0" xr:uid="{394534D9-C12B-674C-9B5B-5A4BD4801A66}">
      <text>
        <r>
          <rPr>
            <b/>
            <sz val="10"/>
            <color rgb="FF000000"/>
            <rFont val="Tahoma"/>
            <family val="2"/>
          </rPr>
          <t>Watkins - Tyreek injured 1st drive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6" authorId="0" shapeId="0" xr:uid="{0C04D751-D71E-AA43-8D98-36097F8A1846}">
      <text>
        <r>
          <rPr>
            <b/>
            <sz val="10"/>
            <color rgb="FF000000"/>
            <rFont val="Tahoma"/>
            <family val="2"/>
          </rPr>
          <t>Hardman - Tyreek injured 1st drive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19" authorId="0" shapeId="0" xr:uid="{3284D818-900D-5946-B99F-2AA5BDAE99CD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19" authorId="0" shapeId="0" xr:uid="{D1011A08-7F95-5741-B055-DBD93AD592E8}">
      <text>
        <r>
          <rPr>
            <b/>
            <sz val="10"/>
            <color rgb="FF000000"/>
            <rFont val="Tahoma"/>
            <family val="2"/>
          </rPr>
          <t>Josh Reynolds - Cooks and Woods out</t>
        </r>
      </text>
    </comment>
    <comment ref="E220" authorId="0" shapeId="0" xr:uid="{EBA6424F-1F9D-2641-9163-2D4EF31475DA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0" authorId="0" shapeId="0" xr:uid="{858420E7-7D2A-B844-91A5-179EBB18FA29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20" authorId="0" shapeId="0" xr:uid="{8C60C8C2-AD26-9E4A-958F-36DF585861E0}">
      <text>
        <r>
          <rPr>
            <b/>
            <sz val="10"/>
            <color rgb="FF000000"/>
            <rFont val="Tahoma"/>
            <family val="2"/>
          </rPr>
          <t>Jakeem Grant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1" authorId="0" shapeId="0" xr:uid="{3A070450-8399-EE4E-B1BB-5E5435EAF8E9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2" authorId="0" shapeId="0" xr:uid="{2885DE71-C8E2-6443-BEEB-FD269E02F5E8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22" authorId="0" shapeId="0" xr:uid="{BB8339FD-38EF-AC45-817F-A00901404046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4" authorId="0" shapeId="0" xr:uid="{0BC7C7F8-5BBD-0B43-ACD5-75CDE793A648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4" authorId="0" shapeId="0" xr:uid="{51DBF2A2-E728-ED42-841E-81ACF2AC88F5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24" authorId="0" shapeId="0" xr:uid="{DA28F335-104C-4240-B0CD-436C2317FD1C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5" authorId="0" shapeId="0" xr:uid="{B008562B-579C-934A-A15A-74E74ABD0C9D}">
      <text>
        <r>
          <rPr>
            <b/>
            <sz val="10"/>
            <color rgb="FF000000"/>
            <rFont val="Tahoma"/>
            <family val="2"/>
          </rPr>
          <t>Agholor -- Alshon and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6" authorId="0" shapeId="0" xr:uid="{D1C23009-C717-064C-A8FD-C215587DA8D9}">
      <text>
        <r>
          <rPr>
            <b/>
            <sz val="10"/>
            <color rgb="FF000000"/>
            <rFont val="Tahoma"/>
            <family val="2"/>
          </rPr>
          <t>JuJu injured in 1st half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7" authorId="0" shapeId="0" xr:uid="{834F61C6-C5CE-5841-B7E5-4F2BC9C8A956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229" authorId="0" shapeId="0" xr:uid="{0C5A79A3-6FE3-AD46-A2B8-238894B292E0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235" authorId="0" shapeId="0" xr:uid="{7D4C3218-3775-3341-A065-D3F03D715B99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1" authorId="0" shapeId="0" xr:uid="{2DEBA5D0-A5B4-2541-9C22-EE48A9BDFE9E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E245" authorId="0" shapeId="0" xr:uid="{8E2CCE80-ACD1-A94D-A5E2-1AB11B423997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45" authorId="0" shapeId="0" xr:uid="{10A12562-C7AF-6340-AAC2-0E3913BFA4C5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245" authorId="0" shapeId="0" xr:uid="{EAF02895-114E-BB40-90AA-06298BD269E9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246" authorId="0" shapeId="0" xr:uid="{996EF6E2-B445-1440-9FE0-1ADD55361DE8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6" authorId="0" shapeId="0" xr:uid="{50FFD9F4-3ADA-5F48-80AF-F61C7AFB700D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49" authorId="0" shapeId="0" xr:uid="{41CF65A4-3C65-764F-9456-0B3160FC54CB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9" authorId="0" shapeId="0" xr:uid="{E4FAE8C6-6057-4A43-8250-1C3FAB7B6E35}">
      <text>
        <r>
          <rPr>
            <b/>
            <sz val="10"/>
            <color rgb="FF000000"/>
            <rFont val="Tahoma"/>
            <family val="2"/>
          </rPr>
          <t>Tate</t>
        </r>
      </text>
    </comment>
    <comment ref="G249" authorId="0" shapeId="0" xr:uid="{7EAB2327-EA47-B243-A83A-FF2D61658577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50" authorId="0" shapeId="0" xr:uid="{C272774D-D30A-BA4D-85F6-0F17337ECD71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0" authorId="0" shapeId="0" xr:uid="{E79EF116-9763-B845-8762-11695EA91162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52" authorId="0" shapeId="0" xr:uid="{299A2624-58C5-CD49-A987-182374DBFF00}">
      <text>
        <r>
          <rPr>
            <b/>
            <sz val="10"/>
            <color rgb="FF000000"/>
            <rFont val="Tahoma"/>
            <family val="2"/>
          </rPr>
          <t>James Washington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2" authorId="0" shapeId="0" xr:uid="{C5833E36-6E01-A448-88F7-94009A0A1CE0}">
      <text>
        <r>
          <rPr>
            <b/>
            <sz val="10"/>
            <color rgb="FF000000"/>
            <rFont val="Tahoma"/>
            <family val="2"/>
          </rPr>
          <t>Diontae Johnson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53" authorId="0" shapeId="0" xr:uid="{EA8C8CC3-5437-4547-A72B-6A4B3E7A411B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253" authorId="0" shapeId="0" xr:uid="{D9BF20D6-0D29-1844-B435-B885C998121D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256" authorId="0" shapeId="0" xr:uid="{EF55CB0B-55B4-3B49-B21C-4144E36D5236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F256" authorId="0" shapeId="0" xr:uid="{BFE0CE50-4067-6542-8C22-6B5F3AA33DC5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G256" authorId="0" shapeId="0" xr:uid="{83D97FF1-7045-D041-9F6E-49DE4EF4558E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258" authorId="0" shapeId="0" xr:uid="{295B8907-2ABB-324D-A21A-42A9068392B2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8" authorId="0" shapeId="0" xr:uid="{2AABC9B2-10E4-6942-90E4-2ECBCED619AD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64" authorId="0" shapeId="0" xr:uid="{3EBF472D-5A4B-904E-B00F-901F46AD6B4D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71" authorId="0" shapeId="0" xr:uid="{FC3520D9-E3EE-0B48-B9F4-A7A632EEC1CF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71" authorId="0" shapeId="0" xr:uid="{D46F5C8F-5294-CA40-A17C-CC5F16F668CA}">
      <text>
        <r>
          <rPr>
            <b/>
            <sz val="10"/>
            <color rgb="FF000000"/>
            <rFont val="Tahoma"/>
            <family val="2"/>
          </rPr>
          <t>Marcus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76" authorId="0" shapeId="0" xr:uid="{CA7725A5-A0F2-674E-9F04-64A78897B643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76" authorId="0" shapeId="0" xr:uid="{C6A5C2BE-F909-3941-8302-44ED44128ECC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276" authorId="0" shapeId="0" xr:uid="{20ACDC3F-CC8C-5D40-8C80-97B1C8EA57E3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278" authorId="0" shapeId="0" xr:uid="{25261CF0-B5D1-6147-90AE-09D7A0BF7EDD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1" authorId="0" shapeId="0" xr:uid="{EA45356D-0AAB-4B45-8CA6-B928D5CC7BD5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2" authorId="0" shapeId="0" xr:uid="{24D60CAD-8BF9-5946-831C-A87AD15A4B56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82" authorId="0" shapeId="0" xr:uid="{596EEEB6-1FDE-1046-A8CC-10F568C740A8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3" authorId="0" shapeId="0" xr:uid="{B1FD488A-F1EE-6646-8016-DF2692622C3E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4" authorId="0" shapeId="0" xr:uid="{556D0EEF-6EE2-3844-A3DF-6CA694294153}">
      <text>
        <r>
          <rPr>
            <b/>
            <sz val="10"/>
            <color rgb="FF000000"/>
            <rFont val="Tahoma"/>
            <family val="2"/>
          </rPr>
          <t>James Washington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84" authorId="0" shapeId="0" xr:uid="{C82E79B2-8AAF-3245-A945-1D797D96ED93}">
      <text>
        <r>
          <rPr>
            <b/>
            <sz val="10"/>
            <color rgb="FF000000"/>
            <rFont val="Tahoma"/>
            <family val="2"/>
          </rPr>
          <t>Diontae Johnson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5" authorId="0" shapeId="0" xr:uid="{49E79D1A-B061-F84B-936B-87F25FD21FB3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285" authorId="0" shapeId="0" xr:uid="{6A884B25-0257-734C-B8B2-A72749C58301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288" authorId="0" shapeId="0" xr:uid="{F5984033-45B8-4748-91B1-F563D788AC87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F288" authorId="0" shapeId="0" xr:uid="{E2B6E747-1C38-E642-841C-0128C883DBDB}">
      <text>
        <r>
          <rPr>
            <b/>
            <sz val="10"/>
            <color rgb="FF000000"/>
            <rFont val="Tahoma"/>
            <family val="2"/>
          </rPr>
          <t>Corey Davis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K1" authorId="0" shapeId="0" xr:uid="{4995F41C-5DA9-C74E-8A95-FD6919A9BC68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K1" authorId="0" shapeId="0" xr:uid="{6A5099B7-7D9F-7145-B4CE-FD9C59928561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K1" authorId="0" shapeId="0" xr:uid="{29098750-1F8C-EF4B-9434-D30F4A0304E8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" authorId="0" shapeId="0" xr:uid="{73B01DD8-ACA8-DD4E-8889-673FBA04B938}">
      <text>
        <r>
          <rPr>
            <b/>
            <sz val="10"/>
            <color rgb="FF000000"/>
            <rFont val="Tahoma"/>
            <family val="2"/>
          </rPr>
          <t>Fitz</t>
        </r>
      </text>
    </comment>
    <comment ref="F2" authorId="0" shapeId="0" xr:uid="{BB1EB27A-6B7F-6C45-A081-0E9EAB70AA72}">
      <text>
        <r>
          <rPr>
            <b/>
            <sz val="10"/>
            <color rgb="FF000000"/>
            <rFont val="Tahoma"/>
            <family val="2"/>
          </rPr>
          <t>Kirk</t>
        </r>
      </text>
    </comment>
    <comment ref="G2" authorId="0" shapeId="0" xr:uid="{85F7D07A-0309-9944-AD97-7729449194A8}">
      <text>
        <r>
          <rPr>
            <b/>
            <sz val="10"/>
            <color rgb="FF000000"/>
            <rFont val="Tahoma"/>
            <family val="2"/>
          </rPr>
          <t>Keesean Johnson</t>
        </r>
      </text>
    </comment>
    <comment ref="E4" authorId="0" shapeId="0" xr:uid="{0A96E3F8-C7FB-4F47-866D-7BC39872252B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4" authorId="0" shapeId="0" xr:uid="{3B1E0E90-C965-134F-9D78-69FDDB98C56F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G4" authorId="0" shapeId="0" xr:uid="{A56B0651-90FC-5042-AD79-24B813467D54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5" authorId="0" shapeId="0" xr:uid="{3A852C0D-151C-B448-A9B7-82449174478C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" authorId="0" shapeId="0" xr:uid="{93D31E47-6C0B-4543-983D-C13059676ADE}">
      <text>
        <r>
          <rPr>
            <b/>
            <sz val="10"/>
            <color rgb="FF000000"/>
            <rFont val="Tahoma"/>
            <family val="2"/>
          </rPr>
          <t>Zay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H5" authorId="0" shapeId="0" xr:uid="{2917072A-EFBB-8C45-AE08-893CA33B0243}">
      <text>
        <r>
          <rPr>
            <b/>
            <sz val="10"/>
            <color rgb="FF000000"/>
            <rFont val="Tahoma"/>
            <family val="2"/>
          </rPr>
          <t xml:space="preserve">Kroft out </t>
        </r>
      </text>
    </comment>
    <comment ref="F10" authorId="0" shapeId="0" xr:uid="{7B66A497-8FA8-9A40-9C07-690BAE2CCF38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" authorId="0" shapeId="0" xr:uid="{D2A70F54-0413-514F-8032-765A9F66E5B1}">
      <text>
        <r>
          <rPr>
            <b/>
            <sz val="10"/>
            <color rgb="FF000000"/>
            <rFont val="Tahoma"/>
            <family val="2"/>
          </rPr>
          <t>Cobb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" authorId="0" shapeId="0" xr:uid="{1AC40BFF-A048-314B-8AAF-E8451E94A8D6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12" authorId="0" shapeId="0" xr:uid="{3CA4410A-5A10-FD47-9798-DF689034D918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F13" authorId="0" shapeId="0" xr:uid="{73EEDA6C-7AF7-A747-A36B-E7D0633FB1F5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G13" authorId="0" shapeId="0" xr:uid="{1C0D736F-4E12-3042-96C2-72BA646FFF7B}">
      <text>
        <r>
          <rPr>
            <b/>
            <sz val="10"/>
            <color rgb="FF000000"/>
            <rFont val="Tahoma"/>
            <family val="2"/>
          </rPr>
          <t>Allison</t>
        </r>
      </text>
    </comment>
    <comment ref="F14" authorId="0" shapeId="0" xr:uid="{7549C8A9-28F6-9B44-9FAB-3D978D2A96FF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14" authorId="0" shapeId="0" xr:uid="{63BF7F1A-F878-DB47-9A35-315C27BE8702}">
      <text>
        <r>
          <rPr>
            <b/>
            <sz val="10"/>
            <color rgb="FF000000"/>
            <rFont val="Tahoma"/>
            <family val="2"/>
          </rPr>
          <t xml:space="preserve">Stills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" authorId="0" shapeId="0" xr:uid="{10D4A3B4-0137-7B49-89F0-BE79DFD9A9EB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16" authorId="0" shapeId="0" xr:uid="{A75D24E3-CA5C-8C47-847A-90FF828765D3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17" authorId="0" shapeId="0" xr:uid="{DF9DA890-B384-9A48-BFF9-A54643DB3B76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F17" authorId="0" shapeId="0" xr:uid="{A021B4EF-B5CD-F74C-B797-E4F38D381798}">
      <text>
        <r>
          <rPr>
            <b/>
            <sz val="10"/>
            <color rgb="FF000000"/>
            <rFont val="Tahoma"/>
            <family val="2"/>
          </rPr>
          <t xml:space="preserve">Hill injured in game
</t>
        </r>
      </text>
    </comment>
    <comment ref="H19" authorId="0" shapeId="0" xr:uid="{6013566C-EC4F-254A-9DE1-35113B207D4F}">
      <text>
        <r>
          <rPr>
            <b/>
            <sz val="10"/>
            <color rgb="FF000000"/>
            <rFont val="Tahoma"/>
            <family val="2"/>
          </rPr>
          <t>Hunter Henry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0" authorId="0" shapeId="0" xr:uid="{851B8F48-65F8-0F4B-B09E-21375F9D6760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0" authorId="0" shapeId="0" xr:uid="{B92745BB-8D7D-FA4D-90DC-B3858BCF8D7F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20" authorId="0" shapeId="0" xr:uid="{922E8B95-CE9D-C947-B453-F0AB065D6911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21" authorId="0" shapeId="0" xr:uid="{41E32372-2385-3B40-99CC-4F042C7665EF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21" authorId="0" shapeId="0" xr:uid="{EAD67B82-DF2C-5241-A129-1464C1350C45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1" authorId="0" shapeId="0" xr:uid="{613FC313-EF19-CE43-A76F-348724AE3AD6}">
      <text>
        <r>
          <rPr>
            <b/>
            <sz val="10"/>
            <color rgb="FF000000"/>
            <rFont val="Tahoma"/>
            <family val="2"/>
          </rPr>
          <t>Albert Wilson</t>
        </r>
      </text>
    </comment>
    <comment ref="E22" authorId="0" shapeId="0" xr:uid="{4413EB01-D701-F847-B36D-F37B628A7E69}">
      <text>
        <r>
          <rPr>
            <b/>
            <sz val="10"/>
            <color rgb="FF000000"/>
            <rFont val="Tahoma"/>
            <family val="2"/>
          </rPr>
          <t>Thielen</t>
        </r>
      </text>
    </comment>
    <comment ref="F22" authorId="0" shapeId="0" xr:uid="{D0F7540F-0AFD-1F4E-B568-A0AACCEED802}">
      <text>
        <r>
          <rPr>
            <b/>
            <sz val="10"/>
            <color rgb="FF000000"/>
            <rFont val="Tahoma"/>
            <family val="2"/>
          </rPr>
          <t>Diggs</t>
        </r>
      </text>
    </comment>
    <comment ref="E23" authorId="0" shapeId="0" xr:uid="{AC720314-C8DA-5642-B50F-0F846B788479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" authorId="0" shapeId="0" xr:uid="{0B06B060-91CD-854E-A667-28A21DC3AE70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G24" authorId="0" shapeId="0" xr:uid="{DC7EB666-2F57-AC46-A36E-A9B5D834FBD9}">
      <text>
        <r>
          <rPr>
            <b/>
            <sz val="10"/>
            <color rgb="FF000000"/>
            <rFont val="Tahoma"/>
            <family val="2"/>
          </rPr>
          <t>Tre'quan Smith</t>
        </r>
      </text>
    </comment>
    <comment ref="E25" authorId="0" shapeId="0" xr:uid="{7613D677-B4C6-014B-ACAC-7B16E77AEB07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6" authorId="0" shapeId="0" xr:uid="{6866ED50-8E93-4D44-95AD-CC2E978C3F01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6" authorId="0" shapeId="0" xr:uid="{647237E7-ED5A-CF40-B55C-D88EEF54B43C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8" authorId="0" shapeId="0" xr:uid="{F59C38B1-EA24-AC41-96CC-EAD7094BE9B8}">
      <text>
        <r>
          <rPr>
            <b/>
            <sz val="10"/>
            <color rgb="FF000000"/>
            <rFont val="Tahoma"/>
            <family val="2"/>
          </rPr>
          <t>Moncrief</t>
        </r>
      </text>
    </comment>
    <comment ref="G28" authorId="0" shapeId="0" xr:uid="{C87EFC25-C42E-5C4F-AE63-3D0730D05123}">
      <text>
        <r>
          <rPr>
            <b/>
            <sz val="10"/>
            <color rgb="FF000000"/>
            <rFont val="Tahoma"/>
            <family val="2"/>
          </rPr>
          <t>Ryan Switzer</t>
        </r>
      </text>
    </comment>
    <comment ref="E29" authorId="0" shapeId="0" xr:uid="{7B0779E3-94C8-794A-AF48-31C414A23E82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F29" authorId="0" shapeId="0" xr:uid="{37AB20C6-F49B-0D43-83B5-91BB1C27B34E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E30" authorId="0" shapeId="0" xr:uid="{678068DB-BDDB-1E4B-ACA8-18CDDEEC4DAD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F30" authorId="0" shapeId="0" xr:uid="{6F0A8A55-1F69-124C-91ED-3D775D234054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30" authorId="0" shapeId="0" xr:uid="{5398966A-1B1E-6B48-B0C7-E2119776276F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31" authorId="0" shapeId="0" xr:uid="{886E92F8-3AAF-9F41-A04C-1D7255E1A140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32" authorId="0" shapeId="0" xr:uid="{84C35283-0724-E843-9117-3C0E750CF09F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32" authorId="0" shapeId="0" xr:uid="{8B9C1506-8081-A749-B057-2DB8384B71EA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32" authorId="0" shapeId="0" xr:uid="{A1D94375-0B2D-7941-B112-CA8C1D2F488D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33" authorId="0" shapeId="0" xr:uid="{CBB6C291-2C37-F54F-8DC3-C9CCCB41C902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33" authorId="0" shapeId="0" xr:uid="{F7B1EA90-2B9F-2843-B152-1758BB9D20EE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G33" authorId="0" shapeId="0" xr:uid="{36030465-38B3-4B4F-A5E3-C76396FE342B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G34" authorId="0" shapeId="0" xr:uid="{C7A0D376-FD83-8344-B238-AB5BA6F29F21}">
      <text>
        <r>
          <rPr>
            <b/>
            <sz val="10"/>
            <color rgb="FF000000"/>
            <rFont val="Tahoma"/>
            <family val="2"/>
          </rPr>
          <t>Damiere Byrd</t>
        </r>
      </text>
    </comment>
    <comment ref="E35" authorId="0" shapeId="0" xr:uid="{63394881-433A-7C46-9F18-7BBFE32CDB8A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5" authorId="0" shapeId="0" xr:uid="{22B4054D-ECA1-B44C-B9ED-DEC959BAB711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5" authorId="0" shapeId="0" xr:uid="{DF63A601-72CD-0245-8E1C-D0045F9C8E95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6" authorId="0" shapeId="0" xr:uid="{E8C77B57-DE2B-8D46-B7AD-05A6773F4BA4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36" authorId="0" shapeId="0" xr:uid="{997AF9A1-436E-8941-8F4C-765F66901DC3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G36" authorId="0" shapeId="0" xr:uid="{282C30C5-6558-544E-8D10-DD18DA7E9BF2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37" authorId="0" shapeId="0" xr:uid="{4CB0E3EC-D7E0-3641-A1B1-13A1C98BC345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7" authorId="0" shapeId="0" xr:uid="{AC85BAE1-14ED-9F47-A5B5-9F8925E37159}">
      <text>
        <r>
          <rPr>
            <b/>
            <sz val="10"/>
            <color rgb="FF000000"/>
            <rFont val="Tahoma"/>
            <family val="2"/>
          </rPr>
          <t>Isaiah McKenzie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9" authorId="0" shapeId="0" xr:uid="{BC9D18FC-F1F6-F342-A5D5-003293E8CC12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9" authorId="0" shapeId="0" xr:uid="{C89433EC-FF7C-994E-9E43-15B86ACFC16F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H41" authorId="0" shapeId="0" xr:uid="{401050D3-547F-D64A-975D-05801C62B75F}">
      <text>
        <r>
          <rPr>
            <b/>
            <sz val="10"/>
            <color rgb="FF000000"/>
            <rFont val="Tahoma"/>
            <family val="2"/>
          </rPr>
          <t>Njoku injured in 1st half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42" authorId="0" shapeId="0" xr:uid="{6E8E713E-7020-A046-89AD-E47B20CA1B75}">
      <text>
        <r>
          <rPr>
            <b/>
            <sz val="10"/>
            <color rgb="FF000000"/>
            <rFont val="Tahoma"/>
            <family val="2"/>
          </rPr>
          <t xml:space="preserve">Cobb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4" authorId="0" shapeId="0" xr:uid="{A0DD4932-3C4D-2340-AF3D-382304981DEA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44" authorId="0" shapeId="0" xr:uid="{1114788F-8F85-3545-8CA4-CB61049FA965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F45" authorId="0" shapeId="0" xr:uid="{33AC1B14-6D47-F843-85A0-F19B96A640D6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F46" authorId="0" shapeId="0" xr:uid="{9A1BDFEE-1874-9942-9B41-698DB36E42D2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46" authorId="0" shapeId="0" xr:uid="{E43C1766-9822-F74E-B65D-702E07805BC2}">
      <text>
        <r>
          <rPr>
            <b/>
            <sz val="10"/>
            <color rgb="FF000000"/>
            <rFont val="Tahoma"/>
            <family val="2"/>
          </rPr>
          <t xml:space="preserve">Stills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8" authorId="0" shapeId="0" xr:uid="{EEC3AC3F-A4FC-B54B-A52E-1E4DE3938C73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48" authorId="0" shapeId="0" xr:uid="{6F1652A1-0B48-8741-8903-B06B9FC15876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49" authorId="0" shapeId="0" xr:uid="{AD097598-2C5D-5446-B8EA-AB46BBEE01CC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F49" authorId="0" shapeId="0" xr:uid="{1DD023BC-12DA-714A-9E5F-1D4FC7CF7152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G49" authorId="0" shapeId="0" xr:uid="{55EE2831-8355-4543-B63A-6CCBC9ADCE9D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0" authorId="0" shapeId="0" xr:uid="{BB7C8CD3-B37F-5F46-8C50-61A763D378B2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0" authorId="0" shapeId="0" xr:uid="{D030D29A-26A7-4B40-ADD2-C70306256FE7}">
      <text>
        <r>
          <rPr>
            <b/>
            <sz val="10"/>
            <color rgb="FF000000"/>
            <rFont val="Tahoma"/>
            <family val="2"/>
          </rPr>
          <t>Ryan Grant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52" authorId="0" shapeId="0" xr:uid="{287C6AF8-3FF0-AB4A-9691-23C71E3B77E3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52" authorId="0" shapeId="0" xr:uid="{03B8B64D-C29F-AE4C-8847-14E50542BA32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52" authorId="0" shapeId="0" xr:uid="{F8397046-0371-0A49-BA6F-8F96368A4771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53" authorId="0" shapeId="0" xr:uid="{BC5A9B40-77E4-8641-A6AF-F6A28CC0AB5C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53" authorId="0" shapeId="0" xr:uid="{41185F6D-26D9-9A44-AD4A-8ECAF5406130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3" authorId="0" shapeId="0" xr:uid="{9CBEC446-0DB2-2746-AE24-432C6C9DDC34}">
      <text>
        <r>
          <rPr>
            <b/>
            <sz val="10"/>
            <color rgb="FF000000"/>
            <rFont val="Tahoma"/>
            <family val="2"/>
          </rPr>
          <t>Jakeem Grant</t>
        </r>
      </text>
    </comment>
    <comment ref="E54" authorId="0" shapeId="0" xr:uid="{A6D24F2E-F8A1-A542-A03D-CEA20DDEEBFA}">
      <text>
        <r>
          <rPr>
            <b/>
            <sz val="10"/>
            <color rgb="FF000000"/>
            <rFont val="Tahoma"/>
            <family val="2"/>
          </rPr>
          <t>Thielen</t>
        </r>
      </text>
    </comment>
    <comment ref="F54" authorId="0" shapeId="0" xr:uid="{8B480154-5B43-DF41-B9E9-CD392135B99C}">
      <text>
        <r>
          <rPr>
            <b/>
            <sz val="10"/>
            <color rgb="FF000000"/>
            <rFont val="Tahoma"/>
            <family val="2"/>
          </rPr>
          <t>Diggs</t>
        </r>
      </text>
    </comment>
    <comment ref="E55" authorId="0" shapeId="0" xr:uid="{DB362F68-A81D-6D40-8A05-BF383955BE94}">
      <text>
        <r>
          <rPr>
            <b/>
            <sz val="10"/>
            <color rgb="FF000000"/>
            <rFont val="Tahoma"/>
            <family val="2"/>
          </rPr>
          <t>AB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5" authorId="0" shapeId="0" xr:uid="{90D88976-8773-7B48-ADFB-1FB722CE86B4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5" authorId="0" shapeId="0" xr:uid="{0B872D80-54C2-9C45-8BD9-A13653C012F9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F56" authorId="0" shapeId="0" xr:uid="{2C6889E5-9DA0-1441-A803-DBC170680F17}">
      <text>
        <r>
          <rPr>
            <b/>
            <sz val="10"/>
            <color rgb="FF000000"/>
            <rFont val="Tahoma"/>
            <family val="2"/>
          </rPr>
          <t>Tre'quan Smith</t>
        </r>
      </text>
    </comment>
    <comment ref="G56" authorId="0" shapeId="0" xr:uid="{A77B344F-4B13-CF44-993E-E175E0F718FB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E57" authorId="0" shapeId="0" xr:uid="{1D8835DC-0C6C-A549-A5A1-D55A9CDF5A20}">
      <text>
        <r>
          <rPr>
            <sz val="10"/>
            <color rgb="FF000000"/>
            <rFont val="Tahoma"/>
            <family val="2"/>
          </rPr>
          <t>Fowler</t>
        </r>
      </text>
    </comment>
    <comment ref="F57" authorId="0" shapeId="0" xr:uid="{3DF48492-1820-8947-817B-E2E34EAF0208}">
      <text>
        <r>
          <rPr>
            <b/>
            <sz val="10"/>
            <color rgb="FF000000"/>
            <rFont val="Tahoma"/>
            <family val="2"/>
          </rPr>
          <t>Latimer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7" authorId="0" shapeId="0" xr:uid="{F6138930-7220-EA47-9D1E-811461BB99CC}">
      <text>
        <r>
          <rPr>
            <b/>
            <sz val="10"/>
            <color rgb="FF000000"/>
            <rFont val="Tahoma"/>
            <family val="2"/>
          </rPr>
          <t>TJ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58" authorId="0" shapeId="0" xr:uid="{092D86B3-71CF-C943-B880-CAB463CBC420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8" authorId="0" shapeId="0" xr:uid="{850ADC06-42BE-144C-9D02-527256F29DA9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59" authorId="0" shapeId="0" xr:uid="{635D1729-A868-7849-8727-1DD447727314}">
      <text>
        <r>
          <rPr>
            <b/>
            <sz val="10"/>
            <color rgb="FF000000"/>
            <rFont val="Tahoma"/>
            <family val="2"/>
          </rPr>
          <t>Agholor -- Alshon and DJax injured in 1st quarter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9" authorId="0" shapeId="0" xr:uid="{7DA76014-49ED-BF4B-AA56-670787EBDF4A}">
      <text>
        <r>
          <rPr>
            <b/>
            <sz val="10"/>
            <color rgb="FF000000"/>
            <rFont val="Tahoma"/>
            <family val="2"/>
          </rPr>
          <t>Hollins -- Alshon and DJax injured in 1st quarter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9" authorId="0" shapeId="0" xr:uid="{579EF81F-A558-264C-BBA5-73BDB14A5F86}">
      <text>
        <r>
          <rPr>
            <b/>
            <sz val="10"/>
            <color rgb="FF000000"/>
            <rFont val="Tahoma"/>
            <family val="2"/>
          </rPr>
          <t>JJ Arcega-Whiteside -- Alshon and DJax injured in 1st quarter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60" authorId="0" shapeId="0" xr:uid="{BD0F8C36-8034-FA46-9589-154E0563A58E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G60" authorId="0" shapeId="0" xr:uid="{5FCEC2D3-246C-5B49-853A-665C5FFC77A3}">
      <text>
        <r>
          <rPr>
            <b/>
            <sz val="10"/>
            <color rgb="FF000000"/>
            <rFont val="Tahoma"/>
            <family val="2"/>
          </rPr>
          <t>Ryan Switzer</t>
        </r>
      </text>
    </comment>
    <comment ref="E61" authorId="0" shapeId="0" xr:uid="{E291C106-5418-3843-9EB2-851AAC214CF5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F61" authorId="0" shapeId="0" xr:uid="{7051EA72-A34E-1E43-BC59-B982DFA18450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E62" authorId="0" shapeId="0" xr:uid="{09DAFC48-5FB1-C442-8C6F-36FA32CF4A17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F62" authorId="0" shapeId="0" xr:uid="{8D3E5873-32AE-114C-A954-37AD64EDD035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62" authorId="0" shapeId="0" xr:uid="{FD760BA7-4305-0A4E-8256-9ECE9475A415}">
      <text>
        <r>
          <rPr>
            <b/>
            <sz val="10"/>
            <color rgb="FF000000"/>
            <rFont val="Tahoma"/>
            <family val="2"/>
          </rPr>
          <t>Malik Turner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63" authorId="0" shapeId="0" xr:uid="{6C575ECC-3D09-614D-9811-92095180EE19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64" authorId="0" shapeId="0" xr:uid="{8CD4C9D6-61BF-4A47-BE39-4C081B9A7BF1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64" authorId="0" shapeId="0" xr:uid="{5F376BB6-FD7C-654B-9121-D8669EA9991C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64" authorId="0" shapeId="0" xr:uid="{BC2595A7-10A0-9345-B55C-FDCB3F6490D0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65" authorId="0" shapeId="0" xr:uid="{756EFE80-5510-A144-B211-5CC6247DE6C3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65" authorId="0" shapeId="0" xr:uid="{6AB84E93-920E-A846-ACD0-983473877925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G65" authorId="0" shapeId="0" xr:uid="{EDE8B6B4-9CE6-014B-838D-FC1EFED604CA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E66" authorId="0" shapeId="0" xr:uid="{A24D9754-AE00-644B-8E28-A5653E22629E}">
      <text>
        <r>
          <rPr>
            <b/>
            <sz val="10"/>
            <color rgb="FF000000"/>
            <rFont val="Tahoma"/>
            <family val="2"/>
          </rPr>
          <t>Fitz</t>
        </r>
      </text>
    </comment>
    <comment ref="F66" authorId="0" shapeId="0" xr:uid="{B0C0B30E-9AE8-9F45-B398-D41363020DF4}">
      <text>
        <r>
          <rPr>
            <b/>
            <sz val="10"/>
            <color rgb="FF000000"/>
            <rFont val="Tahoma"/>
            <family val="2"/>
          </rPr>
          <t>Kirk</t>
        </r>
      </text>
    </comment>
    <comment ref="G66" authorId="0" shapeId="0" xr:uid="{F2EDAAA6-1136-FF4E-9994-9EB36E60F034}">
      <text>
        <r>
          <rPr>
            <b/>
            <sz val="10"/>
            <color rgb="FF000000"/>
            <rFont val="Tahoma"/>
            <family val="2"/>
          </rPr>
          <t>Damiere Byrd</t>
        </r>
      </text>
    </comment>
    <comment ref="F67" authorId="0" shapeId="0" xr:uid="{31CE200A-C245-DC4C-B02B-3FBE52D55701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7" authorId="0" shapeId="0" xr:uid="{347F6E2F-AC87-614C-B0D7-6EFEDAF97465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68" authorId="0" shapeId="0" xr:uid="{009B883D-F3D2-8046-8D08-BEAB71C3E98B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68" authorId="0" shapeId="0" xr:uid="{C441DE97-B21E-E44C-8BFC-8C7611E6762E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G68" authorId="0" shapeId="0" xr:uid="{6DBDD09C-8011-2B4A-AF0E-67180CCADF34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69" authorId="0" shapeId="0" xr:uid="{DD3B21BB-15EC-DA41-92A7-D2FF1BF711E9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9" authorId="0" shapeId="0" xr:uid="{19460196-0097-BE4C-BDC0-20AD27A0738B}">
      <text>
        <r>
          <rPr>
            <b/>
            <sz val="10"/>
            <color rgb="FF000000"/>
            <rFont val="Tahoma"/>
            <family val="2"/>
          </rPr>
          <t>Zay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1" authorId="0" shapeId="0" xr:uid="{9BBAC9E4-EE2F-ED40-9F2E-C733FB505C5E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71" authorId="0" shapeId="0" xr:uid="{643E6B7D-2871-5A41-B909-B022F16A77D0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4" authorId="0" shapeId="0" xr:uid="{C7B29130-D90F-9F46-B3A7-57EBC46EFE92}">
      <text>
        <r>
          <rPr>
            <b/>
            <sz val="10"/>
            <color rgb="FF000000"/>
            <rFont val="Tahoma"/>
            <family val="2"/>
          </rPr>
          <t>Devin Smith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74" authorId="0" shapeId="0" xr:uid="{88E86934-866F-EA4A-AFE0-7EA45AF040DA}">
      <text>
        <r>
          <rPr>
            <b/>
            <sz val="10"/>
            <color rgb="FF000000"/>
            <rFont val="Tahoma"/>
            <family val="2"/>
          </rPr>
          <t xml:space="preserve">Cobb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6" authorId="0" shapeId="0" xr:uid="{4C0DA9AC-6F67-3246-95BE-05531E0CCCB7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76" authorId="0" shapeId="0" xr:uid="{0324126E-C3F8-8848-BB7F-E3155F623CD7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F77" authorId="0" shapeId="0" xr:uid="{DD69C6D4-61DF-B846-A324-F6ED8691D8AE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G77" authorId="0" shapeId="0" xr:uid="{4F5F0359-F475-AF4F-97C0-142823EE8DE0}">
      <text>
        <r>
          <rPr>
            <b/>
            <sz val="10"/>
            <color rgb="FF000000"/>
            <rFont val="Tahoma"/>
            <family val="2"/>
          </rPr>
          <t>Allison</t>
        </r>
      </text>
    </comment>
    <comment ref="F78" authorId="0" shapeId="0" xr:uid="{27EF0C50-D10B-D34C-83B0-7906B822702A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78" authorId="0" shapeId="0" xr:uid="{7E0A4B19-66F5-9C48-83FB-E99F68320F71}">
      <text>
        <r>
          <rPr>
            <b/>
            <sz val="10"/>
            <color rgb="FF000000"/>
            <rFont val="Tahoma"/>
            <family val="2"/>
          </rPr>
          <t xml:space="preserve">Stills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9" authorId="0" shapeId="0" xr:uid="{7AC2F323-87AF-7A4D-BE7F-2B41E1732A83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0" authorId="0" shapeId="0" xr:uid="{3F7C6376-A4C7-FE4E-B6CB-82B91792E0D7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80" authorId="0" shapeId="0" xr:uid="{70C79F07-4EB0-5342-B033-D3F1D6944C5A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81" authorId="0" shapeId="0" xr:uid="{E5357095-A9F8-614D-94BF-8EA7601EC408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F81" authorId="0" shapeId="0" xr:uid="{466EECF5-E755-A442-AA9C-196F266C0528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G81" authorId="0" shapeId="0" xr:uid="{6BBAFB54-4863-8443-AE7F-7F80086EFFCA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2" authorId="0" shapeId="0" xr:uid="{CB5F7C4B-FF84-9E4A-9AF9-DABAE1CCE598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82" authorId="0" shapeId="0" xr:uid="{8ABF1BFF-5F68-2542-8B0C-85B6B3C35958}">
      <text>
        <r>
          <rPr>
            <b/>
            <sz val="10"/>
            <color rgb="FF000000"/>
            <rFont val="Tahoma"/>
            <family val="2"/>
          </rPr>
          <t>J.J. Nelson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4" authorId="0" shapeId="0" xr:uid="{25AB5F80-BB98-314A-8686-95DACB49C938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84" authorId="0" shapeId="0" xr:uid="{0A6A7671-FBB5-C44A-A2B1-A0FA9C0E4A9C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84" authorId="0" shapeId="0" xr:uid="{6D9D2F31-AFF6-E34F-9732-3074EEE5CDAE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85" authorId="0" shapeId="0" xr:uid="{BEA132AA-2884-9941-BE8C-0B2E5AC51711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85" authorId="0" shapeId="0" xr:uid="{791654E7-EB67-2340-9326-258F85305D0E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85" authorId="0" shapeId="0" xr:uid="{CC4DC22C-DE47-B640-A285-E5B680D8B744}">
      <text>
        <r>
          <rPr>
            <b/>
            <sz val="10"/>
            <color rgb="FF000000"/>
            <rFont val="Tahoma"/>
            <family val="2"/>
          </rPr>
          <t>Jakeem Grant</t>
        </r>
      </text>
    </comment>
    <comment ref="E87" authorId="0" shapeId="0" xr:uid="{FF4D2B20-2159-694C-8ECB-782A7BAC658B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7" authorId="0" shapeId="0" xr:uid="{CD24A38F-7B5F-E044-AB83-E07DE354920B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G87" authorId="0" shapeId="0" xr:uid="{0ECA1B9B-DB02-D945-B452-30887A13F5A0}">
      <text>
        <r>
          <rPr>
            <b/>
            <sz val="10"/>
            <color rgb="FF000000"/>
            <rFont val="Tahoma"/>
            <family val="2"/>
          </rPr>
          <t>Phillip 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8" authorId="0" shapeId="0" xr:uid="{A49084C4-26A7-3448-A35B-B2B1DACCF6DA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G88" authorId="0" shapeId="0" xr:uid="{200B67BE-0FF7-3D4C-9312-8789C3BD78A7}">
      <text>
        <r>
          <rPr>
            <b/>
            <sz val="10"/>
            <color rgb="FF000000"/>
            <rFont val="Tahoma"/>
            <family val="2"/>
          </rPr>
          <t>Deonte Harris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9" authorId="0" shapeId="0" xr:uid="{86A63B03-0C75-CF4E-87F5-101C91A30FC4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9" authorId="0" shapeId="0" xr:uid="{0C14C936-7015-094D-B1AD-1B61384A7C29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89" authorId="0" shapeId="0" xr:uid="{2932AFE5-A33D-6249-AE76-AADDE0279F01}">
      <text>
        <r>
          <rPr>
            <b/>
            <sz val="10"/>
            <color rgb="FF000000"/>
            <rFont val="Tahoma"/>
            <family val="2"/>
          </rPr>
          <t>Russell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0" authorId="0" shapeId="0" xr:uid="{7D25A39F-7D53-984D-99E2-CA198DDB3838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0" authorId="0" shapeId="0" xr:uid="{41994BBF-189B-9245-A726-938549E59A33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1" authorId="0" shapeId="0" xr:uid="{EC2DDD36-8ECD-A74A-AFD5-53942937D179}">
      <text>
        <r>
          <rPr>
            <b/>
            <sz val="10"/>
            <color rgb="FF000000"/>
            <rFont val="Tahoma"/>
            <family val="2"/>
          </rPr>
          <t>Agholor -- Alshon and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1" authorId="0" shapeId="0" xr:uid="{91071FE9-5475-7A43-B88C-D4B1F9F5B4EA}">
      <text>
        <r>
          <rPr>
            <b/>
            <sz val="10"/>
            <color rgb="FF000000"/>
            <rFont val="Tahoma"/>
            <family val="2"/>
          </rPr>
          <t>Hollins -- Alshon and DJax out</t>
        </r>
      </text>
    </comment>
    <comment ref="G91" authorId="0" shapeId="0" xr:uid="{C57A25CB-D634-0240-B363-2E90E0B97F62}">
      <text>
        <r>
          <rPr>
            <b/>
            <sz val="10"/>
            <color rgb="FF000000"/>
            <rFont val="Tahoma"/>
            <family val="2"/>
          </rPr>
          <t>JJ Arcega-Whiteside -- Alshon and DJax out</t>
        </r>
      </text>
    </comment>
    <comment ref="F92" authorId="0" shapeId="0" xr:uid="{242B4FDE-D5E7-AD4C-909E-6C3D5F186A91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2" authorId="0" shapeId="0" xr:uid="{D399AE46-3894-8342-8FE5-18FD4BEB35AA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E93" authorId="0" shapeId="0" xr:uid="{3F6651F2-382D-484C-A41D-D056F095AE6C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F93" authorId="0" shapeId="0" xr:uid="{733A1EFC-168B-B84D-95FA-8E5942EA7121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3" authorId="0" shapeId="0" xr:uid="{CC1E2E8E-DDA5-8C41-B994-2833F8DC9691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E94" authorId="0" shapeId="0" xr:uid="{35C78B4E-F5AF-C444-BA65-9A805BFD25AD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F94" authorId="0" shapeId="0" xr:uid="{50B33DE5-91BB-4245-A76B-49E7B23FCC58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94" authorId="0" shapeId="0" xr:uid="{59DA756E-9C6C-AF48-9029-AA8907D6ABBA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95" authorId="0" shapeId="0" xr:uid="{5AF9805D-55E2-0B43-A560-7CA8664A3BCD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96" authorId="0" shapeId="0" xr:uid="{3AB8A586-58BF-1248-8D86-329F6B9B73EA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96" authorId="0" shapeId="0" xr:uid="{70C03F1C-73D4-5246-9F0E-3E2CFF81DE45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G96" authorId="0" shapeId="0" xr:uid="{45721B87-D6CA-6D42-BCDD-C467B3B9D82B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E97" authorId="0" shapeId="0" xr:uid="{E084380B-47CC-AB45-A3C2-56BBB3A6C6C4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97" authorId="0" shapeId="0" xr:uid="{7DBD0CF2-9D6C-414A-9D0D-1D4D974DA0CD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G97" authorId="0" shapeId="0" xr:uid="{7E7F437B-CE64-BF4C-B1D6-EFBCE89E173D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E98" authorId="0" shapeId="0" xr:uid="{8AFFDD01-EBA3-6743-ABD0-AF22535FB232}">
      <text>
        <r>
          <rPr>
            <b/>
            <sz val="10"/>
            <color rgb="FF000000"/>
            <rFont val="Tahoma"/>
            <family val="2"/>
          </rPr>
          <t>Fitz</t>
        </r>
      </text>
    </comment>
    <comment ref="F98" authorId="0" shapeId="0" xr:uid="{7F0C1044-BCC5-F445-ADBA-8FF4EE156FE6}">
      <text>
        <r>
          <rPr>
            <b/>
            <sz val="10"/>
            <color rgb="FF000000"/>
            <rFont val="Tahoma"/>
            <family val="2"/>
          </rPr>
          <t>Kirk</t>
        </r>
      </text>
    </comment>
    <comment ref="G98" authorId="0" shapeId="0" xr:uid="{5D9D0F1C-0064-6647-9A20-5894985AF7E0}">
      <text>
        <r>
          <rPr>
            <b/>
            <sz val="10"/>
            <color rgb="FF000000"/>
            <rFont val="Tahoma"/>
            <family val="2"/>
          </rPr>
          <t>Keesean Johnson</t>
        </r>
      </text>
    </comment>
    <comment ref="E99" authorId="0" shapeId="0" xr:uid="{3F9CC444-9D63-DF4F-886B-7B9D05CB12CC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9" authorId="0" shapeId="0" xr:uid="{5A850DC6-DBF0-BA4C-8471-438BAB1701F9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9" authorId="0" shapeId="0" xr:uid="{7EDAB2C9-AE10-FA4A-BDC7-13A4086BE02A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00" authorId="0" shapeId="0" xr:uid="{27634557-D601-3244-9CDB-5E9C36D83B27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100" authorId="0" shapeId="0" xr:uid="{DC8AE376-B201-1243-889F-58E7A903D04E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G100" authorId="0" shapeId="0" xr:uid="{AF4513EE-6A87-FD4D-9C8C-802B57D7F8E7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101" authorId="0" shapeId="0" xr:uid="{867FE7E4-E77A-C441-9043-17F528278F87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1" authorId="0" shapeId="0" xr:uid="{C630ED2C-6FA4-724A-913E-79E431F436DD}">
      <text>
        <r>
          <rPr>
            <b/>
            <sz val="10"/>
            <color rgb="FF000000"/>
            <rFont val="Tahoma"/>
            <family val="2"/>
          </rPr>
          <t>Zay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3" authorId="0" shapeId="0" xr:uid="{3E072AA0-A1E3-FA46-BF88-37855B1000D3}">
      <text>
        <r>
          <rPr>
            <b/>
            <sz val="10"/>
            <color rgb="FF000000"/>
            <rFont val="Tahoma"/>
            <family val="2"/>
          </rPr>
          <t>Javon Wims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6" authorId="0" shapeId="0" xr:uid="{D125B8A2-057A-2245-95E6-6EE58536E6A5}">
      <text>
        <r>
          <rPr>
            <b/>
            <sz val="10"/>
            <color rgb="FF000000"/>
            <rFont val="Tahoma"/>
            <family val="2"/>
          </rPr>
          <t>Devin Smith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6" authorId="0" shapeId="0" xr:uid="{EF85E71C-70C7-BA40-BD1D-FADF0CDC8136}">
      <text>
        <r>
          <rPr>
            <b/>
            <sz val="10"/>
            <color rgb="FF000000"/>
            <rFont val="Tahoma"/>
            <family val="2"/>
          </rPr>
          <t xml:space="preserve">Cobb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8" authorId="0" shapeId="0" xr:uid="{54CF18F5-A6BE-B741-9C9A-E10BAB784987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108" authorId="0" shapeId="0" xr:uid="{B96D25C4-3F99-A649-A673-86FFCE247355}">
      <text>
        <r>
          <rPr>
            <b/>
            <sz val="10"/>
            <color rgb="FF000000"/>
            <rFont val="Tahoma"/>
            <family val="2"/>
          </rPr>
          <t>Marvin Hall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9" authorId="0" shapeId="0" xr:uid="{CC6B4136-FF6B-9740-AC8D-C097B5573C52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G109" authorId="0" shapeId="0" xr:uid="{15F4822F-7117-5F45-B9F1-F5A1EDAE94A8}">
      <text>
        <r>
          <rPr>
            <b/>
            <sz val="10"/>
            <color rgb="FF000000"/>
            <rFont val="Tahoma"/>
            <family val="2"/>
          </rPr>
          <t>Allison</t>
        </r>
      </text>
    </comment>
    <comment ref="F110" authorId="0" shapeId="0" xr:uid="{58BE02DE-8CBF-C645-A8FC-1C0D0EF8F75E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110" authorId="0" shapeId="0" xr:uid="{F8B7417B-72BF-3B47-AD08-43C5B4986459}">
      <text>
        <r>
          <rPr>
            <b/>
            <sz val="10"/>
            <color rgb="FF000000"/>
            <rFont val="Tahoma"/>
            <family val="2"/>
          </rPr>
          <t xml:space="preserve">Stills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1" authorId="0" shapeId="0" xr:uid="{93B26FCA-6CAF-F84C-9641-E893FD6ABEF7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1" authorId="0" shapeId="0" xr:uid="{8A37A1A0-7FE2-D34A-8532-27F83ED20B1C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1" authorId="0" shapeId="0" xr:uid="{BB740332-AF0F-2740-A9C3-CDEA244B7E6E}">
      <text>
        <r>
          <rPr>
            <b/>
            <sz val="10"/>
            <color rgb="FF000000"/>
            <rFont val="Tahoma"/>
            <family val="2"/>
          </rPr>
          <t>Parris Campbell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2" authorId="0" shapeId="0" xr:uid="{B87327BA-06A8-E241-A617-B1D8A6B08F1D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112" authorId="0" shapeId="0" xr:uid="{BED560D4-4F87-AD48-85E6-F95BA05128C3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113" authorId="0" shapeId="0" xr:uid="{3EDD0AC1-6AA8-EC46-8726-46173F4F1251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F113" authorId="0" shapeId="0" xr:uid="{EB6BCBA0-840C-034E-B59B-9F917A33946D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G113" authorId="0" shapeId="0" xr:uid="{55204936-F5E4-4847-8D9D-1DC38C36C526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4" authorId="0" shapeId="0" xr:uid="{7096894A-7466-C54D-875E-99756FBDDD5D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6" authorId="0" shapeId="0" xr:uid="{15AA5DA6-A5E7-A24A-8140-3026F38DF463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116" authorId="0" shapeId="0" xr:uid="{77CF97CA-CC07-1A45-81F4-FBD6D45CD3D9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116" authorId="0" shapeId="0" xr:uid="{8D797B9E-A62F-8645-8D24-A8107FB17FA7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117" authorId="0" shapeId="0" xr:uid="{8BC78E4C-60A8-364E-BB7E-B8192BB89E0D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117" authorId="0" shapeId="0" xr:uid="{17E7DE39-CF5F-9C4A-BA68-52E4F35E48C3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7" authorId="0" shapeId="0" xr:uid="{C4C4EE4E-866D-304E-8B97-B42A2786C63E}">
      <text>
        <r>
          <rPr>
            <b/>
            <sz val="10"/>
            <color rgb="FF000000"/>
            <rFont val="Tahoma"/>
            <family val="2"/>
          </rPr>
          <t>Jakeem Grant</t>
        </r>
      </text>
    </comment>
    <comment ref="E119" authorId="0" shapeId="0" xr:uid="{48905420-F6CC-484E-9F5D-AD0EC7DCBF2E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9" authorId="0" shapeId="0" xr:uid="{27A34009-F367-8F41-843A-461555B1DE7C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G119" authorId="0" shapeId="0" xr:uid="{D97DF2A5-85D1-3F47-88B1-FFBEA22D89DC}">
      <text>
        <r>
          <rPr>
            <b/>
            <sz val="10"/>
            <color rgb="FF000000"/>
            <rFont val="Tahoma"/>
            <family val="2"/>
          </rPr>
          <t>Phillip 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0" authorId="0" shapeId="0" xr:uid="{A7656DE1-DD21-EB41-B7E6-A9CD692E0E0B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E121" authorId="0" shapeId="0" xr:uid="{98EABDEF-EBEE-2541-8965-AD3E1E208E5B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1" authorId="0" shapeId="0" xr:uid="{4FD6B577-8286-D54F-9405-C661727DE801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1" authorId="0" shapeId="0" xr:uid="{D4090ECD-1185-4747-B83E-B7E89E90606D}">
      <text>
        <r>
          <rPr>
            <b/>
            <sz val="10"/>
            <color rgb="FF000000"/>
            <rFont val="Tahoma"/>
            <family val="2"/>
          </rPr>
          <t>Russell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22" authorId="0" shapeId="0" xr:uid="{8EF6461E-13A4-B148-9329-9C2E124DD46E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2" authorId="0" shapeId="0" xr:uid="{F2142043-7A7B-2942-9600-368CA94B8716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122" authorId="0" shapeId="0" xr:uid="{47474486-3BE4-AA45-8503-1390DA03281E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3" authorId="0" shapeId="0" xr:uid="{74A7F883-E519-1F4A-AA8C-46A1299DC164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3" authorId="0" shapeId="0" xr:uid="{5D63BDF9-1BB2-2B4B-8407-773E64A826CA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E124" authorId="0" shapeId="0" xr:uid="{A7B614A6-A645-914E-A958-19AF43055362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F124" authorId="0" shapeId="0" xr:uid="{5822F355-4F78-1C41-8A82-DA4B834B7D5F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124" authorId="0" shapeId="0" xr:uid="{AB7F0CCD-C451-524F-8BC4-9A34AFB62F11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125" authorId="0" shapeId="0" xr:uid="{62DCEE6E-5F68-6E42-836A-F2ABCDE1BD5D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126" authorId="0" shapeId="0" xr:uid="{584A4522-2663-1142-8142-D76B9E22C429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126" authorId="0" shapeId="0" xr:uid="{7102EA94-D30A-9046-A06C-CBE959CCD2BA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126" authorId="0" shapeId="0" xr:uid="{B58C8B75-E7E5-BD4D-B83F-ED63A132FFAF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127" authorId="0" shapeId="0" xr:uid="{BBDD9DBF-A352-BA4E-8725-E7F80089A5B5}">
      <text>
        <r>
          <rPr>
            <b/>
            <sz val="10"/>
            <color rgb="FF000000"/>
            <rFont val="Tahoma"/>
            <family val="2"/>
          </rPr>
          <t>Paul Richardson</t>
        </r>
        <r>
          <rPr>
            <b/>
            <sz val="10"/>
            <color rgb="FF000000"/>
            <rFont val="Calibri"/>
            <family val="2"/>
          </rPr>
          <t xml:space="preserve"> - McLaurin out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F127" authorId="0" shapeId="0" xr:uid="{CE4956ED-E96A-6E43-8F5E-D076C8F2B46E}">
      <text>
        <r>
          <rPr>
            <b/>
            <sz val="10"/>
            <color rgb="FF000000"/>
            <rFont val="Tahoma"/>
            <family val="2"/>
          </rPr>
          <t>Trey Quinn</t>
        </r>
        <r>
          <rPr>
            <b/>
            <sz val="10"/>
            <color rgb="FF000000"/>
            <rFont val="Calibri"/>
            <family val="2"/>
          </rPr>
          <t xml:space="preserve"> - McLaurin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 xml:space="preserve">
</t>
        </r>
      </text>
    </comment>
    <comment ref="G127" authorId="0" shapeId="0" xr:uid="{3D9C5355-18B6-E049-9239-1C41EF702126}">
      <text>
        <r>
          <rPr>
            <b/>
            <sz val="10"/>
            <color rgb="FF000000"/>
            <rFont val="Tahoma"/>
            <family val="2"/>
          </rPr>
          <t>Kelvin Harmon - McLaurin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28" authorId="0" shapeId="0" xr:uid="{95938E45-4209-3E48-9AA5-51B3C601B266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F128" authorId="0" shapeId="0" xr:uid="{468D7131-94B9-0446-8767-873944EC7513}">
      <text>
        <r>
          <rPr>
            <b/>
            <sz val="10"/>
            <color rgb="FF000000"/>
            <rFont val="Tahoma"/>
            <family val="2"/>
          </rPr>
          <t xml:space="preserve">KeeSean Johnson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8" authorId="0" shapeId="0" xr:uid="{843F30D0-1BDA-134B-A882-7C0616AF3958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29" authorId="0" shapeId="0" xr:uid="{D797BD4F-AEE4-2246-A5AD-6B69A6C8E83C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9" authorId="0" shapeId="0" xr:uid="{83E5E51F-2513-1946-84A9-E0F9BCEF3F12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9" authorId="0" shapeId="0" xr:uid="{48E2B12F-A2D8-1544-BA01-4A08F7728E36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0" authorId="0" shapeId="0" xr:uid="{9D32471F-0FF8-0740-8B6C-DFE1111EF0F5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130" authorId="0" shapeId="0" xr:uid="{9A6604AF-5A6A-AB48-BC57-4F6309621C6D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G130" authorId="0" shapeId="0" xr:uid="{4F9C352D-136C-3A45-BED1-099147DB5957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131" authorId="0" shapeId="0" xr:uid="{49313D2A-7379-644B-9EE3-ED3E570783C9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31" authorId="0" shapeId="0" xr:uid="{8519DD36-BED2-F44D-BC0F-AB6D1D837C60}">
      <text>
        <r>
          <rPr>
            <b/>
            <sz val="10"/>
            <color rgb="FF000000"/>
            <rFont val="Tahoma"/>
            <family val="2"/>
          </rPr>
          <t>Isaiah McKenzie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3" authorId="0" shapeId="0" xr:uid="{588D0103-226C-C34E-9F5A-BA75B64C200B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3" authorId="0" shapeId="0" xr:uid="{2233E587-008E-384B-BC0F-8CB7A6CDEBB0}">
      <text>
        <r>
          <rPr>
            <b/>
            <sz val="10"/>
            <color rgb="FF000000"/>
            <rFont val="Tahoma"/>
            <family val="2"/>
          </rPr>
          <t xml:space="preserve">Anthony Miller </t>
        </r>
        <r>
          <rPr>
            <b/>
            <sz val="10"/>
            <color rgb="FF000000"/>
            <rFont val="Calibri"/>
            <family val="2"/>
          </rPr>
          <t>- Gabriel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33" authorId="0" shapeId="0" xr:uid="{11FE0FF5-8DFF-2649-B085-8004CDBB4A71}">
      <text>
        <r>
          <rPr>
            <b/>
            <sz val="10"/>
            <color rgb="FF000000"/>
            <rFont val="Tahoma"/>
            <family val="2"/>
          </rPr>
          <t xml:space="preserve">Javon Wims </t>
        </r>
        <r>
          <rPr>
            <b/>
            <sz val="10"/>
            <color rgb="FF000000"/>
            <rFont val="Calibri"/>
            <family val="2"/>
          </rPr>
          <t>- Gabriel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4" authorId="0" shapeId="0" xr:uid="{87160011-462D-C948-9769-59FA62FFF24B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34" authorId="0" shapeId="0" xr:uid="{275254C5-5721-844D-9A5A-A060DA93D14D}">
      <text>
        <r>
          <rPr>
            <b/>
            <sz val="10"/>
            <color rgb="FF000000"/>
            <rFont val="Tahoma"/>
            <family val="2"/>
          </rPr>
          <t>Damion Willis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6" authorId="0" shapeId="0" xr:uid="{8ADF84EA-A9B4-4C47-B08A-EFEC384FCC6E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36" authorId="0" shapeId="0" xr:uid="{038DBACC-F2A5-2B42-9E22-3DD8BA6A09F9}">
      <text>
        <r>
          <rPr>
            <b/>
            <sz val="10"/>
            <color rgb="FF000000"/>
            <rFont val="Tahoma"/>
            <family val="2"/>
          </rPr>
          <t>Cobb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8" authorId="0" shapeId="0" xr:uid="{6BEEBFAE-E3F2-6C49-8938-F034BA6730FF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138" authorId="0" shapeId="0" xr:uid="{B92A0742-449D-FC4A-9D18-5CB7647ABAFB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F139" authorId="0" shapeId="0" xr:uid="{94AEE75C-72C3-5446-AF00-699693BD1AE9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139" authorId="0" shapeId="0" xr:uid="{0699E83D-38B7-E14D-9E2C-07AD94B2C93F}">
      <text>
        <r>
          <rPr>
            <b/>
            <sz val="10"/>
            <color rgb="FF000000"/>
            <rFont val="Tahoma"/>
            <family val="2"/>
          </rPr>
          <t>Coutee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0" authorId="0" shapeId="0" xr:uid="{E8036C86-8D17-8249-9CA0-7F42772175EE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1" authorId="0" shapeId="0" xr:uid="{25A1584B-25EE-BC45-A8A6-B36C28B482CD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141" authorId="0" shapeId="0" xr:uid="{1CD34A26-3A06-7D42-A269-DFDE47E99404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142" authorId="0" shapeId="0" xr:uid="{F64E3086-C2DE-634C-BC02-276DA995C527}">
      <text>
        <r>
          <rPr>
            <b/>
            <sz val="10"/>
            <color rgb="FF000000"/>
            <rFont val="Tahoma"/>
            <family val="2"/>
          </rPr>
          <t>Pringle - Watkins injured early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2" authorId="0" shapeId="0" xr:uid="{914CA12C-58EC-E648-8049-CBAFF0A1C34D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G142" authorId="0" shapeId="0" xr:uid="{DBF7353E-DA9D-8A4E-8EDB-C41EA5A2597A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3" authorId="0" shapeId="0" xr:uid="{13E9785B-7ECA-1B45-86E7-F8172A9629C4}">
      <text>
        <r>
          <rPr>
            <b/>
            <sz val="10"/>
            <color rgb="FF000000"/>
            <rFont val="Tahoma"/>
            <family val="2"/>
          </rPr>
          <t>Renfrow - Tyrell Williams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3" authorId="0" shapeId="0" xr:uid="{FA459AB7-2A7D-004F-955A-6ABADD88F4B5}">
      <text>
        <r>
          <rPr>
            <b/>
            <sz val="10"/>
            <color rgb="FF000000"/>
            <rFont val="Tahoma"/>
            <family val="2"/>
          </rPr>
          <t xml:space="preserve">Trevor Davis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43" authorId="0" shapeId="0" xr:uid="{3EBC598F-ED39-C540-B4BF-18F7C4AA3229}">
      <text>
        <r>
          <rPr>
            <b/>
            <sz val="10"/>
            <color rgb="FF000000"/>
            <rFont val="Tahoma"/>
            <family val="2"/>
          </rPr>
          <t xml:space="preserve">Keelan Doss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5" authorId="0" shapeId="0" xr:uid="{7ECC230F-0B4A-5041-9447-85330BD7DD45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145" authorId="0" shapeId="0" xr:uid="{1C05EBF9-FCC8-8944-A410-2B2E3D5AE957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145" authorId="0" shapeId="0" xr:uid="{4004F082-91A9-F34A-B5F3-EBAE7E804566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147" authorId="0" shapeId="0" xr:uid="{D3CF81F0-7BDD-FD45-9136-78E9B2284B45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7" authorId="0" shapeId="0" xr:uid="{C885C5DA-F859-2648-8964-49A2712507C4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G147" authorId="0" shapeId="0" xr:uid="{2A648126-0B2F-2F4D-9C15-871F46D4532A}">
      <text>
        <r>
          <rPr>
            <b/>
            <sz val="10"/>
            <color rgb="FF000000"/>
            <rFont val="Tahoma"/>
            <family val="2"/>
          </rPr>
          <t>Phillip 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8" authorId="0" shapeId="0" xr:uid="{5E9C95FD-7677-B141-9ABD-235F5A8058B3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E149" authorId="0" shapeId="0" xr:uid="{B6E534F6-122F-004E-B2C2-340E0FC18BD0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9" authorId="0" shapeId="0" xr:uid="{D1783DEF-E43A-2A40-B707-C4A743F1D77C}">
      <text>
        <r>
          <rPr>
            <b/>
            <sz val="10"/>
            <color rgb="FF000000"/>
            <rFont val="Tahoma"/>
            <family val="2"/>
          </rPr>
          <t>Golden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49" authorId="0" shapeId="0" xr:uid="{9B898255-D003-9B44-99CC-6519577A4F85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50" authorId="0" shapeId="0" xr:uid="{3A82CE35-6A32-5A47-BE2F-6B4B345BB856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0" authorId="0" shapeId="0" xr:uid="{100F5C43-9A2E-5144-9C26-4F492436629B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51" authorId="0" shapeId="0" xr:uid="{7A9C6C9D-6C4B-3C48-843C-2A87FF3CA17D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1" authorId="0" shapeId="0" xr:uid="{14BAE369-9F93-AE43-A122-BFE616E2112A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151" authorId="0" shapeId="0" xr:uid="{4A094FC8-7C9C-D64D-B404-48E482009C13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2" authorId="0" shapeId="0" xr:uid="{68AB93FB-F65D-554D-96F1-F713BE1817DA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52" authorId="0" shapeId="0" xr:uid="{CECDACF3-68D3-8C40-A202-29058F2E65AD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E153" authorId="0" shapeId="0" xr:uid="{FF72BA89-DE5A-EA40-9A67-FB8EF09672F8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F153" authorId="0" shapeId="0" xr:uid="{3DEFA950-1FAC-BF47-941A-8424CD388474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53" authorId="0" shapeId="0" xr:uid="{C7CF2F00-4B54-2A4B-9772-32C38CA79F37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154" authorId="0" shapeId="0" xr:uid="{69DD6359-9898-1E4D-9849-C77CFA052038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F154" authorId="0" shapeId="0" xr:uid="{1E54D357-CF21-AA44-A9A4-F550BC625C5A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154" authorId="0" shapeId="0" xr:uid="{32512ED0-0C3D-AC40-AB73-07463285EFA6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155" authorId="0" shapeId="0" xr:uid="{5FEB7F68-B9A4-114A-9312-E217268104E8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156" authorId="0" shapeId="0" xr:uid="{C36A8953-091D-7142-B84A-8A0D336B2CE5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156" authorId="0" shapeId="0" xr:uid="{C4891A2A-3B04-8B47-BB35-15DFE6F335D0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G156" authorId="0" shapeId="0" xr:uid="{E26323C1-2D9B-D548-ACF9-11B743A3B2DD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E157" authorId="0" shapeId="0" xr:uid="{DDAEDC8B-9EA7-6745-8DCB-6D27BCD7873B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157" authorId="0" shapeId="0" xr:uid="{8BFD302B-4AFD-0846-BFBE-1D3D07713955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G157" authorId="0" shapeId="0" xr:uid="{361B3170-D478-1344-B180-7090AEBE2A52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E158" authorId="0" shapeId="0" xr:uid="{80C4B855-FE58-6844-8C83-3B0F5CB3A6B7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F158" authorId="0" shapeId="0" xr:uid="{0B62B486-0382-DA4E-991C-A0CF3BE08355}">
      <text>
        <r>
          <rPr>
            <b/>
            <sz val="10"/>
            <color rgb="FF000000"/>
            <rFont val="Calibri"/>
            <family val="2"/>
          </rPr>
          <t>Damiere Byrd-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58" authorId="0" shapeId="0" xr:uid="{838B5F56-F060-0643-A243-2237C66E1FC3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59" authorId="0" shapeId="0" xr:uid="{4EACFE44-C5EB-B141-B538-A4123E20DEEC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9" authorId="0" shapeId="0" xr:uid="{8F6992A5-4853-D74E-820C-D5496F525BB8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59" authorId="0" shapeId="0" xr:uid="{2875DAA8-4DE4-9C40-BC8F-9A817BB96134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0" authorId="0" shapeId="0" xr:uid="{6481F77F-A03F-E446-B342-C6EBE2D8204E}">
      <text>
        <r>
          <rPr>
            <b/>
            <sz val="10"/>
            <color rgb="FF000000"/>
            <rFont val="Tahoma"/>
            <family val="2"/>
          </rPr>
          <t>Snead - Marquise Brown out</t>
        </r>
      </text>
    </comment>
    <comment ref="F160" authorId="0" shapeId="0" xr:uid="{C09116C4-3AB1-7147-A9D3-BE6D2AB8DCF0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G160" authorId="0" shapeId="0" xr:uid="{FA066F0A-8ADD-4443-9CA0-0230BDB31D5B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H160" authorId="0" shapeId="0" xr:uid="{2F636786-F2F5-974C-BC0F-E26F835EDE83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F162" authorId="0" shapeId="0" xr:uid="{0CEADC06-7EE1-5546-B3C2-F1EEFB98DB14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62" authorId="0" shapeId="0" xr:uid="{33BBD251-BB96-814D-AF90-9B28076F82F2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4" authorId="0" shapeId="0" xr:uid="{2FD24E07-A4C4-E240-AAA5-73FFDF7A563C}">
      <text>
        <r>
          <rPr>
            <b/>
            <sz val="10"/>
            <color rgb="FF000000"/>
            <rFont val="Tahoma"/>
            <family val="2"/>
          </rPr>
          <t>Cooper injured in 1st Q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4" authorId="0" shapeId="0" xr:uid="{99215877-7A4E-F547-AFA2-7A5FB16CFE09}">
      <text>
        <r>
          <rPr>
            <b/>
            <sz val="10"/>
            <color rgb="FF000000"/>
            <rFont val="Tahoma"/>
            <family val="2"/>
          </rPr>
          <t>Gallup - Cobb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64" authorId="0" shapeId="0" xr:uid="{E5A7A78A-7A48-6942-A914-1ECD25D11DF8}">
      <text>
        <r>
          <rPr>
            <b/>
            <sz val="10"/>
            <color rgb="FF000000"/>
            <rFont val="Tahoma"/>
            <family val="2"/>
          </rPr>
          <t>Tavon Austin - Cobb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6" authorId="0" shapeId="0" xr:uid="{C5AD5D69-8CF2-7B47-BA14-4D14BA42887D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166" authorId="0" shapeId="0" xr:uid="{83916D5E-B39D-8A4A-ACCB-731EBA1E9B95}">
      <text>
        <r>
          <rPr>
            <b/>
            <sz val="10"/>
            <color rgb="FF000000"/>
            <rFont val="Tahoma"/>
            <family val="2"/>
          </rPr>
          <t>MArvin Hall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7" authorId="0" shapeId="0" xr:uid="{8513900B-50C2-D14F-A29D-E1A523708E42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F167" authorId="0" shapeId="0" xr:uid="{5F8E833B-271D-7C44-8027-1162DEC02A9A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G167" authorId="0" shapeId="0" xr:uid="{C3596778-8BAB-044F-BA32-DE448CF9E23A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168" authorId="0" shapeId="0" xr:uid="{B989B8AB-0D7E-2941-A319-662AFDD71B51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168" authorId="0" shapeId="0" xr:uid="{BB52C181-EB40-1549-9AEB-F9A569F6DD9C}">
      <text>
        <r>
          <rPr>
            <b/>
            <sz val="10"/>
            <color rgb="FF000000"/>
            <rFont val="Tahoma"/>
            <family val="2"/>
          </rPr>
          <t>Coutee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9" authorId="0" shapeId="0" xr:uid="{EA10ACDD-4CB5-4146-B1FF-42E748DF2169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169" authorId="0" shapeId="0" xr:uid="{4C166427-7EF7-734D-AA83-8F36AF7D5C6C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170" authorId="0" shapeId="0" xr:uid="{4C5F8D86-8815-4D4F-A70F-8D71E34C5491}">
      <text>
        <r>
          <rPr>
            <b/>
            <sz val="10"/>
            <color rgb="FF000000"/>
            <rFont val="Tahoma"/>
            <family val="2"/>
          </rPr>
          <t>Tyreek Hill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0" authorId="0" shapeId="0" xr:uid="{D17DF3FC-4963-6146-9E4D-5EC2152B48E3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- Watkins out</t>
        </r>
      </text>
    </comment>
    <comment ref="G170" authorId="0" shapeId="0" xr:uid="{9B671D31-175A-1041-AA99-0C3E11737D4E}">
      <text>
        <r>
          <rPr>
            <b/>
            <sz val="10"/>
            <color rgb="FF000000"/>
            <rFont val="Tahoma"/>
            <family val="2"/>
          </rPr>
          <t>Pringle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2" authorId="0" shapeId="0" xr:uid="{6CF3284E-5EE2-BC4F-A1BA-5EE93A48937E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172" authorId="0" shapeId="0" xr:uid="{76186294-D4FF-824D-A3F6-90E8A6728EFF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172" authorId="0" shapeId="0" xr:uid="{AE6EFC49-EF32-824B-994B-737AF21D5712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173" authorId="0" shapeId="0" xr:uid="{A45DB16B-8D18-D140-9206-412609E37EBC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173" authorId="0" shapeId="0" xr:uid="{EAEAC913-D613-6E47-903F-BE8D5092AEAC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73" authorId="0" shapeId="0" xr:uid="{CB8FD22F-A205-1C43-AD9D-767A280F1F46}">
      <text>
        <r>
          <rPr>
            <b/>
            <sz val="10"/>
            <color rgb="FF000000"/>
            <rFont val="Tahoma"/>
            <family val="2"/>
          </rPr>
          <t>Albert Wilson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5" authorId="0" shapeId="0" xr:uid="{1C4DB734-7F7C-4741-8BD0-EE858DFC3060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5" authorId="0" shapeId="0" xr:uid="{C92CC102-6D14-D245-8FEE-C161E65801CF}">
      <text>
        <r>
          <rPr>
            <b/>
            <sz val="10"/>
            <color rgb="FF000000"/>
            <rFont val="Tahoma"/>
            <family val="2"/>
          </rPr>
          <t>Josh Gordon - inj 1st quater and Dorsett out</t>
        </r>
      </text>
    </comment>
    <comment ref="G175" authorId="0" shapeId="0" xr:uid="{7C283D25-4B0F-8749-87E2-A3A5EDE83E81}">
      <text>
        <r>
          <rPr>
            <b/>
            <sz val="10"/>
            <color rgb="FF000000"/>
            <rFont val="Tahoma"/>
            <family val="2"/>
          </rPr>
          <t>Jakobi Meyers - Dorsett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6" authorId="0" shapeId="0" xr:uid="{116E59F9-3753-A24E-A6EA-8BD6DCA42ED2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E177" authorId="0" shapeId="0" xr:uid="{174303B6-6A15-3140-BEA7-049604908C77}">
      <text>
        <r>
          <rPr>
            <b/>
            <sz val="10"/>
            <color rgb="FF000000"/>
            <rFont val="Tahoma"/>
            <family val="2"/>
          </rPr>
          <t>Tate - Shepard and Engram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7" authorId="0" shapeId="0" xr:uid="{7CEE20B4-E5CA-2740-ABD1-1F0719D5D596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and Engram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77" authorId="0" shapeId="0" xr:uid="{79C932AC-3C9D-6945-BAC9-0DE262F86BAB}">
      <text>
        <r>
          <rPr>
            <b/>
            <sz val="10"/>
            <color rgb="FF000000"/>
            <rFont val="Calibri"/>
            <family val="2"/>
          </rPr>
          <t>Shepard and Engram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H177" authorId="0" shapeId="0" xr:uid="{E9988FE5-CC69-AA48-9BFC-08AA4E870F45}">
      <text>
        <r>
          <rPr>
            <b/>
            <sz val="10"/>
            <color rgb="FF000000"/>
            <rFont val="Calibri"/>
            <family val="2"/>
            <scheme val="minor"/>
          </rPr>
          <t>Shepard and Engram out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8" authorId="0" shapeId="0" xr:uid="{576C076F-EA1A-6340-8F4C-D7407D043053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8" authorId="0" shapeId="0" xr:uid="{D6D0E7DE-3499-4742-9843-D44A6019C958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9" authorId="0" shapeId="0" xr:uid="{C45152D6-B499-8D49-8B4A-391D0194A044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9" authorId="0" shapeId="0" xr:uid="{E2B91ADA-FF59-3249-B589-B85A8104687F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179" authorId="0" shapeId="0" xr:uid="{E5F1C37F-5DCE-D040-8343-2236DE53BF29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80" authorId="0" shapeId="0" xr:uid="{3FF64A44-EFC3-AE49-936F-344011A624AB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80" authorId="0" shapeId="0" xr:uid="{E54F27D8-5A21-AF44-A5B1-55EAE0FE389F}">
      <text>
        <r>
          <rPr>
            <b/>
            <sz val="10"/>
            <color rgb="FF000000"/>
            <rFont val="Tahoma"/>
            <family val="2"/>
          </rPr>
          <t>Moncrief</t>
        </r>
      </text>
    </comment>
    <comment ref="E181" authorId="0" shapeId="0" xr:uid="{D0E5F8DA-2C01-E14A-9732-CCFAD8093501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81" authorId="0" shapeId="0" xr:uid="{30CF688D-9B63-9549-BCAD-069238C29E80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G181" authorId="0" shapeId="0" xr:uid="{979F2039-68C4-514E-BBE2-05D1FC819C80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F182" authorId="0" shapeId="0" xr:uid="{05AA72E4-354A-2940-9D6F-2C5088C01845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182" authorId="0" shapeId="0" xr:uid="{C0CCAC0F-0D1E-0947-B133-2D65F316C6B0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H182" authorId="0" shapeId="0" xr:uid="{B437B6CE-7B16-CC4B-B9E8-D80BD26A01D1}">
      <text>
        <r>
          <rPr>
            <b/>
            <sz val="10"/>
            <color rgb="FF000000"/>
            <rFont val="Tahoma"/>
            <family val="2"/>
          </rPr>
          <t>Dissly injurd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83" authorId="0" shapeId="0" xr:uid="{6C8E2266-860D-CA41-AB0F-25EABE56351D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184" authorId="0" shapeId="0" xr:uid="{41C8368C-9B88-D147-B289-0324A6B4D4BE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184" authorId="0" shapeId="0" xr:uid="{5FF22DC7-C80C-6E40-A51C-9E445E519274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G184" authorId="0" shapeId="0" xr:uid="{0823DFB2-5272-BC4F-9BB3-92F17291DB15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E185" authorId="0" shapeId="0" xr:uid="{9CDFEFF4-AB13-724E-AB7E-1C2CED8A3FB9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185" authorId="0" shapeId="0" xr:uid="{6970AE5A-3C46-124B-B58C-2E90B132664B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G185" authorId="0" shapeId="0" xr:uid="{3F2C8D41-DD23-B248-8955-1122E064221B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H185" authorId="0" shapeId="0" xr:uid="{D538ED96-BB53-7F46-B9F6-A22165E4CB3B}">
      <text>
        <r>
          <rPr>
            <b/>
            <sz val="10"/>
            <color rgb="FF000000"/>
            <rFont val="Tahoma"/>
            <family val="2"/>
          </rPr>
          <t>Sprinkle - Davis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86" authorId="0" shapeId="0" xr:uid="{8F24D2F3-4863-6C4C-9E58-1FC469C21038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F186" authorId="0" shapeId="0" xr:uid="{BA115EC8-70D2-1C45-AC73-CBFE3BAC7125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86" authorId="0" shapeId="0" xr:uid="{710831E0-79C5-D942-87B5-B7F187D00468}">
      <text>
        <r>
          <rPr>
            <b/>
            <sz val="10"/>
            <color rgb="FF000000"/>
            <rFont val="Calibri"/>
            <family val="2"/>
          </rPr>
          <t>Damiere Byrd-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87" authorId="0" shapeId="0" xr:uid="{609235CE-F741-3B4F-9E74-6F6D1F9FAAC2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87" authorId="0" shapeId="0" xr:uid="{6692EABF-0DAA-9F47-8D8B-D9884D4D4814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87" authorId="0" shapeId="0" xr:uid="{810FD86D-AAB7-8B45-8BBA-47AEE2EE7C2D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88" authorId="0" shapeId="0" xr:uid="{9754FC6A-5DD3-D549-A9F7-81A23027C6EF}">
      <text>
        <r>
          <rPr>
            <b/>
            <sz val="10"/>
            <color rgb="FF000000"/>
            <rFont val="Tahoma"/>
            <family val="2"/>
          </rPr>
          <t>Snead - Marquise Brown out</t>
        </r>
      </text>
    </comment>
    <comment ref="F188" authorId="0" shapeId="0" xr:uid="{6669CF54-3348-7545-9A43-12DE52DA1A67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G188" authorId="0" shapeId="0" xr:uid="{B7383863-8FEB-F240-844A-C87A3316FBBB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F189" authorId="0" shapeId="0" xr:uid="{DA88A76D-288E-A046-93BD-8C932D626587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89" authorId="0" shapeId="0" xr:uid="{2D59CBA4-50CD-964B-B5E3-A1FDFBC025A5}">
      <text>
        <r>
          <rPr>
            <b/>
            <sz val="10"/>
            <color rgb="FF000000"/>
            <rFont val="Tahoma"/>
            <family val="2"/>
          </rPr>
          <t>Duke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0" authorId="0" shapeId="0" xr:uid="{C76B192E-EC26-0440-B618-23FDB6373853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0" authorId="0" shapeId="0" xr:uid="{8B540016-66F3-2B4C-9DA3-EE8DE5F81DD0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90" authorId="0" shapeId="0" xr:uid="{53715932-0F29-8A4D-A51C-2578A2978D28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1" authorId="0" shapeId="0" xr:uid="{5766717E-5255-614D-B754-81292801D220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91" authorId="0" shapeId="0" xr:uid="{70112BC8-7100-A841-89C2-172AF295C07C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2" authorId="0" shapeId="0" xr:uid="{C1C1FE73-9E08-E14F-AE37-52AF743328E4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92" authorId="0" shapeId="0" xr:uid="{4F51DC9F-B414-8449-9D4E-F21F360872B7}">
      <text>
        <r>
          <rPr>
            <b/>
            <sz val="10"/>
            <color rgb="FF000000"/>
            <rFont val="Tahoma"/>
            <family val="2"/>
          </rPr>
          <t>Cobb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4" authorId="0" shapeId="0" xr:uid="{B77A3A54-7416-AA4D-B176-ED3E8C0BC132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194" authorId="0" shapeId="0" xr:uid="{599BE043-9FA3-3F44-98AF-48A3D0E38B51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E195" authorId="0" shapeId="0" xr:uid="{05AB063E-6F3D-2341-88C4-41011CDF3E29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195" authorId="0" shapeId="0" xr:uid="{F95E5C66-D369-3345-9275-2A8C1066C094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G195" authorId="0" shapeId="0" xr:uid="{E24E5FD5-77CD-8B44-B016-B78F4474CD53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F196" authorId="0" shapeId="0" xr:uid="{B6B7D5C1-72BC-6843-8AAD-252D260A9136}">
      <text>
        <r>
          <rPr>
            <b/>
            <sz val="10"/>
            <color rgb="FF000000"/>
            <rFont val="Tahoma"/>
            <family val="2"/>
          </rPr>
          <t>Stills - Fuller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96" authorId="0" shapeId="0" xr:uid="{F6C1628A-AAB9-EC4B-9857-DD598D653FFD}">
      <text>
        <r>
          <rPr>
            <b/>
            <sz val="10"/>
            <color rgb="FF000000"/>
            <rFont val="Tahoma"/>
            <family val="2"/>
          </rPr>
          <t>Coutee - Fuller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7" authorId="0" shapeId="0" xr:uid="{5F4D3EDF-D1C0-1B40-81B7-125C67C4DE6F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8" authorId="0" shapeId="0" xr:uid="{8A0BAE2B-335B-BE44-B077-54663C79915B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198" authorId="0" shapeId="0" xr:uid="{3FB22E26-F92B-1646-A1B9-71B0A840C102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H198" authorId="0" shapeId="0" xr:uid="{C35B3571-C84A-6445-B388-D81CE8245F52}">
      <text>
        <r>
          <rPr>
            <b/>
            <sz val="10"/>
            <color rgb="FF000000"/>
            <rFont val="Tahoma"/>
            <family val="2"/>
          </rPr>
          <t>O'Shaunnesey and Swaim out for season - The only 2 TEs that ran routes for Jags all season. Might funnel more targets to WRs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9" authorId="0" shapeId="0" xr:uid="{3F8F57E1-3A8C-B14B-A874-DA9CEF02891D}">
      <text>
        <r>
          <rPr>
            <b/>
            <sz val="10"/>
            <color rgb="FF000000"/>
            <rFont val="Tahoma"/>
            <family val="2"/>
          </rPr>
          <t>Tyreek Hill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9" authorId="0" shapeId="0" xr:uid="{5C42A2D3-0F18-A44B-B497-6B187AA24006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- Watkins out</t>
        </r>
      </text>
    </comment>
    <comment ref="G199" authorId="0" shapeId="0" xr:uid="{CEDC58DF-3AA5-AC4A-9CE0-8C32BD3E3CA2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E200" authorId="0" shapeId="0" xr:uid="{942B47BC-2718-4641-A262-E47B7B38416C}">
      <text>
        <r>
          <rPr>
            <b/>
            <sz val="10"/>
            <color rgb="FF000000"/>
            <rFont val="Tahoma"/>
            <family val="2"/>
          </rPr>
          <t xml:space="preserve">Keelan Doss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00" authorId="0" shapeId="0" xr:uid="{1432C253-F798-8242-9889-608F628F7AC5}">
      <text>
        <r>
          <rPr>
            <b/>
            <sz val="10"/>
            <color rgb="FF000000"/>
            <rFont val="Tahoma"/>
            <family val="2"/>
          </rPr>
          <t>Renfrow - Tyrell Williams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00" authorId="0" shapeId="0" xr:uid="{682A19CF-3B5C-6442-908F-F1C5218382F7}">
      <text>
        <r>
          <rPr>
            <b/>
            <sz val="10"/>
            <color rgb="FF000000"/>
            <rFont val="Tahoma"/>
            <family val="2"/>
          </rPr>
          <t xml:space="preserve">Trevor Davis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02" authorId="0" shapeId="0" xr:uid="{F3DD469D-9E5F-9B47-91A7-95A2CB604F72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02" authorId="0" shapeId="0" xr:uid="{6DA176C1-5A7F-FC4B-A000-D38AFEA71A0E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202" authorId="0" shapeId="0" xr:uid="{9F405802-4792-2143-8426-AF32075437DB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203" authorId="0" shapeId="0" xr:uid="{281D8D1D-A6D0-8147-AD34-E4217C5DBFCF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203" authorId="0" shapeId="0" xr:uid="{4856A04A-03AB-E94E-A653-95F7589470B2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03" authorId="0" shapeId="0" xr:uid="{FBEFBBC9-9008-B64C-AA3F-E0545C84B926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05" authorId="0" shapeId="0" xr:uid="{38851F15-C9D5-FB4F-B801-A922DA4CD577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05" authorId="0" shapeId="0" xr:uid="{9FAE4EC4-9940-E14C-9332-A1D67DFA27D2}">
      <text>
        <r>
          <rPr>
            <b/>
            <sz val="10"/>
            <color rgb="FF000000"/>
            <rFont val="Tahoma"/>
            <family val="2"/>
          </rPr>
          <t>Dorsett - Gordon out</t>
        </r>
      </text>
    </comment>
    <comment ref="G205" authorId="0" shapeId="0" xr:uid="{B340EAA5-27B7-A64A-ADC1-AC367380876D}">
      <text>
        <r>
          <rPr>
            <b/>
            <sz val="10"/>
            <color rgb="FF000000"/>
            <rFont val="Tahoma"/>
            <family val="2"/>
          </rPr>
          <t>Jakobi Meyers - Gordon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06" authorId="0" shapeId="0" xr:uid="{8C1A40C2-3198-9847-B23E-12981FB30A7C}">
      <text>
        <r>
          <rPr>
            <b/>
            <sz val="10"/>
            <color rgb="FF000000"/>
            <rFont val="Calibri"/>
            <family val="2"/>
          </rPr>
          <t>Tre'Quan and Cook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F206" authorId="0" shapeId="0" xr:uid="{79BCDBA3-D7C3-994A-9024-B9FCF6DF9875}">
      <text>
        <r>
          <rPr>
            <b/>
            <sz val="10"/>
            <color rgb="FF000000"/>
            <rFont val="Tahoma"/>
            <family val="2"/>
          </rPr>
          <t>Ted Ginn - Tre'Quan and Cook out</t>
        </r>
      </text>
    </comment>
    <comment ref="E207" authorId="0" shapeId="0" xr:uid="{E50BFB39-B1B6-0644-B1CC-5AD7DBFE633F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207" authorId="0" shapeId="0" xr:uid="{115457A6-2A7C-9F4D-82B9-55404F478EB7}">
      <text>
        <r>
          <rPr>
            <b/>
            <sz val="10"/>
            <color rgb="FF000000"/>
            <rFont val="Tahoma"/>
            <family val="2"/>
          </rPr>
          <t>Benny Fowler - 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07" authorId="0" shapeId="0" xr:uid="{F92BFA5F-C814-2E4E-B823-714DEFB37FFA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08" authorId="0" shapeId="0" xr:uid="{439B5F79-3A3F-7447-9236-ABF4C2A62FE0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08" authorId="0" shapeId="0" xr:uid="{DFA11C24-A1F6-AB47-8693-DECD4A23854F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08" authorId="0" shapeId="0" xr:uid="{967ADDD1-8BBA-4A48-8024-003E4189A022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09" authorId="0" shapeId="0" xr:uid="{D6751A96-ABC4-8E40-B58E-82178B182C10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09" authorId="0" shapeId="0" xr:uid="{7ECA9F62-7C8E-854F-BA55-80946D0E82C8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209" authorId="0" shapeId="0" xr:uid="{46F01A78-A3F1-6349-8A56-A824E2F44C43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10" authorId="0" shapeId="0" xr:uid="{7F087042-2652-B14E-BB55-848F4A878659}">
      <text>
        <r>
          <rPr>
            <b/>
            <sz val="10"/>
            <color rgb="FF000000"/>
            <rFont val="Tahoma"/>
            <family val="2"/>
          </rPr>
          <t>Kendrick Bourne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0" authorId="0" shapeId="0" xr:uid="{26DBA1CD-FDA6-3E42-A04D-573742FD78CC}">
      <text>
        <r>
          <rPr>
            <b/>
            <sz val="10"/>
            <color rgb="FF000000"/>
            <rFont val="Tahoma"/>
            <family val="2"/>
          </rPr>
          <t>Richie James Jr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10" authorId="0" shapeId="0" xr:uid="{2DC37BE6-AF46-744E-B874-72D3BDE2E84D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1" authorId="0" shapeId="0" xr:uid="{EED5BDA3-6336-6E44-A852-3CABDF7DC585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211" authorId="0" shapeId="0" xr:uid="{3AF6989B-89DE-804A-A98A-2C0959A94453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212" authorId="0" shapeId="0" xr:uid="{F3ACA5CF-A0B5-C949-A66F-1A0BFB948A3D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212" authorId="0" shapeId="0" xr:uid="{3C578106-5C2B-ED42-84C9-AF8DADD093EC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212" authorId="0" shapeId="0" xr:uid="{96C315D1-AA0A-604C-83CB-C725821ECAAC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213" authorId="0" shapeId="0" xr:uid="{88B16DEC-6A20-DE42-816F-6455AA9DF266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213" authorId="0" shapeId="0" xr:uid="{917FC138-F72B-CB4C-8D0D-5486F28E28F1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G213" authorId="0" shapeId="0" xr:uid="{360A2609-7DF6-B34F-91FE-F4AEAFE7E7B3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H213" authorId="0" shapeId="0" xr:uid="{27FBCBB8-2EEA-C045-B0A0-F0275693F3D8}">
      <text>
        <r>
          <rPr>
            <b/>
            <sz val="10"/>
            <color rgb="FF000000"/>
            <rFont val="Tahoma"/>
            <family val="2"/>
          </rPr>
          <t>Sprinkle - Davis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14" authorId="0" shapeId="0" xr:uid="{AB768148-E4B1-4F45-97E7-6DA3127FFAFC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4" authorId="0" shapeId="0" xr:uid="{281F3053-8A51-0446-A434-ECF3C4645EA0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15" authorId="0" shapeId="0" xr:uid="{889D1E1F-3E54-3445-84CE-95371D7277C8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5" authorId="0" shapeId="0" xr:uid="{0A55A089-98D3-074C-8470-4B9F7B0E2512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15" authorId="0" shapeId="0" xr:uid="{F7C7EDB7-E631-6347-87D3-3414AA87A5AD}">
      <text>
        <r>
          <rPr>
            <b/>
            <sz val="10"/>
            <color rgb="FF000000"/>
            <rFont val="Tahoma"/>
            <family val="2"/>
          </rPr>
          <t>Gage - Sanu traded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6" authorId="0" shapeId="0" xr:uid="{83B3EA68-625A-D842-8B15-FF0013EB4E05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16" authorId="0" shapeId="0" xr:uid="{323AD317-889C-4D43-BF05-DEC524EC58EF}">
      <text>
        <r>
          <rPr>
            <b/>
            <sz val="10"/>
            <color rgb="FF000000"/>
            <rFont val="Tahoma"/>
            <family val="2"/>
          </rPr>
          <t>Duke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18" authorId="0" shapeId="0" xr:uid="{87ABEC38-DDDA-114E-9EC4-EA7BC7579F56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8" authorId="0" shapeId="0" xr:uid="{987921B2-0156-E549-B9CD-9493648717D3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18" authorId="0" shapeId="0" xr:uid="{9157F2CF-9B9A-5241-BEC0-87DAA9C2DF04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9" authorId="0" shapeId="0" xr:uid="{41C3AF33-A542-EE4D-90EF-1DF2DE87A026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19" authorId="0" shapeId="0" xr:uid="{D307732D-BC45-4641-99BF-6C0CBA838C51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2" authorId="0" shapeId="0" xr:uid="{E5190DB8-D31B-A44F-8CC9-567742205A0C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E223" authorId="0" shapeId="0" xr:uid="{96BA5C94-8EDB-CF48-B920-A3EFDFD30B76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223" authorId="0" shapeId="0" xr:uid="{24AD158D-D256-3848-8B6F-8CD887F0D7F0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G223" authorId="0" shapeId="0" xr:uid="{C7A0BFFF-2625-9D47-BFE9-3E20EA5E0717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F224" authorId="0" shapeId="0" xr:uid="{B7E36294-F420-1544-BF4F-0BBE3F8280B2}">
      <text>
        <r>
          <rPr>
            <b/>
            <sz val="10"/>
            <color rgb="FF000000"/>
            <rFont val="Tahoma"/>
            <family val="2"/>
          </rPr>
          <t>Stills - Fuller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24" authorId="0" shapeId="0" xr:uid="{B31DEADE-1CA2-204C-9E66-A2D412C33160}">
      <text>
        <r>
          <rPr>
            <b/>
            <sz val="10"/>
            <color rgb="FF000000"/>
            <rFont val="Tahoma"/>
            <family val="2"/>
          </rPr>
          <t>Carter - Still out and Coutee benched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5" authorId="0" shapeId="0" xr:uid="{A34DFE06-C4B9-6B45-9DE8-CA1588DF4802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6" authorId="0" shapeId="0" xr:uid="{5ADE08E8-A504-B34F-B40F-F8333E1D54FF}">
      <text>
        <r>
          <rPr>
            <b/>
            <sz val="10"/>
            <color rgb="FF000000"/>
            <rFont val="Tahoma"/>
            <family val="2"/>
          </rPr>
          <t>DJ Chark - Westbrook injured in game</t>
        </r>
      </text>
    </comment>
    <comment ref="F226" authorId="0" shapeId="0" xr:uid="{9FC2D391-A9B3-6744-BD4C-7BC2E4A355B9}">
      <text>
        <r>
          <rPr>
            <b/>
            <sz val="10"/>
            <color rgb="FF000000"/>
            <rFont val="Tahoma"/>
            <family val="2"/>
          </rPr>
          <t>Conley - Westbrook injured in game</t>
        </r>
      </text>
    </comment>
    <comment ref="E227" authorId="0" shapeId="0" xr:uid="{FCD8A06B-48F5-EC42-BCCE-BCC2B1336ADC}">
      <text>
        <r>
          <rPr>
            <b/>
            <sz val="10"/>
            <color rgb="FF000000"/>
            <rFont val="Tahoma"/>
            <family val="2"/>
          </rPr>
          <t>Tyreek 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7" authorId="0" shapeId="0" xr:uid="{3DBA8E70-2C03-644C-8B5F-EBA8E523887A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G227" authorId="0" shapeId="0" xr:uid="{B7386F0D-9D53-2049-9A63-06D2B29AEEDE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8" authorId="0" shapeId="0" xr:uid="{D340AF6D-4516-A345-9BF6-ACB420CD4907}">
      <text>
        <r>
          <rPr>
            <b/>
            <sz val="10"/>
            <color rgb="FF000000"/>
            <rFont val="Tahoma"/>
            <family val="2"/>
          </rPr>
          <t>Tyrell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8" authorId="0" shapeId="0" xr:uid="{B5ADE2DB-61C7-2740-8C81-C43B88ACF0F0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30" authorId="0" shapeId="0" xr:uid="{DDFB05E2-CA44-8C42-AF9C-E8FA3EBB9FEF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30" authorId="0" shapeId="0" xr:uid="{FD257797-9A7E-2849-B846-6F24426C23AF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230" authorId="0" shapeId="0" xr:uid="{E89F868D-A39F-F342-8CA8-CA4CB521846B}">
      <text>
        <r>
          <rPr>
            <b/>
            <sz val="10"/>
            <color rgb="FF000000"/>
            <rFont val="Tahoma"/>
            <family val="2"/>
          </rPr>
          <t>Josh Reynolds - Cooks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31" authorId="0" shapeId="0" xr:uid="{3E3AA3F8-9331-184D-A911-D9B0888EE49A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231" authorId="0" shapeId="0" xr:uid="{704123DD-7EA8-2D45-BA68-37CC38225EED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31" authorId="0" shapeId="0" xr:uid="{4A77D51D-0160-934D-8656-B390CFE19185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32" authorId="0" shapeId="0" xr:uid="{A89BE2B9-7F22-314A-833A-DDE0B9DB4403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33" authorId="0" shapeId="0" xr:uid="{1C1FC3B8-71FB-CA47-9186-F7D04807D23A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33" authorId="0" shapeId="0" xr:uid="{06E8CF87-F628-974E-ABBC-D45D5330EA69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33" authorId="0" shapeId="0" xr:uid="{E48E401A-A745-0D4C-B71A-4AAEF8FB2BBF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35" authorId="0" shapeId="0" xr:uid="{34C69235-B492-B640-A32B-5E56FDA5C195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235" authorId="0" shapeId="0" xr:uid="{37A21D68-3AF0-4D4E-AE5B-36139E70B8AA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36" authorId="0" shapeId="0" xr:uid="{0B620764-126C-1F46-AFC8-7A1950D88FD1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36" authorId="0" shapeId="0" xr:uid="{6ADDB77F-5C55-AD46-8FF9-5D6CCC0D7897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36" authorId="0" shapeId="0" xr:uid="{EF407D57-C3A9-A14C-927B-6299DCABA209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37" authorId="0" shapeId="0" xr:uid="{F0E383B3-865B-F244-B192-3BCA39383128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37" authorId="0" shapeId="0" xr:uid="{B35C3001-7AC4-C24B-933B-457CFB7DC68B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F238" authorId="0" shapeId="0" xr:uid="{005B04E3-060A-784D-97B4-5946FEC68342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39" authorId="0" shapeId="0" xr:uid="{1DBBF781-1312-3846-B6D0-10606C6F4A88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239" authorId="0" shapeId="0" xr:uid="{AD06598F-B25C-A042-8FE6-77116932E57F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F240" authorId="0" shapeId="0" xr:uid="{19B38E9D-BF63-2B49-9C9E-D2830933F88E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E242" authorId="0" shapeId="0" xr:uid="{5B0ABCF0-6092-B44C-8025-ECB3DF78F928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242" authorId="0" shapeId="0" xr:uid="{286C06BE-5F19-954B-A8F2-CCB7623FE626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242" authorId="0" shapeId="0" xr:uid="{13F837AC-8735-5F40-B61E-E87C0E715756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43" authorId="0" shapeId="0" xr:uid="{02A0A1C9-1D0F-684A-8402-2061F953C156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243" authorId="0" shapeId="0" xr:uid="{051FCA04-EEFC-CE45-91AE-C4B38ED9ACDA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G243" authorId="0" shapeId="0" xr:uid="{7F1AB4E6-8B87-7949-8FE3-2FB223D95653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E244" authorId="0" shapeId="0" xr:uid="{55D0534E-9775-DC4E-A83C-B14585008F7F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4" authorId="0" shapeId="0" xr:uid="{3A7A74C5-16B6-B840-8D3C-299110CE6152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45" authorId="0" shapeId="0" xr:uid="{2FABC800-239B-F847-95B1-E11C61F31ED9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246" authorId="0" shapeId="0" xr:uid="{637103D9-0402-294B-BB9F-B7FD27A51EDA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8" authorId="0" shapeId="0" xr:uid="{FE52128C-D121-4B42-AE39-4B55A9898173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0" authorId="0" shapeId="0" xr:uid="{96FC88D0-D95B-F743-A742-85196E044D9D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2" authorId="0" shapeId="0" xr:uid="{B633ADAA-F09D-6D46-B438-E5558CBB9AB1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252" authorId="0" shapeId="0" xr:uid="{1030EC8F-3EFB-1547-BC98-299731824575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F253" authorId="0" shapeId="0" xr:uid="{7B064558-6724-7A42-89EC-77416C6BDCC9}">
      <text>
        <r>
          <rPr>
            <b/>
            <sz val="10"/>
            <color rgb="FF000000"/>
            <rFont val="Tahoma"/>
            <family val="2"/>
          </rPr>
          <t>Lazard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4" authorId="0" shapeId="0" xr:uid="{6F1D1B7A-1731-B949-ABD3-756AC9FEA0A4}">
      <text>
        <r>
          <rPr>
            <b/>
            <sz val="10"/>
            <color rgb="FF000000"/>
            <rFont val="Tahoma"/>
            <family val="2"/>
          </rPr>
          <t>Stills - Fuller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54" authorId="0" shapeId="0" xr:uid="{BB4DB946-1438-5A48-8FE9-E05238BC1C65}">
      <text>
        <r>
          <rPr>
            <b/>
            <sz val="10"/>
            <color rgb="FF000000"/>
            <rFont val="Tahoma"/>
            <family val="2"/>
          </rPr>
          <t>Carter - Still out and Coutee benched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55" authorId="0" shapeId="0" xr:uid="{5F749CE9-6CDD-B94F-98FB-7002C612FC3C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5" authorId="0" shapeId="0" xr:uid="{01FF02D4-E5E6-514A-B82F-87ACF9F5B7A3}">
      <text>
        <r>
          <rPr>
            <b/>
            <sz val="10"/>
            <color rgb="FF000000"/>
            <rFont val="Tahoma"/>
            <family val="2"/>
          </rPr>
          <t>Parris Campbell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55" authorId="0" shapeId="0" xr:uid="{49E5999B-A903-A94E-92F5-BC1FD6E7516E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56" authorId="0" shapeId="0" xr:uid="{8623A6C8-3DED-AA45-8E72-7BBBC0F033EA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F256" authorId="0" shapeId="0" xr:uid="{644E38D9-F1CA-AE45-9082-D340384B6882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257" authorId="0" shapeId="0" xr:uid="{E6151519-67D6-DF46-91F8-804240B3B0A0}">
      <text>
        <r>
          <rPr>
            <b/>
            <sz val="10"/>
            <color rgb="FF000000"/>
            <rFont val="Tahoma"/>
            <family val="2"/>
          </rPr>
          <t>Tyreek 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7" authorId="0" shapeId="0" xr:uid="{8DA563C2-4B8C-C142-9A77-D0CFE8D5485B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E258" authorId="0" shapeId="0" xr:uid="{A8FB7BC4-42CD-3843-848A-D70294E38DA7}">
      <text>
        <r>
          <rPr>
            <b/>
            <sz val="10"/>
            <color rgb="FF000000"/>
            <rFont val="Tahoma"/>
            <family val="2"/>
          </rPr>
          <t>Tyrell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8" authorId="0" shapeId="0" xr:uid="{AA74D470-7059-4043-B95E-186274CFA085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60" authorId="0" shapeId="0" xr:uid="{30FA9137-6ADD-774D-AA12-61FB238CD174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260" authorId="0" shapeId="0" xr:uid="{AD94C238-03BB-314E-97D1-234CCC6C5855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61" authorId="0" shapeId="0" xr:uid="{0B3BF807-8EFE-3344-9E00-7A289C1B4A4B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62" authorId="0" shapeId="0" xr:uid="{0C530DEC-760F-4B44-ACA2-5E9FF22C7581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62" authorId="0" shapeId="0" xr:uid="{1686A283-09F7-E54C-81B3-0CBC9FB0BEA5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63" authorId="0" shapeId="0" xr:uid="{ABAE3D47-CC0A-D245-A0B7-098453396714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263" authorId="0" shapeId="0" xr:uid="{78F19AB1-05B2-FD4A-A858-BC0FA5397242}">
      <text>
        <r>
          <rPr>
            <b/>
            <sz val="10"/>
            <color rgb="FF000000"/>
            <rFont val="Tahoma"/>
            <family val="2"/>
          </rPr>
          <t>Latimer - 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64" authorId="0" shapeId="0" xr:uid="{A1D58998-DBC3-2E44-8982-E2376BB04A4D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64" authorId="0" shapeId="0" xr:uid="{7E29C3F3-4ACD-D346-A710-1AD82AC3F190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65" authorId="0" shapeId="0" xr:uid="{5D42E521-4D68-0543-8788-336CFF83D32D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65" authorId="0" shapeId="0" xr:uid="{9DD927D7-2E9A-4748-8F5F-AC18355806FD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F266" authorId="0" shapeId="0" xr:uid="{28ADD242-B71A-1E42-B033-4A383C4DE262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G266" authorId="0" shapeId="0" xr:uid="{C2B59FA7-CB17-2E45-8480-BE9D59FA4112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67" authorId="0" shapeId="0" xr:uid="{82C855EC-0855-7C44-92CD-125010AFA7D5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267" authorId="0" shapeId="0" xr:uid="{E557802F-5139-6443-A936-3D8AC09657C5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F268" authorId="0" shapeId="0" xr:uid="{5B715407-7267-6648-BE7C-130B7AD64F77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E270" authorId="0" shapeId="0" xr:uid="{2CA9A216-8373-8F48-93CA-6FC84123E589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270" authorId="0" shapeId="0" xr:uid="{1F8D4180-105C-1347-92A7-F38D1235D86E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270" authorId="0" shapeId="0" xr:uid="{79EF08CB-4A01-AA4D-9A9C-A5FB0F893622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71" authorId="0" shapeId="0" xr:uid="{B358D1BA-28C3-0749-AD31-412BB8E0F722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271" authorId="0" shapeId="0" xr:uid="{3FED9E50-701B-3943-8CDB-A6666521ED0E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E272" authorId="0" shapeId="0" xr:uid="{4F7D999C-72F3-4145-8D7F-26DC444B238E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72" authorId="0" shapeId="0" xr:uid="{6C675B20-8025-E648-AF81-70EAC0B9EBDC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73" authorId="0" shapeId="0" xr:uid="{64EA57D0-D31A-0240-B771-AC777B283108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73" authorId="0" shapeId="0" xr:uid="{C6CA0410-D5E5-4B46-92BC-1F1D1CF01A61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73" authorId="0" shapeId="0" xr:uid="{109585CC-2F54-7442-98E8-AE23914841ED}">
      <text>
        <r>
          <rPr>
            <b/>
            <sz val="10"/>
            <color rgb="FF000000"/>
            <rFont val="Tahoma"/>
            <family val="2"/>
          </rPr>
          <t>Gage - Sanu traded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74" authorId="0" shapeId="0" xr:uid="{C134E1DD-D64A-D348-B5C6-DAC6300289DB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278" authorId="0" shapeId="0" xr:uid="{4AE7D841-AD39-4740-8FDF-D09D5E4A30B9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3" authorId="0" shapeId="0" xr:uid="{A278FF03-1F39-334C-8B98-6E306F489D91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83" authorId="0" shapeId="0" xr:uid="{E998EB85-C5B9-2940-9063-003237242761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7" authorId="0" shapeId="0" xr:uid="{70DAEC0E-3359-8441-A75C-6288A291BBA0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87" authorId="0" shapeId="0" xr:uid="{660CA58E-B0E2-DB43-9C3C-1AA2EE065BA4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287" authorId="0" shapeId="0" xr:uid="{A820E1AA-22E9-4A41-8E28-4C3580392C14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288" authorId="0" shapeId="0" xr:uid="{16E00E27-3A78-FE41-B30C-BE5B9A55AE18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88" authorId="0" shapeId="0" xr:uid="{B7601C11-6F1F-034D-80B4-C46D258D8E7A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88" authorId="0" shapeId="0" xr:uid="{E2EB7BD5-FFB9-6545-9B58-A04BF9E73305}">
      <text>
        <r>
          <rPr>
            <b/>
            <sz val="10"/>
            <color rgb="FF000000"/>
            <rFont val="Tahoma"/>
            <family val="2"/>
          </rPr>
          <t>Jakeem Grant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9" authorId="0" shapeId="0" xr:uid="{383E29A9-F6A5-4546-9E78-6F8987827D1E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91" authorId="0" shapeId="0" xr:uid="{044AFD37-0C42-DB43-AC46-88B761B9DFC8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291" authorId="0" shapeId="0" xr:uid="{88378A9C-EEDE-FA45-A825-F8FE71C57E19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92" authorId="0" shapeId="0" xr:uid="{17B65152-6E89-0E48-B0AE-C036F6959511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92" authorId="0" shapeId="0" xr:uid="{00A61CCB-3D2E-7849-BE67-7A7E2CEC8A5F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92" authorId="0" shapeId="0" xr:uid="{7E1B2834-B977-A247-B959-21801D8CB084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93" authorId="0" shapeId="0" xr:uid="{81183FFB-9D84-0B4D-89E5-25CE09DD8A13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G293" authorId="0" shapeId="0" xr:uid="{767A04C4-A52D-8845-9823-7B133924AF50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94" authorId="0" shapeId="0" xr:uid="{EDA38E80-1DDA-6F45-A16D-3217D490A06B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297" authorId="0" shapeId="0" xr:uid="{D8BCB999-B607-CD49-9D76-CCE179A73FC9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F297" authorId="0" shapeId="0" xr:uid="{D7575418-6E13-CC49-BBFC-3352F20715F2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G297" authorId="0" shapeId="0" xr:uid="{1BE94380-A329-9C40-85C3-3160CE716113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98" authorId="0" shapeId="0" xr:uid="{A410F851-E4ED-CA47-8AF8-7D7B038EE4B4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98" authorId="0" shapeId="0" xr:uid="{E0B27EF9-90DC-CA4E-A502-E5CABC54750C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04" authorId="0" shapeId="0" xr:uid="{C3A62CA5-1BED-CA4A-A75C-036755628057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10" authorId="0" shapeId="0" xr:uid="{8C307E68-9999-D64F-B6CA-DF1BCA9E19C1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10" authorId="0" shapeId="0" xr:uid="{2B32AA82-80F8-A548-8C2B-660C2DEBBE08}">
      <text>
        <r>
          <rPr>
            <b/>
            <sz val="10"/>
            <color rgb="FF000000"/>
            <rFont val="Tahoma"/>
            <family val="2"/>
          </rPr>
          <t>Marcus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10" authorId="0" shapeId="0" xr:uid="{20B38A4A-C1B2-F449-A2FE-F9A5C672B8FE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11" authorId="0" shapeId="0" xr:uid="{F02E260E-5BA9-3742-808F-4BAEF3FB5E95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E312" authorId="0" shapeId="0" xr:uid="{E044DC96-9EA0-F045-8904-8AA9BF0B6FD6}">
      <text>
        <r>
          <rPr>
            <b/>
            <sz val="10"/>
            <color rgb="FF000000"/>
            <rFont val="Tahoma"/>
            <family val="2"/>
          </rPr>
          <t>Watkins - Tyreek injured 1st drive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12" authorId="0" shapeId="0" xr:uid="{CBDB6295-1E52-6244-A108-15E6F99C8CAF}">
      <text>
        <r>
          <rPr>
            <b/>
            <sz val="10"/>
            <color rgb="FF000000"/>
            <rFont val="Tahoma"/>
            <family val="2"/>
          </rPr>
          <t>Hardman - Tyreek injured 1st drive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15" authorId="0" shapeId="0" xr:uid="{F5DD6DD8-02D5-4E4B-A63C-E5DF16850A73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315" authorId="0" shapeId="0" xr:uid="{C95AA088-93E2-9341-A81C-DB5FC88083DF}">
      <text>
        <r>
          <rPr>
            <b/>
            <sz val="10"/>
            <color rgb="FF000000"/>
            <rFont val="Tahoma"/>
            <family val="2"/>
          </rPr>
          <t>Josh Reynolds - Cooks and Woods out</t>
        </r>
      </text>
    </comment>
    <comment ref="E316" authorId="0" shapeId="0" xr:uid="{BF1630FE-16F4-E246-9D7F-57578D93C8B6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16" authorId="0" shapeId="0" xr:uid="{0928E88F-4FB3-1142-B330-D45B3CB804F4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16" authorId="0" shapeId="0" xr:uid="{4A622666-504A-7942-A5AE-0183008A5B47}">
      <text>
        <r>
          <rPr>
            <b/>
            <sz val="10"/>
            <color rgb="FF000000"/>
            <rFont val="Tahoma"/>
            <family val="2"/>
          </rPr>
          <t>Jakeem Grant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17" authorId="0" shapeId="0" xr:uid="{0A2836C3-C19C-AC4A-9AD2-300DCA18A979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18" authorId="0" shapeId="0" xr:uid="{A04DA5DA-9537-5C4E-BD4E-E21B8F2555F9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18" authorId="0" shapeId="0" xr:uid="{8582CD49-09D1-9845-B059-9E9604F9A2AD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20" authorId="0" shapeId="0" xr:uid="{5319FAC3-68D1-A340-ADFB-65AFB6935615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20" authorId="0" shapeId="0" xr:uid="{0B877D46-D876-2A40-BFC5-A486A9763F3B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20" authorId="0" shapeId="0" xr:uid="{84937878-742F-BF4F-81C1-D67EDC6E4F0C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21" authorId="0" shapeId="0" xr:uid="{0CBFB582-1A05-E845-BFAA-28F05477F666}">
      <text>
        <r>
          <rPr>
            <b/>
            <sz val="10"/>
            <color rgb="FF000000"/>
            <rFont val="Tahoma"/>
            <family val="2"/>
          </rPr>
          <t>Agholor -- Alshon and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22" authorId="0" shapeId="0" xr:uid="{27C68062-304C-3A4A-9DF1-7E55A875C99C}">
      <text>
        <r>
          <rPr>
            <b/>
            <sz val="10"/>
            <color rgb="FF000000"/>
            <rFont val="Tahoma"/>
            <family val="2"/>
          </rPr>
          <t>JuJu injured in 1st half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23" authorId="0" shapeId="0" xr:uid="{ADFF8138-249E-174E-AAE2-16F367BC2085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325" authorId="0" shapeId="0" xr:uid="{B1B1DCEF-3F50-4E4D-9C15-E50D86CBB40A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331" authorId="0" shapeId="0" xr:uid="{A2040598-2D63-2747-9B9A-723B13B12A22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37" authorId="0" shapeId="0" xr:uid="{A18010C2-3732-384B-9EE3-66FE80C1D5E1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E341" authorId="0" shapeId="0" xr:uid="{AFF52DBB-EDE9-0A4A-9D19-954E42967C11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341" authorId="0" shapeId="0" xr:uid="{211B0B4A-483C-4149-B331-D1AC46D80CE4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341" authorId="0" shapeId="0" xr:uid="{D4562DD8-00A2-FB4C-9F0C-4249C96A961A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342" authorId="0" shapeId="0" xr:uid="{078F8219-DD91-ED4C-B8ED-9A36C217A200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42" authorId="0" shapeId="0" xr:uid="{C6DCC10C-4AA7-6E4F-A964-DCB7E475B6A0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45" authorId="0" shapeId="0" xr:uid="{BBE805BC-8869-C842-85AB-DE5C14104B6F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45" authorId="0" shapeId="0" xr:uid="{12136ED3-8E13-AE48-BED1-5B4B261F5307}">
      <text>
        <r>
          <rPr>
            <b/>
            <sz val="10"/>
            <color rgb="FF000000"/>
            <rFont val="Tahoma"/>
            <family val="2"/>
          </rPr>
          <t>Tate</t>
        </r>
      </text>
    </comment>
    <comment ref="G345" authorId="0" shapeId="0" xr:uid="{E1B55B6E-DDE2-4143-8726-19A332C3EDF8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46" authorId="0" shapeId="0" xr:uid="{64D5A13B-8CF1-FC46-A9C0-B23CB0BC7B61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46" authorId="0" shapeId="0" xr:uid="{568E4F4B-E379-FD4F-A500-6F5C78B1674D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48" authorId="0" shapeId="0" xr:uid="{E31E2F51-565A-B44C-B45C-C98256D36CE1}">
      <text>
        <r>
          <rPr>
            <b/>
            <sz val="10"/>
            <color rgb="FF000000"/>
            <rFont val="Tahoma"/>
            <family val="2"/>
          </rPr>
          <t>James Washington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48" authorId="0" shapeId="0" xr:uid="{E95F0E2A-CA37-AA4C-A297-BBE2937EB484}">
      <text>
        <r>
          <rPr>
            <b/>
            <sz val="10"/>
            <color rgb="FF000000"/>
            <rFont val="Tahoma"/>
            <family val="2"/>
          </rPr>
          <t>Diontae Johnson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49" authorId="0" shapeId="0" xr:uid="{A9F12FD1-E54B-7340-BFB0-180F9B3C1003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349" authorId="0" shapeId="0" xr:uid="{87083C9C-03F0-4F40-963B-4AD2F7EA0DF3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352" authorId="0" shapeId="0" xr:uid="{1976F8CB-AEEB-6A4F-85F1-F6A90CD85BCB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F352" authorId="0" shapeId="0" xr:uid="{43D6E67C-3490-B647-88AB-1AF80AECE521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G352" authorId="0" shapeId="0" xr:uid="{145CD7F8-4770-B14E-AFDD-9A4BC3D21E8F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354" authorId="0" shapeId="0" xr:uid="{CBEB2595-9C28-C54E-B246-497F4B6543BF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54" authorId="0" shapeId="0" xr:uid="{FA67C631-7A01-4F4B-B960-C2CE75EC7E14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60" authorId="0" shapeId="0" xr:uid="{6891D7B9-7B33-2F42-BC1F-D360F7F897E4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67" authorId="0" shapeId="0" xr:uid="{43445463-A6DF-AA49-A3F8-3F27BD0944EC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67" authorId="0" shapeId="0" xr:uid="{32A6E25F-6947-0845-8854-65A02ADB7B60}">
      <text>
        <r>
          <rPr>
            <b/>
            <sz val="10"/>
            <color rgb="FF000000"/>
            <rFont val="Tahoma"/>
            <family val="2"/>
          </rPr>
          <t>Marcus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72" authorId="0" shapeId="0" xr:uid="{4F215A75-8942-CC4C-AB88-876ACF9056AA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372" authorId="0" shapeId="0" xr:uid="{12AE6E8B-4515-9F43-BB8B-605FB5FED47B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372" authorId="0" shapeId="0" xr:uid="{E6C7E7AA-C21E-7E45-9535-8A5DE3502CD6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374" authorId="0" shapeId="0" xr:uid="{9FF9F3FB-5276-0C45-97B5-3890C066DF1B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77" authorId="0" shapeId="0" xr:uid="{276362DA-7EC4-E94E-AB5A-5116520202E2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78" authorId="0" shapeId="0" xr:uid="{1426C618-B647-2547-83A8-0D0C55798B81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78" authorId="0" shapeId="0" xr:uid="{1BB91B89-CA36-3843-96F9-878513DBA339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79" authorId="0" shapeId="0" xr:uid="{10326716-8803-034E-859F-59C369E65434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80" authorId="0" shapeId="0" xr:uid="{A9AB38DC-0E82-F54F-A691-455939598F4D}">
      <text>
        <r>
          <rPr>
            <b/>
            <sz val="10"/>
            <color rgb="FF000000"/>
            <rFont val="Tahoma"/>
            <family val="2"/>
          </rPr>
          <t>James Washington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80" authorId="0" shapeId="0" xr:uid="{D2F557D3-F949-6B45-944A-5DB0343FCCC1}">
      <text>
        <r>
          <rPr>
            <b/>
            <sz val="10"/>
            <color rgb="FF000000"/>
            <rFont val="Tahoma"/>
            <family val="2"/>
          </rPr>
          <t>Diontae Johnson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81" authorId="0" shapeId="0" xr:uid="{3AA6C996-ED52-9545-9F10-8C90A6010CE4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381" authorId="0" shapeId="0" xr:uid="{4300C38A-988E-F540-B2D5-C9FA38906100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384" authorId="0" shapeId="0" xr:uid="{DC7EA471-E21E-9C41-A1E4-AAEF241ED9CF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F384" authorId="0" shapeId="0" xr:uid="{82EABBA9-475C-9346-AA42-A234341CE8F0}">
      <text>
        <r>
          <rPr>
            <b/>
            <sz val="10"/>
            <color rgb="FF000000"/>
            <rFont val="Tahoma"/>
            <family val="2"/>
          </rPr>
          <t>Corey Davis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K1" authorId="0" shapeId="0" xr:uid="{2CA06F13-7BE1-044C-B9D2-FC34CEEE320A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" authorId="0" shapeId="0" xr:uid="{973FA239-EC92-0144-BAE0-72B27825128C}">
      <text>
        <r>
          <rPr>
            <b/>
            <sz val="10"/>
            <color rgb="FF000000"/>
            <rFont val="Tahoma"/>
            <family val="2"/>
          </rPr>
          <t>Fitz</t>
        </r>
      </text>
    </comment>
    <comment ref="F2" authorId="0" shapeId="0" xr:uid="{61B4BBDD-02A1-7F4E-9059-CE661EF22D92}">
      <text>
        <r>
          <rPr>
            <b/>
            <sz val="10"/>
            <color rgb="FF000000"/>
            <rFont val="Tahoma"/>
            <family val="2"/>
          </rPr>
          <t>Kirk</t>
        </r>
      </text>
    </comment>
    <comment ref="G2" authorId="0" shapeId="0" xr:uid="{4A3910EC-BD8F-0E45-BAAD-262E72BC8C98}">
      <text>
        <r>
          <rPr>
            <b/>
            <sz val="10"/>
            <color rgb="FF000000"/>
            <rFont val="Tahoma"/>
            <family val="2"/>
          </rPr>
          <t>Keesean Johnson</t>
        </r>
      </text>
    </comment>
    <comment ref="E3" authorId="0" shapeId="0" xr:uid="{1B080E89-E007-0B4E-895B-F5A3B033FEDA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" authorId="0" shapeId="0" xr:uid="{30A6B598-244B-0B47-8F5F-71E07225BBCE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" authorId="0" shapeId="0" xr:uid="{3F48DAC3-7D2B-5B49-AFD8-7A19C52CB954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4" authorId="0" shapeId="0" xr:uid="{0B531F98-4F86-4742-875C-2DCA0E2AFC9C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4" authorId="0" shapeId="0" xr:uid="{52E601FC-617B-FE49-9EF2-9EE22EF97A35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G4" authorId="0" shapeId="0" xr:uid="{CEB027CA-9B6C-074D-8949-6E3E7D5C3A32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5" authorId="0" shapeId="0" xr:uid="{7A2E80FD-BF67-CA47-8B40-A7E246ABCF69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" authorId="0" shapeId="0" xr:uid="{459893D4-FE6F-934D-8F88-6E387DA1933C}">
      <text>
        <r>
          <rPr>
            <b/>
            <sz val="10"/>
            <color rgb="FF000000"/>
            <rFont val="Tahoma"/>
            <family val="2"/>
          </rPr>
          <t>Zay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" authorId="0" shapeId="0" xr:uid="{DD9E7633-B078-A740-84F1-D5CDC1A80F3C}">
      <text>
        <r>
          <rPr>
            <b/>
            <sz val="10"/>
            <color rgb="FF000000"/>
            <rFont val="Tahoma"/>
            <family val="2"/>
          </rPr>
          <t>Javon Wims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" authorId="0" shapeId="0" xr:uid="{575B9A59-2D3F-C643-8033-09B5AE73B0AF}">
      <text>
        <r>
          <rPr>
            <b/>
            <sz val="10"/>
            <color rgb="FF000000"/>
            <rFont val="Tahoma"/>
            <family val="2"/>
          </rPr>
          <t>Devin Smith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" authorId="0" shapeId="0" xr:uid="{3059F8E7-0383-B54B-AB15-A844F7D41EBA}">
      <text>
        <r>
          <rPr>
            <b/>
            <sz val="10"/>
            <color rgb="FF000000"/>
            <rFont val="Tahoma"/>
            <family val="2"/>
          </rPr>
          <t xml:space="preserve">Cobb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" authorId="0" shapeId="0" xr:uid="{BCF7F2BC-4F6A-2441-B88F-F52B4A8448D6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12" authorId="0" shapeId="0" xr:uid="{BA9FC3D0-1FAF-C144-A70F-DC5F807BDA45}">
      <text>
        <r>
          <rPr>
            <b/>
            <sz val="10"/>
            <color rgb="FF000000"/>
            <rFont val="Tahoma"/>
            <family val="2"/>
          </rPr>
          <t>Marvin Hall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" authorId="0" shapeId="0" xr:uid="{DCDA27E8-DE24-2647-B4B8-87E0E6233DA1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G13" authorId="0" shapeId="0" xr:uid="{63AF2750-3567-864F-9D52-FEDDA3DCDA82}">
      <text>
        <r>
          <rPr>
            <b/>
            <sz val="10"/>
            <color rgb="FF000000"/>
            <rFont val="Tahoma"/>
            <family val="2"/>
          </rPr>
          <t>Allison</t>
        </r>
      </text>
    </comment>
    <comment ref="F14" authorId="0" shapeId="0" xr:uid="{6BF4AA75-8251-6546-90CB-03EC7E66794C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14" authorId="0" shapeId="0" xr:uid="{A178F92A-E1A6-4043-AD6D-3F62CF055AE9}">
      <text>
        <r>
          <rPr>
            <b/>
            <sz val="10"/>
            <color rgb="FF000000"/>
            <rFont val="Tahoma"/>
            <family val="2"/>
          </rPr>
          <t xml:space="preserve">Stills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5" authorId="0" shapeId="0" xr:uid="{CCA60AF2-F161-D543-9B77-85A944FE9425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" authorId="0" shapeId="0" xr:uid="{A958A4D7-AE37-0B48-B3F4-4DCA50008ACF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5" authorId="0" shapeId="0" xr:uid="{23609278-ECAB-0547-AF18-73050ED1EBA0}">
      <text>
        <r>
          <rPr>
            <b/>
            <sz val="10"/>
            <color rgb="FF000000"/>
            <rFont val="Tahoma"/>
            <family val="2"/>
          </rPr>
          <t>Parris Campbell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" authorId="0" shapeId="0" xr:uid="{89C67A49-701C-8547-A472-651B4A97027D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16" authorId="0" shapeId="0" xr:uid="{889644AA-FCFE-6249-B5AB-1482855645CA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17" authorId="0" shapeId="0" xr:uid="{10B2FCF1-4253-DC4C-8A6A-02EDFD2E0D70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F17" authorId="0" shapeId="0" xr:uid="{9EAF00D3-B91F-3D46-BD6E-D83C314C8FC1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G17" authorId="0" shapeId="0" xr:uid="{C55D4E96-81C5-014F-A01E-2708C2444159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8" authorId="0" shapeId="0" xr:uid="{FE0965DA-59C0-AA4F-9AE1-CD8D12F8A9C9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0" authorId="0" shapeId="0" xr:uid="{AAEB18D3-C6D6-9E4C-9D78-BDF9CCFD32DD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0" authorId="0" shapeId="0" xr:uid="{6EDBA5EE-B214-8148-869E-E9A55A301DC2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20" authorId="0" shapeId="0" xr:uid="{329B7608-3C59-744E-B0E6-607DCEBDC4F6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21" authorId="0" shapeId="0" xr:uid="{801B119B-9FBD-6344-96F6-B373C94ED0FC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21" authorId="0" shapeId="0" xr:uid="{DFAE0340-19C8-DC46-9230-AEE6FECC06A5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1" authorId="0" shapeId="0" xr:uid="{175AE36D-4EB6-8C4A-B66D-DB46C9749742}">
      <text>
        <r>
          <rPr>
            <b/>
            <sz val="10"/>
            <color rgb="FF000000"/>
            <rFont val="Tahoma"/>
            <family val="2"/>
          </rPr>
          <t>Jakeem Grant</t>
        </r>
      </text>
    </comment>
    <comment ref="E23" authorId="0" shapeId="0" xr:uid="{9C43E18C-2AC2-5048-9435-259FCC3DB78E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3" authorId="0" shapeId="0" xr:uid="{E87EBAA4-19E4-DA47-ADD9-8B7452F2DDB6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G23" authorId="0" shapeId="0" xr:uid="{C73BA153-21EA-1C40-8069-9F8E54BDFAEB}">
      <text>
        <r>
          <rPr>
            <b/>
            <sz val="10"/>
            <color rgb="FF000000"/>
            <rFont val="Tahoma"/>
            <family val="2"/>
          </rPr>
          <t>Phillip 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" authorId="0" shapeId="0" xr:uid="{A41A87A3-BEB9-6145-BC85-CE383A6DBBC5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E25" authorId="0" shapeId="0" xr:uid="{1BE76E43-17E8-764E-A9EC-713751B85565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" authorId="0" shapeId="0" xr:uid="{0D28123A-37E4-8B46-AFDC-5B955DC19FC7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5" authorId="0" shapeId="0" xr:uid="{679CA634-5EB7-A544-A262-547CBBF6180B}">
      <text>
        <r>
          <rPr>
            <b/>
            <sz val="10"/>
            <color rgb="FF000000"/>
            <rFont val="Tahoma"/>
            <family val="2"/>
          </rPr>
          <t>Russell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6" authorId="0" shapeId="0" xr:uid="{24A75297-DD08-D54F-8569-B440E1F96FDD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6" authorId="0" shapeId="0" xr:uid="{13C560E7-9661-BF4B-9F57-9A82B3907C20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26" authorId="0" shapeId="0" xr:uid="{38A7B0D9-436D-9B45-8E7C-4E53749BEA41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7" authorId="0" shapeId="0" xr:uid="{E7F73FCB-AC63-D748-91C6-94FC8D4FF672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7" authorId="0" shapeId="0" xr:uid="{933EB909-EC48-4A4B-8EF3-7BC779A27154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E28" authorId="0" shapeId="0" xr:uid="{A5527E6C-7899-E843-AA67-964D199D2FAF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F28" authorId="0" shapeId="0" xr:uid="{3FEF96B4-8335-AF46-A817-A8C4A71EE3D0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28" authorId="0" shapeId="0" xr:uid="{5853985D-4909-414F-8816-1942D36E5282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29" authorId="0" shapeId="0" xr:uid="{AC91F37B-7576-F742-996F-A7D7411DE40C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30" authorId="0" shapeId="0" xr:uid="{E6FE4BB2-872B-E247-B101-24E768EAE688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30" authorId="0" shapeId="0" xr:uid="{E38224E6-4901-9B42-A014-D2B253D0EDF2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30" authorId="0" shapeId="0" xr:uid="{090E2A39-1CE4-CA49-BC61-DB24384400D3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31" authorId="0" shapeId="0" xr:uid="{96C7D9E3-3C61-214D-B415-71C2CCAD5631}">
      <text>
        <r>
          <rPr>
            <b/>
            <sz val="10"/>
            <color rgb="FF000000"/>
            <rFont val="Tahoma"/>
            <family val="2"/>
          </rPr>
          <t>Paul Richardson</t>
        </r>
        <r>
          <rPr>
            <b/>
            <sz val="10"/>
            <color rgb="FF000000"/>
            <rFont val="Calibri"/>
            <family val="2"/>
          </rPr>
          <t xml:space="preserve"> - McLaurin out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F31" authorId="0" shapeId="0" xr:uid="{02836D9F-DD37-0741-8A89-6DD4FF2986AC}">
      <text>
        <r>
          <rPr>
            <b/>
            <sz val="10"/>
            <color rgb="FF000000"/>
            <rFont val="Tahoma"/>
            <family val="2"/>
          </rPr>
          <t>Trey Quinn</t>
        </r>
        <r>
          <rPr>
            <b/>
            <sz val="10"/>
            <color rgb="FF000000"/>
            <rFont val="Calibri"/>
            <family val="2"/>
          </rPr>
          <t xml:space="preserve"> - McLaurin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 xml:space="preserve">
</t>
        </r>
      </text>
    </comment>
    <comment ref="G31" authorId="0" shapeId="0" xr:uid="{528BDE27-E051-C74E-B65E-701E09B196C5}">
      <text>
        <r>
          <rPr>
            <b/>
            <sz val="10"/>
            <color rgb="FF000000"/>
            <rFont val="Tahoma"/>
            <family val="2"/>
          </rPr>
          <t>Kelvin Harmon - McLaurin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2" authorId="0" shapeId="0" xr:uid="{4A5292DA-3EB6-6A4B-A38F-62DCF58E05D6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F32" authorId="0" shapeId="0" xr:uid="{3BCC3420-7629-0B48-9937-54C7FD1B9960}">
      <text>
        <r>
          <rPr>
            <b/>
            <sz val="10"/>
            <color rgb="FF000000"/>
            <rFont val="Tahoma"/>
            <family val="2"/>
          </rPr>
          <t xml:space="preserve">KeeSean Johnson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2" authorId="0" shapeId="0" xr:uid="{9A460682-5B8B-1147-9003-B91D0E561E06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3" authorId="0" shapeId="0" xr:uid="{E99CE69D-39E2-FE49-A656-9BA188D7C75F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3" authorId="0" shapeId="0" xr:uid="{7FFB8A36-1807-2B49-A232-D01FD481F2FA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3" authorId="0" shapeId="0" xr:uid="{5A519968-D4B4-444A-AE07-99094F7CA13A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4" authorId="0" shapeId="0" xr:uid="{2C968C12-E727-A646-9477-4AE447DDE14E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34" authorId="0" shapeId="0" xr:uid="{47618512-2D15-0249-9DFB-DC49BF9C14F7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G34" authorId="0" shapeId="0" xr:uid="{BB37146F-6C2C-6D45-83EF-0B17E851495B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35" authorId="0" shapeId="0" xr:uid="{418FEFF1-9250-EF4A-8E2E-A8DC3ECF7A19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5" authorId="0" shapeId="0" xr:uid="{505D695A-FF6A-E344-9680-06BB9EFAB1E1}">
      <text>
        <r>
          <rPr>
            <b/>
            <sz val="10"/>
            <color rgb="FF000000"/>
            <rFont val="Tahoma"/>
            <family val="2"/>
          </rPr>
          <t>Isaiah McKenzie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7" authorId="0" shapeId="0" xr:uid="{41CDDECD-654F-E840-82BE-5457E57485D2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7" authorId="0" shapeId="0" xr:uid="{516FDD54-44DF-F54B-9307-852B24545D6C}">
      <text>
        <r>
          <rPr>
            <b/>
            <sz val="10"/>
            <color rgb="FF000000"/>
            <rFont val="Tahoma"/>
            <family val="2"/>
          </rPr>
          <t xml:space="preserve">Anthony Miller </t>
        </r>
        <r>
          <rPr>
            <b/>
            <sz val="10"/>
            <color rgb="FF000000"/>
            <rFont val="Calibri"/>
            <family val="2"/>
          </rPr>
          <t>- Gabriel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7" authorId="0" shapeId="0" xr:uid="{700C77FE-C026-3045-89DB-FB9D008280A4}">
      <text>
        <r>
          <rPr>
            <b/>
            <sz val="10"/>
            <color rgb="FF000000"/>
            <rFont val="Tahoma"/>
            <family val="2"/>
          </rPr>
          <t xml:space="preserve">Javon Wims </t>
        </r>
        <r>
          <rPr>
            <b/>
            <sz val="10"/>
            <color rgb="FF000000"/>
            <rFont val="Calibri"/>
            <family val="2"/>
          </rPr>
          <t>- Gabriel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8" authorId="0" shapeId="0" xr:uid="{9913742D-7EB1-874D-81B6-52EBD88B9142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8" authorId="0" shapeId="0" xr:uid="{1144D199-8365-284C-9B5D-1DCF434E638C}">
      <text>
        <r>
          <rPr>
            <b/>
            <sz val="10"/>
            <color rgb="FF000000"/>
            <rFont val="Tahoma"/>
            <family val="2"/>
          </rPr>
          <t>Damion Willis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0" authorId="0" shapeId="0" xr:uid="{030D4EDF-8747-8348-96EE-9ED0918ED1B3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40" authorId="0" shapeId="0" xr:uid="{C5F0C4DE-65A8-E04A-961F-0894CA7BC766}">
      <text>
        <r>
          <rPr>
            <b/>
            <sz val="10"/>
            <color rgb="FF000000"/>
            <rFont val="Tahoma"/>
            <family val="2"/>
          </rPr>
          <t>Cobb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42" authorId="0" shapeId="0" xr:uid="{05ABAB6D-37B3-E44C-9438-8D8D2585CB18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42" authorId="0" shapeId="0" xr:uid="{70630692-5BE9-5A4C-9B05-27CFA973F239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F43" authorId="0" shapeId="0" xr:uid="{6862275D-D44F-4B4D-A406-F2445E4CBD12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43" authorId="0" shapeId="0" xr:uid="{BEC3086C-BACA-BE4A-9E28-1E17FFBE8341}">
      <text>
        <r>
          <rPr>
            <b/>
            <sz val="10"/>
            <color rgb="FF000000"/>
            <rFont val="Tahoma"/>
            <family val="2"/>
          </rPr>
          <t>Coutee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4" authorId="0" shapeId="0" xr:uid="{831C7C59-36B7-8345-93C7-C9DE52679FBA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5" authorId="0" shapeId="0" xr:uid="{909E2D5C-3775-9D40-851D-6CBB382CF2F1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45" authorId="0" shapeId="0" xr:uid="{3E4078B9-D968-9A45-92F5-CFCF87F0FBD0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46" authorId="0" shapeId="0" xr:uid="{0FB90D1F-B6FD-CC4D-8CFE-4583DBB59B26}">
      <text>
        <r>
          <rPr>
            <b/>
            <sz val="10"/>
            <color rgb="FF000000"/>
            <rFont val="Tahoma"/>
            <family val="2"/>
          </rPr>
          <t>Pringle - Watkins injured early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6" authorId="0" shapeId="0" xr:uid="{5F5EB816-5380-BC48-A875-C3DCF3A79392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G46" authorId="0" shapeId="0" xr:uid="{5C6D860E-7F78-1243-96A1-7C5C0E62BA2E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47" authorId="0" shapeId="0" xr:uid="{DC56D845-00C5-9845-A7AB-D7319C3E9C58}">
      <text>
        <r>
          <rPr>
            <b/>
            <sz val="10"/>
            <color rgb="FF000000"/>
            <rFont val="Tahoma"/>
            <family val="2"/>
          </rPr>
          <t>Renfrow - Tyrell Williams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7" authorId="0" shapeId="0" xr:uid="{0110E639-991C-D648-9E55-ACC566D41C66}">
      <text>
        <r>
          <rPr>
            <b/>
            <sz val="10"/>
            <color rgb="FF000000"/>
            <rFont val="Tahoma"/>
            <family val="2"/>
          </rPr>
          <t xml:space="preserve">Trevor Davis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47" authorId="0" shapeId="0" xr:uid="{8E266CEE-2BF6-B845-B14F-470BB5C6ECA3}">
      <text>
        <r>
          <rPr>
            <b/>
            <sz val="10"/>
            <color rgb="FF000000"/>
            <rFont val="Tahoma"/>
            <family val="2"/>
          </rPr>
          <t xml:space="preserve">Keelan Doss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49" authorId="0" shapeId="0" xr:uid="{06A9A830-2B5E-174B-A1F5-719958DEF9FA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49" authorId="0" shapeId="0" xr:uid="{0FF530E4-24DD-8B4D-8C77-B73CD0D25CC7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49" authorId="0" shapeId="0" xr:uid="{884020B7-F6DC-464F-8EBE-0C731735EDB2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51" authorId="0" shapeId="0" xr:uid="{721A186A-3D90-8843-AD0D-D47C3570120F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1" authorId="0" shapeId="0" xr:uid="{E2E44855-2C53-F648-A7C0-7E2897D0FBAE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G51" authorId="0" shapeId="0" xr:uid="{100CBCA1-CFE4-9643-AEED-8BB0C2F16479}">
      <text>
        <r>
          <rPr>
            <b/>
            <sz val="10"/>
            <color rgb="FF000000"/>
            <rFont val="Tahoma"/>
            <family val="2"/>
          </rPr>
          <t>Phillip 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2" authorId="0" shapeId="0" xr:uid="{0830EA5E-253C-2643-87BC-380C2386DB90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E53" authorId="0" shapeId="0" xr:uid="{4FF7A77D-CCCC-A344-BA01-602D78F8CA65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3" authorId="0" shapeId="0" xr:uid="{C1F74C7C-0ADC-6743-A4A6-EC265CEBA22D}">
      <text>
        <r>
          <rPr>
            <b/>
            <sz val="10"/>
            <color rgb="FF000000"/>
            <rFont val="Tahoma"/>
            <family val="2"/>
          </rPr>
          <t>Golden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3" authorId="0" shapeId="0" xr:uid="{EB60490C-0C52-4947-9C5E-34B6281E58C3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54" authorId="0" shapeId="0" xr:uid="{6F1CCFDA-43DA-BE48-A700-194D07B37769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4" authorId="0" shapeId="0" xr:uid="{0AE0040A-58E5-BD4E-8D60-9F8C5721F59B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55" authorId="0" shapeId="0" xr:uid="{8A691314-9C92-554D-AA09-0174EDD22761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5" authorId="0" shapeId="0" xr:uid="{134DDBD2-BB0B-B24A-AF71-7C028A6940DE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55" authorId="0" shapeId="0" xr:uid="{939F46E6-F5F5-A64E-9AE4-7EB0897CC056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6" authorId="0" shapeId="0" xr:uid="{0C42FABD-DCBF-D940-B46C-5EEFF7AA846F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6" authorId="0" shapeId="0" xr:uid="{A2F29005-20FE-0D4B-B4C9-5ED74A4912BE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E57" authorId="0" shapeId="0" xr:uid="{9490EAB7-85C9-D24A-B0A2-ABA2DBE4AF2B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F57" authorId="0" shapeId="0" xr:uid="{07A3F1C6-2ED8-3648-BD02-12F1F8C81036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7" authorId="0" shapeId="0" xr:uid="{3A1D8B55-A68A-B640-ACCC-84C43668054E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58" authorId="0" shapeId="0" xr:uid="{E36D8AE2-282B-0A4C-8649-7AFC950B631B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F58" authorId="0" shapeId="0" xr:uid="{52E8917C-492E-DE49-8D3D-13F14A185477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58" authorId="0" shapeId="0" xr:uid="{55D99A3C-EEC6-E545-93EA-735D13B17631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59" authorId="0" shapeId="0" xr:uid="{DF3050CA-1B49-D74A-BAA8-302179690985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60" authorId="0" shapeId="0" xr:uid="{576466CD-791F-D34F-9D1A-771A2BAE5164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60" authorId="0" shapeId="0" xr:uid="{40AFF13D-63D7-284D-8443-043EFAF33725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G60" authorId="0" shapeId="0" xr:uid="{C60E4F6F-3997-7C43-A447-2646166070D9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E61" authorId="0" shapeId="0" xr:uid="{04F5EEC6-F862-234E-A1E6-75B264C37F6D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61" authorId="0" shapeId="0" xr:uid="{D5651A3C-D9C0-DB49-A8A9-E7538DB37659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G61" authorId="0" shapeId="0" xr:uid="{9FD7F095-93FB-9645-9B8A-9295B03A8E75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E62" authorId="0" shapeId="0" xr:uid="{3A156022-1EC3-D443-A9D9-330FE2EE58B4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F62" authorId="0" shapeId="0" xr:uid="{C0941468-F387-AD4A-BBCC-2D4435A499F1}">
      <text>
        <r>
          <rPr>
            <b/>
            <sz val="10"/>
            <color rgb="FF000000"/>
            <rFont val="Calibri"/>
            <family val="2"/>
          </rPr>
          <t>Damiere Byrd-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2" authorId="0" shapeId="0" xr:uid="{349EFB64-4FF0-8247-80CA-5D89AB8C8841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63" authorId="0" shapeId="0" xr:uid="{FD6F9B32-83DF-9A4F-B6E8-8E526562C8C7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63" authorId="0" shapeId="0" xr:uid="{66882C61-886E-8341-B5C0-3B1C4305C73C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3" authorId="0" shapeId="0" xr:uid="{B8B2346F-A38E-694A-A2F5-73B27BACB42C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64" authorId="0" shapeId="0" xr:uid="{10D66B36-559D-6E4E-A5E5-76FC1F3DA5AD}">
      <text>
        <r>
          <rPr>
            <b/>
            <sz val="10"/>
            <color rgb="FF000000"/>
            <rFont val="Tahoma"/>
            <family val="2"/>
          </rPr>
          <t>Snead - Marquise Brown out</t>
        </r>
      </text>
    </comment>
    <comment ref="F64" authorId="0" shapeId="0" xr:uid="{3BAC3875-4439-494E-A771-3A604115E094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G64" authorId="0" shapeId="0" xr:uid="{BD31AE78-876F-2B44-A071-187011B6CA72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H64" authorId="0" shapeId="0" xr:uid="{6C52F5CA-6EAF-5A42-9183-B4E5628419D2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F66" authorId="0" shapeId="0" xr:uid="{015738CE-A074-FB4A-87A5-1E2348640B71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6" authorId="0" shapeId="0" xr:uid="{860FBBD7-3062-0B4D-B22F-0748AE811576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68" authorId="0" shapeId="0" xr:uid="{4BC7C68C-6334-D54D-8D66-B98A108ECDC5}">
      <text>
        <r>
          <rPr>
            <b/>
            <sz val="10"/>
            <color rgb="FF000000"/>
            <rFont val="Tahoma"/>
            <family val="2"/>
          </rPr>
          <t>Cooper injured in 1st Q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68" authorId="0" shapeId="0" xr:uid="{1709883D-2057-6841-9C5F-2230B72756C8}">
      <text>
        <r>
          <rPr>
            <b/>
            <sz val="10"/>
            <color rgb="FF000000"/>
            <rFont val="Tahoma"/>
            <family val="2"/>
          </rPr>
          <t>Gallup - Cobb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8" authorId="0" shapeId="0" xr:uid="{615A0388-994A-4140-A02A-7EC813E4DCFD}">
      <text>
        <r>
          <rPr>
            <b/>
            <sz val="10"/>
            <color rgb="FF000000"/>
            <rFont val="Tahoma"/>
            <family val="2"/>
          </rPr>
          <t>Tavon Austin - Cobb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0" authorId="0" shapeId="0" xr:uid="{7983625D-BF38-6242-A6D4-ABACB2969E19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70" authorId="0" shapeId="0" xr:uid="{C0125F8B-6645-4648-8D47-5B87B3AA67DD}">
      <text>
        <r>
          <rPr>
            <b/>
            <sz val="10"/>
            <color rgb="FF000000"/>
            <rFont val="Tahoma"/>
            <family val="2"/>
          </rPr>
          <t>MArvin Hall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71" authorId="0" shapeId="0" xr:uid="{929D375F-39FE-9247-944D-94392DD40414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F71" authorId="0" shapeId="0" xr:uid="{1C471E97-E227-C14A-BCBB-E900659BFD22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G71" authorId="0" shapeId="0" xr:uid="{32A659C8-4887-C448-8957-13C5708F3449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72" authorId="0" shapeId="0" xr:uid="{08AB4EA1-23C1-B54F-BA30-3C0FD22ACB9F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72" authorId="0" shapeId="0" xr:uid="{1198E9EC-1A1C-A543-ACDA-795C357A2E79}">
      <text>
        <r>
          <rPr>
            <b/>
            <sz val="10"/>
            <color rgb="FF000000"/>
            <rFont val="Tahoma"/>
            <family val="2"/>
          </rPr>
          <t>Coutee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3" authorId="0" shapeId="0" xr:uid="{15EA4CF9-3025-2E46-80F3-FDD3E2BF5F23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73" authorId="0" shapeId="0" xr:uid="{C5C721BE-9B39-1C49-9F38-19F3B9799D70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74" authorId="0" shapeId="0" xr:uid="{B8A0C6F9-031A-3D40-A351-4D6822CBD5EB}">
      <text>
        <r>
          <rPr>
            <b/>
            <sz val="10"/>
            <color rgb="FF000000"/>
            <rFont val="Tahoma"/>
            <family val="2"/>
          </rPr>
          <t>Tyreek Hill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4" authorId="0" shapeId="0" xr:uid="{A35D90A8-0330-EE48-868B-D14608F51D84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- Watkins out</t>
        </r>
      </text>
    </comment>
    <comment ref="G74" authorId="0" shapeId="0" xr:uid="{8D4959A2-7455-BB4D-B3C8-DE4DDB518F3D}">
      <text>
        <r>
          <rPr>
            <b/>
            <sz val="10"/>
            <color rgb="FF000000"/>
            <rFont val="Tahoma"/>
            <family val="2"/>
          </rPr>
          <t>Pringle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76" authorId="0" shapeId="0" xr:uid="{5955E427-123D-364A-8770-D30AB7F5CD8B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76" authorId="0" shapeId="0" xr:uid="{6246FF4E-EE42-784D-88DD-B462ECA39F8F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76" authorId="0" shapeId="0" xr:uid="{D7C467E8-471E-1941-8D2C-F45E54A2DAF8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77" authorId="0" shapeId="0" xr:uid="{9A267013-A0E5-ED47-AB83-BB235918FF22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77" authorId="0" shapeId="0" xr:uid="{8424BA02-296D-1642-BDBC-DF1B18B0A492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77" authorId="0" shapeId="0" xr:uid="{A0F101DA-F01D-464D-8891-A34A329A937F}">
      <text>
        <r>
          <rPr>
            <b/>
            <sz val="10"/>
            <color rgb="FF000000"/>
            <rFont val="Tahoma"/>
            <family val="2"/>
          </rPr>
          <t>Albert Wilson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79" authorId="0" shapeId="0" xr:uid="{8937F5FF-F2DF-034F-ADA6-47A2ECE22FE5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9" authorId="0" shapeId="0" xr:uid="{CE80B8AD-1442-B14E-A83C-40832B7C5AF6}">
      <text>
        <r>
          <rPr>
            <b/>
            <sz val="10"/>
            <color rgb="FF000000"/>
            <rFont val="Tahoma"/>
            <family val="2"/>
          </rPr>
          <t>Josh Gordon - inj 1st quater and Dorsett out</t>
        </r>
      </text>
    </comment>
    <comment ref="G79" authorId="0" shapeId="0" xr:uid="{A5EFC9A2-6B6D-E74E-BF5E-A930CDD870FA}">
      <text>
        <r>
          <rPr>
            <b/>
            <sz val="10"/>
            <color rgb="FF000000"/>
            <rFont val="Tahoma"/>
            <family val="2"/>
          </rPr>
          <t>Jakobi Meyers - Dorsett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0" authorId="0" shapeId="0" xr:uid="{CACB6408-8E85-5643-A011-262356CC5A67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E81" authorId="0" shapeId="0" xr:uid="{83FDA831-A194-F04A-BAAB-8C1199E27BD1}">
      <text>
        <r>
          <rPr>
            <b/>
            <sz val="10"/>
            <color rgb="FF000000"/>
            <rFont val="Tahoma"/>
            <family val="2"/>
          </rPr>
          <t>Tate - Shepard and Engram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1" authorId="0" shapeId="0" xr:uid="{DE466DDE-6B71-F74D-A36D-7A5AFF878153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and Engram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81" authorId="0" shapeId="0" xr:uid="{1865D2FE-FC72-D14F-A8C7-0CBAE535019A}">
      <text>
        <r>
          <rPr>
            <b/>
            <sz val="10"/>
            <color rgb="FF000000"/>
            <rFont val="Calibri"/>
            <family val="2"/>
          </rPr>
          <t>Shepard and Engram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H81" authorId="0" shapeId="0" xr:uid="{274E4F4E-72AF-5A4B-812B-442EA0471086}">
      <text>
        <r>
          <rPr>
            <b/>
            <sz val="10"/>
            <color rgb="FF000000"/>
            <rFont val="Calibri"/>
            <family val="2"/>
            <scheme val="minor"/>
          </rPr>
          <t>Shepard and Engram out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2" authorId="0" shapeId="0" xr:uid="{868E8215-ACD5-6D4F-B9FC-20431A2F3876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2" authorId="0" shapeId="0" xr:uid="{4A10CB51-79B9-3D41-BD9D-D053F21C0FCA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3" authorId="0" shapeId="0" xr:uid="{37EC100A-741D-2047-BD60-429B456F38CC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3" authorId="0" shapeId="0" xr:uid="{8D73EE79-77D7-2F46-8B4E-E4B3D0B1AC46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83" authorId="0" shapeId="0" xr:uid="{6C9C0CF1-C089-5D4E-B8C5-172AF703D7A7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4" authorId="0" shapeId="0" xr:uid="{249D6771-619A-224D-B883-6AD9C294C96C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84" authorId="0" shapeId="0" xr:uid="{BDD79D72-69A3-F64D-BB8C-BCF4D8695CAA}">
      <text>
        <r>
          <rPr>
            <b/>
            <sz val="10"/>
            <color rgb="FF000000"/>
            <rFont val="Tahoma"/>
            <family val="2"/>
          </rPr>
          <t>Moncrief</t>
        </r>
      </text>
    </comment>
    <comment ref="E85" authorId="0" shapeId="0" xr:uid="{12E2CC07-9E5E-E84D-B623-8964874BD882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5" authorId="0" shapeId="0" xr:uid="{AAA0C59E-924E-9D49-9AA4-355FDD6CA3AC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G85" authorId="0" shapeId="0" xr:uid="{225DF867-2D38-6C4C-903A-477E81C98985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F86" authorId="0" shapeId="0" xr:uid="{C152ED82-3CE2-164D-9014-E1B99C40D345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86" authorId="0" shapeId="0" xr:uid="{4CA688E8-D94A-0C4A-A177-A2CBDB00DAF4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H86" authorId="0" shapeId="0" xr:uid="{67A97A93-E5E7-4049-98E1-8DF8C28A2639}">
      <text>
        <r>
          <rPr>
            <b/>
            <sz val="10"/>
            <color rgb="FF000000"/>
            <rFont val="Tahoma"/>
            <family val="2"/>
          </rPr>
          <t>Dissly injurd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7" authorId="0" shapeId="0" xr:uid="{7474C8DA-8EB4-5944-BB8B-50C093337D38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88" authorId="0" shapeId="0" xr:uid="{989422B8-8E95-C747-9BEC-E1BDE13129D2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88" authorId="0" shapeId="0" xr:uid="{0DB455C4-E73D-D948-84AF-7A7F28631402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G88" authorId="0" shapeId="0" xr:uid="{5DA120D1-85CF-AA48-B456-74534DDAFDDC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E89" authorId="0" shapeId="0" xr:uid="{50A5B000-70D2-F144-A152-BAFCCC1C5E8F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89" authorId="0" shapeId="0" xr:uid="{F53FEB31-6EDB-4E43-A2BB-AD92E46E1739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G89" authorId="0" shapeId="0" xr:uid="{16079837-30CB-624F-ADD3-34010C2BB851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H89" authorId="0" shapeId="0" xr:uid="{71E9E21B-0449-614F-B25E-8FDCA2C23BDB}">
      <text>
        <r>
          <rPr>
            <b/>
            <sz val="10"/>
            <color rgb="FF000000"/>
            <rFont val="Tahoma"/>
            <family val="2"/>
          </rPr>
          <t>Sprinkle - Davis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0" authorId="0" shapeId="0" xr:uid="{B97A3F42-37BB-114D-86E5-9FC41B9398E5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F90" authorId="0" shapeId="0" xr:uid="{BD6D5B40-CA09-004C-9DF0-C07BC01071B1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0" authorId="0" shapeId="0" xr:uid="{AAAC3489-A450-1B49-A715-0A8C5063C8BD}">
      <text>
        <r>
          <rPr>
            <b/>
            <sz val="10"/>
            <color rgb="FF000000"/>
            <rFont val="Calibri"/>
            <family val="2"/>
          </rPr>
          <t>Damiere Byrd-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1" authorId="0" shapeId="0" xr:uid="{D1EFF432-50A3-B84F-A492-DA16D8CA74A9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1" authorId="0" shapeId="0" xr:uid="{89563CA9-2B69-D64F-9923-803BAE3D6702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1" authorId="0" shapeId="0" xr:uid="{59C2C2FF-3473-164A-AAC2-9A04D041A0E3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2" authorId="0" shapeId="0" xr:uid="{5C96737A-D7E8-5549-BBDD-E36F10DC37F1}">
      <text>
        <r>
          <rPr>
            <b/>
            <sz val="10"/>
            <color rgb="FF000000"/>
            <rFont val="Tahoma"/>
            <family val="2"/>
          </rPr>
          <t>Snead - Marquise Brown out</t>
        </r>
      </text>
    </comment>
    <comment ref="F92" authorId="0" shapeId="0" xr:uid="{6C8EFA97-85D3-8C49-B24D-1D5E762D6369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G92" authorId="0" shapeId="0" xr:uid="{E16A94FA-4198-2248-B7D4-4AE3801BBB26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F93" authorId="0" shapeId="0" xr:uid="{432CBED5-03C1-F84E-924C-758A29B4535F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3" authorId="0" shapeId="0" xr:uid="{484D3A56-3DF7-6D4D-84D8-4686A551D631}">
      <text>
        <r>
          <rPr>
            <b/>
            <sz val="10"/>
            <color rgb="FF000000"/>
            <rFont val="Tahoma"/>
            <family val="2"/>
          </rPr>
          <t>Duke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4" authorId="0" shapeId="0" xr:uid="{495D1C28-6031-9E4A-9566-8FADBA0ECC4D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4" authorId="0" shapeId="0" xr:uid="{31FEAE3B-9A49-C849-A66C-1DA5A22EC89F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4" authorId="0" shapeId="0" xr:uid="{B85524DC-0F81-C649-B840-8B91AEDCE1C8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5" authorId="0" shapeId="0" xr:uid="{4FA90E44-70E6-BD4D-B943-DD9A048FEABF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5" authorId="0" shapeId="0" xr:uid="{2BE6458B-30D8-144F-B409-3415E40F104C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6" authorId="0" shapeId="0" xr:uid="{1A244B12-21D7-EA46-8048-4C6E20D6FA0F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6" authorId="0" shapeId="0" xr:uid="{B3373D95-1F7A-5249-A8BF-9606EA63232F}">
      <text>
        <r>
          <rPr>
            <b/>
            <sz val="10"/>
            <color rgb="FF000000"/>
            <rFont val="Tahoma"/>
            <family val="2"/>
          </rPr>
          <t>Cobb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8" authorId="0" shapeId="0" xr:uid="{E07F8CCC-A7B8-4D46-AFC7-B65D038248CC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98" authorId="0" shapeId="0" xr:uid="{0DB4E1A2-27D1-FC4C-81C9-A07A13DE434A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E99" authorId="0" shapeId="0" xr:uid="{AF2E8B78-3EBC-174C-9575-4A2CE110AEC8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99" authorId="0" shapeId="0" xr:uid="{5836A68E-BA69-7C4E-9951-229B164043DF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G99" authorId="0" shapeId="0" xr:uid="{DFAB8189-C70E-3949-A424-DE45D0DF608F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F100" authorId="0" shapeId="0" xr:uid="{F52FECD6-08C8-F84E-83E3-99F48FF2F7E6}">
      <text>
        <r>
          <rPr>
            <b/>
            <sz val="10"/>
            <color rgb="FF000000"/>
            <rFont val="Tahoma"/>
            <family val="2"/>
          </rPr>
          <t>Stills - Fuller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0" authorId="0" shapeId="0" xr:uid="{B042F85F-E775-924F-815E-1969B8E7E2E3}">
      <text>
        <r>
          <rPr>
            <b/>
            <sz val="10"/>
            <color rgb="FF000000"/>
            <rFont val="Tahoma"/>
            <family val="2"/>
          </rPr>
          <t>Coutee - Fuller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1" authorId="0" shapeId="0" xr:uid="{0C37419B-68DD-9A44-9FA6-7AC61962FC44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2" authorId="0" shapeId="0" xr:uid="{B338F1D9-4CA4-DA40-A0D5-3514B535F3AB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102" authorId="0" shapeId="0" xr:uid="{E9B2DA4A-604B-2E41-8355-66AE47CCE796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H102" authorId="0" shapeId="0" xr:uid="{9798D755-B649-644A-A6D5-0E8D0FE0E6F1}">
      <text>
        <r>
          <rPr>
            <b/>
            <sz val="10"/>
            <color rgb="FF000000"/>
            <rFont val="Tahoma"/>
            <family val="2"/>
          </rPr>
          <t>O'Shaunnesey and Swaim out for season - The only 2 TEs that ran routes for Jags all season. Might funnel more targets to WRs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03" authorId="0" shapeId="0" xr:uid="{2CDE395D-E9F0-D043-B368-BD549729D8B8}">
      <text>
        <r>
          <rPr>
            <b/>
            <sz val="10"/>
            <color rgb="FF000000"/>
            <rFont val="Tahoma"/>
            <family val="2"/>
          </rPr>
          <t>Tyreek Hill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3" authorId="0" shapeId="0" xr:uid="{67592677-395F-E84C-8E60-39F76A41B13E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- Watkins out</t>
        </r>
      </text>
    </comment>
    <comment ref="G103" authorId="0" shapeId="0" xr:uid="{F7C7A39E-D7D5-9146-A59F-2498D7A48D7F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E104" authorId="0" shapeId="0" xr:uid="{94B7A0BF-9ECF-754D-930D-2ED5AAFAC1EA}">
      <text>
        <r>
          <rPr>
            <b/>
            <sz val="10"/>
            <color rgb="FF000000"/>
            <rFont val="Tahoma"/>
            <family val="2"/>
          </rPr>
          <t xml:space="preserve">Keelan Doss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4" authorId="0" shapeId="0" xr:uid="{0F427C16-088B-D04B-ABB0-563E5EA84419}">
      <text>
        <r>
          <rPr>
            <b/>
            <sz val="10"/>
            <color rgb="FF000000"/>
            <rFont val="Tahoma"/>
            <family val="2"/>
          </rPr>
          <t>Renfrow - Tyrell Williams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4" authorId="0" shapeId="0" xr:uid="{0ADFFECC-4629-134E-A02C-88F8CCFDF405}">
      <text>
        <r>
          <rPr>
            <b/>
            <sz val="10"/>
            <color rgb="FF000000"/>
            <rFont val="Tahoma"/>
            <family val="2"/>
          </rPr>
          <t xml:space="preserve">Trevor Davis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06" authorId="0" shapeId="0" xr:uid="{28C3E01C-D81D-AF4A-B589-588D46D11EAC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106" authorId="0" shapeId="0" xr:uid="{96FDB4E1-B66A-EA49-ACAC-055F07AD3BCD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106" authorId="0" shapeId="0" xr:uid="{A9AA3DD9-BE44-2947-BCDC-B97FD33168E6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107" authorId="0" shapeId="0" xr:uid="{10E652C6-8B31-A644-8996-C259EB1FA892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107" authorId="0" shapeId="0" xr:uid="{32BD40D2-90C6-F640-B325-FB55F5511966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7" authorId="0" shapeId="0" xr:uid="{B066B7B0-AF64-7D48-BA66-AD8580F401D3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09" authorId="0" shapeId="0" xr:uid="{4A26E33D-B480-FA4A-8274-10B3C4C2612B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9" authorId="0" shapeId="0" xr:uid="{E55247C0-64E4-0749-9FC5-A86B96FEAE2C}">
      <text>
        <r>
          <rPr>
            <b/>
            <sz val="10"/>
            <color rgb="FF000000"/>
            <rFont val="Tahoma"/>
            <family val="2"/>
          </rPr>
          <t>Dorsett - Gordon out</t>
        </r>
      </text>
    </comment>
    <comment ref="G109" authorId="0" shapeId="0" xr:uid="{D090E575-EE0E-5040-8717-3138ECA6468F}">
      <text>
        <r>
          <rPr>
            <b/>
            <sz val="10"/>
            <color rgb="FF000000"/>
            <rFont val="Tahoma"/>
            <family val="2"/>
          </rPr>
          <t>Jakobi Meyers - Gordon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0" authorId="0" shapeId="0" xr:uid="{ABD22A2C-A1BA-9F46-8F64-B243B3FE3B54}">
      <text>
        <r>
          <rPr>
            <b/>
            <sz val="10"/>
            <color rgb="FF000000"/>
            <rFont val="Calibri"/>
            <family val="2"/>
          </rPr>
          <t>Tre'Quan and Cook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F110" authorId="0" shapeId="0" xr:uid="{EB8DFDC9-B42D-AF44-BB20-8341F9649045}">
      <text>
        <r>
          <rPr>
            <b/>
            <sz val="10"/>
            <color rgb="FF000000"/>
            <rFont val="Tahoma"/>
            <family val="2"/>
          </rPr>
          <t>Ted Ginn - Tre'Quan and Cook out</t>
        </r>
      </text>
    </comment>
    <comment ref="E111" authorId="0" shapeId="0" xr:uid="{842AE3B9-1774-E449-B5C8-C40378DDC1BC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111" authorId="0" shapeId="0" xr:uid="{51BBA7B4-B098-1843-958A-826EF688AF2E}">
      <text>
        <r>
          <rPr>
            <b/>
            <sz val="10"/>
            <color rgb="FF000000"/>
            <rFont val="Tahoma"/>
            <family val="2"/>
          </rPr>
          <t>Benny Fowler - 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1" authorId="0" shapeId="0" xr:uid="{46BA04C6-8110-B349-A6CC-40BF52D57BF3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2" authorId="0" shapeId="0" xr:uid="{237FCD2B-DB1C-6545-87F6-1824C9876D48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2" authorId="0" shapeId="0" xr:uid="{4FC118BB-615A-F14F-9105-EABF04579375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2" authorId="0" shapeId="0" xr:uid="{B3BA07C6-58D1-4041-A57F-7EF2F79D6281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3" authorId="0" shapeId="0" xr:uid="{567BDD32-E3F6-D344-AB69-57EBFF99D88B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3" authorId="0" shapeId="0" xr:uid="{39583E81-E981-4C47-9A43-6A63889EEBD5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113" authorId="0" shapeId="0" xr:uid="{8FAF565B-A72C-5A48-8EA5-4975CA92DF2E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4" authorId="0" shapeId="0" xr:uid="{E96210A5-2AF2-6140-8477-FEF5BB9C7FAF}">
      <text>
        <r>
          <rPr>
            <b/>
            <sz val="10"/>
            <color rgb="FF000000"/>
            <rFont val="Tahoma"/>
            <family val="2"/>
          </rPr>
          <t>Kendrick Bourne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4" authorId="0" shapeId="0" xr:uid="{6CBF2321-A04A-BA42-9CEA-43C6110A4EF0}">
      <text>
        <r>
          <rPr>
            <b/>
            <sz val="10"/>
            <color rgb="FF000000"/>
            <rFont val="Tahoma"/>
            <family val="2"/>
          </rPr>
          <t>Richie James Jr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4" authorId="0" shapeId="0" xr:uid="{114B6B0F-CA9B-DC44-B6CB-8789B41E09BC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5" authorId="0" shapeId="0" xr:uid="{5C99133A-9BB4-2B4A-B140-5F967FB7FF12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115" authorId="0" shapeId="0" xr:uid="{DE3E3A7E-6D22-E84E-9E4A-46B82535B0DA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116" authorId="0" shapeId="0" xr:uid="{5FA71A1E-C6B4-0D4B-A654-4B6A6558BBEC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116" authorId="0" shapeId="0" xr:uid="{DD7E121C-6A87-3D4B-89FF-95840608D674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116" authorId="0" shapeId="0" xr:uid="{87AFFFEE-F12A-FC47-A23F-B6CB0D8F893B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117" authorId="0" shapeId="0" xr:uid="{22B7C1D0-FDC0-9345-B7C9-188A48479379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117" authorId="0" shapeId="0" xr:uid="{E241DE59-B915-1246-9B08-615CE7DACD81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G117" authorId="0" shapeId="0" xr:uid="{A86B0420-1E8D-F14B-A70E-42059F5CB576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H117" authorId="0" shapeId="0" xr:uid="{31C4C6A8-418E-744E-8030-C363B668DBBC}">
      <text>
        <r>
          <rPr>
            <b/>
            <sz val="10"/>
            <color rgb="FF000000"/>
            <rFont val="Tahoma"/>
            <family val="2"/>
          </rPr>
          <t>Sprinkle - Davis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8" authorId="0" shapeId="0" xr:uid="{DA887600-6D63-1E43-94D3-98379BD6C655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8" authorId="0" shapeId="0" xr:uid="{677BB6E8-B9C5-C542-B134-8D8DA5B0C8B1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9" authorId="0" shapeId="0" xr:uid="{0EC4BC37-0C34-A54D-A536-1880CA381D5E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9" authorId="0" shapeId="0" xr:uid="{B9FD674A-354A-CB46-8858-CD4BECE242A9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9" authorId="0" shapeId="0" xr:uid="{4CE2091F-1107-EF4F-ABF5-DEC2CB2739FF}">
      <text>
        <r>
          <rPr>
            <b/>
            <sz val="10"/>
            <color rgb="FF000000"/>
            <rFont val="Tahoma"/>
            <family val="2"/>
          </rPr>
          <t>Gage - Sanu traded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0" authorId="0" shapeId="0" xr:uid="{6FC72002-4EBF-0842-A98E-51982BDF813D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0" authorId="0" shapeId="0" xr:uid="{5DE53FD6-371F-C645-A6D2-B1A5A20B66C1}">
      <text>
        <r>
          <rPr>
            <b/>
            <sz val="10"/>
            <color rgb="FF000000"/>
            <rFont val="Tahoma"/>
            <family val="2"/>
          </rPr>
          <t>Duke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22" authorId="0" shapeId="0" xr:uid="{1557FB9B-3B18-A74A-89E4-D26FF59F15ED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2" authorId="0" shapeId="0" xr:uid="{B90E8F27-2F87-3642-99C6-26AEF9874FE2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2" authorId="0" shapeId="0" xr:uid="{D63A96C6-809F-A74F-BCD1-4FBFEAD8E3CF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3" authorId="0" shapeId="0" xr:uid="{764A3D91-A4E9-5143-86C5-2F8AAD82F291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3" authorId="0" shapeId="0" xr:uid="{3E94BA0D-2D15-2343-9527-6E8674B64371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6" authorId="0" shapeId="0" xr:uid="{4DD0A341-5749-B548-B6BE-A8D19C49B255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E127" authorId="0" shapeId="0" xr:uid="{7E8457BD-A6A8-8F47-A7C8-2F93A80A832D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127" authorId="0" shapeId="0" xr:uid="{8FE61193-7E01-E045-94B8-27705FB83597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G127" authorId="0" shapeId="0" xr:uid="{809182B1-ED56-4342-8A82-E4A63881D0A6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F128" authorId="0" shapeId="0" xr:uid="{4E0E0059-DCCB-074D-8885-280A0B1D8762}">
      <text>
        <r>
          <rPr>
            <b/>
            <sz val="10"/>
            <color rgb="FF000000"/>
            <rFont val="Tahoma"/>
            <family val="2"/>
          </rPr>
          <t>Stills - Fuller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8" authorId="0" shapeId="0" xr:uid="{E333B773-8C67-A342-8B97-8A7F1DD9B4DF}">
      <text>
        <r>
          <rPr>
            <b/>
            <sz val="10"/>
            <color rgb="FF000000"/>
            <rFont val="Tahoma"/>
            <family val="2"/>
          </rPr>
          <t>Carter - Still out and Coutee benched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9" authorId="0" shapeId="0" xr:uid="{C377073D-18AB-0743-9B77-BE2290926936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0" authorId="0" shapeId="0" xr:uid="{B26C746B-F4A4-5147-95D5-2AB2AD3BFBF3}">
      <text>
        <r>
          <rPr>
            <b/>
            <sz val="10"/>
            <color rgb="FF000000"/>
            <rFont val="Tahoma"/>
            <family val="2"/>
          </rPr>
          <t>DJ Chark - Westbrook injured in game</t>
        </r>
      </text>
    </comment>
    <comment ref="F130" authorId="0" shapeId="0" xr:uid="{B5B7AC84-46A5-E543-97FC-EA8DC9B79D99}">
      <text>
        <r>
          <rPr>
            <b/>
            <sz val="10"/>
            <color rgb="FF000000"/>
            <rFont val="Tahoma"/>
            <family val="2"/>
          </rPr>
          <t>Conley - Westbrook injured in game</t>
        </r>
      </text>
    </comment>
    <comment ref="E131" authorId="0" shapeId="0" xr:uid="{7E48854A-CB8C-1147-A6B5-981693BFD5BC}">
      <text>
        <r>
          <rPr>
            <b/>
            <sz val="10"/>
            <color rgb="FF000000"/>
            <rFont val="Tahoma"/>
            <family val="2"/>
          </rPr>
          <t>Tyreek 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1" authorId="0" shapeId="0" xr:uid="{51EA9402-490D-D04C-B353-C6874BEF87CD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G131" authorId="0" shapeId="0" xr:uid="{3A31B0D7-FD16-4C44-9973-61AC54E60FD9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2" authorId="0" shapeId="0" xr:uid="{C7A1CAD8-792B-974D-9064-B4A686520DF8}">
      <text>
        <r>
          <rPr>
            <b/>
            <sz val="10"/>
            <color rgb="FF000000"/>
            <rFont val="Tahoma"/>
            <family val="2"/>
          </rPr>
          <t>Tyrell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2" authorId="0" shapeId="0" xr:uid="{DA1E45E9-1997-F44A-B56C-B9F3621843C3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4" authorId="0" shapeId="0" xr:uid="{ABD993E3-6D99-7346-9B12-57D8FAA6F477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134" authorId="0" shapeId="0" xr:uid="{39772B1B-F69D-9B43-89D2-BF6B15011144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134" authorId="0" shapeId="0" xr:uid="{B11431E1-628F-9846-B2B5-48DDDDD0B5BF}">
      <text>
        <r>
          <rPr>
            <b/>
            <sz val="10"/>
            <color rgb="FF000000"/>
            <rFont val="Tahoma"/>
            <family val="2"/>
          </rPr>
          <t>Josh Reynolds - Cooks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5" authorId="0" shapeId="0" xr:uid="{A281145D-F78F-6A4B-8660-B203C72E2A53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135" authorId="0" shapeId="0" xr:uid="{82F3A9AB-DB77-4B49-AAFB-A7C361C680C7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35" authorId="0" shapeId="0" xr:uid="{A57EB71D-95CA-144A-8D8B-4693E92B5FB6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6" authorId="0" shapeId="0" xr:uid="{2A94D7A3-8B4D-7443-B11D-74E68157636D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7" authorId="0" shapeId="0" xr:uid="{5B086323-20C5-A14F-9575-E18696E88171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7" authorId="0" shapeId="0" xr:uid="{5070B11B-ADD1-5246-B563-A71D4B2AB688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37" authorId="0" shapeId="0" xr:uid="{DCFD3183-E8BC-1F4E-AB69-8E6B728EE593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9" authorId="0" shapeId="0" xr:uid="{87540DF0-025A-E04F-80DC-116517CF6BDB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139" authorId="0" shapeId="0" xr:uid="{FF0D96E0-7D2D-A147-B015-C3F0AFBA75F1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0" authorId="0" shapeId="0" xr:uid="{CC092D81-D0BB-3A44-BBA5-A49E92CCBF67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0" authorId="0" shapeId="0" xr:uid="{B04E42BD-DB7D-7245-BEE2-4C3EB40C8D6B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40" authorId="0" shapeId="0" xr:uid="{18551C54-363B-4C4B-8572-46EACEDC8419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1" authorId="0" shapeId="0" xr:uid="{4E6B1B6A-6D43-4445-8187-A6D9A2BEBCB6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1" authorId="0" shapeId="0" xr:uid="{431959C3-DAD5-FC4F-AF20-A1B7DF064301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F142" authorId="0" shapeId="0" xr:uid="{30C2E562-A313-AD48-A045-1C018C1E28F9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3" authorId="0" shapeId="0" xr:uid="{67CBE38A-A89B-654B-85FC-98D2B39AE229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143" authorId="0" shapeId="0" xr:uid="{F82E96E7-381A-FF4B-B845-21E688B48BA6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F144" authorId="0" shapeId="0" xr:uid="{E1E68362-E2FC-0643-B2B5-4E30E14077BF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E146" authorId="0" shapeId="0" xr:uid="{4AA3C049-9447-B843-858A-F1B9FD5C539D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146" authorId="0" shapeId="0" xr:uid="{4C50D1C0-0D94-8C41-A0A6-3139F8B2BF3D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146" authorId="0" shapeId="0" xr:uid="{EC6D279F-498E-4448-BE25-3973364D8A27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7" authorId="0" shapeId="0" xr:uid="{11D4AB93-6413-7943-93C2-38D248C08448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147" authorId="0" shapeId="0" xr:uid="{9C9401C3-26C4-DD4A-96C8-B7533A33969A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G147" authorId="0" shapeId="0" xr:uid="{C49CE21E-1F39-5C44-87AA-5F93A61DE581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E148" authorId="0" shapeId="0" xr:uid="{A06F68AB-A3DF-A24B-9269-9CF55E60B960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8" authorId="0" shapeId="0" xr:uid="{7E754C0E-502C-0E43-AD95-D74E2BC5047B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9" authorId="0" shapeId="0" xr:uid="{8969BE04-C000-7E4A-AF6C-47A2C09CBB1D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150" authorId="0" shapeId="0" xr:uid="{2F597553-2286-EE4F-9C03-7A651979BD4C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2" authorId="0" shapeId="0" xr:uid="{CE135E7F-3F71-9440-9EF2-3748FF795169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4" authorId="0" shapeId="0" xr:uid="{3EB83AE5-5E52-7F4B-82F8-5798F9E61A87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6" authorId="0" shapeId="0" xr:uid="{0D5BE052-CE76-BB47-B3EF-B27294D694D8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156" authorId="0" shapeId="0" xr:uid="{77E67BE5-4E2E-8A49-B97E-067DB2B71147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F157" authorId="0" shapeId="0" xr:uid="{6CECB6ED-23CC-2F48-8DE0-49EC426A1847}">
      <text>
        <r>
          <rPr>
            <b/>
            <sz val="10"/>
            <color rgb="FF000000"/>
            <rFont val="Tahoma"/>
            <family val="2"/>
          </rPr>
          <t>Lazard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8" authorId="0" shapeId="0" xr:uid="{DAC8F9FB-2888-D64F-BBDF-125459A34861}">
      <text>
        <r>
          <rPr>
            <b/>
            <sz val="10"/>
            <color rgb="FF000000"/>
            <rFont val="Tahoma"/>
            <family val="2"/>
          </rPr>
          <t>Stills - Fuller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58" authorId="0" shapeId="0" xr:uid="{C3EFB78A-1A21-AD4C-B07E-1E910B94F468}">
      <text>
        <r>
          <rPr>
            <b/>
            <sz val="10"/>
            <color rgb="FF000000"/>
            <rFont val="Tahoma"/>
            <family val="2"/>
          </rPr>
          <t>Carter - Still out and Coutee benched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59" authorId="0" shapeId="0" xr:uid="{36C2A01E-3F14-F94B-BA9C-B41ABEA3B30A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9" authorId="0" shapeId="0" xr:uid="{5A30A6E0-CBBD-4843-958B-94D11AA50E1F}">
      <text>
        <r>
          <rPr>
            <b/>
            <sz val="10"/>
            <color rgb="FF000000"/>
            <rFont val="Tahoma"/>
            <family val="2"/>
          </rPr>
          <t>Parris Campbell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59" authorId="0" shapeId="0" xr:uid="{819DC551-5504-8D43-BA59-94E3D54529CB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0" authorId="0" shapeId="0" xr:uid="{5EF4B861-0148-2942-9B0F-B956BE6B9D05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F160" authorId="0" shapeId="0" xr:uid="{19CF80D3-9F7D-D948-840C-E640EB8CE558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161" authorId="0" shapeId="0" xr:uid="{905CE3A8-7E24-1242-A079-4206C85EF824}">
      <text>
        <r>
          <rPr>
            <b/>
            <sz val="10"/>
            <color rgb="FF000000"/>
            <rFont val="Tahoma"/>
            <family val="2"/>
          </rPr>
          <t>Tyreek 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1" authorId="0" shapeId="0" xr:uid="{DE4B657C-D77A-6148-89E7-30B59182249A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E162" authorId="0" shapeId="0" xr:uid="{892BB7FA-460C-2F41-8FB2-D9992C814C91}">
      <text>
        <r>
          <rPr>
            <b/>
            <sz val="10"/>
            <color rgb="FF000000"/>
            <rFont val="Tahoma"/>
            <family val="2"/>
          </rPr>
          <t>Tyrell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2" authorId="0" shapeId="0" xr:uid="{6BB7DDE7-E8B8-CD46-90E0-FB7B767B92DD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4" authorId="0" shapeId="0" xr:uid="{B699A5CD-ECFA-BF45-8058-756774A610A3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164" authorId="0" shapeId="0" xr:uid="{96D65E06-9BDD-C249-9B5A-79002E1CF4E0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5" authorId="0" shapeId="0" xr:uid="{F174FDFB-CC2B-8142-8A79-38422C446821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6" authorId="0" shapeId="0" xr:uid="{4515A43C-5FAD-1646-B3C8-DB4011570C3B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66" authorId="0" shapeId="0" xr:uid="{EA8CB0CC-384F-F346-9055-EDC7D9641485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7" authorId="0" shapeId="0" xr:uid="{B18837A4-11A5-B74B-9269-77E6D1AC5869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167" authorId="0" shapeId="0" xr:uid="{D7C9DDCB-0A45-DE44-AD49-E7C1F9821774}">
      <text>
        <r>
          <rPr>
            <b/>
            <sz val="10"/>
            <color rgb="FF000000"/>
            <rFont val="Tahoma"/>
            <family val="2"/>
          </rPr>
          <t>Latimer - 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8" authorId="0" shapeId="0" xr:uid="{5FE305CB-3EA9-4B43-9EA3-6A699D6FD640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8" authorId="0" shapeId="0" xr:uid="{601AE985-AD17-674A-82D7-27B605269CEF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9" authorId="0" shapeId="0" xr:uid="{3D58434A-B5AC-FB41-A7B0-138BB7929510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9" authorId="0" shapeId="0" xr:uid="{B16EE9E8-5456-6B43-9B8C-13BBE9465C5C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F170" authorId="0" shapeId="0" xr:uid="{753DCF46-F36F-E149-AAF5-B19D16408EB4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G170" authorId="0" shapeId="0" xr:uid="{19C7C858-D152-6548-9ABF-850E2B9C8BF3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1" authorId="0" shapeId="0" xr:uid="{4DCCF4EB-A81A-9F40-BDC3-D740B90678E3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171" authorId="0" shapeId="0" xr:uid="{5C4C0D58-6AAA-8D45-BAAF-8E06E84F6B14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F172" authorId="0" shapeId="0" xr:uid="{F7036ED7-5D14-1044-8DA2-5870AEF1880A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E174" authorId="0" shapeId="0" xr:uid="{2A861C81-A3B2-8040-BA3D-C129322D67D2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174" authorId="0" shapeId="0" xr:uid="{8B29AC71-E1A9-5743-B991-21B78D0DD7CF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174" authorId="0" shapeId="0" xr:uid="{7E3CDD35-5D45-B648-84D4-92E2FD50E18F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5" authorId="0" shapeId="0" xr:uid="{802F5957-0DE8-CC47-AF20-6ED43154CACD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175" authorId="0" shapeId="0" xr:uid="{C923A42A-A751-D140-8F02-7440D7AD77B8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E176" authorId="0" shapeId="0" xr:uid="{29B578B3-9EFB-9841-A2BD-6094C54EE3AC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6" authorId="0" shapeId="0" xr:uid="{4A924289-7645-3843-A0A5-499C734B10D5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7" authorId="0" shapeId="0" xr:uid="{F80D2CB0-6B9B-1F4D-972B-CF9A2B808F9E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7" authorId="0" shapeId="0" xr:uid="{09E28DD1-9A80-8F49-8156-6ACD1704F256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77" authorId="0" shapeId="0" xr:uid="{A56E968C-2248-444E-98AD-692F676A527D}">
      <text>
        <r>
          <rPr>
            <b/>
            <sz val="10"/>
            <color rgb="FF000000"/>
            <rFont val="Tahoma"/>
            <family val="2"/>
          </rPr>
          <t>Gage - Sanu traded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8" authorId="0" shapeId="0" xr:uid="{B0460571-BAC0-5C48-BF37-068C4B79016F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182" authorId="0" shapeId="0" xr:uid="{E86B5D5D-02A1-384F-BEA0-7DBBF25E443C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87" authorId="0" shapeId="0" xr:uid="{CFE402D4-B0CD-924F-BAA9-4AC6720A17E4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87" authorId="0" shapeId="0" xr:uid="{761273E1-1E52-CE44-8FA7-B28C492D2A11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1" authorId="0" shapeId="0" xr:uid="{13808D15-8241-6A47-A2F8-7F91AE9A0845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191" authorId="0" shapeId="0" xr:uid="{98DB82E4-3B45-8C4C-82E3-5E21148210EC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191" authorId="0" shapeId="0" xr:uid="{ED478A55-B028-9F4A-8306-849430B935EA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192" authorId="0" shapeId="0" xr:uid="{0F8F5F68-AC52-264D-81FB-5114A6CAECF4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2" authorId="0" shapeId="0" xr:uid="{1B97300A-2B45-8847-BCE2-51E4324831BA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92" authorId="0" shapeId="0" xr:uid="{BF04DAE0-B040-D64B-9545-22E3D38202F9}">
      <text>
        <r>
          <rPr>
            <b/>
            <sz val="10"/>
            <color rgb="FF000000"/>
            <rFont val="Tahoma"/>
            <family val="2"/>
          </rPr>
          <t>Jakeem Grant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3" authorId="0" shapeId="0" xr:uid="{6A1EAA4D-379B-EB44-9283-C76CC80182AB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5" authorId="0" shapeId="0" xr:uid="{7999E395-524C-BE40-AFE7-41E36DF5D33C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195" authorId="0" shapeId="0" xr:uid="{BAEE5BB4-A752-2A4A-8A6B-8D33D9E09E0B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6" authorId="0" shapeId="0" xr:uid="{2DA29C06-625D-2842-92CA-3ADBB9757BB4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6" authorId="0" shapeId="0" xr:uid="{663DD301-5ACF-8B49-BE67-7D67A26B8CC2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96" authorId="0" shapeId="0" xr:uid="{689B5C92-52B2-E84C-8E47-0F1E25524DC9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7" authorId="0" shapeId="0" xr:uid="{7CB2FD38-98D5-EA4C-9CD7-1771B6774D49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G197" authorId="0" shapeId="0" xr:uid="{801AABAF-FD9D-E945-84E3-4E2A2A69738D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8" authorId="0" shapeId="0" xr:uid="{1A8FA42C-D789-7049-BBB3-9C3194CF93A1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201" authorId="0" shapeId="0" xr:uid="{EE0F54C1-FEA3-AC4B-8899-31B528AF8FAD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F201" authorId="0" shapeId="0" xr:uid="{5AA8149E-0280-A049-87D1-FA08E94EC422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G201" authorId="0" shapeId="0" xr:uid="{C2B99E31-602F-104A-9A11-428012B61F63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02" authorId="0" shapeId="0" xr:uid="{9EB3B756-DC92-894F-B5B1-14B618B79554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02" authorId="0" shapeId="0" xr:uid="{762CF7F6-9E8F-6E40-A9B7-1273E425E388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08" authorId="0" shapeId="0" xr:uid="{164EFD72-50D5-5041-8744-08F66BFC415B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14" authorId="0" shapeId="0" xr:uid="{514D786C-CFAB-B74D-B26F-783F4D65F528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4" authorId="0" shapeId="0" xr:uid="{47365E84-1701-D74C-843A-DFE42EFD5279}">
      <text>
        <r>
          <rPr>
            <b/>
            <sz val="10"/>
            <color rgb="FF000000"/>
            <rFont val="Tahoma"/>
            <family val="2"/>
          </rPr>
          <t>Marcus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14" authorId="0" shapeId="0" xr:uid="{39B47565-A9FF-FD45-B773-E0E5FFD33BAA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5" authorId="0" shapeId="0" xr:uid="{ACA66B6D-B240-F44F-B949-4010845E86D7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E216" authorId="0" shapeId="0" xr:uid="{4FFDD4C1-E376-F248-8DF4-F971DE7C4640}">
      <text>
        <r>
          <rPr>
            <b/>
            <sz val="10"/>
            <color rgb="FF000000"/>
            <rFont val="Tahoma"/>
            <family val="2"/>
          </rPr>
          <t>Watkins - Tyreek injured 1st drive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6" authorId="0" shapeId="0" xr:uid="{9F45D30D-2357-BA43-8769-1A5A48588550}">
      <text>
        <r>
          <rPr>
            <b/>
            <sz val="10"/>
            <color rgb="FF000000"/>
            <rFont val="Tahoma"/>
            <family val="2"/>
          </rPr>
          <t>Hardman - Tyreek injured 1st drive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19" authorId="0" shapeId="0" xr:uid="{B5C8C898-EE02-A54E-9001-AC9E38681AD0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19" authorId="0" shapeId="0" xr:uid="{3404F653-CF9E-4E47-9D0F-1122DE2A453F}">
      <text>
        <r>
          <rPr>
            <b/>
            <sz val="10"/>
            <color rgb="FF000000"/>
            <rFont val="Tahoma"/>
            <family val="2"/>
          </rPr>
          <t>Josh Reynolds - Cooks and Woods out</t>
        </r>
      </text>
    </comment>
    <comment ref="E220" authorId="0" shapeId="0" xr:uid="{4C22929F-A816-874A-BF44-66EE0C384D3E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0" authorId="0" shapeId="0" xr:uid="{18F18E88-2261-C644-A2C9-565CB5C8F0AB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20" authorId="0" shapeId="0" xr:uid="{620D4F4C-A438-FA4A-989C-D58EBEB35295}">
      <text>
        <r>
          <rPr>
            <b/>
            <sz val="10"/>
            <color rgb="FF000000"/>
            <rFont val="Tahoma"/>
            <family val="2"/>
          </rPr>
          <t>Jakeem Grant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1" authorId="0" shapeId="0" xr:uid="{375F90CE-1335-4C4D-B2EA-88D89DC737C5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2" authorId="0" shapeId="0" xr:uid="{1BAAD384-F335-334B-B87F-FFF71DDB6043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22" authorId="0" shapeId="0" xr:uid="{B8738C32-8064-424E-AF02-377145E63A34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4" authorId="0" shapeId="0" xr:uid="{DB667C87-1F59-6544-9A87-733004BC89CF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4" authorId="0" shapeId="0" xr:uid="{CEE305BD-E20E-FC40-89E5-5909F15379BE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24" authorId="0" shapeId="0" xr:uid="{3315D847-4FC6-F645-946B-27F7F680C2A4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5" authorId="0" shapeId="0" xr:uid="{CB6BA59D-D58D-814C-ADFC-54D22D7AE170}">
      <text>
        <r>
          <rPr>
            <b/>
            <sz val="10"/>
            <color rgb="FF000000"/>
            <rFont val="Tahoma"/>
            <family val="2"/>
          </rPr>
          <t>Agholor -- Alshon and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6" authorId="0" shapeId="0" xr:uid="{9E35965D-EBC7-4F45-A4A0-C19F0971ABA5}">
      <text>
        <r>
          <rPr>
            <b/>
            <sz val="10"/>
            <color rgb="FF000000"/>
            <rFont val="Tahoma"/>
            <family val="2"/>
          </rPr>
          <t>JuJu injured in 1st half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7" authorId="0" shapeId="0" xr:uid="{06DD0279-C753-4E46-8D1E-7BC124F02F21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229" authorId="0" shapeId="0" xr:uid="{96067569-BE78-2143-9978-9387E671EC5A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235" authorId="0" shapeId="0" xr:uid="{45CA0709-DFE4-B84A-B6A9-828040DE2C4D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1" authorId="0" shapeId="0" xr:uid="{CCEF2E4D-8C64-084F-A1BB-CA7AC265A329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E245" authorId="0" shapeId="0" xr:uid="{ADAFFE85-1AE7-854B-A343-CF31F34FB991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45" authorId="0" shapeId="0" xr:uid="{8F90C243-FA37-684D-B4B1-814A8C16D38C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245" authorId="0" shapeId="0" xr:uid="{155F7B7A-93AE-904A-86CE-127A10E1A6D4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246" authorId="0" shapeId="0" xr:uid="{6CB52DFE-DA96-884B-AF4A-301A0353BE05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6" authorId="0" shapeId="0" xr:uid="{12D7C387-AD3F-7241-82DF-71C96787B86C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49" authorId="0" shapeId="0" xr:uid="{797A7E08-E27B-114D-8906-141CADEB9744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9" authorId="0" shapeId="0" xr:uid="{A0EED2A3-1E1B-EB4F-B436-446670489192}">
      <text>
        <r>
          <rPr>
            <b/>
            <sz val="10"/>
            <color rgb="FF000000"/>
            <rFont val="Tahoma"/>
            <family val="2"/>
          </rPr>
          <t>Tate</t>
        </r>
      </text>
    </comment>
    <comment ref="G249" authorId="0" shapeId="0" xr:uid="{8EB00B8B-8DA6-184E-8183-3DFB7D51A97C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50" authorId="0" shapeId="0" xr:uid="{35855A3F-A2FE-AD47-9CA3-8B377393AFA2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0" authorId="0" shapeId="0" xr:uid="{98443BA4-E62B-624A-B369-DB8330C4C3AD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52" authorId="0" shapeId="0" xr:uid="{AB46B413-E783-2E4B-95B8-5CD6B3BC5013}">
      <text>
        <r>
          <rPr>
            <b/>
            <sz val="10"/>
            <color rgb="FF000000"/>
            <rFont val="Tahoma"/>
            <family val="2"/>
          </rPr>
          <t>James Washington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2" authorId="0" shapeId="0" xr:uid="{3851A44C-18B3-7746-AEFE-78B420BE7B87}">
      <text>
        <r>
          <rPr>
            <b/>
            <sz val="10"/>
            <color rgb="FF000000"/>
            <rFont val="Tahoma"/>
            <family val="2"/>
          </rPr>
          <t>Diontae Johnson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53" authorId="0" shapeId="0" xr:uid="{0929124A-CC41-B041-BC33-22A774660A0A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253" authorId="0" shapeId="0" xr:uid="{911BAF7D-E689-DA41-B652-5E960F78E5AF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256" authorId="0" shapeId="0" xr:uid="{F02118D6-CD38-C54E-AF4B-8C3A0F11B28F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F256" authorId="0" shapeId="0" xr:uid="{06693350-0894-E545-B965-29BFE3356952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G256" authorId="0" shapeId="0" xr:uid="{AF5C503D-9743-7546-A092-D48EBCF4615C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258" authorId="0" shapeId="0" xr:uid="{AF7B89AC-E8B9-5D41-A00E-E0E7D0DAEE2F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8" authorId="0" shapeId="0" xr:uid="{DA097B4F-6247-3F4B-B2BF-AC5B374FB764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64" authorId="0" shapeId="0" xr:uid="{56C70552-40E9-204F-8C77-074CD5B31C28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71" authorId="0" shapeId="0" xr:uid="{DE22674C-7824-064F-B8FE-E78CFC9866B7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71" authorId="0" shapeId="0" xr:uid="{36B57165-B8D0-404E-8979-57B554CAC09A}">
      <text>
        <r>
          <rPr>
            <b/>
            <sz val="10"/>
            <color rgb="FF000000"/>
            <rFont val="Tahoma"/>
            <family val="2"/>
          </rPr>
          <t>Marcus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76" authorId="0" shapeId="0" xr:uid="{AD6BDF7B-633D-6042-A880-9C0AD5C2D53A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76" authorId="0" shapeId="0" xr:uid="{4EF76AF1-AD6D-E54C-B9A0-9D72C4D55336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276" authorId="0" shapeId="0" xr:uid="{048FB0AA-0988-BC4F-9479-87227FCCD878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278" authorId="0" shapeId="0" xr:uid="{64AD8DF9-FDFD-324D-9CDE-A8553D9C3F25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1" authorId="0" shapeId="0" xr:uid="{F1C1E90B-E77D-C64D-A844-949E025A17A6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2" authorId="0" shapeId="0" xr:uid="{83E231EA-D9D6-AB42-A7E9-DF6E5ECDE140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82" authorId="0" shapeId="0" xr:uid="{505A1ED5-75FC-2F45-9C88-489FE8742C9A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3" authorId="0" shapeId="0" xr:uid="{D31CD68A-2F9D-4C45-B1AA-0112B3D484F4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4" authorId="0" shapeId="0" xr:uid="{873D95AF-6A02-E845-B39C-5D8B3C6D8162}">
      <text>
        <r>
          <rPr>
            <b/>
            <sz val="10"/>
            <color rgb="FF000000"/>
            <rFont val="Tahoma"/>
            <family val="2"/>
          </rPr>
          <t>James Washington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84" authorId="0" shapeId="0" xr:uid="{C12B17CC-FCB4-3D4E-B1B1-365D51F61A7C}">
      <text>
        <r>
          <rPr>
            <b/>
            <sz val="10"/>
            <color rgb="FF000000"/>
            <rFont val="Tahoma"/>
            <family val="2"/>
          </rPr>
          <t>Diontae Johnson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5" authorId="0" shapeId="0" xr:uid="{D1F792B9-929C-4C42-B638-A7292F1C02F2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285" authorId="0" shapeId="0" xr:uid="{D7A9EE78-7CB6-FB49-8CC4-9BB2F5F352B8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288" authorId="0" shapeId="0" xr:uid="{9D938AAD-FA4A-B148-AC12-3D8CC3767F8D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F288" authorId="0" shapeId="0" xr:uid="{37E400B7-9284-6243-9B56-EC67FDD4ABA7}">
      <text>
        <r>
          <rPr>
            <b/>
            <sz val="10"/>
            <color rgb="FF000000"/>
            <rFont val="Tahoma"/>
            <family val="2"/>
          </rPr>
          <t>Corey Davis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K1" authorId="0" shapeId="0" xr:uid="{83C880D7-BC66-DE46-BF42-862F66C09B0D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" authorId="0" shapeId="0" xr:uid="{7B6F2485-620C-3F48-92DA-75F7080F4787}">
      <text>
        <r>
          <rPr>
            <b/>
            <sz val="10"/>
            <color rgb="FF000000"/>
            <rFont val="Tahoma"/>
            <family val="2"/>
          </rPr>
          <t>Fitz</t>
        </r>
      </text>
    </comment>
    <comment ref="F2" authorId="0" shapeId="0" xr:uid="{FE3C49B2-4440-4743-A1C9-5AAE33E514D9}">
      <text>
        <r>
          <rPr>
            <b/>
            <sz val="10"/>
            <color rgb="FF000000"/>
            <rFont val="Tahoma"/>
            <family val="2"/>
          </rPr>
          <t>Kirk</t>
        </r>
      </text>
    </comment>
    <comment ref="G2" authorId="0" shapeId="0" xr:uid="{540EFC48-4C73-B149-8CF4-9D39CC74F640}">
      <text>
        <r>
          <rPr>
            <b/>
            <sz val="10"/>
            <color rgb="FF000000"/>
            <rFont val="Tahoma"/>
            <family val="2"/>
          </rPr>
          <t>Keesean Johnson</t>
        </r>
      </text>
    </comment>
    <comment ref="E3" authorId="0" shapeId="0" xr:uid="{502C18C5-FCC3-0B47-802B-CBC13E6FDBDB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" authorId="0" shapeId="0" xr:uid="{6C09B07E-1C01-FA4A-8B83-4E3611615C9D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" authorId="0" shapeId="0" xr:uid="{7E5D5ADD-ED02-A84D-A953-9BA1B7C5C81B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4" authorId="0" shapeId="0" xr:uid="{4A925ABE-1D74-2F4D-9A71-50A3A95B2C35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4" authorId="0" shapeId="0" xr:uid="{F4EF38CB-2FBA-FD45-8716-3A37ECFC8336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G4" authorId="0" shapeId="0" xr:uid="{43C7DA3C-AC3E-1D43-9A53-610C7BB3E088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5" authorId="0" shapeId="0" xr:uid="{74E6F10A-DD26-EE4C-B292-66CBC814EAB6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" authorId="0" shapeId="0" xr:uid="{F904E2FD-321C-F44B-9E8E-6C0FE6EAB288}">
      <text>
        <r>
          <rPr>
            <b/>
            <sz val="10"/>
            <color rgb="FF000000"/>
            <rFont val="Tahoma"/>
            <family val="2"/>
          </rPr>
          <t>Zay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" authorId="0" shapeId="0" xr:uid="{3106B87A-0740-8946-B27B-B3C34F0D6223}">
      <text>
        <r>
          <rPr>
            <b/>
            <sz val="10"/>
            <color rgb="FF000000"/>
            <rFont val="Tahoma"/>
            <family val="2"/>
          </rPr>
          <t>Javon Wims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" authorId="0" shapeId="0" xr:uid="{6C886B8E-4616-DE4F-A542-EE1A7F3EE0FB}">
      <text>
        <r>
          <rPr>
            <b/>
            <sz val="10"/>
            <color rgb="FF000000"/>
            <rFont val="Tahoma"/>
            <family val="2"/>
          </rPr>
          <t>Devin Smith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" authorId="0" shapeId="0" xr:uid="{260845CA-9A29-CC4A-8B88-816E3CCA708D}">
      <text>
        <r>
          <rPr>
            <b/>
            <sz val="10"/>
            <color rgb="FF000000"/>
            <rFont val="Tahoma"/>
            <family val="2"/>
          </rPr>
          <t xml:space="preserve">Cobb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" authorId="0" shapeId="0" xr:uid="{FB4DBDB1-4F46-3D44-A8E5-C8F05A26B3B3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12" authorId="0" shapeId="0" xr:uid="{8D690B1C-83E0-8747-BD7E-CBF77BE4D4B2}">
      <text>
        <r>
          <rPr>
            <b/>
            <sz val="10"/>
            <color rgb="FF000000"/>
            <rFont val="Tahoma"/>
            <family val="2"/>
          </rPr>
          <t>Marvin Hall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" authorId="0" shapeId="0" xr:uid="{002BF31B-F4AB-CE4B-8793-88D9181B056C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G13" authorId="0" shapeId="0" xr:uid="{03DE7911-FE4D-A04F-B008-5870F0819489}">
      <text>
        <r>
          <rPr>
            <b/>
            <sz val="10"/>
            <color rgb="FF000000"/>
            <rFont val="Tahoma"/>
            <family val="2"/>
          </rPr>
          <t>Allison</t>
        </r>
      </text>
    </comment>
    <comment ref="F14" authorId="0" shapeId="0" xr:uid="{3B18F2EB-0B27-0D4B-AF84-FDBB52E4E574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14" authorId="0" shapeId="0" xr:uid="{AE2A7D17-1531-2F49-983F-FA9346CE28E5}">
      <text>
        <r>
          <rPr>
            <b/>
            <sz val="10"/>
            <color rgb="FF000000"/>
            <rFont val="Tahoma"/>
            <family val="2"/>
          </rPr>
          <t xml:space="preserve">Stills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5" authorId="0" shapeId="0" xr:uid="{817EB164-6117-4B41-A614-1C9BD00C90D6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" authorId="0" shapeId="0" xr:uid="{05156D8C-CA32-464D-8C73-0192019931F2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5" authorId="0" shapeId="0" xr:uid="{9BAA74B9-07CC-5F4A-950A-DD0D3CE61D91}">
      <text>
        <r>
          <rPr>
            <b/>
            <sz val="10"/>
            <color rgb="FF000000"/>
            <rFont val="Tahoma"/>
            <family val="2"/>
          </rPr>
          <t>Parris Campbell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" authorId="0" shapeId="0" xr:uid="{A6130E5C-3458-5D4D-A907-5515ED01C0F6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16" authorId="0" shapeId="0" xr:uid="{1575F6D3-C5E7-134C-8E70-B6A57A9BF9B0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17" authorId="0" shapeId="0" xr:uid="{80111241-DADD-1443-93EE-70EC2EDF062B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F17" authorId="0" shapeId="0" xr:uid="{B4235B07-0FB5-ED49-B23B-25A95A45D643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G17" authorId="0" shapeId="0" xr:uid="{C4230F57-9954-494B-9A7D-A98867BF2ECD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8" authorId="0" shapeId="0" xr:uid="{1C47F143-1FC4-B84C-83D2-7D860BFA3C13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0" authorId="0" shapeId="0" xr:uid="{12467AE7-F6B3-904F-B857-71050D3B28B5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0" authorId="0" shapeId="0" xr:uid="{F6F7EDCC-5A3C-AA44-9BEC-7CEB720DC4A4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20" authorId="0" shapeId="0" xr:uid="{89FFA9D1-FFF5-2646-B602-E1F6814138C1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21" authorId="0" shapeId="0" xr:uid="{B88B5E01-0E8F-7248-ABBC-6F46B6CACB50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21" authorId="0" shapeId="0" xr:uid="{196CF7C1-2699-1744-BA6B-A919DE3A7D83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1" authorId="0" shapeId="0" xr:uid="{474BD3AA-BBA2-734C-88C4-9420C5E18489}">
      <text>
        <r>
          <rPr>
            <b/>
            <sz val="10"/>
            <color rgb="FF000000"/>
            <rFont val="Tahoma"/>
            <family val="2"/>
          </rPr>
          <t>Jakeem Grant</t>
        </r>
      </text>
    </comment>
    <comment ref="E23" authorId="0" shapeId="0" xr:uid="{0DD61690-348D-BD4A-900C-6FC0B5F3984C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3" authorId="0" shapeId="0" xr:uid="{A3A2FCBB-B0AD-A445-B511-C1C94BD43152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G23" authorId="0" shapeId="0" xr:uid="{3E699CBE-DAE9-E74F-948F-F8EDADF94B05}">
      <text>
        <r>
          <rPr>
            <b/>
            <sz val="10"/>
            <color rgb="FF000000"/>
            <rFont val="Tahoma"/>
            <family val="2"/>
          </rPr>
          <t>Phillip 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" authorId="0" shapeId="0" xr:uid="{FADB5F4F-D0CE-0F42-81D5-D2241441A2AC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E25" authorId="0" shapeId="0" xr:uid="{40BED9C0-2890-CA4A-A361-4715DB423EE7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" authorId="0" shapeId="0" xr:uid="{7463AD6E-2078-F84C-B8BA-4310B53208F2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5" authorId="0" shapeId="0" xr:uid="{D7A1E47B-D214-BE48-8321-0EBCA72B396A}">
      <text>
        <r>
          <rPr>
            <b/>
            <sz val="10"/>
            <color rgb="FF000000"/>
            <rFont val="Tahoma"/>
            <family val="2"/>
          </rPr>
          <t>Russell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6" authorId="0" shapeId="0" xr:uid="{456890EA-F2B5-4740-BCC3-8EA3C7466BF4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6" authorId="0" shapeId="0" xr:uid="{64F08F7E-E13F-A540-A6DF-2F4D127F0CAA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26" authorId="0" shapeId="0" xr:uid="{22F68C2B-0BE9-DF44-B659-052420F8D43C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7" authorId="0" shapeId="0" xr:uid="{711962F7-CD64-5F42-A7A7-302274C204C4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7" authorId="0" shapeId="0" xr:uid="{BF513CED-1827-5844-9AA3-4A0D60C168FF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E28" authorId="0" shapeId="0" xr:uid="{5AC3AB06-37C6-7A43-8D3F-A0AAF390CA23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F28" authorId="0" shapeId="0" xr:uid="{349C57CD-0076-1545-98E3-89962D1B9AEB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28" authorId="0" shapeId="0" xr:uid="{126AD1B0-D080-D841-9113-F57E4B42FD54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29" authorId="0" shapeId="0" xr:uid="{7D2AA0D6-04A1-344D-9BE9-00DE4C9EBB65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30" authorId="0" shapeId="0" xr:uid="{9246D8B3-EB1C-5042-9D79-83E3558E629E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30" authorId="0" shapeId="0" xr:uid="{C0F98445-ECE1-014B-B8DE-7DA735B50E6E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30" authorId="0" shapeId="0" xr:uid="{A4AD4F65-DD61-1746-B204-D7F6701B25DC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31" authorId="0" shapeId="0" xr:uid="{469307C4-774B-C14B-BE91-D1A33AD58C3F}">
      <text>
        <r>
          <rPr>
            <b/>
            <sz val="10"/>
            <color rgb="FF000000"/>
            <rFont val="Tahoma"/>
            <family val="2"/>
          </rPr>
          <t>Paul Richardson</t>
        </r>
        <r>
          <rPr>
            <b/>
            <sz val="10"/>
            <color rgb="FF000000"/>
            <rFont val="Calibri"/>
            <family val="2"/>
          </rPr>
          <t xml:space="preserve"> - McLaurin out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F31" authorId="0" shapeId="0" xr:uid="{8AE42B06-D6FC-514A-AA88-4D8F155187FF}">
      <text>
        <r>
          <rPr>
            <b/>
            <sz val="10"/>
            <color rgb="FF000000"/>
            <rFont val="Tahoma"/>
            <family val="2"/>
          </rPr>
          <t>Trey Quinn</t>
        </r>
        <r>
          <rPr>
            <b/>
            <sz val="10"/>
            <color rgb="FF000000"/>
            <rFont val="Calibri"/>
            <family val="2"/>
          </rPr>
          <t xml:space="preserve"> - McLaurin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 xml:space="preserve">
</t>
        </r>
      </text>
    </comment>
    <comment ref="G31" authorId="0" shapeId="0" xr:uid="{0B83D93E-D47B-AB4C-A057-8C01A0C15C7C}">
      <text>
        <r>
          <rPr>
            <b/>
            <sz val="10"/>
            <color rgb="FF000000"/>
            <rFont val="Tahoma"/>
            <family val="2"/>
          </rPr>
          <t>Kelvin Harmon - McLaurin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2" authorId="0" shapeId="0" xr:uid="{15CC99DF-B828-6647-AC36-820CCB6684AC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F32" authorId="0" shapeId="0" xr:uid="{9B8DC05B-E727-A94B-872C-FA12E1BB661C}">
      <text>
        <r>
          <rPr>
            <b/>
            <sz val="10"/>
            <color rgb="FF000000"/>
            <rFont val="Tahoma"/>
            <family val="2"/>
          </rPr>
          <t xml:space="preserve">KeeSean Johnson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2" authorId="0" shapeId="0" xr:uid="{19726AAD-8198-9844-A0E9-61CFD9027C38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3" authorId="0" shapeId="0" xr:uid="{2CF0EF55-FBE8-1B42-A899-F1B01C49C8AA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3" authorId="0" shapeId="0" xr:uid="{4C4166DC-E771-C94D-9653-573318245FA2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3" authorId="0" shapeId="0" xr:uid="{441A7F43-83DC-D849-B51E-F8305DE3ABE1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4" authorId="0" shapeId="0" xr:uid="{2FB1E146-2318-5346-BCAA-F364DB9151F0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34" authorId="0" shapeId="0" xr:uid="{52C6C40D-0F90-B545-8838-B9296E19BA4D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G34" authorId="0" shapeId="0" xr:uid="{C078AEE7-1501-8E43-A689-56E450B791FB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35" authorId="0" shapeId="0" xr:uid="{E1988509-857D-7A41-880F-CD101D0BB4C8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5" authorId="0" shapeId="0" xr:uid="{44DCFD01-D5BD-9141-B626-E33E5A7AB251}">
      <text>
        <r>
          <rPr>
            <b/>
            <sz val="10"/>
            <color rgb="FF000000"/>
            <rFont val="Tahoma"/>
            <family val="2"/>
          </rPr>
          <t>Isaiah McKenzie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7" authorId="0" shapeId="0" xr:uid="{3A321104-0213-5B4D-9156-E98171782EEB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7" authorId="0" shapeId="0" xr:uid="{09976213-4BC3-FF49-A548-678A963B1F60}">
      <text>
        <r>
          <rPr>
            <b/>
            <sz val="10"/>
            <color rgb="FF000000"/>
            <rFont val="Tahoma"/>
            <family val="2"/>
          </rPr>
          <t xml:space="preserve">Anthony Miller </t>
        </r>
        <r>
          <rPr>
            <b/>
            <sz val="10"/>
            <color rgb="FF000000"/>
            <rFont val="Calibri"/>
            <family val="2"/>
          </rPr>
          <t>- Gabriel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7" authorId="0" shapeId="0" xr:uid="{11B203A9-B18B-9E4D-9A5D-57A1EB9DAD96}">
      <text>
        <r>
          <rPr>
            <b/>
            <sz val="10"/>
            <color rgb="FF000000"/>
            <rFont val="Tahoma"/>
            <family val="2"/>
          </rPr>
          <t xml:space="preserve">Javon Wims </t>
        </r>
        <r>
          <rPr>
            <b/>
            <sz val="10"/>
            <color rgb="FF000000"/>
            <rFont val="Calibri"/>
            <family val="2"/>
          </rPr>
          <t>- Gabriel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8" authorId="0" shapeId="0" xr:uid="{B72168E0-AC30-DC4A-950E-0B13BE8BB1C3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38" authorId="0" shapeId="0" xr:uid="{36967B6C-20BD-FE4B-87D5-8416EA9B0FC8}">
      <text>
        <r>
          <rPr>
            <b/>
            <sz val="10"/>
            <color rgb="FF000000"/>
            <rFont val="Tahoma"/>
            <family val="2"/>
          </rPr>
          <t>Damion Willis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0" authorId="0" shapeId="0" xr:uid="{B3690649-469B-B74C-A796-0E25592D7213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40" authorId="0" shapeId="0" xr:uid="{5258C185-811E-E941-A97A-7E75F14FF727}">
      <text>
        <r>
          <rPr>
            <b/>
            <sz val="10"/>
            <color rgb="FF000000"/>
            <rFont val="Tahoma"/>
            <family val="2"/>
          </rPr>
          <t>Cobb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42" authorId="0" shapeId="0" xr:uid="{AD163336-1A1A-D24B-8839-149880D084B7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42" authorId="0" shapeId="0" xr:uid="{85DED640-BB53-CE46-B171-D0E79FEACAE9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F43" authorId="0" shapeId="0" xr:uid="{A48D63C3-784A-E143-8CC4-E6117AFF2A09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43" authorId="0" shapeId="0" xr:uid="{270AFB88-4963-1E4D-B1CB-A1BE2CFA079D}">
      <text>
        <r>
          <rPr>
            <b/>
            <sz val="10"/>
            <color rgb="FF000000"/>
            <rFont val="Tahoma"/>
            <family val="2"/>
          </rPr>
          <t>Coutee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4" authorId="0" shapeId="0" xr:uid="{093D396E-BF69-2E49-A4DA-9B5BE62EBEAA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5" authorId="0" shapeId="0" xr:uid="{9CC792F2-E537-5347-8F2C-4070CC697990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45" authorId="0" shapeId="0" xr:uid="{9EBECA17-9029-8F40-93F8-5400C46947BB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46" authorId="0" shapeId="0" xr:uid="{61DA9300-D569-0C4D-BBD9-75545CD7B012}">
      <text>
        <r>
          <rPr>
            <b/>
            <sz val="10"/>
            <color rgb="FF000000"/>
            <rFont val="Tahoma"/>
            <family val="2"/>
          </rPr>
          <t>Pringle - Watkins injured early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6" authorId="0" shapeId="0" xr:uid="{C11873B6-4E22-3D4D-9367-6A77E970A82A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G46" authorId="0" shapeId="0" xr:uid="{4956ED0A-100B-5149-829E-F60EDD26EA35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47" authorId="0" shapeId="0" xr:uid="{5C53EEBF-F62C-A744-B3E7-16B148B408B1}">
      <text>
        <r>
          <rPr>
            <b/>
            <sz val="10"/>
            <color rgb="FF000000"/>
            <rFont val="Tahoma"/>
            <family val="2"/>
          </rPr>
          <t>Renfrow - Tyrell Williams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47" authorId="0" shapeId="0" xr:uid="{5F2249BB-6FCE-2242-842E-DD777D9F4A07}">
      <text>
        <r>
          <rPr>
            <b/>
            <sz val="10"/>
            <color rgb="FF000000"/>
            <rFont val="Tahoma"/>
            <family val="2"/>
          </rPr>
          <t xml:space="preserve">Trevor Davis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47" authorId="0" shapeId="0" xr:uid="{C32FDFC2-ABD5-EE42-9E3A-5F603C61CE7F}">
      <text>
        <r>
          <rPr>
            <b/>
            <sz val="10"/>
            <color rgb="FF000000"/>
            <rFont val="Tahoma"/>
            <family val="2"/>
          </rPr>
          <t xml:space="preserve">Keelan Doss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49" authorId="0" shapeId="0" xr:uid="{82D4C6B2-59B6-A44A-ACD4-9E2A1ED7D2A8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49" authorId="0" shapeId="0" xr:uid="{FD8258A9-0498-6641-9AE6-9A2BD1113D7F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49" authorId="0" shapeId="0" xr:uid="{DC1E627B-B10C-394A-9051-57897E81ABB1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51" authorId="0" shapeId="0" xr:uid="{D60E020A-6F22-714F-A0DD-91C909E3239C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1" authorId="0" shapeId="0" xr:uid="{AB45BC74-66FB-5949-9AA3-F38AB7F9E1ED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G51" authorId="0" shapeId="0" xr:uid="{A2DEFE3F-F751-9A48-9E7A-56873832B16B}">
      <text>
        <r>
          <rPr>
            <b/>
            <sz val="10"/>
            <color rgb="FF000000"/>
            <rFont val="Tahoma"/>
            <family val="2"/>
          </rPr>
          <t>Phillip 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2" authorId="0" shapeId="0" xr:uid="{59550FB8-9217-2846-ACA5-F3C7FAD516EE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E53" authorId="0" shapeId="0" xr:uid="{7250CA92-77F7-7142-81FF-750A3A3EFD77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3" authorId="0" shapeId="0" xr:uid="{9C801162-F4A9-454D-A68D-7EBA3D792894}">
      <text>
        <r>
          <rPr>
            <b/>
            <sz val="10"/>
            <color rgb="FF000000"/>
            <rFont val="Tahoma"/>
            <family val="2"/>
          </rPr>
          <t>Golden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3" authorId="0" shapeId="0" xr:uid="{EDA35A5B-1663-E541-844D-EA0670E23A97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54" authorId="0" shapeId="0" xr:uid="{A34101C9-97D1-784C-AB32-649DF68A2B22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4" authorId="0" shapeId="0" xr:uid="{7232C8E5-3994-444B-935A-9074BC30F5D0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55" authorId="0" shapeId="0" xr:uid="{34F43F98-8520-8E44-BFEA-F26AC504F8FD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5" authorId="0" shapeId="0" xr:uid="{390030BC-AB47-2F49-BE67-33DEF9077FEB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55" authorId="0" shapeId="0" xr:uid="{81CB2893-8D35-084D-90F2-55F5875BEF43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6" authorId="0" shapeId="0" xr:uid="{0FF6681A-2F6D-A04C-B2C6-4C74603354B4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6" authorId="0" shapeId="0" xr:uid="{5BC7635B-6DF1-1342-BC90-BCF149801A23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E57" authorId="0" shapeId="0" xr:uid="{B9AB798E-C1A4-424E-8EF7-733D2AABEBFA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F57" authorId="0" shapeId="0" xr:uid="{C8557DD3-4581-5D44-8525-A9C7ABCD0FA1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57" authorId="0" shapeId="0" xr:uid="{676B6711-D276-CA47-A5C9-E50C9C0AAEE9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58" authorId="0" shapeId="0" xr:uid="{34F61963-5F1D-2845-A433-DB63C58F0153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F58" authorId="0" shapeId="0" xr:uid="{71DBAF19-97C6-BA4B-ADB8-4BF2C1013E77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58" authorId="0" shapeId="0" xr:uid="{7E439CA6-459A-C546-834A-02BDAB54288F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59" authorId="0" shapeId="0" xr:uid="{270CC9F1-DDF8-DC41-8F05-E41EED6DED8C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60" authorId="0" shapeId="0" xr:uid="{75AF3CB7-6756-DF44-931A-E0CFC408D675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60" authorId="0" shapeId="0" xr:uid="{1536A7C1-1420-1946-9E15-FA5F87056232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G60" authorId="0" shapeId="0" xr:uid="{1E9DB23E-30E5-424F-948E-3598A6188836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E61" authorId="0" shapeId="0" xr:uid="{E8F5B29D-BAD4-6A4D-BFAA-FD4ACD045688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61" authorId="0" shapeId="0" xr:uid="{E1809993-AF9C-384F-BA6D-59B5DECABCD1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G61" authorId="0" shapeId="0" xr:uid="{ED63AFD7-A933-AD4C-8C51-FD14416C186D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E62" authorId="0" shapeId="0" xr:uid="{0F8DAF33-88E1-534C-894D-44FD4CF453FA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F62" authorId="0" shapeId="0" xr:uid="{01487C2F-3383-8B4A-91B7-D4D6FE1D3BB0}">
      <text>
        <r>
          <rPr>
            <b/>
            <sz val="10"/>
            <color rgb="FF000000"/>
            <rFont val="Calibri"/>
            <family val="2"/>
          </rPr>
          <t>Damiere Byrd-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2" authorId="0" shapeId="0" xr:uid="{8B8D28EC-CB78-6E44-8D34-4CB6A19503F6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63" authorId="0" shapeId="0" xr:uid="{6CDB1B9E-921E-3041-A7E0-46138B1791F1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63" authorId="0" shapeId="0" xr:uid="{120E680F-E7B8-4F4D-B326-015C45DCE6AA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3" authorId="0" shapeId="0" xr:uid="{D18C4FC2-816C-494E-BB53-DBB8C72509F8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64" authorId="0" shapeId="0" xr:uid="{2D878EB3-5FD0-2549-8EFD-992C951E5C46}">
      <text>
        <r>
          <rPr>
            <b/>
            <sz val="10"/>
            <color rgb="FF000000"/>
            <rFont val="Tahoma"/>
            <family val="2"/>
          </rPr>
          <t>Snead - Marquise Brown out</t>
        </r>
      </text>
    </comment>
    <comment ref="F64" authorId="0" shapeId="0" xr:uid="{53F061BE-7DFF-C146-8316-AB340C197778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G64" authorId="0" shapeId="0" xr:uid="{626B2E97-D0A1-2046-9C97-A93DF5B43081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H64" authorId="0" shapeId="0" xr:uid="{4F628C1F-CB28-5147-A86D-18DD05617E19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F66" authorId="0" shapeId="0" xr:uid="{34A22B14-1ED5-BC4A-A7E5-DA7D2F4CCDF4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6" authorId="0" shapeId="0" xr:uid="{75B17A00-1478-504F-B47E-F437DB93D1BF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68" authorId="0" shapeId="0" xr:uid="{D534A001-AE93-6347-A880-1FB2174BB7F6}">
      <text>
        <r>
          <rPr>
            <b/>
            <sz val="10"/>
            <color rgb="FF000000"/>
            <rFont val="Tahoma"/>
            <family val="2"/>
          </rPr>
          <t>Cooper injured in 1st Q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68" authorId="0" shapeId="0" xr:uid="{EA535B11-278D-7A4C-91B0-379037559599}">
      <text>
        <r>
          <rPr>
            <b/>
            <sz val="10"/>
            <color rgb="FF000000"/>
            <rFont val="Tahoma"/>
            <family val="2"/>
          </rPr>
          <t>Gallup - Cobb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8" authorId="0" shapeId="0" xr:uid="{AEC120B6-2880-6840-B346-F137C8B063C6}">
      <text>
        <r>
          <rPr>
            <b/>
            <sz val="10"/>
            <color rgb="FF000000"/>
            <rFont val="Tahoma"/>
            <family val="2"/>
          </rPr>
          <t>Tavon Austin - Cobb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0" authorId="0" shapeId="0" xr:uid="{B5489E98-B568-4B47-8498-079DFC5AE9C6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70" authorId="0" shapeId="0" xr:uid="{10887F42-1A61-4F4A-847C-9EDF052C9C6D}">
      <text>
        <r>
          <rPr>
            <b/>
            <sz val="10"/>
            <color rgb="FF000000"/>
            <rFont val="Tahoma"/>
            <family val="2"/>
          </rPr>
          <t>MArvin Hall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71" authorId="0" shapeId="0" xr:uid="{F1F2F10F-4C64-814B-B1DD-6B3A9E9FB0DC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F71" authorId="0" shapeId="0" xr:uid="{1BE95239-C38D-1C48-A0E0-A997E24AD611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G71" authorId="0" shapeId="0" xr:uid="{FF369572-26D9-7849-A79E-13C1A8142851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72" authorId="0" shapeId="0" xr:uid="{20A117CB-D800-B542-9ACF-D2D8087FA7AA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G72" authorId="0" shapeId="0" xr:uid="{7D36CE87-F107-B04E-83C3-BB4F1D73AA6C}">
      <text>
        <r>
          <rPr>
            <b/>
            <sz val="10"/>
            <color rgb="FF000000"/>
            <rFont val="Tahoma"/>
            <family val="2"/>
          </rPr>
          <t>Coutee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3" authorId="0" shapeId="0" xr:uid="{48168F66-A91B-014A-9C39-C3583E36570D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73" authorId="0" shapeId="0" xr:uid="{188AA3CA-0776-B540-9C71-43B086B7CC40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74" authorId="0" shapeId="0" xr:uid="{E39330CB-BA1C-DC45-ACE0-DE7A10E3D521}">
      <text>
        <r>
          <rPr>
            <b/>
            <sz val="10"/>
            <color rgb="FF000000"/>
            <rFont val="Tahoma"/>
            <family val="2"/>
          </rPr>
          <t>Tyreek Hill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4" authorId="0" shapeId="0" xr:uid="{07B109E3-53F5-DA49-A159-456660599B73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- Watkins out</t>
        </r>
      </text>
    </comment>
    <comment ref="G74" authorId="0" shapeId="0" xr:uid="{186206F0-CBB2-564E-9CD3-6424309C41BA}">
      <text>
        <r>
          <rPr>
            <b/>
            <sz val="10"/>
            <color rgb="FF000000"/>
            <rFont val="Tahoma"/>
            <family val="2"/>
          </rPr>
          <t>Pringle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76" authorId="0" shapeId="0" xr:uid="{18B668DD-AE15-6740-B862-AF06EBBDFE19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76" authorId="0" shapeId="0" xr:uid="{697F0235-4728-0B49-93E4-23A2B1DFAF4B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76" authorId="0" shapeId="0" xr:uid="{B8A3176E-6542-1642-8B91-7D7EB131D3D1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77" authorId="0" shapeId="0" xr:uid="{E6DDD67A-8B72-9E40-976E-BC75642110C0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77" authorId="0" shapeId="0" xr:uid="{2CDE85A8-C8B2-114E-9110-0D0A95B8B913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77" authorId="0" shapeId="0" xr:uid="{9D22D57C-C1E8-C745-9B64-B084D507C75C}">
      <text>
        <r>
          <rPr>
            <b/>
            <sz val="10"/>
            <color rgb="FF000000"/>
            <rFont val="Tahoma"/>
            <family val="2"/>
          </rPr>
          <t>Albert Wilson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79" authorId="0" shapeId="0" xr:uid="{1B98F062-7ACD-3943-97A1-E9B5345EE71B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79" authorId="0" shapeId="0" xr:uid="{1E76B84B-E63A-E148-9A93-031045071FC9}">
      <text>
        <r>
          <rPr>
            <b/>
            <sz val="10"/>
            <color rgb="FF000000"/>
            <rFont val="Tahoma"/>
            <family val="2"/>
          </rPr>
          <t>Josh Gordon - inj 1st quater and Dorsett out</t>
        </r>
      </text>
    </comment>
    <comment ref="G79" authorId="0" shapeId="0" xr:uid="{1EB3E97A-6DAD-4C4F-A07D-8F8FDDCF7F85}">
      <text>
        <r>
          <rPr>
            <b/>
            <sz val="10"/>
            <color rgb="FF000000"/>
            <rFont val="Tahoma"/>
            <family val="2"/>
          </rPr>
          <t>Jakobi Meyers - Dorsett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0" authorId="0" shapeId="0" xr:uid="{2553A8B3-262F-F84E-9047-1AE09DCE4FC7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E81" authorId="0" shapeId="0" xr:uid="{6C2DBF40-319D-4643-871E-FCD8D80BE924}">
      <text>
        <r>
          <rPr>
            <b/>
            <sz val="10"/>
            <color rgb="FF000000"/>
            <rFont val="Tahoma"/>
            <family val="2"/>
          </rPr>
          <t>Tate - Shepard and Engram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1" authorId="0" shapeId="0" xr:uid="{82702066-1628-364A-9076-E9FFE2EC2A04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and Engram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81" authorId="0" shapeId="0" xr:uid="{BD8EC769-DD06-E840-A498-89EF6B8E65C6}">
      <text>
        <r>
          <rPr>
            <b/>
            <sz val="10"/>
            <color rgb="FF000000"/>
            <rFont val="Calibri"/>
            <family val="2"/>
          </rPr>
          <t>Shepard and Engram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H81" authorId="0" shapeId="0" xr:uid="{CF63A9E5-14F0-F94A-B116-B10A92A1B1EE}">
      <text>
        <r>
          <rPr>
            <b/>
            <sz val="10"/>
            <color rgb="FF000000"/>
            <rFont val="Calibri"/>
            <family val="2"/>
            <scheme val="minor"/>
          </rPr>
          <t>Shepard and Engram out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2" authorId="0" shapeId="0" xr:uid="{F9C1FAC6-0C75-8C40-8B7F-5F2E7819ECD0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2" authorId="0" shapeId="0" xr:uid="{F444E325-4702-3243-A50D-D7C557FE6B5D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3" authorId="0" shapeId="0" xr:uid="{7287A2AC-3FDB-0344-A2A0-D3BA84098B38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3" authorId="0" shapeId="0" xr:uid="{55D58547-C091-7140-BDFC-9EBC4E620559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83" authorId="0" shapeId="0" xr:uid="{26F700D6-E6FD-4D45-A09A-46F32507FF11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4" authorId="0" shapeId="0" xr:uid="{672D4DB0-4453-2F45-9488-1694FD44196A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84" authorId="0" shapeId="0" xr:uid="{97B95BFC-FD51-F14A-9380-7FB1E9883430}">
      <text>
        <r>
          <rPr>
            <b/>
            <sz val="10"/>
            <color rgb="FF000000"/>
            <rFont val="Tahoma"/>
            <family val="2"/>
          </rPr>
          <t>Moncrief</t>
        </r>
      </text>
    </comment>
    <comment ref="E85" authorId="0" shapeId="0" xr:uid="{AD18819C-853A-9D49-B229-65C484E0542B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5" authorId="0" shapeId="0" xr:uid="{608F4790-AF3B-8746-88A8-5A96E3F1EA8D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G85" authorId="0" shapeId="0" xr:uid="{7BE762C4-89E7-7E42-9312-1D7002874121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F86" authorId="0" shapeId="0" xr:uid="{BEFC77BD-5FDE-A642-9338-584D708ED363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86" authorId="0" shapeId="0" xr:uid="{81C41B56-5003-5840-8D01-EBFC9EE5A34F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H86" authorId="0" shapeId="0" xr:uid="{980F06EA-7EB3-8B45-8137-FCF4AEC54FE8}">
      <text>
        <r>
          <rPr>
            <b/>
            <sz val="10"/>
            <color rgb="FF000000"/>
            <rFont val="Tahoma"/>
            <family val="2"/>
          </rPr>
          <t>Dissly injurd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7" authorId="0" shapeId="0" xr:uid="{05A148B6-2256-6C44-AD90-56066C21E99A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88" authorId="0" shapeId="0" xr:uid="{DD8D8B16-2CCC-FA4C-816C-863C4D7AC8EE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88" authorId="0" shapeId="0" xr:uid="{96CDE14D-C631-9E45-B495-5E0F67BF9E57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G88" authorId="0" shapeId="0" xr:uid="{9CF5B780-3489-7142-B0BD-50B395293E2A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E89" authorId="0" shapeId="0" xr:uid="{4D9A9101-742D-B44A-AEE5-8F6107B9070C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89" authorId="0" shapeId="0" xr:uid="{89212E17-9011-3844-BB8D-507EF8513C7A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G89" authorId="0" shapeId="0" xr:uid="{C113B1B0-FAE9-8D4D-B348-7648EA437220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H89" authorId="0" shapeId="0" xr:uid="{909DE325-5FAB-574B-A293-27300F027DEC}">
      <text>
        <r>
          <rPr>
            <b/>
            <sz val="10"/>
            <color rgb="FF000000"/>
            <rFont val="Tahoma"/>
            <family val="2"/>
          </rPr>
          <t>Sprinkle - Davis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0" authorId="0" shapeId="0" xr:uid="{302D506A-62E9-5041-AD53-73F5A76F58E4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F90" authorId="0" shapeId="0" xr:uid="{08A42FF0-CBF7-2847-8A86-8869A6ED6182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0" authorId="0" shapeId="0" xr:uid="{2EEBA39E-CC82-5E49-8124-AAF1086ADC61}">
      <text>
        <r>
          <rPr>
            <b/>
            <sz val="10"/>
            <color rgb="FF000000"/>
            <rFont val="Calibri"/>
            <family val="2"/>
          </rPr>
          <t>Damiere Byrd-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1" authorId="0" shapeId="0" xr:uid="{C8C183E4-DF4A-4144-B67F-029D88C47D49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1" authorId="0" shapeId="0" xr:uid="{E17BC536-CBCE-FC40-917A-5EB88A213648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1" authorId="0" shapeId="0" xr:uid="{63D4F2F9-E03E-C042-983F-38260C1B2A7A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2" authorId="0" shapeId="0" xr:uid="{E19E5A13-C5DB-274A-A136-167DEE927E79}">
      <text>
        <r>
          <rPr>
            <b/>
            <sz val="10"/>
            <color rgb="FF000000"/>
            <rFont val="Tahoma"/>
            <family val="2"/>
          </rPr>
          <t>Snead - Marquise Brown out</t>
        </r>
      </text>
    </comment>
    <comment ref="F92" authorId="0" shapeId="0" xr:uid="{E7307ED1-BD02-6F4C-8E28-0CAC6426A750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G92" authorId="0" shapeId="0" xr:uid="{22EA9054-A87E-2E4E-ADEE-33BB6866C932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F93" authorId="0" shapeId="0" xr:uid="{87FCC6E2-FA0C-294F-A7E9-AA9304D3E11C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3" authorId="0" shapeId="0" xr:uid="{F4441C87-449B-514F-B97E-611834A8F5D0}">
      <text>
        <r>
          <rPr>
            <b/>
            <sz val="10"/>
            <color rgb="FF000000"/>
            <rFont val="Tahoma"/>
            <family val="2"/>
          </rPr>
          <t>Duke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4" authorId="0" shapeId="0" xr:uid="{38986F83-55C6-B149-8611-935A44BF1A3D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4" authorId="0" shapeId="0" xr:uid="{C3D06B57-2718-2145-95FB-7757F78D9F1B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4" authorId="0" shapeId="0" xr:uid="{44DBE6E8-AD57-CE47-8280-F4C079368526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5" authorId="0" shapeId="0" xr:uid="{CA101532-8A2C-704E-AB3D-B924D5417BDA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5" authorId="0" shapeId="0" xr:uid="{2DDB502F-7C42-214B-829D-E5A02E0D3A28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6" authorId="0" shapeId="0" xr:uid="{FC538DAC-BAD4-3A44-96AE-19379476652C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96" authorId="0" shapeId="0" xr:uid="{E16B01B2-A1DF-A94C-8953-D1E22A3C799B}">
      <text>
        <r>
          <rPr>
            <b/>
            <sz val="10"/>
            <color rgb="FF000000"/>
            <rFont val="Tahoma"/>
            <family val="2"/>
          </rPr>
          <t>Cobb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8" authorId="0" shapeId="0" xr:uid="{7701D3E0-00CD-E742-AAB7-1B5E135323AC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98" authorId="0" shapeId="0" xr:uid="{115A42E8-DEBA-5A41-9C24-F341DE01740F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E99" authorId="0" shapeId="0" xr:uid="{0B1CED82-79DB-9D47-98DB-DE284F3BF641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99" authorId="0" shapeId="0" xr:uid="{992BC1D8-D4F5-9B4F-8B61-472B14F45A34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G99" authorId="0" shapeId="0" xr:uid="{4028B068-0226-0D4B-B859-894CBB77F0AC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F100" authorId="0" shapeId="0" xr:uid="{1C9F9ED7-021E-5E43-A112-8AEE66828B79}">
      <text>
        <r>
          <rPr>
            <b/>
            <sz val="10"/>
            <color rgb="FF000000"/>
            <rFont val="Tahoma"/>
            <family val="2"/>
          </rPr>
          <t>Stills - Fuller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0" authorId="0" shapeId="0" xr:uid="{A22BAAD9-B143-4347-8B60-1187AC4EC0ED}">
      <text>
        <r>
          <rPr>
            <b/>
            <sz val="10"/>
            <color rgb="FF000000"/>
            <rFont val="Tahoma"/>
            <family val="2"/>
          </rPr>
          <t>Coutee - Fuller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1" authorId="0" shapeId="0" xr:uid="{23D5D336-230E-514C-8BB7-3BE9676B4E65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2" authorId="0" shapeId="0" xr:uid="{63488C3F-4807-5D4C-B369-7904FC726049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G102" authorId="0" shapeId="0" xr:uid="{0F3E28A6-BCCE-DE44-B10F-BD605A174834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H102" authorId="0" shapeId="0" xr:uid="{6E2DBF66-5B6A-6149-AE53-7755578E36E1}">
      <text>
        <r>
          <rPr>
            <b/>
            <sz val="10"/>
            <color rgb="FF000000"/>
            <rFont val="Tahoma"/>
            <family val="2"/>
          </rPr>
          <t>O'Shaunnesey and Swaim out for season - The only 2 TEs that ran routes for Jags all season. Might funnel more targets to WRs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03" authorId="0" shapeId="0" xr:uid="{8F3FAF8A-D2A0-5A40-939A-59167A71199C}">
      <text>
        <r>
          <rPr>
            <b/>
            <sz val="10"/>
            <color rgb="FF000000"/>
            <rFont val="Tahoma"/>
            <family val="2"/>
          </rPr>
          <t>Tyreek Hill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3" authorId="0" shapeId="0" xr:uid="{170F04EA-3B2E-3943-8192-BA241F6E8DFE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- Watkins out</t>
        </r>
      </text>
    </comment>
    <comment ref="G103" authorId="0" shapeId="0" xr:uid="{EF838BB2-A134-864C-9117-C8F83C30245A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E104" authorId="0" shapeId="0" xr:uid="{A92CC499-6176-3242-8A0C-59BA1019E1EC}">
      <text>
        <r>
          <rPr>
            <b/>
            <sz val="10"/>
            <color rgb="FF000000"/>
            <rFont val="Tahoma"/>
            <family val="2"/>
          </rPr>
          <t xml:space="preserve">Keelan Doss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4" authorId="0" shapeId="0" xr:uid="{4EA2BD20-23A3-1E49-9F13-7501C060429E}">
      <text>
        <r>
          <rPr>
            <b/>
            <sz val="10"/>
            <color rgb="FF000000"/>
            <rFont val="Tahoma"/>
            <family val="2"/>
          </rPr>
          <t>Renfrow - Tyrell Williams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4" authorId="0" shapeId="0" xr:uid="{A155C648-60DF-2548-A441-E9F0A0EAFADD}">
      <text>
        <r>
          <rPr>
            <b/>
            <sz val="10"/>
            <color rgb="FF000000"/>
            <rFont val="Tahoma"/>
            <family val="2"/>
          </rPr>
          <t xml:space="preserve">Trevor Davis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06" authorId="0" shapeId="0" xr:uid="{66394E86-3637-F641-A00F-460A6A1C4BCD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106" authorId="0" shapeId="0" xr:uid="{DDE2B49B-5B31-564C-A8B0-165E5D0C316B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106" authorId="0" shapeId="0" xr:uid="{3D7A752C-066A-C040-AE9E-82D714BD8701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107" authorId="0" shapeId="0" xr:uid="{BA36FEBC-8033-2841-8A90-7338587684C6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107" authorId="0" shapeId="0" xr:uid="{27004911-74F0-364E-8235-A67D60BF1651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07" authorId="0" shapeId="0" xr:uid="{14854E23-99FD-D945-83A6-FA314EE9A841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09" authorId="0" shapeId="0" xr:uid="{5778C8BC-2425-1C47-B42B-9E180463FA33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09" authorId="0" shapeId="0" xr:uid="{D7BD911B-A70B-2140-963E-E8CC00C5C1DB}">
      <text>
        <r>
          <rPr>
            <b/>
            <sz val="10"/>
            <color rgb="FF000000"/>
            <rFont val="Tahoma"/>
            <family val="2"/>
          </rPr>
          <t>Dorsett - Gordon out</t>
        </r>
      </text>
    </comment>
    <comment ref="G109" authorId="0" shapeId="0" xr:uid="{A08F0AC8-0A8E-3346-9FBC-2ADFD5A7E904}">
      <text>
        <r>
          <rPr>
            <b/>
            <sz val="10"/>
            <color rgb="FF000000"/>
            <rFont val="Tahoma"/>
            <family val="2"/>
          </rPr>
          <t>Jakobi Meyers - Gordon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0" authorId="0" shapeId="0" xr:uid="{CA88D642-7CC8-0145-874B-11B91F191296}">
      <text>
        <r>
          <rPr>
            <b/>
            <sz val="10"/>
            <color rgb="FF000000"/>
            <rFont val="Calibri"/>
            <family val="2"/>
          </rPr>
          <t>Tre'Quan and Cook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F110" authorId="0" shapeId="0" xr:uid="{F1A0781B-B028-B141-B602-0C00B39D1759}">
      <text>
        <r>
          <rPr>
            <b/>
            <sz val="10"/>
            <color rgb="FF000000"/>
            <rFont val="Tahoma"/>
            <family val="2"/>
          </rPr>
          <t>Ted Ginn - Tre'Quan and Cook out</t>
        </r>
      </text>
    </comment>
    <comment ref="E111" authorId="0" shapeId="0" xr:uid="{107D8412-F17C-C44B-BB7A-691A944E4A70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111" authorId="0" shapeId="0" xr:uid="{ED7A1276-F844-D740-A701-680BD02B17BC}">
      <text>
        <r>
          <rPr>
            <b/>
            <sz val="10"/>
            <color rgb="FF000000"/>
            <rFont val="Tahoma"/>
            <family val="2"/>
          </rPr>
          <t>Benny Fowler - 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1" authorId="0" shapeId="0" xr:uid="{D96E7719-0689-6444-8C81-5DB06311FDCC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2" authorId="0" shapeId="0" xr:uid="{C170B26E-D3B2-9043-A070-8AAABB56A905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2" authorId="0" shapeId="0" xr:uid="{A83062FD-1F00-564D-9CDA-23D7162D3073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2" authorId="0" shapeId="0" xr:uid="{80CB04C8-D598-9343-94A5-525E718BBE42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3" authorId="0" shapeId="0" xr:uid="{D220509A-E38A-6346-9A62-96FC71192A2A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3" authorId="0" shapeId="0" xr:uid="{24C3D063-0819-3945-8A9A-A673BD21F83E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G113" authorId="0" shapeId="0" xr:uid="{2735D4B2-4FBF-C54B-8001-1DC54CD35040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4" authorId="0" shapeId="0" xr:uid="{70A2D8D9-73D8-314C-B999-C67063D7D483}">
      <text>
        <r>
          <rPr>
            <b/>
            <sz val="10"/>
            <color rgb="FF000000"/>
            <rFont val="Tahoma"/>
            <family val="2"/>
          </rPr>
          <t>Kendrick Bourne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4" authorId="0" shapeId="0" xr:uid="{9C7929B0-900B-8348-A141-15DE792D1BF5}">
      <text>
        <r>
          <rPr>
            <b/>
            <sz val="10"/>
            <color rgb="FF000000"/>
            <rFont val="Tahoma"/>
            <family val="2"/>
          </rPr>
          <t>Richie James Jr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4" authorId="0" shapeId="0" xr:uid="{92A7EBB5-2416-2B40-A693-AD8EDE20561E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5" authorId="0" shapeId="0" xr:uid="{6492C9C5-E89C-1746-A299-927455B10770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G115" authorId="0" shapeId="0" xr:uid="{16132BEC-2848-0545-B678-530C171742A4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116" authorId="0" shapeId="0" xr:uid="{15F67973-32A5-1B4F-A593-74BA40E49FA5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116" authorId="0" shapeId="0" xr:uid="{3D98E19D-FEF7-874D-9B39-AE18B3CEBD7E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116" authorId="0" shapeId="0" xr:uid="{6F2A408B-FF4E-254B-97AD-ADF8F770E08B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117" authorId="0" shapeId="0" xr:uid="{292F7D20-B0FF-624F-8461-13121CDC0B84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117" authorId="0" shapeId="0" xr:uid="{6030312C-B066-CB4B-9FCA-15DDE843AC1B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G117" authorId="0" shapeId="0" xr:uid="{510609D3-A3F5-1247-9ED0-ADC00D5F0310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H117" authorId="0" shapeId="0" xr:uid="{4D3E26A0-3F1E-8647-A3FF-BAB546E21315}">
      <text>
        <r>
          <rPr>
            <b/>
            <sz val="10"/>
            <color rgb="FF000000"/>
            <rFont val="Tahoma"/>
            <family val="2"/>
          </rPr>
          <t>Sprinkle - Davis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8" authorId="0" shapeId="0" xr:uid="{58E34ACE-623E-784F-93FE-743F264E9359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8" authorId="0" shapeId="0" xr:uid="{72FDF871-E30C-C94F-AD7B-230E31B54500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9" authorId="0" shapeId="0" xr:uid="{A8F22F40-74FF-EC47-81EE-8DBABAF1FAF0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19" authorId="0" shapeId="0" xr:uid="{28B05812-2FE4-EA42-97BC-F985160FD78D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9" authorId="0" shapeId="0" xr:uid="{8F41F332-3484-D94A-A431-5C78CB3A2176}">
      <text>
        <r>
          <rPr>
            <b/>
            <sz val="10"/>
            <color rgb="FF000000"/>
            <rFont val="Tahoma"/>
            <family val="2"/>
          </rPr>
          <t>Gage - Sanu traded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0" authorId="0" shapeId="0" xr:uid="{3DD7434D-6D74-A949-89A6-5505EEE76D6B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0" authorId="0" shapeId="0" xr:uid="{832609BF-DB5B-3445-BC5D-5903DB049DDD}">
      <text>
        <r>
          <rPr>
            <b/>
            <sz val="10"/>
            <color rgb="FF000000"/>
            <rFont val="Tahoma"/>
            <family val="2"/>
          </rPr>
          <t>Duke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22" authorId="0" shapeId="0" xr:uid="{3F012301-B81B-5A43-BBA9-27C3375ED9EA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2" authorId="0" shapeId="0" xr:uid="{3BFAA6B2-8C4D-034F-B045-78E826D106BC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2" authorId="0" shapeId="0" xr:uid="{B239DB40-594E-A143-81CC-4040088D39FD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3" authorId="0" shapeId="0" xr:uid="{CF60D5A8-74B2-454A-B6E1-C9187131E7AD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3" authorId="0" shapeId="0" xr:uid="{919E7B31-6916-F448-ABA5-F4FB17B24CCB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6" authorId="0" shapeId="0" xr:uid="{BB390BFB-6DB9-6146-9EB9-1D33F67A54A6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E127" authorId="0" shapeId="0" xr:uid="{F6213ECD-9BD3-5548-9BC1-C412E1C8EAFE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F127" authorId="0" shapeId="0" xr:uid="{994E700F-A585-8744-8A38-D6C6231130DE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G127" authorId="0" shapeId="0" xr:uid="{739A93C8-CEDD-5841-949E-79866E1A15BC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F128" authorId="0" shapeId="0" xr:uid="{2711AB74-07E8-494A-8F18-32EE5C6C4698}">
      <text>
        <r>
          <rPr>
            <b/>
            <sz val="10"/>
            <color rgb="FF000000"/>
            <rFont val="Tahoma"/>
            <family val="2"/>
          </rPr>
          <t>Stills - Fuller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28" authorId="0" shapeId="0" xr:uid="{3EE31967-CDDC-A44E-BD8A-5DADB8BF6D78}">
      <text>
        <r>
          <rPr>
            <b/>
            <sz val="10"/>
            <color rgb="FF000000"/>
            <rFont val="Tahoma"/>
            <family val="2"/>
          </rPr>
          <t>Carter - Still out and Coutee benched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9" authorId="0" shapeId="0" xr:uid="{88A5BA4C-4DF7-8045-8FBE-9213EECAC7C5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0" authorId="0" shapeId="0" xr:uid="{75E5F29E-0ABB-404D-A2E0-73C98D17E002}">
      <text>
        <r>
          <rPr>
            <b/>
            <sz val="10"/>
            <color rgb="FF000000"/>
            <rFont val="Tahoma"/>
            <family val="2"/>
          </rPr>
          <t>DJ Chark - Westbrook injured in game</t>
        </r>
      </text>
    </comment>
    <comment ref="F130" authorId="0" shapeId="0" xr:uid="{F6B14DFE-54A9-A848-A4E0-F83ECA6045A1}">
      <text>
        <r>
          <rPr>
            <b/>
            <sz val="10"/>
            <color rgb="FF000000"/>
            <rFont val="Tahoma"/>
            <family val="2"/>
          </rPr>
          <t>Conley - Westbrook injured in game</t>
        </r>
      </text>
    </comment>
    <comment ref="E131" authorId="0" shapeId="0" xr:uid="{C2E35106-0AE1-874A-A1D4-498399DE5B6A}">
      <text>
        <r>
          <rPr>
            <b/>
            <sz val="10"/>
            <color rgb="FF000000"/>
            <rFont val="Tahoma"/>
            <family val="2"/>
          </rPr>
          <t>Tyreek 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1" authorId="0" shapeId="0" xr:uid="{5DAC2EB3-42D1-3846-9499-15C2B8161C4A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G131" authorId="0" shapeId="0" xr:uid="{3E98BE66-DB7C-E845-9A67-E73DF27844EC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2" authorId="0" shapeId="0" xr:uid="{EE0A79BB-6113-9140-8954-89986D81A943}">
      <text>
        <r>
          <rPr>
            <b/>
            <sz val="10"/>
            <color rgb="FF000000"/>
            <rFont val="Tahoma"/>
            <family val="2"/>
          </rPr>
          <t>Tyrell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2" authorId="0" shapeId="0" xr:uid="{6475E5D9-2764-2C4A-A2C3-A142EABC1E90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4" authorId="0" shapeId="0" xr:uid="{A79490D0-AF48-4F45-A2F1-6B71C65609FC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134" authorId="0" shapeId="0" xr:uid="{059FCDC4-7FD7-2148-BE9A-3736922F20CD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134" authorId="0" shapeId="0" xr:uid="{38118BBE-2E8C-574B-9A19-CE88B345F20E}">
      <text>
        <r>
          <rPr>
            <b/>
            <sz val="10"/>
            <color rgb="FF000000"/>
            <rFont val="Tahoma"/>
            <family val="2"/>
          </rPr>
          <t>Josh Reynolds - Cooks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5" authorId="0" shapeId="0" xr:uid="{8430CC1D-E2FB-444F-969B-BC725566D7E9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135" authorId="0" shapeId="0" xr:uid="{113D56EF-BA4D-0249-BA16-09F89A0D1FE2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35" authorId="0" shapeId="0" xr:uid="{917F4187-8EB3-6F43-A4B0-6A96E904DD8C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6" authorId="0" shapeId="0" xr:uid="{DC91AEA4-0D6F-3F45-B6D5-4D88324854B2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7" authorId="0" shapeId="0" xr:uid="{D5226633-B27C-B748-A257-A1DB1AEF3C0A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7" authorId="0" shapeId="0" xr:uid="{5FD1DF64-1ECF-C04B-A450-0CCCAEE14928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37" authorId="0" shapeId="0" xr:uid="{52C5A480-4F15-A645-86C3-93601E1EC783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9" authorId="0" shapeId="0" xr:uid="{04832202-AFBD-5E49-AB00-66A878B6026A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139" authorId="0" shapeId="0" xr:uid="{9EB4EE5D-985C-1B4A-9D11-AAA4182F679D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0" authorId="0" shapeId="0" xr:uid="{A15C98E4-7322-4C48-8178-9078EE7EA0AB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0" authorId="0" shapeId="0" xr:uid="{967FCEF5-0D41-5441-BE3A-6BD4E9DEE167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40" authorId="0" shapeId="0" xr:uid="{5ED9C27C-0C31-CB48-AF5E-501DAA598A77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1" authorId="0" shapeId="0" xr:uid="{81C23011-3717-E840-AD88-6893A0C3755C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1" authorId="0" shapeId="0" xr:uid="{ACF3A582-29CC-C947-A0B2-2CBF1CC68833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F142" authorId="0" shapeId="0" xr:uid="{B6553DBF-A14B-5141-B53D-4B44BDF5C855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3" authorId="0" shapeId="0" xr:uid="{A1BC6818-D8B3-6043-BF7B-E78A4B5729E7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143" authorId="0" shapeId="0" xr:uid="{86FD8645-A1C3-FB40-BF92-86F0FE352672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F144" authorId="0" shapeId="0" xr:uid="{A59E7FCC-D8CA-7441-88B1-61028EA00F19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E146" authorId="0" shapeId="0" xr:uid="{DD378AE8-7264-5440-9B5F-8E42970A0FEF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146" authorId="0" shapeId="0" xr:uid="{9C8BC5F1-7311-174B-8AE7-EF9164E49CE2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146" authorId="0" shapeId="0" xr:uid="{4903F856-41D8-914B-9201-220B521D30A1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7" authorId="0" shapeId="0" xr:uid="{742B16E1-3C48-5044-A09F-3E8C2F47F034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147" authorId="0" shapeId="0" xr:uid="{27405A6E-A60F-1048-BD0F-81B530499FCD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G147" authorId="0" shapeId="0" xr:uid="{9DED619E-B805-AF45-8E6D-AE0E72AC9B22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E148" authorId="0" shapeId="0" xr:uid="{581C891B-5BCA-BC48-AF14-8F722712F53B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8" authorId="0" shapeId="0" xr:uid="{E56215C4-FA27-4140-8833-0CA57AC05A09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9" authorId="0" shapeId="0" xr:uid="{B2D4780F-E173-ED4F-8571-34B35D76EE63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150" authorId="0" shapeId="0" xr:uid="{9154F3F4-F0B0-FB4F-A65A-A0437E9549A2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2" authorId="0" shapeId="0" xr:uid="{9547F3E0-9BAD-AE4E-B2A4-EF2DE0E108CD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4" authorId="0" shapeId="0" xr:uid="{8922D0D0-70C9-A14B-8E1C-12BA2D1360C3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6" authorId="0" shapeId="0" xr:uid="{013845A7-C8CC-2549-9852-E71E899ABB73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G156" authorId="0" shapeId="0" xr:uid="{DB27B1F6-53A8-F34F-BA82-F87AD9EA0155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F157" authorId="0" shapeId="0" xr:uid="{90B76A55-E4B9-3848-A935-C987011C7EBF}">
      <text>
        <r>
          <rPr>
            <b/>
            <sz val="10"/>
            <color rgb="FF000000"/>
            <rFont val="Tahoma"/>
            <family val="2"/>
          </rPr>
          <t>Lazard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8" authorId="0" shapeId="0" xr:uid="{46A2ECE3-8F44-D44D-9FFF-0011C2473E51}">
      <text>
        <r>
          <rPr>
            <b/>
            <sz val="10"/>
            <color rgb="FF000000"/>
            <rFont val="Tahoma"/>
            <family val="2"/>
          </rPr>
          <t>Stills - Fuller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58" authorId="0" shapeId="0" xr:uid="{D5F25685-A188-BC4E-9F86-C17973D8E4A7}">
      <text>
        <r>
          <rPr>
            <b/>
            <sz val="10"/>
            <color rgb="FF000000"/>
            <rFont val="Tahoma"/>
            <family val="2"/>
          </rPr>
          <t>Carter - Still out and Coutee benched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59" authorId="0" shapeId="0" xr:uid="{5D86DE70-BA3D-5144-AEF6-3681AC70447C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9" authorId="0" shapeId="0" xr:uid="{C3F66645-542A-3847-9AE3-CE1D456ACD42}">
      <text>
        <r>
          <rPr>
            <b/>
            <sz val="10"/>
            <color rgb="FF000000"/>
            <rFont val="Tahoma"/>
            <family val="2"/>
          </rPr>
          <t>Parris Campbell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59" authorId="0" shapeId="0" xr:uid="{A53506A0-FF16-3246-9130-64C3B7390A45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0" authorId="0" shapeId="0" xr:uid="{7E02071D-834C-6845-9DB9-C4A503453CAD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F160" authorId="0" shapeId="0" xr:uid="{5C19A6A5-E1CE-614E-B14E-DD5D529B9B60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161" authorId="0" shapeId="0" xr:uid="{A91A9875-204B-9E48-927C-78D7A61FCACB}">
      <text>
        <r>
          <rPr>
            <b/>
            <sz val="10"/>
            <color rgb="FF000000"/>
            <rFont val="Tahoma"/>
            <family val="2"/>
          </rPr>
          <t>Tyreek 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1" authorId="0" shapeId="0" xr:uid="{82FF0571-8A6F-4D45-9B2D-3C3F49DFEF0A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E162" authorId="0" shapeId="0" xr:uid="{6CEA27BF-9154-554B-A285-A5A0496A2EF5}">
      <text>
        <r>
          <rPr>
            <b/>
            <sz val="10"/>
            <color rgb="FF000000"/>
            <rFont val="Tahoma"/>
            <family val="2"/>
          </rPr>
          <t>Tyrell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2" authorId="0" shapeId="0" xr:uid="{B48C2B16-C6C0-C346-B78D-3451FBAB2E8C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4" authorId="0" shapeId="0" xr:uid="{78C67EBB-3E6F-7847-BB41-6757D18D443C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F164" authorId="0" shapeId="0" xr:uid="{FD962CCB-F72D-7449-BBFD-E3FD858BB527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5" authorId="0" shapeId="0" xr:uid="{F6176E82-1C96-0A41-A997-AD2AB3366A8D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6" authorId="0" shapeId="0" xr:uid="{D910A082-CA9C-A94E-A057-1D196859E603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66" authorId="0" shapeId="0" xr:uid="{0FF2BF31-7867-5F4C-9DD6-9FE3B5840230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7" authorId="0" shapeId="0" xr:uid="{DAF2D2EE-8313-8C44-98E7-213C5C13C889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167" authorId="0" shapeId="0" xr:uid="{B7223167-A3F5-E245-BC57-57AEBF6F3198}">
      <text>
        <r>
          <rPr>
            <b/>
            <sz val="10"/>
            <color rgb="FF000000"/>
            <rFont val="Tahoma"/>
            <family val="2"/>
          </rPr>
          <t>Latimer - 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8" authorId="0" shapeId="0" xr:uid="{95E86D48-6D2B-1046-9837-3208821DD84F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8" authorId="0" shapeId="0" xr:uid="{BE568A2D-D3E6-274D-BD2F-28B23B48989C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9" authorId="0" shapeId="0" xr:uid="{6613AD10-172D-8D40-BEC2-7A4D36121A13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69" authorId="0" shapeId="0" xr:uid="{729A2C54-D758-244F-AB35-3964FECD8804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F170" authorId="0" shapeId="0" xr:uid="{355D46F0-6AD1-3B44-A977-500BCDA47E84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G170" authorId="0" shapeId="0" xr:uid="{D58537CC-F9A5-6C4F-A4B3-0349221FCDD1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1" authorId="0" shapeId="0" xr:uid="{5E06078B-A927-B34D-9097-7A4038AFB7AE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171" authorId="0" shapeId="0" xr:uid="{96831BA4-2A4A-F047-80A3-F9E602771BFE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F172" authorId="0" shapeId="0" xr:uid="{2FDDA034-CEC5-C640-A831-CA87793B72EA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E174" authorId="0" shapeId="0" xr:uid="{1BC2DDE9-B6CC-FD49-8C08-4ACDA92C2B55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F174" authorId="0" shapeId="0" xr:uid="{E2AED5D3-EA34-9E48-A0E1-86D58FCADBAA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G174" authorId="0" shapeId="0" xr:uid="{0E80ECE0-983C-8D4E-9375-59B9C7792B8B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5" authorId="0" shapeId="0" xr:uid="{507BF3D1-0D9A-D542-82A4-69F15BCEC6A2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175" authorId="0" shapeId="0" xr:uid="{D3430201-6AD0-064A-B699-4C38F1551A2C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E176" authorId="0" shapeId="0" xr:uid="{7200BE86-C25D-C54E-BFF5-04FB668A70D2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6" authorId="0" shapeId="0" xr:uid="{5FB2A698-3D0E-124E-A91F-6D156235AB58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7" authorId="0" shapeId="0" xr:uid="{4DC31763-1750-CE48-A559-342F555E29D2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7" authorId="0" shapeId="0" xr:uid="{F7BDBC88-F8F7-A74F-B8C8-EDB88D8426B4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77" authorId="0" shapeId="0" xr:uid="{22244668-E31D-2E44-9E15-B94A7B4E7226}">
      <text>
        <r>
          <rPr>
            <b/>
            <sz val="10"/>
            <color rgb="FF000000"/>
            <rFont val="Tahoma"/>
            <family val="2"/>
          </rPr>
          <t>Gage - Sanu traded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8" authorId="0" shapeId="0" xr:uid="{42283ED4-681A-2B45-9451-050C4C1DBA2E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182" authorId="0" shapeId="0" xr:uid="{11A6C4FF-5BE1-844A-AB50-628EB0E06007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87" authorId="0" shapeId="0" xr:uid="{7435F4FA-495D-1A4F-835E-414E3BC28586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87" authorId="0" shapeId="0" xr:uid="{C6CE76C7-79F2-964B-99FD-80C536CEEEC1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1" authorId="0" shapeId="0" xr:uid="{2FFFA525-5436-B046-A2FE-AAB6D2BC36B7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191" authorId="0" shapeId="0" xr:uid="{CB20FE10-54ED-1F4C-879B-DF35074A2DE4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191" authorId="0" shapeId="0" xr:uid="{E9DA7333-BAAB-2E4A-AA27-6FF4D82FB122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192" authorId="0" shapeId="0" xr:uid="{7E940058-877B-8542-BE87-CE1138181FE9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2" authorId="0" shapeId="0" xr:uid="{30C090F5-A5E0-ED47-A821-6A3E277C4645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92" authorId="0" shapeId="0" xr:uid="{6F5ACD14-85B9-4A49-A61D-F301E1493981}">
      <text>
        <r>
          <rPr>
            <b/>
            <sz val="10"/>
            <color rgb="FF000000"/>
            <rFont val="Tahoma"/>
            <family val="2"/>
          </rPr>
          <t>Jakeem Grant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3" authorId="0" shapeId="0" xr:uid="{D7B1E03A-BFA9-CC4C-9FC0-64913E1FFF72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5" authorId="0" shapeId="0" xr:uid="{824423AD-73D2-304B-B00E-704D5AEC1D75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F195" authorId="0" shapeId="0" xr:uid="{1877EE00-D00F-C447-B734-0D9061740708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6" authorId="0" shapeId="0" xr:uid="{1EE876CC-0F9E-7042-BD7F-655F21E40780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6" authorId="0" shapeId="0" xr:uid="{72C5BE9A-D8CD-5446-9229-26A918887357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96" authorId="0" shapeId="0" xr:uid="{65B4AD2D-59E6-104A-AE2B-FE6DF84DE71A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7" authorId="0" shapeId="0" xr:uid="{EA83CC9B-BBAE-5547-B4D0-5CC9B38BF830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G197" authorId="0" shapeId="0" xr:uid="{77EB63A5-37EC-D447-8D1F-DE635A5486C6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8" authorId="0" shapeId="0" xr:uid="{38EFAA92-618B-6242-ACFB-574E703E3D77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201" authorId="0" shapeId="0" xr:uid="{A9034045-AA60-2448-B630-40BD584A5247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F201" authorId="0" shapeId="0" xr:uid="{2DEA14C9-F108-774F-93F4-25A3DE252BED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G201" authorId="0" shapeId="0" xr:uid="{5BA66C58-24AC-DC43-9470-A9D234E02011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02" authorId="0" shapeId="0" xr:uid="{A9B31953-B93B-F64B-9C3D-5450E21E8BC5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02" authorId="0" shapeId="0" xr:uid="{438D4239-7707-5C43-9CCA-D0DC8032B1CB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08" authorId="0" shapeId="0" xr:uid="{5C0FB31C-3F22-FF4C-8841-EB62DC8BE3CA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14" authorId="0" shapeId="0" xr:uid="{4C648C55-8229-984E-A5E0-A826154F58BC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4" authorId="0" shapeId="0" xr:uid="{43A94651-321B-2441-8FB1-BDEAB8D08FE0}">
      <text>
        <r>
          <rPr>
            <b/>
            <sz val="10"/>
            <color rgb="FF000000"/>
            <rFont val="Tahoma"/>
            <family val="2"/>
          </rPr>
          <t>Marcus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14" authorId="0" shapeId="0" xr:uid="{28EF8E06-8430-5843-A602-B92FDEFF2C4B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5" authorId="0" shapeId="0" xr:uid="{0372382C-DFE9-A84A-AB51-5D0F697B53F8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E216" authorId="0" shapeId="0" xr:uid="{CAA11C10-042C-784D-8A1D-965F54E35438}">
      <text>
        <r>
          <rPr>
            <b/>
            <sz val="10"/>
            <color rgb="FF000000"/>
            <rFont val="Tahoma"/>
            <family val="2"/>
          </rPr>
          <t>Watkins - Tyreek injured 1st drive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6" authorId="0" shapeId="0" xr:uid="{09204104-7690-E84D-93E9-76DD270580E7}">
      <text>
        <r>
          <rPr>
            <b/>
            <sz val="10"/>
            <color rgb="FF000000"/>
            <rFont val="Tahoma"/>
            <family val="2"/>
          </rPr>
          <t>Hardman - Tyreek injured 1st drive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19" authorId="0" shapeId="0" xr:uid="{C93C7854-C91F-EA4E-BDA9-38C3AF1424C9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19" authorId="0" shapeId="0" xr:uid="{3D4D74B1-54CF-5843-8A82-810DD511E544}">
      <text>
        <r>
          <rPr>
            <b/>
            <sz val="10"/>
            <color rgb="FF000000"/>
            <rFont val="Tahoma"/>
            <family val="2"/>
          </rPr>
          <t>Josh Reynolds - Cooks and Woods out</t>
        </r>
      </text>
    </comment>
    <comment ref="E220" authorId="0" shapeId="0" xr:uid="{13D9C33B-4BCC-4D47-B003-7543E60DF88F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0" authorId="0" shapeId="0" xr:uid="{36ECEC2F-45C0-4F49-A53C-AC9CD39E099A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20" authorId="0" shapeId="0" xr:uid="{688C8912-5A01-9941-BDBD-094AD0BA8516}">
      <text>
        <r>
          <rPr>
            <b/>
            <sz val="10"/>
            <color rgb="FF000000"/>
            <rFont val="Tahoma"/>
            <family val="2"/>
          </rPr>
          <t>Jakeem Grant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1" authorId="0" shapeId="0" xr:uid="{19D2AAB3-9F34-5C4E-8291-CD36B122A03C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2" authorId="0" shapeId="0" xr:uid="{47BFC1F6-BCAE-E84D-89B2-5D5434786B07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22" authorId="0" shapeId="0" xr:uid="{2D910529-8A6F-FE4F-92D1-4FB83ECCF14A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4" authorId="0" shapeId="0" xr:uid="{DDD7424F-380B-0244-9771-98D86C3D1689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4" authorId="0" shapeId="0" xr:uid="{BCBB1951-2A77-9A49-9ACD-3F0536D32A5F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224" authorId="0" shapeId="0" xr:uid="{1214182A-4AFF-F44A-8B26-5B7301470508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5" authorId="0" shapeId="0" xr:uid="{134EB6E0-8112-8C44-910B-50CF6FA6BD89}">
      <text>
        <r>
          <rPr>
            <b/>
            <sz val="10"/>
            <color rgb="FF000000"/>
            <rFont val="Tahoma"/>
            <family val="2"/>
          </rPr>
          <t>Agholor -- Alshon and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6" authorId="0" shapeId="0" xr:uid="{E4E14780-259C-A345-A680-DF90A480BAB5}">
      <text>
        <r>
          <rPr>
            <b/>
            <sz val="10"/>
            <color rgb="FF000000"/>
            <rFont val="Tahoma"/>
            <family val="2"/>
          </rPr>
          <t>JuJu injured in 1st half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27" authorId="0" shapeId="0" xr:uid="{D68089D6-C2BF-0A4D-B0A0-AF7046E85C15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229" authorId="0" shapeId="0" xr:uid="{E1B36540-8FCA-1042-A833-D54D2C786592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F235" authorId="0" shapeId="0" xr:uid="{DFBDA5EB-BC8D-644F-AA3A-9D293DD636AF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1" authorId="0" shapeId="0" xr:uid="{CA0DFB99-5351-D548-BAED-5F7E9DDD77DA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E245" authorId="0" shapeId="0" xr:uid="{69787ACE-CC2A-DF46-A01E-87924F7EE03C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45" authorId="0" shapeId="0" xr:uid="{073675A0-89C0-9D4F-B5B5-7B5C2DC8EC56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245" authorId="0" shapeId="0" xr:uid="{E60B66E3-57D9-D447-8934-82197F7271E0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246" authorId="0" shapeId="0" xr:uid="{E2117178-EFCB-5F42-89DF-03CB8FCE1BE9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6" authorId="0" shapeId="0" xr:uid="{D0CF05ED-C1B8-8145-BFFB-5F7BD746B25F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49" authorId="0" shapeId="0" xr:uid="{028ED327-487E-CF42-BBE8-76E90E1A201C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49" authorId="0" shapeId="0" xr:uid="{FC09C6AD-78D6-A048-909C-B9AA8485C55E}">
      <text>
        <r>
          <rPr>
            <b/>
            <sz val="10"/>
            <color rgb="FF000000"/>
            <rFont val="Tahoma"/>
            <family val="2"/>
          </rPr>
          <t>Tate</t>
        </r>
      </text>
    </comment>
    <comment ref="G249" authorId="0" shapeId="0" xr:uid="{95A67485-AF7D-5F48-AEF0-884216800AB6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50" authorId="0" shapeId="0" xr:uid="{ED89A5F8-D0DE-3541-80BD-6110276013C6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0" authorId="0" shapeId="0" xr:uid="{BAC3FB2F-DE9C-1B41-9A32-68F1B907FB42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52" authorId="0" shapeId="0" xr:uid="{D532D643-F36C-E146-ABF7-0BE75FDB064A}">
      <text>
        <r>
          <rPr>
            <b/>
            <sz val="10"/>
            <color rgb="FF000000"/>
            <rFont val="Tahoma"/>
            <family val="2"/>
          </rPr>
          <t>James Washington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2" authorId="0" shapeId="0" xr:uid="{241A0E94-873A-EE45-B1BD-FDE7AC6F55AC}">
      <text>
        <r>
          <rPr>
            <b/>
            <sz val="10"/>
            <color rgb="FF000000"/>
            <rFont val="Tahoma"/>
            <family val="2"/>
          </rPr>
          <t>Diontae Johnson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53" authorId="0" shapeId="0" xr:uid="{E4FC2552-8413-524E-81F1-790A348D3D7C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253" authorId="0" shapeId="0" xr:uid="{8C0A3497-CE7F-7C43-B497-81FF09B91575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256" authorId="0" shapeId="0" xr:uid="{4C001330-D73B-BE4D-99D8-85FE4C3F1EFD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F256" authorId="0" shapeId="0" xr:uid="{49A5D7B3-B359-2D44-84A2-7CFE7B94C9D0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G256" authorId="0" shapeId="0" xr:uid="{3394607E-BC83-2546-9293-5A9CBBC180EA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258" authorId="0" shapeId="0" xr:uid="{85B7F4C9-DD27-884F-9F5B-80E76D58EB25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8" authorId="0" shapeId="0" xr:uid="{E2C0DEB9-EF62-484C-AB64-60AF770F4C71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64" authorId="0" shapeId="0" xr:uid="{13BB23AC-E73B-1042-9C25-257A2FA5F697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71" authorId="0" shapeId="0" xr:uid="{D232B488-C2F1-5A40-85FB-C4ABF001A5B7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71" authorId="0" shapeId="0" xr:uid="{C8DB8544-8928-A645-A376-DFA6F62702DB}">
      <text>
        <r>
          <rPr>
            <b/>
            <sz val="10"/>
            <color rgb="FF000000"/>
            <rFont val="Tahoma"/>
            <family val="2"/>
          </rPr>
          <t>Marcus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76" authorId="0" shapeId="0" xr:uid="{C91B0104-C056-AF4F-A37E-2C557873AF7E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F276" authorId="0" shapeId="0" xr:uid="{66EDD7B9-CB02-6F4B-8738-80CB2895ACE7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G276" authorId="0" shapeId="0" xr:uid="{2FD8A996-3196-E143-A56C-A8923A5B4F74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278" authorId="0" shapeId="0" xr:uid="{55DA9C62-B1A0-8042-B5B9-0548BCDDF2A6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1" authorId="0" shapeId="0" xr:uid="{69AB35BB-D71B-3147-A909-8621D97E1810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2" authorId="0" shapeId="0" xr:uid="{162ED99E-5522-0440-8BE6-CE8F5D1D6CC1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82" authorId="0" shapeId="0" xr:uid="{644F854C-F84A-7048-9F58-CFB72F6B0104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3" authorId="0" shapeId="0" xr:uid="{34F10306-03BE-A442-B4EE-76CD9A49707D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4" authorId="0" shapeId="0" xr:uid="{932158DE-9375-0F44-B009-0F56337B6A0C}">
      <text>
        <r>
          <rPr>
            <b/>
            <sz val="10"/>
            <color rgb="FF000000"/>
            <rFont val="Tahoma"/>
            <family val="2"/>
          </rPr>
          <t>James Washington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84" authorId="0" shapeId="0" xr:uid="{1F0B71CC-9F46-D449-AA32-E88BB207D79E}">
      <text>
        <r>
          <rPr>
            <b/>
            <sz val="10"/>
            <color rgb="FF000000"/>
            <rFont val="Tahoma"/>
            <family val="2"/>
          </rPr>
          <t>Diontae Johnson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5" authorId="0" shapeId="0" xr:uid="{46792464-FD98-D440-B870-548949F56747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F285" authorId="0" shapeId="0" xr:uid="{2D41005C-3C0E-634B-A5A3-48DE4E83DE27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288" authorId="0" shapeId="0" xr:uid="{021A2E39-26CD-0240-9FCA-A846383B5590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F288" authorId="0" shapeId="0" xr:uid="{5623DDD4-F1D6-3342-AAA2-B28E89D46C2B}">
      <text>
        <r>
          <rPr>
            <b/>
            <sz val="10"/>
            <color rgb="FF000000"/>
            <rFont val="Tahoma"/>
            <family val="2"/>
          </rPr>
          <t>Corey Davis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K1" authorId="0" shapeId="0" xr:uid="{1DC361AB-0FBD-5F4A-8A1A-7BBCE9F9317B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K2" authorId="0" shapeId="0" xr:uid="{EBB91C91-8146-7143-86D8-071761486137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J1" authorId="0" shapeId="0" xr:uid="{C49F4BC9-C90C-804E-A9A1-959DBEA1A2CD}">
      <text>
        <r>
          <rPr>
            <b/>
            <sz val="10"/>
            <color rgb="FF000000"/>
            <rFont val="Tahoma"/>
            <family val="2"/>
          </rPr>
          <t>1) tot WR afa &gt;= 1.0 or 2) WR total yards afa &gt;= 2.0 yards</t>
        </r>
      </text>
    </comment>
    <comment ref="K1" authorId="0" shapeId="0" xr:uid="{6950E7CC-D1C4-6341-9A0F-0BB86F00E469}">
      <text>
        <r>
          <rPr>
            <b/>
            <sz val="10"/>
            <color rgb="FF000000"/>
            <rFont val="Tahoma"/>
            <family val="2"/>
          </rPr>
          <t>Both Defenses &gt;= 0.1 afa for all postitions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" authorId="0" shapeId="0" xr:uid="{A4F00051-865E-8042-8870-4AB9087DC9D4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L2" authorId="0" shapeId="0" xr:uid="{4D86C33D-3166-1E44-A02A-7A8457422D67}">
      <text>
        <r>
          <rPr>
            <b/>
            <sz val="10"/>
            <color rgb="FF000000"/>
            <rFont val="Tahoma"/>
            <family val="2"/>
          </rPr>
          <t>Fitz</t>
        </r>
      </text>
    </comment>
    <comment ref="O2" authorId="0" shapeId="0" xr:uid="{D6602E54-D50E-A744-92E4-B6FF4B1FDDBC}">
      <text>
        <r>
          <rPr>
            <b/>
            <sz val="10"/>
            <color rgb="FF000000"/>
            <rFont val="Tahoma"/>
            <family val="2"/>
          </rPr>
          <t>Kirk</t>
        </r>
      </text>
    </comment>
    <comment ref="R2" authorId="0" shapeId="0" xr:uid="{5BB9E9F1-CC07-1B42-B68B-E640072CAFD6}">
      <text>
        <r>
          <rPr>
            <b/>
            <sz val="10"/>
            <color rgb="FF000000"/>
            <rFont val="Tahoma"/>
            <family val="2"/>
          </rPr>
          <t>Keesean Johnson</t>
        </r>
      </text>
    </comment>
    <comment ref="I4" authorId="0" shapeId="0" xr:uid="{F88D1A4D-B8B4-8F48-8FB5-39316E8E188B}">
      <text>
        <r>
          <rPr>
            <b/>
            <sz val="10"/>
            <color rgb="FF000000"/>
            <rFont val="Tahoma"/>
            <family val="2"/>
          </rPr>
          <t>Gus Edwards</t>
        </r>
      </text>
    </comment>
    <comment ref="L4" authorId="0" shapeId="0" xr:uid="{1F8CA608-A310-B346-AE98-A6A25210780C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O4" authorId="0" shapeId="0" xr:uid="{6FCDA55C-E3E3-0745-AF33-7DDB02408E68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R4" authorId="0" shapeId="0" xr:uid="{09AFCF5E-8630-3040-AEC7-9910DD7444C1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5" authorId="0" shapeId="0" xr:uid="{E35F49F0-80F4-B04D-A63F-09DBA0206F0B}">
      <text>
        <r>
          <rPr>
            <b/>
            <sz val="10"/>
            <color rgb="FF000000"/>
            <rFont val="Tahoma"/>
            <family val="2"/>
          </rPr>
          <t>Singletary</t>
        </r>
      </text>
    </comment>
    <comment ref="I5" authorId="0" shapeId="0" xr:uid="{9C5FEF63-F710-4D44-B03D-818E7ED3DF47}">
      <text>
        <r>
          <rPr>
            <b/>
            <sz val="10"/>
            <color rgb="FF000000"/>
            <rFont val="Tahoma"/>
            <family val="2"/>
          </rPr>
          <t>Gore</t>
        </r>
      </text>
    </comment>
    <comment ref="O5" authorId="0" shapeId="0" xr:uid="{8B73B6B4-DFF8-4840-AD02-B31BFF2B51B9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" authorId="0" shapeId="0" xr:uid="{F89F5194-5B4C-D94C-B2A3-07BA8CEE2671}">
      <text>
        <r>
          <rPr>
            <b/>
            <sz val="10"/>
            <color rgb="FF000000"/>
            <rFont val="Tahoma"/>
            <family val="2"/>
          </rPr>
          <t>Zay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X5" authorId="0" shapeId="0" xr:uid="{9E22A6FF-AE1B-FD44-A631-0ECD6010448E}">
      <text>
        <r>
          <rPr>
            <b/>
            <sz val="10"/>
            <color rgb="FF000000"/>
            <rFont val="Tahoma"/>
            <family val="2"/>
          </rPr>
          <t xml:space="preserve">Kroft out </t>
        </r>
      </text>
    </comment>
    <comment ref="F7" authorId="0" shapeId="0" xr:uid="{6CF4F946-E977-3945-809C-E9D0CD12F439}">
      <text>
        <r>
          <rPr>
            <b/>
            <sz val="10"/>
            <color rgb="FF000000"/>
            <rFont val="Tahoma"/>
            <family val="2"/>
          </rPr>
          <t>David Montgomery</t>
        </r>
      </text>
    </comment>
    <comment ref="I7" authorId="0" shapeId="0" xr:uid="{D4024E16-BB17-7E4C-9520-6EA254C51F57}">
      <text>
        <r>
          <rPr>
            <b/>
            <sz val="10"/>
            <color rgb="FF000000"/>
            <rFont val="Tahoma"/>
            <family val="2"/>
          </rPr>
          <t>Cohen</t>
        </r>
      </text>
    </comment>
    <comment ref="O10" authorId="0" shapeId="0" xr:uid="{76B54B5B-EF75-E842-8222-8292691313E1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0" authorId="0" shapeId="0" xr:uid="{7802073D-0CA0-6F43-868E-79A68FC07FC6}">
      <text>
        <r>
          <rPr>
            <b/>
            <sz val="10"/>
            <color rgb="FF000000"/>
            <rFont val="Tahoma"/>
            <family val="2"/>
          </rPr>
          <t>Cobb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2" authorId="0" shapeId="0" xr:uid="{E2E3A01F-180B-DB46-88FE-B2388627EAD4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12" authorId="0" shapeId="0" xr:uid="{CFEBED50-3DCF-5E46-A7EC-87A009B3516E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O13" authorId="0" shapeId="0" xr:uid="{DC66DB67-149B-6747-9058-1ED6F5ECBAAB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R13" authorId="0" shapeId="0" xr:uid="{25D0648A-8F31-084E-9466-BC35942251BD}">
      <text>
        <r>
          <rPr>
            <b/>
            <sz val="10"/>
            <color rgb="FF000000"/>
            <rFont val="Tahoma"/>
            <family val="2"/>
          </rPr>
          <t>Allison</t>
        </r>
      </text>
    </comment>
    <comment ref="F14" authorId="0" shapeId="0" xr:uid="{4D98665D-0BBB-5746-830E-3E76E698C3B4}">
      <text>
        <r>
          <rPr>
            <b/>
            <sz val="10"/>
            <color rgb="FF000000"/>
            <rFont val="Tahoma"/>
            <family val="2"/>
          </rPr>
          <t>Hyde</t>
        </r>
      </text>
    </comment>
    <comment ref="I14" authorId="0" shapeId="0" xr:uid="{979C4813-2075-8649-9343-6F1AE347E558}">
      <text>
        <r>
          <rPr>
            <b/>
            <sz val="10"/>
            <color rgb="FF000000"/>
            <rFont val="Tahoma"/>
            <family val="2"/>
          </rPr>
          <t>Duke Johnson</t>
        </r>
      </text>
    </comment>
    <comment ref="O14" authorId="0" shapeId="0" xr:uid="{0A7A1C9E-3853-9342-87D5-4DD30DFF939B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R14" authorId="0" shapeId="0" xr:uid="{6E5F8E16-1643-424C-8018-99353FD5DC55}">
      <text>
        <r>
          <rPr>
            <b/>
            <sz val="10"/>
            <color rgb="FF000000"/>
            <rFont val="Tahoma"/>
            <family val="2"/>
          </rPr>
          <t xml:space="preserve">Stills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6" authorId="0" shapeId="0" xr:uid="{1A7A3322-CFEE-F248-AF2B-D9666903E919}">
      <text>
        <r>
          <rPr>
            <b/>
            <sz val="10"/>
            <color rgb="FF000000"/>
            <rFont val="Tahoma"/>
            <family val="2"/>
          </rPr>
          <t>Minshew</t>
        </r>
      </text>
    </comment>
    <comment ref="O16" authorId="0" shapeId="0" xr:uid="{4530CAED-F15D-BE47-9316-13F2A0F97CDE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16" authorId="0" shapeId="0" xr:uid="{FB9813FA-99CC-454B-93DD-BE118DC13E53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L17" authorId="0" shapeId="0" xr:uid="{9318EE83-D73B-4E4F-9E7A-5A012AD60380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O17" authorId="0" shapeId="0" xr:uid="{B912DB30-69C0-5C4D-991E-8DE4BED71863}">
      <text>
        <r>
          <rPr>
            <b/>
            <sz val="10"/>
            <color rgb="FF000000"/>
            <rFont val="Tahoma"/>
            <family val="2"/>
          </rPr>
          <t xml:space="preserve">Hill injured in game
</t>
        </r>
      </text>
    </comment>
    <comment ref="X19" authorId="0" shapeId="0" xr:uid="{C1621F2E-0767-A445-9BCA-9D096052CCAC}">
      <text>
        <r>
          <rPr>
            <b/>
            <sz val="10"/>
            <color rgb="FF000000"/>
            <rFont val="Tahoma"/>
            <family val="2"/>
          </rPr>
          <t>Hunter Henry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0" authorId="0" shapeId="0" xr:uid="{717CF120-4812-AE4F-B5AC-D6E5A38A9313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O20" authorId="0" shapeId="0" xr:uid="{683F2B6B-3A16-3643-BA84-4B0BB7007843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20" authorId="0" shapeId="0" xr:uid="{30C1F000-D800-1240-BC81-DDC1A0B010F9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L21" authorId="0" shapeId="0" xr:uid="{913B2C3F-85A9-E94E-8139-272315E8FB9F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O21" authorId="0" shapeId="0" xr:uid="{1FEF1D24-6162-2C46-80A6-C213E9C1AAC7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1" authorId="0" shapeId="0" xr:uid="{A2797977-47FC-FA40-8149-93CF3638C759}">
      <text>
        <r>
          <rPr>
            <b/>
            <sz val="10"/>
            <color rgb="FF000000"/>
            <rFont val="Tahoma"/>
            <family val="2"/>
          </rPr>
          <t>Albert Wilson</t>
        </r>
      </text>
    </comment>
    <comment ref="L22" authorId="0" shapeId="0" xr:uid="{6B276C86-29FF-CD41-88F2-74A6D4E7EFEF}">
      <text>
        <r>
          <rPr>
            <b/>
            <sz val="10"/>
            <color rgb="FF000000"/>
            <rFont val="Tahoma"/>
            <family val="2"/>
          </rPr>
          <t>Thielen</t>
        </r>
      </text>
    </comment>
    <comment ref="O22" authorId="0" shapeId="0" xr:uid="{E6305151-8BF4-BB43-B635-6DECE6910F1A}">
      <text>
        <r>
          <rPr>
            <b/>
            <sz val="10"/>
            <color rgb="FF000000"/>
            <rFont val="Tahoma"/>
            <family val="2"/>
          </rPr>
          <t>Diggs</t>
        </r>
      </text>
    </comment>
    <comment ref="P22" authorId="0" shapeId="0" xr:uid="{05DBA0DC-D9DD-2D48-95A3-176091676CE2}">
      <text>
        <r>
          <rPr>
            <b/>
            <sz val="10"/>
            <color rgb="FF000000"/>
            <rFont val="Tahoma"/>
            <family val="2"/>
          </rPr>
          <t>Diggs</t>
        </r>
      </text>
    </comment>
    <comment ref="L23" authorId="0" shapeId="0" xr:uid="{9A8074CF-D44D-0E4F-9C85-D4781E215842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4" authorId="0" shapeId="0" xr:uid="{F0BBED5B-7AC7-994B-8B48-3669A9E19891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R24" authorId="0" shapeId="0" xr:uid="{C199CB47-44BE-2342-8AF4-627EA5CB6D80}">
      <text>
        <r>
          <rPr>
            <b/>
            <sz val="10"/>
            <color rgb="FF000000"/>
            <rFont val="Tahoma"/>
            <family val="2"/>
          </rPr>
          <t>Tre'quan Smith</t>
        </r>
      </text>
    </comment>
    <comment ref="L25" authorId="0" shapeId="0" xr:uid="{22CFEDD1-A54F-AD46-BD73-F71C071BE2DF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6" authorId="0" shapeId="0" xr:uid="{EECBA70E-2258-1F49-B0B3-47ACED2D49AF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6" authorId="0" shapeId="0" xr:uid="{EABE2174-F0FF-3D4D-8ED2-46CB2455EE47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8" authorId="0" shapeId="0" xr:uid="{A99E0B70-001D-E542-8292-6334651827FB}">
      <text>
        <r>
          <rPr>
            <b/>
            <sz val="10"/>
            <color rgb="FF000000"/>
            <rFont val="Tahoma"/>
            <family val="2"/>
          </rPr>
          <t>Moncrief</t>
        </r>
      </text>
    </comment>
    <comment ref="R28" authorId="0" shapeId="0" xr:uid="{BE9475C2-C7B8-D94A-9195-432B50EF86DE}">
      <text>
        <r>
          <rPr>
            <b/>
            <sz val="10"/>
            <color rgb="FF000000"/>
            <rFont val="Tahoma"/>
            <family val="2"/>
          </rPr>
          <t>Ryan Switzer</t>
        </r>
      </text>
    </comment>
    <comment ref="F29" authorId="0" shapeId="0" xr:uid="{22F2AF8F-9EC3-764B-8ECA-A03A429401E7}">
      <text>
        <r>
          <rPr>
            <b/>
            <sz val="10"/>
            <color rgb="FF000000"/>
            <rFont val="Tahoma"/>
            <family val="2"/>
          </rPr>
          <t>Coleman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9" authorId="0" shapeId="0" xr:uid="{49CE5C38-7C81-194E-9ADB-13FD28E2D949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O29" authorId="0" shapeId="0" xr:uid="{318EAA36-DF89-574F-BC2D-B5D0759CB158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L30" authorId="0" shapeId="0" xr:uid="{59D3757E-BC4E-DB4B-99F0-00CCF817F345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O30" authorId="0" shapeId="0" xr:uid="{0AFD91DF-CF7B-EF4F-B4A5-FFDE009CB3E7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30" authorId="0" shapeId="0" xr:uid="{BABD6C02-301E-4544-AEB4-BFA2A2F0F5CB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F31" authorId="0" shapeId="0" xr:uid="{76FCAAA3-85EE-0F4A-B6CD-FB8021CA5EC7}">
      <text>
        <r>
          <rPr>
            <b/>
            <sz val="10"/>
            <color rgb="FF000000"/>
            <rFont val="Tahoma"/>
            <family val="2"/>
          </rPr>
          <t>Ronald Jones</t>
        </r>
      </text>
    </comment>
    <comment ref="I31" authorId="0" shapeId="0" xr:uid="{FA61349D-726E-0749-BE84-68AD89546BDA}">
      <text>
        <r>
          <rPr>
            <b/>
            <sz val="10"/>
            <color rgb="FF000000"/>
            <rFont val="Tahoma"/>
            <family val="2"/>
          </rPr>
          <t>Peyton Barber</t>
        </r>
      </text>
    </comment>
    <comment ref="L31" authorId="0" shapeId="0" xr:uid="{C5854C1C-29A7-074F-BE9D-1569CB5D1A8C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L32" authorId="0" shapeId="0" xr:uid="{010A98D5-2FEB-004F-9F1D-4FF71CC1022F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O32" authorId="0" shapeId="0" xr:uid="{0AC8F60C-D793-0B47-800D-1548EE8F0E31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32" authorId="0" shapeId="0" xr:uid="{53BE0E4B-051B-414C-A715-F7BF5F5C79E3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L33" authorId="0" shapeId="0" xr:uid="{A3084C4E-87AB-D24E-8FE0-864D7E7F318F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O33" authorId="0" shapeId="0" xr:uid="{A51AF387-79D8-B744-BF05-A6C36634A7C5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R33" authorId="0" shapeId="0" xr:uid="{C37C8969-759F-454A-A0AD-E3C4E6B08A5E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R34" authorId="0" shapeId="0" xr:uid="{5E76EBC6-1150-E649-A4E2-860E00AB6BDA}">
      <text>
        <r>
          <rPr>
            <b/>
            <sz val="10"/>
            <color rgb="FF000000"/>
            <rFont val="Tahoma"/>
            <family val="2"/>
          </rPr>
          <t>Damiere Byrd</t>
        </r>
      </text>
    </comment>
    <comment ref="L35" authorId="0" shapeId="0" xr:uid="{2F6360FC-9D40-CB42-A9A0-B7373CDA38CE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5" authorId="0" shapeId="0" xr:uid="{C45BDE9D-422A-3D47-A1F2-DA238EF3A847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5" authorId="0" shapeId="0" xr:uid="{9D30B6C1-E742-0340-9AA5-23C4F3824622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6" authorId="0" shapeId="0" xr:uid="{172E0885-7FBE-EA47-A233-991896048958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O36" authorId="0" shapeId="0" xr:uid="{F508DCA9-BFD9-F749-BEF3-D9EBD5770FB8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R36" authorId="0" shapeId="0" xr:uid="{C611F34B-B5D3-0F41-996C-ACAFF0FBC2AF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37" authorId="0" shapeId="0" xr:uid="{8B2AC133-C125-B24D-9DC3-05F5A2D245AA}">
      <text>
        <r>
          <rPr>
            <b/>
            <sz val="10"/>
            <color rgb="FF000000"/>
            <rFont val="Tahoma"/>
            <family val="2"/>
          </rPr>
          <t>Singletary</t>
        </r>
      </text>
    </comment>
    <comment ref="I37" authorId="0" shapeId="0" xr:uid="{23A43F9F-36B3-BE4F-BC1B-F04893E4FBEC}">
      <text>
        <r>
          <rPr>
            <b/>
            <sz val="10"/>
            <color rgb="FF000000"/>
            <rFont val="Tahoma"/>
            <family val="2"/>
          </rPr>
          <t>Gore</t>
        </r>
      </text>
    </comment>
    <comment ref="O37" authorId="0" shapeId="0" xr:uid="{A54E81B5-EAB1-6646-BF74-C50DABBEB14E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7" authorId="0" shapeId="0" xr:uid="{C8001016-6E8C-3540-899F-FDC8169359F5}">
      <text>
        <r>
          <rPr>
            <b/>
            <sz val="10"/>
            <color rgb="FF000000"/>
            <rFont val="Tahoma"/>
            <family val="2"/>
          </rPr>
          <t>Isaiah McKenzie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9" authorId="0" shapeId="0" xr:uid="{8469ABB4-C81A-854D-B950-32BA8155E276}">
      <text>
        <r>
          <rPr>
            <b/>
            <sz val="10"/>
            <color rgb="FF000000"/>
            <rFont val="Tahoma"/>
            <family val="2"/>
          </rPr>
          <t>David Montgomery</t>
        </r>
      </text>
    </comment>
    <comment ref="I39" authorId="0" shapeId="0" xr:uid="{56D96837-1920-4143-8498-305142238C83}">
      <text>
        <r>
          <rPr>
            <b/>
            <sz val="10"/>
            <color rgb="FF000000"/>
            <rFont val="Tahoma"/>
            <family val="2"/>
          </rPr>
          <t>Cohen</t>
        </r>
      </text>
    </comment>
    <comment ref="O39" authorId="0" shapeId="0" xr:uid="{71C69E1B-A20A-3F49-8CCF-6C077E008B83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9" authorId="0" shapeId="0" xr:uid="{EBEAF7CF-B931-A848-B1B6-69099EDFEBFD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X41" authorId="0" shapeId="0" xr:uid="{49F14A9F-6494-3E4C-819D-D73312E942E1}">
      <text>
        <r>
          <rPr>
            <b/>
            <sz val="10"/>
            <color rgb="FF000000"/>
            <rFont val="Tahoma"/>
            <family val="2"/>
          </rPr>
          <t>Njoku injured in 1st half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42" authorId="0" shapeId="0" xr:uid="{F97DAC1E-AA2F-5941-86E8-0E69A6FDEE4B}">
      <text>
        <r>
          <rPr>
            <b/>
            <sz val="10"/>
            <color rgb="FF000000"/>
            <rFont val="Tahoma"/>
            <family val="2"/>
          </rPr>
          <t xml:space="preserve">Cobb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44" authorId="0" shapeId="0" xr:uid="{9B6C87D8-8341-3744-B95D-ED1C865062A2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44" authorId="0" shapeId="0" xr:uid="{FE89F715-13D3-9149-9FF1-769434B4B8DC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O45" authorId="0" shapeId="0" xr:uid="{752D84C7-2098-0D4C-9334-12BF4E22BA3C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O46" authorId="0" shapeId="0" xr:uid="{A2DB142E-665A-7C45-8D44-0F2C5194100F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R46" authorId="0" shapeId="0" xr:uid="{02AFF506-2AED-5648-8DA5-912DE595E053}">
      <text>
        <r>
          <rPr>
            <b/>
            <sz val="10"/>
            <color rgb="FF000000"/>
            <rFont val="Tahoma"/>
            <family val="2"/>
          </rPr>
          <t xml:space="preserve">Stills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48" authorId="0" shapeId="0" xr:uid="{2C9CC72B-CD38-F342-9640-6591DEFBC102}">
      <text>
        <r>
          <rPr>
            <b/>
            <sz val="10"/>
            <color rgb="FF000000"/>
            <rFont val="Tahoma"/>
            <family val="2"/>
          </rPr>
          <t>Minshew</t>
        </r>
      </text>
    </comment>
    <comment ref="O48" authorId="0" shapeId="0" xr:uid="{B43A448D-5F3F-5C44-BE86-8109B2737C8B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48" authorId="0" shapeId="0" xr:uid="{E9336E28-FA93-314B-A5E2-D7064A19A0ED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L49" authorId="0" shapeId="0" xr:uid="{AD84F1A4-A707-6B47-AED0-A00D8F13640E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O49" authorId="0" shapeId="0" xr:uid="{14FEC307-3057-3944-ABC6-C5C4C849B801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R49" authorId="0" shapeId="0" xr:uid="{B4801FCF-CF83-6146-B0A5-6C7B2E56BC9E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50" authorId="0" shapeId="0" xr:uid="{8FDC70ED-F432-BD43-93A1-C97934992986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0" authorId="0" shapeId="0" xr:uid="{E51DE66B-BF66-F94D-A9A4-4FBAE311C86B}">
      <text>
        <r>
          <rPr>
            <b/>
            <sz val="10"/>
            <color rgb="FF000000"/>
            <rFont val="Tahoma"/>
            <family val="2"/>
          </rPr>
          <t>Ryan Grant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52" authorId="0" shapeId="0" xr:uid="{422752B0-ADB7-FE40-A15D-0EC5CFCAEFB7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O52" authorId="0" shapeId="0" xr:uid="{757DA3A4-C48F-E94D-835B-EDD5EF9AB1CD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52" authorId="0" shapeId="0" xr:uid="{3D94D7B1-3D1A-4746-8E95-76B155FD3636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L53" authorId="0" shapeId="0" xr:uid="{9C0D1B80-8F81-A54C-8332-C4DFFC589FF9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O53" authorId="0" shapeId="0" xr:uid="{CAD710F6-23A9-6B4E-924D-5E3D9BF2A915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3" authorId="0" shapeId="0" xr:uid="{0D960C75-8CA7-134F-AD73-F30A7AC6E182}">
      <text>
        <r>
          <rPr>
            <b/>
            <sz val="10"/>
            <color rgb="FF000000"/>
            <rFont val="Tahoma"/>
            <family val="2"/>
          </rPr>
          <t>Jakeem Grant</t>
        </r>
      </text>
    </comment>
    <comment ref="L54" authorId="0" shapeId="0" xr:uid="{ECE85DDC-BEBF-6843-8C3A-0956FBF6E3BA}">
      <text>
        <r>
          <rPr>
            <b/>
            <sz val="10"/>
            <color rgb="FF000000"/>
            <rFont val="Tahoma"/>
            <family val="2"/>
          </rPr>
          <t>Thielen</t>
        </r>
      </text>
    </comment>
    <comment ref="O54" authorId="0" shapeId="0" xr:uid="{B98A6524-CBF6-A44F-BAA4-1CB4A00B3ED2}">
      <text>
        <r>
          <rPr>
            <b/>
            <sz val="10"/>
            <color rgb="FF000000"/>
            <rFont val="Tahoma"/>
            <family val="2"/>
          </rPr>
          <t>Diggs</t>
        </r>
      </text>
    </comment>
    <comment ref="L55" authorId="0" shapeId="0" xr:uid="{B05DC2DD-92E8-D342-AB88-2CF2C5EC3C62}">
      <text>
        <r>
          <rPr>
            <b/>
            <sz val="10"/>
            <color rgb="FF000000"/>
            <rFont val="Tahoma"/>
            <family val="2"/>
          </rPr>
          <t>AB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55" authorId="0" shapeId="0" xr:uid="{31F5B0C7-8024-4A40-8A5E-1318ED5CA406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5" authorId="0" shapeId="0" xr:uid="{E8EAE7DA-8F57-F542-8900-EC800D6559B3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E56" authorId="0" shapeId="0" xr:uid="{F58FAFC4-3CA7-8A4B-87F5-5F83A8E5B224}">
      <text>
        <r>
          <rPr>
            <b/>
            <sz val="10"/>
            <color rgb="FF000000"/>
            <rFont val="Tahoma"/>
            <family val="2"/>
          </rPr>
          <t>Brees injured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56" authorId="0" shapeId="0" xr:uid="{9F148462-CDA2-7A49-A005-9DEFD6B26469}">
      <text>
        <r>
          <rPr>
            <b/>
            <sz val="10"/>
            <color rgb="FF000000"/>
            <rFont val="Tahoma"/>
            <family val="2"/>
          </rPr>
          <t>Tre'quan Smith</t>
        </r>
      </text>
    </comment>
    <comment ref="R56" authorId="0" shapeId="0" xr:uid="{A3BFB31C-89B4-CE44-99E6-A00261DFE919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L57" authorId="0" shapeId="0" xr:uid="{A251519B-1FB5-3C40-868D-2C7E7C8320B1}">
      <text>
        <r>
          <rPr>
            <sz val="10"/>
            <color rgb="FF000000"/>
            <rFont val="Tahoma"/>
            <family val="2"/>
          </rPr>
          <t>Fowler</t>
        </r>
      </text>
    </comment>
    <comment ref="O57" authorId="0" shapeId="0" xr:uid="{4BEB0CF3-5707-1E45-9756-FB1BDCB427E8}">
      <text>
        <r>
          <rPr>
            <b/>
            <sz val="10"/>
            <color rgb="FF000000"/>
            <rFont val="Tahoma"/>
            <family val="2"/>
          </rPr>
          <t>Latimer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7" authorId="0" shapeId="0" xr:uid="{CE62F89C-DEC3-C244-B032-3CD8C3B7D257}">
      <text>
        <r>
          <rPr>
            <b/>
            <sz val="10"/>
            <color rgb="FF000000"/>
            <rFont val="Tahoma"/>
            <family val="2"/>
          </rPr>
          <t>TJ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58" authorId="0" shapeId="0" xr:uid="{B409E292-660D-1744-96C1-44E26B4A4491}">
      <text>
        <r>
          <rPr>
            <b/>
            <sz val="10"/>
            <color rgb="FF000000"/>
            <rFont val="Tahoma"/>
            <family val="2"/>
          </rPr>
          <t xml:space="preserve">Darnold mono -- Siemian - injured in game - 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58" authorId="0" shapeId="0" xr:uid="{FEABFBBF-15E9-3140-8FBD-8A312F7B87FD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58" authorId="0" shapeId="0" xr:uid="{1CE3815A-F997-FE41-97D1-500417E9D6DB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59" authorId="0" shapeId="0" xr:uid="{77C5CAA7-07DE-834A-B278-4BADD73DC7E1}">
      <text>
        <r>
          <rPr>
            <b/>
            <sz val="10"/>
            <color rgb="FF000000"/>
            <rFont val="Tahoma"/>
            <family val="2"/>
          </rPr>
          <t>Miles Sanders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59" authorId="0" shapeId="0" xr:uid="{C0819B13-D0A3-764D-8870-A7BFD63B3616}">
      <text>
        <r>
          <rPr>
            <b/>
            <sz val="10"/>
            <color rgb="FF000000"/>
            <rFont val="Tahoma"/>
            <family val="2"/>
          </rPr>
          <t>Sproles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59" authorId="0" shapeId="0" xr:uid="{54818936-B25B-8C4C-A58C-0CFEF81FE5E2}">
      <text>
        <r>
          <rPr>
            <b/>
            <sz val="10"/>
            <color rgb="FF000000"/>
            <rFont val="Tahoma"/>
            <family val="2"/>
          </rPr>
          <t>Agholor -- Alshon and DJax injured in 1st quarter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59" authorId="0" shapeId="0" xr:uid="{67FD877D-F647-084F-9D6A-3B76AB9101CB}">
      <text>
        <r>
          <rPr>
            <b/>
            <sz val="10"/>
            <color rgb="FF000000"/>
            <rFont val="Tahoma"/>
            <family val="2"/>
          </rPr>
          <t>Hollins -- Alshon and DJax injured in 1st quarter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59" authorId="0" shapeId="0" xr:uid="{28511A20-5C90-6347-8707-CB4F06C25C50}">
      <text>
        <r>
          <rPr>
            <b/>
            <sz val="10"/>
            <color rgb="FF000000"/>
            <rFont val="Tahoma"/>
            <family val="2"/>
          </rPr>
          <t>JJ Arcega-Whiteside -- Alshon and DJax injured in 1st quarter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S59" authorId="0" shapeId="0" xr:uid="{748B9E84-FDD4-8143-85D2-BAE1ED005846}">
      <text>
        <r>
          <rPr>
            <b/>
            <sz val="10"/>
            <color rgb="FF000000"/>
            <rFont val="Tahoma"/>
            <family val="2"/>
          </rPr>
          <t>Agholor -- Alshon and DJax injured in 1st quarter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60" authorId="0" shapeId="0" xr:uid="{38819ABF-D538-D442-AF9B-7D35A7DD58EC}">
      <text>
        <r>
          <rPr>
            <b/>
            <sz val="10"/>
            <color rgb="FF000000"/>
            <rFont val="Tahoma"/>
            <family val="2"/>
          </rPr>
          <t>Big Ben injured in 2nd quarter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60" authorId="0" shapeId="0" xr:uid="{484295CB-1E96-D341-BA3A-DBA127E7F85C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R60" authorId="0" shapeId="0" xr:uid="{F7EE3F38-E8EB-224B-9572-88266490CABD}">
      <text>
        <r>
          <rPr>
            <b/>
            <sz val="10"/>
            <color rgb="FF000000"/>
            <rFont val="Tahoma"/>
            <family val="2"/>
          </rPr>
          <t>Ryan Switzer</t>
        </r>
      </text>
    </comment>
    <comment ref="L61" authorId="0" shapeId="0" xr:uid="{32AC4419-EDBB-D243-85B6-83EB3DDD1CC3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O61" authorId="0" shapeId="0" xr:uid="{B1750E40-4F59-B249-875B-32379D8C329E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L62" authorId="0" shapeId="0" xr:uid="{3B3379A3-1CA5-2E49-96FD-C94734344ABB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O62" authorId="0" shapeId="0" xr:uid="{00C26DE6-F9C8-A44A-8E77-F0581AC4720C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62" authorId="0" shapeId="0" xr:uid="{00259707-2238-DF42-92C4-04560E7B3599}">
      <text>
        <r>
          <rPr>
            <b/>
            <sz val="10"/>
            <color rgb="FF000000"/>
            <rFont val="Tahoma"/>
            <family val="2"/>
          </rPr>
          <t>Malik Turner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63" authorId="0" shapeId="0" xr:uid="{40BFC9AF-EAF9-9147-8598-78A43BEF5612}">
      <text>
        <r>
          <rPr>
            <b/>
            <sz val="10"/>
            <color rgb="FF000000"/>
            <rFont val="Tahoma"/>
            <family val="2"/>
          </rPr>
          <t>Peyton Barber</t>
        </r>
      </text>
    </comment>
    <comment ref="I63" authorId="0" shapeId="0" xr:uid="{5DAABEDD-CBF2-054D-B90A-391A25C97AE2}">
      <text>
        <r>
          <rPr>
            <b/>
            <sz val="10"/>
            <color rgb="FF000000"/>
            <rFont val="Tahoma"/>
            <family val="2"/>
          </rPr>
          <t>Ronald Jones</t>
        </r>
      </text>
    </comment>
    <comment ref="L63" authorId="0" shapeId="0" xr:uid="{56503B3F-D8E4-224A-9FEE-3C0170A13E1C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L64" authorId="0" shapeId="0" xr:uid="{0C9EFC2B-C20F-8C47-BB73-F0FA50CE3F79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O64" authorId="0" shapeId="0" xr:uid="{992B5236-FC4A-8B46-9E34-26F2C2987B6C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64" authorId="0" shapeId="0" xr:uid="{4736A0EE-ADE9-D842-A5C0-1AD1903EAA96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L65" authorId="0" shapeId="0" xr:uid="{7D644CAB-57CE-3C43-8F04-D933FC4B65BF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O65" authorId="0" shapeId="0" xr:uid="{552C4A23-DFBB-2340-80EF-6D91A2B0489F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R65" authorId="0" shapeId="0" xr:uid="{21F5D8D4-D636-F643-A90F-7E13777DC66F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L66" authorId="0" shapeId="0" xr:uid="{FA75DDBE-3A0F-E74D-B439-9A1BA7157C2A}">
      <text>
        <r>
          <rPr>
            <b/>
            <sz val="10"/>
            <color rgb="FF000000"/>
            <rFont val="Tahoma"/>
            <family val="2"/>
          </rPr>
          <t>Fitz</t>
        </r>
      </text>
    </comment>
    <comment ref="O66" authorId="0" shapeId="0" xr:uid="{1DF46963-3BBE-FB4D-B31C-66AD8A165400}">
      <text>
        <r>
          <rPr>
            <b/>
            <sz val="10"/>
            <color rgb="FF000000"/>
            <rFont val="Tahoma"/>
            <family val="2"/>
          </rPr>
          <t>Kirk</t>
        </r>
      </text>
    </comment>
    <comment ref="R66" authorId="0" shapeId="0" xr:uid="{3B0EB4D9-8096-A046-BE10-EE6F2D5CC246}">
      <text>
        <r>
          <rPr>
            <b/>
            <sz val="10"/>
            <color rgb="FF000000"/>
            <rFont val="Tahoma"/>
            <family val="2"/>
          </rPr>
          <t>Damiere Byrd</t>
        </r>
      </text>
    </comment>
    <comment ref="O67" authorId="0" shapeId="0" xr:uid="{935160F0-B3B0-CD40-BE62-7EFF3B7D33A9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7" authorId="0" shapeId="0" xr:uid="{2F578CEE-A262-D141-BEB9-AD2270533F6B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68" authorId="0" shapeId="0" xr:uid="{8C0A40B1-670B-E444-B1F1-1E37C6194E6A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O68" authorId="0" shapeId="0" xr:uid="{7FEF86CC-20B6-ED4E-9A87-DE73652C916D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R68" authorId="0" shapeId="0" xr:uid="{6F331592-D6B0-5448-A0D0-02E0E43DB5BD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69" authorId="0" shapeId="0" xr:uid="{F7228363-1B3A-1948-8499-476D019476B0}">
      <text>
        <r>
          <rPr>
            <b/>
            <sz val="10"/>
            <color rgb="FF000000"/>
            <rFont val="Tahoma"/>
            <family val="2"/>
          </rPr>
          <t>Gore - Singletary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69" authorId="0" shapeId="0" xr:uid="{7DCA6650-3DC4-894B-81EB-531EA7B0AD8B}">
      <text>
        <r>
          <rPr>
            <b/>
            <sz val="10"/>
            <color rgb="FF000000"/>
            <rFont val="Tahoma"/>
            <family val="2"/>
          </rPr>
          <t>Yeldon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69" authorId="0" shapeId="0" xr:uid="{993C0657-8972-6A4E-8418-762DD123E566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69" authorId="0" shapeId="0" xr:uid="{8546180F-762F-6E4A-B8EB-0C04C4716677}">
      <text>
        <r>
          <rPr>
            <b/>
            <sz val="10"/>
            <color rgb="FF000000"/>
            <rFont val="Tahoma"/>
            <family val="2"/>
          </rPr>
          <t>Zay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70" authorId="0" shapeId="0" xr:uid="{0975EE4A-6E5F-6446-AE55-438ED7C168E5}">
      <text>
        <r>
          <rPr>
            <b/>
            <sz val="10"/>
            <color rgb="FF000000"/>
            <rFont val="Tahoma"/>
            <family val="2"/>
          </rPr>
          <t>Kyle Allen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71" authorId="0" shapeId="0" xr:uid="{E8A04C33-2D9C-1F4D-BBBA-370E30FD6ABF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71" authorId="0" shapeId="0" xr:uid="{7249B17F-0352-2F47-9D94-E11364FACBA3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74" authorId="0" shapeId="0" xr:uid="{E446E1CB-ECF3-CB4D-906E-0480E1C6E47F}">
      <text>
        <r>
          <rPr>
            <b/>
            <sz val="10"/>
            <color rgb="FF000000"/>
            <rFont val="Tahoma"/>
            <family val="2"/>
          </rPr>
          <t>Devin Smith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74" authorId="0" shapeId="0" xr:uid="{C7B8B846-0159-514C-A6B1-8A1CCF181A57}">
      <text>
        <r>
          <rPr>
            <b/>
            <sz val="10"/>
            <color rgb="FF000000"/>
            <rFont val="Tahoma"/>
            <family val="2"/>
          </rPr>
          <t xml:space="preserve">Cobb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76" authorId="0" shapeId="0" xr:uid="{5C42C68D-330D-C042-B9AE-ACFA29D65302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76" authorId="0" shapeId="0" xr:uid="{B100214A-E8CA-F74B-AD99-9BA1797F906E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O77" authorId="0" shapeId="0" xr:uid="{A37DCC95-17CB-2049-8B67-6A3F2A5AE789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R77" authorId="0" shapeId="0" xr:uid="{B680D660-E0F2-DA40-9D1E-554ABD67E55D}">
      <text>
        <r>
          <rPr>
            <b/>
            <sz val="10"/>
            <color rgb="FF000000"/>
            <rFont val="Tahoma"/>
            <family val="2"/>
          </rPr>
          <t>Allison</t>
        </r>
      </text>
    </comment>
    <comment ref="F78" authorId="0" shapeId="0" xr:uid="{ABDE95C8-EE3D-F842-88F0-C3C8B63DD4FA}">
      <text>
        <r>
          <rPr>
            <b/>
            <sz val="10"/>
            <color rgb="FF000000"/>
            <rFont val="Tahoma"/>
            <family val="2"/>
          </rPr>
          <t>Hyde</t>
        </r>
      </text>
    </comment>
    <comment ref="I78" authorId="0" shapeId="0" xr:uid="{D994F493-4E4E-E54C-AAC6-31454A9C5BC8}">
      <text>
        <r>
          <rPr>
            <b/>
            <sz val="10"/>
            <color rgb="FF000000"/>
            <rFont val="Tahoma"/>
            <family val="2"/>
          </rPr>
          <t>Duke Johnson</t>
        </r>
      </text>
    </comment>
    <comment ref="O78" authorId="0" shapeId="0" xr:uid="{D6F8131B-2BC3-014E-97A8-F40EA2DC78AD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R78" authorId="0" shapeId="0" xr:uid="{DA469F82-8ABD-5340-BE34-5E72D2D4B775}">
      <text>
        <r>
          <rPr>
            <b/>
            <sz val="10"/>
            <color rgb="FF000000"/>
            <rFont val="Tahoma"/>
            <family val="2"/>
          </rPr>
          <t xml:space="preserve">Stills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79" authorId="0" shapeId="0" xr:uid="{F55BA61F-EBAD-254D-BB21-839922556C14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0" authorId="0" shapeId="0" xr:uid="{D8ED1177-482D-034C-9835-CEC9BF6001AE}">
      <text>
        <r>
          <rPr>
            <b/>
            <sz val="10"/>
            <color rgb="FF000000"/>
            <rFont val="Tahoma"/>
            <family val="2"/>
          </rPr>
          <t>Minshew</t>
        </r>
      </text>
    </comment>
    <comment ref="O80" authorId="0" shapeId="0" xr:uid="{03CB6355-D9AD-9B43-9941-BCB670ABE168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80" authorId="0" shapeId="0" xr:uid="{990AAE72-C1ED-3340-9A90-7C7085F29439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L81" authorId="0" shapeId="0" xr:uid="{F8AC7B86-E8A2-0D4B-AC10-371CBCB79EBD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O81" authorId="0" shapeId="0" xr:uid="{235E5504-2C23-5A4D-8F4F-28D4CFA525DA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R81" authorId="0" shapeId="0" xr:uid="{11908C1A-0BFC-3747-A947-B36497D3CAAE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82" authorId="0" shapeId="0" xr:uid="{68FD6E02-6DDA-EB45-85D1-645C002D9E60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82" authorId="0" shapeId="0" xr:uid="{B78DA0BD-8828-9143-811F-B0BEBF5C9257}">
      <text>
        <r>
          <rPr>
            <b/>
            <sz val="10"/>
            <color rgb="FF000000"/>
            <rFont val="Tahoma"/>
            <family val="2"/>
          </rPr>
          <t>J.J. Nelson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84" authorId="0" shapeId="0" xr:uid="{ED1D8D4E-01E2-844D-A475-0A3AC9A82D19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O84" authorId="0" shapeId="0" xr:uid="{0A6B5E86-E9FA-9A44-AED9-BAD3FCE38048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84" authorId="0" shapeId="0" xr:uid="{5B2E1774-FF9D-E044-A80E-43441F6388CF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85" authorId="0" shapeId="0" xr:uid="{F120A7BD-A915-E648-B681-7B394AF7F56C}">
      <text>
        <r>
          <rPr>
            <b/>
            <sz val="10"/>
            <color rgb="FF000000"/>
            <rFont val="Tahoma"/>
            <family val="2"/>
          </rPr>
          <t>Rosen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85" authorId="0" shapeId="0" xr:uid="{D1F5605E-B4C5-B940-98F2-2AA29D91C252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O85" authorId="0" shapeId="0" xr:uid="{FC6BA317-A3C4-884B-AA70-4C36C09B17B2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85" authorId="0" shapeId="0" xr:uid="{85EC4FB0-30C8-A84E-B6E4-435439A0BB41}">
      <text>
        <r>
          <rPr>
            <b/>
            <sz val="10"/>
            <color rgb="FF000000"/>
            <rFont val="Tahoma"/>
            <family val="2"/>
          </rPr>
          <t>Jakeem Grant</t>
        </r>
      </text>
    </comment>
    <comment ref="L87" authorId="0" shapeId="0" xr:uid="{AE390F78-28FF-2F48-8088-2119FC1CB913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87" authorId="0" shapeId="0" xr:uid="{9537105E-E5BF-2840-8F5C-12D58F80F30B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R87" authorId="0" shapeId="0" xr:uid="{F0F288D3-2141-E34D-9490-26D8142696D1}">
      <text>
        <r>
          <rPr>
            <b/>
            <sz val="10"/>
            <color rgb="FF000000"/>
            <rFont val="Tahoma"/>
            <family val="2"/>
          </rPr>
          <t>Phillip 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8" authorId="0" shapeId="0" xr:uid="{2171A0AC-4A6A-CF4F-BF21-E91104626FA4}">
      <text>
        <r>
          <rPr>
            <b/>
            <sz val="10"/>
            <color rgb="FF000000"/>
            <rFont val="Tahoma"/>
            <family val="2"/>
          </rPr>
          <t>Bridgewater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88" authorId="0" shapeId="0" xr:uid="{D007048A-98FA-A841-B141-21CEF8E8E588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R88" authorId="0" shapeId="0" xr:uid="{772A9CAF-F37D-5B41-A11F-2B4796262737}">
      <text>
        <r>
          <rPr>
            <b/>
            <sz val="10"/>
            <color rgb="FF000000"/>
            <rFont val="Tahoma"/>
            <family val="2"/>
          </rPr>
          <t>Deonte Harris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89" authorId="0" shapeId="0" xr:uid="{2C1526BB-ADBB-074A-BA10-6609BF579828}">
      <text>
        <r>
          <rPr>
            <b/>
            <sz val="10"/>
            <color rgb="FF000000"/>
            <rFont val="Tahoma"/>
            <family val="2"/>
          </rPr>
          <t>Daniel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89" authorId="0" shapeId="0" xr:uid="{A6D051F1-02B3-E740-A727-DA967C7B01C2}">
      <text>
        <r>
          <rPr>
            <b/>
            <sz val="10"/>
            <color rgb="FF000000"/>
            <rFont val="Tahoma"/>
            <family val="2"/>
          </rPr>
          <t>Saquon injured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89" authorId="0" shapeId="0" xr:uid="{C10ADD3C-772B-8D4C-9921-14132267ED89}">
      <text>
        <r>
          <rPr>
            <b/>
            <sz val="10"/>
            <color rgb="FF000000"/>
            <rFont val="Tahoma"/>
            <family val="2"/>
          </rPr>
          <t>Saquon injured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H89" authorId="0" shapeId="0" xr:uid="{B977DF1B-DDC6-F347-9C64-3370FEE260DE}">
      <text>
        <r>
          <rPr>
            <b/>
            <sz val="10"/>
            <color rgb="FF000000"/>
            <rFont val="Tahoma"/>
            <family val="2"/>
          </rPr>
          <t>Saquon injured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89" authorId="0" shapeId="0" xr:uid="{F1E67D49-23EC-0943-B94B-32DB47842663}">
      <text>
        <r>
          <rPr>
            <b/>
            <sz val="10"/>
            <color rgb="FF000000"/>
            <rFont val="Tahoma"/>
            <family val="2"/>
          </rPr>
          <t>Saquon injured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J89" authorId="0" shapeId="0" xr:uid="{724D1623-3D96-9148-A28B-EE9E30242626}">
      <text>
        <r>
          <rPr>
            <b/>
            <sz val="10"/>
            <color rgb="FF000000"/>
            <rFont val="Tahoma"/>
            <family val="2"/>
          </rPr>
          <t>Saquon injured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K89" authorId="0" shapeId="0" xr:uid="{A7E193D2-CECB-A843-B334-FBA53F69FC49}">
      <text>
        <r>
          <rPr>
            <b/>
            <sz val="10"/>
            <color rgb="FF000000"/>
            <rFont val="Tahoma"/>
            <family val="2"/>
          </rPr>
          <t>Saquon injured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89" authorId="0" shapeId="0" xr:uid="{CC4BEE7C-F2EA-214B-BD19-2D21FF8BCDDD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89" authorId="0" shapeId="0" xr:uid="{C40D1232-83E7-0C42-9303-FE3707D538C3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89" authorId="0" shapeId="0" xr:uid="{85BEDA23-D98E-E04D-8ABA-F8FCFBB534F6}">
      <text>
        <r>
          <rPr>
            <b/>
            <sz val="10"/>
            <color rgb="FF000000"/>
            <rFont val="Tahoma"/>
            <family val="2"/>
          </rPr>
          <t>Russell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90" authorId="0" shapeId="0" xr:uid="{F1509827-2F41-AC4B-85D6-1C8B302AAA4C}">
      <text>
        <r>
          <rPr>
            <b/>
            <sz val="10"/>
            <color rgb="FF000000"/>
            <rFont val="Tahoma"/>
            <family val="2"/>
          </rPr>
          <t>Luke Donald</t>
        </r>
      </text>
    </comment>
    <comment ref="L90" authorId="0" shapeId="0" xr:uid="{B802FA2E-568A-C94D-83C6-D4209F92D803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90" authorId="0" shapeId="0" xr:uid="{E56D210D-B86D-ED47-9A0D-0295221CE214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91" authorId="0" shapeId="0" xr:uid="{310F3EEF-AFCA-144D-9250-87514E63E253}">
      <text>
        <r>
          <rPr>
            <b/>
            <sz val="10"/>
            <color rgb="FF000000"/>
            <rFont val="Tahoma"/>
            <family val="2"/>
          </rPr>
          <t>Miles Sanders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91" authorId="0" shapeId="0" xr:uid="{DB8AB9D2-084B-354A-8374-10171F6ABE5C}">
      <text>
        <r>
          <rPr>
            <b/>
            <sz val="10"/>
            <color rgb="FF000000"/>
            <rFont val="Tahoma"/>
            <family val="2"/>
          </rPr>
          <t>Jordon Howard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91" authorId="0" shapeId="0" xr:uid="{E4A0D528-3C00-4643-B26B-BD9DE9D95A34}">
      <text>
        <r>
          <rPr>
            <b/>
            <sz val="10"/>
            <color rgb="FF000000"/>
            <rFont val="Tahoma"/>
            <family val="2"/>
          </rPr>
          <t>Agholor -- Alshon and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91" authorId="0" shapeId="0" xr:uid="{05B7CCA4-BEF9-4F4B-951A-FF6988974568}">
      <text>
        <r>
          <rPr>
            <b/>
            <sz val="10"/>
            <color rgb="FF000000"/>
            <rFont val="Tahoma"/>
            <family val="2"/>
          </rPr>
          <t>Hollins -- Alshon and DJax out</t>
        </r>
      </text>
    </comment>
    <comment ref="R91" authorId="0" shapeId="0" xr:uid="{AE688E09-B22C-3E4E-9B8E-43EDF61E8726}">
      <text>
        <r>
          <rPr>
            <b/>
            <sz val="10"/>
            <color rgb="FF000000"/>
            <rFont val="Tahoma"/>
            <family val="2"/>
          </rPr>
          <t>JJ Arcega-Whiteside -- Alshon and DJax out</t>
        </r>
      </text>
    </comment>
    <comment ref="E92" authorId="0" shapeId="0" xr:uid="{689F51F1-1C28-6B49-98ED-2248B8278260}">
      <text>
        <r>
          <rPr>
            <b/>
            <sz val="10"/>
            <color rgb="FF000000"/>
            <rFont val="Tahoma"/>
            <family val="2"/>
          </rPr>
          <t>Rudolph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92" authorId="0" shapeId="0" xr:uid="{87905AD9-84B4-E049-B284-F5D4B63F7530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92" authorId="0" shapeId="0" xr:uid="{D869EBB3-DD1D-2342-A439-68D19667FB25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L93" authorId="0" shapeId="0" xr:uid="{A2FD7BF4-0D1F-7C4A-A362-F1325073793A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O93" authorId="0" shapeId="0" xr:uid="{4181BC35-B7B7-5B46-A241-BB345684DB2B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93" authorId="0" shapeId="0" xr:uid="{AA44C322-E976-244D-9ECF-55164443F487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L94" authorId="0" shapeId="0" xr:uid="{9A5CC6FD-802F-2449-A78C-D937C2A14D61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O94" authorId="0" shapeId="0" xr:uid="{5B03D0FA-F4FD-CA46-ACE1-2D8D8C9D2973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94" authorId="0" shapeId="0" xr:uid="{D2B271D9-19E3-4D41-BCA4-D3614A420410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F95" authorId="0" shapeId="0" xr:uid="{0A7FA96C-5E8C-2843-98F1-CD20B1E09840}">
      <text>
        <r>
          <rPr>
            <b/>
            <sz val="10"/>
            <color rgb="FF000000"/>
            <rFont val="Tahoma"/>
            <family val="2"/>
          </rPr>
          <t>Ronald Jones</t>
        </r>
      </text>
    </comment>
    <comment ref="I95" authorId="0" shapeId="0" xr:uid="{579E4943-A96A-574E-93A9-CA9DB2C0D2DC}">
      <text>
        <r>
          <rPr>
            <b/>
            <sz val="10"/>
            <color rgb="FF000000"/>
            <rFont val="Tahoma"/>
            <family val="2"/>
          </rPr>
          <t>Peyton Barber</t>
        </r>
      </text>
    </comment>
    <comment ref="L95" authorId="0" shapeId="0" xr:uid="{8C95BB3A-BD90-7F4E-BBA5-6BB8FE80A365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L96" authorId="0" shapeId="0" xr:uid="{F711D2D5-B00F-F04D-BBC7-BDD048BBF64E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O96" authorId="0" shapeId="0" xr:uid="{D7D8AD1B-06D0-C649-80E3-99B3BC1F7215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R96" authorId="0" shapeId="0" xr:uid="{32C534C7-AF07-6646-B3EA-D15563ABFA7E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L97" authorId="0" shapeId="0" xr:uid="{56823929-F54F-554C-BC65-5090F2BB1F1E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O97" authorId="0" shapeId="0" xr:uid="{9C06FAE2-0EB1-C64B-90E3-56E4E1A49698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R97" authorId="0" shapeId="0" xr:uid="{56B0F674-DFD7-5142-9AD9-E43CDFCE87F2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L98" authorId="0" shapeId="0" xr:uid="{0734F7B9-1DB4-0745-B8B0-9FF1B38F032E}">
      <text>
        <r>
          <rPr>
            <b/>
            <sz val="10"/>
            <color rgb="FF000000"/>
            <rFont val="Tahoma"/>
            <family val="2"/>
          </rPr>
          <t>Fitz</t>
        </r>
      </text>
    </comment>
    <comment ref="O98" authorId="0" shapeId="0" xr:uid="{C5FE9CBE-5E69-5E48-A0C3-804464233816}">
      <text>
        <r>
          <rPr>
            <b/>
            <sz val="10"/>
            <color rgb="FF000000"/>
            <rFont val="Tahoma"/>
            <family val="2"/>
          </rPr>
          <t>Kirk</t>
        </r>
      </text>
    </comment>
    <comment ref="R98" authorId="0" shapeId="0" xr:uid="{41EBF52D-C82E-A140-8B4E-4DF5BC0C28E2}">
      <text>
        <r>
          <rPr>
            <b/>
            <sz val="10"/>
            <color rgb="FF000000"/>
            <rFont val="Tahoma"/>
            <family val="2"/>
          </rPr>
          <t>Keesean Johnson</t>
        </r>
      </text>
    </comment>
    <comment ref="L99" authorId="0" shapeId="0" xr:uid="{F3A23ACC-6D22-7A47-B49E-2BDD0DDD632D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99" authorId="0" shapeId="0" xr:uid="{856C43CD-3BB6-7945-9ECC-37FBA7635E03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99" authorId="0" shapeId="0" xr:uid="{0A85DF85-B252-FA4F-9BD0-6FD69FD0C913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00" authorId="0" shapeId="0" xr:uid="{3BC4D1EE-5070-C542-81A3-68492C2A281D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O100" authorId="0" shapeId="0" xr:uid="{3AEB76E3-C09B-B840-93BD-546D7DCB5EA4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R100" authorId="0" shapeId="0" xr:uid="{BA06E45D-48FF-8B41-A4B6-895BF26F908D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101" authorId="0" shapeId="0" xr:uid="{3BE1C134-A6EC-F840-8C4B-6FC908851C39}">
      <text>
        <r>
          <rPr>
            <b/>
            <sz val="10"/>
            <color rgb="FF000000"/>
            <rFont val="Tahoma"/>
            <family val="2"/>
          </rPr>
          <t>Gore - Singletary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101" authorId="0" shapeId="0" xr:uid="{7AF3F697-7457-AA46-984A-655F2013FF7A}">
      <text>
        <r>
          <rPr>
            <b/>
            <sz val="10"/>
            <color rgb="FF000000"/>
            <rFont val="Tahoma"/>
            <family val="2"/>
          </rPr>
          <t>Yeldon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01" authorId="0" shapeId="0" xr:uid="{65E5B2D3-B7B5-FA45-B99F-A0644D0B912F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01" authorId="0" shapeId="0" xr:uid="{ED31981E-1480-714A-8DEE-916086E36A5A}">
      <text>
        <r>
          <rPr>
            <b/>
            <sz val="10"/>
            <color rgb="FF000000"/>
            <rFont val="Tahoma"/>
            <family val="2"/>
          </rPr>
          <t>Zay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03" authorId="0" shapeId="0" xr:uid="{2F70B8D1-AA1D-3E4B-AD5C-B8BDEB0D0C66}">
      <text>
        <r>
          <rPr>
            <b/>
            <sz val="10"/>
            <color rgb="FF000000"/>
            <rFont val="Tahoma"/>
            <family val="2"/>
          </rPr>
          <t>Trubisky injured on first series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03" authorId="0" shapeId="0" xr:uid="{2E5928BA-1319-2C46-89B9-F4CC29380A83}">
      <text>
        <r>
          <rPr>
            <b/>
            <sz val="10"/>
            <color rgb="FF000000"/>
            <rFont val="Tahoma"/>
            <family val="2"/>
          </rPr>
          <t>Javon Wims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06" authorId="0" shapeId="0" xr:uid="{923C75D3-48A6-6340-826D-A925EB1AF308}">
      <text>
        <r>
          <rPr>
            <b/>
            <sz val="10"/>
            <color rgb="FF000000"/>
            <rFont val="Tahoma"/>
            <family val="2"/>
          </rPr>
          <t>Devin Smith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06" authorId="0" shapeId="0" xr:uid="{31F0E701-95FB-2D45-8B05-4C3D7F363446}">
      <text>
        <r>
          <rPr>
            <b/>
            <sz val="10"/>
            <color rgb="FF000000"/>
            <rFont val="Tahoma"/>
            <family val="2"/>
          </rPr>
          <t xml:space="preserve">Cobb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08" authorId="0" shapeId="0" xr:uid="{58555D0B-57D4-E143-A3EC-38B54D9EB21B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108" authorId="0" shapeId="0" xr:uid="{84CA4DB0-9F3A-2541-A607-A91B70E72746}">
      <text>
        <r>
          <rPr>
            <b/>
            <sz val="10"/>
            <color rgb="FF000000"/>
            <rFont val="Tahoma"/>
            <family val="2"/>
          </rPr>
          <t>Marvin Hall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09" authorId="0" shapeId="0" xr:uid="{E37366AE-E6BB-674B-9F6B-0C07B2585444}">
      <text>
        <r>
          <rPr>
            <b/>
            <sz val="10"/>
            <color rgb="FF000000"/>
            <rFont val="Tahoma"/>
            <family val="2"/>
          </rPr>
          <t>MVS</t>
        </r>
      </text>
    </comment>
    <comment ref="R109" authorId="0" shapeId="0" xr:uid="{675688AC-D826-1846-944F-4A57F2E53C89}">
      <text>
        <r>
          <rPr>
            <b/>
            <sz val="10"/>
            <color rgb="FF000000"/>
            <rFont val="Tahoma"/>
            <family val="2"/>
          </rPr>
          <t>Allison</t>
        </r>
      </text>
    </comment>
    <comment ref="O110" authorId="0" shapeId="0" xr:uid="{F5A6882D-FAC3-7341-A0E9-B8BB33AFBEF8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R110" authorId="0" shapeId="0" xr:uid="{12CA5DB1-753E-A542-9699-A2BF615BAED3}">
      <text>
        <r>
          <rPr>
            <b/>
            <sz val="10"/>
            <color rgb="FF000000"/>
            <rFont val="Tahoma"/>
            <family val="2"/>
          </rPr>
          <t xml:space="preserve">Stills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11" authorId="0" shapeId="0" xr:uid="{967910BA-A351-4E4D-8B52-6EC1DC219A1B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11" authorId="0" shapeId="0" xr:uid="{E18ECC90-DFD2-6D48-A48B-7D6A7287D7B4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11" authorId="0" shapeId="0" xr:uid="{C8B13CF7-3F2E-EA4C-AA19-291374C992A2}">
      <text>
        <r>
          <rPr>
            <b/>
            <sz val="10"/>
            <color rgb="FF000000"/>
            <rFont val="Tahoma"/>
            <family val="2"/>
          </rPr>
          <t>Parris Campbell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12" authorId="0" shapeId="0" xr:uid="{5C6C2F2E-800A-5F4C-89DB-6201D6EE2574}">
      <text>
        <r>
          <rPr>
            <b/>
            <sz val="10"/>
            <color rgb="FF000000"/>
            <rFont val="Tahoma"/>
            <family val="2"/>
          </rPr>
          <t>Minshew</t>
        </r>
      </text>
    </comment>
    <comment ref="O112" authorId="0" shapeId="0" xr:uid="{D393329C-731A-E944-8838-528A55550F43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112" authorId="0" shapeId="0" xr:uid="{0E4CEB64-E1B1-4642-B209-BB05510852FE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L113" authorId="0" shapeId="0" xr:uid="{3FBCD74F-F6A8-D34A-B31E-471E0425EE67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O113" authorId="0" shapeId="0" xr:uid="{FB3850FD-C655-F34D-A68A-3EF326EBCED6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R113" authorId="0" shapeId="0" xr:uid="{14611DDF-4B41-1448-A00B-6F4DCC382840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14" authorId="0" shapeId="0" xr:uid="{5E3CA70D-15CD-FA45-9A20-717F512415D4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16" authorId="0" shapeId="0" xr:uid="{CDBBF59F-9B12-5B4A-A307-D0E5DCA292A2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O116" authorId="0" shapeId="0" xr:uid="{45E36C70-68B0-9640-B769-EFA5B92C3CCE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116" authorId="0" shapeId="0" xr:uid="{B2B0AB6E-2980-B643-8506-38E400E16765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L117" authorId="0" shapeId="0" xr:uid="{3FE38E24-859F-6B47-8618-193C44B331C0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O117" authorId="0" shapeId="0" xr:uid="{95CE47D4-1D4C-A545-B23C-88897331BD54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17" authorId="0" shapeId="0" xr:uid="{BC09045D-072C-9547-814C-48226024D611}">
      <text>
        <r>
          <rPr>
            <b/>
            <sz val="10"/>
            <color rgb="FF000000"/>
            <rFont val="Tahoma"/>
            <family val="2"/>
          </rPr>
          <t>Jakeem Grant</t>
        </r>
      </text>
    </comment>
    <comment ref="L119" authorId="0" shapeId="0" xr:uid="{BD8E4AC1-F7D9-D146-B9D5-2713CF37AA02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19" authorId="0" shapeId="0" xr:uid="{2B2484BB-E3EF-E643-8010-EF23A555AA3A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R119" authorId="0" shapeId="0" xr:uid="{3E75CA99-D43A-4043-8293-0322FB9FFF9D}">
      <text>
        <r>
          <rPr>
            <b/>
            <sz val="10"/>
            <color rgb="FF000000"/>
            <rFont val="Tahoma"/>
            <family val="2"/>
          </rPr>
          <t>Phillip 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20" authorId="0" shapeId="0" xr:uid="{292DA0B9-B995-124E-9AB4-9038A1AD6B1F}">
      <text>
        <r>
          <rPr>
            <b/>
            <sz val="10"/>
            <color rgb="FF000000"/>
            <rFont val="Tahoma"/>
            <family val="2"/>
          </rPr>
          <t>Bridgewater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20" authorId="0" shapeId="0" xr:uid="{4840AD55-44A3-F146-94BD-D53D3D3FFEDF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L121" authorId="0" shapeId="0" xr:uid="{A8639DA0-DA61-0242-85A9-FF7B75D0B998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21" authorId="0" shapeId="0" xr:uid="{BF336895-D21D-B843-A9FD-9E6921520A45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21" authorId="0" shapeId="0" xr:uid="{16A99076-4ADC-5140-B9D9-7D90346D0126}">
      <text>
        <r>
          <rPr>
            <b/>
            <sz val="10"/>
            <color rgb="FF000000"/>
            <rFont val="Tahoma"/>
            <family val="2"/>
          </rPr>
          <t>Russell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22" authorId="0" shapeId="0" xr:uid="{E3F85D56-8FA4-CE4F-8F26-1A40E139A58A}">
      <text>
        <r>
          <rPr>
            <b/>
            <sz val="10"/>
            <color rgb="FF000000"/>
            <rFont val="Tahoma"/>
            <family val="2"/>
          </rPr>
          <t>Jordon Howard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122" authorId="0" shapeId="0" xr:uid="{10A670FA-2E84-DF40-BB28-6C93A5047114}">
      <text>
        <r>
          <rPr>
            <b/>
            <sz val="10"/>
            <color rgb="FF000000"/>
            <rFont val="Tahoma"/>
            <family val="2"/>
          </rPr>
          <t>Miles Sanders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22" authorId="0" shapeId="0" xr:uid="{15F7105B-5785-E349-9D7A-B626F862A865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22" authorId="0" shapeId="0" xr:uid="{4C137FA7-3D4A-494A-BB28-FF8DAD39E616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R122" authorId="0" shapeId="0" xr:uid="{FEE58789-6473-1746-B8B1-447A7C7F30DC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23" authorId="0" shapeId="0" xr:uid="{C5B83B37-F2F5-7944-A5AC-62587044409F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23" authorId="0" shapeId="0" xr:uid="{E80E126B-C53A-2C41-9599-6802F03EB551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L124" authorId="0" shapeId="0" xr:uid="{7CE9745D-F9D2-1243-B78D-F4E1D873F463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O124" authorId="0" shapeId="0" xr:uid="{EEE8E136-EADC-914C-AC74-40091711E031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124" authorId="0" shapeId="0" xr:uid="{A0DCCFC3-37BD-8B40-A29C-F94B12B5C71A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F125" authorId="0" shapeId="0" xr:uid="{5215C4BA-E503-494B-B317-37AB6171D45A}">
      <text>
        <r>
          <rPr>
            <b/>
            <sz val="10"/>
            <color rgb="FF000000"/>
            <rFont val="Tahoma"/>
            <family val="2"/>
          </rPr>
          <t>Ronald Jones</t>
        </r>
      </text>
    </comment>
    <comment ref="I125" authorId="0" shapeId="0" xr:uid="{AA45AE6C-BB04-6749-9062-A64D795D56FA}">
      <text>
        <r>
          <rPr>
            <b/>
            <sz val="10"/>
            <color rgb="FF000000"/>
            <rFont val="Tahoma"/>
            <family val="2"/>
          </rPr>
          <t>Peyton Barber</t>
        </r>
      </text>
    </comment>
    <comment ref="L125" authorId="0" shapeId="0" xr:uid="{1D40D8C5-B949-C548-AC15-E942E7153060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L126" authorId="0" shapeId="0" xr:uid="{63865B0B-B4FA-B646-99E2-B6DD2469DF1B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O126" authorId="0" shapeId="0" xr:uid="{F459D01B-C5A6-9643-B0F9-449C8A9A722B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126" authorId="0" shapeId="0" xr:uid="{B98C329F-572A-D644-9ABA-F98A24A0FCE5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127" authorId="0" shapeId="0" xr:uid="{1469FE0B-E607-4947-9235-F2B7D917F9FF}">
      <text>
        <r>
          <rPr>
            <b/>
            <sz val="10"/>
            <color rgb="FF000000"/>
            <rFont val="Tahoma"/>
            <family val="2"/>
          </rPr>
          <t>Keenum benched in 2nd Q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27" authorId="0" shapeId="0" xr:uid="{0CCDC3EB-EAB0-CE4D-AE8A-C36DE6A2D65D}">
      <text>
        <r>
          <rPr>
            <b/>
            <sz val="10"/>
            <color rgb="FF000000"/>
            <rFont val="Tahoma"/>
            <family val="2"/>
          </rPr>
          <t>Paul Richardson</t>
        </r>
        <r>
          <rPr>
            <b/>
            <sz val="10"/>
            <color rgb="FF000000"/>
            <rFont val="Calibri"/>
            <family val="2"/>
          </rPr>
          <t xml:space="preserve"> - McLaurin out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O127" authorId="0" shapeId="0" xr:uid="{1E6F435B-3157-A542-9C60-0BC0D3D69A6A}">
      <text>
        <r>
          <rPr>
            <b/>
            <sz val="10"/>
            <color rgb="FF000000"/>
            <rFont val="Tahoma"/>
            <family val="2"/>
          </rPr>
          <t>Trey Quinn</t>
        </r>
        <r>
          <rPr>
            <b/>
            <sz val="10"/>
            <color rgb="FF000000"/>
            <rFont val="Calibri"/>
            <family val="2"/>
          </rPr>
          <t xml:space="preserve"> - McLaurin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 xml:space="preserve">
</t>
        </r>
      </text>
    </comment>
    <comment ref="R127" authorId="0" shapeId="0" xr:uid="{03FEF118-65D7-B14A-B384-B98C99E10B34}">
      <text>
        <r>
          <rPr>
            <b/>
            <sz val="10"/>
            <color rgb="FF000000"/>
            <rFont val="Tahoma"/>
            <family val="2"/>
          </rPr>
          <t>Kelvin Harmon - McLaurin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28" authorId="0" shapeId="0" xr:uid="{95BFD2D2-2E19-CF4F-B10E-6D5621F7AB7C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O128" authorId="0" shapeId="0" xr:uid="{07EAB6B2-3DD1-DD44-8269-217D69CDCD2E}">
      <text>
        <r>
          <rPr>
            <b/>
            <sz val="10"/>
            <color rgb="FF000000"/>
            <rFont val="Tahoma"/>
            <family val="2"/>
          </rPr>
          <t xml:space="preserve">KeeSean Johnson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28" authorId="0" shapeId="0" xr:uid="{FEA5037A-A616-8849-815A-8B1ACAF7E2E7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29" authorId="0" shapeId="0" xr:uid="{538ACA51-8015-4E47-87C8-FDA7375494AE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29" authorId="0" shapeId="0" xr:uid="{E79EB841-87E2-A749-8EEF-28177FDEA53B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29" authorId="0" shapeId="0" xr:uid="{FEC0BB36-0B9C-6543-A699-6358241D4FE5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30" authorId="0" shapeId="0" xr:uid="{C920F9BC-0F4B-3345-BCF5-BAD6ADE01AE4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O130" authorId="0" shapeId="0" xr:uid="{3E8E6AC5-9255-AB47-922D-4152BAD954ED}">
      <text>
        <r>
          <rPr>
            <b/>
            <sz val="10"/>
            <color rgb="FF000000"/>
            <rFont val="Tahoma"/>
            <family val="2"/>
          </rPr>
          <t>Snead</t>
        </r>
      </text>
    </comment>
    <comment ref="R130" authorId="0" shapeId="0" xr:uid="{93B75C93-E65F-7D42-A86B-E06ACC968022}">
      <text>
        <r>
          <rPr>
            <b/>
            <sz val="10"/>
            <color rgb="FF000000"/>
            <rFont val="Tahoma"/>
            <family val="2"/>
          </rPr>
          <t>Seth Roberts</t>
        </r>
      </text>
    </comment>
    <comment ref="F131" authorId="0" shapeId="0" xr:uid="{49F3E20F-E1F8-474A-931A-35CB2EA915EE}">
      <text>
        <r>
          <rPr>
            <b/>
            <sz val="10"/>
            <color rgb="FF000000"/>
            <rFont val="Tahoma"/>
            <family val="2"/>
          </rPr>
          <t>Gore - Singletary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131" authorId="0" shapeId="0" xr:uid="{8BC9EA93-418A-1145-A490-9D5FBEB9BC2E}">
      <text>
        <r>
          <rPr>
            <b/>
            <sz val="10"/>
            <color rgb="FF000000"/>
            <rFont val="Tahoma"/>
            <family val="2"/>
          </rPr>
          <t>Yeldon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31" authorId="0" shapeId="0" xr:uid="{16F31497-F7EE-354A-912A-5DE2AD9812AA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31" authorId="0" shapeId="0" xr:uid="{35E67DF1-7021-2D41-84D9-697554044430}">
      <text>
        <r>
          <rPr>
            <b/>
            <sz val="10"/>
            <color rgb="FF000000"/>
            <rFont val="Tahoma"/>
            <family val="2"/>
          </rPr>
          <t>Isaiah McKenzie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33" authorId="0" shapeId="0" xr:uid="{975C21A2-33A9-7F40-B094-C6A1CFBBF5C9}">
      <text>
        <r>
          <rPr>
            <b/>
            <sz val="10"/>
            <color rgb="FF000000"/>
            <rFont val="Tahoma"/>
            <family val="2"/>
          </rPr>
          <t>Chase Daniel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33" authorId="0" shapeId="0" xr:uid="{513D429D-A808-0941-AC73-0C159771E72D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33" authorId="0" shapeId="0" xr:uid="{1E8CE840-2017-3743-8A47-A5BDDD326A08}">
      <text>
        <r>
          <rPr>
            <b/>
            <sz val="10"/>
            <color rgb="FF000000"/>
            <rFont val="Tahoma"/>
            <family val="2"/>
          </rPr>
          <t xml:space="preserve">Anthony Miller </t>
        </r>
        <r>
          <rPr>
            <b/>
            <sz val="10"/>
            <color rgb="FF000000"/>
            <rFont val="Calibri"/>
            <family val="2"/>
          </rPr>
          <t>- Gabriel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33" authorId="0" shapeId="0" xr:uid="{B56F93DD-3082-EB47-A94F-F87B3CE897E0}">
      <text>
        <r>
          <rPr>
            <b/>
            <sz val="10"/>
            <color rgb="FF000000"/>
            <rFont val="Tahoma"/>
            <family val="2"/>
          </rPr>
          <t xml:space="preserve">Javon Wims </t>
        </r>
        <r>
          <rPr>
            <b/>
            <sz val="10"/>
            <color rgb="FF000000"/>
            <rFont val="Calibri"/>
            <family val="2"/>
          </rPr>
          <t>- Gabriel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34" authorId="0" shapeId="0" xr:uid="{177FC3C7-8663-F944-8736-67BCDB4FB4B1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34" authorId="0" shapeId="0" xr:uid="{DC04B71A-1992-EF49-B4DB-71F07BBA4FF9}">
      <text>
        <r>
          <rPr>
            <b/>
            <sz val="10"/>
            <color rgb="FF000000"/>
            <rFont val="Tahoma"/>
            <family val="2"/>
          </rPr>
          <t>Damion Willis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36" authorId="0" shapeId="0" xr:uid="{E72B7B18-135F-DD45-A57D-9C3469C2C2D0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36" authorId="0" shapeId="0" xr:uid="{0C591080-FB3F-D941-989B-2DD1085953AD}">
      <text>
        <r>
          <rPr>
            <b/>
            <sz val="10"/>
            <color rgb="FF000000"/>
            <rFont val="Tahoma"/>
            <family val="2"/>
          </rPr>
          <t>Cobb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38" authorId="0" shapeId="0" xr:uid="{6869CC40-1B41-BB41-8193-82542AF8BBE9}">
      <text>
        <r>
          <rPr>
            <b/>
            <sz val="10"/>
            <color rgb="FF000000"/>
            <rFont val="Tahoma"/>
            <family val="2"/>
          </rPr>
          <t>Aaron Jones - Jamaal Williams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38" authorId="0" shapeId="0" xr:uid="{8DFF2F9B-0E1B-A540-A5F1-25EAA08B91F2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O138" authorId="0" shapeId="0" xr:uid="{1811CEE5-FB79-2A48-94D4-6F976806E5A6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O139" authorId="0" shapeId="0" xr:uid="{65955F67-2F55-B447-B79B-8D77661D0C1A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R139" authorId="0" shapeId="0" xr:uid="{0B21CE5D-EA4B-A04F-B38E-DBD254934F2B}">
      <text>
        <r>
          <rPr>
            <b/>
            <sz val="10"/>
            <color rgb="FF000000"/>
            <rFont val="Tahoma"/>
            <family val="2"/>
          </rPr>
          <t>Coutee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40" authorId="0" shapeId="0" xr:uid="{AC27DC45-3CEF-CC47-B998-909E265DEECC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41" authorId="0" shapeId="0" xr:uid="{E06C30FB-69B4-A249-923D-4F121E4C50E1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141" authorId="0" shapeId="0" xr:uid="{4961ABB1-58FF-6F47-BF90-164ABE23FBCE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L142" authorId="0" shapeId="0" xr:uid="{1C9EB2D5-3382-D141-A9F5-42D869B06079}">
      <text>
        <r>
          <rPr>
            <b/>
            <sz val="10"/>
            <color rgb="FF000000"/>
            <rFont val="Tahoma"/>
            <family val="2"/>
          </rPr>
          <t>Pringle - Watkins injured early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42" authorId="0" shapeId="0" xr:uid="{8FD379CB-0BF8-924F-9975-4598B71508E3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R142" authorId="0" shapeId="0" xr:uid="{3D1B6B53-F712-7942-AD81-63A59A2CFEC8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43" authorId="0" shapeId="0" xr:uid="{EEB98ED4-F357-C447-BF85-4BD377DE5F2C}">
      <text>
        <r>
          <rPr>
            <b/>
            <sz val="10"/>
            <color rgb="FF000000"/>
            <rFont val="Tahoma"/>
            <family val="2"/>
          </rPr>
          <t>Renfrow - Tyrell Williams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43" authorId="0" shapeId="0" xr:uid="{052BC224-360B-0E4E-85FE-7620B213B4A1}">
      <text>
        <r>
          <rPr>
            <b/>
            <sz val="10"/>
            <color rgb="FF000000"/>
            <rFont val="Tahoma"/>
            <family val="2"/>
          </rPr>
          <t xml:space="preserve">Trevor Davis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43" authorId="0" shapeId="0" xr:uid="{14D9954C-298B-9745-A52A-2A062C01B24C}">
      <text>
        <r>
          <rPr>
            <b/>
            <sz val="10"/>
            <color rgb="FF000000"/>
            <rFont val="Tahoma"/>
            <family val="2"/>
          </rPr>
          <t xml:space="preserve">Keelan Doss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44" authorId="0" shapeId="0" xr:uid="{017CFDBD-00D6-4E42-A958-D0F20590267B}">
      <text>
        <r>
          <rPr>
            <b/>
            <sz val="10"/>
            <color rgb="FF000000"/>
            <rFont val="Tahoma"/>
            <family val="2"/>
          </rPr>
          <t>Ekeler</t>
        </r>
      </text>
    </comment>
    <comment ref="I144" authorId="0" shapeId="0" xr:uid="{3D8A4EEA-8598-B742-A830-75DD2A9B2D55}">
      <text>
        <r>
          <rPr>
            <b/>
            <sz val="10"/>
            <color rgb="FF000000"/>
            <rFont val="Tahoma"/>
            <family val="2"/>
          </rPr>
          <t>Melvin Gordon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45" authorId="0" shapeId="0" xr:uid="{D5B6C2EA-EA85-1A4F-8B46-836274B64102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O145" authorId="0" shapeId="0" xr:uid="{692D2302-9BAD-A047-8A22-225AD91C9E46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145" authorId="0" shapeId="0" xr:uid="{3C5BE4E1-0E82-5545-8B13-109D9352FB21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L147" authorId="0" shapeId="0" xr:uid="{0F8DB977-57EF-1045-BD98-756290BFC691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47" authorId="0" shapeId="0" xr:uid="{0C1B40ED-51EC-404B-8637-73BFD6616E0A}">
      <text>
        <r>
          <rPr>
            <b/>
            <sz val="10"/>
            <color rgb="FF000000"/>
            <rFont val="Tahoma"/>
            <family val="2"/>
          </rPr>
          <t>Josh Gordon</t>
        </r>
      </text>
    </comment>
    <comment ref="R147" authorId="0" shapeId="0" xr:uid="{231D7B29-AE86-1640-9296-8302303EB6E3}">
      <text>
        <r>
          <rPr>
            <b/>
            <sz val="10"/>
            <color rgb="FF000000"/>
            <rFont val="Tahoma"/>
            <family val="2"/>
          </rPr>
          <t>Phillip 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48" authorId="0" shapeId="0" xr:uid="{F5CDFAD2-E8A0-BB4D-ACA7-982B6F0E14A8}">
      <text>
        <r>
          <rPr>
            <b/>
            <sz val="10"/>
            <color rgb="FF000000"/>
            <rFont val="Tahoma"/>
            <family val="2"/>
          </rPr>
          <t>Bridgewater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48" authorId="0" shapeId="0" xr:uid="{13853BEA-32F1-2746-BB7F-425D612CCD3C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L149" authorId="0" shapeId="0" xr:uid="{7BD5B6BC-64F2-F444-A0DC-0A4122BE91ED}">
      <text>
        <r>
          <rPr>
            <b/>
            <sz val="10"/>
            <color rgb="FF000000"/>
            <rFont val="Tahoma"/>
            <family val="2"/>
          </rPr>
          <t>Sterling 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49" authorId="0" shapeId="0" xr:uid="{79792681-7306-F843-9529-70B7C1DD0B48}">
      <text>
        <r>
          <rPr>
            <b/>
            <sz val="10"/>
            <color rgb="FF000000"/>
            <rFont val="Tahoma"/>
            <family val="2"/>
          </rPr>
          <t>Golden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49" authorId="0" shapeId="0" xr:uid="{9E73C058-1878-C746-B801-2A376F4D9ABB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50" authorId="0" shapeId="0" xr:uid="{5B013AAF-D7C2-D44E-BE72-B5B31B21A752}">
      <text>
        <r>
          <rPr>
            <b/>
            <sz val="10"/>
            <color rgb="FF000000"/>
            <rFont val="Tahoma"/>
            <family val="2"/>
          </rPr>
          <t>Luke Donald</t>
        </r>
      </text>
    </comment>
    <comment ref="L150" authorId="0" shapeId="0" xr:uid="{FFB458F3-9B13-AC4D-A0BE-FF8BC98BC6F0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50" authorId="0" shapeId="0" xr:uid="{0928E944-0D14-BB49-964D-38B97262125B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51" authorId="0" shapeId="0" xr:uid="{1776F1C8-F618-094A-9F25-E02F83A0B894}">
      <text>
        <r>
          <rPr>
            <b/>
            <sz val="10"/>
            <color rgb="FF000000"/>
            <rFont val="Tahoma"/>
            <family val="2"/>
          </rPr>
          <t>Jordon Howard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151" authorId="0" shapeId="0" xr:uid="{8E784EAC-DBD2-5C46-B07F-FE05941A3C45}">
      <text>
        <r>
          <rPr>
            <b/>
            <sz val="10"/>
            <color rgb="FF000000"/>
            <rFont val="Tahoma"/>
            <family val="2"/>
          </rPr>
          <t>Miles Sanders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51" authorId="0" shapeId="0" xr:uid="{9A07BAE5-B249-094B-829E-ECB332F810F3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51" authorId="0" shapeId="0" xr:uid="{F9730495-A381-9E48-8699-32B77510CC9A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R151" authorId="0" shapeId="0" xr:uid="{A3FE9C2A-E627-9141-8D64-1A4C80D0A31C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52" authorId="0" shapeId="0" xr:uid="{2F677235-4D27-F349-97F0-A07A4BE4C79B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52" authorId="0" shapeId="0" xr:uid="{9C93F336-F63E-9A48-B032-0A98485165A5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F153" authorId="0" shapeId="0" xr:uid="{46028C0E-F0BD-0C49-AAB9-B20597F2DCD8}">
      <text>
        <r>
          <rPr>
            <b/>
            <sz val="10"/>
            <color rgb="FF000000"/>
            <rFont val="Tahoma"/>
            <family val="2"/>
          </rPr>
          <t>Coleman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153" authorId="0" shapeId="0" xr:uid="{A2911BE7-69F7-0E46-AFC0-B959873F95E9}">
      <text>
        <r>
          <rPr>
            <b/>
            <sz val="10"/>
            <color rgb="FF000000"/>
            <rFont val="Tahoma"/>
            <family val="2"/>
          </rPr>
          <t>Breida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53" authorId="0" shapeId="0" xr:uid="{C7C715FD-DCB0-EC4D-B5AB-6AC688B6674C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O153" authorId="0" shapeId="0" xr:uid="{60D2F295-7FA0-5247-8E1B-AFDEF690326A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53" authorId="0" shapeId="0" xr:uid="{048DEC81-B5B8-584E-937B-F61884992274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L154" authorId="0" shapeId="0" xr:uid="{B54F7DC4-1459-F642-9517-64BE383F766E}">
      <text>
        <r>
          <rPr>
            <b/>
            <sz val="10"/>
            <color rgb="FF000000"/>
            <rFont val="Tahoma"/>
            <family val="2"/>
          </rPr>
          <t>Lockett</t>
        </r>
      </text>
    </comment>
    <comment ref="O154" authorId="0" shapeId="0" xr:uid="{16997830-2A90-B645-908F-C73DF49C6F64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154" authorId="0" shapeId="0" xr:uid="{0FC77820-B631-4847-92AA-D0DFE67844E5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F155" authorId="0" shapeId="0" xr:uid="{D47F3ED5-4D76-174E-A220-0A6242CED90E}">
      <text>
        <r>
          <rPr>
            <b/>
            <sz val="10"/>
            <color rgb="FF000000"/>
            <rFont val="Tahoma"/>
            <family val="2"/>
          </rPr>
          <t>Ronald Jones</t>
        </r>
      </text>
    </comment>
    <comment ref="I155" authorId="0" shapeId="0" xr:uid="{53B2C439-6C0E-FA4F-A47E-6F1F0EADFC60}">
      <text>
        <r>
          <rPr>
            <b/>
            <sz val="10"/>
            <color rgb="FF000000"/>
            <rFont val="Tahoma"/>
            <family val="2"/>
          </rPr>
          <t>Peyton Barber</t>
        </r>
      </text>
    </comment>
    <comment ref="L155" authorId="0" shapeId="0" xr:uid="{5FB56346-9E40-D248-BC6E-2EF4B83354AD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L156" authorId="0" shapeId="0" xr:uid="{CE973626-76D2-3040-8049-172324DF99C1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O156" authorId="0" shapeId="0" xr:uid="{AA665CEC-C360-094F-967E-70A11DB9D9D4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R156" authorId="0" shapeId="0" xr:uid="{C598D6CC-445D-0149-8D77-533ECA05D1BE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E157" authorId="0" shapeId="0" xr:uid="{51CFE08F-28AA-D744-89F3-2778D6AC4DA5}">
      <text>
        <r>
          <rPr>
            <b/>
            <sz val="10"/>
            <color rgb="FF000000"/>
            <rFont val="Tahoma"/>
            <family val="2"/>
          </rPr>
          <t>Colt McCoy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57" authorId="0" shapeId="0" xr:uid="{9467B31C-957C-9D49-B8F6-D433B6F000DF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O157" authorId="0" shapeId="0" xr:uid="{F0DEF829-6BA7-324C-B2CB-4FE67597F5B6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R157" authorId="0" shapeId="0" xr:uid="{D49A2535-F787-8E4B-BC95-BB458D63226C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L158" authorId="0" shapeId="0" xr:uid="{8C248184-C939-D144-8248-A00EA1596BBD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O158" authorId="0" shapeId="0" xr:uid="{5F30CFAE-A51B-B44E-857F-7AF70183C85A}">
      <text>
        <r>
          <rPr>
            <b/>
            <sz val="10"/>
            <color rgb="FF000000"/>
            <rFont val="Calibri"/>
            <family val="2"/>
          </rPr>
          <t>Damiere Byrd-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58" authorId="0" shapeId="0" xr:uid="{520403E2-58C5-394A-ADD7-906F15590994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59" authorId="0" shapeId="0" xr:uid="{79DB5090-CF8A-BF44-8C93-10DBAC69E9D0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59" authorId="0" shapeId="0" xr:uid="{F065953F-7100-C24A-9E02-2351CF3A35EA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59" authorId="0" shapeId="0" xr:uid="{0D1A8B3A-4826-4441-A57A-7D1155C58CB7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60" authorId="0" shapeId="0" xr:uid="{A5869036-FE73-4048-9A21-1AE09050D296}">
      <text>
        <r>
          <rPr>
            <b/>
            <sz val="10"/>
            <color rgb="FF000000"/>
            <rFont val="Tahoma"/>
            <family val="2"/>
          </rPr>
          <t>Snead - Marquise Brown out</t>
        </r>
      </text>
    </comment>
    <comment ref="O160" authorId="0" shapeId="0" xr:uid="{13402FB7-99DD-4640-BB10-536D3F8DA0D7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R160" authorId="0" shapeId="0" xr:uid="{3B5BFEEB-988A-F341-A2D7-A85E38A5FEEE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X160" authorId="0" shapeId="0" xr:uid="{01B3D2C7-D100-B842-A8B4-23AFC471D8FA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O162" authorId="0" shapeId="0" xr:uid="{B59D2AC2-71F2-CA4D-B2EC-7EB424240DE0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62" authorId="0" shapeId="0" xr:uid="{9BE61BBE-91CA-464B-8FC0-9EA8FCCAAAFA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64" authorId="0" shapeId="0" xr:uid="{355C79C6-3558-7C4F-8FC1-B82CE008F8DF}">
      <text>
        <r>
          <rPr>
            <b/>
            <sz val="10"/>
            <color rgb="FF000000"/>
            <rFont val="Tahoma"/>
            <family val="2"/>
          </rPr>
          <t>Cooper injured in 1st Q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64" authorId="0" shapeId="0" xr:uid="{2A177951-83E9-DE44-A3F8-2B0A7589FEB7}">
      <text>
        <r>
          <rPr>
            <b/>
            <sz val="10"/>
            <color rgb="FF000000"/>
            <rFont val="Tahoma"/>
            <family val="2"/>
          </rPr>
          <t>Gallup - Cobb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64" authorId="0" shapeId="0" xr:uid="{F5A64101-9CEB-F347-96C2-78F42A490768}">
      <text>
        <r>
          <rPr>
            <b/>
            <sz val="10"/>
            <color rgb="FF000000"/>
            <rFont val="Tahoma"/>
            <family val="2"/>
          </rPr>
          <t>Tavon Austin - Cobb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66" authorId="0" shapeId="0" xr:uid="{022775AA-138B-B34F-8E85-048274B509AF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166" authorId="0" shapeId="0" xr:uid="{4101856C-7198-B14A-9BCE-B83E7DEAAC36}">
      <text>
        <r>
          <rPr>
            <b/>
            <sz val="10"/>
            <color rgb="FF000000"/>
            <rFont val="Tahoma"/>
            <family val="2"/>
          </rPr>
          <t>MArvin Hall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67" authorId="0" shapeId="0" xr:uid="{4941FBEF-108F-9A48-80C0-E730CB4D9E25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O167" authorId="0" shapeId="0" xr:uid="{EAE5DAE4-C5CA-BE46-A785-03C5FA9E1E88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R167" authorId="0" shapeId="0" xr:uid="{89D488EA-5C03-6045-905D-F1E0A599D308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O168" authorId="0" shapeId="0" xr:uid="{FC381DF8-B6FE-0E4C-8D78-A6E67B916553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R168" authorId="0" shapeId="0" xr:uid="{FE8C8BE5-3170-804C-902B-BA334E4280AC}">
      <text>
        <r>
          <rPr>
            <b/>
            <sz val="10"/>
            <color rgb="FF000000"/>
            <rFont val="Tahoma"/>
            <family val="2"/>
          </rPr>
          <t>Coutee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69" authorId="0" shapeId="0" xr:uid="{82540B51-7B9D-8E4C-959C-7B16A3E38BA2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169" authorId="0" shapeId="0" xr:uid="{F9A95572-E3A3-9A42-8937-D51685FBEA50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L170" authorId="0" shapeId="0" xr:uid="{098AE2B8-62FC-C74C-9F54-447111C14367}">
      <text>
        <r>
          <rPr>
            <b/>
            <sz val="10"/>
            <color rgb="FF000000"/>
            <rFont val="Tahoma"/>
            <family val="2"/>
          </rPr>
          <t>Tyreek Hill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70" authorId="0" shapeId="0" xr:uid="{F6E6D9D1-565C-8B40-A9A1-7E7EF163CA99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- Watkins out</t>
        </r>
      </text>
    </comment>
    <comment ref="R170" authorId="0" shapeId="0" xr:uid="{331503AA-DE5B-F947-940A-68968A28A040}">
      <text>
        <r>
          <rPr>
            <b/>
            <sz val="10"/>
            <color rgb="FF000000"/>
            <rFont val="Tahoma"/>
            <family val="2"/>
          </rPr>
          <t>Pringle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1" authorId="0" shapeId="0" xr:uid="{99FE835B-E8EA-474E-B110-16CBCD386A49}">
      <text>
        <r>
          <rPr>
            <b/>
            <sz val="10"/>
            <color rgb="FF000000"/>
            <rFont val="Tahoma"/>
            <family val="2"/>
          </rPr>
          <t>Melvin Gordon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171" authorId="0" shapeId="0" xr:uid="{41C13764-CDA3-4C43-90C6-4CED4C3574C6}">
      <text>
        <r>
          <rPr>
            <b/>
            <sz val="10"/>
            <color rgb="FF000000"/>
            <rFont val="Tahoma"/>
            <family val="2"/>
          </rPr>
          <t>Ekeler</t>
        </r>
      </text>
    </comment>
    <comment ref="F172" authorId="0" shapeId="0" xr:uid="{F3EF3A41-AB4C-4246-BF0B-FF3F2E5DB66F}">
      <text>
        <r>
          <rPr>
            <b/>
            <sz val="10"/>
            <color rgb="FF000000"/>
            <rFont val="Tahoma"/>
            <family val="2"/>
          </rPr>
          <t>Malcolm Brown - Gurley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72" authorId="0" shapeId="0" xr:uid="{1F3E13F0-806C-5340-A6DC-70750279EF23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O172" authorId="0" shapeId="0" xr:uid="{4373DF70-5B16-5A42-9915-12446030777E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172" authorId="0" shapeId="0" xr:uid="{FF465AF6-23D8-E84F-8946-1F8E34EFC516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L173" authorId="0" shapeId="0" xr:uid="{525778FD-60D2-6045-9355-597B2BD0BF25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O173" authorId="0" shapeId="0" xr:uid="{0022E37F-6E7F-214F-B407-ACD5503D9612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73" authorId="0" shapeId="0" xr:uid="{32EE7BF7-0D03-4042-A064-B311D204E8AF}">
      <text>
        <r>
          <rPr>
            <b/>
            <sz val="10"/>
            <color rgb="FF000000"/>
            <rFont val="Tahoma"/>
            <family val="2"/>
          </rPr>
          <t>Albert Wilson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75" authorId="0" shapeId="0" xr:uid="{E2F73D6B-1108-DA43-9559-963779681917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75" authorId="0" shapeId="0" xr:uid="{D5412FE7-64B2-D248-BB4A-C435C9CAB832}">
      <text>
        <r>
          <rPr>
            <b/>
            <sz val="10"/>
            <color rgb="FF000000"/>
            <rFont val="Tahoma"/>
            <family val="2"/>
          </rPr>
          <t>Josh Gordon - inj 1st quater and Dorsett out</t>
        </r>
      </text>
    </comment>
    <comment ref="R175" authorId="0" shapeId="0" xr:uid="{10799CB1-A311-C641-8B72-535792A57320}">
      <text>
        <r>
          <rPr>
            <b/>
            <sz val="10"/>
            <color rgb="FF000000"/>
            <rFont val="Tahoma"/>
            <family val="2"/>
          </rPr>
          <t>Jakobi Meyers - Dorsett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76" authorId="0" shapeId="0" xr:uid="{CA07C486-4070-A14B-8B28-480BD42F309F}">
      <text>
        <r>
          <rPr>
            <b/>
            <sz val="10"/>
            <color rgb="FF000000"/>
            <rFont val="Tahoma"/>
            <family val="2"/>
          </rPr>
          <t>Ted Ginn</t>
        </r>
      </text>
    </comment>
    <comment ref="F177" authorId="0" shapeId="0" xr:uid="{4C7C88F1-5187-874A-937C-DA338EFB74B3}">
      <text>
        <r>
          <rPr>
            <b/>
            <sz val="10"/>
            <color rgb="FF000000"/>
            <rFont val="Tahoma"/>
            <family val="2"/>
          </rPr>
          <t>Saqoun and Gallman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177" authorId="0" shapeId="0" xr:uid="{CCD4F6A4-1A1D-D242-A4E2-42384CACD65D}">
      <text>
        <r>
          <rPr>
            <b/>
            <sz val="10"/>
            <color rgb="FF000000"/>
            <rFont val="Tahoma"/>
            <family val="2"/>
          </rPr>
          <t>Saqoun and Gallman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77" authorId="0" shapeId="0" xr:uid="{373978B1-3646-4E41-BFBE-14E9123F21B2}">
      <text>
        <r>
          <rPr>
            <b/>
            <sz val="10"/>
            <color rgb="FF000000"/>
            <rFont val="Tahoma"/>
            <family val="2"/>
          </rPr>
          <t>Tate - Shepard and Engram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77" authorId="0" shapeId="0" xr:uid="{A3825093-D1F3-CE4E-9D4D-B16991134CBB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and Engram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77" authorId="0" shapeId="0" xr:uid="{B24AFD76-9FFB-104A-A9F3-76D3D9AD0A36}">
      <text>
        <r>
          <rPr>
            <b/>
            <sz val="10"/>
            <color rgb="FF000000"/>
            <rFont val="Calibri"/>
            <family val="2"/>
          </rPr>
          <t>Shepard and Engram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X177" authorId="0" shapeId="0" xr:uid="{BB044975-BC8F-EB46-A035-9BC206720866}">
      <text>
        <r>
          <rPr>
            <b/>
            <sz val="10"/>
            <color rgb="FF000000"/>
            <rFont val="Calibri"/>
            <family val="2"/>
            <scheme val="minor"/>
          </rPr>
          <t>Shepard and Engram out</t>
        </r>
        <r>
          <rPr>
            <sz val="10"/>
            <color rgb="FF000000"/>
            <rFont val="Calibri"/>
            <family val="2"/>
            <scheme val="minor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78" authorId="0" shapeId="0" xr:uid="{DED455E7-A345-124B-BF8B-551548CF7CE5}">
      <text>
        <r>
          <rPr>
            <b/>
            <sz val="10"/>
            <color rgb="FF000000"/>
            <rFont val="Tahoma"/>
            <family val="2"/>
          </rPr>
          <t>Sam Darnold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78" authorId="0" shapeId="0" xr:uid="{DF3A84FF-DB39-5645-B186-7EB9BBCE5380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78" authorId="0" shapeId="0" xr:uid="{0C4E2BB2-D92D-CA4D-8B73-049DB0D96682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79" authorId="0" shapeId="0" xr:uid="{6B9C0595-251A-2043-9BB4-AC5E3A97D6EB}">
      <text>
        <r>
          <rPr>
            <b/>
            <sz val="10"/>
            <color rgb="FF000000"/>
            <rFont val="Tahoma"/>
            <family val="2"/>
          </rPr>
          <t>Jordon Howard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179" authorId="0" shapeId="0" xr:uid="{2F7BD394-E16A-AB4F-BA07-B6E8E0DF664B}">
      <text>
        <r>
          <rPr>
            <b/>
            <sz val="10"/>
            <color rgb="FF000000"/>
            <rFont val="Tahoma"/>
            <family val="2"/>
          </rPr>
          <t>Miles Sanders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79" authorId="0" shapeId="0" xr:uid="{4B7A51FD-0E69-2049-BF0E-F03FE0BCA585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79" authorId="0" shapeId="0" xr:uid="{E091832A-2000-D240-8B67-8782FFB9C28E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R179" authorId="0" shapeId="0" xr:uid="{72AC79DF-BE7D-8948-B03D-2CA3BADFD6E7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80" authorId="0" shapeId="0" xr:uid="{C6ED66D8-A459-694A-A595-D4EABB045BBC}">
      <text>
        <r>
          <rPr>
            <b/>
            <sz val="10"/>
            <color rgb="FF000000"/>
            <rFont val="Tahoma"/>
            <family val="2"/>
          </rPr>
          <t>Devlin Hodge - Rudolph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80" authorId="0" shapeId="0" xr:uid="{C19FABB5-000A-D942-9B2B-B03C1B34BFD9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80" authorId="0" shapeId="0" xr:uid="{8CA4A421-601D-644E-9EC3-6EB6A2B6E051}">
      <text>
        <r>
          <rPr>
            <b/>
            <sz val="10"/>
            <color rgb="FF000000"/>
            <rFont val="Tahoma"/>
            <family val="2"/>
          </rPr>
          <t>Moncrief</t>
        </r>
      </text>
    </comment>
    <comment ref="F181" authorId="0" shapeId="0" xr:uid="{0748E618-1049-824F-8052-BC3E17420502}">
      <text>
        <r>
          <rPr>
            <b/>
            <sz val="10"/>
            <color rgb="FF000000"/>
            <rFont val="Tahoma"/>
            <family val="2"/>
          </rPr>
          <t>Coleman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181" authorId="0" shapeId="0" xr:uid="{A30A7AFC-92A8-F34D-830F-A23028BA7961}">
      <text>
        <r>
          <rPr>
            <b/>
            <sz val="10"/>
            <color rgb="FF000000"/>
            <rFont val="Tahoma"/>
            <family val="2"/>
          </rPr>
          <t>Breida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81" authorId="0" shapeId="0" xr:uid="{C39FAF56-9933-354E-A876-6DCD7A1C8B8B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81" authorId="0" shapeId="0" xr:uid="{F2609C84-321F-674C-8521-C13E5CB9545D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R181" authorId="0" shapeId="0" xr:uid="{8B1F4DF3-355D-0948-ABDB-8C22C93F6C42}">
      <text>
        <r>
          <rPr>
            <b/>
            <sz val="10"/>
            <color rgb="FF000000"/>
            <rFont val="Tahoma"/>
            <family val="2"/>
          </rPr>
          <t>Marquise Goodwin</t>
        </r>
      </text>
    </comment>
    <comment ref="O182" authorId="0" shapeId="0" xr:uid="{CBF65492-42A7-D74D-88E9-BB680402CD93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182" authorId="0" shapeId="0" xr:uid="{3DE7A7DF-71CF-EF48-9966-815C7F1D0138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X182" authorId="0" shapeId="0" xr:uid="{9AB1D70A-93BB-284B-89C0-4187E632F863}">
      <text>
        <r>
          <rPr>
            <b/>
            <sz val="10"/>
            <color rgb="FF000000"/>
            <rFont val="Tahoma"/>
            <family val="2"/>
          </rPr>
          <t>Dissly injurd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83" authorId="0" shapeId="0" xr:uid="{49289D5F-4F2F-374D-987A-0597EA803F9A}">
      <text>
        <r>
          <rPr>
            <b/>
            <sz val="10"/>
            <color rgb="FF000000"/>
            <rFont val="Tahoma"/>
            <family val="2"/>
          </rPr>
          <t xml:space="preserve">Evans
</t>
        </r>
      </text>
    </comment>
    <comment ref="E184" authorId="0" shapeId="0" xr:uid="{609870C3-2187-6241-AC56-3BC38D503491}">
      <text>
        <r>
          <rPr>
            <b/>
            <sz val="10"/>
            <color rgb="FF000000"/>
            <rFont val="Tahoma"/>
            <family val="2"/>
          </rPr>
          <t>Mariota benched half way thru - Tannehill in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84" authorId="0" shapeId="0" xr:uid="{6DA97D39-6E0A-6047-90FA-333E8A153FC8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O184" authorId="0" shapeId="0" xr:uid="{3B05E278-6471-6D47-8739-2E01E88427A2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R184" authorId="0" shapeId="0" xr:uid="{4C5CF159-348F-3A4E-A17C-0BCA452DFF1F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E185" authorId="0" shapeId="0" xr:uid="{454E2728-8E3C-144E-84F7-4DA7C35AFF3B}">
      <text>
        <r>
          <rPr>
            <b/>
            <sz val="10"/>
            <color rgb="FF000000"/>
            <rFont val="Tahoma"/>
            <family val="2"/>
          </rPr>
          <t>Keenum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85" authorId="0" shapeId="0" xr:uid="{35B39970-92B5-CB4E-88D3-7D32499111EB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O185" authorId="0" shapeId="0" xr:uid="{0EA053CB-4BB9-A643-8DC0-9E54AD0AFA35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R185" authorId="0" shapeId="0" xr:uid="{82759CB6-1277-AE4F-8AC4-EDFA848172EA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X185" authorId="0" shapeId="0" xr:uid="{CC474FF8-E5D5-8C4B-9D23-B5B9E4965F05}">
      <text>
        <r>
          <rPr>
            <b/>
            <sz val="10"/>
            <color rgb="FF000000"/>
            <rFont val="Tahoma"/>
            <family val="2"/>
          </rPr>
          <t>Sprinkle - Davis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86" authorId="0" shapeId="0" xr:uid="{A5D8BD07-0A0C-C24A-9300-E5564A84FE9F}">
      <text>
        <r>
          <rPr>
            <b/>
            <sz val="10"/>
            <color rgb="FF000000"/>
            <rFont val="Tahoma"/>
            <family val="2"/>
          </rPr>
          <t>Chase Edmonds - DJ only played a few snaps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186" authorId="0" shapeId="0" xr:uid="{6F952A32-38CD-E248-A23C-D5515AC578D0}">
      <text>
        <r>
          <rPr>
            <b/>
            <sz val="10"/>
            <color rgb="FF000000"/>
            <rFont val="Tahoma"/>
            <family val="2"/>
          </rPr>
          <t>DJ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86" authorId="0" shapeId="0" xr:uid="{AC1FEDFE-1312-E146-82B9-07C4A06709F6}">
      <text>
        <r>
          <rPr>
            <b/>
            <sz val="10"/>
            <color rgb="FF000000"/>
            <rFont val="Tahoma"/>
            <family val="2"/>
          </rPr>
          <t>Fitz - Kirk out</t>
        </r>
      </text>
    </comment>
    <comment ref="O186" authorId="0" shapeId="0" xr:uid="{172F8CA3-B8D6-BB41-B20E-2EFCE7133CF9}">
      <text>
        <r>
          <rPr>
            <b/>
            <sz val="10"/>
            <color rgb="FF000000"/>
            <rFont val="Tahoma"/>
            <family val="2"/>
          </rPr>
          <t xml:space="preserve">Pharoh Cooper - </t>
        </r>
        <r>
          <rPr>
            <b/>
            <sz val="10"/>
            <color rgb="FF000000"/>
            <rFont val="Calibri"/>
            <family val="2"/>
          </rPr>
          <t>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86" authorId="0" shapeId="0" xr:uid="{BC9E3EEB-35DB-654C-88C6-030CD479B651}">
      <text>
        <r>
          <rPr>
            <b/>
            <sz val="10"/>
            <color rgb="FF000000"/>
            <rFont val="Calibri"/>
            <family val="2"/>
          </rPr>
          <t>Damiere Byrd- Kirk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87" authorId="0" shapeId="0" xr:uid="{9610A6D1-EB94-874D-9F62-5AA774D1B4E8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87" authorId="0" shapeId="0" xr:uid="{BAB0DD10-A930-8745-9ECA-27E599711330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87" authorId="0" shapeId="0" xr:uid="{F7B6E5BB-A039-B84D-B099-368599E614CD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88" authorId="0" shapeId="0" xr:uid="{7C2E5B7F-73CF-2A49-B5B6-FE6B73FB1B80}">
      <text>
        <r>
          <rPr>
            <b/>
            <sz val="10"/>
            <color rgb="FF000000"/>
            <rFont val="Tahoma"/>
            <family val="2"/>
          </rPr>
          <t>Snead - Marquise Brown out</t>
        </r>
      </text>
    </comment>
    <comment ref="O188" authorId="0" shapeId="0" xr:uid="{35479D2E-8927-DA4C-B3BD-81D469BE3437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R188" authorId="0" shapeId="0" xr:uid="{F7EB2223-E5EE-2949-A61B-DFCA2C4748A9}">
      <text>
        <r>
          <rPr>
            <b/>
            <sz val="10"/>
            <color rgb="FF000000"/>
            <rFont val="Calibri"/>
            <family val="2"/>
          </rPr>
          <t>- Marquise Brown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F189" authorId="0" shapeId="0" xr:uid="{78A73563-DFC0-AD4C-86F0-3573553BA6AA}">
      <text>
        <r>
          <rPr>
            <b/>
            <sz val="10"/>
            <color rgb="FF000000"/>
            <rFont val="Tahoma"/>
            <family val="2"/>
          </rPr>
          <t>Singletary</t>
        </r>
      </text>
    </comment>
    <comment ref="I189" authorId="0" shapeId="0" xr:uid="{1EB0C9D6-1F91-0040-81E5-EB213EBB3802}">
      <text>
        <r>
          <rPr>
            <b/>
            <sz val="10"/>
            <color rgb="FF000000"/>
            <rFont val="Tahoma"/>
            <family val="2"/>
          </rPr>
          <t>Gore</t>
        </r>
      </text>
    </comment>
    <comment ref="O189" authorId="0" shapeId="0" xr:uid="{69BB896C-4376-BD4E-9FAC-0B59B33DA4BA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89" authorId="0" shapeId="0" xr:uid="{2E52588C-4E61-334B-9114-02A3093B03E0}">
      <text>
        <r>
          <rPr>
            <b/>
            <sz val="10"/>
            <color rgb="FF000000"/>
            <rFont val="Tahoma"/>
            <family val="2"/>
          </rPr>
          <t>Duke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90" authorId="0" shapeId="0" xr:uid="{61B8DEAA-7894-BB47-B576-511B4E3265BD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90" authorId="0" shapeId="0" xr:uid="{5EA59010-03AB-8647-ADB9-AC3C82534722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90" authorId="0" shapeId="0" xr:uid="{7840E041-78FF-4248-8D9A-5AEB84935B5A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91" authorId="0" shapeId="0" xr:uid="{392078F4-0118-C54C-9348-45AC0DE877EC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91" authorId="0" shapeId="0" xr:uid="{E165784E-C595-AD41-A1B1-19706CDF896C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92" authorId="0" shapeId="0" xr:uid="{3E371681-DB29-4D48-8BD1-8A1DD0D7763D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92" authorId="0" shapeId="0" xr:uid="{9573A5F9-6C48-A24C-97F9-D7AF9D448AAC}">
      <text>
        <r>
          <rPr>
            <b/>
            <sz val="10"/>
            <color rgb="FF000000"/>
            <rFont val="Tahoma"/>
            <family val="2"/>
          </rPr>
          <t>Cobb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94" authorId="0" shapeId="0" xr:uid="{AFD89EED-0274-0741-B3F1-7B8700463FD5}">
      <text>
        <r>
          <rPr>
            <b/>
            <sz val="10"/>
            <color rgb="FF000000"/>
            <rFont val="Tahoma"/>
            <family val="2"/>
          </rPr>
          <t>Ty Johnson - Kerryon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94" authorId="0" shapeId="0" xr:uid="{48B2EA3F-E982-B246-9369-D82D51A0BACC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194" authorId="0" shapeId="0" xr:uid="{452E76FD-8D01-644D-A2D3-1FA332D26E4C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L195" authorId="0" shapeId="0" xr:uid="{423AFE9D-8A78-DF4C-A461-1AD7832946E4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O195" authorId="0" shapeId="0" xr:uid="{BA1297C5-F836-5C4B-BC40-20C9446AB76C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R195" authorId="0" shapeId="0" xr:uid="{D1015C66-BB8D-8446-B192-DC5D88DCFB47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O196" authorId="0" shapeId="0" xr:uid="{E0A686B5-D128-3248-A6B4-DF53228C978C}">
      <text>
        <r>
          <rPr>
            <b/>
            <sz val="10"/>
            <color rgb="FF000000"/>
            <rFont val="Tahoma"/>
            <family val="2"/>
          </rPr>
          <t>Stills - Fuller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196" authorId="0" shapeId="0" xr:uid="{344DA9A2-A7D2-9347-8835-3DB2B839A7D4}">
      <text>
        <r>
          <rPr>
            <b/>
            <sz val="10"/>
            <color rgb="FF000000"/>
            <rFont val="Tahoma"/>
            <family val="2"/>
          </rPr>
          <t>Coutee - Fuller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97" authorId="0" shapeId="0" xr:uid="{CA0A77DE-DED8-D94E-94CB-11D68950CE9D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98" authorId="0" shapeId="0" xr:uid="{84E80798-5AE3-AE43-A916-0AA9D189CADB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R198" authorId="0" shapeId="0" xr:uid="{4B5D8D76-D244-7047-AEB3-127874A1B586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X198" authorId="0" shapeId="0" xr:uid="{2ED48D8E-EF6B-0F4A-B1C7-19E3AAC5E71B}">
      <text>
        <r>
          <rPr>
            <b/>
            <sz val="10"/>
            <color rgb="FF000000"/>
            <rFont val="Tahoma"/>
            <family val="2"/>
          </rPr>
          <t>O'Shaunnesey and Swaim out for season - The only 2 TEs that ran routes for Jags all season. Might funnel more targets to WRs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199" authorId="0" shapeId="0" xr:uid="{E8D59FAA-8B5C-A442-9C44-8348110D3045}">
      <text>
        <r>
          <rPr>
            <b/>
            <sz val="10"/>
            <color rgb="FF000000"/>
            <rFont val="Tahoma"/>
            <family val="2"/>
          </rPr>
          <t>Mahomes injured in game - Matt More played at least half of the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199" authorId="0" shapeId="0" xr:uid="{18AA97FE-7F6D-CC44-92DF-875D5E64F300}">
      <text>
        <r>
          <rPr>
            <b/>
            <sz val="10"/>
            <color rgb="FF000000"/>
            <rFont val="Tahoma"/>
            <family val="2"/>
          </rPr>
          <t>Tyreek Hill - Watkins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199" authorId="0" shapeId="0" xr:uid="{BE58B92B-86AD-5C45-A0FA-E0B57F9E1443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- Watkins out</t>
        </r>
      </text>
    </comment>
    <comment ref="R199" authorId="0" shapeId="0" xr:uid="{B7EC43B3-55FA-B441-815E-6A1CCD4BF90E}">
      <text>
        <r>
          <rPr>
            <b/>
            <sz val="10"/>
            <color rgb="FF000000"/>
            <rFont val="Tahoma"/>
            <family val="2"/>
          </rPr>
          <t>Demarcus Robinson</t>
        </r>
      </text>
    </comment>
    <comment ref="L200" authorId="0" shapeId="0" xr:uid="{B7A8FAC4-A0B4-1540-ABE6-6666A2207558}">
      <text>
        <r>
          <rPr>
            <b/>
            <sz val="10"/>
            <color rgb="FF000000"/>
            <rFont val="Tahoma"/>
            <family val="2"/>
          </rPr>
          <t xml:space="preserve">Keelan Doss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00" authorId="0" shapeId="0" xr:uid="{C5E7AF54-93A2-094C-B4CA-F6D63B5A6D15}">
      <text>
        <r>
          <rPr>
            <b/>
            <sz val="10"/>
            <color rgb="FF000000"/>
            <rFont val="Tahoma"/>
            <family val="2"/>
          </rPr>
          <t>Renfrow - Tyrell Williams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00" authorId="0" shapeId="0" xr:uid="{2C25E0E3-5F8C-9247-9CFA-06C0169A4A8A}">
      <text>
        <r>
          <rPr>
            <b/>
            <sz val="10"/>
            <color rgb="FF000000"/>
            <rFont val="Tahoma"/>
            <family val="2"/>
          </rPr>
          <t xml:space="preserve">Trevor Davis </t>
        </r>
        <r>
          <rPr>
            <b/>
            <sz val="10"/>
            <color rgb="FF000000"/>
            <rFont val="Calibri"/>
            <family val="2"/>
          </rPr>
          <t>- Tyrell Williams out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01" authorId="0" shapeId="0" xr:uid="{D1485F22-948E-9347-9742-E8EAAB748548}">
      <text>
        <r>
          <rPr>
            <b/>
            <sz val="10"/>
            <color rgb="FF000000"/>
            <rFont val="Tahoma"/>
            <family val="2"/>
          </rPr>
          <t>Melvin Gordon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01" authorId="0" shapeId="0" xr:uid="{262773E8-1FA2-704C-80DA-081B4C3D58B6}">
      <text>
        <r>
          <rPr>
            <b/>
            <sz val="10"/>
            <color rgb="FF000000"/>
            <rFont val="Tahoma"/>
            <family val="2"/>
          </rPr>
          <t>Ekeler</t>
        </r>
      </text>
    </comment>
    <comment ref="L202" authorId="0" shapeId="0" xr:uid="{A4011DF0-A6D3-4349-8F2D-2A2BE799E535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O202" authorId="0" shapeId="0" xr:uid="{02BF4ACF-5233-BC4E-B66B-5F9F29E3C80C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202" authorId="0" shapeId="0" xr:uid="{69222F54-FFBF-FC49-9779-64FB4C8C4531}">
      <text>
        <r>
          <rPr>
            <b/>
            <sz val="10"/>
            <color rgb="FF000000"/>
            <rFont val="Tahoma"/>
            <family val="2"/>
          </rPr>
          <t xml:space="preserve">Cooks
</t>
        </r>
      </text>
    </comment>
    <comment ref="E203" authorId="0" shapeId="0" xr:uid="{71E51A98-DE45-094D-A936-D212B4498988}">
      <text>
        <r>
          <rPr>
            <b/>
            <sz val="10"/>
            <color rgb="FF000000"/>
            <rFont val="Tahoma"/>
            <family val="2"/>
          </rPr>
          <t>Fitzpatrick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03" authorId="0" shapeId="0" xr:uid="{E553930F-2179-2A4B-B5A7-F84F1F0297A6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O203" authorId="0" shapeId="0" xr:uid="{38D563AD-EE4A-A74C-B1E1-AB248A612341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03" authorId="0" shapeId="0" xr:uid="{A90D46F1-F625-FF40-A186-53A3CD91EF08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05" authorId="0" shapeId="0" xr:uid="{DA69A145-2E31-DD45-8FD9-F809198AA6A6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05" authorId="0" shapeId="0" xr:uid="{329020A2-6B16-144F-8960-5EB66F312F30}">
      <text>
        <r>
          <rPr>
            <b/>
            <sz val="10"/>
            <color rgb="FF000000"/>
            <rFont val="Tahoma"/>
            <family val="2"/>
          </rPr>
          <t>Dorsett - Gordon out</t>
        </r>
      </text>
    </comment>
    <comment ref="R205" authorId="0" shapeId="0" xr:uid="{8F482745-0989-7041-B24F-79970EAF98D3}">
      <text>
        <r>
          <rPr>
            <b/>
            <sz val="10"/>
            <color rgb="FF000000"/>
            <rFont val="Tahoma"/>
            <family val="2"/>
          </rPr>
          <t>Jakobi Meyers - Gordon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06" authorId="0" shapeId="0" xr:uid="{1FFBAE73-BBCA-8E4A-A328-99187424485A}">
      <text>
        <r>
          <rPr>
            <b/>
            <sz val="10"/>
            <color rgb="FF000000"/>
            <rFont val="Tahoma"/>
            <family val="2"/>
          </rPr>
          <t>Latavius - Kamara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06" authorId="0" shapeId="0" xr:uid="{5A84652A-AC7B-BA48-8E2C-5FFB77058B22}">
      <text>
        <r>
          <rPr>
            <b/>
            <sz val="10"/>
            <color rgb="FF000000"/>
            <rFont val="Calibri"/>
            <family val="2"/>
          </rPr>
          <t>Tre'Quan and Cook out</t>
        </r>
        <r>
          <rPr>
            <sz val="10"/>
            <color rgb="FF000000"/>
            <rFont val="Calibri"/>
            <family val="2"/>
          </rPr>
          <t xml:space="preserve"> </t>
        </r>
      </text>
    </comment>
    <comment ref="O206" authorId="0" shapeId="0" xr:uid="{F2D2EFE3-EFF9-9B40-BD88-FA3A102AD94A}">
      <text>
        <r>
          <rPr>
            <b/>
            <sz val="10"/>
            <color rgb="FF000000"/>
            <rFont val="Tahoma"/>
            <family val="2"/>
          </rPr>
          <t>Ted Ginn - Tre'Quan and Cook out</t>
        </r>
      </text>
    </comment>
    <comment ref="L207" authorId="0" shapeId="0" xr:uid="{66CC1A96-DCA1-4540-97E1-F2C79A26BCF7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O207" authorId="0" shapeId="0" xr:uid="{42FFF364-6A12-0843-8F97-4AD746B6579D}">
      <text>
        <r>
          <rPr>
            <b/>
            <sz val="10"/>
            <color rgb="FF000000"/>
            <rFont val="Tahoma"/>
            <family val="2"/>
          </rPr>
          <t>Benny Fowler - 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07" authorId="0" shapeId="0" xr:uid="{A35530AF-8ACB-9141-8C3B-61E061E96E67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08" authorId="0" shapeId="0" xr:uid="{A476E4A5-BC83-CD43-8829-B5DE858D1A04}">
      <text>
        <r>
          <rPr>
            <b/>
            <sz val="10"/>
            <color rgb="FF000000"/>
            <rFont val="Tahoma"/>
            <family val="2"/>
          </rPr>
          <t>Sam Darnold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08" authorId="0" shapeId="0" xr:uid="{9BF89A9C-44D7-8B45-8798-0F2A8B51E167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08" authorId="0" shapeId="0" xr:uid="{F9187416-8F93-2C4F-8E8F-85FC4410CE13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08" authorId="0" shapeId="0" xr:uid="{C61C13C0-BF1A-7344-BDCB-C80E58D7C02B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09" authorId="0" shapeId="0" xr:uid="{C0D3CD5A-09A6-E74B-97E7-8917D9ACF388}">
      <text>
        <r>
          <rPr>
            <b/>
            <sz val="10"/>
            <color rgb="FF000000"/>
            <rFont val="Tahoma"/>
            <family val="2"/>
          </rPr>
          <t>Jordon Howard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09" authorId="0" shapeId="0" xr:uid="{080E33EF-B0ED-CC40-89C9-320B8F9E8C14}">
      <text>
        <r>
          <rPr>
            <b/>
            <sz val="10"/>
            <color rgb="FF000000"/>
            <rFont val="Tahoma"/>
            <family val="2"/>
          </rPr>
          <t>Miles Sanders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09" authorId="0" shapeId="0" xr:uid="{C7A41737-0EE5-274D-9683-E9E2FE859773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09" authorId="0" shapeId="0" xr:uid="{D1A70A5E-0E3A-9843-97A4-75466C4EB5AC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R209" authorId="0" shapeId="0" xr:uid="{10968AC7-2D92-084D-9C6A-0FD376EBD73E}">
      <text>
        <r>
          <rPr>
            <b/>
            <sz val="10"/>
            <color rgb="FF000000"/>
            <rFont val="Tahoma"/>
            <family val="2"/>
          </rPr>
          <t>Hollins -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0" authorId="0" shapeId="0" xr:uid="{37F4183F-60F3-9047-BAA4-F84B3E27313F}">
      <text>
        <r>
          <rPr>
            <b/>
            <sz val="10"/>
            <color rgb="FF000000"/>
            <rFont val="Tahoma"/>
            <family val="2"/>
          </rPr>
          <t>Coleman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10" authorId="0" shapeId="0" xr:uid="{94324D48-A2C2-324E-99A5-CA3BB4D2A1B2}">
      <text>
        <r>
          <rPr>
            <b/>
            <sz val="10"/>
            <color rgb="FF000000"/>
            <rFont val="Tahoma"/>
            <family val="2"/>
          </rPr>
          <t>Breida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10" authorId="0" shapeId="0" xr:uid="{63C200A6-5B71-7C41-AAED-8A397EC3D9AE}">
      <text>
        <r>
          <rPr>
            <b/>
            <sz val="10"/>
            <color rgb="FF000000"/>
            <rFont val="Tahoma"/>
            <family val="2"/>
          </rPr>
          <t>Kendrick Bourne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10" authorId="0" shapeId="0" xr:uid="{D82C276D-DD47-0B41-8654-F25D2176D49C}">
      <text>
        <r>
          <rPr>
            <b/>
            <sz val="10"/>
            <color rgb="FF000000"/>
            <rFont val="Tahoma"/>
            <family val="2"/>
          </rPr>
          <t>Richie James Jr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10" authorId="0" shapeId="0" xr:uid="{1B336574-39CE-9746-B8EE-6D2907E35060}">
      <text>
        <r>
          <rPr>
            <b/>
            <sz val="10"/>
            <color rgb="FF000000"/>
            <rFont val="Tahoma"/>
            <family val="2"/>
          </rPr>
          <t>Dante Pettis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11" authorId="0" shapeId="0" xr:uid="{333ED84C-2968-D54C-B9DB-48B7E078922B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R211" authorId="0" shapeId="0" xr:uid="{89D08B11-1921-C740-9BA4-3435009340CA}">
      <text>
        <r>
          <rPr>
            <b/>
            <sz val="10"/>
            <color rgb="FF000000"/>
            <rFont val="Tahoma"/>
            <family val="2"/>
          </rPr>
          <t>Jaron Brown</t>
        </r>
      </text>
    </comment>
    <comment ref="E212" authorId="0" shapeId="0" xr:uid="{0B974250-59DD-7E42-98BC-504D708F335E}">
      <text>
        <r>
          <rPr>
            <b/>
            <sz val="10"/>
            <color rgb="FF000000"/>
            <rFont val="Tahoma"/>
            <family val="2"/>
          </rPr>
          <t>Tannehill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12" authorId="0" shapeId="0" xr:uid="{72CDFEE7-2918-D84B-8A5E-9D4AA9B287A9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O212" authorId="0" shapeId="0" xr:uid="{1E720FB0-46F3-B041-AA8B-C12AAEABECA3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212" authorId="0" shapeId="0" xr:uid="{4589C909-53A9-B94B-BF2D-B35CE8EF93A8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E213" authorId="0" shapeId="0" xr:uid="{38AD8FEB-7850-A24C-ACBD-1EA086EE4367}">
      <text>
        <r>
          <rPr>
            <b/>
            <sz val="10"/>
            <color rgb="FF000000"/>
            <rFont val="Tahoma"/>
            <family val="2"/>
          </rPr>
          <t>Keenum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13" authorId="0" shapeId="0" xr:uid="{7F5446FF-A27A-BB4D-A178-5621CC264A25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O213" authorId="0" shapeId="0" xr:uid="{50424A96-087E-3C41-A26E-87EF1FD6BD73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R213" authorId="0" shapeId="0" xr:uid="{E73B18C0-4D0D-D643-A48B-E29FA79B02C7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X213" authorId="0" shapeId="0" xr:uid="{403D1D6D-36AA-204A-835C-977E9B951955}">
      <text>
        <r>
          <rPr>
            <b/>
            <sz val="10"/>
            <color rgb="FF000000"/>
            <rFont val="Tahoma"/>
            <family val="2"/>
          </rPr>
          <t>Sprinkle - Davis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4" authorId="0" shapeId="0" xr:uid="{6FB7591B-5C32-0448-AFA4-C97B7AD3F32B}">
      <text>
        <r>
          <rPr>
            <b/>
            <sz val="10"/>
            <color rgb="FF000000"/>
            <rFont val="Tahoma"/>
            <family val="2"/>
          </rPr>
          <t>Edmonds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14" authorId="0" shapeId="0" xr:uid="{5D6E4AA5-AD96-6F49-A194-422A756FB0EA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14" authorId="0" shapeId="0" xr:uid="{0F1551AF-9FEA-4D4A-8379-6723BAD3CD2D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15" authorId="0" shapeId="0" xr:uid="{45A632B8-FE0A-5641-A78B-579D3F8D8966}">
      <text>
        <r>
          <rPr>
            <b/>
            <sz val="10"/>
            <color rgb="FF000000"/>
            <rFont val="Tahoma"/>
            <family val="2"/>
          </rPr>
          <t>Matt Schaub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15" authorId="0" shapeId="0" xr:uid="{AA9E2B36-7B78-5D4C-9109-84C6F88A38F0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15" authorId="0" shapeId="0" xr:uid="{A9CFB1FF-7FA8-AF42-86CD-6D112ACF7E22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15" authorId="0" shapeId="0" xr:uid="{595CD9FC-B675-5E46-80A2-D2DCA4E6FBE0}">
      <text>
        <r>
          <rPr>
            <b/>
            <sz val="10"/>
            <color rgb="FF000000"/>
            <rFont val="Tahoma"/>
            <family val="2"/>
          </rPr>
          <t>Gage - Sanu traded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16" authorId="0" shapeId="0" xr:uid="{DEA0C00F-B9C5-624E-8C2C-2C46977DCBBB}">
      <text>
        <r>
          <rPr>
            <b/>
            <sz val="10"/>
            <color rgb="FF000000"/>
            <rFont val="Tahoma"/>
            <family val="2"/>
          </rPr>
          <t>Singletary</t>
        </r>
      </text>
    </comment>
    <comment ref="I216" authorId="0" shapeId="0" xr:uid="{739B2937-50E0-304E-A7F9-1BBFBAF56C1F}">
      <text>
        <r>
          <rPr>
            <b/>
            <sz val="10"/>
            <color rgb="FF000000"/>
            <rFont val="Tahoma"/>
            <family val="2"/>
          </rPr>
          <t>Gore</t>
        </r>
      </text>
    </comment>
    <comment ref="O216" authorId="0" shapeId="0" xr:uid="{FEB0AD73-155D-514F-AAA2-DF27AFE0DCF2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16" authorId="0" shapeId="0" xr:uid="{2E2E292A-E03D-1E42-B2D7-51862FDA1245}">
      <text>
        <r>
          <rPr>
            <b/>
            <sz val="10"/>
            <color rgb="FF000000"/>
            <rFont val="Tahoma"/>
            <family val="2"/>
          </rPr>
          <t>Duke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18" authorId="0" shapeId="0" xr:uid="{8BC01BA7-7C97-5A43-8C37-6D7A622ECE96}">
      <text>
        <r>
          <rPr>
            <b/>
            <sz val="10"/>
            <color rgb="FF000000"/>
            <rFont val="Tahoma"/>
            <family val="2"/>
          </rPr>
          <t>Allen Robinson - Gabriel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18" authorId="0" shapeId="0" xr:uid="{C95CA2DF-5E96-7247-BE37-40B7A8A645D7}">
      <text>
        <r>
          <rPr>
            <b/>
            <sz val="10"/>
            <color rgb="FF000000"/>
            <rFont val="Tahoma"/>
            <family val="2"/>
          </rPr>
          <t>Anthony Miller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18" authorId="0" shapeId="0" xr:uid="{23277BB7-9679-E549-8125-6BCC148BC7A3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19" authorId="0" shapeId="0" xr:uid="{6024E820-E3B4-C24A-B69C-0274EBA91617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19" authorId="0" shapeId="0" xr:uid="{3A345F3F-0A18-A843-9165-702FA0BAC782}">
      <text>
        <r>
          <rPr>
            <b/>
            <sz val="10"/>
            <color rgb="FF000000"/>
            <rFont val="Tahoma"/>
            <family val="2"/>
          </rPr>
          <t>Alex Erickson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2" authorId="0" shapeId="0" xr:uid="{B41438C5-DD61-4F4D-9620-4B238B90EDCC}">
      <text>
        <r>
          <rPr>
            <b/>
            <sz val="10"/>
            <color rgb="FF000000"/>
            <rFont val="Tahoma"/>
            <family val="2"/>
          </rPr>
          <t>Ty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22" authorId="0" shapeId="0" xr:uid="{F0BC198F-0898-0248-967A-B096EDC43BB8}">
      <text>
        <r>
          <rPr>
            <b/>
            <sz val="10"/>
            <color rgb="FF000000"/>
            <rFont val="Tahoma"/>
            <family val="2"/>
          </rPr>
          <t>Tra Carson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22" authorId="0" shapeId="0" xr:uid="{27FCB10A-89C3-EE47-8900-5485890AC653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L223" authorId="0" shapeId="0" xr:uid="{5A7ED91E-DC7A-BB4D-8B82-BD3E1539DB8C}">
      <text>
        <r>
          <rPr>
            <b/>
            <sz val="10"/>
            <color rgb="FF000000"/>
            <rFont val="Tahoma"/>
            <family val="2"/>
          </rPr>
          <t>MVS - Adams out</t>
        </r>
      </text>
    </comment>
    <comment ref="O223" authorId="0" shapeId="0" xr:uid="{AEA9ABE4-5CBE-D74E-B8D3-393882CFFFCB}">
      <text>
        <r>
          <rPr>
            <b/>
            <sz val="10"/>
            <color rgb="FF000000"/>
            <rFont val="Tahoma"/>
            <family val="2"/>
          </rPr>
          <t>Allison - Adams out</t>
        </r>
      </text>
    </comment>
    <comment ref="R223" authorId="0" shapeId="0" xr:uid="{CE1183B8-695C-EE4C-AC87-AE11D6CE331F}">
      <text>
        <r>
          <rPr>
            <b/>
            <sz val="10"/>
            <color rgb="FF000000"/>
            <rFont val="Tahoma"/>
            <family val="2"/>
          </rPr>
          <t>Allen Lazard - Adams out</t>
        </r>
      </text>
    </comment>
    <comment ref="O224" authorId="0" shapeId="0" xr:uid="{A938FF32-ADEE-E34C-836C-64BAB8588F30}">
      <text>
        <r>
          <rPr>
            <b/>
            <sz val="10"/>
            <color rgb="FF000000"/>
            <rFont val="Tahoma"/>
            <family val="2"/>
          </rPr>
          <t>Stills - Fuller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24" authorId="0" shapeId="0" xr:uid="{E18DADEE-706B-9448-B5BB-4B25A46E443F}">
      <text>
        <r>
          <rPr>
            <b/>
            <sz val="10"/>
            <color rgb="FF000000"/>
            <rFont val="Tahoma"/>
            <family val="2"/>
          </rPr>
          <t>Carter - Still out and Coutee benched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25" authorId="0" shapeId="0" xr:uid="{EBF48906-C82F-EC4A-8F41-2BDE5B8C7913}">
      <text>
        <r>
          <rPr>
            <b/>
            <sz val="10"/>
            <color rgb="FF000000"/>
            <rFont val="Tahoma"/>
            <family val="2"/>
          </rPr>
          <t>Zach Pascal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26" authorId="0" shapeId="0" xr:uid="{24069B72-3C45-C441-BE8E-BB45D2376F64}">
      <text>
        <r>
          <rPr>
            <b/>
            <sz val="10"/>
            <color rgb="FF000000"/>
            <rFont val="Tahoma"/>
            <family val="2"/>
          </rPr>
          <t>DJ Chark - Westbrook injured in game</t>
        </r>
      </text>
    </comment>
    <comment ref="O226" authorId="0" shapeId="0" xr:uid="{109A7B7E-9204-A445-AF85-80D4FECD7E49}">
      <text>
        <r>
          <rPr>
            <b/>
            <sz val="10"/>
            <color rgb="FF000000"/>
            <rFont val="Tahoma"/>
            <family val="2"/>
          </rPr>
          <t>Conley - Westbrook injured in game</t>
        </r>
      </text>
    </comment>
    <comment ref="E227" authorId="0" shapeId="0" xr:uid="{BDDFF3C1-BFE9-524A-8B82-81CEC548721E}">
      <text>
        <r>
          <rPr>
            <b/>
            <sz val="10"/>
            <color rgb="FF000000"/>
            <rFont val="Tahoma"/>
            <family val="2"/>
          </rPr>
          <t>Matt Moore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27" authorId="0" shapeId="0" xr:uid="{0E581B5F-D0CF-9E44-88CB-157BB2C14E13}">
      <text>
        <r>
          <rPr>
            <b/>
            <sz val="10"/>
            <color rgb="FF000000"/>
            <rFont val="Tahoma"/>
            <family val="2"/>
          </rPr>
          <t>Tyreek 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27" authorId="0" shapeId="0" xr:uid="{5B0C7175-4FBF-8C4B-83AB-97882C333662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R227" authorId="0" shapeId="0" xr:uid="{70804605-C9F8-FF43-9D5E-2CC760C144AB}">
      <text>
        <r>
          <rPr>
            <b/>
            <sz val="10"/>
            <color rgb="FF000000"/>
            <rFont val="Tahoma"/>
            <family val="2"/>
          </rPr>
          <t>Mecole Hardman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28" authorId="0" shapeId="0" xr:uid="{F111E25E-FF59-F842-9258-17DF0EE11027}">
      <text>
        <r>
          <rPr>
            <b/>
            <sz val="10"/>
            <color rgb="FF000000"/>
            <rFont val="Tahoma"/>
            <family val="2"/>
          </rPr>
          <t>Tyrell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28" authorId="0" shapeId="0" xr:uid="{1F026D9B-C642-9043-8055-86252C42EB46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29" authorId="0" shapeId="0" xr:uid="{8F4D010C-61CE-4B46-8BF8-88EA2A501F5C}">
      <text>
        <r>
          <rPr>
            <b/>
            <sz val="10"/>
            <color rgb="FF000000"/>
            <rFont val="Tahoma"/>
            <family val="2"/>
          </rPr>
          <t>Melvin Gordon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29" authorId="0" shapeId="0" xr:uid="{1A241B7C-CE75-264D-9A6C-D80876ED6CCF}">
      <text>
        <r>
          <rPr>
            <b/>
            <sz val="10"/>
            <color rgb="FF000000"/>
            <rFont val="Tahoma"/>
            <family val="2"/>
          </rPr>
          <t>Ekeler</t>
        </r>
      </text>
    </comment>
    <comment ref="L230" authorId="0" shapeId="0" xr:uid="{DEA8BBE3-8386-A14A-A2DC-FAD4B04C833F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O230" authorId="0" shapeId="0" xr:uid="{2944CD4C-7A7E-8E4F-B0D1-C90A35A1B784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230" authorId="0" shapeId="0" xr:uid="{A4EC0EE9-26ED-0D4F-BFC8-419EA4080A1A}">
      <text>
        <r>
          <rPr>
            <b/>
            <sz val="10"/>
            <color rgb="FF000000"/>
            <rFont val="Tahoma"/>
            <family val="2"/>
          </rPr>
          <t>Josh Reynolds - Cooks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31" authorId="0" shapeId="0" xr:uid="{032530DB-222F-3A44-A482-2FDC20A6BB1F}">
      <text>
        <r>
          <rPr>
            <b/>
            <sz val="10"/>
            <color rgb="FF000000"/>
            <rFont val="Tahoma"/>
            <family val="2"/>
          </rPr>
          <t>Fitzpatrick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31" authorId="0" shapeId="0" xr:uid="{16709F03-0046-CD48-AB84-F92785F2E6A1}">
      <text>
        <r>
          <rPr>
            <b/>
            <sz val="10"/>
            <color rgb="FF000000"/>
            <rFont val="Tahoma"/>
            <family val="2"/>
          </rPr>
          <t xml:space="preserve">Walton	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31" authorId="0" shapeId="0" xr:uid="{12EE4E71-A292-5941-A3B2-E5EB68B21340}">
      <text>
        <r>
          <rPr>
            <b/>
            <sz val="10"/>
            <color rgb="FF000000"/>
            <rFont val="Tahoma"/>
            <family val="2"/>
          </rPr>
          <t>Ballage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31" authorId="0" shapeId="0" xr:uid="{CF745F31-20B6-B84F-B8AA-563989D6A828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O231" authorId="0" shapeId="0" xr:uid="{F00E19EE-C143-FB46-9DE3-8E54D1EBB944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31" authorId="0" shapeId="0" xr:uid="{15299739-F43F-7C48-AE0A-1E7336434E48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32" authorId="0" shapeId="0" xr:uid="{7F615A58-AAED-634B-A51D-FB7A69D0E063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33" authorId="0" shapeId="0" xr:uid="{F8D2AEA6-D3B0-E14E-988E-00AC8D238EE1}">
      <text>
        <r>
          <rPr>
            <b/>
            <sz val="10"/>
            <color rgb="FF000000"/>
            <rFont val="Tahoma"/>
            <family val="2"/>
          </rPr>
          <t>Edelman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33" authorId="0" shapeId="0" xr:uid="{BE1FCF6D-1C44-414C-B739-CE99BA1D3ED9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33" authorId="0" shapeId="0" xr:uid="{F898FB8F-1A8B-994C-BB0F-734F570C2FF4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34" authorId="0" shapeId="0" xr:uid="{4E298349-2A3F-D942-A3A4-2E2357058168}">
      <text>
        <r>
          <rPr>
            <b/>
            <sz val="10"/>
            <color rgb="FF000000"/>
            <rFont val="Tahoma"/>
            <family val="2"/>
          </rPr>
          <t>Latavius - Kamara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35" authorId="0" shapeId="0" xr:uid="{A1F89FBD-673A-3B4D-A452-C56EB481B40B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O235" authorId="0" shapeId="0" xr:uid="{12D0D7B7-BDE8-1A45-8377-5A4CCDFD424B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36" authorId="0" shapeId="0" xr:uid="{AFC19374-A1B7-8642-BD67-27ABC613A4CF}">
      <text>
        <r>
          <rPr>
            <b/>
            <sz val="10"/>
            <color rgb="FF000000"/>
            <rFont val="Tahoma"/>
            <family val="2"/>
          </rPr>
          <t>Sam Darnold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36" authorId="0" shapeId="0" xr:uid="{35B2BBB3-06A3-8844-8B98-C9CAB083B0DA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36" authorId="0" shapeId="0" xr:uid="{3CD15AA5-7685-D743-B3E2-A7252E1C09CA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36" authorId="0" shapeId="0" xr:uid="{9755066D-6A78-0E46-BD04-8E492633A916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37" authorId="0" shapeId="0" xr:uid="{2622D184-F74B-C944-844C-1A70B4B416AF}">
      <text>
        <r>
          <rPr>
            <b/>
            <sz val="10"/>
            <color rgb="FF000000"/>
            <rFont val="Tahoma"/>
            <family val="2"/>
          </rPr>
          <t>Jordon Howard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37" authorId="0" shapeId="0" xr:uid="{D765A60F-08DF-8E44-9EE7-B5A27BA6F5B7}">
      <text>
        <r>
          <rPr>
            <b/>
            <sz val="10"/>
            <color rgb="FF000000"/>
            <rFont val="Tahoma"/>
            <family val="2"/>
          </rPr>
          <t>Miles Sanders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37" authorId="0" shapeId="0" xr:uid="{CF4A0958-51C5-8A4E-AC83-6992B92762EB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37" authorId="0" shapeId="0" xr:uid="{A463BBDA-4D01-254D-8C30-92DA3064BBDD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O238" authorId="0" shapeId="0" xr:uid="{F2C9B4B7-2138-594F-9D94-31C284935701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39" authorId="0" shapeId="0" xr:uid="{67AF30BE-DC58-A84E-806B-96E16CFD3325}">
      <text>
        <r>
          <rPr>
            <b/>
            <sz val="10"/>
            <color rgb="FF000000"/>
            <rFont val="Tahoma"/>
            <family val="2"/>
          </rPr>
          <t>Coleman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39" authorId="0" shapeId="0" xr:uid="{F1C0FDF7-6B81-2F45-AEF9-9F54472E8029}">
      <text>
        <r>
          <rPr>
            <b/>
            <sz val="10"/>
            <color rgb="FF000000"/>
            <rFont val="Tahoma"/>
            <family val="2"/>
          </rPr>
          <t>Breida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39" authorId="0" shapeId="0" xr:uid="{2C38848E-739C-2942-93CC-E10AA30561C9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O239" authorId="0" shapeId="0" xr:uid="{33870897-9541-2B4B-9D62-34E596414813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O240" authorId="0" shapeId="0" xr:uid="{E9363F3D-0158-4B4C-ABCF-880A8F3F769C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F241" authorId="0" shapeId="0" xr:uid="{3B53DFD0-8C32-4B4B-9A1F-DA105E420F27}">
      <text>
        <r>
          <rPr>
            <b/>
            <sz val="10"/>
            <color rgb="FF000000"/>
            <rFont val="Tahoma"/>
            <family val="2"/>
          </rPr>
          <t>Ronald Jones</t>
        </r>
      </text>
    </comment>
    <comment ref="I241" authorId="0" shapeId="0" xr:uid="{1DB98054-7CC0-8441-AB0D-46EFF6AD6B11}">
      <text>
        <r>
          <rPr>
            <b/>
            <sz val="10"/>
            <color rgb="FF000000"/>
            <rFont val="Tahoma"/>
            <family val="2"/>
          </rPr>
          <t>Peyton Barber</t>
        </r>
      </text>
    </comment>
    <comment ref="E242" authorId="0" shapeId="0" xr:uid="{C48F766E-8D8D-DB47-8DFA-3EDD000385AB}">
      <text>
        <r>
          <rPr>
            <b/>
            <sz val="10"/>
            <color rgb="FF000000"/>
            <rFont val="Tahoma"/>
            <family val="2"/>
          </rPr>
          <t>Tannehill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42" authorId="0" shapeId="0" xr:uid="{C16B7816-A797-BA4B-862F-82205834A002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O242" authorId="0" shapeId="0" xr:uid="{697EDEA2-5C72-E34D-BD16-F28B075F4A73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242" authorId="0" shapeId="0" xr:uid="{3ACAC0A1-F99D-4348-8013-94F3AE2A2A77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43" authorId="0" shapeId="0" xr:uid="{F0937929-5D78-BE4E-A778-B433609E13A9}">
      <text>
        <r>
          <rPr>
            <b/>
            <sz val="10"/>
            <color rgb="FF000000"/>
            <rFont val="Tahoma"/>
            <family val="2"/>
          </rPr>
          <t>Keenum injured in 2nd half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43" authorId="0" shapeId="0" xr:uid="{44D0315E-0E93-AA47-8978-23C34B67185E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O243" authorId="0" shapeId="0" xr:uid="{386D076D-1435-2141-90EC-38C95A354E1B}">
      <text>
        <r>
          <rPr>
            <b/>
            <sz val="10"/>
            <color rgb="FF000000"/>
            <rFont val="Tahoma"/>
            <family val="2"/>
          </rPr>
          <t xml:space="preserve">Trey Quinn
</t>
        </r>
      </text>
    </comment>
    <comment ref="R243" authorId="0" shapeId="0" xr:uid="{FD296E9B-C151-D54F-926C-98E7C9B253F8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F244" authorId="0" shapeId="0" xr:uid="{5AE8A264-ACD0-D248-9F93-849C4442DE39}">
      <text>
        <r>
          <rPr>
            <b/>
            <sz val="10"/>
            <color rgb="FF000000"/>
            <rFont val="Tahoma"/>
            <family val="2"/>
          </rPr>
          <t>Drake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44" authorId="0" shapeId="0" xr:uid="{6C9B1274-A48F-0C4B-8C1E-77FE2E1DE3CA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44" authorId="0" shapeId="0" xr:uid="{73B46DBE-2A68-2445-B24C-A7A4EF958D98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45" authorId="0" shapeId="0" xr:uid="{665D95D8-2A6D-8443-A6A6-72428D1BC4B7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F246" authorId="0" shapeId="0" xr:uid="{9947AFDA-2EC9-2D45-AD3E-2012CB24554A}">
      <text>
        <r>
          <rPr>
            <b/>
            <sz val="10"/>
            <color rgb="FF000000"/>
            <rFont val="Tahoma"/>
            <family val="2"/>
          </rPr>
          <t>Singletary</t>
        </r>
      </text>
    </comment>
    <comment ref="O246" authorId="0" shapeId="0" xr:uid="{69C6F816-E734-C44D-B0BC-2AA687356217}">
      <text>
        <r>
          <rPr>
            <b/>
            <sz val="10"/>
            <color rgb="FF000000"/>
            <rFont val="Tahoma"/>
            <family val="2"/>
          </rPr>
          <t>Beasley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48" authorId="0" shapeId="0" xr:uid="{2F77F830-2612-924A-BB5E-01B358DBD99C}">
      <text>
        <r>
          <rPr>
            <b/>
            <sz val="10"/>
            <color rgb="FF000000"/>
            <rFont val="Tahoma"/>
            <family val="2"/>
          </rPr>
          <t>Taylor gabriel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50" authorId="0" shapeId="0" xr:uid="{B522061B-2F68-F24C-81E7-6B13B9734ABC}">
      <text>
        <r>
          <rPr>
            <b/>
            <sz val="10"/>
            <color rgb="FF000000"/>
            <rFont val="Tahoma"/>
            <family val="2"/>
          </rPr>
          <t>Gallup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2" authorId="0" shapeId="0" xr:uid="{768A609D-4945-7E41-BC0D-2BD191E7DE3A}">
      <text>
        <r>
          <rPr>
            <b/>
            <sz val="10"/>
            <color rgb="FF000000"/>
            <rFont val="Tahoma"/>
            <family val="2"/>
          </rPr>
          <t>Ty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52" authorId="0" shapeId="0" xr:uid="{03EB9C25-DACA-6A4A-B264-0EF1228E5E58}">
      <text>
        <r>
          <rPr>
            <b/>
            <sz val="10"/>
            <color rgb="FF000000"/>
            <rFont val="Tahoma"/>
            <family val="2"/>
          </rPr>
          <t>J.D. McKissic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52" authorId="0" shapeId="0" xr:uid="{B12348B9-1847-DE48-9632-D0222F8A8C45}">
      <text>
        <r>
          <rPr>
            <b/>
            <sz val="10"/>
            <color rgb="FF000000"/>
            <rFont val="Tahoma"/>
            <family val="2"/>
          </rPr>
          <t>Marvin Jones</t>
        </r>
      </text>
    </comment>
    <comment ref="R252" authorId="0" shapeId="0" xr:uid="{62A7F9E1-BBC9-C147-92E2-F77CBCF794BA}">
      <text>
        <r>
          <rPr>
            <b/>
            <sz val="10"/>
            <color rgb="FF000000"/>
            <rFont val="Tahoma"/>
            <family val="2"/>
          </rPr>
          <t>Amendola</t>
        </r>
      </text>
    </comment>
    <comment ref="O253" authorId="0" shapeId="0" xr:uid="{A3875E6A-22E2-0841-BA4B-DAF1F80AA288}">
      <text>
        <r>
          <rPr>
            <b/>
            <sz val="10"/>
            <color rgb="FF000000"/>
            <rFont val="Tahoma"/>
            <family val="2"/>
          </rPr>
          <t>Lazard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54" authorId="0" shapeId="0" xr:uid="{A88896D0-DC10-B945-8915-798953EAFA46}">
      <text>
        <r>
          <rPr>
            <b/>
            <sz val="10"/>
            <color rgb="FF000000"/>
            <rFont val="Tahoma"/>
            <family val="2"/>
          </rPr>
          <t>Stills - Fuller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54" authorId="0" shapeId="0" xr:uid="{80141AB5-FA20-9243-9D38-247F638756FB}">
      <text>
        <r>
          <rPr>
            <b/>
            <sz val="10"/>
            <color rgb="FF000000"/>
            <rFont val="Tahoma"/>
            <family val="2"/>
          </rPr>
          <t>Carter - Still out and Coutee benched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55" authorId="0" shapeId="0" xr:uid="{01B2D14C-D83E-4C45-A7A5-EBEA60F52295}">
      <text>
        <r>
          <rPr>
            <b/>
            <sz val="10"/>
            <color rgb="FF000000"/>
            <rFont val="Tahoma"/>
            <family val="2"/>
          </rPr>
          <t>Hoyer - Brissett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55" authorId="0" shapeId="0" xr:uid="{CB1A5579-561B-C047-81C6-13ADD86373D0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55" authorId="0" shapeId="0" xr:uid="{0C78A511-2C68-E543-B978-5F74FEAD9C54}">
      <text>
        <r>
          <rPr>
            <b/>
            <sz val="10"/>
            <color rgb="FF000000"/>
            <rFont val="Tahoma"/>
            <family val="2"/>
          </rPr>
          <t>Parris Campbell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55" authorId="0" shapeId="0" xr:uid="{2B4D57B8-4CF2-BB4C-AFE8-68F171D870A8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56" authorId="0" shapeId="0" xr:uid="{DCEA0173-370A-5D4D-926E-23733173AE0E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O256" authorId="0" shapeId="0" xr:uid="{B715F5CA-F51A-4A41-9AE7-543756DC74B6}">
      <text>
        <r>
          <rPr>
            <b/>
            <sz val="10"/>
            <color rgb="FF000000"/>
            <rFont val="Tahoma"/>
            <family val="2"/>
          </rPr>
          <t>Conley</t>
        </r>
      </text>
    </comment>
    <comment ref="E257" authorId="0" shapeId="0" xr:uid="{D323E29C-752B-5044-B3B1-28AB6E38569D}">
      <text>
        <r>
          <rPr>
            <b/>
            <sz val="10"/>
            <color rgb="FF000000"/>
            <rFont val="Tahoma"/>
            <family val="2"/>
          </rPr>
          <t>Matt Moore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57" authorId="0" shapeId="0" xr:uid="{CD7A3FB3-430A-1E46-AD1C-1A1B24F0F12A}">
      <text>
        <r>
          <rPr>
            <b/>
            <sz val="10"/>
            <color rgb="FF000000"/>
            <rFont val="Tahoma"/>
            <family val="2"/>
          </rPr>
          <t>Damien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57" authorId="0" shapeId="0" xr:uid="{0E2F4AA0-5B51-D84A-BD47-361AB39C8C4D}">
      <text>
        <r>
          <rPr>
            <b/>
            <sz val="10"/>
            <color rgb="FF000000"/>
            <rFont val="Tahoma"/>
            <family val="2"/>
          </rPr>
          <t>McCoy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57" authorId="0" shapeId="0" xr:uid="{A8898D90-57B1-1643-8891-6D422E20378B}">
      <text>
        <r>
          <rPr>
            <b/>
            <sz val="10"/>
            <color rgb="FF000000"/>
            <rFont val="Tahoma"/>
            <family val="2"/>
          </rPr>
          <t>Tyreek 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57" authorId="0" shapeId="0" xr:uid="{7D8B00D9-BD82-9F4C-9FC6-8B4E6CC30921}">
      <text>
        <r>
          <rPr>
            <b/>
            <sz val="10"/>
            <color rgb="FF000000"/>
            <rFont val="Tahoma"/>
            <family val="2"/>
          </rPr>
          <t>Watkins</t>
        </r>
      </text>
    </comment>
    <comment ref="L258" authorId="0" shapeId="0" xr:uid="{AABFEA31-7AE2-644E-93CA-34656FC464ED}">
      <text>
        <r>
          <rPr>
            <b/>
            <sz val="10"/>
            <color rgb="FF000000"/>
            <rFont val="Tahoma"/>
            <family val="2"/>
          </rPr>
          <t>Tyrell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58" authorId="0" shapeId="0" xr:uid="{7A157417-418C-0F4C-B945-02F6E2400366}">
      <text>
        <r>
          <rPr>
            <b/>
            <sz val="10"/>
            <color rgb="FF000000"/>
            <rFont val="Tahoma"/>
            <family val="2"/>
          </rPr>
          <t>Renfrow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60" authorId="0" shapeId="0" xr:uid="{EC7C9BDF-77EC-1547-9B34-CBC0269E2F8F}">
      <text>
        <r>
          <rPr>
            <b/>
            <sz val="10"/>
            <color rgb="FF000000"/>
            <rFont val="Tahoma"/>
            <family val="2"/>
          </rPr>
          <t>Fitzpatrick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60" authorId="0" shapeId="0" xr:uid="{ED81E201-66C1-9046-8DF7-1080F3778407}">
      <text>
        <r>
          <rPr>
            <b/>
            <sz val="10"/>
            <color rgb="FF000000"/>
            <rFont val="Tahoma"/>
            <family val="2"/>
          </rPr>
          <t xml:space="preserve">Walton	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60" authorId="0" shapeId="0" xr:uid="{EE8CD4AF-20E4-4C49-9745-FD066DFD8676}">
      <text>
        <r>
          <rPr>
            <b/>
            <sz val="10"/>
            <color rgb="FF000000"/>
            <rFont val="Tahoma"/>
            <family val="2"/>
          </rPr>
          <t>Ballage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60" authorId="0" shapeId="0" xr:uid="{56BC0BF9-0627-5343-A30D-5E603CEC033A}">
      <text>
        <r>
          <rPr>
            <b/>
            <sz val="10"/>
            <color rgb="FF000000"/>
            <rFont val="Tahoma"/>
            <family val="2"/>
          </rPr>
          <t>Preston Williams</t>
        </r>
      </text>
    </comment>
    <comment ref="O260" authorId="0" shapeId="0" xr:uid="{DAC08AD8-514A-954A-A827-61EB3DD3D2B7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61" authorId="0" shapeId="0" xr:uid="{16005C7B-F7BE-8D48-A148-3BC063420932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62" authorId="0" shapeId="0" xr:uid="{DCE1E396-F3FD-9343-B71B-5DC0395C5DDA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62" authorId="0" shapeId="0" xr:uid="{50E3BDAD-B33F-9E47-9411-4DC9F685A964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63" authorId="0" shapeId="0" xr:uid="{756AFBEB-C215-AC4C-ACF1-51C866771C7C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O263" authorId="0" shapeId="0" xr:uid="{D5A4FF06-8FAB-404C-9D94-84D216F0750A}">
      <text>
        <r>
          <rPr>
            <b/>
            <sz val="10"/>
            <color rgb="FF000000"/>
            <rFont val="Tahoma"/>
            <family val="2"/>
          </rPr>
          <t>Latimer - 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64" authorId="0" shapeId="0" xr:uid="{C5AA4F8F-DBBF-504B-98EA-E47694B90200}">
      <text>
        <r>
          <rPr>
            <b/>
            <sz val="10"/>
            <color rgb="FF000000"/>
            <rFont val="Tahoma"/>
            <family val="2"/>
          </rPr>
          <t>Sam Darnold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64" authorId="0" shapeId="0" xr:uid="{CC71BA58-2FDD-5145-A75E-D1E6A1FCBB09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64" authorId="0" shapeId="0" xr:uid="{F5AB44D4-9A35-A54E-B7CD-9B483F0AD918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65" authorId="0" shapeId="0" xr:uid="{81007D22-3B4C-0748-A204-A303A9FF594C}">
      <text>
        <r>
          <rPr>
            <b/>
            <sz val="10"/>
            <color rgb="FF000000"/>
            <rFont val="Tahoma"/>
            <family val="2"/>
          </rPr>
          <t>Jordon Howard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65" authorId="0" shapeId="0" xr:uid="{090E7BED-6B9F-2B49-A33B-3EC5F1B1DE51}">
      <text>
        <r>
          <rPr>
            <b/>
            <sz val="10"/>
            <color rgb="FF000000"/>
            <rFont val="Tahoma"/>
            <family val="2"/>
          </rPr>
          <t>Miles Sanders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65" authorId="0" shapeId="0" xr:uid="{FD23F5CE-7051-3B4B-9C21-56A50CED9FAD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65" authorId="0" shapeId="0" xr:uid="{2FEF5061-CB5C-224E-A3AC-7705405C6FAD}">
      <text>
        <r>
          <rPr>
            <b/>
            <sz val="10"/>
            <color rgb="FF000000"/>
            <rFont val="Tahoma"/>
            <family val="2"/>
          </rPr>
          <t>Agholor</t>
        </r>
        <r>
          <rPr>
            <sz val="10"/>
            <color rgb="FF000000"/>
            <rFont val="Tahoma"/>
            <family val="2"/>
          </rPr>
          <t xml:space="preserve"> - DJax out</t>
        </r>
      </text>
    </comment>
    <comment ref="F266" authorId="0" shapeId="0" xr:uid="{FFFBA14B-51A2-3640-BE2D-AEB652E7E6F0}">
      <text>
        <r>
          <rPr>
            <b/>
            <sz val="10"/>
            <color rgb="FF000000"/>
            <rFont val="Tahoma"/>
            <family val="2"/>
          </rPr>
          <t>Samuels - Conner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66" authorId="0" shapeId="0" xr:uid="{486AF472-5FC4-5E4C-A61F-82230A2B9C4F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R266" authorId="0" shapeId="0" xr:uid="{2FE33BD8-BE64-6341-8591-4AFF1DC5DDA3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67" authorId="0" shapeId="0" xr:uid="{0D0B7571-0ECE-DB42-99AB-10E916CFD074}">
      <text>
        <r>
          <rPr>
            <b/>
            <sz val="10"/>
            <color rgb="FF000000"/>
            <rFont val="Tahoma"/>
            <family val="2"/>
          </rPr>
          <t>Coleman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67" authorId="0" shapeId="0" xr:uid="{17534A7D-5722-8644-A8CE-483D50C5B9FC}">
      <text>
        <r>
          <rPr>
            <b/>
            <sz val="10"/>
            <color rgb="FF000000"/>
            <rFont val="Tahoma"/>
            <family val="2"/>
          </rPr>
          <t>Breida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67" authorId="0" shapeId="0" xr:uid="{F7263A0C-B6D8-3F4B-9D5D-D44A7567C7DA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O267" authorId="0" shapeId="0" xr:uid="{FAA7AB47-5553-E243-A776-23562D7C10AC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O268" authorId="0" shapeId="0" xr:uid="{E420ADBF-BFFD-414A-A9A1-D3AE6E9896C9}">
      <text>
        <r>
          <rPr>
            <b/>
            <sz val="10"/>
            <color rgb="FF000000"/>
            <rFont val="Tahoma"/>
            <family val="2"/>
          </rPr>
          <t xml:space="preserve">Metcalf
</t>
        </r>
      </text>
    </comment>
    <comment ref="F269" authorId="0" shapeId="0" xr:uid="{5C5F0987-7A33-5244-8BB8-5ACF071CDD4D}">
      <text>
        <r>
          <rPr>
            <b/>
            <sz val="10"/>
            <color rgb="FF000000"/>
            <rFont val="Tahoma"/>
            <family val="2"/>
          </rPr>
          <t>Ronald Jones</t>
        </r>
      </text>
    </comment>
    <comment ref="I269" authorId="0" shapeId="0" xr:uid="{80C238EF-F1D3-EE4C-B99C-67161C6F99E5}">
      <text>
        <r>
          <rPr>
            <b/>
            <sz val="10"/>
            <color rgb="FF000000"/>
            <rFont val="Tahoma"/>
            <family val="2"/>
          </rPr>
          <t>Peyton Barber</t>
        </r>
      </text>
    </comment>
    <comment ref="E270" authorId="0" shapeId="0" xr:uid="{86E6FA9E-5F53-604E-B31A-56CC9F607A1E}">
      <text>
        <r>
          <rPr>
            <b/>
            <sz val="10"/>
            <color rgb="FF000000"/>
            <rFont val="Tahoma"/>
            <family val="2"/>
          </rPr>
          <t>Tannehill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70" authorId="0" shapeId="0" xr:uid="{1B298639-D926-DA4E-B53C-3391CA0A9555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O270" authorId="0" shapeId="0" xr:uid="{CB8873F6-9083-F946-A43D-34527FC4EA4D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R270" authorId="0" shapeId="0" xr:uid="{71A96105-87F0-5349-B402-C4E74CB06ABE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71" authorId="0" shapeId="0" xr:uid="{5087557B-453D-D04D-9C85-662EA0D7E3E9}">
      <text>
        <r>
          <rPr>
            <b/>
            <sz val="10"/>
            <color rgb="FF000000"/>
            <rFont val="Tahoma"/>
            <family val="2"/>
          </rPr>
          <t>Haskins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71" authorId="0" shapeId="0" xr:uid="{9B078DCD-5FDB-6548-8066-926BEAC7FD4A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O271" authorId="0" shapeId="0" xr:uid="{C87CF557-C1C0-0E42-BBC8-88217903C357}">
      <text>
        <r>
          <rPr>
            <b/>
            <sz val="10"/>
            <color rgb="FF000000"/>
            <rFont val="Tahoma"/>
            <family val="2"/>
          </rPr>
          <t>Paul Richardson</t>
        </r>
      </text>
    </comment>
    <comment ref="F272" authorId="0" shapeId="0" xr:uid="{32F06F86-8E86-E741-9273-6AAEECD5F8B7}">
      <text>
        <r>
          <rPr>
            <b/>
            <sz val="10"/>
            <color rgb="FF000000"/>
            <rFont val="Tahoma"/>
            <family val="2"/>
          </rPr>
          <t>Drake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72" authorId="0" shapeId="0" xr:uid="{BACB01C7-6C5B-E14C-9B23-5986127F6C28}">
      <text>
        <r>
          <rPr>
            <b/>
            <sz val="10"/>
            <color rgb="FF000000"/>
            <rFont val="Tahoma"/>
            <family val="2"/>
          </rPr>
          <t>DJ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72" authorId="0" shapeId="0" xr:uid="{02FACF87-6ACA-C24B-9373-7FCC0787FDCA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72" authorId="0" shapeId="0" xr:uid="{18452031-857A-154E-9D85-6D7866C199F9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73" authorId="0" shapeId="0" xr:uid="{27FC30D4-D403-924D-A938-451D305C8497}">
      <text>
        <r>
          <rPr>
            <b/>
            <sz val="10"/>
            <color rgb="FF000000"/>
            <rFont val="Tahoma"/>
            <family val="2"/>
          </rPr>
          <t>Julio Jones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73" authorId="0" shapeId="0" xr:uid="{8F77E93D-7521-764E-9384-552976DE1122}">
      <text>
        <r>
          <rPr>
            <b/>
            <sz val="10"/>
            <color rgb="FF000000"/>
            <rFont val="Tahoma"/>
            <family val="2"/>
          </rPr>
          <t>Calvin Ridely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73" authorId="0" shapeId="0" xr:uid="{96F3DECF-45D1-F04F-A798-638A1FF42DE9}">
      <text>
        <r>
          <rPr>
            <b/>
            <sz val="10"/>
            <color rgb="FF000000"/>
            <rFont val="Tahoma"/>
            <family val="2"/>
          </rPr>
          <t>Gage - Sanu traded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74" authorId="0" shapeId="0" xr:uid="{97CD683B-1289-374F-BB74-6D51D3FD7B5F}">
      <text>
        <r>
          <rPr>
            <b/>
            <sz val="10"/>
            <color rgb="FF000000"/>
            <rFont val="Tahoma"/>
            <family val="2"/>
          </rPr>
          <t>Marquise Brown</t>
        </r>
      </text>
    </comment>
    <comment ref="E278" authorId="0" shapeId="0" xr:uid="{6D5EFAC6-314E-6B4F-B42F-AB38DF956052}">
      <text>
        <r>
          <rPr>
            <b/>
            <sz val="10"/>
            <color rgb="FF000000"/>
            <rFont val="Tahoma"/>
            <family val="2"/>
          </rPr>
          <t>Ryan Finley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78" authorId="0" shapeId="0" xr:uid="{858D8BD4-843F-0743-97AE-5B720ED98DFC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79" authorId="0" shapeId="0" xr:uid="{2293EA04-1DCC-814C-98C6-C30CB5B78E80}">
      <text>
        <r>
          <rPr>
            <b/>
            <sz val="10"/>
            <color rgb="FF000000"/>
            <rFont val="Tahoma"/>
            <family val="2"/>
          </rPr>
          <t>Hunt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1" authorId="0" shapeId="0" xr:uid="{04FE66CE-26A9-EB4F-973F-4AA298CEBC87}">
      <text>
        <r>
          <rPr>
            <b/>
            <sz val="10"/>
            <color rgb="FF000000"/>
            <rFont val="Tahoma"/>
            <family val="2"/>
          </rPr>
          <t>Jeff Driskel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81" authorId="0" shapeId="0" xr:uid="{AD1F9556-F2C1-064A-B574-A7D87AE5EE86}">
      <text>
        <r>
          <rPr>
            <b/>
            <sz val="10"/>
            <color rgb="FF000000"/>
            <rFont val="Tahoma"/>
            <family val="2"/>
          </rPr>
          <t>J.D. McKissic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283" authorId="0" shapeId="0" xr:uid="{294A9623-955A-F143-B784-BC8DD25F5053}">
      <text>
        <r>
          <rPr>
            <b/>
            <sz val="10"/>
            <color rgb="FF000000"/>
            <rFont val="Tahoma"/>
            <family val="2"/>
          </rPr>
          <t>Hoyer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83" authorId="0" shapeId="0" xr:uid="{DF74CBA1-BC41-3F4B-ACE6-1D02AF94EC8F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83" authorId="0" shapeId="0" xr:uid="{958652B3-4C64-3848-81C2-795817251568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87" authorId="0" shapeId="0" xr:uid="{8D203FAF-3969-264D-8295-2060433C1C7F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O287" authorId="0" shapeId="0" xr:uid="{538D9D5E-8505-8B4A-9C99-48FC01A4B181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287" authorId="0" shapeId="0" xr:uid="{C1ED9A31-AD4C-E04F-8AA3-4092F197BB48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288" authorId="0" shapeId="0" xr:uid="{8D163D66-83C1-6744-994A-15D6A4B496E5}">
      <text>
        <r>
          <rPr>
            <b/>
            <sz val="10"/>
            <color rgb="FF000000"/>
            <rFont val="Tahoma"/>
            <family val="2"/>
          </rPr>
          <t>Fitzpatrick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88" authorId="0" shapeId="0" xr:uid="{16CAD831-9AC6-D146-8696-F2FD69377E3C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88" authorId="0" shapeId="0" xr:uid="{BE283A7A-6660-A543-8264-959B4640D5BD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88" authorId="0" shapeId="0" xr:uid="{06DFA901-29BD-B941-A925-FFE33407EE1F}">
      <text>
        <r>
          <rPr>
            <b/>
            <sz val="10"/>
            <color rgb="FF000000"/>
            <rFont val="Tahoma"/>
            <family val="2"/>
          </rPr>
          <t>Jakeem Grant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89" authorId="0" shapeId="0" xr:uid="{0228E4C1-4695-CC43-998F-DA74F9B3F8D8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91" authorId="0" shapeId="0" xr:uid="{5769131F-1669-CD4E-B59F-DB1D044EFD7E}">
      <text>
        <r>
          <rPr>
            <b/>
            <sz val="10"/>
            <color rgb="FF000000"/>
            <rFont val="Tahoma"/>
            <family val="2"/>
          </rPr>
          <t>Tate - Shepard out</t>
        </r>
      </text>
    </comment>
    <comment ref="O291" authorId="0" shapeId="0" xr:uid="{C65BF86B-E837-B840-859A-09A6884517B3}">
      <text>
        <r>
          <rPr>
            <b/>
            <sz val="10"/>
            <color rgb="FF000000"/>
            <rFont val="Tahoma"/>
            <family val="2"/>
          </rPr>
          <t xml:space="preserve">Slayton - </t>
        </r>
        <r>
          <rPr>
            <b/>
            <sz val="10"/>
            <color rgb="FF000000"/>
            <rFont val="Calibri"/>
            <family val="2"/>
          </rPr>
          <t>Shepard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92" authorId="0" shapeId="0" xr:uid="{50D67271-A7DE-144A-BDC2-295B06242B43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92" authorId="0" shapeId="0" xr:uid="{BE72EB6D-12CC-A94F-912E-9384E4ECEC09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292" authorId="0" shapeId="0" xr:uid="{FFAF0034-B364-A545-8454-A0F94261052F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93" authorId="0" shapeId="0" xr:uid="{7E5A4370-24AB-3A49-9E58-A6FD332B88C4}">
      <text>
        <r>
          <rPr>
            <b/>
            <sz val="10"/>
            <color rgb="FF000000"/>
            <rFont val="Tahoma"/>
            <family val="2"/>
          </rPr>
          <t>Samuels - Conner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93" authorId="0" shapeId="0" xr:uid="{06EEEEFD-6DF1-9748-B409-E205B551EFF8}">
      <text>
        <r>
          <rPr>
            <b/>
            <sz val="10"/>
            <color rgb="FF000000"/>
            <rFont val="Tahoma"/>
            <family val="2"/>
          </rPr>
          <t>James Washington</t>
        </r>
      </text>
    </comment>
    <comment ref="R293" authorId="0" shapeId="0" xr:uid="{9AEF0C66-1568-FA48-8B18-0C02C2A17A0E}">
      <text>
        <r>
          <rPr>
            <b/>
            <sz val="10"/>
            <color rgb="FF000000"/>
            <rFont val="Tahoma"/>
            <family val="2"/>
          </rPr>
          <t>Diontae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94" authorId="0" shapeId="0" xr:uid="{8D9F94C1-93E8-024D-A899-0210A7CA8D35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F296" authorId="0" shapeId="0" xr:uid="{8D728693-8164-F14E-95DA-2EAF074242E2}">
      <text>
        <r>
          <rPr>
            <b/>
            <sz val="10"/>
            <color rgb="FF000000"/>
            <rFont val="Tahoma"/>
            <family val="2"/>
          </rPr>
          <t>Ronald Jones</t>
        </r>
      </text>
    </comment>
    <comment ref="I296" authorId="0" shapeId="0" xr:uid="{F268FD09-B6C6-BE44-BB4C-B34A93F817AA}">
      <text>
        <r>
          <rPr>
            <b/>
            <sz val="10"/>
            <color rgb="FF000000"/>
            <rFont val="Tahoma"/>
            <family val="2"/>
          </rPr>
          <t>Peyton Barber</t>
        </r>
      </text>
    </comment>
    <comment ref="E297" authorId="0" shapeId="0" xr:uid="{B398D5B2-8267-B14C-A1A5-700FB58241C2}">
      <text>
        <r>
          <rPr>
            <b/>
            <sz val="10"/>
            <color rgb="FF000000"/>
            <rFont val="Tahoma"/>
            <family val="2"/>
          </rPr>
          <t>Tannehill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97" authorId="0" shapeId="0" xr:uid="{06A30EC7-2DF9-BB4F-9E2E-FF55502C5C11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O297" authorId="0" shapeId="0" xr:uid="{566E8EF9-A39A-824A-B6A1-97879A20732B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R297" authorId="0" shapeId="0" xr:uid="{238EC1EF-D3EA-2F43-9397-0218E6AE78E3}">
      <text>
        <r>
          <rPr>
            <b/>
            <sz val="10"/>
            <color rgb="FF000000"/>
            <rFont val="Tahoma"/>
            <family val="2"/>
          </rPr>
          <t>TaJae Sharpe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298" authorId="0" shapeId="0" xr:uid="{0B51BBF5-13D8-EC47-8FDD-6F12B624F5BC}">
      <text>
        <r>
          <rPr>
            <b/>
            <sz val="10"/>
            <color rgb="FF000000"/>
            <rFont val="Tahoma"/>
            <family val="2"/>
          </rPr>
          <t>Drake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98" authorId="0" shapeId="0" xr:uid="{DC375030-5AD7-E144-895D-9520F8527FDD}">
      <text>
        <r>
          <rPr>
            <b/>
            <sz val="10"/>
            <color rgb="FF000000"/>
            <rFont val="Tahoma"/>
            <family val="2"/>
          </rPr>
          <t>DJ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298" authorId="0" shapeId="0" xr:uid="{060E05F6-5F6C-2948-83B3-CBF55CE64E2E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298" authorId="0" shapeId="0" xr:uid="{27D6F298-7F1A-AD43-B48D-8C7EC981DEFA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04" authorId="0" shapeId="0" xr:uid="{54C26007-F05C-9448-BD27-7767680CC406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305" authorId="0" shapeId="0" xr:uid="{FB33F487-3473-B146-8309-094ED8476ECB}">
      <text>
        <r>
          <rPr>
            <b/>
            <sz val="10"/>
            <color rgb="FF000000"/>
            <rFont val="Tahoma"/>
            <family val="2"/>
          </rPr>
          <t>Hunt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08" authorId="0" shapeId="0" xr:uid="{0D7308D7-69AE-CD4D-96E1-75CAFF1F8566}">
      <text>
        <r>
          <rPr>
            <b/>
            <sz val="10"/>
            <color rgb="FF000000"/>
            <rFont val="Tahoma"/>
            <family val="2"/>
          </rPr>
          <t>Jeff Driskel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08" authorId="0" shapeId="0" xr:uid="{D39B3D7D-D330-B441-BB72-494964DB1835}">
      <text>
        <r>
          <rPr>
            <b/>
            <sz val="10"/>
            <color rgb="FF000000"/>
            <rFont val="Tahoma"/>
            <family val="2"/>
          </rPr>
          <t>Bo Scarbrough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308" authorId="0" shapeId="0" xr:uid="{DC832694-0B8F-8343-9989-E4E406773A23}">
      <text>
        <r>
          <rPr>
            <b/>
            <sz val="10"/>
            <color rgb="FF000000"/>
            <rFont val="Tahoma"/>
            <family val="2"/>
          </rPr>
          <t>J.D. McKissic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10" authorId="0" shapeId="0" xr:uid="{E0C3CF34-782A-F448-A9BA-DFAC97A793BD}">
      <text>
        <r>
          <rPr>
            <b/>
            <sz val="10"/>
            <color rgb="FF000000"/>
            <rFont val="Tahoma"/>
            <family val="2"/>
          </rPr>
          <t>Mack injured, but Williams took over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10" authorId="0" shapeId="0" xr:uid="{692309B0-DFFE-614F-B189-847C6B4E659F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10" authorId="0" shapeId="0" xr:uid="{31DC4A0A-9ED4-6A41-B061-30F496DD882E}">
      <text>
        <r>
          <rPr>
            <b/>
            <sz val="10"/>
            <color rgb="FF000000"/>
            <rFont val="Tahoma"/>
            <family val="2"/>
          </rPr>
          <t>Marcus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10" authorId="0" shapeId="0" xr:uid="{F7DFB742-2160-074E-BCAD-77D696C327EB}">
      <text>
        <r>
          <rPr>
            <b/>
            <sz val="10"/>
            <color rgb="FF000000"/>
            <rFont val="Tahoma"/>
            <family val="2"/>
          </rPr>
          <t>Chester Rodgers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11" authorId="0" shapeId="0" xr:uid="{98C08ACB-2FBD-D94E-ADD3-DC38551B87C1}">
      <text>
        <r>
          <rPr>
            <b/>
            <sz val="10"/>
            <color rgb="FF000000"/>
            <rFont val="Tahoma"/>
            <family val="2"/>
          </rPr>
          <t>DJ Chark</t>
        </r>
      </text>
    </comment>
    <comment ref="F312" authorId="0" shapeId="0" xr:uid="{B5A7C584-DDB5-B14A-8928-8200D8BFCE70}">
      <text>
        <r>
          <rPr>
            <b/>
            <sz val="10"/>
            <color rgb="FF000000"/>
            <rFont val="Tahoma"/>
            <family val="2"/>
          </rPr>
          <t>McCoy - Damien Williams injured in game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12" authorId="0" shapeId="0" xr:uid="{5E65B543-4909-AA48-9C66-2750BAB755AB}">
      <text>
        <r>
          <rPr>
            <b/>
            <sz val="10"/>
            <color rgb="FF000000"/>
            <rFont val="Tahoma"/>
            <family val="2"/>
          </rPr>
          <t>Watkins - Tyreek injured 1st drive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12" authorId="0" shapeId="0" xr:uid="{C7C32294-4E53-664B-A4C1-99D942670A20}">
      <text>
        <r>
          <rPr>
            <b/>
            <sz val="10"/>
            <color rgb="FF000000"/>
            <rFont val="Tahoma"/>
            <family val="2"/>
          </rPr>
          <t>Hardman - Tyreek injured 1st drive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15" authorId="0" shapeId="0" xr:uid="{A960B8CB-98B3-5C45-8386-667E24EC413D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O315" authorId="0" shapeId="0" xr:uid="{FE243684-FAE0-C944-84E0-BED470724312}">
      <text>
        <r>
          <rPr>
            <b/>
            <sz val="10"/>
            <color rgb="FF000000"/>
            <rFont val="Tahoma"/>
            <family val="2"/>
          </rPr>
          <t>Josh Reynolds - Cooks and Woods out</t>
        </r>
      </text>
    </comment>
    <comment ref="E316" authorId="0" shapeId="0" xr:uid="{89D580F1-07B0-1848-9E73-1BEB3C9D4FC6}">
      <text>
        <r>
          <rPr>
            <b/>
            <sz val="10"/>
            <color rgb="FF000000"/>
            <rFont val="Tahoma"/>
            <family val="2"/>
          </rPr>
          <t>Fitzpatrick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16" authorId="0" shapeId="0" xr:uid="{C5E07AFB-DC56-E34B-A037-7FE1BA240ED2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16" authorId="0" shapeId="0" xr:uid="{A0892C0F-3600-C24E-820B-FC514C33F8F2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16" authorId="0" shapeId="0" xr:uid="{A840202E-50F9-1A46-8AE3-01B612DA29FC}">
      <text>
        <r>
          <rPr>
            <b/>
            <sz val="10"/>
            <color rgb="FF000000"/>
            <rFont val="Tahoma"/>
            <family val="2"/>
          </rPr>
          <t>Jakeem Grant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17" authorId="0" shapeId="0" xr:uid="{C79ADFF9-6D42-284D-93EA-26C20EA094B9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18" authorId="0" shapeId="0" xr:uid="{B54B1C41-528D-EB4E-97BD-38287F3BC652}">
      <text>
        <r>
          <rPr>
            <b/>
            <sz val="10"/>
            <color rgb="FF000000"/>
            <rFont val="Tahoma"/>
            <family val="2"/>
          </rPr>
          <t>Sanu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18" authorId="0" shapeId="0" xr:uid="{07E6F9B3-3D15-6641-8AEF-B64B49BD8899}">
      <text>
        <r>
          <rPr>
            <b/>
            <sz val="10"/>
            <color rgb="FF000000"/>
            <rFont val="Tahoma"/>
            <family val="2"/>
          </rPr>
          <t>Dorsett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20" authorId="0" shapeId="0" xr:uid="{AEAE34FC-F10A-2F4A-A57F-BCB8E5189789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20" authorId="0" shapeId="0" xr:uid="{556467E7-8E38-F34E-A69C-5DC74B02FC37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R320" authorId="0" shapeId="0" xr:uid="{EB907CF3-A0D9-564C-A700-2795A6898BBC}">
      <text>
        <r>
          <rPr>
            <b/>
            <sz val="10"/>
            <color rgb="FF000000"/>
            <rFont val="Tahoma"/>
            <family val="2"/>
          </rPr>
          <t>Demaryius Thomas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21" authorId="0" shapeId="0" xr:uid="{9764B0F3-1490-934C-8FD4-21D2ED21FB8B}">
      <text>
        <r>
          <rPr>
            <b/>
            <sz val="10"/>
            <color rgb="FF000000"/>
            <rFont val="Tahoma"/>
            <family val="2"/>
          </rPr>
          <t>Sanders - Howard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21" authorId="0" shapeId="0" xr:uid="{DF6D3A7F-6C7A-214F-8AB1-D04C5D1331F8}">
      <text>
        <r>
          <rPr>
            <b/>
            <sz val="10"/>
            <color rgb="FF000000"/>
            <rFont val="Tahoma"/>
            <family val="2"/>
          </rPr>
          <t>Agholor -- Alshon and DJax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22" authorId="0" shapeId="0" xr:uid="{F85942AD-EC29-7240-9EB4-A7CAB0916E37}">
      <text>
        <r>
          <rPr>
            <b/>
            <sz val="10"/>
            <color rgb="FF000000"/>
            <rFont val="Tahoma"/>
            <family val="2"/>
          </rPr>
          <t>Conner injured in 1st half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22" authorId="0" shapeId="0" xr:uid="{2677258C-916F-C948-A78F-ABC22644596B}">
      <text>
        <r>
          <rPr>
            <b/>
            <sz val="10"/>
            <color rgb="FF000000"/>
            <rFont val="Tahoma"/>
            <family val="2"/>
          </rPr>
          <t>JuJu injured in 1st half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23" authorId="0" shapeId="0" xr:uid="{48BFEA11-3C08-6742-A94D-0E3C2591602B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F324" authorId="0" shapeId="0" xr:uid="{6DF2582F-0042-054A-B4DB-0DFAC7AC5463}">
      <text>
        <r>
          <rPr>
            <b/>
            <sz val="10"/>
            <color rgb="FF000000"/>
            <rFont val="Tahoma"/>
            <family val="2"/>
          </rPr>
          <t>Ronald Jones</t>
        </r>
      </text>
    </comment>
    <comment ref="I324" authorId="0" shapeId="0" xr:uid="{8899BA86-173D-7A48-9CA7-5C82B2176A9F}">
      <text>
        <r>
          <rPr>
            <b/>
            <sz val="10"/>
            <color rgb="FF000000"/>
            <rFont val="Tahoma"/>
            <family val="2"/>
          </rPr>
          <t>Peyton Barber</t>
        </r>
      </text>
    </comment>
    <comment ref="L325" authorId="0" shapeId="0" xr:uid="{15852B2D-C28C-354F-9BED-4853F450D7A1}">
      <text>
        <r>
          <rPr>
            <b/>
            <sz val="10"/>
            <color rgb="FF000000"/>
            <rFont val="Tahoma"/>
            <family val="2"/>
          </rPr>
          <t>Terry McLaurin</t>
        </r>
      </text>
    </comment>
    <comment ref="O331" authorId="0" shapeId="0" xr:uid="{9CC5986B-C45D-564D-8FD4-DC8B34D802C3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35" authorId="0" shapeId="0" xr:uid="{9597E616-652E-314B-A96E-984389632AAB}">
      <text>
        <r>
          <rPr>
            <b/>
            <sz val="10"/>
            <color rgb="FF000000"/>
            <rFont val="Tahoma"/>
            <family val="2"/>
          </rPr>
          <t>Jeff Driskel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35" authorId="0" shapeId="0" xr:uid="{5B01C41E-BA6D-1941-98F2-80D8909A6792}">
      <text>
        <r>
          <rPr>
            <b/>
            <sz val="10"/>
            <color rgb="FF000000"/>
            <rFont val="Tahoma"/>
            <family val="2"/>
          </rPr>
          <t>Bo Scarbrough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37" authorId="0" shapeId="0" xr:uid="{A603E622-1061-BE43-AB1D-DE1861EAD75F}">
      <text>
        <r>
          <rPr>
            <b/>
            <sz val="10"/>
            <color rgb="FF000000"/>
            <rFont val="Tahoma"/>
            <family val="2"/>
          </rPr>
          <t>Fuller</t>
        </r>
      </text>
    </comment>
    <comment ref="F338" authorId="0" shapeId="0" xr:uid="{6D970478-D93B-C342-88F0-AADD431067B0}">
      <text>
        <r>
          <rPr>
            <b/>
            <sz val="10"/>
            <color rgb="FF000000"/>
            <rFont val="Tahoma"/>
            <family val="2"/>
          </rPr>
          <t>Jonathan Williams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41" authorId="0" shapeId="0" xr:uid="{528076BF-DBAE-764E-8240-721D67DB955E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O341" authorId="0" shapeId="0" xr:uid="{CCE2591B-A006-2249-ABB1-6713227AB48D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341" authorId="0" shapeId="0" xr:uid="{607C0C05-3666-B745-AD4E-D909C7E5F597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E342" authorId="0" shapeId="0" xr:uid="{3A937718-9328-BF40-AB74-B571C08AF3EB}">
      <text>
        <r>
          <rPr>
            <b/>
            <sz val="10"/>
            <color rgb="FF000000"/>
            <rFont val="Tahoma"/>
            <family val="2"/>
          </rPr>
          <t>Fitzpatrick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42" authorId="0" shapeId="0" xr:uid="{FCE176EE-6225-5544-B45B-2FDF8ABBFEE2}">
      <text>
        <r>
          <rPr>
            <b/>
            <sz val="10"/>
            <color rgb="FF000000"/>
            <rFont val="Tahoma"/>
            <family val="2"/>
          </rPr>
          <t>Parker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42" authorId="0" shapeId="0" xr:uid="{51FAF645-AF19-E840-B243-7B99470CDB26}">
      <text>
        <r>
          <rPr>
            <b/>
            <sz val="10"/>
            <color rgb="FF000000"/>
            <rFont val="Tahoma"/>
            <family val="2"/>
          </rPr>
          <t>Allen Hurns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45" authorId="0" shapeId="0" xr:uid="{A22EB12A-F01D-2840-A445-2A3F3A4AEDDF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45" authorId="0" shapeId="0" xr:uid="{41618D6B-14B8-0A44-B67B-1A653962FA55}">
      <text>
        <r>
          <rPr>
            <b/>
            <sz val="10"/>
            <color rgb="FF000000"/>
            <rFont val="Tahoma"/>
            <family val="2"/>
          </rPr>
          <t>Tate</t>
        </r>
      </text>
    </comment>
    <comment ref="R345" authorId="0" shapeId="0" xr:uid="{07031425-3A3F-5D44-931E-8309537F20CD}">
      <text>
        <r>
          <rPr>
            <b/>
            <sz val="10"/>
            <color rgb="FF000000"/>
            <rFont val="Tahoma"/>
            <family val="2"/>
          </rPr>
          <t>Slayton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46" authorId="0" shapeId="0" xr:uid="{DE510E60-D994-5348-8808-D66A84738CD6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46" authorId="0" shapeId="0" xr:uid="{1B275EFC-2817-F14D-BB0F-8A29FC8AFF35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47" authorId="0" shapeId="0" xr:uid="{662DD8E6-53DC-ED46-B48D-D751825D018A}">
      <text>
        <r>
          <rPr>
            <b/>
            <sz val="10"/>
            <color rgb="FF000000"/>
            <rFont val="Tahoma"/>
            <family val="2"/>
          </rPr>
          <t>Sanders - Howard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48" authorId="0" shapeId="0" xr:uid="{9A622627-70F7-B94A-9FE8-C7D1E4769120}">
      <text>
        <r>
          <rPr>
            <b/>
            <sz val="10"/>
            <color rgb="FF000000"/>
            <rFont val="Tahoma"/>
            <family val="2"/>
          </rPr>
          <t>Snell - Conner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48" authorId="0" shapeId="0" xr:uid="{51637643-24C8-0247-9E06-DD988ED94F43}">
      <text>
        <r>
          <rPr>
            <b/>
            <sz val="10"/>
            <color rgb="FF000000"/>
            <rFont val="Tahoma"/>
            <family val="2"/>
          </rPr>
          <t>James Washington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48" authorId="0" shapeId="0" xr:uid="{C4FDE1F7-0217-3640-A507-A50BA607B1BE}">
      <text>
        <r>
          <rPr>
            <b/>
            <sz val="10"/>
            <color rgb="FF000000"/>
            <rFont val="Tahoma"/>
            <family val="2"/>
          </rPr>
          <t>Diontae Johnson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49" authorId="0" shapeId="0" xr:uid="{A7F28AF9-3936-C149-B8BE-7436A55FEC71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O349" authorId="0" shapeId="0" xr:uid="{2B0E604B-7830-B64A-889D-073752882404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E352" authorId="0" shapeId="0" xr:uid="{CA77CAF3-37EC-004C-96A1-7F3310F18DB5}">
      <text>
        <r>
          <rPr>
            <b/>
            <sz val="10"/>
            <color rgb="FF000000"/>
            <rFont val="Tahoma"/>
            <family val="2"/>
          </rPr>
          <t>Tannehill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52" authorId="0" shapeId="0" xr:uid="{5E26D885-D305-5F40-A757-AA44B72C7BF2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O352" authorId="0" shapeId="0" xr:uid="{42DFBB11-EE72-3248-A44C-C798ACB880C9}">
      <text>
        <r>
          <rPr>
            <b/>
            <sz val="10"/>
            <color rgb="FF000000"/>
            <rFont val="Tahoma"/>
            <family val="2"/>
          </rPr>
          <t>Corey Davis</t>
        </r>
      </text>
    </comment>
    <comment ref="R352" authorId="0" shapeId="0" xr:uid="{97FB3DCC-C0EA-134D-BF45-C37193759B9F}">
      <text>
        <r>
          <rPr>
            <b/>
            <sz val="10"/>
            <color rgb="FF000000"/>
            <rFont val="Tahoma"/>
            <family val="2"/>
          </rPr>
          <t>Adam Humphries</t>
        </r>
      </text>
    </comment>
    <comment ref="L354" authorId="0" shapeId="0" xr:uid="{2CB6B9D8-6967-0D43-92D0-027AFC842D6B}">
      <text>
        <r>
          <rPr>
            <b/>
            <sz val="10"/>
            <color rgb="FF000000"/>
            <rFont val="Tahoma"/>
            <family val="2"/>
          </rPr>
          <t>Fitz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54" authorId="0" shapeId="0" xr:uid="{3B0846CC-3128-5F4E-AEEC-5CC1C43AF461}">
      <text>
        <r>
          <rPr>
            <b/>
            <sz val="10"/>
            <color rgb="FF000000"/>
            <rFont val="Tahoma"/>
            <family val="2"/>
          </rPr>
          <t>Kirk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60" authorId="0" shapeId="0" xr:uid="{402B30BF-F3D8-B74C-A7DD-B9672060CA65}">
      <text>
        <r>
          <rPr>
            <b/>
            <sz val="10"/>
            <color rgb="FF000000"/>
            <rFont val="Tahoma"/>
            <family val="2"/>
          </rPr>
          <t>Auden Tate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64" authorId="0" shapeId="0" xr:uid="{ACB5C48A-6D66-0843-B0B0-253B4991623A}">
      <text>
        <r>
          <rPr>
            <b/>
            <sz val="10"/>
            <color rgb="FF000000"/>
            <rFont val="Tahoma"/>
            <family val="2"/>
          </rPr>
          <t>Blough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67" authorId="0" shapeId="0" xr:uid="{55B2B172-AE3E-C043-89DA-A421DE04057D}">
      <text>
        <r>
          <rPr>
            <b/>
            <sz val="10"/>
            <color rgb="FF000000"/>
            <rFont val="Tahoma"/>
            <family val="2"/>
          </rPr>
          <t>Zach Pascal - Hilton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67" authorId="0" shapeId="0" xr:uid="{0ECFF47B-5224-0D49-9AD4-C2CE25238F0F}">
      <text>
        <r>
          <rPr>
            <b/>
            <sz val="10"/>
            <color rgb="FF000000"/>
            <rFont val="Tahoma"/>
            <family val="2"/>
          </rPr>
          <t>Marcus Johnson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E368" authorId="0" shapeId="0" xr:uid="{FCA19843-D057-FA40-BBED-9A0F8E39A2F2}">
      <text>
        <r>
          <rPr>
            <b/>
            <sz val="10"/>
            <color rgb="FF000000"/>
            <rFont val="Tahoma"/>
            <family val="2"/>
          </rPr>
          <t>Foles benched at halftime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72" authorId="0" shapeId="0" xr:uid="{A6D1A9A9-C563-4E4B-9482-12EE59DBF91A}">
      <text>
        <r>
          <rPr>
            <b/>
            <sz val="10"/>
            <color rgb="FF000000"/>
            <rFont val="Tahoma"/>
            <family val="2"/>
          </rPr>
          <t xml:space="preserve">Kupp
</t>
        </r>
      </text>
    </comment>
    <comment ref="O372" authorId="0" shapeId="0" xr:uid="{24B1F6DD-8A13-B641-B900-5218E33518B5}">
      <text>
        <r>
          <rPr>
            <b/>
            <sz val="10"/>
            <color rgb="FF000000"/>
            <rFont val="Tahoma"/>
            <family val="2"/>
          </rPr>
          <t>Woods</t>
        </r>
      </text>
    </comment>
    <comment ref="R372" authorId="0" shapeId="0" xr:uid="{1C27D5BF-8605-AE45-A626-59BA6B599204}">
      <text>
        <r>
          <rPr>
            <b/>
            <sz val="10"/>
            <color rgb="FF000000"/>
            <rFont val="Tahoma"/>
            <family val="2"/>
          </rPr>
          <t>Josh Reynolds - Cooks out</t>
        </r>
      </text>
    </comment>
    <comment ref="L374" authorId="0" shapeId="0" xr:uid="{D0370871-A813-8641-8F2C-EBD191A83ED0}">
      <text>
        <r>
          <rPr>
            <b/>
            <sz val="10"/>
            <color rgb="FF000000"/>
            <rFont val="Tahoma"/>
            <family val="2"/>
          </rPr>
          <t>Diggs - Thielen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77" authorId="0" shapeId="0" xr:uid="{ECAD3134-EF10-CF43-A521-D53AF9C04F4E}">
      <text>
        <r>
          <rPr>
            <b/>
            <sz val="10"/>
            <color rgb="FF000000"/>
            <rFont val="Tahoma"/>
            <family val="2"/>
          </rPr>
          <t>Shepard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78" authorId="0" shapeId="0" xr:uid="{03051DC4-0C02-6547-BE6D-C5B8290EB1CB}">
      <text>
        <r>
          <rPr>
            <b/>
            <sz val="10"/>
            <color rgb="FF000000"/>
            <rFont val="Tahoma"/>
            <family val="2"/>
          </rPr>
          <t>Crowder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78" authorId="0" shapeId="0" xr:uid="{B0B3D1FE-2CBC-5C46-B3FB-23ADBE5AF743}">
      <text>
        <r>
          <rPr>
            <b/>
            <sz val="10"/>
            <color rgb="FF000000"/>
            <rFont val="Tahoma"/>
            <family val="2"/>
          </rPr>
          <t>Robbie Anderson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79" authorId="0" shapeId="0" xr:uid="{912745C3-A2E1-8946-8E63-EEFD5749C7E5}">
      <text>
        <r>
          <rPr>
            <b/>
            <sz val="10"/>
            <color rgb="FF000000"/>
            <rFont val="Tahoma"/>
            <family val="2"/>
          </rPr>
          <t>Sanders - Howard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79" authorId="0" shapeId="0" xr:uid="{AFA19A7D-BC35-C549-B263-BEBBED4D083C}">
      <text>
        <r>
          <rPr>
            <b/>
            <sz val="10"/>
            <color rgb="FF000000"/>
            <rFont val="Tahoma"/>
            <family val="2"/>
          </rPr>
          <t>Alshon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80" authorId="0" shapeId="0" xr:uid="{5F053F4F-D597-1940-AA3C-AA30B07A59DB}">
      <text>
        <r>
          <rPr>
            <b/>
            <sz val="10"/>
            <color rgb="FF000000"/>
            <rFont val="Tahoma"/>
            <family val="2"/>
          </rPr>
          <t>Snell - Conner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80" authorId="0" shapeId="0" xr:uid="{173857CA-615D-244C-B747-E08808AFD0FC}">
      <text>
        <r>
          <rPr>
            <b/>
            <sz val="10"/>
            <color rgb="FF000000"/>
            <rFont val="Tahoma"/>
            <family val="2"/>
          </rPr>
          <t>James Washington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O380" authorId="0" shapeId="0" xr:uid="{13F310E9-D700-2E43-AECA-3AA3A8A13BD8}">
      <text>
        <r>
          <rPr>
            <b/>
            <sz val="10"/>
            <color rgb="FF000000"/>
            <rFont val="Tahoma"/>
            <family val="2"/>
          </rPr>
          <t>Diontae Johnson - Juju out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381" authorId="0" shapeId="0" xr:uid="{F87BFDCF-E3D2-4C43-8F41-C0573DDE2486}">
      <text>
        <r>
          <rPr>
            <b/>
            <sz val="10"/>
            <color rgb="FF000000"/>
            <rFont val="Tahoma"/>
            <family val="2"/>
          </rPr>
          <t>Mostert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381" authorId="0" shapeId="0" xr:uid="{52975990-26EF-F84F-A718-1E52A2AF5B81}">
      <text>
        <r>
          <rPr>
            <b/>
            <sz val="10"/>
            <color rgb="FF000000"/>
            <rFont val="Tahoma"/>
            <family val="2"/>
          </rPr>
          <t>Coleman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L381" authorId="0" shapeId="0" xr:uid="{F700920E-85D7-1A49-BA44-12142D9F5460}">
      <text>
        <r>
          <rPr>
            <b/>
            <sz val="10"/>
            <color rgb="FF000000"/>
            <rFont val="Tahoma"/>
            <family val="2"/>
          </rPr>
          <t>Sanders</t>
        </r>
      </text>
    </comment>
    <comment ref="O381" authorId="0" shapeId="0" xr:uid="{619C8CEB-4839-754E-85B2-2A1DB1B8ACEF}">
      <text>
        <r>
          <rPr>
            <b/>
            <sz val="10"/>
            <color rgb="FF000000"/>
            <rFont val="Tahoma"/>
            <family val="2"/>
          </rPr>
          <t>Deebo Samuel</t>
        </r>
      </text>
    </comment>
    <comment ref="L384" authorId="0" shapeId="0" xr:uid="{AB2FED72-013B-574F-B371-313A5F01D18E}">
      <text>
        <r>
          <rPr>
            <b/>
            <sz val="10"/>
            <color rgb="FF000000"/>
            <rFont val="Tahoma"/>
            <family val="2"/>
          </rPr>
          <t>A.J. Brown</t>
        </r>
      </text>
    </comment>
    <comment ref="O384" authorId="0" shapeId="0" xr:uid="{99004CEE-A01F-5245-A5F4-9FCB949B982F}">
      <text>
        <r>
          <rPr>
            <b/>
            <sz val="10"/>
            <color rgb="FF000000"/>
            <rFont val="Tahoma"/>
            <family val="2"/>
          </rPr>
          <t>Corey Davis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D1" authorId="0" shapeId="0" xr:uid="{7D29BAD5-E95B-2345-80B3-CE2CCC58FBB9}">
      <text>
        <r>
          <rPr>
            <b/>
            <sz val="10"/>
            <color rgb="FF000000"/>
            <rFont val="Tahoma"/>
            <family val="2"/>
          </rPr>
          <t>1) tot WR afa &gt;= 1.0 or 2) WR total yards afa &gt;= 2.0 yards</t>
        </r>
      </text>
    </comment>
    <comment ref="E1" authorId="0" shapeId="0" xr:uid="{B1570188-8CF0-A14F-BABE-739FA8055292}">
      <text>
        <r>
          <rPr>
            <b/>
            <sz val="10"/>
            <color rgb="FF000000"/>
            <rFont val="Tahoma"/>
            <family val="2"/>
          </rPr>
          <t>Both Defenses &gt;= 0.1 afa for all postitions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" authorId="0" shapeId="0" xr:uid="{F99715EE-16FB-F842-BD87-A65D8EA76822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" authorId="0" shapeId="0" xr:uid="{0B274BAB-F0CB-6340-BAA2-1FCA33190230}">
      <text>
        <r>
          <rPr>
            <b/>
            <sz val="10"/>
            <color rgb="FF000000"/>
            <rFont val="Tahoma"/>
            <family val="2"/>
          </rPr>
          <t>1) PF (QB AFF points - RB AFF points) &gt;=1 or 2) QB AFF points &gt;=2</t>
        </r>
      </text>
    </comment>
    <comment ref="H1" authorId="0" shapeId="0" xr:uid="{9B9B9850-6FF9-DB4F-9033-CE1EEC97DD0C}">
      <text>
        <r>
          <rPr>
            <b/>
            <sz val="10"/>
            <color rgb="FF000000"/>
            <rFont val="Tahoma"/>
            <family val="2"/>
          </rPr>
          <t xml:space="preserve">1) PF (QB afa points - RB afa points) &gt;=2 </t>
        </r>
        <r>
          <rPr>
            <b/>
            <sz val="10"/>
            <color rgb="FF000000"/>
            <rFont val="Calibri"/>
            <family val="2"/>
          </rPr>
          <t xml:space="preserve">and must be POS for QB scoring </t>
        </r>
        <r>
          <rPr>
            <b/>
            <sz val="10"/>
            <color rgb="FF000000"/>
            <rFont val="Tahoma"/>
            <family val="2"/>
          </rPr>
          <t>or 2) QB afa points &gt;=2.0 3) PF yards &gt;=20 yards and has a positive afa for QBs</t>
        </r>
      </text>
    </comment>
    <comment ref="I1" authorId="0" shapeId="0" xr:uid="{9E33CCBF-806A-0845-840D-8FA35ACC0DFF}">
      <text>
        <r>
          <rPr>
            <b/>
            <sz val="10"/>
            <color rgb="FF000000"/>
            <rFont val="Tahoma"/>
            <family val="2"/>
          </rPr>
          <t>max 4 weeks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J1" authorId="0" shapeId="0" xr:uid="{AB03AD03-5B44-154A-B682-19F4C16439BC}">
      <text>
        <r>
          <rPr>
            <b/>
            <sz val="10"/>
            <color rgb="FF000000"/>
            <rFont val="Tahoma"/>
            <family val="2"/>
          </rPr>
          <t>max 4 weeks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D1" authorId="0" shapeId="0" xr:uid="{5D5C44D0-418D-8644-88F7-1071EA2D10A6}">
      <text>
        <r>
          <rPr>
            <b/>
            <sz val="10"/>
            <color rgb="FF000000"/>
            <rFont val="Tahoma"/>
            <family val="2"/>
          </rPr>
          <t>1) tot WR afa &gt;= 1.0 or 2) WR total yards afa &gt;= 2.0 yards</t>
        </r>
      </text>
    </comment>
    <comment ref="E1" authorId="0" shapeId="0" xr:uid="{9E96423F-7CDB-7F4A-8F01-67CDD4B5A0AC}">
      <text>
        <r>
          <rPr>
            <b/>
            <sz val="10"/>
            <color rgb="FF000000"/>
            <rFont val="Tahoma"/>
            <family val="2"/>
          </rPr>
          <t>Both Defenses &gt;= 0.1 afa for all postitions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" authorId="0" shapeId="0" xr:uid="{1154D6D1-DEB9-3E49-A2D3-FEA30E9A77AD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" authorId="0" shapeId="0" xr:uid="{8A3F51F3-6C4D-9D44-829A-8073EF19DA44}">
      <text>
        <r>
          <rPr>
            <b/>
            <sz val="10"/>
            <color rgb="FF000000"/>
            <rFont val="Tahoma"/>
            <family val="2"/>
          </rPr>
          <t>1) PF (QB AFF points - RB AFF points) &gt;=1 or 2) QB AFF points &gt;=2</t>
        </r>
      </text>
    </comment>
    <comment ref="H1" authorId="0" shapeId="0" xr:uid="{C9668E66-964D-7740-B189-0BA30F3A0A21}">
      <text>
        <r>
          <rPr>
            <b/>
            <sz val="10"/>
            <color rgb="FF000000"/>
            <rFont val="Tahoma"/>
            <family val="2"/>
          </rPr>
          <t xml:space="preserve">1) PF (QB afa points - RB afa points) &gt;=2 </t>
        </r>
        <r>
          <rPr>
            <b/>
            <sz val="10"/>
            <color rgb="FF000000"/>
            <rFont val="Calibri"/>
            <family val="2"/>
          </rPr>
          <t xml:space="preserve">and must be POS for QB scoring </t>
        </r>
        <r>
          <rPr>
            <b/>
            <sz val="10"/>
            <color rgb="FF000000"/>
            <rFont val="Tahoma"/>
            <family val="2"/>
          </rPr>
          <t>or 2) QB afa points &gt;=2.0 3) PF yards &gt;=20 yards and has a positive afa for QBs</t>
        </r>
      </text>
    </comment>
    <comment ref="I1" authorId="0" shapeId="0" xr:uid="{C298C224-7E07-D34E-BF0C-D5CDE235616D}">
      <text>
        <r>
          <rPr>
            <b/>
            <sz val="10"/>
            <color rgb="FF000000"/>
            <rFont val="Tahoma"/>
            <family val="2"/>
          </rPr>
          <t>max 4 weeks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J1" authorId="0" shapeId="0" xr:uid="{C77CBE30-089D-D845-BABB-BD7673F23D46}">
      <text>
        <r>
          <rPr>
            <b/>
            <sz val="10"/>
            <color rgb="FF000000"/>
            <rFont val="Tahoma"/>
            <family val="2"/>
          </rPr>
          <t>max 4 weeks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Tarrant Carter</author>
  </authors>
  <commentList>
    <comment ref="D1" authorId="0" shapeId="0" xr:uid="{A9EF7517-D50B-8846-9B4A-06E06C918C5A}">
      <text>
        <r>
          <rPr>
            <b/>
            <sz val="10"/>
            <color rgb="FF000000"/>
            <rFont val="Tahoma"/>
            <family val="2"/>
          </rPr>
          <t>1) tot WR afa &gt;= 1.0 or 2) WR total yards afa &gt;= 2.0 yards</t>
        </r>
      </text>
    </comment>
    <comment ref="E1" authorId="0" shapeId="0" xr:uid="{D0E4FCE8-5862-AE46-8B95-395FFE2DF971}">
      <text>
        <r>
          <rPr>
            <b/>
            <sz val="10"/>
            <color rgb="FF000000"/>
            <rFont val="Tahoma"/>
            <family val="2"/>
          </rPr>
          <t>Both Defenses &gt;= 0.1 afa for all postitions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F1" authorId="0" shapeId="0" xr:uid="{AF27280C-3F5F-E34E-B0AF-F71CF3718555}">
      <text>
        <r>
          <rPr>
            <b/>
            <sz val="10"/>
            <color rgb="FF000000"/>
            <rFont val="Tahoma"/>
            <family val="2"/>
          </rPr>
          <t>Pat Thorman's pace article from establishtherun.com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" authorId="0" shapeId="0" xr:uid="{9F2803D0-E6E5-744C-9F24-E516B1A01A77}">
      <text>
        <r>
          <rPr>
            <b/>
            <sz val="10"/>
            <color rgb="FF000000"/>
            <rFont val="Tahoma"/>
            <family val="2"/>
          </rPr>
          <t>1) PF (QB AFF points - RB AFF points) &gt;=1 or 2) QB AFF points &gt;=2</t>
        </r>
      </text>
    </comment>
    <comment ref="H1" authorId="0" shapeId="0" xr:uid="{4A226461-3E94-124C-8770-A470264D0300}">
      <text>
        <r>
          <rPr>
            <b/>
            <sz val="10"/>
            <color rgb="FF000000"/>
            <rFont val="Tahoma"/>
            <family val="2"/>
          </rPr>
          <t xml:space="preserve">1) PF (QB afa points - RB afa points) &gt;=2 </t>
        </r>
        <r>
          <rPr>
            <b/>
            <sz val="10"/>
            <color rgb="FF000000"/>
            <rFont val="Calibri"/>
            <family val="2"/>
            <scheme val="minor"/>
          </rPr>
          <t xml:space="preserve">and must be POS for QB scoring </t>
        </r>
        <r>
          <rPr>
            <b/>
            <sz val="10"/>
            <color rgb="FF000000"/>
            <rFont val="Tahoma"/>
            <family val="2"/>
          </rPr>
          <t>or 2) QB afa points &gt;=2.0 3) PF yards &gt;=20 yards and has a positive afa for QBs</t>
        </r>
      </text>
    </comment>
    <comment ref="I1" authorId="0" shapeId="0" xr:uid="{9F248D3D-5D1F-B148-BC9B-59E909B422C9}">
      <text>
        <r>
          <rPr>
            <b/>
            <sz val="10"/>
            <color rgb="FF000000"/>
            <rFont val="Tahoma"/>
            <family val="2"/>
          </rPr>
          <t>max 4 weeks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J1" authorId="0" shapeId="0" xr:uid="{11C4FE6F-C554-BB4E-AEBA-3792603A97E5}">
      <text>
        <r>
          <rPr>
            <b/>
            <sz val="10"/>
            <color rgb="FF000000"/>
            <rFont val="Tahoma"/>
            <family val="2"/>
          </rPr>
          <t>max 4 weeks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<sst xmlns="http://schemas.openxmlformats.org/spreadsheetml/2006/main" count="31485" uniqueCount="901">
  <si>
    <t>Week</t>
  </si>
  <si>
    <t>Player</t>
  </si>
  <si>
    <t>Salary</t>
  </si>
  <si>
    <t>Fty Pts</t>
  </si>
  <si>
    <t>Marquise Brown</t>
  </si>
  <si>
    <t>Preston Williams</t>
  </si>
  <si>
    <t>Value</t>
  </si>
  <si>
    <t>Mark Andrews</t>
  </si>
  <si>
    <t>Mike Gesicki</t>
  </si>
  <si>
    <t>Spread</t>
  </si>
  <si>
    <t>Nelson Agholor</t>
  </si>
  <si>
    <t>Zach Ertz</t>
  </si>
  <si>
    <t>Paul Richardson</t>
  </si>
  <si>
    <t>Tot</t>
  </si>
  <si>
    <t>Michael Gallup</t>
  </si>
  <si>
    <t>Bennie Fowler</t>
  </si>
  <si>
    <t>Evan Engram</t>
  </si>
  <si>
    <t>Larry Fitzgerald</t>
  </si>
  <si>
    <t>Sammy Watkins</t>
  </si>
  <si>
    <t>Travis Kelce</t>
  </si>
  <si>
    <t>Mike Evans</t>
  </si>
  <si>
    <t>Breshad Perriman</t>
  </si>
  <si>
    <t>DeAndre Hopkins</t>
  </si>
  <si>
    <t>Will Fuller</t>
  </si>
  <si>
    <t>Devante Parker</t>
  </si>
  <si>
    <t>Mack Hollins</t>
  </si>
  <si>
    <t>Jamison Crowder</t>
  </si>
  <si>
    <t>Robby Anderson</t>
  </si>
  <si>
    <t>Demaryius Thomas</t>
  </si>
  <si>
    <t>Avg</t>
  </si>
  <si>
    <t>Avg 5+</t>
  </si>
  <si>
    <t>Avg -5+</t>
  </si>
  <si>
    <t>Avg PTs</t>
  </si>
  <si>
    <t>Avg -4k</t>
  </si>
  <si>
    <t>Avg 5.1k-6.2k</t>
  </si>
  <si>
    <t>Avg Pts 6.3k+</t>
  </si>
  <si>
    <t>Avg 4.1k-5k</t>
  </si>
  <si>
    <t>Avg Pts 5.1k-6.2k</t>
  </si>
  <si>
    <t>Avg PTs -4k</t>
  </si>
  <si>
    <t>Dede Westbrook</t>
  </si>
  <si>
    <t>Tot u44</t>
  </si>
  <si>
    <t>Tot 44.5-48.5</t>
  </si>
  <si>
    <t>Tot o49</t>
  </si>
  <si>
    <t>Avg -4.5-(4.5)</t>
  </si>
  <si>
    <t>Stefon Diggs</t>
  </si>
  <si>
    <t>Adam Thielen</t>
  </si>
  <si>
    <t>Cole Beasley</t>
  </si>
  <si>
    <t>Ted Ginn</t>
  </si>
  <si>
    <t>Courtland Sutton</t>
  </si>
  <si>
    <t>Curtis Samuel</t>
  </si>
  <si>
    <t>Christian Kirk</t>
  </si>
  <si>
    <t>Odell Beckham</t>
  </si>
  <si>
    <t>Jarvis Landry</t>
  </si>
  <si>
    <t>Corey Davis</t>
  </si>
  <si>
    <t>Adam Humphries</t>
  </si>
  <si>
    <t>Marvin Jones</t>
  </si>
  <si>
    <t>Allen Robinson</t>
  </si>
  <si>
    <t>Davante Adams</t>
  </si>
  <si>
    <t>MVS</t>
  </si>
  <si>
    <t>Robert Woods</t>
  </si>
  <si>
    <t>Anthony Miller</t>
  </si>
  <si>
    <t>Auden Tate</t>
  </si>
  <si>
    <t>Keenan Allen</t>
  </si>
  <si>
    <t>Phillip Dorsett</t>
  </si>
  <si>
    <t>A.J. Brown</t>
  </si>
  <si>
    <t>WR TOP 10</t>
  </si>
  <si>
    <t>TOT DEF</t>
  </si>
  <si>
    <t>Cody Latimer</t>
  </si>
  <si>
    <t>Greg Olsen</t>
  </si>
  <si>
    <t>KeeSean Johnson</t>
  </si>
  <si>
    <t>James Washington</t>
  </si>
  <si>
    <t>Brandin Cooks</t>
  </si>
  <si>
    <t>Donte Moncrief</t>
  </si>
  <si>
    <t>Damiere Byrd</t>
  </si>
  <si>
    <t>O.J. Howard</t>
  </si>
  <si>
    <t>YES</t>
  </si>
  <si>
    <t>NO</t>
  </si>
  <si>
    <t>Proj</t>
  </si>
  <si>
    <t>George Kittle</t>
  </si>
  <si>
    <t>Hunter Renfrow</t>
  </si>
  <si>
    <t>Jared Cook</t>
  </si>
  <si>
    <t>Jimmy Graham</t>
  </si>
  <si>
    <t>Delanie Walker</t>
  </si>
  <si>
    <t>Mike Williams</t>
  </si>
  <si>
    <t>Randall Cobb</t>
  </si>
  <si>
    <t>D.J. Moore</t>
  </si>
  <si>
    <t>Jason Witten</t>
  </si>
  <si>
    <t>WR + DEF</t>
  </si>
  <si>
    <t>Air Yards +11</t>
  </si>
  <si>
    <t>AY 9.5-10.9</t>
  </si>
  <si>
    <t>Air Yards -9.4</t>
  </si>
  <si>
    <t>Tyler Boyd</t>
  </si>
  <si>
    <t>Chris Godwin</t>
  </si>
  <si>
    <t>Calvin Ridley</t>
  </si>
  <si>
    <t>Terry McLaurin</t>
  </si>
  <si>
    <t>Julio Jones</t>
  </si>
  <si>
    <t>Zach Pascal</t>
  </si>
  <si>
    <t>Chris Conley</t>
  </si>
  <si>
    <t>Danny Amendola</t>
  </si>
  <si>
    <t>Gerald Everett</t>
  </si>
  <si>
    <t>Eric Ebron</t>
  </si>
  <si>
    <t>TE TOP 10</t>
  </si>
  <si>
    <t>Sterling Shepard</t>
  </si>
  <si>
    <t>D.K. Metcalf</t>
  </si>
  <si>
    <t>Kelvin Harmon</t>
  </si>
  <si>
    <t>Diontae Johnson</t>
  </si>
  <si>
    <t>Noah Fant</t>
  </si>
  <si>
    <t>Darren Waller</t>
  </si>
  <si>
    <t>Thor Pace</t>
  </si>
  <si>
    <t>UP</t>
  </si>
  <si>
    <t>DOWN</t>
  </si>
  <si>
    <t>UP PACE</t>
  </si>
  <si>
    <t>PACE + WR TOP 10</t>
  </si>
  <si>
    <t>PACE + TOT DEF</t>
  </si>
  <si>
    <t>PACE + WR + DEF</t>
  </si>
  <si>
    <t>Darius Slayton</t>
  </si>
  <si>
    <t>Amari Cooper</t>
  </si>
  <si>
    <t>Hunter Henry</t>
  </si>
  <si>
    <t>Air Yards Avg</t>
  </si>
  <si>
    <t>#2 PC out</t>
  </si>
  <si>
    <t>Off PF</t>
  </si>
  <si>
    <t>Def PF</t>
  </si>
  <si>
    <t>Div</t>
  </si>
  <si>
    <t>Conf</t>
  </si>
  <si>
    <t>Location</t>
  </si>
  <si>
    <t>Alshon Jeffrey</t>
  </si>
  <si>
    <t>John Brown</t>
  </si>
  <si>
    <t>Deebo Samuel</t>
  </si>
  <si>
    <t>Michael Thomas</t>
  </si>
  <si>
    <t>Emmanuel Sanders</t>
  </si>
  <si>
    <t>Ross Dwelley</t>
  </si>
  <si>
    <t>#1 PC out</t>
  </si>
  <si>
    <t>HOME</t>
  </si>
  <si>
    <t>#3 PC out</t>
  </si>
  <si>
    <t>AWAY</t>
  </si>
  <si>
    <t>John Ross</t>
  </si>
  <si>
    <t>Jack Doyle</t>
  </si>
  <si>
    <t>Russel Gage</t>
  </si>
  <si>
    <t>Jaden Graham</t>
  </si>
  <si>
    <t>Golden Tate</t>
  </si>
  <si>
    <t>Rhett Ellison</t>
  </si>
  <si>
    <t>Kaden Smith</t>
  </si>
  <si>
    <t>Geronimo Allison</t>
  </si>
  <si>
    <t>Allen Lazard</t>
  </si>
  <si>
    <t>Jakobi Meyers</t>
  </si>
  <si>
    <t>Hunter Renfroe</t>
  </si>
  <si>
    <t>Cooper Kupp</t>
  </si>
  <si>
    <t>Willie Snead</t>
  </si>
  <si>
    <t>Kyle Rudolph</t>
  </si>
  <si>
    <t>Injuries #2 &amp; #3 Targets out</t>
  </si>
  <si>
    <t>Injuries #2 Target out</t>
  </si>
  <si>
    <t>Injuries #3 Target out</t>
  </si>
  <si>
    <t>Injuries #1 Target out</t>
  </si>
  <si>
    <t>Injuries #1,#2&amp;#3 Targets out</t>
  </si>
  <si>
    <t>Injuries #1 &amp; #2 Targets out</t>
  </si>
  <si>
    <t>Injuries #1 &amp; #3 Targets out</t>
  </si>
  <si>
    <t>Kenny Golladay</t>
  </si>
  <si>
    <t>Chris Lacy</t>
  </si>
  <si>
    <t>David Njoku</t>
  </si>
  <si>
    <t>Julian Edelman</t>
  </si>
  <si>
    <t>Mohamed Sanu</t>
  </si>
  <si>
    <t>Justin Watson</t>
  </si>
  <si>
    <t>Scotty Miller</t>
  </si>
  <si>
    <t>Tyler Lockett</t>
  </si>
  <si>
    <t>Jacob Hollister</t>
  </si>
  <si>
    <t>Davante Parker</t>
  </si>
  <si>
    <t>Darious Slayton</t>
  </si>
  <si>
    <t>Ian Thomas</t>
  </si>
  <si>
    <t>Tyreek Hill</t>
  </si>
  <si>
    <t>Darren Fells</t>
  </si>
  <si>
    <t>Tim Patrick</t>
  </si>
  <si>
    <t>Jonnu Smith</t>
  </si>
  <si>
    <t>Tyrel Williams</t>
  </si>
  <si>
    <t>Dawson Knox</t>
  </si>
  <si>
    <t>Austin Hooper</t>
  </si>
  <si>
    <t>Woods</t>
  </si>
  <si>
    <t>Kupp</t>
  </si>
  <si>
    <t>Higbee</t>
  </si>
  <si>
    <t>Alex Erickson</t>
  </si>
  <si>
    <t>Ricky Seals-Jones</t>
  </si>
  <si>
    <t>Albert Wilson</t>
  </si>
  <si>
    <t>Steve Sims</t>
  </si>
  <si>
    <t>T.Y. Hilton</t>
  </si>
  <si>
    <t>???</t>
  </si>
  <si>
    <t>Greg Ward</t>
  </si>
  <si>
    <t>Avg 6.3k+</t>
  </si>
  <si>
    <t>Avg Count</t>
  </si>
  <si>
    <t>Avg -4k Count</t>
  </si>
  <si>
    <t>Avg 4.1k-5k Count</t>
  </si>
  <si>
    <t>Avg 5.1k-6.2k Count</t>
  </si>
  <si>
    <t>Avg 6.3k+ Count</t>
  </si>
  <si>
    <t>WR1</t>
  </si>
  <si>
    <t>WR2</t>
  </si>
  <si>
    <t>TE</t>
  </si>
  <si>
    <t>WR TOP 10 + TOT DEF</t>
  </si>
  <si>
    <t>AY REG + TOT DEF</t>
  </si>
  <si>
    <t>AY REG + WR TOP 10</t>
  </si>
  <si>
    <t>AY REG + WR TOP 10 + TOT DEF</t>
  </si>
  <si>
    <t>AY REG</t>
  </si>
  <si>
    <t>PACE UP</t>
  </si>
  <si>
    <t>PACE + WR TOP 10 + TOT DEF</t>
  </si>
  <si>
    <t>PACE + AY REG + WR TOP 10 + TOT DEF</t>
  </si>
  <si>
    <t>Injuries #1 Target out + TOT DEF</t>
  </si>
  <si>
    <t>Injuries #1 Target out + WR TOP 10</t>
  </si>
  <si>
    <t>Injuries #1 Target out + WR TOP 10 + TOT DEF</t>
  </si>
  <si>
    <t>Injuries #1 Target out + AY REG + TOT DEF</t>
  </si>
  <si>
    <t>Injuries #1 Target out + AY REG + WR TOP 10</t>
  </si>
  <si>
    <t>Injuries #1 Target out + AY REG + WR TOP 10 + TOT DEF</t>
  </si>
  <si>
    <t>Injuries #1 Target out + AY REG</t>
  </si>
  <si>
    <t>Injuries #1 Target out + PACE UP</t>
  </si>
  <si>
    <t>Injuries #1 Target out + PACE + TOT DEF</t>
  </si>
  <si>
    <t>Injuries #1 Target out + PACE + WR TOP 10</t>
  </si>
  <si>
    <t>Injuries #1 Target out + PACE + WR TOP 10 + TOT DEF</t>
  </si>
  <si>
    <t>Injuries #1 Target out + PACE + AY REG + WR TOP 10 + TOT DEF</t>
  </si>
  <si>
    <t>Injuries #2 Target out + TOT DEF</t>
  </si>
  <si>
    <t>Injuries #2 Target out + WR TOP 10</t>
  </si>
  <si>
    <t>Injuries #2 Target out + WR TOP 10 + TOT DEF</t>
  </si>
  <si>
    <t>Injuries #2 Target out + AY REG + TOT DEF</t>
  </si>
  <si>
    <t>Injuries #2 Target out + AY REG + WR TOP 10</t>
  </si>
  <si>
    <t>Injuries #2 Target out + AY REG + WR TOP 10 + TOT DEF</t>
  </si>
  <si>
    <t>Injuries #2 Target out + AY REG</t>
  </si>
  <si>
    <t>Injuries #2 Target out + PACE UP</t>
  </si>
  <si>
    <t>Injuries #2 Target out + PACE + TOT DEF</t>
  </si>
  <si>
    <t>Injuries #2 Target out + PACE + WR TOP 10</t>
  </si>
  <si>
    <t>Injuries #2 Target out + PACE + WR TOP 10 + TOT DEF</t>
  </si>
  <si>
    <t>Injuries #2 Target out + PACE + AY REG + WR TOP 10 + TOT DEF</t>
  </si>
  <si>
    <t>Game Date</t>
  </si>
  <si>
    <t>Opponent</t>
  </si>
  <si>
    <t>QB</t>
  </si>
  <si>
    <t>RB</t>
  </si>
  <si>
    <t>Slot WR</t>
  </si>
  <si>
    <t>K</t>
  </si>
  <si>
    <t>DEF</t>
  </si>
  <si>
    <t>Press Alwd</t>
  </si>
  <si>
    <t>Sck Alwd</t>
  </si>
  <si>
    <t>Week 16</t>
  </si>
  <si>
    <t>Bears</t>
  </si>
  <si>
    <t>Week 15</t>
  </si>
  <si>
    <t>Seahawks</t>
  </si>
  <si>
    <t>Week 14</t>
  </si>
  <si>
    <t>Broncos</t>
  </si>
  <si>
    <t>Week 13</t>
  </si>
  <si>
    <t>Week 12</t>
  </si>
  <si>
    <t>Bucs</t>
  </si>
  <si>
    <t>Week 10</t>
  </si>
  <si>
    <t>Giants</t>
  </si>
  <si>
    <t>Week 9</t>
  </si>
  <si>
    <t>Raiders</t>
  </si>
  <si>
    <t>Week 8</t>
  </si>
  <si>
    <t>Cardinals</t>
  </si>
  <si>
    <t>Week 7</t>
  </si>
  <si>
    <t>Rams</t>
  </si>
  <si>
    <t>Week 6</t>
  </si>
  <si>
    <t>Packers</t>
  </si>
  <si>
    <t>Team</t>
  </si>
  <si>
    <t>Game Week</t>
  </si>
  <si>
    <t>San Francisco 49ers</t>
  </si>
  <si>
    <t>49ers</t>
  </si>
  <si>
    <t>Lions</t>
  </si>
  <si>
    <t>Week 11</t>
  </si>
  <si>
    <t>Vikings</t>
  </si>
  <si>
    <t>Bills</t>
  </si>
  <si>
    <t>Jets</t>
  </si>
  <si>
    <t>Pats</t>
  </si>
  <si>
    <t>Dolphins</t>
  </si>
  <si>
    <t>Chicago Bears</t>
  </si>
  <si>
    <t>Browns</t>
  </si>
  <si>
    <t>Chargers</t>
  </si>
  <si>
    <t>Ravens</t>
  </si>
  <si>
    <t>Saints</t>
  </si>
  <si>
    <t>Chiefs</t>
  </si>
  <si>
    <t>Steelers</t>
  </si>
  <si>
    <t>Cincinnati Bengals</t>
  </si>
  <si>
    <t>Jags</t>
  </si>
  <si>
    <t>Colts</t>
  </si>
  <si>
    <t>Texans</t>
  </si>
  <si>
    <t>Buffalo Bills</t>
  </si>
  <si>
    <t>Bengals</t>
  </si>
  <si>
    <t>Denver Broncos</t>
  </si>
  <si>
    <t>Panthers</t>
  </si>
  <si>
    <t>Falcons</t>
  </si>
  <si>
    <t>Cleveland Browns</t>
  </si>
  <si>
    <t>Cowboys</t>
  </si>
  <si>
    <t>Redskins</t>
  </si>
  <si>
    <t>Tampa Bay Bucs</t>
  </si>
  <si>
    <t>Arizona Cardinals</t>
  </si>
  <si>
    <t>Titans</t>
  </si>
  <si>
    <t>Los Angeles Chargers</t>
  </si>
  <si>
    <t>Kansas City Chiefs</t>
  </si>
  <si>
    <t>Indianapolis Colts</t>
  </si>
  <si>
    <t>Eagles</t>
  </si>
  <si>
    <t>Dallas Cowboys</t>
  </si>
  <si>
    <t>Patriots</t>
  </si>
  <si>
    <t>Miami Dolphins</t>
  </si>
  <si>
    <t>Philadelphia Eagles</t>
  </si>
  <si>
    <t>Atlanta Falcons</t>
  </si>
  <si>
    <t>New York Giants</t>
  </si>
  <si>
    <t>Jacksonville Jaguars</t>
  </si>
  <si>
    <t>New York Jets</t>
  </si>
  <si>
    <t>Detroit Lions</t>
  </si>
  <si>
    <t>Green Bay Packers</t>
  </si>
  <si>
    <t>Carolina Panthers</t>
  </si>
  <si>
    <t>New England Patriots</t>
  </si>
  <si>
    <t>Las Vegas Raiders</t>
  </si>
  <si>
    <t>Los Angeles Rams</t>
  </si>
  <si>
    <t>Baltimore Ravens</t>
  </si>
  <si>
    <t>Washington Redskins</t>
  </si>
  <si>
    <t>New Orleans Saints</t>
  </si>
  <si>
    <t>Seattle Seahawks</t>
  </si>
  <si>
    <t>Pittsburgh Steelers</t>
  </si>
  <si>
    <t>Tennessee Titans</t>
  </si>
  <si>
    <t>Houston Texans</t>
  </si>
  <si>
    <t>Minnesota Vikings</t>
  </si>
  <si>
    <t>Raw</t>
  </si>
  <si>
    <t>Standardized</t>
  </si>
  <si>
    <t>LA</t>
  </si>
  <si>
    <t>LAR</t>
  </si>
  <si>
    <t>Arizona CardinalsArizona Cardinals</t>
  </si>
  <si>
    <t>Atlanta FalconsAtlanta Falcons</t>
  </si>
  <si>
    <t>Baltimore RavensBaltimore Ravens</t>
  </si>
  <si>
    <t>Buffalo BillsBuffalo Bills</t>
  </si>
  <si>
    <t>Carolina PanthersCarolina Panthers</t>
  </si>
  <si>
    <t>Chicago BearsChicago Bears</t>
  </si>
  <si>
    <t>Cincinnati BengalsCincinnati Bengals</t>
  </si>
  <si>
    <t>Cleveland BrownsCleveland Browns</t>
  </si>
  <si>
    <t>Dallas CowboysDallas Cowboys</t>
  </si>
  <si>
    <t>Denver BroncosDenver Broncos</t>
  </si>
  <si>
    <t>Detroit LionsDetroit Lions</t>
  </si>
  <si>
    <t>Green Bay PackersGreen Bay Packers</t>
  </si>
  <si>
    <t>Houston TexansHouston Texans</t>
  </si>
  <si>
    <t>Indianapolis ColtsIndianapolis Colts</t>
  </si>
  <si>
    <t>Jacksonville JaguarsJacksonville Jaguars</t>
  </si>
  <si>
    <t>Kansas City ChiefsKansas City Chiefs</t>
  </si>
  <si>
    <t>Los Angeles ChargersLos Angeles Chargers</t>
  </si>
  <si>
    <t>Los Angeles RamsLos Angeles Rams</t>
  </si>
  <si>
    <t>Miami DolphinsMiami Dolphins</t>
  </si>
  <si>
    <t>Minnesota VikingsMinnesota Vikings</t>
  </si>
  <si>
    <t>New England PatriotsNew England Patriots</t>
  </si>
  <si>
    <t>New Orleans SaintsNew Orleans Saints</t>
  </si>
  <si>
    <t>New York GiantsNew York Giants</t>
  </si>
  <si>
    <t>New York JetsNew York Jets</t>
  </si>
  <si>
    <t>Oakland RaidersOakland Raiders</t>
  </si>
  <si>
    <t>Philadelphia EaglesPhiladelphia Eagles</t>
  </si>
  <si>
    <t>Pittsburgh SteelersPittsburgh Steelers</t>
  </si>
  <si>
    <t>San Francisco 49ersSan Francisco 49ers</t>
  </si>
  <si>
    <t>Seattle SeahawksSeattle Seahawks</t>
  </si>
  <si>
    <t>Tampa Bay BuccaneersTampa Bay Buccaneers</t>
  </si>
  <si>
    <t>Tennessee TitansTennessee Titans</t>
  </si>
  <si>
    <t>Washington RedskinsWashington Redskins</t>
  </si>
  <si>
    <t>Arizona</t>
  </si>
  <si>
    <t>Atlanta</t>
  </si>
  <si>
    <t>Baltimore</t>
  </si>
  <si>
    <t>Buffalo</t>
  </si>
  <si>
    <t>Carolina</t>
  </si>
  <si>
    <t>Chicago</t>
  </si>
  <si>
    <t>Cincinnati</t>
  </si>
  <si>
    <t>Cleveland</t>
  </si>
  <si>
    <t>Dallas</t>
  </si>
  <si>
    <t>Denver</t>
  </si>
  <si>
    <t>Detroit</t>
  </si>
  <si>
    <t>Green Bay</t>
  </si>
  <si>
    <t>Houston</t>
  </si>
  <si>
    <t>Indianapolis</t>
  </si>
  <si>
    <t>Jacksonville</t>
  </si>
  <si>
    <t>Kansas City</t>
  </si>
  <si>
    <t>LA Chargers</t>
  </si>
  <si>
    <t>LA Rams</t>
  </si>
  <si>
    <t>Miami</t>
  </si>
  <si>
    <t>Minnesota</t>
  </si>
  <si>
    <t>New England</t>
  </si>
  <si>
    <t>New Orleans</t>
  </si>
  <si>
    <t>NY Giants</t>
  </si>
  <si>
    <t>NY Jets</t>
  </si>
  <si>
    <t>Oakland</t>
  </si>
  <si>
    <t>Philadelphia</t>
  </si>
  <si>
    <t>Pittsburgh</t>
  </si>
  <si>
    <t>San Francisco</t>
  </si>
  <si>
    <t>Seattle</t>
  </si>
  <si>
    <t>Tampa Bay</t>
  </si>
  <si>
    <t>Tennessee</t>
  </si>
  <si>
    <t>Washington</t>
  </si>
  <si>
    <t>Week 5</t>
  </si>
  <si>
    <t>Week 3</t>
  </si>
  <si>
    <t>Week 2</t>
  </si>
  <si>
    <t>Week 1</t>
  </si>
  <si>
    <t>RB1</t>
  </si>
  <si>
    <t>RB1 Yards</t>
  </si>
  <si>
    <t>RB1 Targets</t>
  </si>
  <si>
    <t>RB2</t>
  </si>
  <si>
    <t>RB2 Yards</t>
  </si>
  <si>
    <t>RB2 Targets</t>
  </si>
  <si>
    <t>WR1 Yards</t>
  </si>
  <si>
    <t>WR1 Targets</t>
  </si>
  <si>
    <t>WR2 Yards</t>
  </si>
  <si>
    <t>WR2 Targets</t>
  </si>
  <si>
    <t>WR3</t>
  </si>
  <si>
    <t>WR3 Yards</t>
  </si>
  <si>
    <t>WR3 Targets</t>
  </si>
  <si>
    <t>Slot WR Yards</t>
  </si>
  <si>
    <t>Slot Targets</t>
  </si>
  <si>
    <t>TE Yards</t>
  </si>
  <si>
    <t>TE Targets</t>
  </si>
  <si>
    <t>FG Attempts</t>
  </si>
  <si>
    <t>QB Press Acc</t>
  </si>
  <si>
    <t>Def Allowed</t>
  </si>
  <si>
    <t>QB Attempts</t>
  </si>
  <si>
    <t>RB Attempts</t>
  </si>
  <si>
    <t>QB Ru Attempts</t>
  </si>
  <si>
    <t>Plays/Game</t>
  </si>
  <si>
    <t>Off Points</t>
  </si>
  <si>
    <t>Def Points</t>
  </si>
  <si>
    <t>Total Yards</t>
  </si>
  <si>
    <t>Pass Yards</t>
  </si>
  <si>
    <t>RB Rush Yards</t>
  </si>
  <si>
    <t>WR Rush Yards</t>
  </si>
  <si>
    <t>QB Rush Yards</t>
  </si>
  <si>
    <t>Oakland Raiders</t>
  </si>
  <si>
    <t>Week 4</t>
  </si>
  <si>
    <t>2018 Avg</t>
  </si>
  <si>
    <t>2019 Avg</t>
  </si>
  <si>
    <t>Pos</t>
  </si>
  <si>
    <t>Tyreel Hill</t>
  </si>
  <si>
    <t>Michael Crabtree</t>
  </si>
  <si>
    <t>Maurice Harris</t>
  </si>
  <si>
    <t>Pierre Garcon</t>
  </si>
  <si>
    <t>Kelvin Benjamin</t>
  </si>
  <si>
    <t>DeSean Jackson</t>
  </si>
  <si>
    <t>Doug Baldwin</t>
  </si>
  <si>
    <t>Josh Gordon</t>
  </si>
  <si>
    <t>Jordan Reed</t>
  </si>
  <si>
    <t>Marquise Goodwin</t>
  </si>
  <si>
    <t>T/Y. Hilton</t>
  </si>
  <si>
    <t>Chris Kirk</t>
  </si>
  <si>
    <t>Chris Herndon</t>
  </si>
  <si>
    <t>Josh Doctson</t>
  </si>
  <si>
    <t>Zay Jones</t>
  </si>
  <si>
    <t>Total</t>
  </si>
  <si>
    <t>Team Total</t>
  </si>
  <si>
    <r>
      <rPr>
        <b/>
        <sz val="36"/>
        <color theme="1"/>
        <rFont val="Calibri (Body)"/>
      </rPr>
      <t>Calvin Ridley's FP</t>
    </r>
    <r>
      <rPr>
        <b/>
        <sz val="36"/>
        <color theme="1"/>
        <rFont val="Calibri"/>
        <family val="2"/>
        <scheme val="minor"/>
      </rPr>
      <t xml:space="preserve"> = (7 * 1) + (109 / 10) + (2 * 6) = </t>
    </r>
    <r>
      <rPr>
        <b/>
        <sz val="36"/>
        <color rgb="FF00B050"/>
        <rFont val="Calibri (Body)"/>
      </rPr>
      <t>29.9 FP</t>
    </r>
  </si>
  <si>
    <t>Fantasy Points = (REC * 1) + (YDS / 10) + (TD * 6) = FP</t>
  </si>
  <si>
    <t>RB1 Attempts</t>
  </si>
  <si>
    <t>RB2 Attempts</t>
  </si>
  <si>
    <t>QB Name</t>
  </si>
  <si>
    <t>RB1 Name</t>
  </si>
  <si>
    <t>RB2 Name</t>
  </si>
  <si>
    <t>WR1 Name</t>
  </si>
  <si>
    <t>WR2 Name</t>
  </si>
  <si>
    <t>WR3 Name</t>
  </si>
  <si>
    <t>TE Name</t>
  </si>
  <si>
    <t>Mascot</t>
  </si>
  <si>
    <t>Opp Concat</t>
  </si>
  <si>
    <t>Seahawks - Opponent</t>
  </si>
  <si>
    <t>Cardinals - Opponent</t>
  </si>
  <si>
    <t>Cowboys - Opponent</t>
  </si>
  <si>
    <t>Redskins - Opponent</t>
  </si>
  <si>
    <t>Bills - Opponent</t>
  </si>
  <si>
    <t>Rams - Opponent</t>
  </si>
  <si>
    <t>Saints - Opponent</t>
  </si>
  <si>
    <t>Packers - Opponent</t>
  </si>
  <si>
    <t>Jimmy Garoppolo</t>
  </si>
  <si>
    <t>Jeff Wilson</t>
  </si>
  <si>
    <t>Jamycal Hasty</t>
  </si>
  <si>
    <t>Brandon Aiyuk</t>
  </si>
  <si>
    <t>Kendrick Bourne</t>
  </si>
  <si>
    <t>Patriots - Opponent</t>
  </si>
  <si>
    <t>Raheem Mostert</t>
  </si>
  <si>
    <t>Jerick McKinnon</t>
  </si>
  <si>
    <t>2 QB</t>
  </si>
  <si>
    <t>Dolphins - Opponent</t>
  </si>
  <si>
    <t>Eagles - Opponent</t>
  </si>
  <si>
    <t>Nick Mullens</t>
  </si>
  <si>
    <t>Trent Taylor</t>
  </si>
  <si>
    <t>Giants - Opponent</t>
  </si>
  <si>
    <t>Jets - Opponent</t>
  </si>
  <si>
    <t>Jaguars</t>
  </si>
  <si>
    <t>Jaguars - Opponent</t>
  </si>
  <si>
    <t>Vikings - Opponent</t>
  </si>
  <si>
    <t>Texans - Opponent</t>
  </si>
  <si>
    <t>Lions - Opponent</t>
  </si>
  <si>
    <t>Titans - Opponent</t>
  </si>
  <si>
    <t>Nick Foles</t>
  </si>
  <si>
    <t>David Montgomery</t>
  </si>
  <si>
    <t>Artavis Pierce</t>
  </si>
  <si>
    <t>Darnell Mooney</t>
  </si>
  <si>
    <t>Panthers - Opponent</t>
  </si>
  <si>
    <t>Ryan Nall</t>
  </si>
  <si>
    <t>Bucs - Opponent</t>
  </si>
  <si>
    <t>Tarik Cohen</t>
  </si>
  <si>
    <t>Colts - Opponent</t>
  </si>
  <si>
    <t>Falcons - Opponent</t>
  </si>
  <si>
    <t>Mitchell Trubisky</t>
  </si>
  <si>
    <t>Javon Wims</t>
  </si>
  <si>
    <t>Joe Burrow</t>
  </si>
  <si>
    <t>Giovani Bernard</t>
  </si>
  <si>
    <t>Samaje Perine</t>
  </si>
  <si>
    <t>Tee Higgins</t>
  </si>
  <si>
    <t>A.J. Green</t>
  </si>
  <si>
    <t>Drew Sample</t>
  </si>
  <si>
    <t>Browns - Opponent</t>
  </si>
  <si>
    <t>Joe Mixon</t>
  </si>
  <si>
    <t>Ravens - Opponent</t>
  </si>
  <si>
    <t>C.J. Uzomah</t>
  </si>
  <si>
    <t>Chargers - Opponent</t>
  </si>
  <si>
    <t>Josh Allen</t>
  </si>
  <si>
    <t>Devin Singletary</t>
  </si>
  <si>
    <t>Zack Moss</t>
  </si>
  <si>
    <t>Gabriel Davis</t>
  </si>
  <si>
    <t>Tyler Kroft</t>
  </si>
  <si>
    <t>Chiefs - Opponent</t>
  </si>
  <si>
    <t>T.J. Yeldon</t>
  </si>
  <si>
    <t>Raiders - Opponent</t>
  </si>
  <si>
    <t>Drew Lock</t>
  </si>
  <si>
    <t>Melvin Gordon</t>
  </si>
  <si>
    <t>Phillip Lindsay</t>
  </si>
  <si>
    <t>Jerry Jeudy</t>
  </si>
  <si>
    <t>K.J. Hamler</t>
  </si>
  <si>
    <t>Royce Freeman</t>
  </si>
  <si>
    <t>DaeSean Hamilton</t>
  </si>
  <si>
    <t>Albert Okwuegbunam</t>
  </si>
  <si>
    <t>Brett Rypien</t>
  </si>
  <si>
    <t>Jeff Driskel</t>
  </si>
  <si>
    <t>Steelers - Opponent</t>
  </si>
  <si>
    <t>Baker Mayfield</t>
  </si>
  <si>
    <t>Kareem Hunt</t>
  </si>
  <si>
    <t>D'Ernest Johnson</t>
  </si>
  <si>
    <t>Rashad Higgins</t>
  </si>
  <si>
    <t>Donovan Peoples-Jones</t>
  </si>
  <si>
    <t>Harrison Bryant</t>
  </si>
  <si>
    <t>Bengals - Opponent</t>
  </si>
  <si>
    <t>Dontrell Hilliard</t>
  </si>
  <si>
    <t>KHadarel Hodge</t>
  </si>
  <si>
    <t>Nick Chubb</t>
  </si>
  <si>
    <t>Khadarel Hodge</t>
  </si>
  <si>
    <t>Tom Brady</t>
  </si>
  <si>
    <t>Ronald Jones</t>
  </si>
  <si>
    <t>Leonard Fournette</t>
  </si>
  <si>
    <t>Rob Gronkowski</t>
  </si>
  <si>
    <t>Ke'Shawn Vaughn</t>
  </si>
  <si>
    <t>Tyler Johnson</t>
  </si>
  <si>
    <t>Bears - Opponent</t>
  </si>
  <si>
    <t>Broncos - Opponent</t>
  </si>
  <si>
    <t>Kyler Murray</t>
  </si>
  <si>
    <t>Kenyan Drake</t>
  </si>
  <si>
    <t>Chase Edmonds</t>
  </si>
  <si>
    <t>Dan Arnold</t>
  </si>
  <si>
    <t>Darrel Daniels</t>
  </si>
  <si>
    <t>Andy Isabella</t>
  </si>
  <si>
    <t>49ers - Opponent</t>
  </si>
  <si>
    <t>Philip Rivers</t>
  </si>
  <si>
    <t>Jonathan Taylor</t>
  </si>
  <si>
    <t>Nyheim Hines</t>
  </si>
  <si>
    <t>Marcus Johnson</t>
  </si>
  <si>
    <t>Trey Burton</t>
  </si>
  <si>
    <t>Mo Alie-Cox</t>
  </si>
  <si>
    <t>Michael Pittman</t>
  </si>
  <si>
    <t>Jordan Wilkins</t>
  </si>
  <si>
    <t>Parris Campbell</t>
  </si>
  <si>
    <t>Justin Herbert</t>
  </si>
  <si>
    <t>Justin Jackson</t>
  </si>
  <si>
    <t>Joshua Kelly</t>
  </si>
  <si>
    <t>Jalen Guyton</t>
  </si>
  <si>
    <t>Austin Ekeler</t>
  </si>
  <si>
    <t>Tyron Johnson</t>
  </si>
  <si>
    <t>Tyrod Taylor</t>
  </si>
  <si>
    <t>Patrick Mahomes</t>
  </si>
  <si>
    <t>Clyde Edwards-Helaire</t>
  </si>
  <si>
    <t>Le'Veon Bell</t>
  </si>
  <si>
    <t>Mecole Hardman</t>
  </si>
  <si>
    <t>Demarcus Robinson</t>
  </si>
  <si>
    <t>Darrel Williams</t>
  </si>
  <si>
    <t>Anthony Sherman</t>
  </si>
  <si>
    <t>Andy Dalton</t>
  </si>
  <si>
    <t>Ezekiel Elliott</t>
  </si>
  <si>
    <t>Tony Pollard</t>
  </si>
  <si>
    <t>Ceedee Lamb</t>
  </si>
  <si>
    <t>Dalton Schultz</t>
  </si>
  <si>
    <t>Cedrick Wilson</t>
  </si>
  <si>
    <t>Dak Prescott</t>
  </si>
  <si>
    <t>Ryan Fitzpatrick</t>
  </si>
  <si>
    <t>Myles Gaskin</t>
  </si>
  <si>
    <t>Matt Breida</t>
  </si>
  <si>
    <t>Jakeem Grant</t>
  </si>
  <si>
    <t>Adam Shaheen</t>
  </si>
  <si>
    <t>Isaiah Ford</t>
  </si>
  <si>
    <t>Jordan Howard</t>
  </si>
  <si>
    <t>Carson Wentz</t>
  </si>
  <si>
    <t>Boston Scott</t>
  </si>
  <si>
    <t>Corey Clement</t>
  </si>
  <si>
    <t>Travis Fulgham</t>
  </si>
  <si>
    <t>Richard Rodgers</t>
  </si>
  <si>
    <t>Miles Sanders</t>
  </si>
  <si>
    <t>John Hightower</t>
  </si>
  <si>
    <t>Deontay Burnett</t>
  </si>
  <si>
    <t>Jalen Reagor</t>
  </si>
  <si>
    <t>Dallas Goedert</t>
  </si>
  <si>
    <t>Matt Ryan</t>
  </si>
  <si>
    <t>Todd Gurley</t>
  </si>
  <si>
    <t>Brian Hill</t>
  </si>
  <si>
    <t>Russell Gage</t>
  </si>
  <si>
    <t>Hayden Hurst</t>
  </si>
  <si>
    <t>Olamide Zaccheaus</t>
  </si>
  <si>
    <t>Ito Smith</t>
  </si>
  <si>
    <t>Daniel Jones</t>
  </si>
  <si>
    <t>Wayne Gallman</t>
  </si>
  <si>
    <t>Dion Lewis</t>
  </si>
  <si>
    <t>Devonta Freeman</t>
  </si>
  <si>
    <t>C.J. Board</t>
  </si>
  <si>
    <t>Damion Ratley</t>
  </si>
  <si>
    <t>Saquon Barkley</t>
  </si>
  <si>
    <t>Gardner Minshew</t>
  </si>
  <si>
    <t>James Robinson</t>
  </si>
  <si>
    <t>Bruce Miller</t>
  </si>
  <si>
    <t>D.J. Chark</t>
  </si>
  <si>
    <t>Laviska Shenault</t>
  </si>
  <si>
    <t>James O'Shaunessy</t>
  </si>
  <si>
    <t>Chris Thompson</t>
  </si>
  <si>
    <t>Keelan Cole</t>
  </si>
  <si>
    <t>Tyler Eifert</t>
  </si>
  <si>
    <t>Sam Darnold</t>
  </si>
  <si>
    <t>La'Michal Perine</t>
  </si>
  <si>
    <t>Frank Gore</t>
  </si>
  <si>
    <t>Braxton Berrios</t>
  </si>
  <si>
    <t>Denzel Mims</t>
  </si>
  <si>
    <t>Joe Flacco</t>
  </si>
  <si>
    <t>Jeff Smith</t>
  </si>
  <si>
    <t>Ryan Griffin</t>
  </si>
  <si>
    <t>Chris Hogan</t>
  </si>
  <si>
    <t>Lawrence Cager</t>
  </si>
  <si>
    <t>Kalen Ballage</t>
  </si>
  <si>
    <t>Josh Malone</t>
  </si>
  <si>
    <t>Josh Adams</t>
  </si>
  <si>
    <t>Matthew Stafford</t>
  </si>
  <si>
    <t>D'Andre Swift</t>
  </si>
  <si>
    <t>Adrian Peterson</t>
  </si>
  <si>
    <t>T.J. Hockenson</t>
  </si>
  <si>
    <t>Kerryon Johnson</t>
  </si>
  <si>
    <t>Quintez Cephus</t>
  </si>
  <si>
    <t>Aaron Rodgers</t>
  </si>
  <si>
    <t>Jamaal Williams</t>
  </si>
  <si>
    <t>A.J. Dillion</t>
  </si>
  <si>
    <t>Malik Taylor</t>
  </si>
  <si>
    <t>Robert Tonyan</t>
  </si>
  <si>
    <t>Aaron Jones</t>
  </si>
  <si>
    <t>Darrius Shepherd</t>
  </si>
  <si>
    <t>Josiah DeGuara</t>
  </si>
  <si>
    <t>Teddy Bridgewater</t>
  </si>
  <si>
    <t>Mike Davis</t>
  </si>
  <si>
    <t>Trenton Cannon</t>
  </si>
  <si>
    <t>Keith Kirkwood</t>
  </si>
  <si>
    <t>Alex Armah</t>
  </si>
  <si>
    <t>Reggie Bonnafon</t>
  </si>
  <si>
    <t>Christian McCaffrey</t>
  </si>
  <si>
    <t>Cam Newton</t>
  </si>
  <si>
    <t>Damien Harris</t>
  </si>
  <si>
    <t>Rex Burkhead</t>
  </si>
  <si>
    <t>Jakobi Myers</t>
  </si>
  <si>
    <t>Ryan Izzo</t>
  </si>
  <si>
    <t>James White</t>
  </si>
  <si>
    <t>N'Keal Harry</t>
  </si>
  <si>
    <t>Brian Hoyer</t>
  </si>
  <si>
    <t>Sony Michel</t>
  </si>
  <si>
    <t>Derek Carr</t>
  </si>
  <si>
    <t>Josh Jacobs</t>
  </si>
  <si>
    <t>Devontae Booker</t>
  </si>
  <si>
    <t>Henry Ruggs</t>
  </si>
  <si>
    <t>Jalen Richard</t>
  </si>
  <si>
    <t>Jared Goff</t>
  </si>
  <si>
    <t>Darrell Henderson</t>
  </si>
  <si>
    <t>Malcolm Brown</t>
  </si>
  <si>
    <t>Josh Reynolds</t>
  </si>
  <si>
    <t>Tyler Higbee</t>
  </si>
  <si>
    <t>Cam Akers</t>
  </si>
  <si>
    <t>Van Jefferson</t>
  </si>
  <si>
    <t>Lamar Jackson</t>
  </si>
  <si>
    <t>Gus Edwards</t>
  </si>
  <si>
    <t>J.K. Dobbins</t>
  </si>
  <si>
    <t>Devin Duvernay</t>
  </si>
  <si>
    <t>Mark Ingram</t>
  </si>
  <si>
    <t>Miles Boykin</t>
  </si>
  <si>
    <t>Kyle Allen</t>
  </si>
  <si>
    <t>Antonio Gibson</t>
  </si>
  <si>
    <t>J.D. Mckissic</t>
  </si>
  <si>
    <t>Cam Sims</t>
  </si>
  <si>
    <t>Logan Thomas</t>
  </si>
  <si>
    <t>Dontrelle Inman</t>
  </si>
  <si>
    <t>Isaiah Wright</t>
  </si>
  <si>
    <t>Dwayne Haskins</t>
  </si>
  <si>
    <t>Steven Sims</t>
  </si>
  <si>
    <t>Peyton Barber</t>
  </si>
  <si>
    <t>Drew Brees</t>
  </si>
  <si>
    <t>Alvin Kamara</t>
  </si>
  <si>
    <t>Latavius Murray</t>
  </si>
  <si>
    <t>Tre'Quan Smith</t>
  </si>
  <si>
    <t>Marquez Callaway</t>
  </si>
  <si>
    <t>Deonte Harris</t>
  </si>
  <si>
    <t>Josh Hill</t>
  </si>
  <si>
    <t>Russell Wilson</t>
  </si>
  <si>
    <t>Carlos Hyde</t>
  </si>
  <si>
    <t>Chris Carson</t>
  </si>
  <si>
    <t>David Moore</t>
  </si>
  <si>
    <t>Travis Homer</t>
  </si>
  <si>
    <t>Will Dissly</t>
  </si>
  <si>
    <t>Ben Roethlisberger</t>
  </si>
  <si>
    <t>James Conner</t>
  </si>
  <si>
    <t>Benny Snell</t>
  </si>
  <si>
    <t>Juju Smith-Schuster</t>
  </si>
  <si>
    <t>Chase Claypool</t>
  </si>
  <si>
    <t>Anthony McFarland</t>
  </si>
  <si>
    <t>Jaylen Samuels</t>
  </si>
  <si>
    <t>Ryan Tannehill</t>
  </si>
  <si>
    <t>Derrick Henry</t>
  </si>
  <si>
    <t>Jeremy McNichols</t>
  </si>
  <si>
    <t>Kalif Raymond</t>
  </si>
  <si>
    <t>Anthony Firkser</t>
  </si>
  <si>
    <t>Cody Hollister</t>
  </si>
  <si>
    <t>Senorise Perry</t>
  </si>
  <si>
    <t>Cameron Davis</t>
  </si>
  <si>
    <t>Khari Blasinggame</t>
  </si>
  <si>
    <t>DeShaun Watson</t>
  </si>
  <si>
    <t>David Johnson</t>
  </si>
  <si>
    <t>Duke Johnson</t>
  </si>
  <si>
    <t>Kenny Stills</t>
  </si>
  <si>
    <t>Jordan Akins</t>
  </si>
  <si>
    <t>Cullen Gillaspia</t>
  </si>
  <si>
    <t>C.J. Prosise</t>
  </si>
  <si>
    <t>Kirk Cousins</t>
  </si>
  <si>
    <t>Alexander Mattison</t>
  </si>
  <si>
    <t>Mike Boone</t>
  </si>
  <si>
    <t>Justin Jefferson</t>
  </si>
  <si>
    <t>Chad Beebe</t>
  </si>
  <si>
    <t>Irv Smith</t>
  </si>
  <si>
    <t>Dalvin Cook</t>
  </si>
  <si>
    <t>Olabisi Johnson</t>
  </si>
  <si>
    <t>Game Wk #</t>
  </si>
  <si>
    <t>up</t>
  </si>
  <si>
    <t>down</t>
  </si>
  <si>
    <t>QB-F Rank</t>
  </si>
  <si>
    <t>RB1-F Proj Rank</t>
  </si>
  <si>
    <t>RB1-F Rank</t>
  </si>
  <si>
    <t>RB1 Rank</t>
  </si>
  <si>
    <t>RB1 Yards Rank</t>
  </si>
  <si>
    <t>RB2 Proj Rk</t>
  </si>
  <si>
    <t>RB2 Proj</t>
  </si>
  <si>
    <t>RB2 Rank</t>
  </si>
  <si>
    <t>RB2 Yards Rk</t>
  </si>
  <si>
    <t>WR1-F Proj Rank</t>
  </si>
  <si>
    <t>WR1-F Rank</t>
  </si>
  <si>
    <t>WR1 Rank</t>
  </si>
  <si>
    <t>WR1 Y Rank</t>
  </si>
  <si>
    <t>WR2-F Proj Rank</t>
  </si>
  <si>
    <t>WR2-F Rank</t>
  </si>
  <si>
    <t>WR2 Rank</t>
  </si>
  <si>
    <t>WR2 Y Rank</t>
  </si>
  <si>
    <t>WR3-F Proj Rank</t>
  </si>
  <si>
    <t>WR3-F Rank</t>
  </si>
  <si>
    <t>WR3 Rank</t>
  </si>
  <si>
    <t>WR3 Y Rank</t>
  </si>
  <si>
    <t>Slot-F WR Proj</t>
  </si>
  <si>
    <t>Slot-F Rank</t>
  </si>
  <si>
    <t>Slot WR rk</t>
  </si>
  <si>
    <t>Slot WR Y Rk</t>
  </si>
  <si>
    <t>Slot WR Targets</t>
  </si>
  <si>
    <t>TE-F Proj</t>
  </si>
  <si>
    <t>TE-F Rank</t>
  </si>
  <si>
    <t>TE Rank</t>
  </si>
  <si>
    <t>TE Yards RK</t>
  </si>
  <si>
    <t xml:space="preserve">K-F Proj </t>
  </si>
  <si>
    <t>K Proj</t>
  </si>
  <si>
    <t>K Rank</t>
  </si>
  <si>
    <t>FGA Rank</t>
  </si>
  <si>
    <t>Off Tot Alw Rank</t>
  </si>
  <si>
    <t>Off Allowed Rank</t>
  </si>
  <si>
    <t>Press Alwd Rank</t>
  </si>
  <si>
    <t>Sck Alwd Rank</t>
  </si>
  <si>
    <t>QB Press Acc Rank</t>
  </si>
  <si>
    <t>Def Allowed Rank</t>
  </si>
  <si>
    <t>Pass Fun RK</t>
  </si>
  <si>
    <t>Pass Funnel</t>
  </si>
  <si>
    <t>PF Avg</t>
  </si>
  <si>
    <t>Yards Pass Funnel</t>
  </si>
  <si>
    <t>Run Funnel</t>
  </si>
  <si>
    <t>Tot Off</t>
  </si>
  <si>
    <t>Tot WR</t>
  </si>
  <si>
    <t>Tot WR Yards</t>
  </si>
  <si>
    <t>Tot RB</t>
  </si>
  <si>
    <t>Tot RB Yards</t>
  </si>
  <si>
    <t>Tot PC Targets</t>
  </si>
  <si>
    <t>Tot RB Targets</t>
  </si>
  <si>
    <t>Avg Com Tot Def</t>
  </si>
  <si>
    <t>Tot Def</t>
  </si>
  <si>
    <t>QB Proj Rank</t>
  </si>
  <si>
    <t>RB1 Proj Rk</t>
  </si>
  <si>
    <t>RB1 Proj</t>
  </si>
  <si>
    <t>RB1 Yards Rk</t>
  </si>
  <si>
    <t>RB2 Y Rank</t>
  </si>
  <si>
    <t>WR1 Proj Rk</t>
  </si>
  <si>
    <t>WR1 Proj</t>
  </si>
  <si>
    <t>WR1 Yards Rk</t>
  </si>
  <si>
    <t>WR2 Proj Rk</t>
  </si>
  <si>
    <t>WR2 Proj</t>
  </si>
  <si>
    <t>WR2 Yards Rk</t>
  </si>
  <si>
    <t>WR3 Proj Rk</t>
  </si>
  <si>
    <t>WR3 Proj</t>
  </si>
  <si>
    <t>Slot WR Proj Rk</t>
  </si>
  <si>
    <t>Slot WR Proj</t>
  </si>
  <si>
    <t>Slot WR Rk</t>
  </si>
  <si>
    <t>Slot WR Yards Rk</t>
  </si>
  <si>
    <t>TE Proj Rk</t>
  </si>
  <si>
    <t>TE Proj</t>
  </si>
  <si>
    <t>TE Yards Rk</t>
  </si>
  <si>
    <t>K Proj Rk</t>
  </si>
  <si>
    <t>Def Alw Rank</t>
  </si>
  <si>
    <t>DEF Alw Avg</t>
  </si>
  <si>
    <t>Def Allow Rank</t>
  </si>
  <si>
    <t>Yard Pass Funnel</t>
  </si>
  <si>
    <t>Tot DEF</t>
  </si>
  <si>
    <t>RB-F Proj Rank</t>
  </si>
  <si>
    <t>RB-F Rank</t>
  </si>
  <si>
    <t>RB Rank</t>
  </si>
  <si>
    <t>RB Attemps Rank</t>
  </si>
  <si>
    <t>RB Yards Rank</t>
  </si>
  <si>
    <t>RB Yards</t>
  </si>
  <si>
    <t>Tot RB Targets Rk</t>
  </si>
  <si>
    <t>RB1 Attemps Rank</t>
  </si>
  <si>
    <t>RB1 Targets Rk</t>
  </si>
  <si>
    <t>RB2 Attemps Rank</t>
  </si>
  <si>
    <t>RB2 Targets Rk</t>
  </si>
  <si>
    <t>WR-F Proj Rank</t>
  </si>
  <si>
    <t>WR-F Rank</t>
  </si>
  <si>
    <t>WR Rank</t>
  </si>
  <si>
    <t>WR</t>
  </si>
  <si>
    <t>WR Y Rank</t>
  </si>
  <si>
    <t>WR Yards</t>
  </si>
  <si>
    <t>WR Targets Rk</t>
  </si>
  <si>
    <t>WR Targets</t>
  </si>
  <si>
    <t>WR1 Targets Rk</t>
  </si>
  <si>
    <t>WR2 Targets Rk</t>
  </si>
  <si>
    <t>WR3 Targets Rk</t>
  </si>
  <si>
    <t>Slot WR Targets Rk</t>
  </si>
  <si>
    <t>TE Targets Rk</t>
  </si>
  <si>
    <t>Pass Fun Rk</t>
  </si>
  <si>
    <t>Run Funnel Rk</t>
  </si>
  <si>
    <t>Off Sheet</t>
  </si>
  <si>
    <t>Def Sheet</t>
  </si>
  <si>
    <t>QB Rank</t>
  </si>
  <si>
    <t>Tot RB Proj Rank</t>
  </si>
  <si>
    <t>Tot RB Rank</t>
  </si>
  <si>
    <t>Tot RB Attemps Rank</t>
  </si>
  <si>
    <t>Tot RB Attempts</t>
  </si>
  <si>
    <t>Tot RB Yards Rank</t>
  </si>
  <si>
    <t>RB1 Proj Rank</t>
  </si>
  <si>
    <t>RB1 Tgts Rank</t>
  </si>
  <si>
    <t>RB2 Tgts Rank</t>
  </si>
  <si>
    <t>WR Proj Rank</t>
  </si>
  <si>
    <t>Tot WR Y Rank</t>
  </si>
  <si>
    <t>Tot WR Tgts Rank</t>
  </si>
  <si>
    <t>Tot WR Targets</t>
  </si>
  <si>
    <t>WR1 Proj Rank</t>
  </si>
  <si>
    <t>WR2 Proj Rank</t>
  </si>
  <si>
    <t>WR3 Proj Rank</t>
  </si>
  <si>
    <t>Slot Rank</t>
  </si>
  <si>
    <t>K Proj Rank</t>
  </si>
  <si>
    <t>Pass Funnel Avg</t>
  </si>
  <si>
    <t>K-F Proj  Rank</t>
  </si>
  <si>
    <t>K-F Proj</t>
  </si>
  <si>
    <t>DEF-F</t>
  </si>
  <si>
    <t>Def-F Allowed</t>
  </si>
  <si>
    <t>Off-F Tot Alw Rank</t>
  </si>
  <si>
    <t>Off-F Allowed Rank</t>
  </si>
  <si>
    <t>Press-F Alwd Rank</t>
  </si>
  <si>
    <t>Press-F Alwd</t>
  </si>
  <si>
    <t>Sck-F Alwd Rank</t>
  </si>
  <si>
    <t>QB-F Press Acc Rank</t>
  </si>
  <si>
    <t>QB-F</t>
  </si>
  <si>
    <t>Tot RB-F</t>
  </si>
  <si>
    <t>Tot RB-F Yards</t>
  </si>
  <si>
    <t>Tot RB-F Targets</t>
  </si>
  <si>
    <t>Plays/Game-F</t>
  </si>
  <si>
    <t>PF-F Avg</t>
  </si>
  <si>
    <t>K-F Proj Rk</t>
  </si>
  <si>
    <t>QB-F Press Acc</t>
  </si>
  <si>
    <t>Def-F Allowed Rank</t>
  </si>
  <si>
    <t>Off-F Points</t>
  </si>
  <si>
    <t>Def-F Points</t>
  </si>
  <si>
    <t>Total-F Yards</t>
  </si>
  <si>
    <t>Pass-F Yards</t>
  </si>
  <si>
    <t>RB-F Rush Yards</t>
  </si>
  <si>
    <t>WR-F Rush Yards</t>
  </si>
  <si>
    <t>QB-F Rush Yards</t>
  </si>
  <si>
    <t>Pass-F Fun RK</t>
  </si>
  <si>
    <t>Pass-F Funnel</t>
  </si>
  <si>
    <t>Yards-F Pass Funnel</t>
  </si>
  <si>
    <t>Run-F Funnel</t>
  </si>
  <si>
    <t>Tot-F Off</t>
  </si>
  <si>
    <t>PC-F</t>
  </si>
  <si>
    <t>PC-F Yards</t>
  </si>
  <si>
    <t>PC-F Targets</t>
  </si>
  <si>
    <t>Tot-F Def</t>
  </si>
  <si>
    <t>PC</t>
  </si>
  <si>
    <t>PC Yards</t>
  </si>
  <si>
    <t>PC Targets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</si>
</sst>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14" x14ac:knownFonts="1">
    <font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rgb="FF000000"/>
      <name val="Calibri"/>
      <family val="2"/>
      <scheme val="minor"/>
    </font>
    <font>
      <b/>
      <sz val="10"/>
      <color rgb="FF000000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sz val="10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rgb="FF00B050"/>
      <name val="Calibri (Body)"/>
    </font>
    <font>
      <b/>
      <sz val="36"/>
      <color theme="1"/>
      <name val="Calibri (Body)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9">
    <xf numFmtId="0" fontId="0" fillId="0" borderId="0" xfId="0"/>
    <xf numFmtId="164" fontId="0" fillId="0" borderId="0" xfId="0" applyNumberFormat="1"/>
    <xf numFmtId="0" fontId="0" fillId="0" borderId="0" xfId="0" applyFont="1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164" fontId="0" fillId="3" borderId="0" xfId="0" applyNumberFormat="1" applyFill="1"/>
    <xf numFmtId="0" fontId="0" fillId="3" borderId="0" xfId="0" applyFont="1" applyFill="1"/>
    <xf numFmtId="0" fontId="0" fillId="0" borderId="0" xfId="0" applyFill="1"/>
    <xf numFmtId="164" fontId="0" fillId="0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6" fontId="0" fillId="0" borderId="0" xfId="0" applyNumberFormat="1"/>
    <xf numFmtId="2" fontId="0" fillId="0" borderId="0" xfId="0" applyNumberFormat="1"/>
    <xf numFmtId="165" fontId="0" fillId="0" borderId="0" xfId="0" applyNumberFormat="1"/>
    <xf numFmtId="164" fontId="0" fillId="0" borderId="1" xfId="0" applyNumberFormat="1" applyBorder="1"/>
    <xf numFmtId="164" fontId="0" fillId="0" borderId="0" xfId="0" applyNumberFormat="1" applyBorder="1"/>
    <xf numFmtId="0" fontId="0" fillId="0" borderId="1" xfId="0" applyBorder="1"/>
    <xf numFmtId="14" fontId="0" fillId="0" borderId="0" xfId="0" applyNumberFormat="1"/>
    <xf numFmtId="0" fontId="5" fillId="0" borderId="0" xfId="0" applyFont="1"/>
    <xf numFmtId="10" fontId="0" fillId="0" borderId="0" xfId="0" applyNumberFormat="1"/>
    <xf numFmtId="0" fontId="6" fillId="0" borderId="0" xfId="0" applyFont="1"/>
    <xf numFmtId="0" fontId="6" fillId="7" borderId="0" xfId="0" applyFont="1" applyFill="1"/>
    <xf numFmtId="0" fontId="7" fillId="0" borderId="0" xfId="0" applyFont="1"/>
    <xf numFmtId="16" fontId="7" fillId="0" borderId="0" xfId="0" applyNumberFormat="1" applyFont="1"/>
    <xf numFmtId="16" fontId="6" fillId="0" borderId="0" xfId="0" applyNumberFormat="1" applyFont="1"/>
    <xf numFmtId="2" fontId="7" fillId="0" borderId="0" xfId="0" applyNumberFormat="1" applyFont="1"/>
    <xf numFmtId="0" fontId="6" fillId="2" borderId="0" xfId="0" applyFont="1" applyFill="1"/>
    <xf numFmtId="10" fontId="0" fillId="2" borderId="0" xfId="0" applyNumberFormat="1" applyFill="1"/>
    <xf numFmtId="2" fontId="0" fillId="2" borderId="0" xfId="0" applyNumberFormat="1" applyFill="1"/>
    <xf numFmtId="16" fontId="6" fillId="2" borderId="0" xfId="0" applyNumberFormat="1" applyFont="1" applyFill="1"/>
    <xf numFmtId="2" fontId="7" fillId="2" borderId="0" xfId="0" applyNumberFormat="1" applyFont="1" applyFill="1"/>
    <xf numFmtId="16" fontId="7" fillId="2" borderId="0" xfId="0" applyNumberFormat="1" applyFont="1" applyFill="1"/>
    <xf numFmtId="2" fontId="6" fillId="0" borderId="0" xfId="0" applyNumberFormat="1" applyFont="1"/>
    <xf numFmtId="1" fontId="0" fillId="0" borderId="0" xfId="0" applyNumberFormat="1"/>
    <xf numFmtId="0" fontId="7" fillId="2" borderId="0" xfId="0" applyFont="1" applyFill="1"/>
    <xf numFmtId="2" fontId="0" fillId="0" borderId="0" xfId="0" applyNumberFormat="1" applyFill="1"/>
    <xf numFmtId="0" fontId="6" fillId="0" borderId="1" xfId="0" applyFont="1" applyBorder="1"/>
    <xf numFmtId="14" fontId="6" fillId="0" borderId="0" xfId="0" applyNumberFormat="1" applyFont="1"/>
    <xf numFmtId="0" fontId="6" fillId="0" borderId="0" xfId="0" applyFont="1" applyBorder="1"/>
    <xf numFmtId="0" fontId="0" fillId="0" borderId="0" xfId="0" applyBorder="1"/>
    <xf numFmtId="0" fontId="0" fillId="0" borderId="0" xfId="0" applyNumberFormat="1"/>
    <xf numFmtId="0" fontId="0" fillId="0" borderId="0" xfId="0" applyFill="1" applyBorder="1"/>
    <xf numFmtId="0" fontId="11" fillId="0" borderId="0" xfId="0" applyFont="1"/>
    <xf numFmtId="0" fontId="11" fillId="8" borderId="0" xfId="0" applyFont="1" applyFill="1"/>
    <xf numFmtId="164" fontId="11" fillId="0" borderId="0" xfId="0" applyNumberFormat="1" applyFont="1" applyBorder="1"/>
    <xf numFmtId="0" fontId="11" fillId="0" borderId="0" xfId="0" applyNumberFormat="1" applyFont="1"/>
    <xf numFmtId="166" fontId="0" fillId="0" borderId="0" xfId="0" applyNumberFormat="1"/>
  </cellXfs>
  <cellStyles count="1">
    <cellStyle name="Normal" xfId="0" builtinId="0"/>
  </cellStyles>
  <dxfs count="208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304800</xdr:rowOff>
    </xdr:to>
    <xdr:sp macro="" textlink="">
      <xdr:nvSpPr>
        <xdr:cNvPr id="55297" name="AutoShape 1" descr="Point Spread Betting Explained [Video] - How to Bet the Spread">
          <a:extLst>
            <a:ext uri="{FF2B5EF4-FFF2-40B4-BE49-F238E27FC236}">
              <a16:creationId xmlns:a16="http://schemas.microsoft.com/office/drawing/2014/main" id="{6FB4398B-CE21-D74C-8A0D-85EF5CE6378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584200</xdr:colOff>
      <xdr:row>0</xdr:row>
      <xdr:rowOff>177800</xdr:rowOff>
    </xdr:from>
    <xdr:to>
      <xdr:col>6</xdr:col>
      <xdr:colOff>349250</xdr:colOff>
      <xdr:row>5</xdr:row>
      <xdr:rowOff>69850</xdr:rowOff>
    </xdr:to>
    <xdr:sp macro="[0]!Multi_FindRepla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C7A81A1-6D1A-9943-A5EC-D7C063671F8D}"/>
            </a:ext>
          </a:extLst>
        </xdr:cNvPr>
        <xdr:cNvSpPr/>
      </xdr:nvSpPr>
      <xdr:spPr>
        <a:xfrm>
          <a:off x="3721100" y="177800"/>
          <a:ext cx="2457450" cy="908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/>
            <a:t>NAMES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B2FCFB-BC07-B04B-B9DF-110CAC8243D3}" name="Table1" displayName="Table1" ref="A1:B300" totalsRowShown="0">
  <autoFilter ref="A1:B300" xr:uid="{45549108-1C5C-B34B-842D-1FE4E07D0379}"/>
  <tableColumns count="2">
    <tableColumn id="1" xr3:uid="{CF992613-32CD-E041-B3AF-C740460C9427}" name="Raw"/>
    <tableColumn id="2" xr3:uid="{363103D8-DF78-2545-A79F-A2E7D37153A5}" name="Standardiz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44EA-E752-CD41-9F68-F2CE001D1C98}">
  <sheetPr codeName="Sheet1"/>
  <dimension ref="A1:K51"/>
  <sheetViews>
    <sheetView workbookViewId="0">
      <selection activeCell="C13" sqref="C13"/>
    </sheetView>
  </sheetViews>
  <sheetFormatPr baseColWidth="10" defaultRowHeight="16" x14ac:dyDescent="0.2"/>
  <cols>
    <col min="1" max="1" width="54.6640625" bestFit="1" customWidth="1"/>
    <col min="5" max="5" width="12.33203125" bestFit="1" customWidth="1"/>
    <col min="6" max="6" width="12" bestFit="1" customWidth="1"/>
    <col min="7" max="7" width="15.6640625" bestFit="1" customWidth="1"/>
    <col min="8" max="8" width="12" bestFit="1" customWidth="1"/>
    <col min="9" max="9" width="17.33203125" bestFit="1" customWidth="1"/>
    <col min="11" max="11" width="14.1640625" bestFit="1" customWidth="1"/>
  </cols>
  <sheetData>
    <row r="1" spans="1:11" x14ac:dyDescent="0.2">
      <c r="A1" t="s">
        <v>191</v>
      </c>
      <c r="B1" t="s">
        <v>29</v>
      </c>
      <c r="C1" t="s">
        <v>186</v>
      </c>
      <c r="D1" t="s">
        <v>33</v>
      </c>
      <c r="E1" t="s">
        <v>187</v>
      </c>
      <c r="F1" t="s">
        <v>36</v>
      </c>
      <c r="G1" t="s">
        <v>188</v>
      </c>
      <c r="H1" t="s">
        <v>34</v>
      </c>
      <c r="I1" t="s">
        <v>189</v>
      </c>
      <c r="J1" t="s">
        <v>185</v>
      </c>
      <c r="K1" t="s">
        <v>190</v>
      </c>
    </row>
    <row r="2" spans="1:11" x14ac:dyDescent="0.2">
      <c r="A2" s="8" t="s">
        <v>152</v>
      </c>
      <c r="B2" s="9" t="e">
        <f ca="1">AVERAGEIFS(INDIRECT($A$1&amp;"!$S$2:$S$999"),INDIRECT($A$1&amp;"!$i$2:$i$999"),"YES")</f>
        <v>#DIV/0!</v>
      </c>
      <c r="C2" s="8">
        <f ca="1">COUNTIF(INDIRECT($A$1&amp;"!$i$2:$i$999"),"YES")</f>
        <v>0</v>
      </c>
      <c r="D2" s="9" t="e">
        <f ca="1">AVERAGEIFS(INDIRECT($A$1&amp;"!$S$2:$S$999"),INDIRECT($A$1&amp;"!$Q$2:$Q$999"),"&lt;=4",INDIRECT($A$1&amp;"!$i$2:$i$999"),"YES")</f>
        <v>#DIV/0!</v>
      </c>
      <c r="E2" s="8">
        <f ca="1">COUNTIFS(INDIRECT($A$1&amp;"!$Q$2:$Q$999"),"&lt;=4",INDIRECT($A$1&amp;"!$i$2:$i$999"),"YES")</f>
        <v>0</v>
      </c>
      <c r="F2" s="9" t="e">
        <f ca="1">AVERAGEIFS(INDIRECT($A$1&amp;"!$S$2:$S$999"),INDIRECT($A$1&amp;"!$Q$2:$Q$999"),"&gt;=4.1",INDIRECT($A$1&amp;"!$Q$2:$Q$999"),"&lt;=5",INDIRECT($A$1&amp;"!$i$2:$i$999"),"YES")</f>
        <v>#DIV/0!</v>
      </c>
      <c r="G2" s="8">
        <f ca="1">COUNTIFS(INDIRECT($A$1&amp;"!$Q$2:$Q$999"),"&gt;=4.1",INDIRECT($A$1&amp;"!$Q$2:$Q$999"),"&lt;=5",INDIRECT($A$1&amp;"!$i$2:$i$999"),"YES")</f>
        <v>0</v>
      </c>
      <c r="H2" s="9" t="e">
        <f ca="1">AVERAGEIFS(INDIRECT($A$1&amp;"!$S$2:$S$999"),INDIRECT($A$1&amp;"!$Q$2:$Q$999"),"&gt;=5.1",INDIRECT($A$1&amp;"!$Q$2:$Q$999"),"&lt;=6.2",INDIRECT($A$1&amp;"!$i$2:$i$999"),"YES")</f>
        <v>#DIV/0!</v>
      </c>
      <c r="I2" s="8">
        <f ca="1">COUNTIFS(INDIRECT($A$1&amp;"!$Q$2:$Q$999"),"&gt;=5.1",INDIRECT($A$1&amp;"!$Q$2:$Q$999"),"&lt;=6.2",INDIRECT($A$1&amp;"!$i$2:$i$999"),"YES")</f>
        <v>0</v>
      </c>
      <c r="J2" s="9" t="e">
        <f ca="1">AVERAGEIFS(INDIRECT($A$1&amp;"!$S$2:$S$999"),INDIRECT($A$1&amp;"!$Q$2:$Q$999"),"&gt;=6.3",INDIRECT($A$1&amp;"!$i$2:$i$999"),"YES")</f>
        <v>#DIV/0!</v>
      </c>
      <c r="K2" s="8">
        <f ca="1">COUNTIFS(INDIRECT($A$1&amp;"!$Q$2:$Q$999"),"&gt;=6.3",INDIRECT($A$1&amp;"!$i$2:$i$999"),"YES")</f>
        <v>0</v>
      </c>
    </row>
    <row r="3" spans="1:11" x14ac:dyDescent="0.2">
      <c r="A3" s="8" t="s">
        <v>153</v>
      </c>
      <c r="B3" s="9" t="e">
        <f ca="1">AVERAGEIFS(INDIRECT($A$1&amp;"!$S$2:$S$999"),INDIRECT($A$1&amp;"!$J$2:$J$999"),"YES",INDIRECT($A$1&amp;"!$K$2:$K$999"),"YES",INDIRECT($A$1&amp;"!$i$2:$i$999"),"YES")</f>
        <v>#DIV/0!</v>
      </c>
      <c r="C3" s="8">
        <f ca="1">COUNTIFS(INDIRECT($A$1&amp;"!$J$2:$J$999"),"YES",INDIRECT($A$1&amp;"!$K$2:$K$999"),"YES",INDIRECT($A$1&amp;"!$i$2:$i$999"),"YES")</f>
        <v>0</v>
      </c>
      <c r="D3" s="9" t="e">
        <f ca="1">AVERAGEIFS(INDIRECT($A$1&amp;"!$S$2:$S$999"),INDIRECT($A$1&amp;"!$Q$2:$Q$999"),"&lt;=4",INDIRECT($A$1&amp;"!$J$2:$J$999"),"YES",INDIRECT($A$1&amp;"!$K$2:$K$999"),"YES",INDIRECT($A$1&amp;"!$i$2:$i$999"),"YES")</f>
        <v>#DIV/0!</v>
      </c>
      <c r="E3" s="8">
        <f ca="1">COUNTIFS(INDIRECT($A$1&amp;"!$Q$2:$Q$999"),"&lt;=4",INDIRECT($A$1&amp;"!$J$2:$J$999"),"YES",INDIRECT($A$1&amp;"!$K$2:$K$999"),"YES",INDIRECT($A$1&amp;"!$i$2:$i$999"),"YES")</f>
        <v>0</v>
      </c>
      <c r="F3" s="9" t="e">
        <f ca="1">AVERAGEIFS(INDIRECT($A$1&amp;"!$S$2:$S$999"),INDIRECT($A$1&amp;"!$Q$2:$Q$999"),"&gt;=4.1",INDIRECT($A$1&amp;"!$Q$2:$Q$999"),"&lt;=5",INDIRECT($A$1&amp;"!$J$2:$J$999"),"YES",INDIRECT($A$1&amp;"!$K$2:$K$999"),"YES",INDIRECT($A$1&amp;"!$i$2:$i$999"),"YES")</f>
        <v>#DIV/0!</v>
      </c>
      <c r="G3" s="8">
        <f ca="1">COUNTIFS(INDIRECT($A$1&amp;"!$Q$2:$Q$999"),"&gt;=4.1",INDIRECT($A$1&amp;"!$Q$2:$Q$999"),"&lt;=5",INDIRECT($A$1&amp;"!$J$2:$J$999"),"YES",INDIRECT($A$1&amp;"!$K$2:$K$999"),"YES",INDIRECT($A$1&amp;"!$i$2:$i$999"),"YES")</f>
        <v>0</v>
      </c>
      <c r="H3" s="9" t="e">
        <f ca="1">AVERAGEIFS(INDIRECT($A$1&amp;"!$S$2:$S$999"),INDIRECT($A$1&amp;"!$Q$2:$Q$999"),"&gt;=5.1",INDIRECT($A$1&amp;"!$Q$2:$Q$999"),"&lt;=6.2",INDIRECT($A$1&amp;"!$J$2:$J$999"),"YES",INDIRECT($A$1&amp;"!$K$2:$K$999"),"YES",INDIRECT($A$1&amp;"!$i$2:$i$999"),"YES")</f>
        <v>#DIV/0!</v>
      </c>
      <c r="I3" s="8">
        <f ca="1">COUNTIFS(INDIRECT($A$1&amp;"!$Q$2:$Q$999"),"&gt;=5.1",INDIRECT($A$1&amp;"!$Q$2:$Q$999"),"&lt;=6.2",INDIRECT($A$1&amp;"!$J$2:$J$999"),"YES",INDIRECT($A$1&amp;"!$K$2:$K$999"),"YES",INDIRECT($A$1&amp;"!$i$2:$i$999"),"YES")</f>
        <v>0</v>
      </c>
      <c r="J3" s="9" t="e">
        <f ca="1">AVERAGEIFS(INDIRECT($A$1&amp;"!$S$2:$S$999"),INDIRECT($A$1&amp;"!$Q$2:$Q$999"),"&gt;=6.3",INDIRECT($A$1&amp;"!$J$2:$J$999"),"YES",INDIRECT($A$1&amp;"!$K$2:$K$999"),"YES",INDIRECT($A$1&amp;"!$i$2:$i$999"),"YES")</f>
        <v>#DIV/0!</v>
      </c>
      <c r="K3" s="8">
        <f ca="1">COUNTIFS(INDIRECT($A$1&amp;"!$Q$2:$Q$999"),"&gt;=6.3",INDIRECT($A$1&amp;"!$J$2:$J$999"),"YES",INDIRECT($A$1&amp;"!$K$2:$K$999"),"YES",INDIRECT($A$1&amp;"!$i$2:$i$999"),"YES")</f>
        <v>0</v>
      </c>
    </row>
    <row r="4" spans="1:11" x14ac:dyDescent="0.2">
      <c r="A4" s="8" t="s">
        <v>154</v>
      </c>
      <c r="B4" s="9" t="e">
        <f ca="1">AVERAGEIFS(INDIRECT($A$1&amp;"!$S$2:$S$999"),INDIRECT($A$1&amp;"!$J$2:$J$999"),"YES",INDIRECT($A$1&amp;"!$i$2:$i$999"),"YES")</f>
        <v>#DIV/0!</v>
      </c>
      <c r="C4" s="8">
        <f ca="1">COUNTIFS(INDIRECT($A$1&amp;"!$J$2:$J$999"),"YES",INDIRECT($A$1&amp;"!$i$2:$i$999"),"YES")</f>
        <v>0</v>
      </c>
      <c r="D4" s="9" t="e">
        <f ca="1">AVERAGEIFS(INDIRECT($A$1&amp;"!$S$2:$S$999"),INDIRECT($A$1&amp;"!$Q$2:$Q$999"),"&lt;=4",INDIRECT($A$1&amp;"!$J$2:$J$999"),"YES",INDIRECT($A$1&amp;"!$i$2:$i$999"),"YES")</f>
        <v>#DIV/0!</v>
      </c>
      <c r="E4" s="8">
        <f ca="1">COUNTIFS(INDIRECT($A$1&amp;"!$Q$2:$Q$999"),"&lt;=4",INDIRECT($A$1&amp;"!$J$2:$J$999"),"YES",INDIRECT($A$1&amp;"!$i$2:$i$999"),"YES")</f>
        <v>0</v>
      </c>
      <c r="F4" s="9" t="e">
        <f ca="1">AVERAGEIFS(INDIRECT($A$1&amp;"!$S$2:$S$999"),INDIRECT($A$1&amp;"!$Q$2:$Q$999"),"&gt;=4.1",INDIRECT($A$1&amp;"!$Q$2:$Q$999"),"&lt;=5",INDIRECT($A$1&amp;"!$J$2:$J$999"),"YES",INDIRECT($A$1&amp;"!$i$2:$i$999"),"YES")</f>
        <v>#DIV/0!</v>
      </c>
      <c r="G4" s="8">
        <f ca="1">COUNTIFS(INDIRECT($A$1&amp;"!$Q$2:$Q$999"),"&gt;=4.1",INDIRECT($A$1&amp;"!$Q$2:$Q$999"),"&lt;=5",INDIRECT($A$1&amp;"!$J$2:$J$999"),"YES",INDIRECT($A$1&amp;"!$i$2:$i$999"),"YES")</f>
        <v>0</v>
      </c>
      <c r="H4" s="9" t="e">
        <f ca="1">AVERAGEIFS(INDIRECT($A$1&amp;"!$S$2:$S$999"),INDIRECT($A$1&amp;"!$Q$2:$Q$999"),"&gt;=5.1",INDIRECT($A$1&amp;"!$Q$2:$Q$999"),"&lt;=6.2",INDIRECT($A$1&amp;"!$J$2:$J$999"),"YES",INDIRECT($A$1&amp;"!$i$2:$i$999"),"YES")</f>
        <v>#DIV/0!</v>
      </c>
      <c r="I4" s="8">
        <f ca="1">COUNTIFS(INDIRECT($A$1&amp;"!$Q$2:$Q$999"),"&gt;=5.1",INDIRECT($A$1&amp;"!$Q$2:$Q$999"),"&lt;=6.2",INDIRECT($A$1&amp;"!$J$2:$J$999"),"YES",INDIRECT($A$1&amp;"!$i$2:$i$999"),"YES")</f>
        <v>0</v>
      </c>
      <c r="J4" s="9" t="e">
        <f ca="1">AVERAGEIFS(INDIRECT($A$1&amp;"!$S$2:$S$999"),INDIRECT($A$1&amp;"!$Q$2:$Q$999"),"&gt;=6.3",INDIRECT($A$1&amp;"!$J$2:$J$999"),"YES",INDIRECT($A$1&amp;"!$i$2:$i$999"),"YES")</f>
        <v>#DIV/0!</v>
      </c>
      <c r="K4" s="8">
        <f ca="1">COUNTIFS(INDIRECT($A$1&amp;"!$Q$2:$Q$999"),"&gt;=6.3",INDIRECT($A$1&amp;"!$J$2:$J$999"),"YES",INDIRECT($A$1&amp;"!$i$2:$i$999"),"YES")</f>
        <v>0</v>
      </c>
    </row>
    <row r="5" spans="1:11" x14ac:dyDescent="0.2">
      <c r="A5" s="8" t="s">
        <v>155</v>
      </c>
      <c r="B5" s="9" t="e">
        <f ca="1">AVERAGEIFS(INDIRECT($A$1&amp;"!$S$2:$S$999"),INDIRECT($A$1&amp;"!$K$2:$K$999"),"YES",INDIRECT($A$1&amp;"!$i$2:$i$999"),"YES")</f>
        <v>#DIV/0!</v>
      </c>
      <c r="C5" s="8">
        <f ca="1">COUNTIFS(INDIRECT($A$1&amp;"!$K$2:$K$999"),"YES",INDIRECT($A$1&amp;"!$i$2:$i$999"),"YES")</f>
        <v>0</v>
      </c>
      <c r="D5" s="9" t="e">
        <f ca="1">AVERAGEIFS(INDIRECT($A$1&amp;"!$S$2:$S$999"),INDIRECT($A$1&amp;"!$Q$2:$Q$999"),"&lt;=4",INDIRECT($A$1&amp;"!$K$2:$K$999"),"YES",INDIRECT($A$1&amp;"!$i$2:$i$999"),"YES")</f>
        <v>#DIV/0!</v>
      </c>
      <c r="E5" s="8">
        <f ca="1">COUNTIFS(INDIRECT($A$1&amp;"!$Q$2:$Q$999"),"&lt;=4",INDIRECT($A$1&amp;"!$K$2:$K$999"),"YES",INDIRECT($A$1&amp;"!$i$2:$i$999"),"YES")</f>
        <v>0</v>
      </c>
      <c r="F5" s="9" t="e">
        <f ca="1">AVERAGEIFS(INDIRECT($A$1&amp;"!$S$2:$S$999"),INDIRECT($A$1&amp;"!$Q$2:$Q$999"),"&gt;=4.1",INDIRECT($A$1&amp;"!$Q$2:$Q$999"),"&lt;=5",INDIRECT($A$1&amp;"!$K$2:$K$999"),"YES",INDIRECT($A$1&amp;"!$i$2:$i$999"),"YES")</f>
        <v>#DIV/0!</v>
      </c>
      <c r="G5" s="8">
        <f ca="1">COUNTIFS(INDIRECT($A$1&amp;"!$Q$2:$Q$999"),"&gt;=4.1",INDIRECT($A$1&amp;"!$Q$2:$Q$999"),"&lt;=5",INDIRECT($A$1&amp;"!$K$2:$K$999"),"YES",INDIRECT($A$1&amp;"!$i$2:$i$999"),"YES")</f>
        <v>0</v>
      </c>
      <c r="H5" s="9" t="e">
        <f ca="1">AVERAGEIFS(INDIRECT($A$1&amp;"!$S$2:$S$999"),INDIRECT($A$1&amp;"!$Q$2:$Q$999"),"&gt;=5.1",INDIRECT($A$1&amp;"!$Q$2:$Q$999"),"&lt;=6.2",INDIRECT($A$1&amp;"!$K$2:$K$999"),"YES",INDIRECT($A$1&amp;"!$i$2:$i$999"),"YES")</f>
        <v>#DIV/0!</v>
      </c>
      <c r="I5" s="8">
        <f ca="1">COUNTIFS(INDIRECT($A$1&amp;"!$Q$2:$Q$999"),"&gt;=5.1",INDIRECT($A$1&amp;"!$Q$2:$Q$999"),"&lt;=6.2",INDIRECT($A$1&amp;"!$K$2:$K$999"),"YES",INDIRECT($A$1&amp;"!$i$2:$i$999"),"YES")</f>
        <v>0</v>
      </c>
      <c r="J5" s="9" t="e">
        <f ca="1">AVERAGEIFS(INDIRECT($A$1&amp;"!$S$2:$S$999"),INDIRECT($A$1&amp;"!$Q$2:$Q$999"),"&gt;=6.3",INDIRECT($A$1&amp;"!$K$2:$K$999"),"YES",INDIRECT($A$1&amp;"!$i$2:$i$999"),"YES")</f>
        <v>#DIV/0!</v>
      </c>
      <c r="K5" s="8">
        <f ca="1">COUNTIFS(INDIRECT($A$1&amp;"!$Q$2:$Q$999"),"&gt;=6.3",INDIRECT($A$1&amp;"!$K$2:$K$999"),"YES",INDIRECT($A$1&amp;"!$i$2:$i$999"),"YES")</f>
        <v>0</v>
      </c>
    </row>
    <row r="6" spans="1:11" x14ac:dyDescent="0.2">
      <c r="A6" s="8" t="s">
        <v>202</v>
      </c>
      <c r="B6" s="9" t="e">
        <f ca="1">AVERAGEIFS(INDIRECT($A$1&amp;"!$S$2:$S$999"),INDIRECT($A$1&amp;"!$E$2:$E$999"),"YES",INDIRECT($A$1&amp;"!$i$2:$i$999"),"YES")</f>
        <v>#DIV/0!</v>
      </c>
      <c r="C6">
        <f ca="1">COUNTIFS(INDIRECT($A$1&amp;"!$E$2:$E$999"),"YES",INDIRECT($A$1&amp;"!$i$2:$i$999"),"YES")</f>
        <v>0</v>
      </c>
      <c r="D6" s="9" t="e">
        <f ca="1">AVERAGEIFS(INDIRECT($A$1&amp;"!$S$2:$S$999"),INDIRECT($A$1&amp;"!$Q$2:$Q$999"),"&lt;=4",INDIRECT($A$1&amp;"!$E$2:$E$999"),"YES",INDIRECT($A$1&amp;"!$i$2:$i$999"),"YES")</f>
        <v>#DIV/0!</v>
      </c>
      <c r="E6">
        <f ca="1">COUNTIFS(INDIRECT($A$1&amp;"!$Q$2:$Q$999"),"&lt;=4",INDIRECT($A$1&amp;"!$E$2:$E$999"),"YES",INDIRECT($A$1&amp;"!$i$2:$i$999"),"YES")</f>
        <v>0</v>
      </c>
      <c r="F6" s="9" t="e">
        <f ca="1">AVERAGEIFS(INDIRECT($A$1&amp;"!$S$2:$S$999"),INDIRECT($A$1&amp;"!$Q$2:$Q$999"),"&gt;=4.1",INDIRECT($A$1&amp;"!$Q$2:$Q$999"),"&lt;=5",INDIRECT($A$1&amp;"!$E$2:$E$999"),"YES",INDIRECT($A$1&amp;"!$i$2:$i$999"),"YES")</f>
        <v>#DIV/0!</v>
      </c>
      <c r="G6">
        <f ca="1">COUNTIFS(INDIRECT($A$1&amp;"!$Q$2:$Q$999"),"&gt;=4.1",INDIRECT($A$1&amp;"!$Q$2:$Q$999"),"&lt;=5",INDIRECT($A$1&amp;"!$E$2:$E$999"),"YES",INDIRECT($A$1&amp;"!$i$2:$i$999"),"YES")</f>
        <v>0</v>
      </c>
      <c r="H6" s="9" t="e">
        <f ca="1">AVERAGEIFS(INDIRECT($A$1&amp;"!$S$2:$S$999"),INDIRECT($A$1&amp;"!$Q$2:$Q$999"),"&gt;=5.1",INDIRECT($A$1&amp;"!$Q$2:$Q$999"),"&lt;=6.2",INDIRECT($A$1&amp;"!$E$2:$E$999"),"YES",INDIRECT($A$1&amp;"!$i$2:$i$999"),"YES")</f>
        <v>#DIV/0!</v>
      </c>
      <c r="I6">
        <f ca="1">COUNTIFS(INDIRECT($A$1&amp;"!$Q$2:$Q$999"),"&gt;=5.1",INDIRECT($A$1&amp;"!$Q$2:$Q$999"),"&lt;=6.2",INDIRECT($A$1&amp;"!$E$2:$E$999"),"YES",INDIRECT($A$1&amp;"!$i$2:$i$999"),"YES")</f>
        <v>0</v>
      </c>
      <c r="J6" s="9" t="e">
        <f ca="1">AVERAGEIFS(INDIRECT($A$1&amp;"!$S$2:$S$999"),INDIRECT($A$1&amp;"!$Q$2:$Q$999"),"&gt;=6.3",INDIRECT($A$1&amp;"!$E$2:$E$999"),"YES",INDIRECT($A$1&amp;"!$i$2:$i$999"),"YES")</f>
        <v>#DIV/0!</v>
      </c>
      <c r="K6">
        <f ca="1">COUNTIFS(INDIRECT($A$1&amp;"!$Q$2:$Q$999"),"&gt;=6.3",INDIRECT($A$1&amp;"!$E$2:$E$999"),"YES",INDIRECT($A$1&amp;"!$i$2:$i$999"),"YES")</f>
        <v>0</v>
      </c>
    </row>
    <row r="7" spans="1:11" x14ac:dyDescent="0.2">
      <c r="A7" s="9" t="s">
        <v>203</v>
      </c>
      <c r="B7" s="9" t="e">
        <f ca="1">AVERAGEIFS(INDIRECT($A$1&amp;"!$S$2:$S$999"),INDIRECT($A$1&amp;"!$D$2:$D$999"),"YES",INDIRECT($A$1&amp;"!$i$2:$i$999"),"YES")</f>
        <v>#DIV/0!</v>
      </c>
      <c r="C7">
        <f ca="1">COUNTIFS(INDIRECT($A$1&amp;"!$D$2:$D$999"),"YES",INDIRECT($A$1&amp;"!$i$2:$i$999"),"YES")</f>
        <v>0</v>
      </c>
      <c r="D7" s="9" t="e">
        <f ca="1">AVERAGEIFS(INDIRECT($A$1&amp;"!$S$2:$S$999"),INDIRECT($A$1&amp;"!$Q$2:$Q$999"),"&lt;=4",INDIRECT($A$1&amp;"!$D$2:$D$999"),"YES",INDIRECT($A$1&amp;"!$i$2:$i$999"),"YES")</f>
        <v>#DIV/0!</v>
      </c>
      <c r="E7">
        <f ca="1">COUNTIFS(INDIRECT($A$1&amp;"!$Q$2:$Q$999"),"&lt;=4",INDIRECT($A$1&amp;"!$D$2:$D$999"),"YES",INDIRECT($A$1&amp;"!$i$2:$i$999"),"YES")</f>
        <v>0</v>
      </c>
      <c r="F7" s="9" t="e">
        <f ca="1">AVERAGEIFS(INDIRECT($A$1&amp;"!$S$2:$S$999"),INDIRECT($A$1&amp;"!$Q$2:$Q$999"),"&gt;=4.1",INDIRECT($A$1&amp;"!$Q$2:$Q$999"),"&lt;=5",INDIRECT($A$1&amp;"!$D$2:$D$999"),"YES",INDIRECT($A$1&amp;"!$i$2:$i$999"),"YES")</f>
        <v>#DIV/0!</v>
      </c>
      <c r="G7">
        <f ca="1">COUNTIFS(INDIRECT($A$1&amp;"!$Q$2:$Q$999"),"&gt;=4.1",INDIRECT($A$1&amp;"!$Q$2:$Q$999"),"&lt;=5",INDIRECT($A$1&amp;"!$D$2:$D$999"),"YES",INDIRECT($A$1&amp;"!$i$2:$i$999"),"YES")</f>
        <v>0</v>
      </c>
      <c r="H7" s="9" t="e">
        <f ca="1">AVERAGEIFS(INDIRECT($A$1&amp;"!$S$2:$S$999"),INDIRECT($A$1&amp;"!$Q$2:$Q$999"),"&gt;=5.1",INDIRECT($A$1&amp;"!$Q$2:$Q$999"),"&lt;=6.2",INDIRECT($A$1&amp;"!$D$2:$D$999"),"YES",INDIRECT($A$1&amp;"!$i$2:$i$999"),"YES")</f>
        <v>#DIV/0!</v>
      </c>
      <c r="I7">
        <f ca="1">COUNTIFS(INDIRECT($A$1&amp;"!$Q$2:$Q$999"),"&gt;=5.1",INDIRECT($A$1&amp;"!$Q$2:$Q$999"),"&lt;=6.2",INDIRECT($A$1&amp;"!$D$2:$D$999"),"YES",INDIRECT($A$1&amp;"!$i$2:$i$999"),"YES")</f>
        <v>0</v>
      </c>
      <c r="J7" s="9" t="e">
        <f ca="1">AVERAGEIFS(INDIRECT($A$1&amp;"!$S$2:$S$999"),INDIRECT($A$1&amp;"!$Q$2:$Q$999"),"&gt;=6.3",INDIRECT($A$1&amp;"!$D$2:$D$999"),"YES",INDIRECT($A$1&amp;"!$i$2:$i$999"),"YES")</f>
        <v>#DIV/0!</v>
      </c>
      <c r="K7">
        <f ca="1">COUNTIFS(INDIRECT($A$1&amp;"!$Q$2:$Q$999"),"&gt;=6.3",INDIRECT($A$1&amp;"!$D$2:$D$999"),"YES",INDIRECT($A$1&amp;"!$i$2:$i$999"),"YES")</f>
        <v>0</v>
      </c>
    </row>
    <row r="8" spans="1:11" x14ac:dyDescent="0.2">
      <c r="A8" s="8" t="s">
        <v>204</v>
      </c>
      <c r="B8" s="9" t="e">
        <f ca="1">AVERAGEIFS(INDIRECT($A$1&amp;"!$S$2:$S$999"),INDIRECT($A$1&amp;"!$E$2:$E$999"),"YES",INDIRECT($A$1&amp;"!$D$2:$D$999"),"YES",INDIRECT($A$1&amp;"!$i$2:$i$999"),"YES")</f>
        <v>#DIV/0!</v>
      </c>
      <c r="C8">
        <f ca="1">COUNTIFS(INDIRECT($A$1&amp;"!$E$2:$E$999"),"YES",INDIRECT($A$1&amp;"!$D$2:$D$999"),"YES",INDIRECT($A$1&amp;"!$i$2:$i$999"),"YES")</f>
        <v>0</v>
      </c>
      <c r="D8" s="9" t="e">
        <f ca="1">AVERAGEIFS(INDIRECT($A$1&amp;"!$S$2:$S$999"),INDIRECT($A$1&amp;"!$Q$2:$Q$999"),"&lt;=4",INDIRECT($A$1&amp;"!$E$2:$E$999"),"YES",INDIRECT($A$1&amp;"!$D$2:$D$999"),"YES",INDIRECT($A$1&amp;"!$i$2:$i$999"),"YES")</f>
        <v>#DIV/0!</v>
      </c>
      <c r="E8">
        <f ca="1">COUNTIFS(INDIRECT($A$1&amp;"!$Q$2:$Q$999"),"&lt;=4",INDIRECT($A$1&amp;"!$E$2:$E$999"),"YES",INDIRECT($A$1&amp;"!$D$2:$D$999"),"YES",INDIRECT($A$1&amp;"!$i$2:$i$999"),"YES")</f>
        <v>0</v>
      </c>
      <c r="F8" s="9" t="e">
        <f ca="1">AVERAGEIFS(INDIRECT($A$1&amp;"!$S$2:$S$999"),INDIRECT($A$1&amp;"!$Q$2:$Q$999"),"&gt;=4.1",INDIRECT($A$1&amp;"!$Q$2:$Q$999"),"&lt;=5",INDIRECT($A$1&amp;"!$E$2:$E$999"),"YES",INDIRECT($A$1&amp;"!$D$2:$D$999"),"YES",INDIRECT($A$1&amp;"!$i$2:$i$999"),"YES")</f>
        <v>#DIV/0!</v>
      </c>
      <c r="G8">
        <f ca="1">COUNTIFS(INDIRECT($A$1&amp;"!$Q$2:$Q$999"),"&gt;=4.1",INDIRECT($A$1&amp;"!$Q$2:$Q$999"),"&lt;=5",INDIRECT($A$1&amp;"!$E$2:$E$999"),"YES",INDIRECT($A$1&amp;"!$D$2:$D$999"),"YES",INDIRECT($A$1&amp;"!$i$2:$i$999"),"YES")</f>
        <v>0</v>
      </c>
      <c r="H8" s="9" t="e">
        <f ca="1">AVERAGEIFS(INDIRECT($A$1&amp;"!$S$2:$S$999"),INDIRECT($A$1&amp;"!$Q$2:$Q$999"),"&gt;=5.1",INDIRECT($A$1&amp;"!$Q$2:$Q$999"),"&lt;=6.2",INDIRECT($A$1&amp;"!$E$2:$E$999"),"YES",INDIRECT($A$1&amp;"!$D$2:$D$999"),"YES",INDIRECT($A$1&amp;"!$i$2:$i$999"),"YES")</f>
        <v>#DIV/0!</v>
      </c>
      <c r="I8">
        <f ca="1">COUNTIFS(INDIRECT($A$1&amp;"!$Q$2:$Q$999"),"&gt;=5.1",INDIRECT($A$1&amp;"!$Q$2:$Q$999"),"&lt;=6.2",INDIRECT($A$1&amp;"!$E$2:$E$999"),"YES",INDIRECT($A$1&amp;"!$D$2:$D$999"),"YES",INDIRECT($A$1&amp;"!$i$2:$i$999"),"YES")</f>
        <v>0</v>
      </c>
      <c r="J8" s="9" t="e">
        <f ca="1">AVERAGEIFS(INDIRECT($A$1&amp;"!$S$2:$S$999"),INDIRECT($A$1&amp;"!$Q$2:$Q$999"),"&gt;=6.3",INDIRECT($A$1&amp;"!$E$2:$E$999"),"YES",INDIRECT($A$1&amp;"!$D$2:$D$999"),"YES",INDIRECT($A$1&amp;"!$i$2:$i$999"),"YES")</f>
        <v>#DIV/0!</v>
      </c>
      <c r="K8">
        <f ca="1">COUNTIFS(INDIRECT($A$1&amp;"!$Q$2:$Q$999"),"&gt;=6.3",INDIRECT($A$1&amp;"!$E$2:$E$999"),"YES",INDIRECT($A$1&amp;"!$D$2:$D$999"),"YES",INDIRECT($A$1&amp;"!$i$2:$i$999"),"YES")</f>
        <v>0</v>
      </c>
    </row>
    <row r="9" spans="1:11" x14ac:dyDescent="0.2">
      <c r="A9" s="8" t="s">
        <v>205</v>
      </c>
      <c r="B9" s="9" t="e">
        <f ca="1">AVERAGEIFS(INDIRECT($A$1&amp;"!$S$2:$S$999"),INDIRECT($A$1&amp;"!$E$2:$E$999"),"YES",INDIRECT($A$1&amp;"!$C$2:$C$999"),"&gt;=0.01",INDIRECT($A$1&amp;"!$i$2:$i$999"),"YES")</f>
        <v>#DIV/0!</v>
      </c>
      <c r="C9">
        <f ca="1">COUNTIFS(INDIRECT($A$1&amp;"!$E$2:$E$999"),"YES",INDIRECT($A$1&amp;"!$C$2:$C$999"),"&gt;=0.01",INDIRECT($A$1&amp;"!$i$2:$i$999"),"YES")</f>
        <v>0</v>
      </c>
      <c r="D9" s="9" t="e">
        <f ca="1">AVERAGEIFS(INDIRECT($A$1&amp;"!$S$2:$S$999"),INDIRECT($A$1&amp;"!$Q$2:$Q$999"),"&lt;=4",INDIRECT($A$1&amp;"!$E$2:$E$999"),"YES",INDIRECT($A$1&amp;"!$C$2:$C$999"),"&gt;=0.01",INDIRECT($A$1&amp;"!$i$2:$i$999"),"YES")</f>
        <v>#DIV/0!</v>
      </c>
      <c r="E9">
        <f ca="1">COUNTIFS(INDIRECT($A$1&amp;"!$Q$2:$Q$999"),"&lt;=4",INDIRECT($A$1&amp;"!$E$2:$E$999"),"YES",INDIRECT($A$1&amp;"!$C$2:$C$999"),"&gt;=0.01",INDIRECT($A$1&amp;"!$i$2:$i$999"),"YES")</f>
        <v>0</v>
      </c>
      <c r="F9" s="9" t="e">
        <f ca="1">AVERAGEIFS(INDIRECT($A$1&amp;"!$S$2:$S$999"),INDIRECT($A$1&amp;"!$Q$2:$Q$999"),"&gt;=4.1",INDIRECT($A$1&amp;"!$Q$2:$Q$999"),"&lt;=5",INDIRECT($A$1&amp;"!$E$2:$E$999"),"YES",INDIRECT($A$1&amp;"!$C$2:$C$999"),"&gt;=0.01",INDIRECT($A$1&amp;"!$i$2:$i$999"),"YES")</f>
        <v>#DIV/0!</v>
      </c>
      <c r="G9">
        <f ca="1">COUNTIFS(INDIRECT($A$1&amp;"!$Q$2:$Q$999"),"&gt;=4.1",INDIRECT($A$1&amp;"!$Q$2:$Q$999"),"&lt;=5",INDIRECT($A$1&amp;"!$E$2:$E$999"),"YES",INDIRECT($A$1&amp;"!$C$2:$C$999"),"&gt;=0.01",INDIRECT($A$1&amp;"!$i$2:$i$999"),"YES")</f>
        <v>0</v>
      </c>
      <c r="H9" s="9" t="e">
        <f ca="1">AVERAGEIFS(INDIRECT($A$1&amp;"!$S$2:$S$999"),INDIRECT($A$1&amp;"!$Q$2:$Q$999"),"&gt;=5.1",INDIRECT($A$1&amp;"!$Q$2:$Q$999"),"&lt;=6.2",INDIRECT($A$1&amp;"!$E$2:$E$999"),"YES",INDIRECT($A$1&amp;"!$C$2:$C$999"),"&gt;=0.01",INDIRECT($A$1&amp;"!$i$2:$i$999"),"YES")</f>
        <v>#DIV/0!</v>
      </c>
      <c r="I9">
        <f ca="1">COUNTIFS(INDIRECT($A$1&amp;"!$Q$2:$Q$999"),"&gt;=5.1",INDIRECT($A$1&amp;"!$Q$2:$Q$999"),"&lt;=6.2",INDIRECT($A$1&amp;"!$E$2:$E$999"),"YES",INDIRECT($A$1&amp;"!$C$2:$C$999"),"&gt;=0.01",INDIRECT($A$1&amp;"!$i$2:$i$999"),"YES")</f>
        <v>0</v>
      </c>
      <c r="J9" s="9" t="e">
        <f ca="1">AVERAGEIFS(INDIRECT($A$1&amp;"!$S$2:$S$999"),INDIRECT($A$1&amp;"!$Q$2:$Q$999"),"&gt;=6.3",INDIRECT($A$1&amp;"!$E$2:$E$999"),"YES",INDIRECT($A$1&amp;"!$C$2:$C$999"),"&gt;=0.01",INDIRECT($A$1&amp;"!$i$2:$i$999"),"YES")</f>
        <v>#DIV/0!</v>
      </c>
      <c r="K9">
        <f ca="1">COUNTIFS(INDIRECT($A$1&amp;"!$Q$2:$Q$999"),"&gt;=6.3",INDIRECT($A$1&amp;"!$E$2:$E$999"),"YES",INDIRECT($A$1&amp;"!$C$2:$C$999"),"&gt;=0.01",INDIRECT($A$1&amp;"!$i$2:$i$999"),"YES")</f>
        <v>0</v>
      </c>
    </row>
    <row r="10" spans="1:11" x14ac:dyDescent="0.2">
      <c r="A10" s="9" t="s">
        <v>206</v>
      </c>
      <c r="B10" s="9" t="e">
        <f ca="1">AVERAGEIFS(INDIRECT($A$1&amp;"!$S$2:$S$999"),INDIRECT($A$1&amp;"!$D$2:$D$999"),"YES",INDIRECT($A$1&amp;"!$i$2:$i$999"),"YES")</f>
        <v>#DIV/0!</v>
      </c>
      <c r="C10">
        <f ca="1">COUNTIFS(INDIRECT($A$1&amp;"!$D$2:$D$999"),"YES",INDIRECT($A$1&amp;"!$C$2:$C$999"),"&gt;=0.01",INDIRECT($A$1&amp;"!$i$2:$i$999"),"YES")</f>
        <v>0</v>
      </c>
      <c r="D10" s="9" t="e">
        <f ca="1">AVERAGEIFS(INDIRECT($A$1&amp;"!$S$2:$S$999"),INDIRECT($A$1&amp;"!$Q$2:$Q$999"),"&lt;=4",INDIRECT($A$1&amp;"!$D$2:$D$999"),"YES",INDIRECT($A$1&amp;"!$C$2:$C$999"),"&gt;=0.01",INDIRECT($A$1&amp;"!$i$2:$i$999"),"YES")</f>
        <v>#DIV/0!</v>
      </c>
      <c r="E10">
        <f ca="1">COUNTIFS(INDIRECT($A$1&amp;"!$Q$2:$Q$999"),"&lt;=4",INDIRECT($A$1&amp;"!$D$2:$D$999"),"YES",INDIRECT($A$1&amp;"!$C$2:$C$999"),"&gt;=0.01",INDIRECT($A$1&amp;"!$i$2:$i$999"),"YES")</f>
        <v>0</v>
      </c>
      <c r="F10" s="9" t="e">
        <f ca="1">AVERAGEIFS(INDIRECT($A$1&amp;"!$S$2:$S$999"),INDIRECT($A$1&amp;"!$Q$2:$Q$999"),"&gt;=4.1",INDIRECT($A$1&amp;"!$Q$2:$Q$999"),"&lt;=5",INDIRECT($A$1&amp;"!$D$2:$D$999"),"YES",INDIRECT($A$1&amp;"!$C$2:$C$999"),"&gt;=0.01",INDIRECT($A$1&amp;"!$i$2:$i$999"),"YES")</f>
        <v>#DIV/0!</v>
      </c>
      <c r="G10">
        <f ca="1">COUNTIFS(INDIRECT($A$1&amp;"!$Q$2:$Q$999"),"&gt;=4.1",INDIRECT($A$1&amp;"!$Q$2:$Q$999"),"&lt;=5",INDIRECT($A$1&amp;"!$D$2:$D$999"),"YES",INDIRECT($A$1&amp;"!$C$2:$C$999"),"&gt;=0.01",INDIRECT($A$1&amp;"!$i$2:$i$999"),"YES")</f>
        <v>0</v>
      </c>
      <c r="H10" s="9" t="e">
        <f ca="1">AVERAGEIFS(INDIRECT($A$1&amp;"!$S$2:$S$999"),INDIRECT($A$1&amp;"!$Q$2:$Q$999"),"&gt;=5.1",INDIRECT($A$1&amp;"!$Q$2:$Q$999"),"&lt;=6.2",INDIRECT($A$1&amp;"!$D$2:$D$999"),"YES",INDIRECT($A$1&amp;"!$C$2:$C$999"),"&gt;=0.01",INDIRECT($A$1&amp;"!$i$2:$i$999"),"YES")</f>
        <v>#DIV/0!</v>
      </c>
      <c r="I10">
        <f ca="1">COUNTIFS(INDIRECT($A$1&amp;"!$Q$2:$Q$999"),"&gt;=5.1",INDIRECT($A$1&amp;"!$Q$2:$Q$999"),"&lt;=6.2",INDIRECT($A$1&amp;"!$D$2:$D$999"),"YES",INDIRECT($A$1&amp;"!$C$2:$C$999"),"&gt;=0.01",INDIRECT($A$1&amp;"!$i$2:$i$999"),"YES")</f>
        <v>0</v>
      </c>
      <c r="J10" s="9" t="e">
        <f ca="1">AVERAGEIFS(INDIRECT($A$1&amp;"!$S$2:$S$999"),INDIRECT($A$1&amp;"!$Q$2:$Q$999"),"&gt;=6.3",INDIRECT($A$1&amp;"!$D$2:$D$999"),"YES",INDIRECT($A$1&amp;"!$C$2:$C$999"),"&gt;=0.01",INDIRECT($A$1&amp;"!$i$2:$i$999"),"YES")</f>
        <v>#DIV/0!</v>
      </c>
      <c r="K10">
        <f ca="1">COUNTIFS(INDIRECT($A$1&amp;"!$Q$2:$Q$999"),"&gt;=6.3",INDIRECT($A$1&amp;"!$D$2:$D$999"),"YES",INDIRECT($A$1&amp;"!$C$2:$C$999"),"&gt;=0.01",INDIRECT($A$1&amp;"!$i$2:$i$999"),"YES")</f>
        <v>0</v>
      </c>
    </row>
    <row r="11" spans="1:11" x14ac:dyDescent="0.2">
      <c r="A11" s="8" t="s">
        <v>207</v>
      </c>
      <c r="B11" s="9" t="e">
        <f ca="1">AVERAGEIFS(INDIRECT($A$1&amp;"!$S$2:$S$999"),INDIRECT($A$1&amp;"!$E$2:$E$999"),"YES",INDIRECT($A$1&amp;"!$D$2:$D$999"),"YES",INDIRECT($A$1&amp;"!$i$2:$i$999"),"YES")</f>
        <v>#DIV/0!</v>
      </c>
      <c r="C11">
        <f ca="1">COUNTIFS(INDIRECT($A$1&amp;"!$E$2:$E$999"),"YES",INDIRECT($A$1&amp;"!$D$2:$D$999"),"YES",INDIRECT($A$1&amp;"!$C$2:$C$999"),"&gt;=0.01",INDIRECT($A$1&amp;"!$i$2:$i$999"),"YES")</f>
        <v>0</v>
      </c>
      <c r="D11" s="9" t="e">
        <f ca="1">AVERAGEIFS(INDIRECT($A$1&amp;"!$S$2:$S$999"),INDIRECT($A$1&amp;"!$Q$2:$Q$999"),"&lt;=4",INDIRECT($A$1&amp;"!$E$2:$E$999"),"YES",INDIRECT($A$1&amp;"!$D$2:$D$999"),"YES",INDIRECT($A$1&amp;"!$C$2:$C$999"),"&gt;=0.01",INDIRECT($A$1&amp;"!$i$2:$i$999"),"YES")</f>
        <v>#DIV/0!</v>
      </c>
      <c r="E11">
        <f ca="1">COUNTIFS(INDIRECT($A$1&amp;"!$Q$2:$Q$999"),"&lt;=4",INDIRECT($A$1&amp;"!$E$2:$E$999"),"YES",INDIRECT($A$1&amp;"!$D$2:$D$999"),"YES",INDIRECT($A$1&amp;"!$C$2:$C$999"),"&gt;=0.01",INDIRECT($A$1&amp;"!$i$2:$i$999"),"YES")</f>
        <v>0</v>
      </c>
      <c r="F11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i$2:$i$999"),"YES")</f>
        <v>#DIV/0!</v>
      </c>
      <c r="G11">
        <f ca="1">COUNTIFS(INDIRECT($A$1&amp;"!$Q$2:$Q$999"),"&gt;=4.1",INDIRECT($A$1&amp;"!$Q$2:$Q$999"),"&lt;=5",INDIRECT($A$1&amp;"!$E$2:$E$999"),"YES",INDIRECT($A$1&amp;"!$D$2:$D$999"),"YES",INDIRECT($A$1&amp;"!$C$2:$C$999"),"&gt;=0.01",INDIRECT($A$1&amp;"!$i$2:$i$999"),"YES")</f>
        <v>0</v>
      </c>
      <c r="H11" s="9" t="e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i$2:$i$999"),"YES")</f>
        <v>#DIV/0!</v>
      </c>
      <c r="I11">
        <f ca="1">COUNTIFS(INDIRECT($A$1&amp;"!$Q$2:$Q$999"),"&gt;=5.1",INDIRECT($A$1&amp;"!$Q$2:$Q$999"),"&lt;=6.2",INDIRECT($A$1&amp;"!$E$2:$E$999"),"YES",INDIRECT($A$1&amp;"!$D$2:$D$999"),"YES",INDIRECT($A$1&amp;"!$C$2:$C$999"),"&gt;=0.01",INDIRECT($A$1&amp;"!$i$2:$i$999"),"YES")</f>
        <v>0</v>
      </c>
      <c r="J11" s="9" t="e">
        <f ca="1">AVERAGEIFS(INDIRECT($A$1&amp;"!$S$2:$S$999"),INDIRECT($A$1&amp;"!$Q$2:$Q$999"),"&gt;=6.3",INDIRECT($A$1&amp;"!$E$2:$E$999"),"YES",INDIRECT($A$1&amp;"!$D$2:$D$999"),"YES",INDIRECT($A$1&amp;"!$C$2:$C$999"),"&gt;=0.01",INDIRECT($A$1&amp;"!$i$2:$i$999"),"YES")</f>
        <v>#DIV/0!</v>
      </c>
      <c r="K11">
        <f ca="1">COUNTIFS(INDIRECT($A$1&amp;"!$Q$2:$Q$999"),"&gt;=6.3",INDIRECT($A$1&amp;"!$E$2:$E$999"),"YES",INDIRECT($A$1&amp;"!$D$2:$D$999"),"YES",INDIRECT($A$1&amp;"!$C$2:$C$999"),"&gt;=0.01",INDIRECT($A$1&amp;"!$i$2:$i$999"),"YES")</f>
        <v>0</v>
      </c>
    </row>
    <row r="12" spans="1:11" x14ac:dyDescent="0.2">
      <c r="A12" s="8" t="s">
        <v>208</v>
      </c>
      <c r="B12" s="9" t="e">
        <f ca="1">AVERAGEIFS(INDIRECT($A$1&amp;"!$S$2:$S$999"),INDIRECT($A$1&amp;"!$C$2:$C$999"),"&gt;=.01",INDIRECT($A$1&amp;"!$i$2:$i$999"),"YES")</f>
        <v>#DIV/0!</v>
      </c>
      <c r="C12" s="8">
        <f ca="1">COUNTIFS(INDIRECT($A$1&amp;"!$C$2:$C$999"),"&gt;=.01",INDIRECT($A$1&amp;"!$i$2:$i$999"),"YES")</f>
        <v>0</v>
      </c>
      <c r="D12" s="9" t="e">
        <f ca="1">AVERAGEIFS(INDIRECT($A$1&amp;"!$S$2:$S$999"),INDIRECT($A$1&amp;"!$Q$2:$Q$999"),"&lt;=4",INDIRECT($A$1&amp;"!$C$2:$C$999"),"&gt;=.01",INDIRECT($A$1&amp;"!$i$2:$i$999"),"YES")</f>
        <v>#DIV/0!</v>
      </c>
      <c r="E12" s="8">
        <f ca="1">COUNTIFS(INDIRECT($A$1&amp;"!$Q$2:$Q$999"),"&lt;=4",INDIRECT($A$1&amp;"!$C$2:$C$999"),"&gt;=.01",INDIRECT($A$1&amp;"!$i$2:$i$999"),"YES")</f>
        <v>0</v>
      </c>
      <c r="F12" s="9" t="e">
        <f ca="1">AVERAGEIFS(INDIRECT($A$1&amp;"!$S$2:$S$999"),INDIRECT($A$1&amp;"!$Q$2:$Q$999"),"&gt;=4.1",INDIRECT($A$1&amp;"!$Q$2:$Q$999"),"&lt;=5",INDIRECT($A$1&amp;"!$C$2:$C$999"),"&gt;=.01",INDIRECT($A$1&amp;"!$i$2:$i$999"),"YES")</f>
        <v>#DIV/0!</v>
      </c>
      <c r="G12" s="8">
        <f ca="1">COUNTIFS(INDIRECT($A$1&amp;"!$Q$2:$Q$999"),"&gt;=4.1",INDIRECT($A$1&amp;"!$Q$2:$Q$999"),"&lt;=5",INDIRECT($A$1&amp;"!$C$2:$C$999"),"&gt;=.01",INDIRECT($A$1&amp;"!$i$2:$i$999"),"YES")</f>
        <v>0</v>
      </c>
      <c r="H12" s="9" t="e">
        <f ca="1">AVERAGEIFS(INDIRECT($A$1&amp;"!$S$2:$S$999"),INDIRECT($A$1&amp;"!$Q$2:$Q$999"),"&gt;=5.1",INDIRECT($A$1&amp;"!$Q$2:$Q$999"),"&lt;=6.2",INDIRECT($A$1&amp;"!$C$2:$C$999"),"&gt;=.01",INDIRECT($A$1&amp;"!$i$2:$i$999"),"YES")</f>
        <v>#DIV/0!</v>
      </c>
      <c r="I12" s="8">
        <f ca="1">COUNTIFS(INDIRECT($A$1&amp;"!$Q$2:$Q$999"),"&gt;=5.1",INDIRECT($A$1&amp;"!$Q$2:$Q$999"),"&lt;=6.2",INDIRECT($A$1&amp;"!$C$2:$C$999"),"&gt;=.01",INDIRECT($A$1&amp;"!$i$2:$i$999"),"YES")</f>
        <v>0</v>
      </c>
      <c r="J12" s="9" t="e">
        <f ca="1">AVERAGEIFS(INDIRECT($A$1&amp;"!$S$2:$S$999"),INDIRECT($A$1&amp;"!$Q$2:$Q$999"),"&gt;=6.3",INDIRECT($A$1&amp;"!$C$2:$C$999"),"&gt;=.01",INDIRECT($A$1&amp;"!$i$2:$i$999"),"YES")</f>
        <v>#DIV/0!</v>
      </c>
      <c r="K12" s="8">
        <f ca="1">COUNTIFS(INDIRECT($A$1&amp;"!$Q$2:$Q$999"),"&gt;=6.3",INDIRECT($A$1&amp;"!$C$2:$C$999"),"&gt;=.01",INDIRECT($A$1&amp;"!$i$2:$i$999"),"YES")</f>
        <v>0</v>
      </c>
    </row>
    <row r="13" spans="1:11" x14ac:dyDescent="0.2">
      <c r="A13" s="8" t="s">
        <v>209</v>
      </c>
      <c r="B13" s="9" t="e">
        <f ca="1">AVERAGEIFS(INDIRECT($A$1&amp;"!$S$2:$S$999"),INDIRECT($A$1&amp;"!$F$2:$F$999"),"UP",INDIRECT($A$1&amp;"!$i$2:$i$999"),"YES")</f>
        <v>#DIV/0!</v>
      </c>
      <c r="C13" s="8">
        <f ca="1">COUNTIFS(INDIRECT($A$1&amp;"!$F$2:$F$999"),"UP",INDIRECT($A$1&amp;"!$i$2:$i$999"),"YES")</f>
        <v>0</v>
      </c>
      <c r="D13" s="9" t="e">
        <f ca="1">AVERAGEIFS(INDIRECT($A$1&amp;"!$S$2:$S$999"),INDIRECT($A$1&amp;"!$Q$2:$Q$999"),"&lt;=4",INDIRECT($A$1&amp;"!$F$2:$F$999"),"UP",INDIRECT($A$1&amp;"!$i$2:$i$999"),"YES")</f>
        <v>#DIV/0!</v>
      </c>
      <c r="E13" s="8">
        <f ca="1">COUNTIFS(INDIRECT($A$1&amp;"!$Q$2:$Q$999"),"&lt;=4",INDIRECT($A$1&amp;"!$F$2:$F$999"),"UP",INDIRECT($A$1&amp;"!$i$2:$i$999"),"YES")</f>
        <v>0</v>
      </c>
      <c r="F13" s="9" t="e">
        <f ca="1">AVERAGEIFS(INDIRECT($A$1&amp;"!$S$2:$S$999"),INDIRECT($A$1&amp;"!$Q$2:$Q$999"),"&gt;=4.1",INDIRECT($A$1&amp;"!$Q$2:$Q$999"),"&lt;=5",INDIRECT($A$1&amp;"!$F$2:$F$999"),"UP",INDIRECT($A$1&amp;"!$i$2:$i$999"),"YES")</f>
        <v>#DIV/0!</v>
      </c>
      <c r="G13" s="8">
        <f ca="1">COUNTIFS(INDIRECT($A$1&amp;"!$Q$2:$Q$999"),"&gt;=4.1",INDIRECT($A$1&amp;"!$Q$2:$Q$999"),"&lt;=5",INDIRECT($A$1&amp;"!$F$2:$F$999"),"UP",INDIRECT($A$1&amp;"!$i$2:$i$999"),"YES")</f>
        <v>0</v>
      </c>
      <c r="H13" s="9" t="e">
        <f ca="1">AVERAGEIFS(INDIRECT($A$1&amp;"!$S$2:$S$999"),INDIRECT($A$1&amp;"!$Q$2:$Q$999"),"&gt;=5.1",INDIRECT($A$1&amp;"!$Q$2:$Q$999"),"&lt;=6.2",INDIRECT($A$1&amp;"!$F$2:$F$999"),"UP",INDIRECT($A$1&amp;"!$i$2:$i$999"),"YES")</f>
        <v>#DIV/0!</v>
      </c>
      <c r="I13" s="8">
        <f ca="1">COUNTIFS(INDIRECT($A$1&amp;"!$Q$2:$Q$999"),"&gt;=5.1",INDIRECT($A$1&amp;"!$Q$2:$Q$999"),"&lt;=6.2",INDIRECT($A$1&amp;"!$F$2:$F$999"),"UP",INDIRECT($A$1&amp;"!$i$2:$i$999"),"YES")</f>
        <v>0</v>
      </c>
      <c r="J13" s="9" t="e">
        <f ca="1">AVERAGEIFS(INDIRECT($A$1&amp;"!$S$2:$S$999"),INDIRECT($A$1&amp;"!$Q$2:$Q$999"),"&gt;=6.3",INDIRECT($A$1&amp;"!$F$2:$F$999"),"UP",INDIRECT($A$1&amp;"!$i$2:$i$999"),"YES")</f>
        <v>#DIV/0!</v>
      </c>
      <c r="K13" s="8">
        <f ca="1">COUNTIFS(INDIRECT($A$1&amp;"!$Q$2:$Q$999"),"&gt;=6.3",INDIRECT($A$1&amp;"!$F$2:$F$999"),"UP",INDIRECT($A$1&amp;"!$i$2:$i$999"),"YES")</f>
        <v>0</v>
      </c>
    </row>
    <row r="14" spans="1:11" x14ac:dyDescent="0.2">
      <c r="A14" s="8" t="s">
        <v>210</v>
      </c>
      <c r="B14" s="9" t="e">
        <f ca="1">AVERAGEIFS(INDIRECT($A$1&amp;"!$S$2:$S$999"),INDIRECT($A$1&amp;"!$E$2:$E$999"),"YES",INDIRECT($A$1&amp;"!$F$2:$F$999"),"UP",INDIRECT($A$1&amp;"!$i$2:$i$999"),"YES")</f>
        <v>#DIV/0!</v>
      </c>
      <c r="C14">
        <f ca="1">COUNTIFS(INDIRECT($A$1&amp;"!$E$2:$E$999"),"YES",INDIRECT($A$1&amp;"!$F$2:$F$999"),"UP",INDIRECT($A$1&amp;"!$i$2:$i$999"),"YES")</f>
        <v>0</v>
      </c>
      <c r="D14" s="9" t="e">
        <f ca="1">AVERAGEIFS(INDIRECT($A$1&amp;"!$S$2:$S$999"),INDIRECT($A$1&amp;"!$Q$2:$Q$999"),"&lt;=4",INDIRECT($A$1&amp;"!$E$2:$E$999"),"YES",INDIRECT($A$1&amp;"!$F$2:$F$999"),"UP",INDIRECT($A$1&amp;"!$i$2:$i$999"),"YES")</f>
        <v>#DIV/0!</v>
      </c>
      <c r="E14">
        <f ca="1">COUNTIFS(INDIRECT($A$1&amp;"!$Q$2:$Q$999"),"&lt;=4",INDIRECT($A$1&amp;"!$E$2:$E$999"),"YES",INDIRECT($A$1&amp;"!$F$2:$F$999"),"UP",INDIRECT($A$1&amp;"!$i$2:$i$999"),"YES")</f>
        <v>0</v>
      </c>
      <c r="F14" s="9" t="e">
        <f ca="1">AVERAGEIFS(INDIRECT($A$1&amp;"!$S$2:$S$999"),INDIRECT($A$1&amp;"!$Q$2:$Q$999"),"&gt;=4.1",INDIRECT($A$1&amp;"!$Q$2:$Q$999"),"&lt;=5",INDIRECT($A$1&amp;"!$E$2:$E$999"),"YES",INDIRECT($A$1&amp;"!$F$2:$F$999"),"UP",INDIRECT($A$1&amp;"!$i$2:$i$999"),"YES")</f>
        <v>#DIV/0!</v>
      </c>
      <c r="G14">
        <f ca="1">COUNTIFS(INDIRECT($A$1&amp;"!$Q$2:$Q$999"),"&gt;=4.1",INDIRECT($A$1&amp;"!$Q$2:$Q$999"),"&lt;=5",INDIRECT($A$1&amp;"!$E$2:$E$999"),"YES",INDIRECT($A$1&amp;"!$F$2:$F$999"),"UP",INDIRECT($A$1&amp;"!$i$2:$i$999"),"YES")</f>
        <v>0</v>
      </c>
      <c r="H14" s="9" t="e">
        <f ca="1">AVERAGEIFS(INDIRECT($A$1&amp;"!$S$2:$S$999"),INDIRECT($A$1&amp;"!$Q$2:$Q$999"),"&gt;=5.1",INDIRECT($A$1&amp;"!$Q$2:$Q$999"),"&lt;=6.2",INDIRECT($A$1&amp;"!$E$2:$E$999"),"YES",INDIRECT($A$1&amp;"!$F$2:$F$999"),"UP",INDIRECT($A$1&amp;"!$i$2:$i$999"),"YES")</f>
        <v>#DIV/0!</v>
      </c>
      <c r="I14">
        <f ca="1">COUNTIFS(INDIRECT($A$1&amp;"!$Q$2:$Q$999"),"&gt;=5.1",INDIRECT($A$1&amp;"!$Q$2:$Q$999"),"&lt;=6.2",INDIRECT($A$1&amp;"!$E$2:$E$999"),"YES",INDIRECT($A$1&amp;"!$F$2:$F$999"),"UP",INDIRECT($A$1&amp;"!$i$2:$i$999"),"YES")</f>
        <v>0</v>
      </c>
      <c r="J14" s="9" t="e">
        <f ca="1">AVERAGEIFS(INDIRECT($A$1&amp;"!$S$2:$S$999"),INDIRECT($A$1&amp;"!$Q$2:$Q$999"),"&gt;=6.3",INDIRECT($A$1&amp;"!$E$2:$E$999"),"YES",INDIRECT($A$1&amp;"!$F$2:$F$999"),"UP",INDIRECT($A$1&amp;"!$i$2:$i$999"),"YES")</f>
        <v>#DIV/0!</v>
      </c>
      <c r="K14">
        <f ca="1">COUNTIFS(INDIRECT($A$1&amp;"!$Q$2:$Q$999"),"&gt;=6.3",INDIRECT($A$1&amp;"!$E$2:$E$999"),"YES",INDIRECT($A$1&amp;"!$F$2:$F$999"),"UP",INDIRECT($A$1&amp;"!$i$2:$i$999"),"YES")</f>
        <v>0</v>
      </c>
    </row>
    <row r="15" spans="1:11" x14ac:dyDescent="0.2">
      <c r="A15" s="9" t="s">
        <v>211</v>
      </c>
      <c r="B15" s="9" t="e">
        <f ca="1">AVERAGEIFS(INDIRECT($A$1&amp;"!$S$2:$S$999"),INDIRECT($A$1&amp;"!$D$2:$D$999"),"YES",INDIRECT($A$1&amp;"!$F$2:$F$999"),"UP",INDIRECT($A$1&amp;"!$i$2:$i$999"),"YES")</f>
        <v>#DIV/0!</v>
      </c>
      <c r="C15">
        <f ca="1">COUNTIFS(INDIRECT($A$1&amp;"!$D$2:$D$999"),"YES",INDIRECT($A$1&amp;"!$F$2:$F$999"),"UP",INDIRECT($A$1&amp;"!$i$2:$i$999"),"YES")</f>
        <v>0</v>
      </c>
      <c r="D15" s="9" t="e">
        <f ca="1">AVERAGEIFS(INDIRECT($A$1&amp;"!$S$2:$S$999"),INDIRECT($A$1&amp;"!$Q$2:$Q$999"),"&lt;=4",INDIRECT($A$1&amp;"!$D$2:$D$999"),"YES",INDIRECT($A$1&amp;"!$F$2:$F$999"),"UP",INDIRECT($A$1&amp;"!$i$2:$i$999"),"YES")</f>
        <v>#DIV/0!</v>
      </c>
      <c r="E15">
        <f ca="1">COUNTIFS(INDIRECT($A$1&amp;"!$Q$2:$Q$999"),"&lt;=4",INDIRECT($A$1&amp;"!$D$2:$D$999"),"YES",INDIRECT($A$1&amp;"!$F$2:$F$999"),"UP",INDIRECT($A$1&amp;"!$i$2:$i$999"),"YES")</f>
        <v>0</v>
      </c>
      <c r="F15" s="9" t="e">
        <f ca="1">AVERAGEIFS(INDIRECT($A$1&amp;"!$S$2:$S$999"),INDIRECT($A$1&amp;"!$Q$2:$Q$999"),"&gt;=4.1",INDIRECT($A$1&amp;"!$Q$2:$Q$999"),"&lt;=5",INDIRECT($A$1&amp;"!$D$2:$D$999"),"YES",INDIRECT($A$1&amp;"!$F$2:$F$999"),"UP",INDIRECT($A$1&amp;"!$i$2:$i$999"),"YES")</f>
        <v>#DIV/0!</v>
      </c>
      <c r="G15">
        <f ca="1">COUNTIFS(INDIRECT($A$1&amp;"!$Q$2:$Q$999"),"&gt;=4.1",INDIRECT($A$1&amp;"!$Q$2:$Q$999"),"&lt;=5",INDIRECT($A$1&amp;"!$D$2:$D$999"),"YES",INDIRECT($A$1&amp;"!$F$2:$F$999"),"UP",INDIRECT($A$1&amp;"!$i$2:$i$999"),"YES")</f>
        <v>0</v>
      </c>
      <c r="H15" s="9" t="e">
        <f ca="1">AVERAGEIFS(INDIRECT($A$1&amp;"!$S$2:$S$999"),INDIRECT($A$1&amp;"!$Q$2:$Q$999"),"&gt;=5.1",INDIRECT($A$1&amp;"!$Q$2:$Q$999"),"&lt;=6.2",INDIRECT($A$1&amp;"!$D$2:$D$999"),"YES",INDIRECT($A$1&amp;"!$F$2:$F$999"),"UP",INDIRECT($A$1&amp;"!$i$2:$i$999"),"YES")</f>
        <v>#DIV/0!</v>
      </c>
      <c r="I15">
        <f ca="1">COUNTIFS(INDIRECT($A$1&amp;"!$Q$2:$Q$999"),"&gt;=5.1",INDIRECT($A$1&amp;"!$Q$2:$Q$999"),"&lt;=6.2",INDIRECT($A$1&amp;"!$D$2:$D$999"),"YES",INDIRECT($A$1&amp;"!$F$2:$F$999"),"UP",INDIRECT($A$1&amp;"!$i$2:$i$999"),"YES")</f>
        <v>0</v>
      </c>
      <c r="J15" s="9" t="e">
        <f ca="1">AVERAGEIFS(INDIRECT($A$1&amp;"!$S$2:$S$999"),INDIRECT($A$1&amp;"!$Q$2:$Q$999"),"&gt;=6.3",INDIRECT($A$1&amp;"!$D$2:$D$999"),"YES",INDIRECT($A$1&amp;"!$F$2:$F$999"),"UP",INDIRECT($A$1&amp;"!$i$2:$i$999"),"YES")</f>
        <v>#DIV/0!</v>
      </c>
      <c r="K15">
        <f ca="1">COUNTIFS(INDIRECT($A$1&amp;"!$Q$2:$Q$999"),"&gt;=6.3",INDIRECT($A$1&amp;"!$D$2:$D$999"),"YES",INDIRECT($A$1&amp;"!$F$2:$F$999"),"UP",INDIRECT($A$1&amp;"!$i$2:$i$999"),"YES")</f>
        <v>0</v>
      </c>
    </row>
    <row r="16" spans="1:11" x14ac:dyDescent="0.2">
      <c r="A16" s="8" t="s">
        <v>212</v>
      </c>
      <c r="B16" s="9" t="e">
        <f ca="1">AVERAGEIFS(INDIRECT($A$1&amp;"!$S$2:$S$999"),INDIRECT($A$1&amp;"!$E$2:$E$999"),"YES",INDIRECT($A$1&amp;"!$D$2:$D$999"),"YES",INDIRECT($A$1&amp;"!$F$2:$F$999"),"UP",INDIRECT($A$1&amp;"!$i$2:$i$999"),"YES")</f>
        <v>#DIV/0!</v>
      </c>
      <c r="C16">
        <f ca="1">COUNTIFS(INDIRECT($A$1&amp;"!$E$2:$E$999"),"YES",INDIRECT($A$1&amp;"!$D$2:$D$999"),"YES",INDIRECT($A$1&amp;"!$F$2:$F$999"),"UP",INDIRECT($A$1&amp;"!$i$2:$i$999"),"YES")</f>
        <v>0</v>
      </c>
      <c r="D16" s="9" t="e">
        <f ca="1">AVERAGEIFS(INDIRECT($A$1&amp;"!$S$2:$S$999"),INDIRECT($A$1&amp;"!$Q$2:$Q$999"),"&lt;=4",INDIRECT($A$1&amp;"!$E$2:$E$999"),"YES",INDIRECT($A$1&amp;"!$D$2:$D$999"),"YES",INDIRECT($A$1&amp;"!$F$2:$F$999"),"UP",INDIRECT($A$1&amp;"!$i$2:$i$999"),"YES")</f>
        <v>#DIV/0!</v>
      </c>
      <c r="E16">
        <f ca="1">COUNTIFS(INDIRECT($A$1&amp;"!$Q$2:$Q$999"),"&lt;=4",INDIRECT($A$1&amp;"!$E$2:$E$999"),"YES",INDIRECT($A$1&amp;"!$D$2:$D$999"),"YES",INDIRECT($A$1&amp;"!$F$2:$F$999"),"UP",INDIRECT($A$1&amp;"!$i$2:$i$999"),"YES")</f>
        <v>0</v>
      </c>
      <c r="F16" s="9" t="e">
        <f ca="1">AVERAGEIFS(INDIRECT($A$1&amp;"!$S$2:$S$999"),INDIRECT($A$1&amp;"!$Q$2:$Q$999"),"&gt;=4.1",INDIRECT($A$1&amp;"!$Q$2:$Q$999"),"&lt;=5",INDIRECT($A$1&amp;"!$E$2:$E$999"),"YES",INDIRECT($A$1&amp;"!$D$2:$D$999"),"YES",INDIRECT($A$1&amp;"!$F$2:$F$999"),"UP",INDIRECT($A$1&amp;"!$i$2:$i$999"),"YES")</f>
        <v>#DIV/0!</v>
      </c>
      <c r="G16">
        <f ca="1">COUNTIFS(INDIRECT($A$1&amp;"!$Q$2:$Q$999"),"&gt;=4.1",INDIRECT($A$1&amp;"!$Q$2:$Q$999"),"&lt;=5",INDIRECT($A$1&amp;"!$E$2:$E$999"),"YES",INDIRECT($A$1&amp;"!$D$2:$D$999"),"YES",INDIRECT($A$1&amp;"!$F$2:$F$999"),"UP",INDIRECT($A$1&amp;"!$i$2:$i$999"),"YES")</f>
        <v>0</v>
      </c>
      <c r="H16" s="9" t="e">
        <f ca="1">AVERAGEIFS(INDIRECT($A$1&amp;"!$S$2:$S$999"),INDIRECT($A$1&amp;"!$Q$2:$Q$999"),"&gt;=5.1",INDIRECT($A$1&amp;"!$Q$2:$Q$999"),"&lt;=6.2",INDIRECT($A$1&amp;"!$E$2:$E$999"),"YES",INDIRECT($A$1&amp;"!$D$2:$D$999"),"YES",INDIRECT($A$1&amp;"!$F$2:$F$999"),"UP",INDIRECT($A$1&amp;"!$i$2:$i$999"),"YES")</f>
        <v>#DIV/0!</v>
      </c>
      <c r="I16">
        <f ca="1">COUNTIFS(INDIRECT($A$1&amp;"!$Q$2:$Q$999"),"&gt;=5.1",INDIRECT($A$1&amp;"!$Q$2:$Q$999"),"&lt;=6.2",INDIRECT($A$1&amp;"!$E$2:$E$999"),"YES",INDIRECT($A$1&amp;"!$D$2:$D$999"),"YES",INDIRECT($A$1&amp;"!$F$2:$F$999"),"UP",INDIRECT($A$1&amp;"!$i$2:$i$999"),"YES")</f>
        <v>0</v>
      </c>
      <c r="J16" s="9" t="e">
        <f ca="1">AVERAGEIFS(INDIRECT($A$1&amp;"!$S$2:$S$999"),INDIRECT($A$1&amp;"!$Q$2:$Q$999"),"&gt;=6.3",INDIRECT($A$1&amp;"!$E$2:$E$999"),"YES",INDIRECT($A$1&amp;"!$D$2:$D$999"),"YES",INDIRECT($A$1&amp;"!$F$2:$F$999"),"UP",INDIRECT($A$1&amp;"!$i$2:$i$999"),"YES")</f>
        <v>#DIV/0!</v>
      </c>
      <c r="K16">
        <f ca="1">COUNTIFS(INDIRECT($A$1&amp;"!$Q$2:$Q$999"),"&gt;=6.3",INDIRECT($A$1&amp;"!$E$2:$E$999"),"YES",INDIRECT($A$1&amp;"!$D$2:$D$999"),"YES",INDIRECT($A$1&amp;"!$F$2:$F$999"),"UP",INDIRECT($A$1&amp;"!$i$2:$i$999"),"YES")</f>
        <v>0</v>
      </c>
    </row>
    <row r="17" spans="1:11" x14ac:dyDescent="0.2">
      <c r="A17" s="8" t="s">
        <v>213</v>
      </c>
      <c r="B17" s="9" t="e">
        <f ca="1">AVERAGEIFS(INDIRECT($A$1&amp;"!$S$2:$S$999"),INDIRECT($A$1&amp;"!$E$2:$E$999"),"YES",INDIRECT($A$1&amp;"!$D$2:$D$999"),"YES",INDIRECT($A$1&amp;"!$F$2:$F$999"),"UP",INDIRECT($A$1&amp;"!$i$2:$i$999"),"YES")</f>
        <v>#DIV/0!</v>
      </c>
      <c r="C17">
        <f ca="1">COUNTIFS(INDIRECT($A$1&amp;"!$E$2:$E$999"),"YES",INDIRECT($A$1&amp;"!$D$2:$D$999"),"YES",INDIRECT($A$1&amp;"!$C$2:$C$999"),"&gt;=0.01",INDIRECT($A$1&amp;"!$F$2:$F$999"),"UP",INDIRECT($A$1&amp;"!$i$2:$i$999"),"YES")</f>
        <v>0</v>
      </c>
      <c r="D17" s="9" t="e">
        <f ca="1">AVERAGEIFS(INDIRECT($A$1&amp;"!$S$2:$S$999"),INDIRECT($A$1&amp;"!$Q$2:$Q$999"),"&lt;=4",INDIRECT($A$1&amp;"!$E$2:$E$999"),"YES",INDIRECT($A$1&amp;"!$D$2:$D$999"),"YES",INDIRECT($A$1&amp;"!$C$2:$C$999"),"&gt;=0.01",INDIRECT($A$1&amp;"!$F$2:$F$999"),"UP",INDIRECT($A$1&amp;"!$i$2:$i$999"),"YES")</f>
        <v>#DIV/0!</v>
      </c>
      <c r="E17">
        <f ca="1">COUNTIFS(INDIRECT($A$1&amp;"!$Q$2:$Q$999"),"&lt;=4",INDIRECT($A$1&amp;"!$E$2:$E$999"),"YES",INDIRECT($A$1&amp;"!$D$2:$D$999"),"YES",INDIRECT($A$1&amp;"!$C$2:$C$999"),"&gt;=0.01",INDIRECT($A$1&amp;"!$F$2:$F$999"),"UP",INDIRECT($A$1&amp;"!$i$2:$i$999"),"YES")</f>
        <v>0</v>
      </c>
      <c r="F17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F$2:$F$999"),"UP",INDIRECT($A$1&amp;"!$i$2:$i$999"),"YES")</f>
        <v>#DIV/0!</v>
      </c>
      <c r="G17">
        <f ca="1">COUNTIFS(INDIRECT($A$1&amp;"!$Q$2:$Q$999"),"&gt;=4.1",INDIRECT($A$1&amp;"!$Q$2:$Q$999"),"&lt;=5",INDIRECT($A$1&amp;"!$E$2:$E$999"),"YES",INDIRECT($A$1&amp;"!$D$2:$D$999"),"YES",INDIRECT($A$1&amp;"!$C$2:$C$999"),"&gt;=0.01",INDIRECT($A$1&amp;"!$F$2:$F$999"),"UP",INDIRECT($A$1&amp;"!$i$2:$i$999"),"YES")</f>
        <v>0</v>
      </c>
      <c r="H17" s="9" t="e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F$2:$F$999"),"UP",INDIRECT($A$1&amp;"!$i$2:$i$999"),"YES")</f>
        <v>#DIV/0!</v>
      </c>
      <c r="I17">
        <f ca="1">COUNTIFS(INDIRECT($A$1&amp;"!$Q$2:$Q$999"),"&gt;=5.1",INDIRECT($A$1&amp;"!$Q$2:$Q$999"),"&lt;=6.2",INDIRECT($A$1&amp;"!$E$2:$E$999"),"YES",INDIRECT($A$1&amp;"!$D$2:$D$999"),"YES",INDIRECT($A$1&amp;"!$C$2:$C$999"),"&gt;=0.01",INDIRECT($A$1&amp;"!$F$2:$F$999"),"UP",INDIRECT($A$1&amp;"!$i$2:$i$999"),"YES")</f>
        <v>0</v>
      </c>
      <c r="J17" s="9" t="e">
        <f ca="1">AVERAGEIFS(INDIRECT($A$1&amp;"!$S$2:$S$999"),INDIRECT($A$1&amp;"!$Q$2:$Q$999"),"&gt;=6.3",INDIRECT($A$1&amp;"!$E$2:$E$999"),"YES",INDIRECT($A$1&amp;"!$D$2:$D$999"),"YES",INDIRECT($A$1&amp;"!$C$2:$C$999"),"&gt;=0.01",INDIRECT($A$1&amp;"!$F$2:$F$999"),"UP",INDIRECT($A$1&amp;"!$i$2:$i$999"),"YES")</f>
        <v>#DIV/0!</v>
      </c>
      <c r="K17">
        <f ca="1">COUNTIFS(INDIRECT($A$1&amp;"!$Q$2:$Q$999"),"&gt;=6.3",INDIRECT($A$1&amp;"!$E$2:$E$999"),"YES",INDIRECT($A$1&amp;"!$D$2:$D$999"),"YES",INDIRECT($A$1&amp;"!$C$2:$C$999"),"&gt;=0.01",INDIRECT($A$1&amp;"!$F$2:$F$999"),"UP",INDIRECT($A$1&amp;"!$i$2:$i$999"),"YES")</f>
        <v>0</v>
      </c>
    </row>
    <row r="18" spans="1:11" x14ac:dyDescent="0.2">
      <c r="A18" s="8" t="s">
        <v>194</v>
      </c>
      <c r="B18" s="9">
        <f ca="1">AVERAGEIFS(INDIRECT($A$1&amp;"!$S$2:$S$999"),INDIRECT($A$1&amp;"!$E$2:$E$999"),"YES",INDIRECT($A$1&amp;"!$D$2:$D$999"),"YES")</f>
        <v>3.1687499999999997</v>
      </c>
      <c r="C18">
        <f ca="1">COUNTIFS(INDIRECT($A$1&amp;"!$E$2:$E$999"),"YES",INDIRECT($A$1&amp;"!$D$2:$D$999"),"YES")</f>
        <v>20</v>
      </c>
      <c r="D18" s="9" t="e">
        <f ca="1">AVERAGEIFS(INDIRECT($A$1&amp;"!$S$2:$S$999"),INDIRECT($A$1&amp;"!$Q$2:$Q$999"),"&lt;=4",INDIRECT($A$1&amp;"!$E$2:$E$999"),"YES",INDIRECT($A$1&amp;"!$D$2:$D$999"),"YES")</f>
        <v>#DIV/0!</v>
      </c>
      <c r="E18">
        <f ca="1">COUNTIFS(INDIRECT($A$1&amp;"!$Q$2:$Q$999"),"&lt;=4",INDIRECT($A$1&amp;"!$E$2:$E$999"),"YES",INDIRECT($A$1&amp;"!$D$2:$D$999"),"YES")</f>
        <v>0</v>
      </c>
      <c r="F18" s="9">
        <f ca="1">AVERAGEIFS(INDIRECT($A$1&amp;"!$S$2:$S$999"),INDIRECT($A$1&amp;"!$Q$2:$Q$999"),"&gt;=4.1",INDIRECT($A$1&amp;"!$Q$2:$Q$999"),"&lt;=5",INDIRECT($A$1&amp;"!$E$2:$E$999"),"YES",INDIRECT($A$1&amp;"!$D$2:$D$999"),"YES")</f>
        <v>3.5</v>
      </c>
      <c r="G18">
        <f ca="1">COUNTIFS(INDIRECT($A$1&amp;"!$Q$2:$Q$999"),"&gt;=4.1",INDIRECT($A$1&amp;"!$Q$2:$Q$999"),"&lt;=5",INDIRECT($A$1&amp;"!$E$2:$E$999"),"YES",INDIRECT($A$1&amp;"!$D$2:$D$999"),"YES")</f>
        <v>2</v>
      </c>
      <c r="H18" s="9">
        <f ca="1">AVERAGEIFS(INDIRECT($A$1&amp;"!$S$2:$S$999"),INDIRECT($A$1&amp;"!$Q$2:$Q$999"),"&gt;=5.1",INDIRECT($A$1&amp;"!$Q$2:$Q$999"),"&lt;=6.2",INDIRECT($A$1&amp;"!$E$2:$E$999"),"YES",INDIRECT($A$1&amp;"!$D$2:$D$999"),"YES")</f>
        <v>4.2</v>
      </c>
      <c r="I18">
        <f ca="1">COUNTIFS(INDIRECT($A$1&amp;"!$Q$2:$Q$999"),"&gt;=5.1",INDIRECT($A$1&amp;"!$Q$2:$Q$999"),"&lt;=6.2",INDIRECT($A$1&amp;"!$E$2:$E$999"),"YES",INDIRECT($A$1&amp;"!$D$2:$D$999"),"YES")</f>
        <v>1</v>
      </c>
      <c r="J18" s="9">
        <f ca="1">AVERAGEIFS(INDIRECT($A$1&amp;"!$S$2:$S$999"),INDIRECT($A$1&amp;"!$Q$2:$Q$999"),"&gt;=6.3",INDIRECT($A$1&amp;"!$E$2:$E$999"),"YES",INDIRECT($A$1&amp;"!$D$2:$D$999"),"YES")</f>
        <v>1.4750000000000001</v>
      </c>
      <c r="K18">
        <f ca="1">COUNTIFS(INDIRECT($A$1&amp;"!$Q$2:$Q$999"),"&gt;=6.3",INDIRECT($A$1&amp;"!$E$2:$E$999"),"YES",INDIRECT($A$1&amp;"!$D$2:$D$999"),"YES")</f>
        <v>3</v>
      </c>
    </row>
    <row r="19" spans="1:11" x14ac:dyDescent="0.2">
      <c r="A19" s="8" t="s">
        <v>197</v>
      </c>
      <c r="B19" s="9">
        <f ca="1">AVERAGEIFS(INDIRECT($A$1&amp;"!$S$2:$S$999"),INDIRECT($A$1&amp;"!$E$2:$E$999"),"YES",INDIRECT($A$1&amp;"!$D$2:$D$999"),"YES")</f>
        <v>3.1687499999999997</v>
      </c>
      <c r="C19">
        <f ca="1">COUNTIFS(INDIRECT($A$1&amp;"!$E$2:$E$999"),"YES",INDIRECT($A$1&amp;"!$D$2:$D$999"),"YES",INDIRECT($A$1&amp;"!$C$2:$C$999"),"&gt;=0.01")</f>
        <v>6</v>
      </c>
      <c r="D19" s="9" t="e">
        <f ca="1">AVERAGEIFS(INDIRECT($A$1&amp;"!$S$2:$S$999"),INDIRECT($A$1&amp;"!$Q$2:$Q$999"),"&lt;=4",INDIRECT($A$1&amp;"!$E$2:$E$999"),"YES",INDIRECT($A$1&amp;"!$D$2:$D$999"),"YES",INDIRECT($A$1&amp;"!$C$2:$C$999"),"&gt;=0.01")</f>
        <v>#DIV/0!</v>
      </c>
      <c r="E19">
        <f ca="1">COUNTIFS(INDIRECT($A$1&amp;"!$Q$2:$Q$999"),"&lt;=4",INDIRECT($A$1&amp;"!$E$2:$E$999"),"YES",INDIRECT($A$1&amp;"!$D$2:$D$999"),"YES",INDIRECT($A$1&amp;"!$C$2:$C$999"),"&gt;=0.01")</f>
        <v>0</v>
      </c>
      <c r="F19" s="9">
        <f ca="1">AVERAGEIFS(INDIRECT($A$1&amp;"!$S$2:$S$999"),INDIRECT($A$1&amp;"!$Q$2:$Q$999"),"&gt;=4.1",INDIRECT($A$1&amp;"!$Q$2:$Q$999"),"&lt;=5",INDIRECT($A$1&amp;"!$E$2:$E$999"),"YES",INDIRECT($A$1&amp;"!$D$2:$D$999"),"YES",INDIRECT($A$1&amp;"!$C$2:$C$999"),"&gt;=0.01")</f>
        <v>3.5</v>
      </c>
      <c r="G19">
        <f ca="1">COUNTIFS(INDIRECT($A$1&amp;"!$Q$2:$Q$999"),"&gt;=4.1",INDIRECT($A$1&amp;"!$Q$2:$Q$999"),"&lt;=5",INDIRECT($A$1&amp;"!$E$2:$E$999"),"YES",INDIRECT($A$1&amp;"!$D$2:$D$999"),"YES",INDIRECT($A$1&amp;"!$C$2:$C$999"),"&gt;=0.01")</f>
        <v>2</v>
      </c>
      <c r="H19" s="9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AVERAGEIFS(INDIRECT($A$1&amp;"!$S$2:$S$999"),INDIRECT($A$1&amp;"!$Q$2:$Q$999"),"&gt;=5.1",INDIRECT($A$1&amp;"!$Q$2:$Q$999"),"&lt;=6.2",INDIRECT($A$1&amp;"!$E$2:$E$999"),"YES",INDIRECT($A$1&amp;"!$D$2:$D$999"),"YES",INDIRECT($A$1&amp;"!$C$2:$C$999"),"&gt;=0.01")</f>
        <v>4.2</v>
      </c>
      <c r="I19">
        <f ca="1">COUNTIFS(INDIRECT($A$1&amp;"!$Q$2:$Q$999"),"&gt;=5.1",INDIRECT($A$1&amp;"!$Q$2:$Q$999"),"&lt;=6.2",INDIRECT($A$1&amp;"!$E$2:$E$999"),"YES",INDIRECT($A$1&amp;"!$D$2:$D$999"),"YES",INDIRECT($A$1&amp;"!$C$2:$C$999"),"&gt;=0.01")</f>
        <v>1</v>
      </c>
      <c r="J19" s="9">
        <f ca="1">AVERAGEIFS(INDIRECT($A$1&amp;"!$S$2:$S$999"),INDIRECT($A$1&amp;"!$Q$2:$Q$999"),"&gt;=6.3",INDIRECT($A$1&amp;"!$E$2:$E$999"),"YES",INDIRECT($A$1&amp;"!$D$2:$D$999"),"YES",INDIRECT($A$1&amp;"!$C$2:$C$999"),"&gt;=0.01")</f>
        <v>1.4750000000000001</v>
      </c>
      <c r="K19">
        <f ca="1">COUNTIFS(INDIRECT($A$1&amp;"!$Q$2:$Q$999"),"&gt;=6.3",INDIRECT($A$1&amp;"!$E$2:$E$999"),"YES",INDIRECT($A$1&amp;"!$D$2:$D$999"),"YES",INDIRECT($A$1&amp;"!$C$2:$C$999"),"&gt;=0.01")</f>
        <v>3</v>
      </c>
    </row>
    <row r="20" spans="1:11" x14ac:dyDescent="0.2">
      <c r="A20" s="8" t="s">
        <v>195</v>
      </c>
      <c r="B20" s="9">
        <f ca="1">AVERAGEIFS(INDIRECT($A$1&amp;"!$S$2:$S$999"),INDIRECT($A$1&amp;"!$E$2:$E$999"),"YES",INDIRECT($A$1&amp;"!$C$2:$C$999"),"&gt;=0.01")</f>
        <v>2.7458333333333336</v>
      </c>
      <c r="C20">
        <f ca="1">COUNTIFS(INDIRECT($A$1&amp;"!$E$2:$E$999"),"YES",INDIRECT($A$1&amp;"!$C$2:$C$999"),"&gt;=0.01")</f>
        <v>9</v>
      </c>
      <c r="D20" s="9" t="e">
        <f ca="1">AVERAGEIFS(INDIRECT($A$1&amp;"!$S$2:$S$999"),INDIRECT($A$1&amp;"!$Q$2:$Q$999"),"&lt;=4",INDIRECT($A$1&amp;"!$E$2:$E$999"),"YES",INDIRECT($A$1&amp;"!$C$2:$C$999"),"&gt;=0.01")</f>
        <v>#DIV/0!</v>
      </c>
      <c r="E20">
        <f ca="1">COUNTIFS(INDIRECT($A$1&amp;"!$Q$2:$Q$999"),"&lt;=4",INDIRECT($A$1&amp;"!$E$2:$E$999"),"YES",INDIRECT($A$1&amp;"!$C$2:$C$999"),"&gt;=0.01")</f>
        <v>0</v>
      </c>
      <c r="F20" s="9">
        <f ca="1">AVERAGEIFS(INDIRECT($A$1&amp;"!$S$2:$S$999"),INDIRECT($A$1&amp;"!$Q$2:$Q$999"),"&gt;=4.1",INDIRECT($A$1&amp;"!$Q$2:$Q$999"),"&lt;=5",INDIRECT($A$1&amp;"!$E$2:$E$999"),"YES",INDIRECT($A$1&amp;"!$C$2:$C$999"),"&gt;=0.01")</f>
        <v>3.2333333333333329</v>
      </c>
      <c r="G20">
        <f ca="1">COUNTIFS(INDIRECT($A$1&amp;"!$Q$2:$Q$999"),"&gt;=4.1",INDIRECT($A$1&amp;"!$Q$2:$Q$999"),"&lt;=5",INDIRECT($A$1&amp;"!$E$2:$E$999"),"YES",INDIRECT($A$1&amp;"!$C$2:$C$999"),"&gt;=0.01")</f>
        <v>3</v>
      </c>
      <c r="H20" s="9">
        <f ca="1">AVERAGEIFS(INDIRECT($A$1&amp;"!$S$2:$S$999"),INDIRECT($A$1&amp;"!$Q$2:$Q$999"),"&gt;=5.1",INDIRECT($A$1&amp;"!$Q$2:$Q$999"),"&lt;=6.2",INDIRECT($A$1&amp;"!$E$2:$E$999"),"YES",INDIRECT($A$1&amp;"!$C$2:$C$999"),"&gt;=0.01")</f>
        <v>4.2</v>
      </c>
      <c r="I20">
        <f ca="1">COUNTIFS(INDIRECT($A$1&amp;"!$Q$2:$Q$999"),"&gt;=5.1",INDIRECT($A$1&amp;"!$Q$2:$Q$999"),"&lt;=6.2",INDIRECT($A$1&amp;"!$E$2:$E$999"),"YES",INDIRECT($A$1&amp;"!$C$2:$C$999"),"&gt;=0.01")</f>
        <v>1</v>
      </c>
      <c r="J20" s="9">
        <f ca="1">AVERAGEIFS(INDIRECT($A$1&amp;"!$S$2:$S$999"),INDIRECT($A$1&amp;"!$Q$2:$Q$999"),"&gt;=6.3",INDIRECT($A$1&amp;"!$E$2:$E$999"),"YES",INDIRECT($A$1&amp;"!$C$2:$C$999"),"&gt;=0.01")</f>
        <v>1.2875000000000001</v>
      </c>
      <c r="K20">
        <f ca="1">COUNTIFS(INDIRECT($A$1&amp;"!$Q$2:$Q$999"),"&gt;=6.3",INDIRECT($A$1&amp;"!$E$2:$E$999"),"YES",INDIRECT($A$1&amp;"!$C$2:$C$999"),"&gt;=0.01")</f>
        <v>4</v>
      </c>
    </row>
    <row r="21" spans="1:11" x14ac:dyDescent="0.2">
      <c r="A21" s="1" t="s">
        <v>43</v>
      </c>
      <c r="B21" s="1">
        <f ca="1">AVERAGEIFS(INDIRECT($A$1&amp;"!$S$2:$S$999"),INDIRECT($A$1&amp;"!$O$2:$O$999"),"&gt;=-4.5",INDIRECT($A$1&amp;"!$O$2:$O$999"),"&lt;=4.5")</f>
        <v>2.7137957091362104</v>
      </c>
      <c r="C21">
        <f ca="1">COUNTIFS(INDIRECT($A$1&amp;"!$O$2:$O$999"),"&gt;=-4.5",INDIRECT($A$1&amp;"!$O$2:$O$999"),"&lt;=4.5")</f>
        <v>388</v>
      </c>
      <c r="D21" s="1" t="e">
        <f ca="1">AVERAGEIFS(INDIRECT($A$1&amp;"!$S$2:$S$999"),INDIRECT($A$1&amp;"!$O$2:$O$999"),"&gt;=-4.5",INDIRECT($A$1&amp;"!$O$2:$O$999"),"&lt;=4.55",INDIRECT($A$1&amp;"!$Q$2:$Q$999"),"&lt;=4")</f>
        <v>#DIV/0!</v>
      </c>
      <c r="E21">
        <f ca="1">COUNTIFS(INDIRECT($A$1&amp;"!$O$2:$O$999"),"&gt;=-4.5",INDIRECT($A$1&amp;"!$O$2:$O$999"),"&lt;=4.55",INDIRECT($A$1&amp;"!$Q$2:$Q$999"),"&lt;=4")</f>
        <v>1</v>
      </c>
      <c r="F21" s="1">
        <f ca="1">AVERAGEIFS(INDIRECT($A$1&amp;"!$S$2:$S$999"),INDIRECT($A$1&amp;"!$O$2:$O$999"),"&gt;=-4.5",INDIRECT($A$1&amp;"!$O$2:$O$999"),"&lt;=4.5",INDIRECT($A$1&amp;"!$Q$2:$Q$999"),"&gt;=4.1",INDIRECT($A$1&amp;"!$Q$2:$Q$999"),"&lt;=5")</f>
        <v>5</v>
      </c>
      <c r="G21">
        <f ca="1">COUNTIFS(INDIRECT($A$1&amp;"!$O$2:$O$999"),"&gt;=-4.5",INDIRECT($A$1&amp;"!$O$2:$O$999"),"&lt;=4.5",INDIRECT($A$1&amp;"!$Q$2:$Q$999"),"&gt;=4.1",INDIRECT($A$1&amp;"!$Q$2:$Q$999"),"&lt;=5")</f>
        <v>4</v>
      </c>
      <c r="H21" s="1">
        <f ca="1">AVERAGEIFS(INDIRECT($A$1&amp;"!$S$2:$S$999"),INDIRECT($A$1&amp;"!$O$2:$O$999"),"&gt;=-4.5",INDIRECT($A$1&amp;"!$O$2:$O$999"),"&lt;=4.5",INDIRECT($A$1&amp;"!$Q$2:$Q$999"),"&gt;=5.1",INDIRECT($A$1&amp;"!$Q$2:$Q$999"),"&lt;=6.2")</f>
        <v>2.6436827956989251</v>
      </c>
      <c r="I21">
        <f ca="1">COUNTIFS(INDIRECT($A$1&amp;"!$O$2:$O$999"),"&gt;=-4.5",INDIRECT($A$1&amp;"!$O$2:$O$999"),"&lt;=4.5",INDIRECT($A$1&amp;"!$Q$2:$Q$999"),"&gt;=5.1",INDIRECT($A$1&amp;"!$Q$2:$Q$999"),"&lt;=6.2")</f>
        <v>17</v>
      </c>
      <c r="J21" s="1">
        <f ca="1">AVERAGEIFS(INDIRECT($A$1&amp;"!$S$2:$S$999"),INDIRECT($A$1&amp;"!$O$2:$O$999"),"&gt;=-4.5",INDIRECT($A$1&amp;"!$O$2:$O$999"),"&lt;=4.5",INDIRECT($A$1&amp;"!$Q$2:$Q$999"),"&gt;=6.3")</f>
        <v>2.4267915844838921</v>
      </c>
      <c r="K21">
        <f ca="1">COUNTIFS(INDIRECT($A$1&amp;"!$O$2:$O$999"),"&gt;=-4.5",INDIRECT($A$1&amp;"!$O$2:$O$999"),"&lt;=4.5",INDIRECT($A$1&amp;"!$Q$2:$Q$999"),"&gt;=6.3")</f>
        <v>21</v>
      </c>
    </row>
    <row r="22" spans="1:11" x14ac:dyDescent="0.2">
      <c r="A22" s="8" t="s">
        <v>198</v>
      </c>
      <c r="B22" s="9">
        <f ca="1">AVERAGEIFS(INDIRECT($A$1&amp;"!$S$2:$S$999"),INDIRECT($A$1&amp;"!$C$2:$C$999"),"&gt;=.01")</f>
        <v>2.6601097708448722</v>
      </c>
      <c r="C22" s="8">
        <f ca="1">COUNTIF(INDIRECT($A$1&amp;"!$C$2:$C$999"),"&gt;=.01")</f>
        <v>87</v>
      </c>
      <c r="D22" s="9">
        <f ca="1">AVERAGEIFS(INDIRECT($A$1&amp;"!$S$2:$S$999"),INDIRECT($A$1&amp;"!$Q$2:$Q$999"),"&lt;=4",INDIRECT($A$1&amp;"!$C$2:$C$999"),"&gt;=.01")</f>
        <v>2.4</v>
      </c>
      <c r="E22" s="8">
        <f ca="1">COUNTIFS(INDIRECT($A$1&amp;"!$Q$2:$Q$999"),"&lt;=4",INDIRECT($A$1&amp;"!$C$2:$C$999"),"&gt;=.01")</f>
        <v>3</v>
      </c>
      <c r="F22" s="9">
        <f ca="1">AVERAGEIFS(INDIRECT($A$1&amp;"!$S$2:$S$999"),INDIRECT($A$1&amp;"!$Q$2:$Q$999"),"&gt;=4.1",INDIRECT($A$1&amp;"!$Q$2:$Q$999"),"&lt;=5",INDIRECT($A$1&amp;"!$C$2:$C$999"),"&gt;=.01")</f>
        <v>3.1714285714285713</v>
      </c>
      <c r="G22" s="8">
        <f ca="1">COUNTIFS(INDIRECT($A$1&amp;"!$Q$2:$Q$999"),"&gt;=4.1",INDIRECT($A$1&amp;"!$Q$2:$Q$999"),"&lt;=5",INDIRECT($A$1&amp;"!$C$2:$C$999"),"&gt;=.01")</f>
        <v>8</v>
      </c>
      <c r="H22" s="9">
        <f ca="1">AVERAGEIFS(INDIRECT($A$1&amp;"!$S$2:$S$999"),INDIRECT($A$1&amp;"!$Q$2:$Q$999"),"&gt;=5.1",INDIRECT($A$1&amp;"!$Q$2:$Q$999"),"&lt;=6.2",INDIRECT($A$1&amp;"!$C$2:$C$999"),"&gt;=.01")</f>
        <v>2.7044349092627287</v>
      </c>
      <c r="I22" s="8">
        <f ca="1">COUNTIFS(INDIRECT($A$1&amp;"!$Q$2:$Q$999"),"&gt;=5.1",INDIRECT($A$1&amp;"!$Q$2:$Q$999"),"&lt;=6.2",INDIRECT($A$1&amp;"!$C$2:$C$999"),"&gt;=.01")</f>
        <v>15</v>
      </c>
      <c r="J22" s="9">
        <f ca="1">AVERAGEIFS(INDIRECT($A$1&amp;"!$S$2:$S$999"),INDIRECT($A$1&amp;"!$Q$2:$Q$999"),"&gt;=6.3",INDIRECT($A$1&amp;"!$C$2:$C$999"),"&gt;=.01")</f>
        <v>2.4519345238095238</v>
      </c>
      <c r="K22" s="8">
        <f ca="1">COUNTIFS(INDIRECT($A$1&amp;"!$Q$2:$Q$999"),"&gt;=6.3",INDIRECT($A$1&amp;"!$C$2:$C$999"),"&gt;=.01")</f>
        <v>22</v>
      </c>
    </row>
    <row r="23" spans="1:11" x14ac:dyDescent="0.2">
      <c r="A23" s="9" t="s">
        <v>65</v>
      </c>
      <c r="B23" s="9">
        <f ca="1">AVERAGEIFS(INDIRECT($A$1&amp;"!$S$2:$S$999"),INDIRECT($A$1&amp;"!$D$2:$D$999"),"YES")</f>
        <v>2.6459702434432892</v>
      </c>
      <c r="C23">
        <f ca="1">COUNTIF(INDIRECT($A$1&amp;"!$D$2:$D$999"),"YES")</f>
        <v>151</v>
      </c>
      <c r="D23" s="9" t="e">
        <f ca="1">AVERAGEIFS(INDIRECT($A$1&amp;"!$S$2:$S$999"),INDIRECT($A$1&amp;"!$Q$2:$Q$999"),"&lt;=4",INDIRECT($A$1&amp;"!$D$2:$D$999"),"YES")</f>
        <v>#DIV/0!</v>
      </c>
      <c r="E23">
        <f ca="1">COUNTIFS(INDIRECT($A$1&amp;"!$Q$2:$Q$999"),"&lt;=4",INDIRECT($A$1&amp;"!$D$2:$D$999"),"YES")</f>
        <v>3</v>
      </c>
      <c r="F23" s="9">
        <f ca="1">AVERAGEIFS(INDIRECT($A$1&amp;"!$S$2:$S$999"),INDIRECT($A$1&amp;"!$Q$2:$Q$999"),"&gt;=4.1",INDIRECT($A$1&amp;"!$Q$2:$Q$999"),"&lt;=5",INDIRECT($A$1&amp;"!$D$2:$D$999"),"YES")</f>
        <v>3.1999999999999997</v>
      </c>
      <c r="G23">
        <f ca="1">COUNTIFS(INDIRECT($A$1&amp;"!$Q$2:$Q$999"),"&gt;=4.1",INDIRECT($A$1&amp;"!$Q$2:$Q$999"),"&lt;=5",INDIRECT($A$1&amp;"!$D$2:$D$999"),"YES")</f>
        <v>4</v>
      </c>
      <c r="H23" s="9">
        <f ca="1">AVERAGEIFS(INDIRECT($A$1&amp;"!$S$2:$S$999"),INDIRECT($A$1&amp;"!$Q$2:$Q$999"),"&gt;=5.1",INDIRECT($A$1&amp;"!$Q$2:$Q$999"),"&lt;=6.2",INDIRECT($A$1&amp;"!$D$2:$D$999"),"YES")</f>
        <v>2.5474393530997301</v>
      </c>
      <c r="I23">
        <f ca="1">COUNTIFS(INDIRECT($A$1&amp;"!$Q$2:$Q$999"),"&gt;=5.1",INDIRECT($A$1&amp;"!$Q$2:$Q$999"),"&lt;=6.2",INDIRECT($A$1&amp;"!$D$2:$D$999"),"YES")</f>
        <v>9</v>
      </c>
      <c r="J23" s="9">
        <f ca="1">AVERAGEIFS(INDIRECT($A$1&amp;"!$S$2:$S$999"),INDIRECT($A$1&amp;"!$Q$2:$Q$999"),"&gt;=6.3",INDIRECT($A$1&amp;"!$D$2:$D$999"),"YES")</f>
        <v>2.4028769841269844</v>
      </c>
      <c r="K23">
        <f ca="1">COUNTIFS(INDIRECT($A$1&amp;"!$Q$2:$Q$999"),"&gt;=6.3",INDIRECT($A$1&amp;"!$D$2:$D$999"),"YES")</f>
        <v>10</v>
      </c>
    </row>
    <row r="24" spans="1:11" x14ac:dyDescent="0.2">
      <c r="A24" s="9" t="s">
        <v>196</v>
      </c>
      <c r="B24" s="9">
        <f ca="1">AVERAGEIFS(INDIRECT($A$1&amp;"!$S$2:$S$999"),INDIRECT($A$1&amp;"!$D$2:$D$999"),"YES")</f>
        <v>2.6459702434432892</v>
      </c>
      <c r="C24">
        <f ca="1">COUNTIFS(INDIRECT($A$1&amp;"!$D$2:$D$999"),"YES",INDIRECT($A$1&amp;"!$C$2:$C$999"),"&gt;=0.01")</f>
        <v>30</v>
      </c>
      <c r="D24" s="9" t="e">
        <f ca="1">AVERAGEIFS(INDIRECT($A$1&amp;"!$S$2:$S$999"),INDIRECT($A$1&amp;"!$Q$2:$Q$999"),"&lt;=4",INDIRECT($A$1&amp;"!$D$2:$D$999"),"YES",INDIRECT($A$1&amp;"!$C$2:$C$999"),"&gt;=0.01")</f>
        <v>#DIV/0!</v>
      </c>
      <c r="E24">
        <f ca="1">COUNTIFS(INDIRECT($A$1&amp;"!$Q$2:$Q$999"),"&lt;=4",INDIRECT($A$1&amp;"!$D$2:$D$999"),"YES",INDIRECT($A$1&amp;"!$C$2:$C$999"),"&gt;=0.01")</f>
        <v>0</v>
      </c>
      <c r="F24" s="9">
        <f ca="1">AVERAGEIFS(INDIRECT($A$1&amp;"!$S$2:$S$999"),INDIRECT($A$1&amp;"!$Q$2:$Q$999"),"&gt;=4.1",INDIRECT($A$1&amp;"!$Q$2:$Q$999"),"&lt;=5",INDIRECT($A$1&amp;"!$D$2:$D$999"),"YES",INDIRECT($A$1&amp;"!$C$2:$C$999"),"&gt;=0.01")</f>
        <v>3.1999999999999997</v>
      </c>
      <c r="G24">
        <f ca="1">COUNTIFS(INDIRECT($A$1&amp;"!$Q$2:$Q$999"),"&gt;=4.1",INDIRECT($A$1&amp;"!$Q$2:$Q$999"),"&lt;=5",INDIRECT($A$1&amp;"!$D$2:$D$999"),"YES",INDIRECT($A$1&amp;"!$C$2:$C$999"),"&gt;=0.01")</f>
        <v>3</v>
      </c>
      <c r="H24" s="9">
        <f ca="1">AVERAGEIFS(INDIRECT($A$1&amp;"!$S$2:$S$999"),INDIRECT($A$1&amp;"!$Q$2:$Q$999"),"&gt;=5.1",INDIRECT($A$1&amp;"!$Q$2:$Q$999"),"&lt;=6.2",INDIRECT($A$1&amp;"!$D$2:$D$999"),"YES",INDIRECT($A$1&amp;"!$C$2:$C$999"),"&gt;=0.01")</f>
        <v>2.9053459119496856</v>
      </c>
      <c r="I24">
        <f ca="1">COUNTIFS(INDIRECT($A$1&amp;"!$Q$2:$Q$999"),"&gt;=5.1",INDIRECT($A$1&amp;"!$Q$2:$Q$999"),"&lt;=6.2",INDIRECT($A$1&amp;"!$D$2:$D$999"),"YES",INDIRECT($A$1&amp;"!$C$2:$C$999"),"&gt;=0.01")</f>
        <v>6</v>
      </c>
      <c r="J24" s="9">
        <f ca="1">AVERAGEIFS(INDIRECT($A$1&amp;"!$S$2:$S$999"),INDIRECT($A$1&amp;"!$Q$2:$Q$999"),"&gt;=6.3",INDIRECT($A$1&amp;"!$D$2:$D$999"),"YES",INDIRECT($A$1&amp;"!$C$2:$C$999"),"&gt;=0.01")</f>
        <v>2.4028769841269844</v>
      </c>
      <c r="K24">
        <f ca="1">COUNTIFS(INDIRECT($A$1&amp;"!$Q$2:$Q$999"),"&gt;=6.3",INDIRECT($A$1&amp;"!$D$2:$D$999"),"YES",INDIRECT($A$1&amp;"!$C$2:$C$999"),"&gt;=0.01")</f>
        <v>8</v>
      </c>
    </row>
    <row r="25" spans="1:11" x14ac:dyDescent="0.2">
      <c r="A25" s="8" t="s">
        <v>66</v>
      </c>
      <c r="B25" s="9">
        <f ca="1">AVERAGEIFS(INDIRECT($A$1&amp;"!$S$2:$S$999"),INDIRECT($A$1&amp;"!$E$2:$E$999"),"YES")</f>
        <v>2.6392857142857147</v>
      </c>
      <c r="C25">
        <f ca="1">COUNTIF(INDIRECT($A$1&amp;"!$E$2:$E$999"),"YES")</f>
        <v>89</v>
      </c>
      <c r="D25" s="9" t="e">
        <f ca="1">AVERAGEIFS(INDIRECT($A$1&amp;"!$S$2:$S$999"),INDIRECT($A$1&amp;"!$Q$2:$Q$999"),"&lt;=4",INDIRECT($A$1&amp;"!$E$2:$E$999"),"YES")</f>
        <v>#DIV/0!</v>
      </c>
      <c r="E25">
        <f ca="1">COUNTIFS(INDIRECT($A$1&amp;"!$Q$2:$Q$999"),"&lt;=4",INDIRECT($A$1&amp;"!$E$2:$E$999"),"YES")</f>
        <v>0</v>
      </c>
      <c r="F25" s="9">
        <f ca="1">AVERAGEIFS(INDIRECT($A$1&amp;"!$S$2:$S$999"),INDIRECT($A$1&amp;"!$Q$2:$Q$999"),"&gt;=4.1",INDIRECT($A$1&amp;"!$Q$2:$Q$999"),"&lt;=5",INDIRECT($A$1&amp;"!$E$2:$E$999"),"YES")</f>
        <v>3.2333333333333329</v>
      </c>
      <c r="G25">
        <f ca="1">COUNTIFS(INDIRECT($A$1&amp;"!$Q$2:$Q$999"),"&gt;=4.1",INDIRECT($A$1&amp;"!$Q$2:$Q$999"),"&lt;=5",INDIRECT($A$1&amp;"!$E$2:$E$999"),"YES")</f>
        <v>3</v>
      </c>
      <c r="H25" s="9">
        <f ca="1">AVERAGEIFS(INDIRECT($A$1&amp;"!$S$2:$S$999"),INDIRECT($A$1&amp;"!$Q$2:$Q$999"),"&gt;=5.1",INDIRECT($A$1&amp;"!$Q$2:$Q$999"),"&lt;=6.2",INDIRECT($A$1&amp;"!$E$2:$E$999"),"YES")</f>
        <v>4.2</v>
      </c>
      <c r="I25">
        <f ca="1">COUNTIFS(INDIRECT($A$1&amp;"!$Q$2:$Q$999"),"&gt;=5.1",INDIRECT($A$1&amp;"!$Q$2:$Q$999"),"&lt;=6.2",INDIRECT($A$1&amp;"!$E$2:$E$999"),"YES")</f>
        <v>2</v>
      </c>
      <c r="J25" s="9">
        <f ca="1">AVERAGEIFS(INDIRECT($A$1&amp;"!$S$2:$S$999"),INDIRECT($A$1&amp;"!$Q$2:$Q$999"),"&gt;=6.3",INDIRECT($A$1&amp;"!$E$2:$E$999"),"YES")</f>
        <v>1.5250000000000001</v>
      </c>
      <c r="K25">
        <f ca="1">COUNTIFS(INDIRECT($A$1&amp;"!$Q$2:$Q$999"),"&gt;=6.3",INDIRECT($A$1&amp;"!$E$2:$E$999"),"YES")</f>
        <v>8</v>
      </c>
    </row>
    <row r="26" spans="1:11" x14ac:dyDescent="0.2">
      <c r="A26" t="s">
        <v>40</v>
      </c>
      <c r="B26" s="1">
        <f ca="1">AVERAGEIF(INDIRECT($A$1&amp;"!$P$2:$P$999"),"&lt;=44",INDIRECT($A$1&amp;"!$S$2:$S$999"))</f>
        <v>2.6026565431797208</v>
      </c>
      <c r="C26">
        <f ca="1">COUNTIF(INDIRECT($A$1&amp;"!$P$2:$P$999"),"&lt;=44")</f>
        <v>267</v>
      </c>
      <c r="D26" s="1">
        <f ca="1">AVERAGEIFS(INDIRECT($A$1&amp;"!$S$2:$S$999"),INDIRECT($A$1&amp;"!$Q$2:$Q$999"),"&lt;=4",INDIRECT($A$1&amp;"!$P$2:$P$999"),"&lt;=44")</f>
        <v>2.4</v>
      </c>
      <c r="E26">
        <f ca="1">COUNTIFS(INDIRECT($A$1&amp;"!$Q$2:$Q$999"),"&lt;=4",INDIRECT($A$1&amp;"!$P$2:$P$999"),"&lt;=44")</f>
        <v>4</v>
      </c>
      <c r="F26" s="1">
        <f ca="1">AVERAGEIFS(INDIRECT($A$1&amp;"!$S$2:$S$999"),INDIRECT($A$1&amp;"!$Q$2:$Q$999"),"&gt;=4.1",INDIRECT($A$1&amp;"!$Q$2:$Q$999"),"&lt;=5",INDIRECT($A$1&amp;"!$P$2:$P$999"),"&lt;=44")</f>
        <v>3</v>
      </c>
      <c r="G26">
        <f ca="1">COUNTIFS(INDIRECT($A$1&amp;"!$Q$2:$Q$999"),"&gt;=4.1",INDIRECT($A$1&amp;"!$Q$2:$Q$999"),"&lt;=5",INDIRECT($A$1&amp;"!$P$2:$P$999"),"&lt;=44")</f>
        <v>10</v>
      </c>
      <c r="H26" s="1">
        <f ca="1">AVERAGEIFS(INDIRECT($A$1&amp;"!$S$2:$S$999"),INDIRECT($A$1&amp;"!$Q$2:$Q$999"),"&gt;=5.1",INDIRECT($A$1&amp;"!$Q$2:$Q$999"),"&lt;=6.2",INDIRECT($A$1&amp;"!$P$2:$P$999"),"&lt;=44")</f>
        <v>2.7694326862258554</v>
      </c>
      <c r="I26">
        <f ca="1">COUNTIFS(INDIRECT($A$1&amp;"!$Q$2:$Q$999"),"&gt;=5.1",INDIRECT($A$1&amp;"!$Q$2:$Q$999"),"&lt;=6.2",INDIRECT($A$1&amp;"!$P$2:$P$999"),"&lt;=44")</f>
        <v>18</v>
      </c>
      <c r="J26" s="1">
        <f ca="1">AVERAGEIFS(INDIRECT($A$1&amp;"!$S$2:$S$999"),INDIRECT($A$1&amp;"!$Q$2:$Q$999"),"&gt;=6.3",INDIRECT($A$1&amp;"!$P$2:$P$999"),"&lt;=44")</f>
        <v>2.1718503718503714</v>
      </c>
      <c r="K26">
        <f ca="1">COUNTIFS(INDIRECT($A$1&amp;"!$Q$2:$Q$999"),"&gt;=6.3",INDIRECT($A$1&amp;"!$P$2:$P$999"),"&lt;=44")</f>
        <v>15</v>
      </c>
    </row>
    <row r="27" spans="1:11" x14ac:dyDescent="0.2">
      <c r="A27" t="s">
        <v>41</v>
      </c>
      <c r="B27" s="1">
        <f ca="1">AVERAGEIFS(INDIRECT($A$1&amp;"!$S$2:$S$999"),INDIRECT($A$1&amp;"!$P$2:$P$999"),"&gt;=44.5",INDIRECT($A$1&amp;"!$P$2:$P$999"),"&lt;=48.5")</f>
        <v>2.5700293141365558</v>
      </c>
      <c r="C27">
        <f ca="1">COUNTIFS(INDIRECT($A$1&amp;"!$P$2:$P$999"),"&gt;=44.5",INDIRECT($A$1&amp;"!$P$2:$P$999"),"&lt;=48.5")</f>
        <v>263</v>
      </c>
      <c r="D27" s="1" t="e">
        <f ca="1">AVERAGEIFS(INDIRECT($A$1&amp;"!$S$2:$S$999"),INDIRECT($A$1&amp;"!$Q$2:$Q$999"),"&lt;=4",INDIRECT($A$1&amp;"!$P$2:$P$999"),"&gt;=44.5",INDIRECT($A$1&amp;"!$P$2:$P$999"),"&lt;=48.5")</f>
        <v>#DIV/0!</v>
      </c>
      <c r="E27">
        <f ca="1">COUNTIFS(INDIRECT($A$1&amp;"!$Q$2:$Q$999"),"&lt;=4",INDIRECT($A$1&amp;"!$P$2:$P$999"),"&gt;=44.5",INDIRECT($A$1&amp;"!$P$2:$P$999"),"&lt;=48.5")</f>
        <v>1</v>
      </c>
      <c r="F27" s="1" t="e">
        <f ca="1">AVERAGEIFS(INDIRECT($A$1&amp;"!$S$2:$S$999"),INDIRECT($A$1&amp;"!$Q$2:$Q$999"),"&gt;=4.1",INDIRECT($A$1&amp;"!$Q$2:$Q$999"),"&lt;=5",INDIRECT($A$1&amp;"!$P$2:$P$999"),"&gt;=44.5",INDIRECT($A$1&amp;"!$P$2:$P$999"),"&lt;=48.5")</f>
        <v>#DIV/0!</v>
      </c>
      <c r="G27">
        <f ca="1">COUNTIFS(INDIRECT($A$1&amp;"!$Q$2:$Q$999"),"&gt;=4.1",INDIRECT($A$1&amp;"!$Q$2:$Q$999"),"&lt;=5",INDIRECT($A$1&amp;"!$P$2:$P$999"),"&gt;=44.5",INDIRECT($A$1&amp;"!$P$2:$P$999"),"&lt;=48.5")</f>
        <v>0</v>
      </c>
      <c r="H27" s="1">
        <f ca="1">AVERAGEIFS(INDIRECT($A$1&amp;"!$S$2:$S$999"),INDIRECT($A$1&amp;"!$Q$2:$Q$999"),"&gt;=5.1",INDIRECT($A$1&amp;"!$Q$2:$Q$999"),"&lt;=6.2",INDIRECT($A$1&amp;"!$P$2:$P$999"),"&gt;=44.5",INDIRECT($A$1&amp;"!$P$2:$P$999"),"&lt;=48.5")</f>
        <v>1.0469300228826681</v>
      </c>
      <c r="I27">
        <f ca="1">COUNTIFS(INDIRECT($A$1&amp;"!$Q$2:$Q$999"),"&gt;=5.1",INDIRECT($A$1&amp;"!$Q$2:$Q$999"),"&lt;=6.2",INDIRECT($A$1&amp;"!$P$2:$P$999"),"&gt;=44.5",INDIRECT($A$1&amp;"!$P$2:$P$999"),"&lt;=48.5")</f>
        <v>5</v>
      </c>
      <c r="J27" s="1">
        <f ca="1">AVERAGEIFS(INDIRECT($A$1&amp;"!$S$2:$S$999"),INDIRECT($A$1&amp;"!$Q$2:$Q$999"),"&gt;=6.3",INDIRECT($A$1&amp;"!$P$2:$P$999"),"&gt;=44.5",INDIRECT($A$1&amp;"!$P$2:$P$999"),"&lt;=48.5")</f>
        <v>3.483888888888889</v>
      </c>
      <c r="K27">
        <f ca="1">COUNTIFS(INDIRECT($A$1&amp;"!$Q$2:$Q$999"),"&gt;=6.3",INDIRECT($A$1&amp;"!$P$2:$P$999"),"&gt;=44.5",INDIRECT($A$1&amp;"!$P$2:$P$999"),"&lt;=48.5")</f>
        <v>13</v>
      </c>
    </row>
    <row r="28" spans="1:11" x14ac:dyDescent="0.2">
      <c r="A28" s="8" t="s">
        <v>149</v>
      </c>
      <c r="B28" s="9">
        <f ca="1">AVERAGEIFS(INDIRECT($A$1&amp;"!$S$2:$S$999"),INDIRECT($A$1&amp;"!$J$2:$J$999"),"YES",INDIRECT($A$1&amp;"!$K$2:$K$999"),"YES")</f>
        <v>2.5666666666666669</v>
      </c>
      <c r="C28" s="8">
        <f ca="1">COUNTIFS(INDIRECT($A$1&amp;"!$J$2:$J$999"),"YES",INDIRECT($A$1&amp;"!$K$2:$K$999"),"YES")</f>
        <v>4</v>
      </c>
      <c r="D28" s="9" t="e">
        <f ca="1">AVERAGEIFS(INDIRECT($A$1&amp;"!$S$2:$S$999"),INDIRECT($A$1&amp;"!$Q$2:$Q$999"),"&lt;=4",INDIRECT($A$1&amp;"!$J$2:$J$999"),"YES",INDIRECT($A$1&amp;"!$K$2:$K$999"),"YES")</f>
        <v>#DIV/0!</v>
      </c>
      <c r="E28" s="8">
        <f ca="1">COUNTIFS(INDIRECT($A$1&amp;"!$Q$2:$Q$999"),"&lt;=4",INDIRECT($A$1&amp;"!$J$2:$J$999"),"YES",INDIRECT($A$1&amp;"!$K$2:$K$999"),"YES")</f>
        <v>0</v>
      </c>
      <c r="F28" s="9">
        <f ca="1">AVERAGEIFS(INDIRECT($A$1&amp;"!$S$2:$S$999"),INDIRECT($A$1&amp;"!$Q$2:$Q$999"),"&gt;=4.1",INDIRECT($A$1&amp;"!$Q$2:$Q$999"),"&lt;=5",INDIRECT($A$1&amp;"!$J$2:$J$999"),"YES",INDIRECT($A$1&amp;"!$K$2:$K$999"),"YES")</f>
        <v>2.25</v>
      </c>
      <c r="G28" s="8">
        <f ca="1">COUNTIFS(INDIRECT($A$1&amp;"!$Q$2:$Q$999"),"&gt;=4.1",INDIRECT($A$1&amp;"!$Q$2:$Q$999"),"&lt;=5",INDIRECT($A$1&amp;"!$J$2:$J$999"),"YES",INDIRECT($A$1&amp;"!$K$2:$K$999"),"YES")</f>
        <v>2</v>
      </c>
      <c r="H28" s="9" t="e">
        <f ca="1">AVERAGEIFS(INDIRECT($A$1&amp;"!$S$2:$S$999"),INDIRECT($A$1&amp;"!$Q$2:$Q$999"),"&gt;=5.1",INDIRECT($A$1&amp;"!$Q$2:$Q$999"),"&lt;=6.2",INDIRECT($A$1&amp;"!$J$2:$J$999"),"YES",INDIRECT($A$1&amp;"!$K$2:$K$999"),"YES")</f>
        <v>#DIV/0!</v>
      </c>
      <c r="I28" s="8">
        <f ca="1">COUNTIFS(INDIRECT($A$1&amp;"!$Q$2:$Q$999"),"&gt;=5.1",INDIRECT($A$1&amp;"!$Q$2:$Q$999"),"&lt;=6.2",INDIRECT($A$1&amp;"!$J$2:$J$999"),"YES",INDIRECT($A$1&amp;"!$K$2:$K$999"),"YES")</f>
        <v>0</v>
      </c>
      <c r="J28" s="9">
        <f ca="1">AVERAGEIFS(INDIRECT($A$1&amp;"!$S$2:$S$999"),INDIRECT($A$1&amp;"!$Q$2:$Q$999"),"&gt;=6.3",INDIRECT($A$1&amp;"!$J$2:$J$999"),"YES",INDIRECT($A$1&amp;"!$K$2:$K$999"),"YES")</f>
        <v>3.2</v>
      </c>
      <c r="K28" s="8">
        <f ca="1">COUNTIFS(INDIRECT($A$1&amp;"!$Q$2:$Q$999"),"&gt;=6.3",INDIRECT($A$1&amp;"!$J$2:$J$999"),"YES",INDIRECT($A$1&amp;"!$K$2:$K$999"),"YES")</f>
        <v>2</v>
      </c>
    </row>
    <row r="29" spans="1:11" x14ac:dyDescent="0.2">
      <c r="A29" s="8" t="s">
        <v>220</v>
      </c>
      <c r="B29" s="9">
        <f ca="1">AVERAGEIFS(INDIRECT($A$1&amp;"!$S$2:$S$999"),INDIRECT($A$1&amp;"!$C$2:$C$999"),"&gt;=.01",INDIRECT($A$1&amp;"!$J$2:$J$999"),"YES")</f>
        <v>2.563357843137255</v>
      </c>
      <c r="C29" s="8">
        <f ca="1">COUNTIFS(INDIRECT($A$1&amp;"!$C$2:$C$999"),"&gt;=.01",INDIRECT($A$1&amp;"!$J$2:$J$999"),"YES")</f>
        <v>4</v>
      </c>
      <c r="D29" s="9" t="e">
        <f ca="1">AVERAGEIFS(INDIRECT($A$1&amp;"!$S$2:$S$999"),INDIRECT($A$1&amp;"!$Q$2:$Q$999"),"&lt;=4",INDIRECT($A$1&amp;"!$C$2:$C$999"),"&gt;=.01",INDIRECT($A$1&amp;"!$J$2:$J$999"),"YES")</f>
        <v>#DIV/0!</v>
      </c>
      <c r="E29" s="8">
        <f ca="1">COUNTIFS(INDIRECT($A$1&amp;"!$Q$2:$Q$999"),"&lt;=4",INDIRECT($A$1&amp;"!$C$2:$C$999"),"&gt;=.01",INDIRECT($A$1&amp;"!$J$2:$J$999"),"YES")</f>
        <v>0</v>
      </c>
      <c r="F29" s="9">
        <f ca="1">AVERAGEIFS(INDIRECT($A$1&amp;"!$S$2:$S$999"),INDIRECT($A$1&amp;"!$Q$2:$Q$999"),"&gt;=4.1",INDIRECT($A$1&amp;"!$Q$2:$Q$999"),"&lt;=5",INDIRECT($A$1&amp;"!$C$2:$C$999"),"&gt;=.01",INDIRECT($A$1&amp;"!$J$2:$J$999"),"YES")</f>
        <v>2.7</v>
      </c>
      <c r="G29" s="8">
        <f ca="1">COUNTIFS(INDIRECT($A$1&amp;"!$Q$2:$Q$999"),"&gt;=4.1",INDIRECT($A$1&amp;"!$Q$2:$Q$999"),"&lt;=5",INDIRECT($A$1&amp;"!$C$2:$C$999"),"&gt;=.01",INDIRECT($A$1&amp;"!$J$2:$J$999"),"YES")</f>
        <v>1</v>
      </c>
      <c r="H29" s="9">
        <f ca="1">AVERAGEIFS(INDIRECT($A$1&amp;"!$S$2:$S$999"),INDIRECT($A$1&amp;"!$Q$2:$Q$999"),"&gt;=5.1",INDIRECT($A$1&amp;"!$Q$2:$Q$999"),"&lt;=6.2",INDIRECT($A$1&amp;"!$C$2:$C$999"),"&gt;=.01",INDIRECT($A$1&amp;"!$J$2:$J$999"),"YES")</f>
        <v>3.0392156862745097</v>
      </c>
      <c r="I29" s="8">
        <f ca="1">COUNTIFS(INDIRECT($A$1&amp;"!$Q$2:$Q$999"),"&gt;=5.1",INDIRECT($A$1&amp;"!$Q$2:$Q$999"),"&lt;=6.2",INDIRECT($A$1&amp;"!$C$2:$C$999"),"&gt;=.01",INDIRECT($A$1&amp;"!$J$2:$J$999"),"YES")</f>
        <v>2</v>
      </c>
      <c r="J29" s="9">
        <f ca="1">AVERAGEIFS(INDIRECT($A$1&amp;"!$S$2:$S$999"),INDIRECT($A$1&amp;"!$Q$2:$Q$999"),"&gt;=6.3",INDIRECT($A$1&amp;"!$C$2:$C$999"),"&gt;=.01",INDIRECT($A$1&amp;"!$J$2:$J$999"),"YES")</f>
        <v>1.4750000000000001</v>
      </c>
      <c r="K29" s="8">
        <f ca="1">COUNTIFS(INDIRECT($A$1&amp;"!$Q$2:$Q$999"),"&gt;=6.3",INDIRECT($A$1&amp;"!$C$2:$C$999"),"&gt;=.01",INDIRECT($A$1&amp;"!$J$2:$J$999"),"YES")</f>
        <v>1</v>
      </c>
    </row>
    <row r="30" spans="1:11" x14ac:dyDescent="0.2">
      <c r="A30" t="s">
        <v>29</v>
      </c>
      <c r="B30" s="1">
        <f ca="1">AVERAGE((INDIRECT($A$1&amp;"!$s$2:$s$999")))</f>
        <v>2.5486194908535129</v>
      </c>
      <c r="C30">
        <f ca="1">COUNT(INDIRECT($A$1&amp;"!$s$2:$s$999"))</f>
        <v>52</v>
      </c>
      <c r="D30" s="1">
        <f ca="1">AVERAGEIFS(INDIRECT($A$1&amp;"!$s$2:$s$999"),INDIRECT($A$1&amp;"!q$2:$q$999"),"&lt;=4")</f>
        <v>2.4</v>
      </c>
      <c r="E30">
        <f ca="1">COUNTIF(INDIRECT($A$1&amp;"!$q$2:$q$999"),"&lt;=4")</f>
        <v>6</v>
      </c>
      <c r="F30" s="1">
        <f ca="1">AVERAGEIFS(INDIRECT($A$1&amp;"!$S$2:$S$999"),INDIRECT($A$1&amp;"!$Q$2:$Q$999"),"&gt;=4.1",INDIRECT($A$1&amp;"!$Q$2:$Q$999"),"&lt;=5")</f>
        <v>3</v>
      </c>
      <c r="G30">
        <f ca="1">COUNTIFS(INDIRECT($A$1&amp;"!$Q$2:$Q$999"),"&gt;=4.1",INDIRECT($A$1&amp;"!$Q$2:$Q$999"),"&lt;=5")</f>
        <v>10</v>
      </c>
      <c r="H30" s="1">
        <f ca="1">AVERAGEIFS(INDIRECT($A$1&amp;"!$S$2:$S$999"),INDIRECT($A$1&amp;"!$Q$2:$Q$999"),"&gt;=5.1",INDIRECT($A$1&amp;"!$Q$2:$Q$999"),"&lt;=6.2")</f>
        <v>2.4471707494792065</v>
      </c>
      <c r="I30">
        <f ca="1">COUNTIFS(INDIRECT($A$1&amp;"!$Q$2:$Q$999"),"&gt;=5.1",INDIRECT($A$1&amp;"!$Q$2:$Q$999"),"&lt;=6.2")</f>
        <v>27</v>
      </c>
      <c r="J30" s="1">
        <f ca="1">AVERAGEIFS(INDIRECT($A$1&amp;"!$S$2:$S$999"),INDIRECT($A$1&amp;"!$Q$2:$Q$999"),"&gt;=6.3")</f>
        <v>2.4945142159427873</v>
      </c>
      <c r="K30">
        <f ca="1">COUNTIF(INDIRECT($A$1&amp;"!$Q$2:$Q$999"),"&gt;=6.3")</f>
        <v>36</v>
      </c>
    </row>
    <row r="31" spans="1:11" x14ac:dyDescent="0.2">
      <c r="A31" s="1" t="s">
        <v>31</v>
      </c>
      <c r="B31" s="1">
        <f ca="1">AVERAGEIF(INDIRECT($A$1&amp;"!$O$2:$O$999"),"&lt;=-5",INDIRECT($A$1&amp;"!$S$2:$S$999"))</f>
        <v>2.4383690583151498</v>
      </c>
      <c r="C31">
        <f ca="1">COUNTIF(INDIRECT($A$1&amp;"!$O$2:$O$999"),"&lt;=-5")</f>
        <v>163</v>
      </c>
      <c r="D31" s="1" t="e">
        <f ca="1">AVERAGEIFS(INDIRECT($A$1&amp;"!$S$2:$S$999"),INDIRECT($A$1&amp;"!$O$2:$O$999"),"&lt;=-5",INDIRECT($A$1&amp;"!$Q$2:$Q$999"),"&lt;=4")</f>
        <v>#DIV/0!</v>
      </c>
      <c r="E31">
        <f ca="1">COUNTIFS(INDIRECT($A$1&amp;"!$O$2:$O$999"),"&lt;=-5",INDIRECT($A$1&amp;"!$Q$2:$Q$999"),"&lt;=4")</f>
        <v>0</v>
      </c>
      <c r="F31" s="1" t="e">
        <f ca="1">AVERAGEIFS(INDIRECT($A$1&amp;"!$S$2:$S$999"),INDIRECT($A$1&amp;"!$O$2:$O$999"),"&lt;=-5",INDIRECT($A$1&amp;"!$Q$2:$Q$999"),"&gt;=4.1",INDIRECT($A$1&amp;"!$Q$2:$Q$999"),"&lt;=5")</f>
        <v>#DIV/0!</v>
      </c>
      <c r="G31">
        <f ca="1">COUNTIFS(INDIRECT($A$1&amp;"!$O$2:$O$999"),"&lt;=-5",INDIRECT($A$1&amp;"!$Q$2:$Q$999"),"&gt;=4.1",INDIRECT($A$1&amp;"!$Q$2:$Q$999"),"&lt;=5")</f>
        <v>0</v>
      </c>
      <c r="H31" s="1">
        <f ca="1">AVERAGEIFS(INDIRECT($A$1&amp;"!$S$2:$S$999"),INDIRECT($A$1&amp;"!$O$2:$O$999"),"&lt;=-5",INDIRECT($A$1&amp;"!$Q$2:$Q$999"),"&gt;=5.1",INDIRECT($A$1&amp;"!$Q$2:$Q$999"),"&lt;=6.2")</f>
        <v>1.1320754716981132</v>
      </c>
      <c r="I31">
        <f ca="1">COUNTIFS(INDIRECT($A$1&amp;"!$O$2:$O$999"),"&lt;=-5",INDIRECT($A$1&amp;"!$Q$2:$Q$999"),"&gt;=5.1",INDIRECT($A$1&amp;"!$Q$2:$Q$999"),"&lt;=6.2")</f>
        <v>3</v>
      </c>
      <c r="J31" s="1">
        <f ca="1">AVERAGEIFS(INDIRECT($A$1&amp;"!$S$2:$S$999"),INDIRECT($A$1&amp;"!$O$2:$O$999"),"&lt;=-5",INDIRECT($A$1&amp;"!$Q$2:$Q$999"),"&gt;=6.3")</f>
        <v>2.6560846560846563</v>
      </c>
      <c r="K31">
        <f ca="1">COUNTIFS(INDIRECT($A$1&amp;"!$O$2:$O$999"),"&lt;=-5",INDIRECT($A$1&amp;"!$Q$2:$Q$999"),"&gt;=6.3")</f>
        <v>12</v>
      </c>
    </row>
    <row r="32" spans="1:11" x14ac:dyDescent="0.2">
      <c r="A32" s="8" t="s">
        <v>150</v>
      </c>
      <c r="B32" s="9">
        <f ca="1">AVERAGEIFS(INDIRECT($A$1&amp;"!$S$2:$S$999"),INDIRECT($A$1&amp;"!$J$2:$J$999"),"YES")</f>
        <v>2.3822043296956794</v>
      </c>
      <c r="C32" s="8">
        <f ca="1">COUNTIF(INDIRECT($A$1&amp;"!$J$2:$J$999"),"YES")</f>
        <v>22</v>
      </c>
      <c r="D32" s="9" t="e">
        <f ca="1">AVERAGEIFS(INDIRECT($A$1&amp;"!$S$2:$S$999"),INDIRECT($A$1&amp;"!$Q$2:$Q$999"),"&lt;=4",INDIRECT($A$1&amp;"!$J$2:$J$999"),"YES")</f>
        <v>#DIV/0!</v>
      </c>
      <c r="E32" s="8">
        <f ca="1">COUNTIFS(INDIRECT($A$1&amp;"!$Q$2:$Q$999"),"&lt;=4",INDIRECT($A$1&amp;"!$J$2:$J$999"),"YES")</f>
        <v>0</v>
      </c>
      <c r="F32" s="9">
        <f ca="1">AVERAGEIFS(INDIRECT($A$1&amp;"!$S$2:$S$999"),INDIRECT($A$1&amp;"!$Q$2:$Q$999"),"&gt;=4.1",INDIRECT($A$1&amp;"!$Q$2:$Q$999"),"&lt;=5",INDIRECT($A$1&amp;"!$J$2:$J$999"),"YES")</f>
        <v>2.25</v>
      </c>
      <c r="G32" s="8">
        <f ca="1">COUNTIFS(INDIRECT($A$1&amp;"!$Q$2:$Q$999"),"&gt;=4.1",INDIRECT($A$1&amp;"!$Q$2:$Q$999"),"&lt;=5",INDIRECT($A$1&amp;"!$J$2:$J$999"),"YES")</f>
        <v>2</v>
      </c>
      <c r="H32" s="9">
        <f ca="1">AVERAGEIFS(INDIRECT($A$1&amp;"!$S$2:$S$999"),INDIRECT($A$1&amp;"!$Q$2:$Q$999"),"&gt;=5.1",INDIRECT($A$1&amp;"!$Q$2:$Q$999"),"&lt;=6.2",INDIRECT($A$1&amp;"!$J$2:$J$999"),"YES")</f>
        <v>2.2568627450980392</v>
      </c>
      <c r="I32" s="8">
        <f ca="1">COUNTIFS(INDIRECT($A$1&amp;"!$Q$2:$Q$999"),"&gt;=5.1",INDIRECT($A$1&amp;"!$Q$2:$Q$999"),"&lt;=6.2",INDIRECT($A$1&amp;"!$J$2:$J$999"),"YES")</f>
        <v>12</v>
      </c>
      <c r="J32" s="9">
        <f ca="1">AVERAGEIFS(INDIRECT($A$1&amp;"!$S$2:$S$999"),INDIRECT($A$1&amp;"!$Q$2:$Q$999"),"&gt;=6.3",INDIRECT($A$1&amp;"!$J$2:$J$999"),"YES")</f>
        <v>2.6857692307692309</v>
      </c>
      <c r="K32" s="8">
        <f ca="1">COUNTIFS(INDIRECT($A$1&amp;"!$Q$2:$Q$999"),"&gt;=6.3",INDIRECT($A$1&amp;"!$J$2:$J$999"),"YES")</f>
        <v>8</v>
      </c>
    </row>
    <row r="33" spans="1:11" x14ac:dyDescent="0.2">
      <c r="A33" s="1" t="s">
        <v>30</v>
      </c>
      <c r="B33" s="1">
        <f ca="1">AVERAGEIF(INDIRECT($A$1&amp;"!$O$2:$O$999"),"&gt;=5",INDIRECT($A$1&amp;"!$S$2:$S$999"))</f>
        <v>2.3437303316388287</v>
      </c>
      <c r="C33">
        <f ca="1">COUNTIF(INDIRECT($A$1&amp;"!$O$2:$O$999"),"&gt;=5")</f>
        <v>165</v>
      </c>
      <c r="D33" s="1">
        <f ca="1">AVERAGEIFS(INDIRECT($A$1&amp;"!$S$2:$S$999"),INDIRECT($A$1&amp;"!$O$2:$O$999"),"&gt;=5",INDIRECT($A$1&amp;"!$Q$2:$Q$999"),"&lt;=4")</f>
        <v>2.4</v>
      </c>
      <c r="E33">
        <f ca="1">COUNTIFS(INDIRECT($A$1&amp;"!$O$2:$O$999"),"&gt;=5",INDIRECT($A$1&amp;"!$Q$2:$Q$999"),"&lt;=4")</f>
        <v>5</v>
      </c>
      <c r="F33" s="1">
        <f ca="1">AVERAGEIFS(INDIRECT($A$1&amp;"!$S$2:$S$999"),INDIRECT($A$1&amp;"!$O$2:$O$999"),"&gt;=5",INDIRECT($A$1&amp;"!$Q$2:$Q$999"),"&gt;=4.1",INDIRECT($A$1&amp;"!$Q$2:$Q$999"),"&lt;=5")</f>
        <v>2.3333333333333335</v>
      </c>
      <c r="G33">
        <f ca="1">COUNTIFS(INDIRECT($A$1&amp;"!$O$2:$O$999"),"&gt;=5",INDIRECT($A$1&amp;"!$Q$2:$Q$999"),"&gt;=4.1",INDIRECT($A$1&amp;"!$Q$2:$Q$999"),"&lt;=5")</f>
        <v>6</v>
      </c>
      <c r="H33" s="1">
        <f ca="1">AVERAGEIFS(INDIRECT($A$1&amp;"!$S$2:$S$999"),INDIRECT($A$1&amp;"!$O$2:$O$999"),"&gt;=5",INDIRECT($A$1&amp;"!$Q$2:$Q$999"),"&gt;=5.1",INDIRECT($A$1&amp;"!$Q$2:$Q$999"),"&lt;=6.2")</f>
        <v>2.2981637099284162</v>
      </c>
      <c r="I33">
        <f ca="1">COUNTIFS(INDIRECT($A$1&amp;"!$O$2:$O$999"),"&gt;=5",INDIRECT($A$1&amp;"!$Q$2:$Q$999"),"&gt;=5.1",INDIRECT($A$1&amp;"!$Q$2:$Q$999"),"&lt;=6.2")</f>
        <v>7</v>
      </c>
      <c r="J33" s="1">
        <f ca="1">AVERAGEIFS(INDIRECT($A$1&amp;"!$S$2:$S$999"),INDIRECT($A$1&amp;"!$O$2:$O$999"),"&gt;=5",INDIRECT($A$1&amp;"!$Q$2:$Q$999"),"&gt;=6.3")</f>
        <v>2.4500000000000002</v>
      </c>
      <c r="K33">
        <f ca="1">COUNTIFS(INDIRECT($A$1&amp;"!$O$2:$O$999"),"&gt;=5",INDIRECT($A$1&amp;"!$Q$2:$Q$999"),"&gt;=6.3")</f>
        <v>3</v>
      </c>
    </row>
    <row r="34" spans="1:11" x14ac:dyDescent="0.2">
      <c r="A34" t="s">
        <v>42</v>
      </c>
      <c r="B34" s="1">
        <f ca="1">AVERAGEIF(INDIRECT($A$1&amp;"!$P$2:$P$999"),"&gt;=49",INDIRECT($A$1&amp;"!$S$2:$S$999"))</f>
        <v>2.3194444444444446</v>
      </c>
      <c r="C34">
        <f ca="1">COUNTIF(INDIRECT($A$1&amp;"!$P$2:$P$999"),"&gt;=49")</f>
        <v>186</v>
      </c>
      <c r="D34" s="1" t="e">
        <f ca="1">AVERAGEIFS(INDIRECT($A$1&amp;"!$S$2:$S$999"),INDIRECT($A$1&amp;"!$Q$2:$Q$999"),"&lt;=4",INDIRECT($A$1&amp;"!$P$2:$P$999"),"&gt;=49")</f>
        <v>#DIV/0!</v>
      </c>
      <c r="E34">
        <f ca="1">COUNTIFS(INDIRECT($A$1&amp;"!$Q$2:$Q$999"),"&lt;=4",INDIRECT($A$1&amp;"!$P$2:$P$999"),"&gt;=49")</f>
        <v>1</v>
      </c>
      <c r="F34" s="1" t="e">
        <f ca="1">AVERAGEIFS(INDIRECT($A$1&amp;"!$S$2:$S$999"),INDIRECT($A$1&amp;"!$Q$2:$Q$999"),"&gt;=4.1",INDIRECT($A$1&amp;"!$Q$2:$Q$999"),"&lt;=5",INDIRECT($A$1&amp;"!$P$2:$P$999"),"&gt;=49")</f>
        <v>#DIV/0!</v>
      </c>
      <c r="G34">
        <f ca="1">COUNTIFS(INDIRECT($A$1&amp;"!$Q$2:$Q$999"),"&gt;=4.1",INDIRECT($A$1&amp;"!$Q$2:$Q$999"),"&lt;=5",INDIRECT($A$1&amp;"!$P$2:$P$999"),"&gt;=49")</f>
        <v>0</v>
      </c>
      <c r="H34" s="1">
        <f ca="1">AVERAGEIFS(INDIRECT($A$1&amp;"!$S$2:$S$999"),INDIRECT($A$1&amp;"!$Q$2:$Q$999"),"&gt;=5.1",INDIRECT($A$1&amp;"!$Q$2:$Q$999"),"&lt;=6.2",INDIRECT($A$1&amp;"!$P$2:$P$999"),"&gt;=49")</f>
        <v>2.4500000000000002</v>
      </c>
      <c r="I34">
        <f ca="1">COUNTIFS(INDIRECT($A$1&amp;"!$Q$2:$Q$999"),"&gt;=5.1",INDIRECT($A$1&amp;"!$Q$2:$Q$999"),"&lt;=6.2",INDIRECT($A$1&amp;"!$P$2:$P$999"),"&gt;=49")</f>
        <v>4</v>
      </c>
      <c r="J34" s="1">
        <f ca="1">AVERAGEIFS(INDIRECT($A$1&amp;"!$S$2:$S$999"),INDIRECT($A$1&amp;"!$Q$2:$Q$999"),"&gt;=6.3",INDIRECT($A$1&amp;"!$P$2:$P$999"),"&gt;=49")</f>
        <v>2.2150000000000003</v>
      </c>
      <c r="K34">
        <f ca="1">COUNTIFS(INDIRECT($A$1&amp;"!$Q$2:$Q$999"),"&gt;=6.3",INDIRECT($A$1&amp;"!$P$2:$P$999"),"&gt;=49")</f>
        <v>8</v>
      </c>
    </row>
    <row r="35" spans="1:11" x14ac:dyDescent="0.2">
      <c r="A35" s="8" t="s">
        <v>151</v>
      </c>
      <c r="B35" s="9">
        <f ca="1">AVERAGEIFS(INDIRECT($A$1&amp;"!$S$2:$S$999"),INDIRECT($A$1&amp;"!$K$2:$K$999"),"YES")</f>
        <v>2.2250000000000001</v>
      </c>
      <c r="C35" s="8">
        <f ca="1">COUNTIF(INDIRECT($A$1&amp;"!$K$2:$K$999"),"YES")</f>
        <v>8</v>
      </c>
      <c r="D35" s="9" t="e">
        <f ca="1">AVERAGEIFS(INDIRECT($A$1&amp;"!$S$2:$S$999"),INDIRECT($A$1&amp;"!$Q$2:$Q$999"),"&lt;=4",INDIRECT($A$1&amp;"!$K$2:$K$999"),"YES")</f>
        <v>#DIV/0!</v>
      </c>
      <c r="E35" s="8">
        <f ca="1">COUNTIFS(INDIRECT($A$1&amp;"!$Q$2:$Q$999"),"&lt;=4",INDIRECT($A$1&amp;"!$K$2:$K$999"),"YES")</f>
        <v>0</v>
      </c>
      <c r="F35" s="9">
        <f ca="1">AVERAGEIFS(INDIRECT($A$1&amp;"!$S$2:$S$999"),INDIRECT($A$1&amp;"!$Q$2:$Q$999"),"&gt;=4.1",INDIRECT($A$1&amp;"!$Q$2:$Q$999"),"&lt;=5",INDIRECT($A$1&amp;"!$K$2:$K$999"),"YES")</f>
        <v>2.25</v>
      </c>
      <c r="G35" s="8">
        <f ca="1">COUNTIFS(INDIRECT($A$1&amp;"!$Q$2:$Q$999"),"&gt;=4.1",INDIRECT($A$1&amp;"!$Q$2:$Q$999"),"&lt;=5",INDIRECT($A$1&amp;"!$K$2:$K$999"),"YES")</f>
        <v>2</v>
      </c>
      <c r="H35" s="9" t="e">
        <f ca="1">AVERAGEIFS(INDIRECT($A$1&amp;"!$S$2:$S$999"),INDIRECT($A$1&amp;"!$Q$2:$Q$999"),"&gt;=5.1",INDIRECT($A$1&amp;"!$Q$2:$Q$999"),"&lt;=6.2",INDIRECT($A$1&amp;"!$K$2:$K$999"),"YES")</f>
        <v>#DIV/0!</v>
      </c>
      <c r="I35" s="8">
        <f ca="1">COUNTIFS(INDIRECT($A$1&amp;"!$Q$2:$Q$999"),"&gt;=5.1",INDIRECT($A$1&amp;"!$Q$2:$Q$999"),"&lt;=6.2",INDIRECT($A$1&amp;"!$K$2:$K$999"),"YES")</f>
        <v>0</v>
      </c>
      <c r="J35" s="9">
        <f ca="1">AVERAGEIFS(INDIRECT($A$1&amp;"!$S$2:$S$999"),INDIRECT($A$1&amp;"!$Q$2:$Q$999"),"&gt;=6.3",INDIRECT($A$1&amp;"!$K$2:$K$999"),"YES")</f>
        <v>2.2000000000000002</v>
      </c>
      <c r="K35" s="8">
        <f ca="1">COUNTIFS(INDIRECT($A$1&amp;"!$Q$2:$Q$999"),"&gt;=6.3",INDIRECT($A$1&amp;"!$K$2:$K$999"),"YES")</f>
        <v>6</v>
      </c>
    </row>
    <row r="36" spans="1:11" x14ac:dyDescent="0.2">
      <c r="A36" s="8" t="s">
        <v>217</v>
      </c>
      <c r="B36" s="9">
        <f ca="1">AVERAGEIFS(INDIRECT($A$1&amp;"!$S$2:$S$999"),INDIRECT($A$1&amp;"!$E$2:$E$999"),"YES",INDIRECT($A$1&amp;"!$C$2:$C$999"),"&gt;=0.01",INDIRECT($A$1&amp;"!$J$2:$J$999"),"YES")</f>
        <v>2.0875000000000004</v>
      </c>
      <c r="C36">
        <f ca="1">COUNTIFS(INDIRECT($A$1&amp;"!$E$2:$E$999"),"YES",INDIRECT($A$1&amp;"!$C$2:$C$999"),"&gt;=0.01",INDIRECT($A$1&amp;"!$J$2:$J$999"),"YES")</f>
        <v>2</v>
      </c>
      <c r="D36" s="9" t="e">
        <f ca="1">AVERAGEIFS(INDIRECT($A$1&amp;"!$S$2:$S$999"),INDIRECT($A$1&amp;"!$Q$2:$Q$999"),"&lt;=4",INDIRECT($A$1&amp;"!$E$2:$E$999"),"YES",INDIRECT($A$1&amp;"!$C$2:$C$999"),"&gt;=0.01",INDIRECT($A$1&amp;"!$J$2:$J$999"),"YES")</f>
        <v>#DIV/0!</v>
      </c>
      <c r="E36">
        <f ca="1">COUNTIFS(INDIRECT($A$1&amp;"!$Q$2:$Q$999"),"&lt;=4",INDIRECT($A$1&amp;"!$E$2:$E$999"),"YES",INDIRECT($A$1&amp;"!$C$2:$C$999"),"&gt;=0.01",INDIRECT($A$1&amp;"!$J$2:$J$999"),"YES")</f>
        <v>0</v>
      </c>
      <c r="F36" s="9">
        <f ca="1">AVERAGEIFS(INDIRECT($A$1&amp;"!$S$2:$S$999"),INDIRECT($A$1&amp;"!$Q$2:$Q$999"),"&gt;=4.1",INDIRECT($A$1&amp;"!$Q$2:$Q$999"),"&lt;=5",INDIRECT($A$1&amp;"!$E$2:$E$999"),"YES",INDIRECT($A$1&amp;"!$C$2:$C$999"),"&gt;=0.01",INDIRECT($A$1&amp;"!$J$2:$J$999"),"YES")</f>
        <v>2.7</v>
      </c>
      <c r="G36">
        <f ca="1">COUNTIFS(INDIRECT($A$1&amp;"!$Q$2:$Q$999"),"&gt;=4.1",INDIRECT($A$1&amp;"!$Q$2:$Q$999"),"&lt;=5",INDIRECT($A$1&amp;"!$E$2:$E$999"),"YES",INDIRECT($A$1&amp;"!$C$2:$C$999"),"&gt;=0.01",INDIRECT($A$1&amp;"!$J$2:$J$999"),"YES")</f>
        <v>1</v>
      </c>
      <c r="H36" s="9" t="e">
        <f ca="1">AVERAGEIFS(INDIRECT($A$1&amp;"!$S$2:$S$999"),INDIRECT($A$1&amp;"!$Q$2:$Q$999"),"&gt;=5.1",INDIRECT($A$1&amp;"!$Q$2:$Q$999"),"&lt;=6.2",INDIRECT($A$1&amp;"!$E$2:$E$999"),"YES",INDIRECT($A$1&amp;"!$C$2:$C$999"),"&gt;=0.01",INDIRECT($A$1&amp;"!$J$2:$J$999"),"YES")</f>
        <v>#DIV/0!</v>
      </c>
      <c r="I36">
        <f ca="1">COUNTIFS(INDIRECT($A$1&amp;"!$Q$2:$Q$999"),"&gt;=5.1",INDIRECT($A$1&amp;"!$Q$2:$Q$999"),"&lt;=6.2",INDIRECT($A$1&amp;"!$E$2:$E$999"),"YES",INDIRECT($A$1&amp;"!$C$2:$C$999"),"&gt;=0.01",INDIRECT($A$1&amp;"!$J$2:$J$999"),"YES")</f>
        <v>0</v>
      </c>
      <c r="J36" s="9">
        <f ca="1">AVERAGEIFS(INDIRECT($A$1&amp;"!$S$2:$S$999"),INDIRECT($A$1&amp;"!$Q$2:$Q$999"),"&gt;=6.3",INDIRECT($A$1&amp;"!$E$2:$E$999"),"YES",INDIRECT($A$1&amp;"!$C$2:$C$999"),"&gt;=0.01",INDIRECT($A$1&amp;"!$J$2:$J$999"),"YES")</f>
        <v>1.4750000000000001</v>
      </c>
      <c r="K36">
        <f ca="1">COUNTIFS(INDIRECT($A$1&amp;"!$Q$2:$Q$999"),"&gt;=6.3",INDIRECT($A$1&amp;"!$E$2:$E$999"),"YES",INDIRECT($A$1&amp;"!$C$2:$C$999"),"&gt;=0.01",INDIRECT($A$1&amp;"!$J$2:$J$999"),"YES")</f>
        <v>1</v>
      </c>
    </row>
    <row r="37" spans="1:11" x14ac:dyDescent="0.2">
      <c r="A37" s="8" t="s">
        <v>214</v>
      </c>
      <c r="B37" s="9">
        <f ca="1">AVERAGEIFS(INDIRECT($A$1&amp;"!$S$2:$S$999"),INDIRECT($A$1&amp;"!$E$2:$E$999"),"YES",INDIRECT($A$1&amp;"!$J$2:$J$999"),"YES")</f>
        <v>2.0583333333333336</v>
      </c>
      <c r="C37">
        <f ca="1">COUNTIFS(INDIRECT($A$1&amp;"!$E$2:$E$999"),"YES",INDIRECT($A$1&amp;"!$J$2:$J$999"),"YES")</f>
        <v>6</v>
      </c>
      <c r="D37" s="9" t="e">
        <f ca="1">AVERAGEIFS(INDIRECT($A$1&amp;"!$S$2:$S$999"),INDIRECT($A$1&amp;"!$Q$2:$Q$999"),"&lt;=4",INDIRECT($A$1&amp;"!$E$2:$E$999"),"YES",INDIRECT($A$1&amp;"!$J$2:$J$999"),"YES")</f>
        <v>#DIV/0!</v>
      </c>
      <c r="E37">
        <f ca="1">COUNTIFS(INDIRECT($A$1&amp;"!$Q$2:$Q$999"),"&lt;=4",INDIRECT($A$1&amp;"!$E$2:$E$999"),"YES",INDIRECT($A$1&amp;"!$J$2:$J$999"),"YES")</f>
        <v>0</v>
      </c>
      <c r="F37" s="9">
        <f ca="1">AVERAGEIFS(INDIRECT($A$1&amp;"!$S$2:$S$999"),INDIRECT($A$1&amp;"!$Q$2:$Q$999"),"&gt;=4.1",INDIRECT($A$1&amp;"!$Q$2:$Q$999"),"&lt;=5",INDIRECT($A$1&amp;"!$E$2:$E$999"),"YES",INDIRECT($A$1&amp;"!$J$2:$J$999"),"YES")</f>
        <v>2.7</v>
      </c>
      <c r="G37">
        <f ca="1">COUNTIFS(INDIRECT($A$1&amp;"!$Q$2:$Q$999"),"&gt;=4.1",INDIRECT($A$1&amp;"!$Q$2:$Q$999"),"&lt;=5",INDIRECT($A$1&amp;"!$E$2:$E$999"),"YES",INDIRECT($A$1&amp;"!$J$2:$J$999"),"YES")</f>
        <v>1</v>
      </c>
      <c r="H37" s="9" t="e">
        <f ca="1">AVERAGEIFS(INDIRECT($A$1&amp;"!$S$2:$S$999"),INDIRECT($A$1&amp;"!$Q$2:$Q$999"),"&gt;=5.1",INDIRECT($A$1&amp;"!$Q$2:$Q$999"),"&lt;=6.2",INDIRECT($A$1&amp;"!$E$2:$E$999"),"YES",INDIRECT($A$1&amp;"!$J$2:$J$999"),"YES")</f>
        <v>#DIV/0!</v>
      </c>
      <c r="I37">
        <f ca="1">COUNTIFS(INDIRECT($A$1&amp;"!$Q$2:$Q$999"),"&gt;=5.1",INDIRECT($A$1&amp;"!$Q$2:$Q$999"),"&lt;=6.2",INDIRECT($A$1&amp;"!$E$2:$E$999"),"YES",INDIRECT($A$1&amp;"!$J$2:$J$999"),"YES")</f>
        <v>1</v>
      </c>
      <c r="J37" s="9">
        <f ca="1">AVERAGEIFS(INDIRECT($A$1&amp;"!$S$2:$S$999"),INDIRECT($A$1&amp;"!$Q$2:$Q$999"),"&gt;=6.3",INDIRECT($A$1&amp;"!$E$2:$E$999"),"YES",INDIRECT($A$1&amp;"!$J$2:$J$999"),"YES")</f>
        <v>1.7375</v>
      </c>
      <c r="K37">
        <f ca="1">COUNTIFS(INDIRECT($A$1&amp;"!$Q$2:$Q$999"),"&gt;=6.3",INDIRECT($A$1&amp;"!$E$2:$E$999"),"YES",INDIRECT($A$1&amp;"!$J$2:$J$999"),"YES")</f>
        <v>4</v>
      </c>
    </row>
    <row r="38" spans="1:11" x14ac:dyDescent="0.2">
      <c r="A38" s="8" t="s">
        <v>113</v>
      </c>
      <c r="B38" s="9">
        <f ca="1">AVERAGEIFS(INDIRECT($A$1&amp;"!$S$2:$S$999"),INDIRECT($A$1&amp;"!$E$2:$E$999"),"YES",INDIRECT($A$1&amp;"!$F$2:$F$999"),"UP")</f>
        <v>1.7375</v>
      </c>
      <c r="C38">
        <f ca="1">COUNTIFS(INDIRECT($A$1&amp;"!$E$2:$E$999"),"YES",INDIRECT($A$1&amp;"!$F$2:$F$999"),"UP")</f>
        <v>24</v>
      </c>
      <c r="D38" s="9" t="e">
        <f ca="1">AVERAGEIFS(INDIRECT($A$1&amp;"!$S$2:$S$999"),INDIRECT($A$1&amp;"!$Q$2:$Q$999"),"&lt;=4",INDIRECT($A$1&amp;"!$E$2:$E$999"),"YES",INDIRECT($A$1&amp;"!$F$2:$F$999"),"UP")</f>
        <v>#DIV/0!</v>
      </c>
      <c r="E38">
        <f ca="1">COUNTIFS(INDIRECT($A$1&amp;"!$Q$2:$Q$999"),"&lt;=4",INDIRECT($A$1&amp;"!$E$2:$E$999"),"YES",INDIRECT($A$1&amp;"!$F$2:$F$999"),"UP")</f>
        <v>0</v>
      </c>
      <c r="F38" s="9" t="e">
        <f ca="1">AVERAGEIFS(INDIRECT($A$1&amp;"!$S$2:$S$999"),INDIRECT($A$1&amp;"!$Q$2:$Q$999"),"&gt;=4.1",INDIRECT($A$1&amp;"!$Q$2:$Q$999"),"&lt;=5",INDIRECT($A$1&amp;"!$E$2:$E$999"),"YES",INDIRECT($A$1&amp;"!$F$2:$F$999"),"UP")</f>
        <v>#DIV/0!</v>
      </c>
      <c r="G38">
        <f ca="1">COUNTIFS(INDIRECT($A$1&amp;"!$Q$2:$Q$999"),"&gt;=4.1",INDIRECT($A$1&amp;"!$Q$2:$Q$999"),"&lt;=5",INDIRECT($A$1&amp;"!$E$2:$E$999"),"YES",INDIRECT($A$1&amp;"!$F$2:$F$999"),"UP")</f>
        <v>0</v>
      </c>
      <c r="H38" s="9" t="e">
        <f ca="1">AVERAGEIFS(INDIRECT($A$1&amp;"!$S$2:$S$999"),INDIRECT($A$1&amp;"!$Q$2:$Q$999"),"&gt;=5.1",INDIRECT($A$1&amp;"!$Q$2:$Q$999"),"&lt;=6.2",INDIRECT($A$1&amp;"!$E$2:$E$999"),"YES",INDIRECT($A$1&amp;"!$F$2:$F$999"),"UP")</f>
        <v>#DIV/0!</v>
      </c>
      <c r="I38">
        <f ca="1">COUNTIFS(INDIRECT($A$1&amp;"!$Q$2:$Q$999"),"&gt;=5.1",INDIRECT($A$1&amp;"!$Q$2:$Q$999"),"&lt;=6.2",INDIRECT($A$1&amp;"!$E$2:$E$999"),"YES",INDIRECT($A$1&amp;"!$F$2:$F$999"),"UP")</f>
        <v>1</v>
      </c>
      <c r="J38" s="9">
        <f ca="1">AVERAGEIFS(INDIRECT($A$1&amp;"!$S$2:$S$999"),INDIRECT($A$1&amp;"!$Q$2:$Q$999"),"&gt;=6.3",INDIRECT($A$1&amp;"!$E$2:$E$999"),"YES",INDIRECT($A$1&amp;"!$F$2:$F$999"),"UP")</f>
        <v>1.7375</v>
      </c>
      <c r="K38">
        <f ca="1">COUNTIFS(INDIRECT($A$1&amp;"!$Q$2:$Q$999"),"&gt;=6.3",INDIRECT($A$1&amp;"!$E$2:$E$999"),"YES",INDIRECT($A$1&amp;"!$F$2:$F$999"),"UP")</f>
        <v>3</v>
      </c>
    </row>
    <row r="39" spans="1:11" x14ac:dyDescent="0.2">
      <c r="A39" s="8" t="s">
        <v>222</v>
      </c>
      <c r="B39" s="9">
        <f ca="1">AVERAGEIFS(INDIRECT($A$1&amp;"!$S$2:$S$999"),INDIRECT($A$1&amp;"!$E$2:$E$999"),"YES",INDIRECT($A$1&amp;"!$F$2:$F$999"),"UP",INDIRECT($A$1&amp;"!$J$2:$J$999"),"YES")</f>
        <v>1.7375</v>
      </c>
      <c r="C39">
        <f ca="1">COUNTIFS(INDIRECT($A$1&amp;"!$E$2:$E$999"),"YES",INDIRECT($A$1&amp;"!$F$2:$F$999"),"UP",INDIRECT($A$1&amp;"!$J$2:$J$999"),"YES")</f>
        <v>3</v>
      </c>
      <c r="D39" s="9" t="e">
        <f ca="1">AVERAGEIFS(INDIRECT($A$1&amp;"!$S$2:$S$999"),INDIRECT($A$1&amp;"!$Q$2:$Q$999"),"&lt;=4",INDIRECT($A$1&amp;"!$E$2:$E$999"),"YES",INDIRECT($A$1&amp;"!$F$2:$F$999"),"UP",INDIRECT($A$1&amp;"!$J$2:$J$999"),"YES")</f>
        <v>#DIV/0!</v>
      </c>
      <c r="E39">
        <f ca="1">COUNTIFS(INDIRECT($A$1&amp;"!$Q$2:$Q$999"),"&lt;=4",INDIRECT($A$1&amp;"!$E$2:$E$999"),"YES",INDIRECT($A$1&amp;"!$F$2:$F$999"),"UP",INDIRECT($A$1&amp;"!$J$2:$J$999"),"YES")</f>
        <v>0</v>
      </c>
      <c r="F39" s="9" t="e">
        <f ca="1">AVERAGEIFS(INDIRECT($A$1&amp;"!$S$2:$S$999"),INDIRECT($A$1&amp;"!$Q$2:$Q$999"),"&gt;=4.1",INDIRECT($A$1&amp;"!$Q$2:$Q$999"),"&lt;=5",INDIRECT($A$1&amp;"!$E$2:$E$999"),"YES",INDIRECT($A$1&amp;"!$F$2:$F$999"),"UP",INDIRECT($A$1&amp;"!$J$2:$J$999"),"YES")</f>
        <v>#DIV/0!</v>
      </c>
      <c r="G39">
        <f ca="1">COUNTIFS(INDIRECT($A$1&amp;"!$Q$2:$Q$999"),"&gt;=4.1",INDIRECT($A$1&amp;"!$Q$2:$Q$999"),"&lt;=5",INDIRECT($A$1&amp;"!$E$2:$E$999"),"YES",INDIRECT($A$1&amp;"!$F$2:$F$999"),"UP",INDIRECT($A$1&amp;"!$J$2:$J$999"),"YES")</f>
        <v>0</v>
      </c>
      <c r="H39" s="9" t="e">
        <f ca="1">AVERAGEIFS(INDIRECT($A$1&amp;"!$S$2:$S$999"),INDIRECT($A$1&amp;"!$Q$2:$Q$999"),"&gt;=5.1",INDIRECT($A$1&amp;"!$Q$2:$Q$999"),"&lt;=6.2",INDIRECT($A$1&amp;"!$E$2:$E$999"),"YES",INDIRECT($A$1&amp;"!$F$2:$F$999"),"UP",INDIRECT($A$1&amp;"!$J$2:$J$999"),"YES")</f>
        <v>#DIV/0!</v>
      </c>
      <c r="I39">
        <f ca="1">COUNTIFS(INDIRECT($A$1&amp;"!$Q$2:$Q$999"),"&gt;=5.1",INDIRECT($A$1&amp;"!$Q$2:$Q$999"),"&lt;=6.2",INDIRECT($A$1&amp;"!$E$2:$E$999"),"YES",INDIRECT($A$1&amp;"!$F$2:$F$999"),"UP",INDIRECT($A$1&amp;"!$J$2:$J$999"),"YES")</f>
        <v>1</v>
      </c>
      <c r="J39" s="9">
        <f ca="1">AVERAGEIFS(INDIRECT($A$1&amp;"!$S$2:$S$999"),INDIRECT($A$1&amp;"!$Q$2:$Q$999"),"&gt;=6.3",INDIRECT($A$1&amp;"!$E$2:$E$999"),"YES",INDIRECT($A$1&amp;"!$F$2:$F$999"),"UP",INDIRECT($A$1&amp;"!$J$2:$J$999"),"YES")</f>
        <v>1.7375</v>
      </c>
      <c r="K39">
        <f ca="1">COUNTIFS(INDIRECT($A$1&amp;"!$Q$2:$Q$999"),"&gt;=6.3",INDIRECT($A$1&amp;"!$E$2:$E$999"),"YES",INDIRECT($A$1&amp;"!$F$2:$F$999"),"UP",INDIRECT($A$1&amp;"!$J$2:$J$999"),"YES")</f>
        <v>2</v>
      </c>
    </row>
    <row r="40" spans="1:11" x14ac:dyDescent="0.2">
      <c r="A40" s="8" t="s">
        <v>199</v>
      </c>
      <c r="B40" s="9">
        <f ca="1">AVERAGEIFS(INDIRECT($A$1&amp;"!$S$2:$S$999"),INDIRECT($A$1&amp;"!$F$2:$F$999"),"UP")</f>
        <v>1.6678459119496856</v>
      </c>
      <c r="C40" s="8">
        <f ca="1">COUNTIF(INDIRECT($A$1&amp;"!$F$2:$F$999"),"UP")</f>
        <v>128</v>
      </c>
      <c r="D40" s="9" t="e">
        <f ca="1">AVERAGEIFS(INDIRECT($A$1&amp;"!$S$2:$S$999"),INDIRECT($A$1&amp;"!$Q$2:$Q$999"),"&lt;=4",INDIRECT($A$1&amp;"!$F$2:$F$999"),"UP")</f>
        <v>#DIV/0!</v>
      </c>
      <c r="E40" s="8">
        <f ca="1">COUNTIFS(INDIRECT($A$1&amp;"!$Q$2:$Q$999"),"&lt;=4",INDIRECT($A$1&amp;"!$F$2:$F$999"),"UP")</f>
        <v>0</v>
      </c>
      <c r="F40" s="9" t="e">
        <f ca="1">AVERAGEIFS(INDIRECT($A$1&amp;"!$S$2:$S$999"),INDIRECT($A$1&amp;"!$Q$2:$Q$999"),"&gt;=4.1",INDIRECT($A$1&amp;"!$Q$2:$Q$999"),"&lt;=5",INDIRECT($A$1&amp;"!$F$2:$F$999"),"UP")</f>
        <v>#DIV/0!</v>
      </c>
      <c r="G40" s="8">
        <f ca="1">COUNTIFS(INDIRECT($A$1&amp;"!$Q$2:$Q$999"),"&gt;=4.1",INDIRECT($A$1&amp;"!$Q$2:$Q$999"),"&lt;=5",INDIRECT($A$1&amp;"!$F$2:$F$999"),"UP")</f>
        <v>0</v>
      </c>
      <c r="H40" s="9">
        <f ca="1">AVERAGEIFS(INDIRECT($A$1&amp;"!$S$2:$S$999"),INDIRECT($A$1&amp;"!$Q$2:$Q$999"),"&gt;=5.1",INDIRECT($A$1&amp;"!$Q$2:$Q$999"),"&lt;=6.2",INDIRECT($A$1&amp;"!$F$2:$F$999"),"UP")</f>
        <v>1.2106918238993709</v>
      </c>
      <c r="I40" s="8">
        <f ca="1">COUNTIFS(INDIRECT($A$1&amp;"!$Q$2:$Q$999"),"&gt;=5.1",INDIRECT($A$1&amp;"!$Q$2:$Q$999"),"&lt;=6.2",INDIRECT($A$1&amp;"!$F$2:$F$999"),"UP")</f>
        <v>4</v>
      </c>
      <c r="J40" s="9">
        <f ca="1">AVERAGEIFS(INDIRECT($A$1&amp;"!$S$2:$S$999"),INDIRECT($A$1&amp;"!$Q$2:$Q$999"),"&gt;=6.3",INDIRECT($A$1&amp;"!$F$2:$F$999"),"UP")</f>
        <v>2.125</v>
      </c>
      <c r="K40" s="8">
        <f ca="1">COUNTIFS(INDIRECT($A$1&amp;"!$Q$2:$Q$999"),"&gt;=6.3",INDIRECT($A$1&amp;"!$F$2:$F$999"),"UP")</f>
        <v>4</v>
      </c>
    </row>
    <row r="41" spans="1:11" x14ac:dyDescent="0.2">
      <c r="A41" s="9" t="s">
        <v>215</v>
      </c>
      <c r="B41" s="9">
        <f ca="1">AVERAGEIFS(INDIRECT($A$1&amp;"!$S$2:$S$999"),INDIRECT($A$1&amp;"!$D$2:$D$999"),"YES",INDIRECT($A$1&amp;"!$J$2:$J$999"),"YES")</f>
        <v>1.625</v>
      </c>
      <c r="C41">
        <f ca="1">COUNTIFS(INDIRECT($A$1&amp;"!$D$2:$D$999"),"YES",INDIRECT($A$1&amp;"!$J$2:$J$999"),"YES")</f>
        <v>3</v>
      </c>
      <c r="D41" s="9" t="e">
        <f ca="1">AVERAGEIFS(INDIRECT($A$1&amp;"!$S$2:$S$999"),INDIRECT($A$1&amp;"!$Q$2:$Q$999"),"&lt;=4",INDIRECT($A$1&amp;"!$D$2:$D$999"),"YES",INDIRECT($A$1&amp;"!$J$2:$J$999"),"YES")</f>
        <v>#DIV/0!</v>
      </c>
      <c r="E41">
        <f ca="1">COUNTIFS(INDIRECT($A$1&amp;"!$Q$2:$Q$999"),"&lt;=4",INDIRECT($A$1&amp;"!$D$2:$D$999"),"YES",INDIRECT($A$1&amp;"!$J$2:$J$999"),"YES")</f>
        <v>0</v>
      </c>
      <c r="F41" s="9" t="e">
        <f ca="1">AVERAGEIFS(INDIRECT($A$1&amp;"!$S$2:$S$999"),INDIRECT($A$1&amp;"!$Q$2:$Q$999"),"&gt;=4.1",INDIRECT($A$1&amp;"!$Q$2:$Q$999"),"&lt;=5",INDIRECT($A$1&amp;"!$D$2:$D$999"),"YES",INDIRECT($A$1&amp;"!$J$2:$J$999"),"YES")</f>
        <v>#DIV/0!</v>
      </c>
      <c r="G41">
        <f ca="1">COUNTIFS(INDIRECT($A$1&amp;"!$Q$2:$Q$999"),"&gt;=4.1",INDIRECT($A$1&amp;"!$Q$2:$Q$999"),"&lt;=5",INDIRECT($A$1&amp;"!$D$2:$D$999"),"YES",INDIRECT($A$1&amp;"!$J$2:$J$999"),"YES")</f>
        <v>0</v>
      </c>
      <c r="H41" s="9">
        <f ca="1">AVERAGEIFS(INDIRECT($A$1&amp;"!$S$2:$S$999"),INDIRECT($A$1&amp;"!$Q$2:$Q$999"),"&gt;=5.1",INDIRECT($A$1&amp;"!$Q$2:$Q$999"),"&lt;=6.2",INDIRECT($A$1&amp;"!$D$2:$D$999"),"YES",INDIRECT($A$1&amp;"!$J$2:$J$999"),"YES")</f>
        <v>1.7</v>
      </c>
      <c r="I41">
        <f ca="1">COUNTIFS(INDIRECT($A$1&amp;"!$Q$2:$Q$999"),"&gt;=5.1",INDIRECT($A$1&amp;"!$Q$2:$Q$999"),"&lt;=6.2",INDIRECT($A$1&amp;"!$D$2:$D$999"),"YES",INDIRECT($A$1&amp;"!$J$2:$J$999"),"YES")</f>
        <v>2</v>
      </c>
      <c r="J41" s="9">
        <f ca="1">AVERAGEIFS(INDIRECT($A$1&amp;"!$S$2:$S$999"),INDIRECT($A$1&amp;"!$Q$2:$Q$999"),"&gt;=6.3",INDIRECT($A$1&amp;"!$D$2:$D$999"),"YES",INDIRECT($A$1&amp;"!$J$2:$J$999"),"YES")</f>
        <v>1.4750000000000001</v>
      </c>
      <c r="K41">
        <f ca="1">COUNTIFS(INDIRECT($A$1&amp;"!$Q$2:$Q$999"),"&gt;=6.3",INDIRECT($A$1&amp;"!$D$2:$D$999"),"YES",INDIRECT($A$1&amp;"!$J$2:$J$999"),"YES")</f>
        <v>1</v>
      </c>
    </row>
    <row r="42" spans="1:11" x14ac:dyDescent="0.2">
      <c r="A42" s="9" t="s">
        <v>218</v>
      </c>
      <c r="B42" s="9">
        <f ca="1">AVERAGEIFS(INDIRECT($A$1&amp;"!$S$2:$S$999"),INDIRECT($A$1&amp;"!$D$2:$D$999"),"YES",INDIRECT($A$1&amp;"!$J$2:$J$999"),"YES")</f>
        <v>1.625</v>
      </c>
      <c r="C42">
        <f ca="1">COUNTIFS(INDIRECT($A$1&amp;"!$D$2:$D$999"),"YES",INDIRECT($A$1&amp;"!$C$2:$C$999"),"&gt;=0.01",INDIRECT($A$1&amp;"!$J$2:$J$999"),"YES")</f>
        <v>2</v>
      </c>
      <c r="D42" s="9" t="e">
        <f ca="1">AVERAGEIFS(INDIRECT($A$1&amp;"!$S$2:$S$999"),INDIRECT($A$1&amp;"!$Q$2:$Q$999"),"&lt;=4",INDIRECT($A$1&amp;"!$D$2:$D$999"),"YES",INDIRECT($A$1&amp;"!$C$2:$C$999"),"&gt;=0.01",INDIRECT($A$1&amp;"!$J$2:$J$999"),"YES")</f>
        <v>#DIV/0!</v>
      </c>
      <c r="E42">
        <f ca="1">COUNTIFS(INDIRECT($A$1&amp;"!$Q$2:$Q$999"),"&lt;=4",INDIRECT($A$1&amp;"!$D$2:$D$999"),"YES",INDIRECT($A$1&amp;"!$C$2:$C$999"),"&gt;=0.01",INDIRECT($A$1&amp;"!$J$2:$J$999"),"YES")</f>
        <v>0</v>
      </c>
      <c r="F42" s="9" t="e">
        <f ca="1">AVERAGEIFS(INDIRECT($A$1&amp;"!$S$2:$S$999"),INDIRECT($A$1&amp;"!$Q$2:$Q$999"),"&gt;=4.1",INDIRECT($A$1&amp;"!$Q$2:$Q$999"),"&lt;=5",INDIRECT($A$1&amp;"!$D$2:$D$999"),"YES",INDIRECT($A$1&amp;"!$C$2:$C$999"),"&gt;=0.01",INDIRECT($A$1&amp;"!$J$2:$J$999"),"YES")</f>
        <v>#DIV/0!</v>
      </c>
      <c r="G42">
        <f ca="1">COUNTIFS(INDIRECT($A$1&amp;"!$Q$2:$Q$999"),"&gt;=4.1",INDIRECT($A$1&amp;"!$Q$2:$Q$999"),"&lt;=5",INDIRECT($A$1&amp;"!$D$2:$D$999"),"YES",INDIRECT($A$1&amp;"!$C$2:$C$999"),"&gt;=0.01",INDIRECT($A$1&amp;"!$J$2:$J$999"),"YES")</f>
        <v>0</v>
      </c>
      <c r="H42" s="9">
        <f ca="1">AVERAGEIFS(INDIRECT($A$1&amp;"!$S$2:$S$999"),INDIRECT($A$1&amp;"!$Q$2:$Q$999"),"&gt;=5.1",INDIRECT($A$1&amp;"!$Q$2:$Q$999"),"&lt;=6.2",INDIRECT($A$1&amp;"!$D$2:$D$999"),"YES",INDIRECT($A$1&amp;"!$C$2:$C$999"),"&gt;=0.01",INDIRECT($A$1&amp;"!$J$2:$J$999"),"YES")</f>
        <v>3</v>
      </c>
      <c r="I42">
        <f ca="1">COUNTIFS(INDIRECT($A$1&amp;"!$Q$2:$Q$999"),"&gt;=5.1",INDIRECT($A$1&amp;"!$Q$2:$Q$999"),"&lt;=6.2",INDIRECT($A$1&amp;"!$D$2:$D$999"),"YES",INDIRECT($A$1&amp;"!$C$2:$C$999"),"&gt;=0.01",INDIRECT($A$1&amp;"!$J$2:$J$999"),"YES")</f>
        <v>1</v>
      </c>
      <c r="J42" s="9">
        <f ca="1">AVERAGEIFS(INDIRECT($A$1&amp;"!$S$2:$S$999"),INDIRECT($A$1&amp;"!$Q$2:$Q$999"),"&gt;=6.3",INDIRECT($A$1&amp;"!$D$2:$D$999"),"YES",INDIRECT($A$1&amp;"!$C$2:$C$999"),"&gt;=0.01",INDIRECT($A$1&amp;"!$J$2:$J$999"),"YES")</f>
        <v>1.4750000000000001</v>
      </c>
      <c r="K42">
        <f ca="1">COUNTIFS(INDIRECT($A$1&amp;"!$Q$2:$Q$999"),"&gt;=6.3",INDIRECT($A$1&amp;"!$D$2:$D$999"),"YES",INDIRECT($A$1&amp;"!$C$2:$C$999"),"&gt;=0.01",INDIRECT($A$1&amp;"!$J$2:$J$999"),"YES")</f>
        <v>1</v>
      </c>
    </row>
    <row r="43" spans="1:11" x14ac:dyDescent="0.2">
      <c r="A43" s="8" t="s">
        <v>221</v>
      </c>
      <c r="B43" s="9">
        <f ca="1">AVERAGEIFS(INDIRECT($A$1&amp;"!$S$2:$S$999"),INDIRECT($A$1&amp;"!$F$2:$F$999"),"UP",INDIRECT($A$1&amp;"!$J$2:$J$999"),"YES")</f>
        <v>1.4937499999999999</v>
      </c>
      <c r="C43" s="8">
        <f ca="1">COUNTIFS(INDIRECT($A$1&amp;"!$F$2:$F$999"),"UP",INDIRECT($A$1&amp;"!$J$2:$J$999"),"YES")</f>
        <v>5</v>
      </c>
      <c r="D43" s="9" t="e">
        <f ca="1">AVERAGEIFS(INDIRECT($A$1&amp;"!$S$2:$S$999"),INDIRECT($A$1&amp;"!$Q$2:$Q$999"),"&lt;=4",INDIRECT($A$1&amp;"!$F$2:$F$999"),"UP",INDIRECT($A$1&amp;"!$J$2:$J$999"),"YES")</f>
        <v>#DIV/0!</v>
      </c>
      <c r="E43" s="8">
        <f ca="1">COUNTIFS(INDIRECT($A$1&amp;"!$Q$2:$Q$999"),"&lt;=4",INDIRECT($A$1&amp;"!$F$2:$F$999"),"UP",INDIRECT($A$1&amp;"!$J$2:$J$999"),"YES")</f>
        <v>0</v>
      </c>
      <c r="F43" s="9" t="e">
        <f ca="1">AVERAGEIFS(INDIRECT($A$1&amp;"!$S$2:$S$999"),INDIRECT($A$1&amp;"!$Q$2:$Q$999"),"&gt;=4.1",INDIRECT($A$1&amp;"!$Q$2:$Q$999"),"&lt;=5",INDIRECT($A$1&amp;"!$F$2:$F$999"),"UP",INDIRECT($A$1&amp;"!$J$2:$J$999"),"YES")</f>
        <v>#DIV/0!</v>
      </c>
      <c r="G43" s="8">
        <f ca="1">COUNTIFS(INDIRECT($A$1&amp;"!$Q$2:$Q$999"),"&gt;=4.1",INDIRECT($A$1&amp;"!$Q$2:$Q$999"),"&lt;=5",INDIRECT($A$1&amp;"!$F$2:$F$999"),"UP",INDIRECT($A$1&amp;"!$J$2:$J$999"),"YES")</f>
        <v>0</v>
      </c>
      <c r="H43" s="9">
        <f ca="1">AVERAGEIFS(INDIRECT($A$1&amp;"!$S$2:$S$999"),INDIRECT($A$1&amp;"!$Q$2:$Q$999"),"&gt;=5.1",INDIRECT($A$1&amp;"!$Q$2:$Q$999"),"&lt;=6.2",INDIRECT($A$1&amp;"!$F$2:$F$999"),"UP",INDIRECT($A$1&amp;"!$J$2:$J$999"),"YES")</f>
        <v>1.25</v>
      </c>
      <c r="I43" s="8">
        <f ca="1">COUNTIFS(INDIRECT($A$1&amp;"!$Q$2:$Q$999"),"&gt;=5.1",INDIRECT($A$1&amp;"!$Q$2:$Q$999"),"&lt;=6.2",INDIRECT($A$1&amp;"!$F$2:$F$999"),"UP",INDIRECT($A$1&amp;"!$J$2:$J$999"),"YES")</f>
        <v>3</v>
      </c>
      <c r="J43" s="9">
        <f ca="1">AVERAGEIFS(INDIRECT($A$1&amp;"!$S$2:$S$999"),INDIRECT($A$1&amp;"!$Q$2:$Q$999"),"&gt;=6.3",INDIRECT($A$1&amp;"!$F$2:$F$999"),"UP",INDIRECT($A$1&amp;"!$J$2:$J$999"),"YES")</f>
        <v>1.7375</v>
      </c>
      <c r="K43" s="8">
        <f ca="1">COUNTIFS(INDIRECT($A$1&amp;"!$Q$2:$Q$999"),"&gt;=6.3",INDIRECT($A$1&amp;"!$F$2:$F$999"),"UP",INDIRECT($A$1&amp;"!$J$2:$J$999"),"YES")</f>
        <v>2</v>
      </c>
    </row>
    <row r="44" spans="1:11" x14ac:dyDescent="0.2">
      <c r="A44" s="9" t="s">
        <v>112</v>
      </c>
      <c r="B44" s="9">
        <f ca="1">AVERAGEIFS(INDIRECT($A$1&amp;"!$S$2:$S$999"),INDIRECT($A$1&amp;"!$D$2:$D$999"),"YES",INDIRECT($A$1&amp;"!$F$2:$F$999"),"UP")</f>
        <v>1.4767688679245283</v>
      </c>
      <c r="C44">
        <f ca="1">COUNTIFS(INDIRECT($A$1&amp;"!$D$2:$D$999"),"YES",INDIRECT($A$1&amp;"!$F$2:$F$999"),"UP")</f>
        <v>29</v>
      </c>
      <c r="D44" s="9" t="e">
        <f ca="1">AVERAGEIFS(INDIRECT($A$1&amp;"!$S$2:$S$999"),INDIRECT($A$1&amp;"!$Q$2:$Q$999"),"&lt;=4",INDIRECT($A$1&amp;"!$D$2:$D$999"),"YES",INDIRECT($A$1&amp;"!$F$2:$F$999"),"UP")</f>
        <v>#DIV/0!</v>
      </c>
      <c r="E44">
        <f ca="1">COUNTIFS(INDIRECT($A$1&amp;"!$Q$2:$Q$999"),"&lt;=4",INDIRECT($A$1&amp;"!$D$2:$D$999"),"YES",INDIRECT($A$1&amp;"!$F$2:$F$999"),"UP")</f>
        <v>0</v>
      </c>
      <c r="F44" s="9" t="e">
        <f ca="1">AVERAGEIFS(INDIRECT($A$1&amp;"!$S$2:$S$999"),INDIRECT($A$1&amp;"!$Q$2:$Q$999"),"&gt;=4.1",INDIRECT($A$1&amp;"!$Q$2:$Q$999"),"&lt;=5",INDIRECT($A$1&amp;"!$D$2:$D$999"),"YES",INDIRECT($A$1&amp;"!$F$2:$F$999"),"UP")</f>
        <v>#DIV/0!</v>
      </c>
      <c r="G44">
        <f ca="1">COUNTIFS(INDIRECT($A$1&amp;"!$Q$2:$Q$999"),"&gt;=4.1",INDIRECT($A$1&amp;"!$Q$2:$Q$999"),"&lt;=5",INDIRECT($A$1&amp;"!$D$2:$D$999"),"YES",INDIRECT($A$1&amp;"!$F$2:$F$999"),"UP")</f>
        <v>0</v>
      </c>
      <c r="H44" s="9">
        <f ca="1">AVERAGEIFS(INDIRECT($A$1&amp;"!$S$2:$S$999"),INDIRECT($A$1&amp;"!$Q$2:$Q$999"),"&gt;=5.1",INDIRECT($A$1&amp;"!$Q$2:$Q$999"),"&lt;=6.2",INDIRECT($A$1&amp;"!$D$2:$D$999"),"YES",INDIRECT($A$1&amp;"!$F$2:$F$999"),"UP")</f>
        <v>0.76603773584905666</v>
      </c>
      <c r="I44">
        <f ca="1">COUNTIFS(INDIRECT($A$1&amp;"!$Q$2:$Q$999"),"&gt;=5.1",INDIRECT($A$1&amp;"!$Q$2:$Q$999"),"&lt;=6.2",INDIRECT($A$1&amp;"!$D$2:$D$999"),"YES",INDIRECT($A$1&amp;"!$F$2:$F$999"),"UP")</f>
        <v>2</v>
      </c>
      <c r="J44" s="9">
        <f ca="1">AVERAGEIFS(INDIRECT($A$1&amp;"!$S$2:$S$999"),INDIRECT($A$1&amp;"!$Q$2:$Q$999"),"&gt;=6.3",INDIRECT($A$1&amp;"!$D$2:$D$999"),"YES",INDIRECT($A$1&amp;"!$F$2:$F$999"),"UP")</f>
        <v>2.1875</v>
      </c>
      <c r="K44">
        <f ca="1">COUNTIFS(INDIRECT($A$1&amp;"!$Q$2:$Q$999"),"&gt;=6.3",INDIRECT($A$1&amp;"!$D$2:$D$999"),"YES",INDIRECT($A$1&amp;"!$F$2:$F$999"),"UP")</f>
        <v>3</v>
      </c>
    </row>
    <row r="45" spans="1:11" x14ac:dyDescent="0.2">
      <c r="A45" s="8" t="s">
        <v>200</v>
      </c>
      <c r="B45" s="9">
        <f ca="1">AVERAGEIFS(INDIRECT($A$1&amp;"!$S$2:$S$999"),INDIRECT($A$1&amp;"!$E$2:$E$999"),"YES",INDIRECT($A$1&amp;"!$D$2:$D$999"),"YES",INDIRECT($A$1&amp;"!$F$2:$F$999"),"UP")</f>
        <v>1.4750000000000001</v>
      </c>
      <c r="C45">
        <f ca="1">COUNTIFS(INDIRECT($A$1&amp;"!$E$2:$E$999"),"YES",INDIRECT($A$1&amp;"!$D$2:$D$999"),"YES",INDIRECT($A$1&amp;"!$F$2:$F$999"),"UP")</f>
        <v>8</v>
      </c>
      <c r="D45" s="9" t="e">
        <f ca="1">AVERAGEIFS(INDIRECT($A$1&amp;"!$S$2:$S$999"),INDIRECT($A$1&amp;"!$Q$2:$Q$999"),"&lt;=4",INDIRECT($A$1&amp;"!$E$2:$E$999"),"YES",INDIRECT($A$1&amp;"!$D$2:$D$999"),"YES",INDIRECT($A$1&amp;"!$F$2:$F$999"),"UP")</f>
        <v>#DIV/0!</v>
      </c>
      <c r="E45">
        <f ca="1">COUNTIFS(INDIRECT($A$1&amp;"!$Q$2:$Q$999"),"&lt;=4",INDIRECT($A$1&amp;"!$E$2:$E$999"),"YES",INDIRECT($A$1&amp;"!$D$2:$D$999"),"YES",INDIRECT($A$1&amp;"!$F$2:$F$999"),"UP")</f>
        <v>0</v>
      </c>
      <c r="F45" s="9" t="e">
        <f ca="1">AVERAGEIFS(INDIRECT($A$1&amp;"!$S$2:$S$999"),INDIRECT($A$1&amp;"!$Q$2:$Q$999"),"&gt;=4.1",INDIRECT($A$1&amp;"!$Q$2:$Q$999"),"&lt;=5",INDIRECT($A$1&amp;"!$E$2:$E$999"),"YES",INDIRECT($A$1&amp;"!$D$2:$D$999"),"YES",INDIRECT($A$1&amp;"!$F$2:$F$999"),"UP")</f>
        <v>#DIV/0!</v>
      </c>
      <c r="G45">
        <f ca="1">COUNTIFS(INDIRECT($A$1&amp;"!$Q$2:$Q$999"),"&gt;=4.1",INDIRECT($A$1&amp;"!$Q$2:$Q$999"),"&lt;=5",INDIRECT($A$1&amp;"!$E$2:$E$999"),"YES",INDIRECT($A$1&amp;"!$D$2:$D$999"),"YES",INDIRECT($A$1&amp;"!$F$2:$F$999"),"UP")</f>
        <v>0</v>
      </c>
      <c r="H45" s="9" t="e">
        <f ca="1">AVERAGEIFS(INDIRECT($A$1&amp;"!$S$2:$S$999"),INDIRECT($A$1&amp;"!$Q$2:$Q$999"),"&gt;=5.1",INDIRECT($A$1&amp;"!$Q$2:$Q$999"),"&lt;=6.2",INDIRECT($A$1&amp;"!$E$2:$E$999"),"YES",INDIRECT($A$1&amp;"!$D$2:$D$999"),"YES",INDIRECT($A$1&amp;"!$F$2:$F$999"),"UP")</f>
        <v>#DIV/0!</v>
      </c>
      <c r="I45">
        <f ca="1">COUNTIFS(INDIRECT($A$1&amp;"!$Q$2:$Q$999"),"&gt;=5.1",INDIRECT($A$1&amp;"!$Q$2:$Q$999"),"&lt;=6.2",INDIRECT($A$1&amp;"!$E$2:$E$999"),"YES",INDIRECT($A$1&amp;"!$D$2:$D$999"),"YES",INDIRECT($A$1&amp;"!$F$2:$F$999"),"UP")</f>
        <v>0</v>
      </c>
      <c r="J45" s="9">
        <f ca="1">AVERAGEIFS(INDIRECT($A$1&amp;"!$S$2:$S$999"),INDIRECT($A$1&amp;"!$Q$2:$Q$999"),"&gt;=6.3",INDIRECT($A$1&amp;"!$E$2:$E$999"),"YES",INDIRECT($A$1&amp;"!$D$2:$D$999"),"YES",INDIRECT($A$1&amp;"!$F$2:$F$999"),"UP")</f>
        <v>1.4750000000000001</v>
      </c>
      <c r="K45">
        <f ca="1">COUNTIFS(INDIRECT($A$1&amp;"!$Q$2:$Q$999"),"&gt;=6.3",INDIRECT($A$1&amp;"!$E$2:$E$999"),"YES",INDIRECT($A$1&amp;"!$D$2:$D$999"),"YES",INDIRECT($A$1&amp;"!$F$2:$F$999"),"UP")</f>
        <v>2</v>
      </c>
    </row>
    <row r="46" spans="1:11" x14ac:dyDescent="0.2">
      <c r="A46" s="8" t="s">
        <v>201</v>
      </c>
      <c r="B46" s="9">
        <f ca="1">AVERAGEIFS(INDIRECT($A$1&amp;"!$S$2:$S$999"),INDIRECT($A$1&amp;"!$E$2:$E$999"),"YES",INDIRECT($A$1&amp;"!$D$2:$D$999"),"YES",INDIRECT($A$1&amp;"!$F$2:$F$999"),"UP")</f>
        <v>1.4750000000000001</v>
      </c>
      <c r="C46">
        <f ca="1">COUNTIFS(INDIRECT($A$1&amp;"!$E$2:$E$999"),"YES",INDIRECT($A$1&amp;"!$D$2:$D$999"),"YES",INDIRECT($A$1&amp;"!$C$2:$C$999"),"&gt;=0.01",INDIRECT($A$1&amp;"!$F$2:$F$999"),"UP")</f>
        <v>2</v>
      </c>
      <c r="D46" s="9" t="e">
        <f ca="1">AVERAGEIFS(INDIRECT($A$1&amp;"!$S$2:$S$999"),INDIRECT($A$1&amp;"!$Q$2:$Q$999"),"&lt;=4",INDIRECT($A$1&amp;"!$E$2:$E$999"),"YES",INDIRECT($A$1&amp;"!$D$2:$D$999"),"YES",INDIRECT($A$1&amp;"!$C$2:$C$999"),"&gt;=0.01",INDIRECT($A$1&amp;"!$F$2:$F$999"),"UP")</f>
        <v>#DIV/0!</v>
      </c>
      <c r="E46">
        <f ca="1">COUNTIFS(INDIRECT($A$1&amp;"!$Q$2:$Q$999"),"&lt;=4",INDIRECT($A$1&amp;"!$E$2:$E$999"),"YES",INDIRECT($A$1&amp;"!$D$2:$D$999"),"YES",INDIRECT($A$1&amp;"!$C$2:$C$999"),"&gt;=0.01",INDIRECT($A$1&amp;"!$F$2:$F$999"),"UP")</f>
        <v>0</v>
      </c>
      <c r="F46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F$2:$F$999"),"UP")</f>
        <v>#DIV/0!</v>
      </c>
      <c r="G46">
        <f ca="1">COUNTIFS(INDIRECT($A$1&amp;"!$Q$2:$Q$999"),"&gt;=4.1",INDIRECT($A$1&amp;"!$Q$2:$Q$999"),"&lt;=5",INDIRECT($A$1&amp;"!$E$2:$E$999"),"YES",INDIRECT($A$1&amp;"!$D$2:$D$999"),"YES",INDIRECT($A$1&amp;"!$C$2:$C$999"),"&gt;=0.01",INDIRECT($A$1&amp;"!$F$2:$F$999"),"UP")</f>
        <v>0</v>
      </c>
      <c r="H46" s="9" t="e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F$2:$F$999"),"UP")</f>
        <v>#DIV/0!</v>
      </c>
      <c r="I46">
        <f ca="1">COUNTIFS(INDIRECT($A$1&amp;"!$Q$2:$Q$999"),"&gt;=5.1",INDIRECT($A$1&amp;"!$Q$2:$Q$999"),"&lt;=6.2",INDIRECT($A$1&amp;"!$E$2:$E$999"),"YES",INDIRECT($A$1&amp;"!$D$2:$D$999"),"YES",INDIRECT($A$1&amp;"!$C$2:$C$999"),"&gt;=0.01",INDIRECT($A$1&amp;"!$F$2:$F$999"),"UP")</f>
        <v>0</v>
      </c>
      <c r="J46" s="9">
        <f ca="1">AVERAGEIFS(INDIRECT($A$1&amp;"!$S$2:$S$999"),INDIRECT($A$1&amp;"!$Q$2:$Q$999"),"&gt;=6.3",INDIRECT($A$1&amp;"!$E$2:$E$999"),"YES",INDIRECT($A$1&amp;"!$D$2:$D$999"),"YES",INDIRECT($A$1&amp;"!$C$2:$C$999"),"&gt;=0.01",INDIRECT($A$1&amp;"!$F$2:$F$999"),"UP")</f>
        <v>1.4750000000000001</v>
      </c>
      <c r="K46">
        <f ca="1">COUNTIFS(INDIRECT($A$1&amp;"!$Q$2:$Q$999"),"&gt;=6.3",INDIRECT($A$1&amp;"!$E$2:$E$999"),"YES",INDIRECT($A$1&amp;"!$D$2:$D$999"),"YES",INDIRECT($A$1&amp;"!$C$2:$C$999"),"&gt;=0.01",INDIRECT($A$1&amp;"!$F$2:$F$999"),"UP")</f>
        <v>2</v>
      </c>
    </row>
    <row r="47" spans="1:11" x14ac:dyDescent="0.2">
      <c r="A47" s="8" t="s">
        <v>216</v>
      </c>
      <c r="B47" s="9">
        <f ca="1">AVERAGEIFS(INDIRECT($A$1&amp;"!$S$2:$S$999"),INDIRECT($A$1&amp;"!$E$2:$E$999"),"YES",INDIRECT($A$1&amp;"!$D$2:$D$999"),"YES",INDIRECT($A$1&amp;"!$J$2:$J$999"),"YES")</f>
        <v>1.4750000000000001</v>
      </c>
      <c r="C47">
        <f ca="1">COUNTIFS(INDIRECT($A$1&amp;"!$E$2:$E$999"),"YES",INDIRECT($A$1&amp;"!$D$2:$D$999"),"YES",INDIRECT($A$1&amp;"!$J$2:$J$999"),"YES")</f>
        <v>1</v>
      </c>
      <c r="D47" s="9" t="e">
        <f ca="1">AVERAGEIFS(INDIRECT($A$1&amp;"!$S$2:$S$999"),INDIRECT($A$1&amp;"!$Q$2:$Q$999"),"&lt;=4",INDIRECT($A$1&amp;"!$E$2:$E$999"),"YES",INDIRECT($A$1&amp;"!$D$2:$D$999"),"YES",INDIRECT($A$1&amp;"!$J$2:$J$999"),"YES")</f>
        <v>#DIV/0!</v>
      </c>
      <c r="E47">
        <f ca="1">COUNTIFS(INDIRECT($A$1&amp;"!$Q$2:$Q$999"),"&lt;=4",INDIRECT($A$1&amp;"!$E$2:$E$999"),"YES",INDIRECT($A$1&amp;"!$D$2:$D$999"),"YES",INDIRECT($A$1&amp;"!$J$2:$J$999"),"YES")</f>
        <v>0</v>
      </c>
      <c r="F47" s="9" t="e">
        <f ca="1">AVERAGEIFS(INDIRECT($A$1&amp;"!$S$2:$S$999"),INDIRECT($A$1&amp;"!$Q$2:$Q$999"),"&gt;=4.1",INDIRECT($A$1&amp;"!$Q$2:$Q$999"),"&lt;=5",INDIRECT($A$1&amp;"!$E$2:$E$999"),"YES",INDIRECT($A$1&amp;"!$D$2:$D$999"),"YES",INDIRECT($A$1&amp;"!$J$2:$J$999"),"YES")</f>
        <v>#DIV/0!</v>
      </c>
      <c r="G47">
        <f ca="1">COUNTIFS(INDIRECT($A$1&amp;"!$Q$2:$Q$999"),"&gt;=4.1",INDIRECT($A$1&amp;"!$Q$2:$Q$999"),"&lt;=5",INDIRECT($A$1&amp;"!$E$2:$E$999"),"YES",INDIRECT($A$1&amp;"!$D$2:$D$999"),"YES",INDIRECT($A$1&amp;"!$J$2:$J$999"),"YES")</f>
        <v>0</v>
      </c>
      <c r="H47" s="9" t="e">
        <f ca="1">AVERAGEIFS(INDIRECT($A$1&amp;"!$S$2:$S$999"),INDIRECT($A$1&amp;"!$Q$2:$Q$999"),"&gt;=5.1",INDIRECT($A$1&amp;"!$Q$2:$Q$999"),"&lt;=6.2",INDIRECT($A$1&amp;"!$E$2:$E$999"),"YES",INDIRECT($A$1&amp;"!$D$2:$D$999"),"YES",INDIRECT($A$1&amp;"!$J$2:$J$999"),"YES")</f>
        <v>#DIV/0!</v>
      </c>
      <c r="I47">
        <f ca="1">COUNTIFS(INDIRECT($A$1&amp;"!$Q$2:$Q$999"),"&gt;=5.1",INDIRECT($A$1&amp;"!$Q$2:$Q$999"),"&lt;=6.2",INDIRECT($A$1&amp;"!$E$2:$E$999"),"YES",INDIRECT($A$1&amp;"!$D$2:$D$999"),"YES",INDIRECT($A$1&amp;"!$J$2:$J$999"),"YES")</f>
        <v>0</v>
      </c>
      <c r="J47" s="9">
        <f ca="1">AVERAGEIFS(INDIRECT($A$1&amp;"!$S$2:$S$999"),INDIRECT($A$1&amp;"!$Q$2:$Q$999"),"&gt;=6.3",INDIRECT($A$1&amp;"!$E$2:$E$999"),"YES",INDIRECT($A$1&amp;"!$D$2:$D$999"),"YES",INDIRECT($A$1&amp;"!$J$2:$J$999"),"YES")</f>
        <v>1.4750000000000001</v>
      </c>
      <c r="K47">
        <f ca="1">COUNTIFS(INDIRECT($A$1&amp;"!$Q$2:$Q$999"),"&gt;=6.3",INDIRECT($A$1&amp;"!$E$2:$E$999"),"YES",INDIRECT($A$1&amp;"!$D$2:$D$999"),"YES",INDIRECT($A$1&amp;"!$J$2:$J$999"),"YES")</f>
        <v>1</v>
      </c>
    </row>
    <row r="48" spans="1:11" x14ac:dyDescent="0.2">
      <c r="A48" s="8" t="s">
        <v>219</v>
      </c>
      <c r="B48" s="9">
        <f ca="1">AVERAGEIFS(INDIRECT($A$1&amp;"!$S$2:$S$999"),INDIRECT($A$1&amp;"!$E$2:$E$999"),"YES",INDIRECT($A$1&amp;"!$D$2:$D$999"),"YES",INDIRECT($A$1&amp;"!$J$2:$J$999"),"YES")</f>
        <v>1.4750000000000001</v>
      </c>
      <c r="C48">
        <f ca="1">COUNTIFS(INDIRECT($A$1&amp;"!$E$2:$E$999"),"YES",INDIRECT($A$1&amp;"!$D$2:$D$999"),"YES",INDIRECT($A$1&amp;"!$C$2:$C$999"),"&gt;=0.01",INDIRECT($A$1&amp;"!$J$2:$J$999"),"YES")</f>
        <v>1</v>
      </c>
      <c r="D48" s="9" t="e">
        <f ca="1">AVERAGEIFS(INDIRECT($A$1&amp;"!$S$2:$S$999"),INDIRECT($A$1&amp;"!$Q$2:$Q$999"),"&lt;=4",INDIRECT($A$1&amp;"!$E$2:$E$999"),"YES",INDIRECT($A$1&amp;"!$D$2:$D$999"),"YES",INDIRECT($A$1&amp;"!$C$2:$C$999"),"&gt;=0.01",INDIRECT($A$1&amp;"!$J$2:$J$999"),"YES")</f>
        <v>#DIV/0!</v>
      </c>
      <c r="E48">
        <f ca="1">COUNTIFS(INDIRECT($A$1&amp;"!$Q$2:$Q$999"),"&lt;=4",INDIRECT($A$1&amp;"!$E$2:$E$999"),"YES",INDIRECT($A$1&amp;"!$D$2:$D$999"),"YES",INDIRECT($A$1&amp;"!$C$2:$C$999"),"&gt;=0.01",INDIRECT($A$1&amp;"!$J$2:$J$999"),"YES")</f>
        <v>0</v>
      </c>
      <c r="F48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J$2:$J$999"),"YES")</f>
        <v>#DIV/0!</v>
      </c>
      <c r="G48">
        <f ca="1">COUNTIFS(INDIRECT($A$1&amp;"!$Q$2:$Q$999"),"&gt;=4.1",INDIRECT($A$1&amp;"!$Q$2:$Q$999"),"&lt;=5",INDIRECT($A$1&amp;"!$E$2:$E$999"),"YES",INDIRECT($A$1&amp;"!$D$2:$D$999"),"YES",INDIRECT($A$1&amp;"!$C$2:$C$999"),"&gt;=0.01",INDIRECT($A$1&amp;"!$J$2:$J$999"),"YES")</f>
        <v>0</v>
      </c>
      <c r="H48" s="9" t="e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J$2:$J$999"),"YES")</f>
        <v>#DIV/0!</v>
      </c>
      <c r="I48">
        <f ca="1">COUNTIFS(INDIRECT($A$1&amp;"!$Q$2:$Q$999"),"&gt;=5.1",INDIRECT($A$1&amp;"!$Q$2:$Q$999"),"&lt;=6.2",INDIRECT($A$1&amp;"!$E$2:$E$999"),"YES",INDIRECT($A$1&amp;"!$D$2:$D$999"),"YES",INDIRECT($A$1&amp;"!$C$2:$C$999"),"&gt;=0.01",INDIRECT($A$1&amp;"!$J$2:$J$999"),"YES")</f>
        <v>0</v>
      </c>
      <c r="J48" s="9">
        <f ca="1">AVERAGEIFS(INDIRECT($A$1&amp;"!$S$2:$S$999"),INDIRECT($A$1&amp;"!$Q$2:$Q$999"),"&gt;=6.3",INDIRECT($A$1&amp;"!$E$2:$E$999"),"YES",INDIRECT($A$1&amp;"!$D$2:$D$999"),"YES",INDIRECT($A$1&amp;"!$C$2:$C$999"),"&gt;=0.01",INDIRECT($A$1&amp;"!$J$2:$J$999"),"YES")</f>
        <v>1.4750000000000001</v>
      </c>
      <c r="K48">
        <f ca="1">COUNTIFS(INDIRECT($A$1&amp;"!$Q$2:$Q$999"),"&gt;=6.3",INDIRECT($A$1&amp;"!$E$2:$E$999"),"YES",INDIRECT($A$1&amp;"!$D$2:$D$999"),"YES",INDIRECT($A$1&amp;"!$C$2:$C$999"),"&gt;=0.01",INDIRECT($A$1&amp;"!$J$2:$J$999"),"YES")</f>
        <v>1</v>
      </c>
    </row>
    <row r="49" spans="1:11" x14ac:dyDescent="0.2">
      <c r="A49" s="8" t="s">
        <v>224</v>
      </c>
      <c r="B49" s="9">
        <f ca="1">AVERAGEIFS(INDIRECT($A$1&amp;"!$S$2:$S$999"),INDIRECT($A$1&amp;"!$E$2:$E$999"),"YES",INDIRECT($A$1&amp;"!$D$2:$D$999"),"YES",INDIRECT($A$1&amp;"!$F$2:$F$999"),"UP",INDIRECT($A$1&amp;"!$J$2:$J$999"),"YES")</f>
        <v>1.4750000000000001</v>
      </c>
      <c r="C49">
        <f ca="1">COUNTIFS(INDIRECT($A$1&amp;"!$E$2:$E$999"),"YES",INDIRECT($A$1&amp;"!$D$2:$D$999"),"YES",INDIRECT($A$1&amp;"!$F$2:$F$999"),"UP",INDIRECT($A$1&amp;"!$J$2:$J$999"),"YES")</f>
        <v>1</v>
      </c>
      <c r="D49" s="9" t="e">
        <f ca="1">AVERAGEIFS(INDIRECT($A$1&amp;"!$S$2:$S$999"),INDIRECT($A$1&amp;"!$Q$2:$Q$999"),"&lt;=4",INDIRECT($A$1&amp;"!$E$2:$E$999"),"YES",INDIRECT($A$1&amp;"!$D$2:$D$999"),"YES",INDIRECT($A$1&amp;"!$F$2:$F$999"),"UP",INDIRECT($A$1&amp;"!$J$2:$J$999"),"YES")</f>
        <v>#DIV/0!</v>
      </c>
      <c r="E49">
        <f ca="1">COUNTIFS(INDIRECT($A$1&amp;"!$Q$2:$Q$999"),"&lt;=4",INDIRECT($A$1&amp;"!$E$2:$E$999"),"YES",INDIRECT($A$1&amp;"!$D$2:$D$999"),"YES",INDIRECT($A$1&amp;"!$F$2:$F$999"),"UP",INDIRECT($A$1&amp;"!$J$2:$J$999"),"YES")</f>
        <v>0</v>
      </c>
      <c r="F49" s="9" t="e">
        <f ca="1">AVERAGEIFS(INDIRECT($A$1&amp;"!$S$2:$S$999"),INDIRECT($A$1&amp;"!$Q$2:$Q$999"),"&gt;=4.1",INDIRECT($A$1&amp;"!$Q$2:$Q$999"),"&lt;=5",INDIRECT($A$1&amp;"!$E$2:$E$999"),"YES",INDIRECT($A$1&amp;"!$D$2:$D$999"),"YES",INDIRECT($A$1&amp;"!$F$2:$F$999"),"UP",INDIRECT($A$1&amp;"!$J$2:$J$999"),"YES")</f>
        <v>#DIV/0!</v>
      </c>
      <c r="G49">
        <f ca="1">COUNTIFS(INDIRECT($A$1&amp;"!$Q$2:$Q$999"),"&gt;=4.1",INDIRECT($A$1&amp;"!$Q$2:$Q$999"),"&lt;=5",INDIRECT($A$1&amp;"!$E$2:$E$999"),"YES",INDIRECT($A$1&amp;"!$D$2:$D$999"),"YES",INDIRECT($A$1&amp;"!$F$2:$F$999"),"UP",INDIRECT($A$1&amp;"!$J$2:$J$999"),"YES")</f>
        <v>0</v>
      </c>
      <c r="H49" s="9" t="e">
        <f ca="1">AVERAGEIFS(INDIRECT($A$1&amp;"!$S$2:$S$999"),INDIRECT($A$1&amp;"!$Q$2:$Q$999"),"&gt;=5.1",INDIRECT($A$1&amp;"!$Q$2:$Q$999"),"&lt;=6.2",INDIRECT($A$1&amp;"!$E$2:$E$999"),"YES",INDIRECT($A$1&amp;"!$D$2:$D$999"),"YES",INDIRECT($A$1&amp;"!$F$2:$F$999"),"UP",INDIRECT($A$1&amp;"!$J$2:$J$999"),"YES")</f>
        <v>#DIV/0!</v>
      </c>
      <c r="I49">
        <f ca="1">COUNTIFS(INDIRECT($A$1&amp;"!$Q$2:$Q$999"),"&gt;=5.1",INDIRECT($A$1&amp;"!$Q$2:$Q$999"),"&lt;=6.2",INDIRECT($A$1&amp;"!$E$2:$E$999"),"YES",INDIRECT($A$1&amp;"!$D$2:$D$999"),"YES",INDIRECT($A$1&amp;"!$F$2:$F$999"),"UP",INDIRECT($A$1&amp;"!$J$2:$J$999"),"YES")</f>
        <v>0</v>
      </c>
      <c r="J49" s="9">
        <f ca="1">AVERAGEIFS(INDIRECT($A$1&amp;"!$S$2:$S$999"),INDIRECT($A$1&amp;"!$Q$2:$Q$999"),"&gt;=6.3",INDIRECT($A$1&amp;"!$E$2:$E$999"),"YES",INDIRECT($A$1&amp;"!$D$2:$D$999"),"YES",INDIRECT($A$1&amp;"!$F$2:$F$999"),"UP",INDIRECT($A$1&amp;"!$J$2:$J$999"),"YES")</f>
        <v>1.4750000000000001</v>
      </c>
      <c r="K49">
        <f ca="1">COUNTIFS(INDIRECT($A$1&amp;"!$Q$2:$Q$999"),"&gt;=6.3",INDIRECT($A$1&amp;"!$E$2:$E$999"),"YES",INDIRECT($A$1&amp;"!$D$2:$D$999"),"YES",INDIRECT($A$1&amp;"!$F$2:$F$999"),"UP",INDIRECT($A$1&amp;"!$J$2:$J$999"),"YES")</f>
        <v>1</v>
      </c>
    </row>
    <row r="50" spans="1:11" x14ac:dyDescent="0.2">
      <c r="A50" s="8" t="s">
        <v>225</v>
      </c>
      <c r="B50" s="9">
        <f ca="1">AVERAGEIFS(INDIRECT($A$1&amp;"!$S$2:$S$999"),INDIRECT($A$1&amp;"!$E$2:$E$999"),"YES",INDIRECT($A$1&amp;"!$D$2:$D$999"),"YES",INDIRECT($A$1&amp;"!$F$2:$F$999"),"UP",INDIRECT($A$1&amp;"!$J$2:$J$999"),"YES")</f>
        <v>1.4750000000000001</v>
      </c>
      <c r="C50">
        <f ca="1">COUNTIFS(INDIRECT($A$1&amp;"!$E$2:$E$999"),"YES",INDIRECT($A$1&amp;"!$D$2:$D$999"),"YES",INDIRECT($A$1&amp;"!$C$2:$C$999"),"&gt;=0.01",INDIRECT($A$1&amp;"!$F$2:$F$999"),"UP",INDIRECT($A$1&amp;"!$J$2:$J$999"),"YES")</f>
        <v>1</v>
      </c>
      <c r="D50" s="9" t="e">
        <f ca="1">AVERAGEIFS(INDIRECT($A$1&amp;"!$S$2:$S$999"),INDIRECT($A$1&amp;"!$Q$2:$Q$999"),"&lt;=4",INDIRECT($A$1&amp;"!$E$2:$E$999"),"YES",INDIRECT($A$1&amp;"!$D$2:$D$999"),"YES",INDIRECT($A$1&amp;"!$C$2:$C$999"),"&gt;=0.01",INDIRECT($A$1&amp;"!$F$2:$F$999"),"UP",INDIRECT($A$1&amp;"!$J$2:$J$999"),"YES")</f>
        <v>#DIV/0!</v>
      </c>
      <c r="E50">
        <f ca="1">COUNTIFS(INDIRECT($A$1&amp;"!$Q$2:$Q$999"),"&lt;=4",INDIRECT($A$1&amp;"!$E$2:$E$999"),"YES",INDIRECT($A$1&amp;"!$D$2:$D$999"),"YES",INDIRECT($A$1&amp;"!$C$2:$C$999"),"&gt;=0.01",INDIRECT($A$1&amp;"!$F$2:$F$999"),"UP",INDIRECT($A$1&amp;"!$J$2:$J$999"),"YES")</f>
        <v>0</v>
      </c>
      <c r="F50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F$2:$F$999"),"UP",INDIRECT($A$1&amp;"!$J$2:$J$999"),"YES")</f>
        <v>#DIV/0!</v>
      </c>
      <c r="G50">
        <f ca="1">COUNTIFS(INDIRECT($A$1&amp;"!$Q$2:$Q$999"),"&gt;=4.1",INDIRECT($A$1&amp;"!$Q$2:$Q$999"),"&lt;=5",INDIRECT($A$1&amp;"!$E$2:$E$999"),"YES",INDIRECT($A$1&amp;"!$D$2:$D$999"),"YES",INDIRECT($A$1&amp;"!$C$2:$C$999"),"&gt;=0.01",INDIRECT($A$1&amp;"!$F$2:$F$999"),"UP",INDIRECT($A$1&amp;"!$J$2:$J$999"),"YES")</f>
        <v>0</v>
      </c>
      <c r="H50" s="9" t="e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F$2:$F$999"),"UP",INDIRECT($A$1&amp;"!$J$2:$J$999"),"YES")</f>
        <v>#DIV/0!</v>
      </c>
      <c r="I50">
        <f ca="1">COUNTIFS(INDIRECT($A$1&amp;"!$Q$2:$Q$999"),"&gt;=5.1",INDIRECT($A$1&amp;"!$Q$2:$Q$999"),"&lt;=6.2",INDIRECT($A$1&amp;"!$E$2:$E$999"),"YES",INDIRECT($A$1&amp;"!$D$2:$D$999"),"YES",INDIRECT($A$1&amp;"!$C$2:$C$999"),"&gt;=0.01",INDIRECT($A$1&amp;"!$F$2:$F$999"),"UP",INDIRECT($A$1&amp;"!$J$2:$J$999"),"YES")</f>
        <v>0</v>
      </c>
      <c r="J50" s="9">
        <f ca="1">AVERAGEIFS(INDIRECT($A$1&amp;"!$S$2:$S$999"),INDIRECT($A$1&amp;"!$Q$2:$Q$999"),"&gt;=6.3",INDIRECT($A$1&amp;"!$E$2:$E$999"),"YES",INDIRECT($A$1&amp;"!$D$2:$D$999"),"YES",INDIRECT($A$1&amp;"!$C$2:$C$999"),"&gt;=0.01",INDIRECT($A$1&amp;"!$F$2:$F$999"),"UP",INDIRECT($A$1&amp;"!$J$2:$J$999"),"YES")</f>
        <v>1.4750000000000001</v>
      </c>
      <c r="K50">
        <f ca="1">COUNTIFS(INDIRECT($A$1&amp;"!$Q$2:$Q$999"),"&gt;=6.3",INDIRECT($A$1&amp;"!$E$2:$E$999"),"YES",INDIRECT($A$1&amp;"!$D$2:$D$999"),"YES",INDIRECT($A$1&amp;"!$C$2:$C$999"),"&gt;=0.01",INDIRECT($A$1&amp;"!$F$2:$F$999"),"UP",INDIRECT($A$1&amp;"!$J$2:$J$999"),"YES")</f>
        <v>1</v>
      </c>
    </row>
    <row r="51" spans="1:11" x14ac:dyDescent="0.2">
      <c r="A51" s="9" t="s">
        <v>223</v>
      </c>
      <c r="B51" s="9">
        <f ca="1">AVERAGEIFS(INDIRECT($A$1&amp;"!$S$2:$S$999"),INDIRECT($A$1&amp;"!$D$2:$D$999"),"YES",INDIRECT($A$1&amp;"!$F$2:$F$999"),"UP",INDIRECT($A$1&amp;"!$J$2:$J$999"),"YES")</f>
        <v>0.9375</v>
      </c>
      <c r="C51">
        <f ca="1">COUNTIFS(INDIRECT($A$1&amp;"!$D$2:$D$999"),"YES",INDIRECT($A$1&amp;"!$F$2:$F$999"),"UP",INDIRECT($A$1&amp;"!$J$2:$J$999"),"YES")</f>
        <v>2</v>
      </c>
      <c r="D51" s="9" t="e">
        <f ca="1">AVERAGEIFS(INDIRECT($A$1&amp;"!$S$2:$S$999"),INDIRECT($A$1&amp;"!$Q$2:$Q$999"),"&lt;=4",INDIRECT($A$1&amp;"!$D$2:$D$999"),"YES",INDIRECT($A$1&amp;"!$F$2:$F$999"),"UP",INDIRECT($A$1&amp;"!$J$2:$J$999"),"YES")</f>
        <v>#DIV/0!</v>
      </c>
      <c r="E51">
        <f ca="1">COUNTIFS(INDIRECT($A$1&amp;"!$Q$2:$Q$999"),"&lt;=4",INDIRECT($A$1&amp;"!$D$2:$D$999"),"YES",INDIRECT($A$1&amp;"!$F$2:$F$999"),"UP",INDIRECT($A$1&amp;"!$J$2:$J$999"),"YES")</f>
        <v>0</v>
      </c>
      <c r="F51" s="9" t="e">
        <f ca="1">AVERAGEIFS(INDIRECT($A$1&amp;"!$S$2:$S$999"),INDIRECT($A$1&amp;"!$Q$2:$Q$999"),"&gt;=4.1",INDIRECT($A$1&amp;"!$Q$2:$Q$999"),"&lt;=5",INDIRECT($A$1&amp;"!$D$2:$D$999"),"YES",INDIRECT($A$1&amp;"!$F$2:$F$999"),"UP",INDIRECT($A$1&amp;"!$J$2:$J$999"),"YES")</f>
        <v>#DIV/0!</v>
      </c>
      <c r="G51">
        <f ca="1">COUNTIFS(INDIRECT($A$1&amp;"!$Q$2:$Q$999"),"&gt;=4.1",INDIRECT($A$1&amp;"!$Q$2:$Q$999"),"&lt;=5",INDIRECT($A$1&amp;"!$D$2:$D$999"),"YES",INDIRECT($A$1&amp;"!$F$2:$F$999"),"UP",INDIRECT($A$1&amp;"!$J$2:$J$999"),"YES")</f>
        <v>0</v>
      </c>
      <c r="H51" s="9">
        <f ca="1">AVERAGEIFS(INDIRECT($A$1&amp;"!$S$2:$S$999"),INDIRECT($A$1&amp;"!$Q$2:$Q$999"),"&gt;=5.1",INDIRECT($A$1&amp;"!$Q$2:$Q$999"),"&lt;=6.2",INDIRECT($A$1&amp;"!$D$2:$D$999"),"YES",INDIRECT($A$1&amp;"!$F$2:$F$999"),"UP",INDIRECT($A$1&amp;"!$J$2:$J$999"),"YES")</f>
        <v>0.4</v>
      </c>
      <c r="I51">
        <f ca="1">COUNTIFS(INDIRECT($A$1&amp;"!$Q$2:$Q$999"),"&gt;=5.1",INDIRECT($A$1&amp;"!$Q$2:$Q$999"),"&lt;=6.2",INDIRECT($A$1&amp;"!$D$2:$D$999"),"YES",INDIRECT($A$1&amp;"!$F$2:$F$999"),"UP",INDIRECT($A$1&amp;"!$J$2:$J$999"),"YES")</f>
        <v>1</v>
      </c>
      <c r="J51" s="9">
        <f ca="1">AVERAGEIFS(INDIRECT($A$1&amp;"!$S$2:$S$999"),INDIRECT($A$1&amp;"!$Q$2:$Q$999"),"&gt;=6.3",INDIRECT($A$1&amp;"!$D$2:$D$999"),"YES",INDIRECT($A$1&amp;"!$F$2:$F$999"),"UP",INDIRECT($A$1&amp;"!$J$2:$J$999"),"YES")</f>
        <v>1.4750000000000001</v>
      </c>
      <c r="K51">
        <f ca="1">COUNTIFS(INDIRECT($A$1&amp;"!$Q$2:$Q$999"),"&gt;=6.3",INDIRECT($A$1&amp;"!$D$2:$D$999"),"YES",INDIRECT($A$1&amp;"!$F$2:$F$999"),"UP",INDIRECT($A$1&amp;"!$J$2:$J$999"),"YES")</f>
        <v>1</v>
      </c>
    </row>
  </sheetData>
  <autoFilter ref="A1:K39" xr:uid="{19A5D168-2625-B84F-AC75-4579C3CA3DF0}">
    <sortState xmlns:xlrd2="http://schemas.microsoft.com/office/spreadsheetml/2017/richdata2" ref="A2:K51">
      <sortCondition descending="1" ref="B1:B51"/>
    </sortState>
  </autoFilter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CEF61-7F60-7B4D-BEFC-9ABF95394D13}">
  <sheetPr codeName="Sheet2"/>
  <dimension ref="A1:D4"/>
  <sheetViews>
    <sheetView workbookViewId="0">
      <selection activeCell="C5" sqref="C5"/>
    </sheetView>
  </sheetViews>
  <sheetFormatPr baseColWidth="10" defaultRowHeight="16" x14ac:dyDescent="0.2"/>
  <sheetData>
    <row r="1" spans="1:4" x14ac:dyDescent="0.2">
      <c r="B1" t="s">
        <v>191</v>
      </c>
      <c r="C1" t="s">
        <v>192</v>
      </c>
      <c r="D1" t="s">
        <v>193</v>
      </c>
    </row>
    <row r="2" spans="1:4" x14ac:dyDescent="0.2">
      <c r="A2" s="8" t="s">
        <v>198</v>
      </c>
      <c r="B2" s="9">
        <f ca="1">AVERAGEIFS(INDIRECT($B$1&amp;"!$r$2:$r$999"),INDIRECT($B$1&amp;"!$C$2:$C$999"),"&gt;=.01")</f>
        <v>16.429885057471267</v>
      </c>
      <c r="C2" s="9">
        <f ca="1">AVERAGEIFS(INDIRECT($C$1&amp;"!$r$2:$r$999"),INDIRECT($C$1&amp;"!$C$2:$C$999"),"&gt;=.01")</f>
        <v>13.726477272727267</v>
      </c>
      <c r="D2" s="9">
        <f ca="1">AVERAGEIFS(INDIRECT($D$1&amp;"!$r$2:$r$999"),INDIRECT($D$1&amp;"!$C$2:$C$999"),"&gt;=.01")</f>
        <v>10.314285714285717</v>
      </c>
    </row>
    <row r="3" spans="1:4" x14ac:dyDescent="0.2">
      <c r="A3" t="s">
        <v>418</v>
      </c>
      <c r="B3">
        <f>AVERAGE('2018 raw'!G:G)</f>
        <v>15.665624999999997</v>
      </c>
      <c r="C3">
        <f>AVERAGE('2018 raw'!H:H)</f>
        <v>10.819444444444439</v>
      </c>
      <c r="D3">
        <f>AVERAGE('2018 raw'!J:J)</f>
        <v>8.7768518518518555</v>
      </c>
    </row>
    <row r="4" spans="1:4" x14ac:dyDescent="0.2">
      <c r="A4" t="s">
        <v>419</v>
      </c>
      <c r="B4">
        <f>AVERAGE('2019 raw'!L:L)</f>
        <v>15.566121372031658</v>
      </c>
      <c r="C4">
        <f>AVERAGE('2019 raw'!O:O)</f>
        <v>12.050000000000008</v>
      </c>
      <c r="D4">
        <f>AVERAGE('2019 raw'!X:X)</f>
        <v>12.144908616187987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EBCA9-BADE-CF48-8176-6C0255DBB6CB}">
  <sheetPr codeName="Sheet11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9F20B-9196-7044-9C0F-54BE52750C76}">
  <sheetPr codeName="Sheet3"/>
  <dimension ref="A1:BA74"/>
  <sheetViews>
    <sheetView workbookViewId="0">
      <selection activeCell="B16" sqref="B16"/>
    </sheetView>
  </sheetViews>
  <sheetFormatPr baseColWidth="10" defaultRowHeight="16" x14ac:dyDescent="0.2"/>
  <cols>
    <col min="1" max="1" width="54.6640625" bestFit="1" customWidth="1"/>
    <col min="5" max="5" width="12.33203125" bestFit="1" customWidth="1"/>
    <col min="6" max="6" width="12" bestFit="1" customWidth="1"/>
    <col min="7" max="7" width="15.6640625" bestFit="1" customWidth="1"/>
    <col min="8" max="8" width="12" bestFit="1" customWidth="1"/>
    <col min="9" max="9" width="17.33203125" bestFit="1" customWidth="1"/>
    <col min="11" max="11" width="14.1640625" bestFit="1" customWidth="1"/>
  </cols>
  <sheetData>
    <row r="1" spans="1:53" x14ac:dyDescent="0.2">
      <c r="A1" t="s">
        <v>192</v>
      </c>
      <c r="B1" t="s">
        <v>29</v>
      </c>
      <c r="C1" t="s">
        <v>186</v>
      </c>
      <c r="D1" t="s">
        <v>33</v>
      </c>
      <c r="E1" t="s">
        <v>187</v>
      </c>
      <c r="F1" t="s">
        <v>36</v>
      </c>
      <c r="G1" t="s">
        <v>188</v>
      </c>
      <c r="H1" t="s">
        <v>34</v>
      </c>
      <c r="I1" t="s">
        <v>189</v>
      </c>
      <c r="J1" t="s">
        <v>185</v>
      </c>
      <c r="K1" t="s">
        <v>190</v>
      </c>
      <c r="O1" s="1"/>
      <c r="P1" s="1"/>
      <c r="Q1" s="1"/>
      <c r="R1" s="1"/>
      <c r="S1" s="8"/>
      <c r="T1" s="8"/>
      <c r="U1" s="9"/>
      <c r="V1" s="9"/>
      <c r="W1" s="9"/>
      <c r="X1" s="8"/>
      <c r="Y1" s="8"/>
      <c r="Z1" s="9"/>
      <c r="AA1" s="9"/>
      <c r="AB1" s="9"/>
      <c r="AC1" s="5"/>
      <c r="AD1" s="6"/>
      <c r="AE1" s="6"/>
      <c r="AF1" s="6"/>
      <c r="AG1" s="6"/>
      <c r="AH1" s="5"/>
      <c r="AI1" s="5"/>
      <c r="AJ1" s="6"/>
      <c r="AK1" s="6"/>
      <c r="AL1" s="6"/>
      <c r="AM1" s="5"/>
      <c r="AN1" s="5"/>
      <c r="AO1" s="6"/>
      <c r="AP1" s="6"/>
      <c r="AQ1" s="6"/>
      <c r="AR1" s="6"/>
      <c r="AS1" s="6"/>
      <c r="AT1" s="6"/>
      <c r="AU1" s="6"/>
      <c r="AV1" s="6"/>
      <c r="AW1" s="3"/>
      <c r="AX1" s="4"/>
      <c r="AY1" s="4"/>
      <c r="AZ1" s="4"/>
      <c r="BA1" s="4"/>
    </row>
    <row r="2" spans="1:53" x14ac:dyDescent="0.2">
      <c r="A2" s="8" t="s">
        <v>153</v>
      </c>
      <c r="B2" s="9" t="e">
        <f ca="1">AVERAGEIFS(INDIRECT($A$1&amp;"!$S$2:$S$999"),INDIRECT($A$1&amp;"!$J$2:$J$999"),"YES",INDIRECT($A$1&amp;"!$K$2:$K$999"),"YES",INDIRECT($A$1&amp;"!$i$2:$i$999"),"YES")</f>
        <v>#DIV/0!</v>
      </c>
      <c r="C2" s="8">
        <f ca="1">COUNTIFS(INDIRECT($A$1&amp;"!$J$2:$J$999"),"YES",INDIRECT($A$1&amp;"!$K$2:$K$999"),"YES",INDIRECT($A$1&amp;"!$i$2:$i$999"),"YES")</f>
        <v>0</v>
      </c>
      <c r="D2" s="9" t="e">
        <f ca="1">AVERAGEIFS(INDIRECT($A$1&amp;"!$S$2:$S$999"),INDIRECT($A$1&amp;"!$Q$2:$Q$999"),"&lt;=4",INDIRECT($A$1&amp;"!$J$2:$J$999"),"YES",INDIRECT($A$1&amp;"!$K$2:$K$999"),"YES",INDIRECT($A$1&amp;"!$i$2:$i$999"),"YES")</f>
        <v>#DIV/0!</v>
      </c>
      <c r="E2" s="8">
        <f ca="1">COUNTIFS(INDIRECT($A$1&amp;"!$Q$2:$Q$999"),"&lt;=4",INDIRECT($A$1&amp;"!$J$2:$J$999"),"YES",INDIRECT($A$1&amp;"!$K$2:$K$999"),"YES",INDIRECT($A$1&amp;"!$i$2:$i$999"),"YES")</f>
        <v>0</v>
      </c>
      <c r="F2" s="9" t="e">
        <f ca="1">AVERAGEIFS(INDIRECT($A$1&amp;"!$S$2:$S$999"),INDIRECT($A$1&amp;"!$Q$2:$Q$999"),"&gt;=4.1",INDIRECT($A$1&amp;"!$Q$2:$Q$999"),"&lt;=5",INDIRECT($A$1&amp;"!$J$2:$J$999"),"YES",INDIRECT($A$1&amp;"!$K$2:$K$999"),"YES",INDIRECT($A$1&amp;"!$i$2:$i$999"),"YES")</f>
        <v>#DIV/0!</v>
      </c>
      <c r="G2" s="8">
        <f ca="1">COUNTIFS(INDIRECT($A$1&amp;"!$Q$2:$Q$999"),"&gt;=4.1",INDIRECT($A$1&amp;"!$Q$2:$Q$999"),"&lt;=5",INDIRECT($A$1&amp;"!$J$2:$J$999"),"YES",INDIRECT($A$1&amp;"!$K$2:$K$999"),"YES",INDIRECT($A$1&amp;"!$i$2:$i$999"),"YES")</f>
        <v>0</v>
      </c>
      <c r="H2" s="9" t="e">
        <f ca="1">AVERAGEIFS(INDIRECT($A$1&amp;"!$S$2:$S$999"),INDIRECT($A$1&amp;"!$Q$2:$Q$999"),"&gt;=5.1",INDIRECT($A$1&amp;"!$Q$2:$Q$999"),"&lt;=6.2",INDIRECT($A$1&amp;"!$J$2:$J$999"),"YES",INDIRECT($A$1&amp;"!$K$2:$K$999"),"YES",INDIRECT($A$1&amp;"!$i$2:$i$999"),"YES")</f>
        <v>#DIV/0!</v>
      </c>
      <c r="I2" s="8">
        <f ca="1">COUNTIFS(INDIRECT($A$1&amp;"!$Q$2:$Q$999"),"&gt;=5.1",INDIRECT($A$1&amp;"!$Q$2:$Q$999"),"&lt;=6.2",INDIRECT($A$1&amp;"!$J$2:$J$999"),"YES",INDIRECT($A$1&amp;"!$K$2:$K$999"),"YES",INDIRECT($A$1&amp;"!$i$2:$i$999"),"YES")</f>
        <v>0</v>
      </c>
      <c r="J2" s="9" t="e">
        <f ca="1">AVERAGEIFS(INDIRECT($A$1&amp;"!$S$2:$S$999"),INDIRECT($A$1&amp;"!$Q$2:$Q$999"),"&gt;=6.3",INDIRECT($A$1&amp;"!$J$2:$J$999"),"YES",INDIRECT($A$1&amp;"!$K$2:$K$999"),"YES",INDIRECT($A$1&amp;"!$i$2:$i$999"),"YES")</f>
        <v>#DIV/0!</v>
      </c>
      <c r="K2" s="8">
        <f ca="1">COUNTIFS(INDIRECT($A$1&amp;"!$Q$2:$Q$999"),"&gt;=6.3",INDIRECT($A$1&amp;"!$J$2:$J$999"),"YES",INDIRECT($A$1&amp;"!$K$2:$K$999"),"YES",INDIRECT($A$1&amp;"!$i$2:$i$999"),"YES")</f>
        <v>0</v>
      </c>
      <c r="P2" s="1"/>
      <c r="Q2" s="1"/>
      <c r="R2" s="1"/>
      <c r="S2" s="8"/>
      <c r="T2" s="9"/>
      <c r="U2" s="9"/>
      <c r="V2" s="9"/>
      <c r="W2" s="9"/>
      <c r="X2" s="8"/>
      <c r="Y2" s="9"/>
      <c r="Z2" s="9"/>
      <c r="AA2" s="9"/>
      <c r="AB2" s="9"/>
      <c r="AC2" s="5"/>
      <c r="AD2" s="6"/>
      <c r="AE2" s="6"/>
      <c r="AF2" s="6"/>
      <c r="AG2" s="6"/>
      <c r="AH2" s="5"/>
      <c r="AI2" s="6"/>
      <c r="AJ2" s="6"/>
      <c r="AK2" s="6"/>
      <c r="AL2" s="6"/>
      <c r="AM2" s="5"/>
      <c r="AN2" s="6"/>
      <c r="AO2" s="6"/>
      <c r="AP2" s="6"/>
      <c r="AQ2" s="6"/>
      <c r="AR2" s="5"/>
      <c r="AS2" s="6"/>
      <c r="AT2" s="6"/>
      <c r="AU2" s="6"/>
      <c r="AV2" s="6"/>
      <c r="AW2" s="3"/>
      <c r="AX2" s="4"/>
      <c r="AY2" s="4"/>
      <c r="AZ2" s="4"/>
      <c r="BA2" s="4"/>
    </row>
    <row r="3" spans="1:53" x14ac:dyDescent="0.2">
      <c r="A3" s="8" t="s">
        <v>204</v>
      </c>
      <c r="B3" s="9" t="e">
        <f ca="1">AVERAGEIFS(INDIRECT($A$1&amp;"!$S$2:$S$999"),INDIRECT($A$1&amp;"!$E$2:$E$999"),"YES",INDIRECT($A$1&amp;"!$D$2:$D$999"),"YES",INDIRECT($A$1&amp;"!$i$2:$i$999"),"YES")</f>
        <v>#DIV/0!</v>
      </c>
      <c r="C3">
        <f ca="1">COUNTIFS(INDIRECT($A$1&amp;"!$E$2:$E$999"),"YES",INDIRECT($A$1&amp;"!$D$2:$D$999"),"YES",INDIRECT($A$1&amp;"!$i$2:$i$999"),"YES")</f>
        <v>0</v>
      </c>
      <c r="D3" s="9" t="e">
        <f ca="1">AVERAGEIFS(INDIRECT($A$1&amp;"!$S$2:$S$999"),INDIRECT($A$1&amp;"!$Q$2:$Q$999"),"&lt;=4",INDIRECT($A$1&amp;"!$E$2:$E$999"),"YES",INDIRECT($A$1&amp;"!$D$2:$D$999"),"YES",INDIRECT($A$1&amp;"!$i$2:$i$999"),"YES")</f>
        <v>#DIV/0!</v>
      </c>
      <c r="E3">
        <f ca="1">COUNTIFS(INDIRECT($A$1&amp;"!$Q$2:$Q$999"),"&lt;=4",INDIRECT($A$1&amp;"!$E$2:$E$999"),"YES",INDIRECT($A$1&amp;"!$D$2:$D$999"),"YES",INDIRECT($A$1&amp;"!$i$2:$i$999"),"YES")</f>
        <v>0</v>
      </c>
      <c r="F3" s="9" t="e">
        <f ca="1">AVERAGEIFS(INDIRECT($A$1&amp;"!$S$2:$S$999"),INDIRECT($A$1&amp;"!$Q$2:$Q$999"),"&gt;=4.1",INDIRECT($A$1&amp;"!$Q$2:$Q$999"),"&lt;=5",INDIRECT($A$1&amp;"!$E$2:$E$999"),"YES",INDIRECT($A$1&amp;"!$D$2:$D$999"),"YES",INDIRECT($A$1&amp;"!$i$2:$i$999"),"YES")</f>
        <v>#DIV/0!</v>
      </c>
      <c r="G3">
        <f ca="1">COUNTIFS(INDIRECT($A$1&amp;"!$Q$2:$Q$999"),"&gt;=4.1",INDIRECT($A$1&amp;"!$Q$2:$Q$999"),"&lt;=5",INDIRECT($A$1&amp;"!$E$2:$E$999"),"YES",INDIRECT($A$1&amp;"!$D$2:$D$999"),"YES",INDIRECT($A$1&amp;"!$i$2:$i$999"),"YES")</f>
        <v>0</v>
      </c>
      <c r="H3" s="9" t="e">
        <f ca="1">AVERAGEIFS(INDIRECT($A$1&amp;"!$S$2:$S$999"),INDIRECT($A$1&amp;"!$Q$2:$Q$999"),"&gt;=5.1",INDIRECT($A$1&amp;"!$Q$2:$Q$999"),"&lt;=6.2",INDIRECT($A$1&amp;"!$E$2:$E$999"),"YES",INDIRECT($A$1&amp;"!$D$2:$D$999"),"YES",INDIRECT($A$1&amp;"!$i$2:$i$999"),"YES")</f>
        <v>#DIV/0!</v>
      </c>
      <c r="I3">
        <f ca="1">COUNTIFS(INDIRECT($A$1&amp;"!$Q$2:$Q$999"),"&gt;=5.1",INDIRECT($A$1&amp;"!$Q$2:$Q$999"),"&lt;=6.2",INDIRECT($A$1&amp;"!$E$2:$E$999"),"YES",INDIRECT($A$1&amp;"!$D$2:$D$999"),"YES",INDIRECT($A$1&amp;"!$i$2:$i$999"),"YES")</f>
        <v>0</v>
      </c>
      <c r="J3" s="9" t="e">
        <f ca="1">AVERAGEIFS(INDIRECT($A$1&amp;"!$S$2:$S$999"),INDIRECT($A$1&amp;"!$Q$2:$Q$999"),"&gt;=6.3",INDIRECT($A$1&amp;"!$E$2:$E$999"),"YES",INDIRECT($A$1&amp;"!$D$2:$D$999"),"YES",INDIRECT($A$1&amp;"!$i$2:$i$999"),"YES")</f>
        <v>#DIV/0!</v>
      </c>
      <c r="K3">
        <f ca="1">COUNTIFS(INDIRECT($A$1&amp;"!$Q$2:$Q$999"),"&gt;=6.3",INDIRECT($A$1&amp;"!$E$2:$E$999"),"YES",INDIRECT($A$1&amp;"!$D$2:$D$999"),"YES",INDIRECT($A$1&amp;"!$i$2:$i$999"),"YES")</f>
        <v>0</v>
      </c>
      <c r="O3" s="1"/>
      <c r="P3" s="1"/>
      <c r="Q3" s="1"/>
      <c r="R3" s="1"/>
      <c r="S3" s="8"/>
      <c r="T3" s="9"/>
      <c r="U3" s="9"/>
      <c r="V3" s="9"/>
      <c r="W3" s="9"/>
      <c r="X3" s="8"/>
      <c r="Y3" s="9"/>
      <c r="Z3" s="9"/>
      <c r="AA3" s="9"/>
      <c r="AB3" s="9"/>
      <c r="AC3" s="5"/>
      <c r="AD3" s="6"/>
      <c r="AE3" s="6"/>
      <c r="AF3" s="6"/>
      <c r="AG3" s="6"/>
      <c r="AH3" s="5"/>
      <c r="AI3" s="6"/>
      <c r="AJ3" s="6"/>
      <c r="AK3" s="6"/>
      <c r="AL3" s="6"/>
      <c r="AM3" s="5"/>
      <c r="AN3" s="6"/>
      <c r="AO3" s="6"/>
      <c r="AP3" s="6"/>
      <c r="AQ3" s="6"/>
      <c r="AR3" s="5"/>
      <c r="AS3" s="6"/>
      <c r="AT3" s="6"/>
      <c r="AU3" s="6"/>
      <c r="AV3" s="6"/>
      <c r="AW3" s="3"/>
      <c r="AX3" s="4"/>
      <c r="AY3" s="4"/>
      <c r="AZ3" s="4"/>
      <c r="BA3" s="4"/>
    </row>
    <row r="4" spans="1:53" x14ac:dyDescent="0.2">
      <c r="A4" s="8" t="s">
        <v>207</v>
      </c>
      <c r="B4" s="9" t="e">
        <f ca="1">AVERAGEIFS(INDIRECT($A$1&amp;"!$S$2:$S$999"),INDIRECT($A$1&amp;"!$E$2:$E$999"),"YES",INDIRECT($A$1&amp;"!$D$2:$D$999"),"YES",INDIRECT($A$1&amp;"!$i$2:$i$999"),"YES")</f>
        <v>#DIV/0!</v>
      </c>
      <c r="C4">
        <f ca="1">COUNTIFS(INDIRECT($A$1&amp;"!$E$2:$E$999"),"YES",INDIRECT($A$1&amp;"!$D$2:$D$999"),"YES",INDIRECT($A$1&amp;"!$C$2:$C$999"),"&gt;=0.01",INDIRECT($A$1&amp;"!$i$2:$i$999"),"YES")</f>
        <v>0</v>
      </c>
      <c r="D4" s="9" t="e">
        <f ca="1">AVERAGEIFS(INDIRECT($A$1&amp;"!$S$2:$S$999"),INDIRECT($A$1&amp;"!$Q$2:$Q$999"),"&lt;=4",INDIRECT($A$1&amp;"!$E$2:$E$999"),"YES",INDIRECT($A$1&amp;"!$D$2:$D$999"),"YES",INDIRECT($A$1&amp;"!$C$2:$C$999"),"&gt;=0.01",INDIRECT($A$1&amp;"!$i$2:$i$999"),"YES")</f>
        <v>#DIV/0!</v>
      </c>
      <c r="E4">
        <f ca="1">COUNTIFS(INDIRECT($A$1&amp;"!$Q$2:$Q$999"),"&lt;=4",INDIRECT($A$1&amp;"!$E$2:$E$999"),"YES",INDIRECT($A$1&amp;"!$D$2:$D$999"),"YES",INDIRECT($A$1&amp;"!$C$2:$C$999"),"&gt;=0.01",INDIRECT($A$1&amp;"!$i$2:$i$999"),"YES")</f>
        <v>0</v>
      </c>
      <c r="F4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i$2:$i$999"),"YES")</f>
        <v>#DIV/0!</v>
      </c>
      <c r="G4">
        <f ca="1">COUNTIFS(INDIRECT($A$1&amp;"!$Q$2:$Q$999"),"&gt;=4.1",INDIRECT($A$1&amp;"!$Q$2:$Q$999"),"&lt;=5",INDIRECT($A$1&amp;"!$E$2:$E$999"),"YES",INDIRECT($A$1&amp;"!$D$2:$D$999"),"YES",INDIRECT($A$1&amp;"!$C$2:$C$999"),"&gt;=0.01",INDIRECT($A$1&amp;"!$i$2:$i$999"),"YES")</f>
        <v>0</v>
      </c>
      <c r="H4" s="9" t="e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i$2:$i$999"),"YES")</f>
        <v>#DIV/0!</v>
      </c>
      <c r="I4">
        <f ca="1">COUNTIFS(INDIRECT($A$1&amp;"!$Q$2:$Q$999"),"&gt;=5.1",INDIRECT($A$1&amp;"!$Q$2:$Q$999"),"&lt;=6.2",INDIRECT($A$1&amp;"!$E$2:$E$999"),"YES",INDIRECT($A$1&amp;"!$D$2:$D$999"),"YES",INDIRECT($A$1&amp;"!$C$2:$C$999"),"&gt;=0.01",INDIRECT($A$1&amp;"!$i$2:$i$999"),"YES")</f>
        <v>0</v>
      </c>
      <c r="J4" s="9" t="e">
        <f ca="1">AVERAGEIFS(INDIRECT($A$1&amp;"!$S$2:$S$999"),INDIRECT($A$1&amp;"!$Q$2:$Q$999"),"&gt;=6.3",INDIRECT($A$1&amp;"!$E$2:$E$999"),"YES",INDIRECT($A$1&amp;"!$D$2:$D$999"),"YES",INDIRECT($A$1&amp;"!$C$2:$C$999"),"&gt;=0.01",INDIRECT($A$1&amp;"!$i$2:$i$999"),"YES")</f>
        <v>#DIV/0!</v>
      </c>
      <c r="K4">
        <f ca="1">COUNTIFS(INDIRECT($A$1&amp;"!$Q$2:$Q$999"),"&gt;=6.3",INDIRECT($A$1&amp;"!$E$2:$E$999"),"YES",INDIRECT($A$1&amp;"!$D$2:$D$999"),"YES",INDIRECT($A$1&amp;"!$C$2:$C$999"),"&gt;=0.01",INDIRECT($A$1&amp;"!$i$2:$i$999"),"YES")</f>
        <v>0</v>
      </c>
      <c r="P4" s="1"/>
      <c r="Q4" s="1"/>
      <c r="R4" s="1"/>
      <c r="S4" s="8"/>
      <c r="T4" s="8"/>
      <c r="U4" s="9"/>
      <c r="V4" s="9"/>
      <c r="W4" s="9"/>
      <c r="X4" s="8"/>
      <c r="Y4" s="8"/>
      <c r="Z4" s="9"/>
      <c r="AA4" s="9"/>
      <c r="AB4" s="9"/>
      <c r="AC4" s="5"/>
      <c r="AD4" s="5"/>
      <c r="AE4" s="6"/>
      <c r="AF4" s="6"/>
      <c r="AG4" s="6"/>
      <c r="AH4" s="5"/>
      <c r="AI4" s="5"/>
      <c r="AJ4" s="6"/>
      <c r="AK4" s="6"/>
      <c r="AL4" s="6"/>
      <c r="AM4" s="5"/>
      <c r="AN4" s="5"/>
      <c r="AO4" s="6"/>
      <c r="AP4" s="6"/>
      <c r="AQ4" s="6"/>
      <c r="AR4" s="5"/>
      <c r="AS4" s="5"/>
      <c r="AT4" s="6"/>
      <c r="AU4" s="6"/>
      <c r="AV4" s="6"/>
      <c r="AW4" s="3"/>
      <c r="AX4" s="3"/>
      <c r="AY4" s="4"/>
      <c r="AZ4" s="4"/>
      <c r="BA4" s="4"/>
    </row>
    <row r="5" spans="1:53" x14ac:dyDescent="0.2">
      <c r="A5" s="8" t="s">
        <v>212</v>
      </c>
      <c r="B5" s="9" t="e">
        <f ca="1">AVERAGEIFS(INDIRECT($A$1&amp;"!$S$2:$S$999"),INDIRECT($A$1&amp;"!$E$2:$E$999"),"YES",INDIRECT($A$1&amp;"!$D$2:$D$999"),"YES",INDIRECT($A$1&amp;"!$F$2:$F$999"),"UP",INDIRECT($A$1&amp;"!$i$2:$i$999"),"YES")</f>
        <v>#DIV/0!</v>
      </c>
      <c r="C5">
        <f ca="1">COUNTIFS(INDIRECT($A$1&amp;"!$E$2:$E$999"),"YES",INDIRECT($A$1&amp;"!$D$2:$D$999"),"YES",INDIRECT($A$1&amp;"!$F$2:$F$999"),"UP",INDIRECT($A$1&amp;"!$i$2:$i$999"),"YES")</f>
        <v>0</v>
      </c>
      <c r="D5" s="9" t="e">
        <f ca="1">AVERAGEIFS(INDIRECT($A$1&amp;"!$S$2:$S$999"),INDIRECT($A$1&amp;"!$Q$2:$Q$999"),"&lt;=4",INDIRECT($A$1&amp;"!$E$2:$E$999"),"YES",INDIRECT($A$1&amp;"!$D$2:$D$999"),"YES",INDIRECT($A$1&amp;"!$F$2:$F$999"),"UP",INDIRECT($A$1&amp;"!$i$2:$i$999"),"YES")</f>
        <v>#DIV/0!</v>
      </c>
      <c r="E5">
        <f ca="1">COUNTIFS(INDIRECT($A$1&amp;"!$Q$2:$Q$999"),"&lt;=4",INDIRECT($A$1&amp;"!$E$2:$E$999"),"YES",INDIRECT($A$1&amp;"!$D$2:$D$999"),"YES",INDIRECT($A$1&amp;"!$F$2:$F$999"),"UP",INDIRECT($A$1&amp;"!$i$2:$i$999"),"YES")</f>
        <v>0</v>
      </c>
      <c r="F5" s="9" t="e">
        <f ca="1">AVERAGEIFS(INDIRECT($A$1&amp;"!$S$2:$S$999"),INDIRECT($A$1&amp;"!$Q$2:$Q$999"),"&gt;=4.1",INDIRECT($A$1&amp;"!$Q$2:$Q$999"),"&lt;=5",INDIRECT($A$1&amp;"!$E$2:$E$999"),"YES",INDIRECT($A$1&amp;"!$D$2:$D$999"),"YES",INDIRECT($A$1&amp;"!$F$2:$F$999"),"UP",INDIRECT($A$1&amp;"!$i$2:$i$999"),"YES")</f>
        <v>#DIV/0!</v>
      </c>
      <c r="G5">
        <f ca="1">COUNTIFS(INDIRECT($A$1&amp;"!$Q$2:$Q$999"),"&gt;=4.1",INDIRECT($A$1&amp;"!$Q$2:$Q$999"),"&lt;=5",INDIRECT($A$1&amp;"!$E$2:$E$999"),"YES",INDIRECT($A$1&amp;"!$D$2:$D$999"),"YES",INDIRECT($A$1&amp;"!$F$2:$F$999"),"UP",INDIRECT($A$1&amp;"!$i$2:$i$999"),"YES")</f>
        <v>0</v>
      </c>
      <c r="H5" s="9" t="e">
        <f ca="1">AVERAGEIFS(INDIRECT($A$1&amp;"!$S$2:$S$999"),INDIRECT($A$1&amp;"!$Q$2:$Q$999"),"&gt;=5.1",INDIRECT($A$1&amp;"!$Q$2:$Q$999"),"&lt;=6.2",INDIRECT($A$1&amp;"!$E$2:$E$999"),"YES",INDIRECT($A$1&amp;"!$D$2:$D$999"),"YES",INDIRECT($A$1&amp;"!$F$2:$F$999"),"UP",INDIRECT($A$1&amp;"!$i$2:$i$999"),"YES")</f>
        <v>#DIV/0!</v>
      </c>
      <c r="I5">
        <f ca="1">COUNTIFS(INDIRECT($A$1&amp;"!$Q$2:$Q$999"),"&gt;=5.1",INDIRECT($A$1&amp;"!$Q$2:$Q$999"),"&lt;=6.2",INDIRECT($A$1&amp;"!$E$2:$E$999"),"YES",INDIRECT($A$1&amp;"!$D$2:$D$999"),"YES",INDIRECT($A$1&amp;"!$F$2:$F$999"),"UP",INDIRECT($A$1&amp;"!$i$2:$i$999"),"YES")</f>
        <v>0</v>
      </c>
      <c r="J5" s="9" t="e">
        <f ca="1">AVERAGEIFS(INDIRECT($A$1&amp;"!$S$2:$S$999"),INDIRECT($A$1&amp;"!$Q$2:$Q$999"),"&gt;=6.3",INDIRECT($A$1&amp;"!$E$2:$E$999"),"YES",INDIRECT($A$1&amp;"!$D$2:$D$999"),"YES",INDIRECT($A$1&amp;"!$F$2:$F$999"),"UP",INDIRECT($A$1&amp;"!$i$2:$i$999"),"YES")</f>
        <v>#DIV/0!</v>
      </c>
      <c r="K5">
        <f ca="1">COUNTIFS(INDIRECT($A$1&amp;"!$Q$2:$Q$999"),"&gt;=6.3",INDIRECT($A$1&amp;"!$E$2:$E$999"),"YES",INDIRECT($A$1&amp;"!$D$2:$D$999"),"YES",INDIRECT($A$1&amp;"!$F$2:$F$999"),"UP",INDIRECT($A$1&amp;"!$i$2:$i$999"),"YES")</f>
        <v>0</v>
      </c>
      <c r="P5" s="1"/>
      <c r="Q5" s="1"/>
      <c r="R5" s="1"/>
      <c r="S5" s="8"/>
      <c r="T5" s="9"/>
      <c r="U5" s="9"/>
      <c r="V5" s="9"/>
      <c r="W5" s="9"/>
      <c r="X5" s="8"/>
      <c r="Y5" s="9"/>
      <c r="Z5" s="9"/>
      <c r="AA5" s="9"/>
      <c r="AB5" s="9"/>
      <c r="AC5" s="5"/>
      <c r="AD5" s="6"/>
      <c r="AE5" s="6"/>
      <c r="AF5" s="6"/>
      <c r="AG5" s="6"/>
      <c r="AH5" s="5"/>
      <c r="AI5" s="6"/>
      <c r="AJ5" s="6"/>
      <c r="AK5" s="6"/>
      <c r="AL5" s="6"/>
      <c r="AM5" s="5"/>
      <c r="AN5" s="6"/>
      <c r="AO5" s="6"/>
      <c r="AP5" s="6"/>
      <c r="AQ5" s="6"/>
      <c r="AR5" s="5"/>
      <c r="AS5" s="6"/>
      <c r="AT5" s="6"/>
      <c r="AU5" s="6"/>
      <c r="AV5" s="6"/>
      <c r="AW5" s="3"/>
      <c r="AX5" s="4"/>
      <c r="AY5" s="4"/>
      <c r="AZ5" s="4"/>
      <c r="BA5" s="4"/>
    </row>
    <row r="6" spans="1:53" x14ac:dyDescent="0.2">
      <c r="A6" s="8" t="s">
        <v>213</v>
      </c>
      <c r="B6" s="9" t="e">
        <f ca="1">AVERAGEIFS(INDIRECT($A$1&amp;"!$S$2:$S$999"),INDIRECT($A$1&amp;"!$E$2:$E$999"),"YES",INDIRECT($A$1&amp;"!$D$2:$D$999"),"YES",INDIRECT($A$1&amp;"!$F$2:$F$999"),"UP",INDIRECT($A$1&amp;"!$i$2:$i$999"),"YES")</f>
        <v>#DIV/0!</v>
      </c>
      <c r="C6">
        <f ca="1">COUNTIFS(INDIRECT($A$1&amp;"!$E$2:$E$999"),"YES",INDIRECT($A$1&amp;"!$D$2:$D$999"),"YES",INDIRECT($A$1&amp;"!$C$2:$C$999"),"&gt;=0.01",INDIRECT($A$1&amp;"!$F$2:$F$999"),"UP",INDIRECT($A$1&amp;"!$i$2:$i$999"),"YES")</f>
        <v>0</v>
      </c>
      <c r="D6" s="9" t="e">
        <f ca="1">AVERAGEIFS(INDIRECT($A$1&amp;"!$S$2:$S$999"),INDIRECT($A$1&amp;"!$Q$2:$Q$999"),"&lt;=4",INDIRECT($A$1&amp;"!$E$2:$E$999"),"YES",INDIRECT($A$1&amp;"!$D$2:$D$999"),"YES",INDIRECT($A$1&amp;"!$C$2:$C$999"),"&gt;=0.01",INDIRECT($A$1&amp;"!$F$2:$F$999"),"UP",INDIRECT($A$1&amp;"!$i$2:$i$999"),"YES")</f>
        <v>#DIV/0!</v>
      </c>
      <c r="E6">
        <f ca="1">COUNTIFS(INDIRECT($A$1&amp;"!$Q$2:$Q$999"),"&lt;=4",INDIRECT($A$1&amp;"!$E$2:$E$999"),"YES",INDIRECT($A$1&amp;"!$D$2:$D$999"),"YES",INDIRECT($A$1&amp;"!$C$2:$C$999"),"&gt;=0.01",INDIRECT($A$1&amp;"!$F$2:$F$999"),"UP",INDIRECT($A$1&amp;"!$i$2:$i$999"),"YES")</f>
        <v>0</v>
      </c>
      <c r="F6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F$2:$F$999"),"UP",INDIRECT($A$1&amp;"!$i$2:$i$999"),"YES")</f>
        <v>#DIV/0!</v>
      </c>
      <c r="G6">
        <f ca="1">COUNTIFS(INDIRECT($A$1&amp;"!$Q$2:$Q$999"),"&gt;=4.1",INDIRECT($A$1&amp;"!$Q$2:$Q$999"),"&lt;=5",INDIRECT($A$1&amp;"!$E$2:$E$999"),"YES",INDIRECT($A$1&amp;"!$D$2:$D$999"),"YES",INDIRECT($A$1&amp;"!$C$2:$C$999"),"&gt;=0.01",INDIRECT($A$1&amp;"!$F$2:$F$999"),"UP",INDIRECT($A$1&amp;"!$i$2:$i$999"),"YES")</f>
        <v>0</v>
      </c>
      <c r="H6" s="9" t="e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F$2:$F$999"),"UP",INDIRECT($A$1&amp;"!$i$2:$i$999"),"YES")</f>
        <v>#DIV/0!</v>
      </c>
      <c r="I6">
        <f ca="1">COUNTIFS(INDIRECT($A$1&amp;"!$Q$2:$Q$999"),"&gt;=5.1",INDIRECT($A$1&amp;"!$Q$2:$Q$999"),"&lt;=6.2",INDIRECT($A$1&amp;"!$E$2:$E$999"),"YES",INDIRECT($A$1&amp;"!$D$2:$D$999"),"YES",INDIRECT($A$1&amp;"!$C$2:$C$999"),"&gt;=0.01",INDIRECT($A$1&amp;"!$F$2:$F$999"),"UP",INDIRECT($A$1&amp;"!$i$2:$i$999"),"YES")</f>
        <v>0</v>
      </c>
      <c r="J6" s="9" t="e">
        <f ca="1">AVERAGEIFS(INDIRECT($A$1&amp;"!$S$2:$S$999"),INDIRECT($A$1&amp;"!$Q$2:$Q$999"),"&gt;=6.3",INDIRECT($A$1&amp;"!$E$2:$E$999"),"YES",INDIRECT($A$1&amp;"!$D$2:$D$999"),"YES",INDIRECT($A$1&amp;"!$C$2:$C$999"),"&gt;=0.01",INDIRECT($A$1&amp;"!$F$2:$F$999"),"UP",INDIRECT($A$1&amp;"!$i$2:$i$999"),"YES")</f>
        <v>#DIV/0!</v>
      </c>
      <c r="K6">
        <f ca="1">COUNTIFS(INDIRECT($A$1&amp;"!$Q$2:$Q$999"),"&gt;=6.3",INDIRECT($A$1&amp;"!$E$2:$E$999"),"YES",INDIRECT($A$1&amp;"!$D$2:$D$999"),"YES",INDIRECT($A$1&amp;"!$C$2:$C$999"),"&gt;=0.01",INDIRECT($A$1&amp;"!$F$2:$F$999"),"UP",INDIRECT($A$1&amp;"!$i$2:$i$999"),"YES")</f>
        <v>0</v>
      </c>
      <c r="O6" s="1"/>
      <c r="P6" s="1"/>
      <c r="Q6" s="1"/>
      <c r="R6" s="1"/>
      <c r="S6" s="8"/>
      <c r="T6" s="9"/>
      <c r="U6" s="9"/>
      <c r="V6" s="9"/>
      <c r="W6" s="9"/>
      <c r="X6" s="8"/>
      <c r="Y6" s="9"/>
      <c r="Z6" s="9"/>
      <c r="AA6" s="9"/>
      <c r="AB6" s="9"/>
      <c r="AC6" s="5"/>
      <c r="AD6" s="6"/>
      <c r="AE6" s="6"/>
      <c r="AF6" s="6"/>
      <c r="AG6" s="6"/>
      <c r="AH6" s="5"/>
      <c r="AI6" s="6"/>
      <c r="AJ6" s="6"/>
      <c r="AK6" s="6"/>
      <c r="AL6" s="6"/>
      <c r="AM6" s="5"/>
      <c r="AN6" s="6"/>
      <c r="AO6" s="6"/>
      <c r="AP6" s="6"/>
      <c r="AQ6" s="6"/>
      <c r="AR6" s="5"/>
      <c r="AS6" s="6"/>
      <c r="AT6" s="6"/>
      <c r="AU6" s="6"/>
      <c r="AV6" s="6"/>
      <c r="AW6" s="3"/>
      <c r="AX6" s="4"/>
      <c r="AY6" s="4"/>
      <c r="AZ6" s="4"/>
      <c r="BA6" s="4"/>
    </row>
    <row r="7" spans="1:53" x14ac:dyDescent="0.2">
      <c r="A7" s="9" t="s">
        <v>211</v>
      </c>
      <c r="B7" s="9">
        <f ca="1">AVERAGEIFS(INDIRECT($A$1&amp;"!$S$2:$S$999"),INDIRECT($A$1&amp;"!$D$2:$D$999"),"YES",INDIRECT($A$1&amp;"!$F$2:$F$999"),"UP",INDIRECT($A$1&amp;"!$i$2:$i$999"),"YES")</f>
        <v>6.5</v>
      </c>
      <c r="C7">
        <f ca="1">COUNTIFS(INDIRECT($A$1&amp;"!$D$2:$D$999"),"YES",INDIRECT($A$1&amp;"!$F$2:$F$999"),"UP",INDIRECT($A$1&amp;"!$i$2:$i$999"),"YES")</f>
        <v>2</v>
      </c>
      <c r="D7" s="9" t="e">
        <f ca="1">AVERAGEIFS(INDIRECT($A$1&amp;"!$S$2:$S$999"),INDIRECT($A$1&amp;"!$Q$2:$Q$999"),"&lt;=4",INDIRECT($A$1&amp;"!$D$2:$D$999"),"YES",INDIRECT($A$1&amp;"!$F$2:$F$999"),"UP",INDIRECT($A$1&amp;"!$i$2:$i$999"),"YES")</f>
        <v>#DIV/0!</v>
      </c>
      <c r="E7">
        <f ca="1">COUNTIFS(INDIRECT($A$1&amp;"!$Q$2:$Q$999"),"&lt;=4",INDIRECT($A$1&amp;"!$D$2:$D$999"),"YES",INDIRECT($A$1&amp;"!$F$2:$F$999"),"UP",INDIRECT($A$1&amp;"!$i$2:$i$999"),"YES")</f>
        <v>0</v>
      </c>
      <c r="F7" s="9">
        <f ca="1">AVERAGEIFS(INDIRECT($A$1&amp;"!$S$2:$S$999"),INDIRECT($A$1&amp;"!$Q$2:$Q$999"),"&gt;=4.1",INDIRECT($A$1&amp;"!$Q$2:$Q$999"),"&lt;=5",INDIRECT($A$1&amp;"!$D$2:$D$999"),"YES",INDIRECT($A$1&amp;"!$F$2:$F$999"),"UP",INDIRECT($A$1&amp;"!$i$2:$i$999"),"YES")</f>
        <v>8.8000000000000007</v>
      </c>
      <c r="G7">
        <f ca="1">COUNTIFS(INDIRECT($A$1&amp;"!$Q$2:$Q$999"),"&gt;=4.1",INDIRECT($A$1&amp;"!$Q$2:$Q$999"),"&lt;=5",INDIRECT($A$1&amp;"!$D$2:$D$999"),"YES",INDIRECT($A$1&amp;"!$F$2:$F$999"),"UP",INDIRECT($A$1&amp;"!$i$2:$i$999"),"YES")</f>
        <v>1</v>
      </c>
      <c r="H7" s="9">
        <f ca="1">AVERAGEIFS(INDIRECT($A$1&amp;"!$S$2:$S$999"),INDIRECT($A$1&amp;"!$Q$2:$Q$999"),"&gt;=5.1",INDIRECT($A$1&amp;"!$Q$2:$Q$999"),"&lt;=6.2",INDIRECT($A$1&amp;"!$D$2:$D$999"),"YES",INDIRECT($A$1&amp;"!$F$2:$F$999"),"UP",INDIRECT($A$1&amp;"!$i$2:$i$999"),"YES")</f>
        <v>4.2</v>
      </c>
      <c r="I7">
        <f ca="1">COUNTIFS(INDIRECT($A$1&amp;"!$Q$2:$Q$999"),"&gt;=5.1",INDIRECT($A$1&amp;"!$Q$2:$Q$999"),"&lt;=6.2",INDIRECT($A$1&amp;"!$D$2:$D$999"),"YES",INDIRECT($A$1&amp;"!$F$2:$F$999"),"UP",INDIRECT($A$1&amp;"!$i$2:$i$999"),"YES")</f>
        <v>1</v>
      </c>
      <c r="J7" s="9" t="e">
        <f ca="1">AVERAGEIFS(INDIRECT($A$1&amp;"!$S$2:$S$999"),INDIRECT($A$1&amp;"!$Q$2:$Q$999"),"&gt;=6.3",INDIRECT($A$1&amp;"!$D$2:$D$999"),"YES",INDIRECT($A$1&amp;"!$F$2:$F$999"),"UP",INDIRECT($A$1&amp;"!$i$2:$i$999"),"YES")</f>
        <v>#DIV/0!</v>
      </c>
      <c r="K7">
        <f ca="1">COUNTIFS(INDIRECT($A$1&amp;"!$Q$2:$Q$999"),"&gt;=6.3",INDIRECT($A$1&amp;"!$D$2:$D$999"),"YES",INDIRECT($A$1&amp;"!$F$2:$F$999"),"UP",INDIRECT($A$1&amp;"!$i$2:$i$999"),"YES")</f>
        <v>0</v>
      </c>
      <c r="P7" s="1"/>
      <c r="Q7" s="1"/>
      <c r="R7" s="1"/>
      <c r="S7" s="8"/>
      <c r="T7" s="8"/>
      <c r="U7" s="9"/>
      <c r="V7" s="9"/>
      <c r="W7" s="9"/>
      <c r="X7" s="8"/>
      <c r="Y7" s="8"/>
      <c r="Z7" s="9"/>
      <c r="AA7" s="9"/>
      <c r="AB7" s="9"/>
      <c r="AC7" s="5"/>
      <c r="AD7" s="5"/>
      <c r="AE7" s="6"/>
      <c r="AF7" s="6"/>
      <c r="AG7" s="6"/>
      <c r="AH7" s="5"/>
      <c r="AI7" s="5"/>
      <c r="AJ7" s="6"/>
      <c r="AK7" s="6"/>
      <c r="AL7" s="6"/>
      <c r="AM7" s="5"/>
      <c r="AN7" s="5"/>
      <c r="AO7" s="6"/>
      <c r="AP7" s="6"/>
      <c r="AQ7" s="6"/>
      <c r="AR7" s="5"/>
      <c r="AS7" s="5"/>
      <c r="AT7" s="6"/>
      <c r="AU7" s="6"/>
      <c r="AV7" s="6"/>
      <c r="AW7" s="3"/>
      <c r="AX7" s="3"/>
      <c r="AY7" s="4"/>
      <c r="AZ7" s="4"/>
      <c r="BA7" s="4"/>
    </row>
    <row r="8" spans="1:53" x14ac:dyDescent="0.2">
      <c r="A8" s="8" t="s">
        <v>200</v>
      </c>
      <c r="B8" s="9">
        <f ca="1">AVERAGEIFS(INDIRECT($A$1&amp;"!$S$2:$S$999"),INDIRECT($A$1&amp;"!$E$2:$E$999"),"YES",INDIRECT($A$1&amp;"!$D$2:$D$999"),"YES",INDIRECT($A$1&amp;"!$F$2:$F$999"),"UP")</f>
        <v>6.2569230769230764</v>
      </c>
      <c r="C8">
        <f ca="1">COUNTIFS(INDIRECT($A$1&amp;"!$E$2:$E$999"),"YES",INDIRECT($A$1&amp;"!$D$2:$D$999"),"YES",INDIRECT($A$1&amp;"!$F$2:$F$999"),"UP")</f>
        <v>11</v>
      </c>
      <c r="D8" s="9" t="e">
        <f ca="1">AVERAGEIFS(INDIRECT($A$1&amp;"!$S$2:$S$999"),INDIRECT($A$1&amp;"!$Q$2:$Q$999"),"&lt;=4",INDIRECT($A$1&amp;"!$E$2:$E$999"),"YES",INDIRECT($A$1&amp;"!$D$2:$D$999"),"YES",INDIRECT($A$1&amp;"!$F$2:$F$999"),"UP")</f>
        <v>#DIV/0!</v>
      </c>
      <c r="E8">
        <f ca="1">COUNTIFS(INDIRECT($A$1&amp;"!$Q$2:$Q$999"),"&lt;=4",INDIRECT($A$1&amp;"!$E$2:$E$999"),"YES",INDIRECT($A$1&amp;"!$D$2:$D$999"),"YES",INDIRECT($A$1&amp;"!$F$2:$F$999"),"UP")</f>
        <v>0</v>
      </c>
      <c r="F8" s="9">
        <f ca="1">AVERAGEIFS(INDIRECT($A$1&amp;"!$S$2:$S$999"),INDIRECT($A$1&amp;"!$Q$2:$Q$999"),"&gt;=4.1",INDIRECT($A$1&amp;"!$Q$2:$Q$999"),"&lt;=5",INDIRECT($A$1&amp;"!$E$2:$E$999"),"YES",INDIRECT($A$1&amp;"!$D$2:$D$999"),"YES",INDIRECT($A$1&amp;"!$F$2:$F$999"),"UP")</f>
        <v>12.6</v>
      </c>
      <c r="G8">
        <f ca="1">COUNTIFS(INDIRECT($A$1&amp;"!$Q$2:$Q$999"),"&gt;=4.1",INDIRECT($A$1&amp;"!$Q$2:$Q$999"),"&lt;=5",INDIRECT($A$1&amp;"!$E$2:$E$999"),"YES",INDIRECT($A$1&amp;"!$D$2:$D$999"),"YES",INDIRECT($A$1&amp;"!$F$2:$F$999"),"UP")</f>
        <v>1</v>
      </c>
      <c r="H8" s="9">
        <f ca="1">AVERAGEIFS(INDIRECT($A$1&amp;"!$S$2:$S$999"),INDIRECT($A$1&amp;"!$Q$2:$Q$999"),"&gt;=5.1",INDIRECT($A$1&amp;"!$Q$2:$Q$999"),"&lt;=6.2",INDIRECT($A$1&amp;"!$E$2:$E$999"),"YES",INDIRECT($A$1&amp;"!$D$2:$D$999"),"YES",INDIRECT($A$1&amp;"!$F$2:$F$999"),"UP")</f>
        <v>6.75</v>
      </c>
      <c r="I8">
        <f ca="1">COUNTIFS(INDIRECT($A$1&amp;"!$Q$2:$Q$999"),"&gt;=5.1",INDIRECT($A$1&amp;"!$Q$2:$Q$999"),"&lt;=6.2",INDIRECT($A$1&amp;"!$E$2:$E$999"),"YES",INDIRECT($A$1&amp;"!$D$2:$D$999"),"YES",INDIRECT($A$1&amp;"!$F$2:$F$999"),"UP")</f>
        <v>2</v>
      </c>
      <c r="J8" s="9">
        <f ca="1">AVERAGEIFS(INDIRECT($A$1&amp;"!$S$2:$S$999"),INDIRECT($A$1&amp;"!$Q$2:$Q$999"),"&gt;=6.3",INDIRECT($A$1&amp;"!$E$2:$E$999"),"YES",INDIRECT($A$1&amp;"!$D$2:$D$999"),"YES",INDIRECT($A$1&amp;"!$F$2:$F$999"),"UP")</f>
        <v>2.5923076923076924</v>
      </c>
      <c r="K8">
        <f ca="1">COUNTIFS(INDIRECT($A$1&amp;"!$Q$2:$Q$999"),"&gt;=6.3",INDIRECT($A$1&amp;"!$E$2:$E$999"),"YES",INDIRECT($A$1&amp;"!$D$2:$D$999"),"YES",INDIRECT($A$1&amp;"!$F$2:$F$999"),"UP")</f>
        <v>2</v>
      </c>
      <c r="P8" s="1"/>
      <c r="Q8" s="1"/>
      <c r="R8" s="1"/>
      <c r="S8" s="8"/>
      <c r="T8" s="9"/>
      <c r="U8" s="9"/>
      <c r="V8" s="9"/>
      <c r="W8" s="9"/>
      <c r="X8" s="8"/>
      <c r="Y8" s="9"/>
      <c r="Z8" s="9"/>
      <c r="AA8" s="9"/>
      <c r="AB8" s="9"/>
      <c r="AC8" s="5"/>
      <c r="AD8" s="6"/>
      <c r="AE8" s="6"/>
      <c r="AF8" s="6"/>
      <c r="AG8" s="6"/>
      <c r="AH8" s="5"/>
      <c r="AI8" s="6"/>
      <c r="AJ8" s="6"/>
      <c r="AK8" s="6"/>
      <c r="AL8" s="6"/>
      <c r="AM8" s="5"/>
      <c r="AN8" s="6"/>
      <c r="AO8" s="6"/>
      <c r="AP8" s="6"/>
      <c r="AQ8" s="6"/>
      <c r="AR8" s="5"/>
      <c r="AS8" s="6"/>
      <c r="AT8" s="6"/>
      <c r="AU8" s="6"/>
      <c r="AV8" s="6"/>
      <c r="AW8" s="3"/>
      <c r="AX8" s="4"/>
      <c r="AY8" s="4"/>
      <c r="AZ8" s="4"/>
      <c r="BA8" s="4"/>
    </row>
    <row r="9" spans="1:53" x14ac:dyDescent="0.2">
      <c r="A9" s="8" t="s">
        <v>201</v>
      </c>
      <c r="B9" s="9">
        <f ca="1">AVERAGEIFS(INDIRECT($A$1&amp;"!$S$2:$S$999"),INDIRECT($A$1&amp;"!$E$2:$E$999"),"YES",INDIRECT($A$1&amp;"!$D$2:$D$999"),"YES",INDIRECT($A$1&amp;"!$F$2:$F$999"),"UP")</f>
        <v>6.2569230769230764</v>
      </c>
      <c r="C9">
        <f ca="1">COUNTIFS(INDIRECT($A$1&amp;"!$E$2:$E$999"),"YES",INDIRECT($A$1&amp;"!$D$2:$D$999"),"YES",INDIRECT($A$1&amp;"!$C$2:$C$999"),"&gt;=0.01",INDIRECT($A$1&amp;"!$F$2:$F$999"),"UP")</f>
        <v>4</v>
      </c>
      <c r="D9" s="9" t="e">
        <f ca="1">AVERAGEIFS(INDIRECT($A$1&amp;"!$S$2:$S$999"),INDIRECT($A$1&amp;"!$Q$2:$Q$999"),"&lt;=4",INDIRECT($A$1&amp;"!$E$2:$E$999"),"YES",INDIRECT($A$1&amp;"!$D$2:$D$999"),"YES",INDIRECT($A$1&amp;"!$C$2:$C$999"),"&gt;=0.01",INDIRECT($A$1&amp;"!$F$2:$F$999"),"UP")</f>
        <v>#DIV/0!</v>
      </c>
      <c r="E9">
        <f ca="1">COUNTIFS(INDIRECT($A$1&amp;"!$Q$2:$Q$999"),"&lt;=4",INDIRECT($A$1&amp;"!$E$2:$E$999"),"YES",INDIRECT($A$1&amp;"!$D$2:$D$999"),"YES",INDIRECT($A$1&amp;"!$C$2:$C$999"),"&gt;=0.01",INDIRECT($A$1&amp;"!$F$2:$F$999"),"UP")</f>
        <v>0</v>
      </c>
      <c r="F9" s="9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F$2:$F$999"),"UP")</f>
        <v>12.6</v>
      </c>
      <c r="G9">
        <f ca="1">COUNTIFS(INDIRECT($A$1&amp;"!$Q$2:$Q$999"),"&gt;=4.1",INDIRECT($A$1&amp;"!$Q$2:$Q$999"),"&lt;=5",INDIRECT($A$1&amp;"!$E$2:$E$999"),"YES",INDIRECT($A$1&amp;"!$D$2:$D$999"),"YES",INDIRECT($A$1&amp;"!$C$2:$C$999"),"&gt;=0.01",INDIRECT($A$1&amp;"!$F$2:$F$999"),"UP")</f>
        <v>1</v>
      </c>
      <c r="H9" s="9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F$2:$F$999"),"UP")</f>
        <v>6.75</v>
      </c>
      <c r="I9">
        <f ca="1">COUNTIFS(INDIRECT($A$1&amp;"!$Q$2:$Q$999"),"&gt;=5.1",INDIRECT($A$1&amp;"!$Q$2:$Q$999"),"&lt;=6.2",INDIRECT($A$1&amp;"!$E$2:$E$999"),"YES",INDIRECT($A$1&amp;"!$D$2:$D$999"),"YES",INDIRECT($A$1&amp;"!$C$2:$C$999"),"&gt;=0.01",INDIRECT($A$1&amp;"!$F$2:$F$999"),"UP")</f>
        <v>2</v>
      </c>
      <c r="J9" s="9">
        <f ca="1">AVERAGEIFS(INDIRECT($A$1&amp;"!$S$2:$S$999"),INDIRECT($A$1&amp;"!$Q$2:$Q$999"),"&gt;=6.3",INDIRECT($A$1&amp;"!$E$2:$E$999"),"YES",INDIRECT($A$1&amp;"!$D$2:$D$999"),"YES",INDIRECT($A$1&amp;"!$C$2:$C$999"),"&gt;=0.01",INDIRECT($A$1&amp;"!$F$2:$F$999"),"UP")</f>
        <v>1.8</v>
      </c>
      <c r="K9">
        <f ca="1">COUNTIFS(INDIRECT($A$1&amp;"!$Q$2:$Q$999"),"&gt;=6.3",INDIRECT($A$1&amp;"!$E$2:$E$999"),"YES",INDIRECT($A$1&amp;"!$D$2:$D$999"),"YES",INDIRECT($A$1&amp;"!$C$2:$C$999"),"&gt;=0.01",INDIRECT($A$1&amp;"!$F$2:$F$999"),"UP")</f>
        <v>1</v>
      </c>
      <c r="O9" s="1"/>
      <c r="P9" s="1"/>
      <c r="Q9" s="1"/>
      <c r="R9" s="1"/>
      <c r="S9" s="8"/>
      <c r="T9" s="9"/>
      <c r="U9" s="9"/>
      <c r="V9" s="9"/>
      <c r="W9" s="9"/>
      <c r="X9" s="8"/>
      <c r="Y9" s="9"/>
      <c r="Z9" s="9"/>
      <c r="AA9" s="9"/>
      <c r="AB9" s="9"/>
      <c r="AC9" s="5"/>
      <c r="AD9" s="6"/>
      <c r="AE9" s="6"/>
      <c r="AF9" s="6"/>
      <c r="AG9" s="6"/>
      <c r="AH9" s="5"/>
      <c r="AI9" s="6"/>
      <c r="AJ9" s="6"/>
      <c r="AK9" s="6"/>
      <c r="AL9" s="6"/>
      <c r="AM9" s="5"/>
      <c r="AN9" s="6"/>
      <c r="AO9" s="6"/>
      <c r="AP9" s="6"/>
      <c r="AQ9" s="6"/>
      <c r="AR9" s="5"/>
      <c r="AS9" s="6"/>
      <c r="AT9" s="6"/>
      <c r="AU9" s="6"/>
      <c r="AV9" s="6"/>
      <c r="AW9" s="3"/>
      <c r="AX9" s="4"/>
      <c r="AY9" s="4"/>
      <c r="AZ9" s="4"/>
      <c r="BA9" s="4"/>
    </row>
    <row r="10" spans="1:53" x14ac:dyDescent="0.2">
      <c r="A10" s="9" t="s">
        <v>112</v>
      </c>
      <c r="B10" s="9">
        <f ca="1">AVERAGEIFS(INDIRECT($A$1&amp;"!$S$2:$S$999"),INDIRECT($A$1&amp;"!$D$2:$D$999"),"YES",INDIRECT($A$1&amp;"!$F$2:$F$999"),"UP")</f>
        <v>6.1980769230769237</v>
      </c>
      <c r="C10">
        <f ca="1">COUNTIFS(INDIRECT($A$1&amp;"!$D$2:$D$999"),"YES",INDIRECT($A$1&amp;"!$F$2:$F$999"),"UP")</f>
        <v>34</v>
      </c>
      <c r="D10" s="9" t="e">
        <f ca="1">AVERAGEIFS(INDIRECT($A$1&amp;"!$S$2:$S$999"),INDIRECT($A$1&amp;"!$Q$2:$Q$999"),"&lt;=4",INDIRECT($A$1&amp;"!$D$2:$D$999"),"YES",INDIRECT($A$1&amp;"!$F$2:$F$999"),"UP")</f>
        <v>#DIV/0!</v>
      </c>
      <c r="E10">
        <f ca="1">COUNTIFS(INDIRECT($A$1&amp;"!$Q$2:$Q$999"),"&lt;=4",INDIRECT($A$1&amp;"!$D$2:$D$999"),"YES",INDIRECT($A$1&amp;"!$F$2:$F$999"),"UP")</f>
        <v>0</v>
      </c>
      <c r="F10" s="9">
        <f ca="1">AVERAGEIFS(INDIRECT($A$1&amp;"!$S$2:$S$999"),INDIRECT($A$1&amp;"!$Q$2:$Q$999"),"&gt;=4.1",INDIRECT($A$1&amp;"!$Q$2:$Q$999"),"&lt;=5",INDIRECT($A$1&amp;"!$D$2:$D$999"),"YES",INDIRECT($A$1&amp;"!$F$2:$F$999"),"UP")</f>
        <v>10.7</v>
      </c>
      <c r="G10">
        <f ca="1">COUNTIFS(INDIRECT($A$1&amp;"!$Q$2:$Q$999"),"&gt;=4.1",INDIRECT($A$1&amp;"!$Q$2:$Q$999"),"&lt;=5",INDIRECT($A$1&amp;"!$D$2:$D$999"),"YES",INDIRECT($A$1&amp;"!$F$2:$F$999"),"UP")</f>
        <v>2</v>
      </c>
      <c r="H10" s="9">
        <f ca="1">AVERAGEIFS(INDIRECT($A$1&amp;"!$S$2:$S$999"),INDIRECT($A$1&amp;"!$Q$2:$Q$999"),"&gt;=5.1",INDIRECT($A$1&amp;"!$Q$2:$Q$999"),"&lt;=6.2",INDIRECT($A$1&amp;"!$D$2:$D$999"),"YES",INDIRECT($A$1&amp;"!$F$2:$F$999"),"UP")</f>
        <v>5.75</v>
      </c>
      <c r="I10">
        <f ca="1">COUNTIFS(INDIRECT($A$1&amp;"!$Q$2:$Q$999"),"&gt;=5.1",INDIRECT($A$1&amp;"!$Q$2:$Q$999"),"&lt;=6.2",INDIRECT($A$1&amp;"!$D$2:$D$999"),"YES",INDIRECT($A$1&amp;"!$F$2:$F$999"),"UP")</f>
        <v>4</v>
      </c>
      <c r="J10" s="9">
        <f ca="1">AVERAGEIFS(INDIRECT($A$1&amp;"!$S$2:$S$999"),INDIRECT($A$1&amp;"!$Q$2:$Q$999"),"&gt;=6.3",INDIRECT($A$1&amp;"!$D$2:$D$999"),"YES",INDIRECT($A$1&amp;"!$F$2:$F$999"),"UP")</f>
        <v>2.5923076923076924</v>
      </c>
      <c r="K10">
        <f ca="1">COUNTIFS(INDIRECT($A$1&amp;"!$Q$2:$Q$999"),"&gt;=6.3",INDIRECT($A$1&amp;"!$D$2:$D$999"),"YES",INDIRECT($A$1&amp;"!$F$2:$F$999"),"UP")</f>
        <v>2</v>
      </c>
      <c r="P10" s="1"/>
      <c r="Q10" s="1"/>
      <c r="R10" s="1"/>
      <c r="S10" s="8"/>
      <c r="T10" s="8"/>
      <c r="U10" s="9"/>
      <c r="V10" s="9"/>
      <c r="W10" s="9"/>
      <c r="X10" s="8"/>
      <c r="Y10" s="8"/>
      <c r="Z10" s="9"/>
      <c r="AA10" s="9"/>
      <c r="AB10" s="9"/>
      <c r="AC10" s="5"/>
      <c r="AD10" s="5"/>
      <c r="AE10" s="6"/>
      <c r="AF10" s="6"/>
      <c r="AG10" s="6"/>
      <c r="AH10" s="5"/>
      <c r="AI10" s="5"/>
      <c r="AJ10" s="6"/>
      <c r="AK10" s="6"/>
      <c r="AL10" s="6"/>
      <c r="AM10" s="5"/>
      <c r="AN10" s="5"/>
      <c r="AO10" s="6"/>
      <c r="AP10" s="6"/>
      <c r="AQ10" s="6"/>
      <c r="AR10" s="5"/>
      <c r="AS10" s="5"/>
      <c r="AT10" s="6"/>
      <c r="AU10" s="6"/>
      <c r="AV10" s="6"/>
      <c r="AW10" s="3"/>
      <c r="AX10" s="3"/>
      <c r="AY10" s="4"/>
      <c r="AZ10" s="4"/>
      <c r="BA10" s="4"/>
    </row>
    <row r="11" spans="1:53" x14ac:dyDescent="0.2">
      <c r="A11" s="8" t="s">
        <v>217</v>
      </c>
      <c r="B11" s="9">
        <f ca="1">AVERAGEIFS(INDIRECT($A$1&amp;"!$S$2:$S$999"),INDIRECT($A$1&amp;"!$E$2:$E$999"),"YES",INDIRECT($A$1&amp;"!$C$2:$C$999"),"&gt;=0.01",INDIRECT($A$1&amp;"!$J$2:$J$999"),"YES")</f>
        <v>5.7</v>
      </c>
      <c r="C11">
        <f ca="1">COUNTIFS(INDIRECT($A$1&amp;"!$E$2:$E$999"),"YES",INDIRECT($A$1&amp;"!$C$2:$C$999"),"&gt;=0.01",INDIRECT($A$1&amp;"!$J$2:$J$999"),"YES")</f>
        <v>1</v>
      </c>
      <c r="D11" s="9" t="e">
        <f ca="1">AVERAGEIFS(INDIRECT($A$1&amp;"!$S$2:$S$999"),INDIRECT($A$1&amp;"!$Q$2:$Q$999"),"&lt;=4",INDIRECT($A$1&amp;"!$E$2:$E$999"),"YES",INDIRECT($A$1&amp;"!$C$2:$C$999"),"&gt;=0.01",INDIRECT($A$1&amp;"!$J$2:$J$999"),"YES")</f>
        <v>#DIV/0!</v>
      </c>
      <c r="E11">
        <f ca="1">COUNTIFS(INDIRECT($A$1&amp;"!$Q$2:$Q$999"),"&lt;=4",INDIRECT($A$1&amp;"!$E$2:$E$999"),"YES",INDIRECT($A$1&amp;"!$C$2:$C$999"),"&gt;=0.01",INDIRECT($A$1&amp;"!$J$2:$J$999"),"YES")</f>
        <v>0</v>
      </c>
      <c r="F11" s="9" t="e">
        <f ca="1">AVERAGEIFS(INDIRECT($A$1&amp;"!$S$2:$S$999"),INDIRECT($A$1&amp;"!$Q$2:$Q$999"),"&gt;=4.1",INDIRECT($A$1&amp;"!$Q$2:$Q$999"),"&lt;=5",INDIRECT($A$1&amp;"!$E$2:$E$999"),"YES",INDIRECT($A$1&amp;"!$C$2:$C$999"),"&gt;=0.01",INDIRECT($A$1&amp;"!$J$2:$J$999"),"YES")</f>
        <v>#DIV/0!</v>
      </c>
      <c r="G11">
        <f ca="1">COUNTIFS(INDIRECT($A$1&amp;"!$Q$2:$Q$999"),"&gt;=4.1",INDIRECT($A$1&amp;"!$Q$2:$Q$999"),"&lt;=5",INDIRECT($A$1&amp;"!$E$2:$E$999"),"YES",INDIRECT($A$1&amp;"!$C$2:$C$999"),"&gt;=0.01",INDIRECT($A$1&amp;"!$J$2:$J$999"),"YES")</f>
        <v>0</v>
      </c>
      <c r="H11" s="9">
        <f ca="1">AVERAGEIFS(INDIRECT($A$1&amp;"!$S$2:$S$999"),INDIRECT($A$1&amp;"!$Q$2:$Q$999"),"&gt;=5.1",INDIRECT($A$1&amp;"!$Q$2:$Q$999"),"&lt;=6.2",INDIRECT($A$1&amp;"!$E$2:$E$999"),"YES",INDIRECT($A$1&amp;"!$C$2:$C$999"),"&gt;=0.01",INDIRECT($A$1&amp;"!$J$2:$J$999"),"YES")</f>
        <v>5.7</v>
      </c>
      <c r="I11">
        <f ca="1">COUNTIFS(INDIRECT($A$1&amp;"!$Q$2:$Q$999"),"&gt;=5.1",INDIRECT($A$1&amp;"!$Q$2:$Q$999"),"&lt;=6.2",INDIRECT($A$1&amp;"!$E$2:$E$999"),"YES",INDIRECT($A$1&amp;"!$C$2:$C$999"),"&gt;=0.01",INDIRECT($A$1&amp;"!$J$2:$J$999"),"YES")</f>
        <v>1</v>
      </c>
      <c r="J11" s="9" t="e">
        <f ca="1">AVERAGEIFS(INDIRECT($A$1&amp;"!$S$2:$S$999"),INDIRECT($A$1&amp;"!$Q$2:$Q$999"),"&gt;=6.3",INDIRECT($A$1&amp;"!$E$2:$E$999"),"YES",INDIRECT($A$1&amp;"!$C$2:$C$999"),"&gt;=0.01",INDIRECT($A$1&amp;"!$J$2:$J$999"),"YES")</f>
        <v>#DIV/0!</v>
      </c>
      <c r="K11">
        <f ca="1">COUNTIFS(INDIRECT($A$1&amp;"!$Q$2:$Q$999"),"&gt;=6.3",INDIRECT($A$1&amp;"!$E$2:$E$999"),"YES",INDIRECT($A$1&amp;"!$C$2:$C$999"),"&gt;=0.01",INDIRECT($A$1&amp;"!$J$2:$J$999"),"YES")</f>
        <v>0</v>
      </c>
      <c r="P11" s="1"/>
      <c r="Q11" s="1"/>
      <c r="R11" s="1"/>
      <c r="S11" s="8"/>
      <c r="T11" s="9"/>
      <c r="U11" s="9"/>
      <c r="V11" s="9"/>
      <c r="W11" s="9"/>
      <c r="X11" s="8"/>
      <c r="Y11" s="9"/>
      <c r="Z11" s="9"/>
      <c r="AA11" s="9"/>
      <c r="AB11" s="9"/>
      <c r="AC11" s="5"/>
      <c r="AD11" s="6"/>
      <c r="AE11" s="6"/>
      <c r="AF11" s="6"/>
      <c r="AG11" s="6"/>
      <c r="AH11" s="5"/>
      <c r="AI11" s="6"/>
      <c r="AJ11" s="6"/>
      <c r="AK11" s="6"/>
      <c r="AL11" s="6"/>
      <c r="AM11" s="5"/>
      <c r="AN11" s="6"/>
      <c r="AO11" s="6"/>
      <c r="AP11" s="6"/>
      <c r="AQ11" s="6"/>
      <c r="AR11" s="5"/>
      <c r="AS11" s="6"/>
      <c r="AT11" s="6"/>
      <c r="AU11" s="6"/>
      <c r="AV11" s="6"/>
      <c r="AW11" s="3"/>
      <c r="AX11" s="4"/>
      <c r="AY11" s="4"/>
      <c r="AZ11" s="4"/>
      <c r="BA11" s="4"/>
    </row>
    <row r="12" spans="1:53" x14ac:dyDescent="0.2">
      <c r="A12" s="8" t="s">
        <v>113</v>
      </c>
      <c r="B12" s="9">
        <f ca="1">AVERAGEIFS(INDIRECT($A$1&amp;"!$S$2:$S$999"),INDIRECT($A$1&amp;"!$E$2:$E$999"),"YES",INDIRECT($A$1&amp;"!$F$2:$F$999"),"UP")</f>
        <v>5.5882783882783889</v>
      </c>
      <c r="C12">
        <f ca="1">COUNTIFS(INDIRECT($A$1&amp;"!$E$2:$E$999"),"YES",INDIRECT($A$1&amp;"!$F$2:$F$999"),"UP")</f>
        <v>24</v>
      </c>
      <c r="D12" s="9">
        <f ca="1">AVERAGEIFS(INDIRECT($A$1&amp;"!$S$2:$S$999"),INDIRECT($A$1&amp;"!$Q$2:$Q$999"),"&lt;=4",INDIRECT($A$1&amp;"!$E$2:$E$999"),"YES",INDIRECT($A$1&amp;"!$F$2:$F$999"),"UP")</f>
        <v>3.3</v>
      </c>
      <c r="E12">
        <f ca="1">COUNTIFS(INDIRECT($A$1&amp;"!$Q$2:$Q$999"),"&lt;=4",INDIRECT($A$1&amp;"!$E$2:$E$999"),"YES",INDIRECT($A$1&amp;"!$F$2:$F$999"),"UP")</f>
        <v>1</v>
      </c>
      <c r="F12" s="9">
        <f ca="1">AVERAGEIFS(INDIRECT($A$1&amp;"!$S$2:$S$999"),INDIRECT($A$1&amp;"!$Q$2:$Q$999"),"&gt;=4.1",INDIRECT($A$1&amp;"!$Q$2:$Q$999"),"&lt;=5",INDIRECT($A$1&amp;"!$E$2:$E$999"),"YES",INDIRECT($A$1&amp;"!$F$2:$F$999"),"UP")</f>
        <v>8.5666666666666664</v>
      </c>
      <c r="G12">
        <f ca="1">COUNTIFS(INDIRECT($A$1&amp;"!$Q$2:$Q$999"),"&gt;=4.1",INDIRECT($A$1&amp;"!$Q$2:$Q$999"),"&lt;=5",INDIRECT($A$1&amp;"!$E$2:$E$999"),"YES",INDIRECT($A$1&amp;"!$F$2:$F$999"),"UP")</f>
        <v>2</v>
      </c>
      <c r="H12" s="9">
        <f ca="1">AVERAGEIFS(INDIRECT($A$1&amp;"!$S$2:$S$999"),INDIRECT($A$1&amp;"!$Q$2:$Q$999"),"&gt;=5.1",INDIRECT($A$1&amp;"!$Q$2:$Q$999"),"&lt;=6.2",INDIRECT($A$1&amp;"!$E$2:$E$999"),"YES",INDIRECT($A$1&amp;"!$F$2:$F$999"),"UP")</f>
        <v>6.75</v>
      </c>
      <c r="I12">
        <f ca="1">COUNTIFS(INDIRECT($A$1&amp;"!$Q$2:$Q$999"),"&gt;=5.1",INDIRECT($A$1&amp;"!$Q$2:$Q$999"),"&lt;=6.2",INDIRECT($A$1&amp;"!$E$2:$E$999"),"YES",INDIRECT($A$1&amp;"!$F$2:$F$999"),"UP")</f>
        <v>2</v>
      </c>
      <c r="J12" s="9">
        <f ca="1">AVERAGEIFS(INDIRECT($A$1&amp;"!$S$2:$S$999"),INDIRECT($A$1&amp;"!$Q$2:$Q$999"),"&gt;=6.3",INDIRECT($A$1&amp;"!$E$2:$E$999"),"YES",INDIRECT($A$1&amp;"!$F$2:$F$999"),"UP")</f>
        <v>2.5923076923076924</v>
      </c>
      <c r="K12">
        <f ca="1">COUNTIFS(INDIRECT($A$1&amp;"!$Q$2:$Q$999"),"&gt;=6.3",INDIRECT($A$1&amp;"!$E$2:$E$999"),"YES",INDIRECT($A$1&amp;"!$F$2:$F$999"),"UP")</f>
        <v>2</v>
      </c>
      <c r="O12" s="1"/>
      <c r="P12" s="1"/>
      <c r="Q12" s="1"/>
      <c r="R12" s="1"/>
      <c r="S12" s="8"/>
      <c r="T12" s="9"/>
      <c r="U12" s="9"/>
      <c r="V12" s="9"/>
      <c r="W12" s="9"/>
      <c r="X12" s="8"/>
      <c r="Y12" s="9"/>
      <c r="Z12" s="9"/>
      <c r="AA12" s="9"/>
      <c r="AB12" s="9"/>
      <c r="AC12" s="5"/>
      <c r="AD12" s="6"/>
      <c r="AE12" s="6"/>
      <c r="AF12" s="6"/>
      <c r="AG12" s="6"/>
      <c r="AH12" s="5"/>
      <c r="AI12" s="6"/>
      <c r="AJ12" s="6"/>
      <c r="AK12" s="6"/>
      <c r="AL12" s="6"/>
      <c r="AM12" s="5"/>
      <c r="AN12" s="6"/>
      <c r="AO12" s="6"/>
      <c r="AP12" s="6"/>
      <c r="AQ12" s="6"/>
      <c r="AR12" s="5"/>
      <c r="AS12" s="6"/>
      <c r="AT12" s="6"/>
      <c r="AU12" s="6"/>
      <c r="AV12" s="6"/>
      <c r="AW12" s="3"/>
      <c r="AX12" s="4"/>
      <c r="AY12" s="4"/>
      <c r="AZ12" s="4"/>
      <c r="BA12" s="4"/>
    </row>
    <row r="13" spans="1:53" x14ac:dyDescent="0.2">
      <c r="A13" s="8" t="s">
        <v>221</v>
      </c>
      <c r="B13" s="9">
        <f ca="1">AVERAGEIFS(INDIRECT($A$1&amp;"!$S$2:$S$999"),INDIRECT($A$1&amp;"!$F$2:$F$999"),"UP",INDIRECT($A$1&amp;"!$J$2:$J$999"),"YES")</f>
        <v>5.5211538461538456</v>
      </c>
      <c r="C13" s="8">
        <f ca="1">COUNTIFS(INDIRECT($A$1&amp;"!$F$2:$F$999"),"UP",INDIRECT($A$1&amp;"!$J$2:$J$999"),"YES")</f>
        <v>4</v>
      </c>
      <c r="D13" s="9" t="e">
        <f ca="1">AVERAGEIFS(INDIRECT($A$1&amp;"!$S$2:$S$999"),INDIRECT($A$1&amp;"!$Q$2:$Q$999"),"&lt;=4",INDIRECT($A$1&amp;"!$F$2:$F$999"),"UP",INDIRECT($A$1&amp;"!$J$2:$J$999"),"YES")</f>
        <v>#DIV/0!</v>
      </c>
      <c r="E13" s="8">
        <f ca="1">COUNTIFS(INDIRECT($A$1&amp;"!$Q$2:$Q$999"),"&lt;=4",INDIRECT($A$1&amp;"!$F$2:$F$999"),"UP",INDIRECT($A$1&amp;"!$J$2:$J$999"),"YES")</f>
        <v>0</v>
      </c>
      <c r="F13" s="9">
        <f ca="1">AVERAGEIFS(INDIRECT($A$1&amp;"!$S$2:$S$999"),INDIRECT($A$1&amp;"!$Q$2:$Q$999"),"&gt;=4.1",INDIRECT($A$1&amp;"!$Q$2:$Q$999"),"&lt;=5",INDIRECT($A$1&amp;"!$F$2:$F$999"),"UP",INDIRECT($A$1&amp;"!$J$2:$J$999"),"YES")</f>
        <v>8.8000000000000007</v>
      </c>
      <c r="G13" s="8">
        <f ca="1">COUNTIFS(INDIRECT($A$1&amp;"!$Q$2:$Q$999"),"&gt;=4.1",INDIRECT($A$1&amp;"!$Q$2:$Q$999"),"&lt;=5",INDIRECT($A$1&amp;"!$F$2:$F$999"),"UP",INDIRECT($A$1&amp;"!$J$2:$J$999"),"YES")</f>
        <v>1</v>
      </c>
      <c r="H13" s="9">
        <f ca="1">AVERAGEIFS(INDIRECT($A$1&amp;"!$S$2:$S$999"),INDIRECT($A$1&amp;"!$Q$2:$Q$999"),"&gt;=5.1",INDIRECT($A$1&amp;"!$Q$2:$Q$999"),"&lt;=6.2",INDIRECT($A$1&amp;"!$F$2:$F$999"),"UP",INDIRECT($A$1&amp;"!$J$2:$J$999"),"YES")</f>
        <v>4.95</v>
      </c>
      <c r="I13" s="8">
        <f ca="1">COUNTIFS(INDIRECT($A$1&amp;"!$Q$2:$Q$999"),"&gt;=5.1",INDIRECT($A$1&amp;"!$Q$2:$Q$999"),"&lt;=6.2",INDIRECT($A$1&amp;"!$F$2:$F$999"),"UP",INDIRECT($A$1&amp;"!$J$2:$J$999"),"YES")</f>
        <v>2</v>
      </c>
      <c r="J13" s="9">
        <f ca="1">AVERAGEIFS(INDIRECT($A$1&amp;"!$S$2:$S$999"),INDIRECT($A$1&amp;"!$Q$2:$Q$999"),"&gt;=6.3",INDIRECT($A$1&amp;"!$F$2:$F$999"),"UP",INDIRECT($A$1&amp;"!$J$2:$J$999"),"YES")</f>
        <v>3.3846153846153846</v>
      </c>
      <c r="K13" s="8">
        <f ca="1">COUNTIFS(INDIRECT($A$1&amp;"!$Q$2:$Q$999"),"&gt;=6.3",INDIRECT($A$1&amp;"!$F$2:$F$999"),"UP",INDIRECT($A$1&amp;"!$J$2:$J$999"),"YES")</f>
        <v>1</v>
      </c>
      <c r="P13" s="1"/>
      <c r="Q13" s="1"/>
      <c r="R13" s="1"/>
      <c r="S13" s="8"/>
      <c r="T13" s="8"/>
      <c r="U13" s="9"/>
      <c r="V13" s="9"/>
      <c r="W13" s="9"/>
      <c r="X13" s="8"/>
      <c r="Y13" s="8"/>
      <c r="Z13" s="9"/>
      <c r="AA13" s="9"/>
      <c r="AB13" s="9"/>
      <c r="AC13" s="5"/>
      <c r="AD13" s="5"/>
      <c r="AE13" s="6"/>
      <c r="AF13" s="6"/>
      <c r="AG13" s="6"/>
      <c r="AH13" s="5"/>
      <c r="AI13" s="5"/>
      <c r="AJ13" s="6"/>
      <c r="AK13" s="6"/>
      <c r="AL13" s="6"/>
      <c r="AM13" s="5"/>
      <c r="AN13" s="5"/>
      <c r="AO13" s="6"/>
      <c r="AP13" s="6"/>
      <c r="AQ13" s="6"/>
      <c r="AR13" s="5"/>
      <c r="AS13" s="5"/>
      <c r="AT13" s="6"/>
      <c r="AU13" s="6"/>
      <c r="AV13" s="6"/>
      <c r="AW13" s="3"/>
      <c r="AX13" s="3"/>
      <c r="AY13" s="4"/>
      <c r="AZ13" s="4"/>
      <c r="BA13" s="4"/>
    </row>
    <row r="14" spans="1:53" x14ac:dyDescent="0.2">
      <c r="A14" s="9" t="s">
        <v>223</v>
      </c>
      <c r="B14" s="9">
        <f ca="1">AVERAGEIFS(INDIRECT($A$1&amp;"!$S$2:$S$999"),INDIRECT($A$1&amp;"!$D$2:$D$999"),"YES",INDIRECT($A$1&amp;"!$F$2:$F$999"),"UP",INDIRECT($A$1&amp;"!$J$2:$J$999"),"YES")</f>
        <v>5.5211538461538456</v>
      </c>
      <c r="C14">
        <f ca="1">COUNTIFS(INDIRECT($A$1&amp;"!$D$2:$D$999"),"YES",INDIRECT($A$1&amp;"!$F$2:$F$999"),"UP",INDIRECT($A$1&amp;"!$J$2:$J$999"),"YES")</f>
        <v>4</v>
      </c>
      <c r="D14" s="9" t="e">
        <f ca="1">AVERAGEIFS(INDIRECT($A$1&amp;"!$S$2:$S$999"),INDIRECT($A$1&amp;"!$Q$2:$Q$999"),"&lt;=4",INDIRECT($A$1&amp;"!$D$2:$D$999"),"YES",INDIRECT($A$1&amp;"!$F$2:$F$999"),"UP",INDIRECT($A$1&amp;"!$J$2:$J$999"),"YES")</f>
        <v>#DIV/0!</v>
      </c>
      <c r="E14">
        <f ca="1">COUNTIFS(INDIRECT($A$1&amp;"!$Q$2:$Q$999"),"&lt;=4",INDIRECT($A$1&amp;"!$D$2:$D$999"),"YES",INDIRECT($A$1&amp;"!$F$2:$F$999"),"UP",INDIRECT($A$1&amp;"!$J$2:$J$999"),"YES")</f>
        <v>0</v>
      </c>
      <c r="F14" s="9">
        <f ca="1">AVERAGEIFS(INDIRECT($A$1&amp;"!$S$2:$S$999"),INDIRECT($A$1&amp;"!$Q$2:$Q$999"),"&gt;=4.1",INDIRECT($A$1&amp;"!$Q$2:$Q$999"),"&lt;=5",INDIRECT($A$1&amp;"!$D$2:$D$999"),"YES",INDIRECT($A$1&amp;"!$F$2:$F$999"),"UP",INDIRECT($A$1&amp;"!$J$2:$J$999"),"YES")</f>
        <v>8.8000000000000007</v>
      </c>
      <c r="G14">
        <f ca="1">COUNTIFS(INDIRECT($A$1&amp;"!$Q$2:$Q$999"),"&gt;=4.1",INDIRECT($A$1&amp;"!$Q$2:$Q$999"),"&lt;=5",INDIRECT($A$1&amp;"!$D$2:$D$999"),"YES",INDIRECT($A$1&amp;"!$F$2:$F$999"),"UP",INDIRECT($A$1&amp;"!$J$2:$J$999"),"YES")</f>
        <v>1</v>
      </c>
      <c r="H14" s="9">
        <f ca="1">AVERAGEIFS(INDIRECT($A$1&amp;"!$S$2:$S$999"),INDIRECT($A$1&amp;"!$Q$2:$Q$999"),"&gt;=5.1",INDIRECT($A$1&amp;"!$Q$2:$Q$999"),"&lt;=6.2",INDIRECT($A$1&amp;"!$D$2:$D$999"),"YES",INDIRECT($A$1&amp;"!$F$2:$F$999"),"UP",INDIRECT($A$1&amp;"!$J$2:$J$999"),"YES")</f>
        <v>4.95</v>
      </c>
      <c r="I14">
        <f ca="1">COUNTIFS(INDIRECT($A$1&amp;"!$Q$2:$Q$999"),"&gt;=5.1",INDIRECT($A$1&amp;"!$Q$2:$Q$999"),"&lt;=6.2",INDIRECT($A$1&amp;"!$D$2:$D$999"),"YES",INDIRECT($A$1&amp;"!$F$2:$F$999"),"UP",INDIRECT($A$1&amp;"!$J$2:$J$999"),"YES")</f>
        <v>2</v>
      </c>
      <c r="J14" s="9">
        <f ca="1">AVERAGEIFS(INDIRECT($A$1&amp;"!$S$2:$S$999"),INDIRECT($A$1&amp;"!$Q$2:$Q$999"),"&gt;=6.3",INDIRECT($A$1&amp;"!$D$2:$D$999"),"YES",INDIRECT($A$1&amp;"!$F$2:$F$999"),"UP",INDIRECT($A$1&amp;"!$J$2:$J$999"),"YES")</f>
        <v>3.3846153846153846</v>
      </c>
      <c r="K14">
        <f ca="1">COUNTIFS(INDIRECT($A$1&amp;"!$Q$2:$Q$999"),"&gt;=6.3",INDIRECT($A$1&amp;"!$D$2:$D$999"),"YES",INDIRECT($A$1&amp;"!$F$2:$F$999"),"UP",INDIRECT($A$1&amp;"!$J$2:$J$999"),"YES")</f>
        <v>1</v>
      </c>
      <c r="P14" s="1"/>
      <c r="Q14" s="1"/>
      <c r="R14" s="1"/>
      <c r="S14" s="8"/>
      <c r="T14" s="9"/>
      <c r="U14" s="9"/>
      <c r="V14" s="9"/>
      <c r="W14" s="9"/>
      <c r="X14" s="8"/>
      <c r="Y14" s="9"/>
      <c r="Z14" s="9"/>
      <c r="AA14" s="9"/>
      <c r="AB14" s="9"/>
      <c r="AC14" s="5"/>
      <c r="AD14" s="6"/>
      <c r="AE14" s="6"/>
      <c r="AF14" s="6"/>
      <c r="AG14" s="6"/>
      <c r="AH14" s="5"/>
      <c r="AI14" s="6"/>
      <c r="AJ14" s="6"/>
      <c r="AK14" s="6"/>
      <c r="AL14" s="6"/>
      <c r="AM14" s="5"/>
      <c r="AN14" s="6"/>
      <c r="AO14" s="6"/>
      <c r="AP14" s="6"/>
      <c r="AQ14" s="6"/>
      <c r="AR14" s="5"/>
      <c r="AS14" s="6"/>
      <c r="AT14" s="6"/>
      <c r="AU14" s="6"/>
      <c r="AV14" s="6"/>
      <c r="AW14" s="3"/>
      <c r="AX14" s="4"/>
      <c r="AY14" s="4"/>
      <c r="AZ14" s="4"/>
      <c r="BA14" s="4"/>
    </row>
    <row r="15" spans="1:53" x14ac:dyDescent="0.2">
      <c r="A15" s="8" t="s">
        <v>194</v>
      </c>
      <c r="B15" s="9">
        <f ca="1">AVERAGEIFS(INDIRECT($A$1&amp;"!$S$2:$S$999"),INDIRECT($A$1&amp;"!$E$2:$E$999"),"YES",INDIRECT($A$1&amp;"!$D$2:$D$999"),"YES")</f>
        <v>5.023076923076923</v>
      </c>
      <c r="C15">
        <f ca="1">COUNTIFS(INDIRECT($A$1&amp;"!$E$2:$E$999"),"YES",INDIRECT($A$1&amp;"!$D$2:$D$999"),"YES")</f>
        <v>29</v>
      </c>
      <c r="D15" s="9" t="e">
        <f ca="1">AVERAGEIFS(INDIRECT($A$1&amp;"!$S$2:$S$999"),INDIRECT($A$1&amp;"!$Q$2:$Q$999"),"&lt;=4",INDIRECT($A$1&amp;"!$E$2:$E$999"),"YES",INDIRECT($A$1&amp;"!$D$2:$D$999"),"YES")</f>
        <v>#DIV/0!</v>
      </c>
      <c r="E15">
        <f ca="1">COUNTIFS(INDIRECT($A$1&amp;"!$Q$2:$Q$999"),"&lt;=4",INDIRECT($A$1&amp;"!$E$2:$E$999"),"YES",INDIRECT($A$1&amp;"!$D$2:$D$999"),"YES")</f>
        <v>0</v>
      </c>
      <c r="F15" s="9">
        <f ca="1">AVERAGEIFS(INDIRECT($A$1&amp;"!$S$2:$S$999"),INDIRECT($A$1&amp;"!$Q$2:$Q$999"),"&gt;=4.1",INDIRECT($A$1&amp;"!$Q$2:$Q$999"),"&lt;=5",INDIRECT($A$1&amp;"!$E$2:$E$999"),"YES",INDIRECT($A$1&amp;"!$D$2:$D$999"),"YES")</f>
        <v>6.833333333333333</v>
      </c>
      <c r="G15">
        <f ca="1">COUNTIFS(INDIRECT($A$1&amp;"!$Q$2:$Q$999"),"&gt;=4.1",INDIRECT($A$1&amp;"!$Q$2:$Q$999"),"&lt;=5",INDIRECT($A$1&amp;"!$E$2:$E$999"),"YES",INDIRECT($A$1&amp;"!$D$2:$D$999"),"YES")</f>
        <v>3</v>
      </c>
      <c r="H15" s="9">
        <f ca="1">AVERAGEIFS(INDIRECT($A$1&amp;"!$S$2:$S$999"),INDIRECT($A$1&amp;"!$Q$2:$Q$999"),"&gt;=5.1",INDIRECT($A$1&amp;"!$Q$2:$Q$999"),"&lt;=6.2",INDIRECT($A$1&amp;"!$E$2:$E$999"),"YES",INDIRECT($A$1&amp;"!$D$2:$D$999"),"YES")</f>
        <v>4.833333333333333</v>
      </c>
      <c r="I15">
        <f ca="1">COUNTIFS(INDIRECT($A$1&amp;"!$Q$2:$Q$999"),"&gt;=5.1",INDIRECT($A$1&amp;"!$Q$2:$Q$999"),"&lt;=6.2",INDIRECT($A$1&amp;"!$E$2:$E$999"),"YES",INDIRECT($A$1&amp;"!$D$2:$D$999"),"YES")</f>
        <v>3</v>
      </c>
      <c r="J15" s="9">
        <f ca="1">AVERAGEIFS(INDIRECT($A$1&amp;"!$S$2:$S$999"),INDIRECT($A$1&amp;"!$Q$2:$Q$999"),"&gt;=6.3",INDIRECT($A$1&amp;"!$E$2:$E$999"),"YES",INDIRECT($A$1&amp;"!$D$2:$D$999"),"YES")</f>
        <v>2.5923076923076924</v>
      </c>
      <c r="K15">
        <f ca="1">COUNTIFS(INDIRECT($A$1&amp;"!$Q$2:$Q$999"),"&gt;=6.3",INDIRECT($A$1&amp;"!$E$2:$E$999"),"YES",INDIRECT($A$1&amp;"!$D$2:$D$999"),"YES")</f>
        <v>2</v>
      </c>
      <c r="S15" s="8"/>
      <c r="T15" s="8"/>
      <c r="U15" s="8"/>
      <c r="V15" s="8"/>
      <c r="W15" s="8"/>
      <c r="X15" s="8"/>
      <c r="Y15" s="8"/>
      <c r="Z15" s="8"/>
      <c r="AA15" s="8"/>
      <c r="AB15" s="8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3"/>
      <c r="AX15" s="3"/>
      <c r="AY15" s="3"/>
      <c r="AZ15" s="3"/>
      <c r="BA15" s="3"/>
    </row>
    <row r="16" spans="1:53" x14ac:dyDescent="0.2">
      <c r="A16" s="8" t="s">
        <v>197</v>
      </c>
      <c r="B16" s="9">
        <f ca="1">AVERAGEIFS(INDIRECT($A$1&amp;"!$S$2:$S$999"),INDIRECT($A$1&amp;"!$E$2:$E$999"),"YES",INDIRECT($A$1&amp;"!$D$2:$D$999"),"YES")</f>
        <v>5.023076923076923</v>
      </c>
      <c r="C16">
        <f ca="1">COUNTIFS(INDIRECT($A$1&amp;"!$E$2:$E$999"),"YES",INDIRECT($A$1&amp;"!$D$2:$D$999"),"YES",INDIRECT($A$1&amp;"!$C$2:$C$999"),"&gt;=0.01")</f>
        <v>9</v>
      </c>
      <c r="D16" s="9" t="e">
        <f ca="1">AVERAGEIFS(INDIRECT($A$1&amp;"!$S$2:$S$999"),INDIRECT($A$1&amp;"!$Q$2:$Q$999"),"&lt;=4",INDIRECT($A$1&amp;"!$E$2:$E$999"),"YES",INDIRECT($A$1&amp;"!$D$2:$D$999"),"YES",INDIRECT($A$1&amp;"!$C$2:$C$999"),"&gt;=0.01")</f>
        <v>#DIV/0!</v>
      </c>
      <c r="E16">
        <f ca="1">COUNTIFS(INDIRECT($A$1&amp;"!$Q$2:$Q$999"),"&lt;=4",INDIRECT($A$1&amp;"!$E$2:$E$999"),"YES",INDIRECT($A$1&amp;"!$D$2:$D$999"),"YES",INDIRECT($A$1&amp;"!$C$2:$C$999"),"&gt;=0.01")</f>
        <v>0</v>
      </c>
      <c r="F16" s="9">
        <f ca="1">AVERAGEIFS(INDIRECT($A$1&amp;"!$S$2:$S$999"),INDIRECT($A$1&amp;"!$Q$2:$Q$999"),"&gt;=4.1",INDIRECT($A$1&amp;"!$Q$2:$Q$999"),"&lt;=5",INDIRECT($A$1&amp;"!$E$2:$E$999"),"YES",INDIRECT($A$1&amp;"!$D$2:$D$999"),"YES",INDIRECT($A$1&amp;"!$C$2:$C$999"),"&gt;=0.01")</f>
        <v>6.833333333333333</v>
      </c>
      <c r="G16">
        <f ca="1">COUNTIFS(INDIRECT($A$1&amp;"!$Q$2:$Q$999"),"&gt;=4.1",INDIRECT($A$1&amp;"!$Q$2:$Q$999"),"&lt;=5",INDIRECT($A$1&amp;"!$E$2:$E$999"),"YES",INDIRECT($A$1&amp;"!$D$2:$D$999"),"YES",INDIRECT($A$1&amp;"!$C$2:$C$999"),"&gt;=0.01")</f>
        <v>3</v>
      </c>
      <c r="H16" s="9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AVERAGEIFS(INDIRECT($A$1&amp;"!$S$2:$S$999"),INDIRECT($A$1&amp;"!$Q$2:$Q$999"),"&gt;=5.1",INDIRECT($A$1&amp;"!$Q$2:$Q$999"),"&lt;=6.2",INDIRECT($A$1&amp;"!$E$2:$E$999"),"YES",INDIRECT($A$1&amp;"!$D$2:$D$999"),"YES",INDIRECT($A$1&amp;"!$C$2:$C$999"),"&gt;=0.01")</f>
        <v>4.833333333333333</v>
      </c>
      <c r="I16">
        <f ca="1">COUNTIFS(INDIRECT($A$1&amp;"!$Q$2:$Q$999"),"&gt;=5.1",INDIRECT($A$1&amp;"!$Q$2:$Q$999"),"&lt;=6.2",INDIRECT($A$1&amp;"!$E$2:$E$999"),"YES",INDIRECT($A$1&amp;"!$D$2:$D$999"),"YES",INDIRECT($A$1&amp;"!$C$2:$C$999"),"&gt;=0.01")</f>
        <v>3</v>
      </c>
      <c r="J16" s="9">
        <f ca="1">AVERAGEIFS(INDIRECT($A$1&amp;"!$S$2:$S$999"),INDIRECT($A$1&amp;"!$Q$2:$Q$999"),"&gt;=6.3",INDIRECT($A$1&amp;"!$E$2:$E$999"),"YES",INDIRECT($A$1&amp;"!$D$2:$D$999"),"YES",INDIRECT($A$1&amp;"!$C$2:$C$999"),"&gt;=0.01")</f>
        <v>1.8</v>
      </c>
      <c r="K16">
        <f ca="1">COUNTIFS(INDIRECT($A$1&amp;"!$Q$2:$Q$999"),"&gt;=6.3",INDIRECT($A$1&amp;"!$E$2:$E$999"),"YES",INDIRECT($A$1&amp;"!$D$2:$D$999"),"YES",INDIRECT($A$1&amp;"!$C$2:$C$999"),"&gt;=0.01")</f>
        <v>1</v>
      </c>
      <c r="O16" s="1"/>
      <c r="P16" s="1"/>
      <c r="Q16" s="1"/>
      <c r="R16" s="1"/>
      <c r="S16" s="9"/>
      <c r="T16" s="9"/>
      <c r="U16" s="9"/>
      <c r="V16" s="9"/>
      <c r="W16" s="9"/>
      <c r="X16" s="9"/>
      <c r="Y16" s="9"/>
      <c r="Z16" s="9"/>
      <c r="AA16" s="9"/>
      <c r="AB16" s="9"/>
      <c r="AC16" s="5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3"/>
      <c r="AX16" s="4"/>
      <c r="AY16" s="4"/>
      <c r="AZ16" s="4"/>
      <c r="BA16" s="4"/>
    </row>
    <row r="17" spans="1:53" x14ac:dyDescent="0.2">
      <c r="A17" s="8" t="s">
        <v>154</v>
      </c>
      <c r="B17" s="9">
        <f ca="1">AVERAGEIFS(INDIRECT($A$1&amp;"!$S$2:$S$999"),INDIRECT($A$1&amp;"!$J$2:$J$999"),"YES",INDIRECT($A$1&amp;"!$i$2:$i$999"),"YES")</f>
        <v>4.851136363636364</v>
      </c>
      <c r="C17" s="8">
        <f ca="1">COUNTIFS(INDIRECT($A$1&amp;"!$J$2:$J$999"),"YES",INDIRECT($A$1&amp;"!$i$2:$i$999"),"YES")</f>
        <v>8</v>
      </c>
      <c r="D17" s="9">
        <f ca="1">AVERAGEIFS(INDIRECT($A$1&amp;"!$S$2:$S$999"),INDIRECT($A$1&amp;"!$Q$2:$Q$999"),"&lt;=4",INDIRECT($A$1&amp;"!$J$2:$J$999"),"YES",INDIRECT($A$1&amp;"!$i$2:$i$999"),"YES")</f>
        <v>6.1</v>
      </c>
      <c r="E17" s="8">
        <f ca="1">COUNTIFS(INDIRECT($A$1&amp;"!$Q$2:$Q$999"),"&lt;=4",INDIRECT($A$1&amp;"!$J$2:$J$999"),"YES",INDIRECT($A$1&amp;"!$i$2:$i$999"),"YES")</f>
        <v>1</v>
      </c>
      <c r="F17" s="9">
        <f ca="1">AVERAGEIFS(INDIRECT($A$1&amp;"!$S$2:$S$999"),INDIRECT($A$1&amp;"!$Q$2:$Q$999"),"&gt;=4.1",INDIRECT($A$1&amp;"!$Q$2:$Q$999"),"&lt;=5",INDIRECT($A$1&amp;"!$J$2:$J$999"),"YES",INDIRECT($A$1&amp;"!$i$2:$i$999"),"YES")</f>
        <v>5.5500000000000007</v>
      </c>
      <c r="G17" s="8">
        <f ca="1">COUNTIFS(INDIRECT($A$1&amp;"!$Q$2:$Q$999"),"&gt;=4.1",INDIRECT($A$1&amp;"!$Q$2:$Q$999"),"&lt;=5",INDIRECT($A$1&amp;"!$J$2:$J$999"),"YES",INDIRECT($A$1&amp;"!$i$2:$i$999"),"YES")</f>
        <v>4</v>
      </c>
      <c r="H17" s="9">
        <f ca="1">AVERAGEIFS(INDIRECT($A$1&amp;"!$S$2:$S$999"),INDIRECT($A$1&amp;"!$Q$2:$Q$999"),"&gt;=5.1",INDIRECT($A$1&amp;"!$Q$2:$Q$999"),"&lt;=6.2",INDIRECT($A$1&amp;"!$J$2:$J$999"),"YES",INDIRECT($A$1&amp;"!$i$2:$i$999"),"YES")</f>
        <v>3.9545454545454546</v>
      </c>
      <c r="I17" s="8">
        <f ca="1">COUNTIFS(INDIRECT($A$1&amp;"!$Q$2:$Q$999"),"&gt;=5.1",INDIRECT($A$1&amp;"!$Q$2:$Q$999"),"&lt;=6.2",INDIRECT($A$1&amp;"!$J$2:$J$999"),"YES",INDIRECT($A$1&amp;"!$i$2:$i$999"),"YES")</f>
        <v>2</v>
      </c>
      <c r="J17" s="9">
        <f ca="1">AVERAGEIFS(INDIRECT($A$1&amp;"!$S$2:$S$999"),INDIRECT($A$1&amp;"!$Q$2:$Q$999"),"&gt;=6.3",INDIRECT($A$1&amp;"!$J$2:$J$999"),"YES",INDIRECT($A$1&amp;"!$i$2:$i$999"),"YES")</f>
        <v>2.6</v>
      </c>
      <c r="K17" s="8">
        <f ca="1">COUNTIFS(INDIRECT($A$1&amp;"!$Q$2:$Q$999"),"&gt;=6.3",INDIRECT($A$1&amp;"!$J$2:$J$999"),"YES",INDIRECT($A$1&amp;"!$i$2:$i$999"),"YES")</f>
        <v>1</v>
      </c>
      <c r="O17" s="1"/>
      <c r="P17" s="1"/>
      <c r="Q17" s="1"/>
      <c r="R17" s="1"/>
      <c r="S17" s="8"/>
      <c r="T17" s="9"/>
      <c r="U17" s="9"/>
      <c r="V17" s="9"/>
      <c r="W17" s="9"/>
      <c r="X17" s="8"/>
      <c r="Y17" s="9"/>
      <c r="Z17" s="9"/>
      <c r="AA17" s="9"/>
      <c r="AB17" s="9"/>
      <c r="AC17" s="5"/>
      <c r="AD17" s="6"/>
      <c r="AE17" s="6"/>
      <c r="AF17" s="6"/>
      <c r="AG17" s="6"/>
      <c r="AH17" s="5"/>
      <c r="AI17" s="6"/>
      <c r="AJ17" s="6"/>
      <c r="AK17" s="6"/>
      <c r="AL17" s="6"/>
      <c r="AM17" s="5"/>
      <c r="AN17" s="6"/>
      <c r="AO17" s="6"/>
      <c r="AP17" s="6"/>
      <c r="AQ17" s="6"/>
      <c r="AR17" s="5"/>
      <c r="AS17" s="6"/>
      <c r="AT17" s="6"/>
      <c r="AU17" s="6"/>
      <c r="AV17" s="6"/>
      <c r="AW17" s="3"/>
      <c r="AX17" s="4"/>
      <c r="AY17" s="4"/>
      <c r="AZ17" s="4"/>
      <c r="BA17" s="4"/>
    </row>
    <row r="18" spans="1:53" x14ac:dyDescent="0.2">
      <c r="A18" s="9" t="s">
        <v>215</v>
      </c>
      <c r="B18" s="9">
        <f ca="1">AVERAGEIFS(INDIRECT($A$1&amp;"!$S$2:$S$999"),INDIRECT($A$1&amp;"!$D$2:$D$999"),"YES",INDIRECT($A$1&amp;"!$J$2:$J$999"),"YES")</f>
        <v>4.5705294705294701</v>
      </c>
      <c r="C18">
        <f ca="1">COUNTIFS(INDIRECT($A$1&amp;"!$D$2:$D$999"),"YES",INDIRECT($A$1&amp;"!$J$2:$J$999"),"YES")</f>
        <v>7</v>
      </c>
      <c r="D18" s="9">
        <f ca="1">AVERAGEIFS(INDIRECT($A$1&amp;"!$S$2:$S$999"),INDIRECT($A$1&amp;"!$Q$2:$Q$999"),"&lt;=4",INDIRECT($A$1&amp;"!$D$2:$D$999"),"YES",INDIRECT($A$1&amp;"!$J$2:$J$999"),"YES")</f>
        <v>3.4</v>
      </c>
      <c r="E18">
        <f ca="1">COUNTIFS(INDIRECT($A$1&amp;"!$Q$2:$Q$999"),"&lt;=4",INDIRECT($A$1&amp;"!$D$2:$D$999"),"YES",INDIRECT($A$1&amp;"!$J$2:$J$999"),"YES")</f>
        <v>1</v>
      </c>
      <c r="F18" s="9">
        <f ca="1">AVERAGEIFS(INDIRECT($A$1&amp;"!$S$2:$S$999"),INDIRECT($A$1&amp;"!$Q$2:$Q$999"),"&gt;=4.1",INDIRECT($A$1&amp;"!$Q$2:$Q$999"),"&lt;=5",INDIRECT($A$1&amp;"!$D$2:$D$999"),"YES",INDIRECT($A$1&amp;"!$J$2:$J$999"),"YES")</f>
        <v>5.8000000000000007</v>
      </c>
      <c r="G18">
        <f ca="1">COUNTIFS(INDIRECT($A$1&amp;"!$Q$2:$Q$999"),"&gt;=4.1",INDIRECT($A$1&amp;"!$Q$2:$Q$999"),"&lt;=5",INDIRECT($A$1&amp;"!$D$2:$D$999"),"YES",INDIRECT($A$1&amp;"!$J$2:$J$999"),"YES")</f>
        <v>2</v>
      </c>
      <c r="H18" s="9">
        <f ca="1">AVERAGEIFS(INDIRECT($A$1&amp;"!$S$2:$S$999"),INDIRECT($A$1&amp;"!$Q$2:$Q$999"),"&gt;=5.1",INDIRECT($A$1&amp;"!$Q$2:$Q$999"),"&lt;=6.2",INDIRECT($A$1&amp;"!$D$2:$D$999"),"YES",INDIRECT($A$1&amp;"!$J$2:$J$999"),"YES")</f>
        <v>4.5363636363636362</v>
      </c>
      <c r="I18">
        <f ca="1">COUNTIFS(INDIRECT($A$1&amp;"!$Q$2:$Q$999"),"&gt;=5.1",INDIRECT($A$1&amp;"!$Q$2:$Q$999"),"&lt;=6.2",INDIRECT($A$1&amp;"!$D$2:$D$999"),"YES",INDIRECT($A$1&amp;"!$J$2:$J$999"),"YES")</f>
        <v>3</v>
      </c>
      <c r="J18" s="9">
        <f ca="1">AVERAGEIFS(INDIRECT($A$1&amp;"!$S$2:$S$999"),INDIRECT($A$1&amp;"!$Q$2:$Q$999"),"&gt;=6.3",INDIRECT($A$1&amp;"!$D$2:$D$999"),"YES",INDIRECT($A$1&amp;"!$J$2:$J$999"),"YES")</f>
        <v>3.3846153846153846</v>
      </c>
      <c r="K18">
        <f ca="1">COUNTIFS(INDIRECT($A$1&amp;"!$Q$2:$Q$999"),"&gt;=6.3",INDIRECT($A$1&amp;"!$D$2:$D$999"),"YES",INDIRECT($A$1&amp;"!$J$2:$J$999"),"YES")</f>
        <v>1</v>
      </c>
      <c r="O18" s="1"/>
      <c r="P18" s="1"/>
      <c r="Q18" s="1"/>
      <c r="R18" s="1"/>
      <c r="S18" s="8"/>
      <c r="T18" s="9"/>
      <c r="U18" s="9"/>
      <c r="V18" s="9"/>
      <c r="W18" s="9"/>
      <c r="X18" s="8"/>
      <c r="Y18" s="9"/>
      <c r="Z18" s="9"/>
      <c r="AA18" s="9"/>
      <c r="AB18" s="9"/>
      <c r="AC18" s="5"/>
      <c r="AD18" s="6"/>
      <c r="AE18" s="6"/>
      <c r="AF18" s="6"/>
      <c r="AG18" s="6"/>
      <c r="AH18" s="5"/>
      <c r="AI18" s="6"/>
      <c r="AJ18" s="6"/>
      <c r="AK18" s="6"/>
      <c r="AL18" s="6"/>
      <c r="AM18" s="5"/>
      <c r="AN18" s="6"/>
      <c r="AO18" s="6"/>
      <c r="AP18" s="6"/>
      <c r="AQ18" s="6"/>
      <c r="AR18" s="5"/>
      <c r="AS18" s="6"/>
      <c r="AT18" s="6"/>
      <c r="AU18" s="6"/>
      <c r="AV18" s="6"/>
      <c r="AW18" s="3"/>
      <c r="AX18" s="4"/>
      <c r="AY18" s="4"/>
      <c r="AZ18" s="4"/>
      <c r="BA18" s="4"/>
    </row>
    <row r="19" spans="1:53" x14ac:dyDescent="0.2">
      <c r="A19" s="9" t="s">
        <v>218</v>
      </c>
      <c r="B19" s="9">
        <f ca="1">AVERAGEIFS(INDIRECT($A$1&amp;"!$S$2:$S$999"),INDIRECT($A$1&amp;"!$D$2:$D$999"),"YES",INDIRECT($A$1&amp;"!$J$2:$J$999"),"YES")</f>
        <v>4.5705294705294701</v>
      </c>
      <c r="C19">
        <f ca="1">COUNTIFS(INDIRECT($A$1&amp;"!$D$2:$D$999"),"YES",INDIRECT($A$1&amp;"!$C$2:$C$999"),"&gt;=0.01",INDIRECT($A$1&amp;"!$J$2:$J$999"),"YES")</f>
        <v>3</v>
      </c>
      <c r="D19" s="9" t="e">
        <f ca="1">AVERAGEIFS(INDIRECT($A$1&amp;"!$S$2:$S$999"),INDIRECT($A$1&amp;"!$Q$2:$Q$999"),"&lt;=4",INDIRECT($A$1&amp;"!$D$2:$D$999"),"YES",INDIRECT($A$1&amp;"!$C$2:$C$999"),"&gt;=0.01",INDIRECT($A$1&amp;"!$J$2:$J$999"),"YES")</f>
        <v>#DIV/0!</v>
      </c>
      <c r="E19">
        <f ca="1">COUNTIFS(INDIRECT($A$1&amp;"!$Q$2:$Q$999"),"&lt;=4",INDIRECT($A$1&amp;"!$D$2:$D$999"),"YES",INDIRECT($A$1&amp;"!$C$2:$C$999"),"&gt;=0.01",INDIRECT($A$1&amp;"!$J$2:$J$999"),"YES")</f>
        <v>0</v>
      </c>
      <c r="F19" s="9">
        <f ca="1">AVERAGEIFS(INDIRECT($A$1&amp;"!$S$2:$S$999"),INDIRECT($A$1&amp;"!$Q$2:$Q$999"),"&gt;=4.1",INDIRECT($A$1&amp;"!$Q$2:$Q$999"),"&lt;=5",INDIRECT($A$1&amp;"!$D$2:$D$999"),"YES",INDIRECT($A$1&amp;"!$C$2:$C$999"),"&gt;=0.01",INDIRECT($A$1&amp;"!$J$2:$J$999"),"YES")</f>
        <v>2.8</v>
      </c>
      <c r="G19">
        <f ca="1">COUNTIFS(INDIRECT($A$1&amp;"!$Q$2:$Q$999"),"&gt;=4.1",INDIRECT($A$1&amp;"!$Q$2:$Q$999"),"&lt;=5",INDIRECT($A$1&amp;"!$D$2:$D$999"),"YES",INDIRECT($A$1&amp;"!$C$2:$C$999"),"&gt;=0.01",INDIRECT($A$1&amp;"!$J$2:$J$999"),"YES")</f>
        <v>1</v>
      </c>
      <c r="H19" s="9">
        <f ca="1">AVERAGEIFS(INDIRECT($A$1&amp;"!$S$2:$S$999"),INDIRECT($A$1&amp;"!$Q$2:$Q$999"),"&gt;=5.1",INDIRECT($A$1&amp;"!$Q$2:$Q$999"),"&lt;=6.2",INDIRECT($A$1&amp;"!$D$2:$D$999"),"YES",INDIRECT($A$1&amp;"!$C$2:$C$999"),"&gt;=0.01",INDIRECT($A$1&amp;"!$J$2:$J$999"),"YES")</f>
        <v>4.704545454545455</v>
      </c>
      <c r="I19">
        <f ca="1">COUNTIFS(INDIRECT($A$1&amp;"!$Q$2:$Q$999"),"&gt;=5.1",INDIRECT($A$1&amp;"!$Q$2:$Q$999"),"&lt;=6.2",INDIRECT($A$1&amp;"!$D$2:$D$999"),"YES",INDIRECT($A$1&amp;"!$C$2:$C$999"),"&gt;=0.01",INDIRECT($A$1&amp;"!$J$2:$J$999"),"YES")</f>
        <v>2</v>
      </c>
      <c r="J19" s="9" t="e">
        <f ca="1">AVERAGEIFS(INDIRECT($A$1&amp;"!$S$2:$S$999"),INDIRECT($A$1&amp;"!$Q$2:$Q$999"),"&gt;=6.3",INDIRECT($A$1&amp;"!$D$2:$D$999"),"YES",INDIRECT($A$1&amp;"!$C$2:$C$999"),"&gt;=0.01",INDIRECT($A$1&amp;"!$J$2:$J$999"),"YES")</f>
        <v>#DIV/0!</v>
      </c>
      <c r="K19">
        <f ca="1">COUNTIFS(INDIRECT($A$1&amp;"!$Q$2:$Q$999"),"&gt;=6.3",INDIRECT($A$1&amp;"!$D$2:$D$999"),"YES",INDIRECT($A$1&amp;"!$C$2:$C$999"),"&gt;=0.01",INDIRECT($A$1&amp;"!$J$2:$J$999"),"YES")</f>
        <v>0</v>
      </c>
      <c r="N19" s="2"/>
      <c r="O19" s="1"/>
      <c r="P19" s="1"/>
      <c r="Q19" s="1"/>
      <c r="R19" s="1"/>
      <c r="S19" s="8"/>
      <c r="T19" s="8"/>
      <c r="U19" s="9"/>
      <c r="V19" s="9"/>
      <c r="W19" s="9"/>
      <c r="X19" s="8"/>
      <c r="Y19" s="8"/>
      <c r="Z19" s="9"/>
      <c r="AA19" s="9"/>
      <c r="AB19" s="9"/>
      <c r="AC19" s="7"/>
      <c r="AD19" s="6"/>
      <c r="AE19" s="6"/>
      <c r="AF19" s="6"/>
      <c r="AG19" s="6"/>
      <c r="AH19" s="5"/>
      <c r="AI19" s="5"/>
      <c r="AJ19" s="6"/>
      <c r="AK19" s="6"/>
      <c r="AL19" s="6"/>
      <c r="AM19" s="5"/>
      <c r="AN19" s="5"/>
      <c r="AO19" s="6"/>
      <c r="AP19" s="6"/>
      <c r="AQ19" s="6"/>
      <c r="AR19" s="5"/>
      <c r="AS19" s="5"/>
      <c r="AT19" s="6"/>
      <c r="AU19" s="6"/>
      <c r="AV19" s="6"/>
      <c r="AW19" s="3"/>
      <c r="AX19" s="3"/>
      <c r="AY19" s="4"/>
      <c r="AZ19" s="4"/>
      <c r="BA19" s="4"/>
    </row>
    <row r="20" spans="1:53" x14ac:dyDescent="0.2">
      <c r="A20" s="8" t="s">
        <v>214</v>
      </c>
      <c r="B20" s="9">
        <f ca="1">AVERAGEIFS(INDIRECT($A$1&amp;"!$S$2:$S$999"),INDIRECT($A$1&amp;"!$E$2:$E$999"),"YES",INDIRECT($A$1&amp;"!$J$2:$J$999"),"YES")</f>
        <v>4.5423076923076922</v>
      </c>
      <c r="C20">
        <f ca="1">COUNTIFS(INDIRECT($A$1&amp;"!$E$2:$E$999"),"YES",INDIRECT($A$1&amp;"!$J$2:$J$999"),"YES")</f>
        <v>2</v>
      </c>
      <c r="D20" s="9" t="e">
        <f ca="1">AVERAGEIFS(INDIRECT($A$1&amp;"!$S$2:$S$999"),INDIRECT($A$1&amp;"!$Q$2:$Q$999"),"&lt;=4",INDIRECT($A$1&amp;"!$E$2:$E$999"),"YES",INDIRECT($A$1&amp;"!$J$2:$J$999"),"YES")</f>
        <v>#DIV/0!</v>
      </c>
      <c r="E20">
        <f ca="1">COUNTIFS(INDIRECT($A$1&amp;"!$Q$2:$Q$999"),"&lt;=4",INDIRECT($A$1&amp;"!$E$2:$E$999"),"YES",INDIRECT($A$1&amp;"!$J$2:$J$999"),"YES")</f>
        <v>0</v>
      </c>
      <c r="F20" s="9" t="e">
        <f ca="1">AVERAGEIFS(INDIRECT($A$1&amp;"!$S$2:$S$999"),INDIRECT($A$1&amp;"!$Q$2:$Q$999"),"&gt;=4.1",INDIRECT($A$1&amp;"!$Q$2:$Q$999"),"&lt;=5",INDIRECT($A$1&amp;"!$E$2:$E$999"),"YES",INDIRECT($A$1&amp;"!$J$2:$J$999"),"YES")</f>
        <v>#DIV/0!</v>
      </c>
      <c r="G20">
        <f ca="1">COUNTIFS(INDIRECT($A$1&amp;"!$Q$2:$Q$999"),"&gt;=4.1",INDIRECT($A$1&amp;"!$Q$2:$Q$999"),"&lt;=5",INDIRECT($A$1&amp;"!$E$2:$E$999"),"YES",INDIRECT($A$1&amp;"!$J$2:$J$999"),"YES")</f>
        <v>0</v>
      </c>
      <c r="H20" s="9">
        <f ca="1">AVERAGEIFS(INDIRECT($A$1&amp;"!$S$2:$S$999"),INDIRECT($A$1&amp;"!$Q$2:$Q$999"),"&gt;=5.1",INDIRECT($A$1&amp;"!$Q$2:$Q$999"),"&lt;=6.2",INDIRECT($A$1&amp;"!$E$2:$E$999"),"YES",INDIRECT($A$1&amp;"!$J$2:$J$999"),"YES")</f>
        <v>5.7</v>
      </c>
      <c r="I20">
        <f ca="1">COUNTIFS(INDIRECT($A$1&amp;"!$Q$2:$Q$999"),"&gt;=5.1",INDIRECT($A$1&amp;"!$Q$2:$Q$999"),"&lt;=6.2",INDIRECT($A$1&amp;"!$E$2:$E$999"),"YES",INDIRECT($A$1&amp;"!$J$2:$J$999"),"YES")</f>
        <v>1</v>
      </c>
      <c r="J20" s="9">
        <f ca="1">AVERAGEIFS(INDIRECT($A$1&amp;"!$S$2:$S$999"),INDIRECT($A$1&amp;"!$Q$2:$Q$999"),"&gt;=6.3",INDIRECT($A$1&amp;"!$E$2:$E$999"),"YES",INDIRECT($A$1&amp;"!$J$2:$J$999"),"YES")</f>
        <v>3.3846153846153846</v>
      </c>
      <c r="K20">
        <f ca="1">COUNTIFS(INDIRECT($A$1&amp;"!$Q$2:$Q$999"),"&gt;=6.3",INDIRECT($A$1&amp;"!$E$2:$E$999"),"YES",INDIRECT($A$1&amp;"!$J$2:$J$999"),"YES")</f>
        <v>1</v>
      </c>
      <c r="O20" s="1"/>
      <c r="P20" s="1"/>
      <c r="Q20" s="1"/>
      <c r="R20" s="1"/>
      <c r="S20" s="8"/>
      <c r="T20" s="9"/>
      <c r="U20" s="9"/>
      <c r="V20" s="9"/>
      <c r="W20" s="9"/>
      <c r="X20" s="8"/>
      <c r="Y20" s="9"/>
      <c r="Z20" s="9"/>
      <c r="AA20" s="9"/>
      <c r="AB20" s="9"/>
      <c r="AC20" s="5"/>
      <c r="AD20" s="6"/>
      <c r="AE20" s="6"/>
      <c r="AF20" s="6"/>
      <c r="AG20" s="6"/>
      <c r="AH20" s="5"/>
      <c r="AI20" s="6"/>
      <c r="AJ20" s="6"/>
      <c r="AK20" s="6"/>
      <c r="AL20" s="6"/>
      <c r="AM20" s="5"/>
      <c r="AN20" s="6"/>
      <c r="AO20" s="6"/>
      <c r="AP20" s="6"/>
      <c r="AQ20" s="6"/>
      <c r="AR20" s="5"/>
      <c r="AS20" s="6"/>
      <c r="AT20" s="6"/>
      <c r="AU20" s="6"/>
      <c r="AV20" s="6"/>
      <c r="AW20" s="3"/>
      <c r="AX20" s="4"/>
      <c r="AY20" s="4"/>
      <c r="AZ20" s="4"/>
      <c r="BA20" s="4"/>
    </row>
    <row r="21" spans="1:53" x14ac:dyDescent="0.2">
      <c r="A21" s="8" t="s">
        <v>216</v>
      </c>
      <c r="B21" s="9">
        <f ca="1">AVERAGEIFS(INDIRECT($A$1&amp;"!$S$2:$S$999"),INDIRECT($A$1&amp;"!$E$2:$E$999"),"YES",INDIRECT($A$1&amp;"!$D$2:$D$999"),"YES",INDIRECT($A$1&amp;"!$J$2:$J$999"),"YES")</f>
        <v>4.5423076923076922</v>
      </c>
      <c r="C21">
        <f ca="1">COUNTIFS(INDIRECT($A$1&amp;"!$E$2:$E$999"),"YES",INDIRECT($A$1&amp;"!$D$2:$D$999"),"YES",INDIRECT($A$1&amp;"!$J$2:$J$999"),"YES")</f>
        <v>2</v>
      </c>
      <c r="D21" s="9" t="e">
        <f ca="1">AVERAGEIFS(INDIRECT($A$1&amp;"!$S$2:$S$999"),INDIRECT($A$1&amp;"!$Q$2:$Q$999"),"&lt;=4",INDIRECT($A$1&amp;"!$E$2:$E$999"),"YES",INDIRECT($A$1&amp;"!$D$2:$D$999"),"YES",INDIRECT($A$1&amp;"!$J$2:$J$999"),"YES")</f>
        <v>#DIV/0!</v>
      </c>
      <c r="E21">
        <f ca="1">COUNTIFS(INDIRECT($A$1&amp;"!$Q$2:$Q$999"),"&lt;=4",INDIRECT($A$1&amp;"!$E$2:$E$999"),"YES",INDIRECT($A$1&amp;"!$D$2:$D$999"),"YES",INDIRECT($A$1&amp;"!$J$2:$J$999"),"YES")</f>
        <v>0</v>
      </c>
      <c r="F21" s="9" t="e">
        <f ca="1">AVERAGEIFS(INDIRECT($A$1&amp;"!$S$2:$S$999"),INDIRECT($A$1&amp;"!$Q$2:$Q$999"),"&gt;=4.1",INDIRECT($A$1&amp;"!$Q$2:$Q$999"),"&lt;=5",INDIRECT($A$1&amp;"!$E$2:$E$999"),"YES",INDIRECT($A$1&amp;"!$D$2:$D$999"),"YES",INDIRECT($A$1&amp;"!$J$2:$J$999"),"YES")</f>
        <v>#DIV/0!</v>
      </c>
      <c r="G21">
        <f ca="1">COUNTIFS(INDIRECT($A$1&amp;"!$Q$2:$Q$999"),"&gt;=4.1",INDIRECT($A$1&amp;"!$Q$2:$Q$999"),"&lt;=5",INDIRECT($A$1&amp;"!$E$2:$E$999"),"YES",INDIRECT($A$1&amp;"!$D$2:$D$999"),"YES",INDIRECT($A$1&amp;"!$J$2:$J$999"),"YES")</f>
        <v>0</v>
      </c>
      <c r="H21" s="9">
        <f ca="1">AVERAGEIFS(INDIRECT($A$1&amp;"!$S$2:$S$999"),INDIRECT($A$1&amp;"!$Q$2:$Q$999"),"&gt;=5.1",INDIRECT($A$1&amp;"!$Q$2:$Q$999"),"&lt;=6.2",INDIRECT($A$1&amp;"!$E$2:$E$999"),"YES",INDIRECT($A$1&amp;"!$D$2:$D$999"),"YES",INDIRECT($A$1&amp;"!$J$2:$J$999"),"YES")</f>
        <v>5.7</v>
      </c>
      <c r="I21">
        <f ca="1">COUNTIFS(INDIRECT($A$1&amp;"!$Q$2:$Q$999"),"&gt;=5.1",INDIRECT($A$1&amp;"!$Q$2:$Q$999"),"&lt;=6.2",INDIRECT($A$1&amp;"!$E$2:$E$999"),"YES",INDIRECT($A$1&amp;"!$D$2:$D$999"),"YES",INDIRECT($A$1&amp;"!$J$2:$J$999"),"YES")</f>
        <v>1</v>
      </c>
      <c r="J21" s="9">
        <f ca="1">AVERAGEIFS(INDIRECT($A$1&amp;"!$S$2:$S$999"),INDIRECT($A$1&amp;"!$Q$2:$Q$999"),"&gt;=6.3",INDIRECT($A$1&amp;"!$E$2:$E$999"),"YES",INDIRECT($A$1&amp;"!$D$2:$D$999"),"YES",INDIRECT($A$1&amp;"!$J$2:$J$999"),"YES")</f>
        <v>3.3846153846153846</v>
      </c>
      <c r="K21">
        <f ca="1">COUNTIFS(INDIRECT($A$1&amp;"!$Q$2:$Q$999"),"&gt;=6.3",INDIRECT($A$1&amp;"!$E$2:$E$999"),"YES",INDIRECT($A$1&amp;"!$D$2:$D$999"),"YES",INDIRECT($A$1&amp;"!$J$2:$J$999"),"YES")</f>
        <v>1</v>
      </c>
      <c r="O21" s="1"/>
      <c r="P21" s="1"/>
      <c r="Q21" s="1"/>
      <c r="R21" s="1"/>
      <c r="S21" s="8"/>
      <c r="T21" s="9"/>
      <c r="U21" s="9"/>
      <c r="V21" s="9"/>
      <c r="W21" s="9"/>
      <c r="X21" s="8"/>
      <c r="Y21" s="9"/>
      <c r="Z21" s="9"/>
      <c r="AA21" s="9"/>
      <c r="AB21" s="9"/>
      <c r="AC21" s="5"/>
      <c r="AD21" s="6"/>
      <c r="AE21" s="6"/>
      <c r="AF21" s="6"/>
      <c r="AG21" s="6"/>
      <c r="AH21" s="5"/>
      <c r="AI21" s="6"/>
      <c r="AJ21" s="6"/>
      <c r="AK21" s="6"/>
      <c r="AL21" s="6"/>
      <c r="AM21" s="5"/>
      <c r="AN21" s="6"/>
      <c r="AO21" s="6"/>
      <c r="AP21" s="6"/>
      <c r="AQ21" s="6"/>
      <c r="AR21" s="5"/>
      <c r="AS21" s="6"/>
      <c r="AT21" s="6"/>
      <c r="AU21" s="6"/>
      <c r="AV21" s="6"/>
      <c r="AW21" s="3"/>
      <c r="AX21" s="4"/>
      <c r="AY21" s="4"/>
      <c r="AZ21" s="4"/>
      <c r="BA21" s="4"/>
    </row>
    <row r="22" spans="1:53" x14ac:dyDescent="0.2">
      <c r="A22" s="8" t="s">
        <v>219</v>
      </c>
      <c r="B22" s="9">
        <f ca="1">AVERAGEIFS(INDIRECT($A$1&amp;"!$S$2:$S$999"),INDIRECT($A$1&amp;"!$E$2:$E$999"),"YES",INDIRECT($A$1&amp;"!$D$2:$D$999"),"YES",INDIRECT($A$1&amp;"!$J$2:$J$999"),"YES")</f>
        <v>4.5423076923076922</v>
      </c>
      <c r="C22">
        <f ca="1">COUNTIFS(INDIRECT($A$1&amp;"!$E$2:$E$999"),"YES",INDIRECT($A$1&amp;"!$D$2:$D$999"),"YES",INDIRECT($A$1&amp;"!$C$2:$C$999"),"&gt;=0.01",INDIRECT($A$1&amp;"!$J$2:$J$999"),"YES")</f>
        <v>1</v>
      </c>
      <c r="D22" s="9" t="e">
        <f ca="1">AVERAGEIFS(INDIRECT($A$1&amp;"!$S$2:$S$999"),INDIRECT($A$1&amp;"!$Q$2:$Q$999"),"&lt;=4",INDIRECT($A$1&amp;"!$E$2:$E$999"),"YES",INDIRECT($A$1&amp;"!$D$2:$D$999"),"YES",INDIRECT($A$1&amp;"!$C$2:$C$999"),"&gt;=0.01",INDIRECT($A$1&amp;"!$J$2:$J$999"),"YES")</f>
        <v>#DIV/0!</v>
      </c>
      <c r="E22">
        <f ca="1">COUNTIFS(INDIRECT($A$1&amp;"!$Q$2:$Q$999"),"&lt;=4",INDIRECT($A$1&amp;"!$E$2:$E$999"),"YES",INDIRECT($A$1&amp;"!$D$2:$D$999"),"YES",INDIRECT($A$1&amp;"!$C$2:$C$999"),"&gt;=0.01",INDIRECT($A$1&amp;"!$J$2:$J$999"),"YES")</f>
        <v>0</v>
      </c>
      <c r="F22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J$2:$J$999"),"YES")</f>
        <v>#DIV/0!</v>
      </c>
      <c r="G22">
        <f ca="1">COUNTIFS(INDIRECT($A$1&amp;"!$Q$2:$Q$999"),"&gt;=4.1",INDIRECT($A$1&amp;"!$Q$2:$Q$999"),"&lt;=5",INDIRECT($A$1&amp;"!$E$2:$E$999"),"YES",INDIRECT($A$1&amp;"!$D$2:$D$999"),"YES",INDIRECT($A$1&amp;"!$C$2:$C$999"),"&gt;=0.01",INDIRECT($A$1&amp;"!$J$2:$J$999"),"YES")</f>
        <v>0</v>
      </c>
      <c r="H22" s="9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J$2:$J$999"),"YES")</f>
        <v>5.7</v>
      </c>
      <c r="I22">
        <f ca="1">COUNTIFS(INDIRECT($A$1&amp;"!$Q$2:$Q$999"),"&gt;=5.1",INDIRECT($A$1&amp;"!$Q$2:$Q$999"),"&lt;=6.2",INDIRECT($A$1&amp;"!$E$2:$E$999"),"YES",INDIRECT($A$1&amp;"!$D$2:$D$999"),"YES",INDIRECT($A$1&amp;"!$C$2:$C$999"),"&gt;=0.01",INDIRECT($A$1&amp;"!$J$2:$J$999"),"YES")</f>
        <v>1</v>
      </c>
      <c r="J22" s="9" t="e">
        <f ca="1">AVERAGEIFS(INDIRECT($A$1&amp;"!$S$2:$S$999"),INDIRECT($A$1&amp;"!$Q$2:$Q$999"),"&gt;=6.3",INDIRECT($A$1&amp;"!$E$2:$E$999"),"YES",INDIRECT($A$1&amp;"!$D$2:$D$999"),"YES",INDIRECT($A$1&amp;"!$C$2:$C$999"),"&gt;=0.01",INDIRECT($A$1&amp;"!$J$2:$J$999"),"YES")</f>
        <v>#DIV/0!</v>
      </c>
      <c r="K22">
        <f ca="1">COUNTIFS(INDIRECT($A$1&amp;"!$Q$2:$Q$999"),"&gt;=6.3",INDIRECT($A$1&amp;"!$E$2:$E$999"),"YES",INDIRECT($A$1&amp;"!$D$2:$D$999"),"YES",INDIRECT($A$1&amp;"!$C$2:$C$999"),"&gt;=0.01",INDIRECT($A$1&amp;"!$J$2:$J$999"),"YES")</f>
        <v>0</v>
      </c>
      <c r="O22" s="1"/>
      <c r="P22" s="1"/>
      <c r="Q22" s="1"/>
      <c r="R22" s="1"/>
      <c r="S22" s="8"/>
      <c r="T22" s="8"/>
      <c r="U22" s="9"/>
      <c r="V22" s="9"/>
      <c r="W22" s="9"/>
      <c r="X22" s="8"/>
      <c r="Y22" s="8"/>
      <c r="Z22" s="9"/>
      <c r="AA22" s="9"/>
      <c r="AB22" s="9"/>
      <c r="AC22" s="5"/>
      <c r="AD22" s="6"/>
      <c r="AE22" s="6"/>
      <c r="AF22" s="6"/>
      <c r="AG22" s="6"/>
      <c r="AH22" s="5"/>
      <c r="AI22" s="5"/>
      <c r="AJ22" s="6"/>
      <c r="AK22" s="6"/>
      <c r="AL22" s="6"/>
      <c r="AM22" s="5"/>
      <c r="AN22" s="5"/>
      <c r="AO22" s="6"/>
      <c r="AP22" s="6"/>
      <c r="AQ22" s="6"/>
      <c r="AR22" s="5"/>
      <c r="AS22" s="5"/>
      <c r="AT22" s="6"/>
      <c r="AU22" s="6"/>
      <c r="AV22" s="6"/>
      <c r="AW22" s="3"/>
      <c r="AX22" s="3"/>
      <c r="AY22" s="4"/>
      <c r="AZ22" s="4"/>
      <c r="BA22" s="4"/>
    </row>
    <row r="23" spans="1:53" x14ac:dyDescent="0.2">
      <c r="A23" s="8" t="s">
        <v>222</v>
      </c>
      <c r="B23" s="9">
        <f ca="1">AVERAGEIFS(INDIRECT($A$1&amp;"!$S$2:$S$999"),INDIRECT($A$1&amp;"!$E$2:$E$999"),"YES",INDIRECT($A$1&amp;"!$F$2:$F$999"),"UP",INDIRECT($A$1&amp;"!$J$2:$J$999"),"YES")</f>
        <v>4.5423076923076922</v>
      </c>
      <c r="C23">
        <f ca="1">COUNTIFS(INDIRECT($A$1&amp;"!$E$2:$E$999"),"YES",INDIRECT($A$1&amp;"!$F$2:$F$999"),"UP",INDIRECT($A$1&amp;"!$J$2:$J$999"),"YES")</f>
        <v>2</v>
      </c>
      <c r="D23" s="9" t="e">
        <f ca="1">AVERAGEIFS(INDIRECT($A$1&amp;"!$S$2:$S$999"),INDIRECT($A$1&amp;"!$Q$2:$Q$999"),"&lt;=4",INDIRECT($A$1&amp;"!$E$2:$E$999"),"YES",INDIRECT($A$1&amp;"!$F$2:$F$999"),"UP",INDIRECT($A$1&amp;"!$J$2:$J$999"),"YES")</f>
        <v>#DIV/0!</v>
      </c>
      <c r="E23">
        <f ca="1">COUNTIFS(INDIRECT($A$1&amp;"!$Q$2:$Q$999"),"&lt;=4",INDIRECT($A$1&amp;"!$E$2:$E$999"),"YES",INDIRECT($A$1&amp;"!$F$2:$F$999"),"UP",INDIRECT($A$1&amp;"!$J$2:$J$999"),"YES")</f>
        <v>0</v>
      </c>
      <c r="F23" s="9" t="e">
        <f ca="1">AVERAGEIFS(INDIRECT($A$1&amp;"!$S$2:$S$999"),INDIRECT($A$1&amp;"!$Q$2:$Q$999"),"&gt;=4.1",INDIRECT($A$1&amp;"!$Q$2:$Q$999"),"&lt;=5",INDIRECT($A$1&amp;"!$E$2:$E$999"),"YES",INDIRECT($A$1&amp;"!$F$2:$F$999"),"UP",INDIRECT($A$1&amp;"!$J$2:$J$999"),"YES")</f>
        <v>#DIV/0!</v>
      </c>
      <c r="G23">
        <f ca="1">COUNTIFS(INDIRECT($A$1&amp;"!$Q$2:$Q$999"),"&gt;=4.1",INDIRECT($A$1&amp;"!$Q$2:$Q$999"),"&lt;=5",INDIRECT($A$1&amp;"!$E$2:$E$999"),"YES",INDIRECT($A$1&amp;"!$F$2:$F$999"),"UP",INDIRECT($A$1&amp;"!$J$2:$J$999"),"YES")</f>
        <v>0</v>
      </c>
      <c r="H23" s="9">
        <f ca="1">AVERAGEIFS(INDIRECT($A$1&amp;"!$S$2:$S$999"),INDIRECT($A$1&amp;"!$Q$2:$Q$999"),"&gt;=5.1",INDIRECT($A$1&amp;"!$Q$2:$Q$999"),"&lt;=6.2",INDIRECT($A$1&amp;"!$E$2:$E$999"),"YES",INDIRECT($A$1&amp;"!$F$2:$F$999"),"UP",INDIRECT($A$1&amp;"!$J$2:$J$999"),"YES")</f>
        <v>5.7</v>
      </c>
      <c r="I23">
        <f ca="1">COUNTIFS(INDIRECT($A$1&amp;"!$Q$2:$Q$999"),"&gt;=5.1",INDIRECT($A$1&amp;"!$Q$2:$Q$999"),"&lt;=6.2",INDIRECT($A$1&amp;"!$E$2:$E$999"),"YES",INDIRECT($A$1&amp;"!$F$2:$F$999"),"UP",INDIRECT($A$1&amp;"!$J$2:$J$999"),"YES")</f>
        <v>1</v>
      </c>
      <c r="J23" s="9">
        <f ca="1">AVERAGEIFS(INDIRECT($A$1&amp;"!$S$2:$S$999"),INDIRECT($A$1&amp;"!$Q$2:$Q$999"),"&gt;=6.3",INDIRECT($A$1&amp;"!$E$2:$E$999"),"YES",INDIRECT($A$1&amp;"!$F$2:$F$999"),"UP",INDIRECT($A$1&amp;"!$J$2:$J$999"),"YES")</f>
        <v>3.3846153846153846</v>
      </c>
      <c r="K23">
        <f ca="1">COUNTIFS(INDIRECT($A$1&amp;"!$Q$2:$Q$999"),"&gt;=6.3",INDIRECT($A$1&amp;"!$E$2:$E$999"),"YES",INDIRECT($A$1&amp;"!$F$2:$F$999"),"UP",INDIRECT($A$1&amp;"!$J$2:$J$999"),"YES")</f>
        <v>1</v>
      </c>
      <c r="O23" s="1"/>
      <c r="P23" s="1"/>
      <c r="Q23" s="1"/>
      <c r="R23" s="1"/>
      <c r="S23" s="8"/>
      <c r="T23" s="9"/>
      <c r="U23" s="9"/>
      <c r="V23" s="9"/>
      <c r="W23" s="9"/>
      <c r="X23" s="8"/>
      <c r="Y23" s="9"/>
      <c r="Z23" s="9"/>
      <c r="AA23" s="9"/>
      <c r="AB23" s="9"/>
      <c r="AC23" s="5"/>
      <c r="AD23" s="6"/>
      <c r="AE23" s="6"/>
      <c r="AF23" s="6"/>
      <c r="AG23" s="6"/>
      <c r="AH23" s="5"/>
      <c r="AI23" s="6"/>
      <c r="AJ23" s="6"/>
      <c r="AK23" s="6"/>
      <c r="AL23" s="6"/>
      <c r="AM23" s="5"/>
      <c r="AN23" s="6"/>
      <c r="AO23" s="6"/>
      <c r="AP23" s="6"/>
      <c r="AQ23" s="6"/>
      <c r="AR23" s="5"/>
      <c r="AS23" s="6"/>
      <c r="AT23" s="6"/>
      <c r="AU23" s="6"/>
      <c r="AV23" s="6"/>
      <c r="AW23" s="3"/>
      <c r="AX23" s="4"/>
      <c r="AY23" s="4"/>
      <c r="AZ23" s="4"/>
      <c r="BA23" s="4"/>
    </row>
    <row r="24" spans="1:53" x14ac:dyDescent="0.2">
      <c r="A24" s="8" t="s">
        <v>224</v>
      </c>
      <c r="B24" s="9">
        <f ca="1">AVERAGEIFS(INDIRECT($A$1&amp;"!$S$2:$S$999"),INDIRECT($A$1&amp;"!$E$2:$E$999"),"YES",INDIRECT($A$1&amp;"!$D$2:$D$999"),"YES",INDIRECT($A$1&amp;"!$F$2:$F$999"),"UP",INDIRECT($A$1&amp;"!$J$2:$J$999"),"YES")</f>
        <v>4.5423076923076922</v>
      </c>
      <c r="C24">
        <f ca="1">COUNTIFS(INDIRECT($A$1&amp;"!$E$2:$E$999"),"YES",INDIRECT($A$1&amp;"!$D$2:$D$999"),"YES",INDIRECT($A$1&amp;"!$F$2:$F$999"),"UP",INDIRECT($A$1&amp;"!$J$2:$J$999"),"YES")</f>
        <v>2</v>
      </c>
      <c r="D24" s="9" t="e">
        <f ca="1">AVERAGEIFS(INDIRECT($A$1&amp;"!$S$2:$S$999"),INDIRECT($A$1&amp;"!$Q$2:$Q$999"),"&lt;=4",INDIRECT($A$1&amp;"!$E$2:$E$999"),"YES",INDIRECT($A$1&amp;"!$D$2:$D$999"),"YES",INDIRECT($A$1&amp;"!$F$2:$F$999"),"UP",INDIRECT($A$1&amp;"!$J$2:$J$999"),"YES")</f>
        <v>#DIV/0!</v>
      </c>
      <c r="E24">
        <f ca="1">COUNTIFS(INDIRECT($A$1&amp;"!$Q$2:$Q$999"),"&lt;=4",INDIRECT($A$1&amp;"!$E$2:$E$999"),"YES",INDIRECT($A$1&amp;"!$D$2:$D$999"),"YES",INDIRECT($A$1&amp;"!$F$2:$F$999"),"UP",INDIRECT($A$1&amp;"!$J$2:$J$999"),"YES")</f>
        <v>0</v>
      </c>
      <c r="F24" s="9" t="e">
        <f ca="1">AVERAGEIFS(INDIRECT($A$1&amp;"!$S$2:$S$999"),INDIRECT($A$1&amp;"!$Q$2:$Q$999"),"&gt;=4.1",INDIRECT($A$1&amp;"!$Q$2:$Q$999"),"&lt;=5",INDIRECT($A$1&amp;"!$E$2:$E$999"),"YES",INDIRECT($A$1&amp;"!$D$2:$D$999"),"YES",INDIRECT($A$1&amp;"!$F$2:$F$999"),"UP",INDIRECT($A$1&amp;"!$J$2:$J$999"),"YES")</f>
        <v>#DIV/0!</v>
      </c>
      <c r="G24">
        <f ca="1">COUNTIFS(INDIRECT($A$1&amp;"!$Q$2:$Q$999"),"&gt;=4.1",INDIRECT($A$1&amp;"!$Q$2:$Q$999"),"&lt;=5",INDIRECT($A$1&amp;"!$E$2:$E$999"),"YES",INDIRECT($A$1&amp;"!$D$2:$D$999"),"YES",INDIRECT($A$1&amp;"!$F$2:$F$999"),"UP",INDIRECT($A$1&amp;"!$J$2:$J$999"),"YES")</f>
        <v>0</v>
      </c>
      <c r="H24" s="9">
        <f ca="1">AVERAGEIFS(INDIRECT($A$1&amp;"!$S$2:$S$999"),INDIRECT($A$1&amp;"!$Q$2:$Q$999"),"&gt;=5.1",INDIRECT($A$1&amp;"!$Q$2:$Q$999"),"&lt;=6.2",INDIRECT($A$1&amp;"!$E$2:$E$999"),"YES",INDIRECT($A$1&amp;"!$D$2:$D$999"),"YES",INDIRECT($A$1&amp;"!$F$2:$F$999"),"UP",INDIRECT($A$1&amp;"!$J$2:$J$999"),"YES")</f>
        <v>5.7</v>
      </c>
      <c r="I24">
        <f ca="1">COUNTIFS(INDIRECT($A$1&amp;"!$Q$2:$Q$999"),"&gt;=5.1",INDIRECT($A$1&amp;"!$Q$2:$Q$999"),"&lt;=6.2",INDIRECT($A$1&amp;"!$E$2:$E$999"),"YES",INDIRECT($A$1&amp;"!$D$2:$D$999"),"YES",INDIRECT($A$1&amp;"!$F$2:$F$999"),"UP",INDIRECT($A$1&amp;"!$J$2:$J$999"),"YES")</f>
        <v>1</v>
      </c>
      <c r="J24" s="9">
        <f ca="1">AVERAGEIFS(INDIRECT($A$1&amp;"!$S$2:$S$999"),INDIRECT($A$1&amp;"!$Q$2:$Q$999"),"&gt;=6.3",INDIRECT($A$1&amp;"!$E$2:$E$999"),"YES",INDIRECT($A$1&amp;"!$D$2:$D$999"),"YES",INDIRECT($A$1&amp;"!$F$2:$F$999"),"UP",INDIRECT($A$1&amp;"!$J$2:$J$999"),"YES")</f>
        <v>3.3846153846153846</v>
      </c>
      <c r="K24">
        <f ca="1">COUNTIFS(INDIRECT($A$1&amp;"!$Q$2:$Q$999"),"&gt;=6.3",INDIRECT($A$1&amp;"!$E$2:$E$999"),"YES",INDIRECT($A$1&amp;"!$D$2:$D$999"),"YES",INDIRECT($A$1&amp;"!$F$2:$F$999"),"UP",INDIRECT($A$1&amp;"!$J$2:$J$999"),"YES")</f>
        <v>1</v>
      </c>
      <c r="O24" s="1"/>
      <c r="P24" s="1"/>
      <c r="Q24" s="1"/>
      <c r="R24" s="1"/>
      <c r="S24" s="8"/>
      <c r="T24" s="9"/>
      <c r="U24" s="9"/>
      <c r="V24" s="9"/>
      <c r="W24" s="9"/>
      <c r="X24" s="8"/>
      <c r="Y24" s="9"/>
      <c r="Z24" s="9"/>
      <c r="AA24" s="9"/>
      <c r="AB24" s="9"/>
      <c r="AC24" s="5"/>
      <c r="AD24" s="6"/>
      <c r="AE24" s="6"/>
      <c r="AF24" s="6"/>
      <c r="AG24" s="6"/>
      <c r="AH24" s="5"/>
      <c r="AI24" s="6"/>
      <c r="AJ24" s="6"/>
      <c r="AK24" s="6"/>
      <c r="AL24" s="6"/>
      <c r="AM24" s="5"/>
      <c r="AN24" s="6"/>
      <c r="AO24" s="6"/>
      <c r="AP24" s="6"/>
      <c r="AQ24" s="6"/>
      <c r="AR24" s="5"/>
      <c r="AS24" s="6"/>
      <c r="AT24" s="6"/>
      <c r="AU24" s="6"/>
      <c r="AV24" s="6"/>
      <c r="AW24" s="3"/>
      <c r="AX24" s="4"/>
      <c r="AY24" s="4"/>
      <c r="AZ24" s="4"/>
      <c r="BA24" s="4"/>
    </row>
    <row r="25" spans="1:53" x14ac:dyDescent="0.2">
      <c r="A25" s="8" t="s">
        <v>225</v>
      </c>
      <c r="B25" s="9">
        <f ca="1">AVERAGEIFS(INDIRECT($A$1&amp;"!$S$2:$S$999"),INDIRECT($A$1&amp;"!$E$2:$E$999"),"YES",INDIRECT($A$1&amp;"!$D$2:$D$999"),"YES",INDIRECT($A$1&amp;"!$F$2:$F$999"),"UP",INDIRECT($A$1&amp;"!$J$2:$J$999"),"YES")</f>
        <v>4.5423076923076922</v>
      </c>
      <c r="C25">
        <f ca="1">COUNTIFS(INDIRECT($A$1&amp;"!$E$2:$E$999"),"YES",INDIRECT($A$1&amp;"!$D$2:$D$999"),"YES",INDIRECT($A$1&amp;"!$C$2:$C$999"),"&gt;=0.01",INDIRECT($A$1&amp;"!$F$2:$F$999"),"UP",INDIRECT($A$1&amp;"!$J$2:$J$999"),"YES")</f>
        <v>1</v>
      </c>
      <c r="D25" s="9" t="e">
        <f ca="1">AVERAGEIFS(INDIRECT($A$1&amp;"!$S$2:$S$999"),INDIRECT($A$1&amp;"!$Q$2:$Q$999"),"&lt;=4",INDIRECT($A$1&amp;"!$E$2:$E$999"),"YES",INDIRECT($A$1&amp;"!$D$2:$D$999"),"YES",INDIRECT($A$1&amp;"!$C$2:$C$999"),"&gt;=0.01",INDIRECT($A$1&amp;"!$F$2:$F$999"),"UP",INDIRECT($A$1&amp;"!$J$2:$J$999"),"YES")</f>
        <v>#DIV/0!</v>
      </c>
      <c r="E25">
        <f ca="1">COUNTIFS(INDIRECT($A$1&amp;"!$Q$2:$Q$999"),"&lt;=4",INDIRECT($A$1&amp;"!$E$2:$E$999"),"YES",INDIRECT($A$1&amp;"!$D$2:$D$999"),"YES",INDIRECT($A$1&amp;"!$C$2:$C$999"),"&gt;=0.01",INDIRECT($A$1&amp;"!$F$2:$F$999"),"UP",INDIRECT($A$1&amp;"!$J$2:$J$999"),"YES")</f>
        <v>0</v>
      </c>
      <c r="F25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F$2:$F$999"),"UP",INDIRECT($A$1&amp;"!$J$2:$J$999"),"YES")</f>
        <v>#DIV/0!</v>
      </c>
      <c r="G25">
        <f ca="1">COUNTIFS(INDIRECT($A$1&amp;"!$Q$2:$Q$999"),"&gt;=4.1",INDIRECT($A$1&amp;"!$Q$2:$Q$999"),"&lt;=5",INDIRECT($A$1&amp;"!$E$2:$E$999"),"YES",INDIRECT($A$1&amp;"!$D$2:$D$999"),"YES",INDIRECT($A$1&amp;"!$C$2:$C$999"),"&gt;=0.01",INDIRECT($A$1&amp;"!$F$2:$F$999"),"UP",INDIRECT($A$1&amp;"!$J$2:$J$999"),"YES")</f>
        <v>0</v>
      </c>
      <c r="H25" s="9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F$2:$F$999"),"UP",INDIRECT($A$1&amp;"!$J$2:$J$999"),"YES")</f>
        <v>5.7</v>
      </c>
      <c r="I25">
        <f ca="1">COUNTIFS(INDIRECT($A$1&amp;"!$Q$2:$Q$999"),"&gt;=5.1",INDIRECT($A$1&amp;"!$Q$2:$Q$999"),"&lt;=6.2",INDIRECT($A$1&amp;"!$E$2:$E$999"),"YES",INDIRECT($A$1&amp;"!$D$2:$D$999"),"YES",INDIRECT($A$1&amp;"!$C$2:$C$999"),"&gt;=0.01",INDIRECT($A$1&amp;"!$F$2:$F$999"),"UP",INDIRECT($A$1&amp;"!$J$2:$J$999"),"YES")</f>
        <v>1</v>
      </c>
      <c r="J25" s="9" t="e">
        <f ca="1">AVERAGEIFS(INDIRECT($A$1&amp;"!$S$2:$S$999"),INDIRECT($A$1&amp;"!$Q$2:$Q$999"),"&gt;=6.3",INDIRECT($A$1&amp;"!$E$2:$E$999"),"YES",INDIRECT($A$1&amp;"!$D$2:$D$999"),"YES",INDIRECT($A$1&amp;"!$C$2:$C$999"),"&gt;=0.01",INDIRECT($A$1&amp;"!$F$2:$F$999"),"UP",INDIRECT($A$1&amp;"!$J$2:$J$999"),"YES")</f>
        <v>#DIV/0!</v>
      </c>
      <c r="K25">
        <f ca="1">COUNTIFS(INDIRECT($A$1&amp;"!$Q$2:$Q$999"),"&gt;=6.3",INDIRECT($A$1&amp;"!$E$2:$E$999"),"YES",INDIRECT($A$1&amp;"!$D$2:$D$999"),"YES",INDIRECT($A$1&amp;"!$C$2:$C$999"),"&gt;=0.01",INDIRECT($A$1&amp;"!$F$2:$F$999"),"UP",INDIRECT($A$1&amp;"!$J$2:$J$999"),"YES")</f>
        <v>0</v>
      </c>
      <c r="O25" s="1"/>
      <c r="P25" s="1"/>
      <c r="Q25" s="1"/>
      <c r="R25" s="1"/>
      <c r="S25" s="8"/>
      <c r="T25" s="8"/>
      <c r="U25" s="9"/>
      <c r="V25" s="9"/>
      <c r="W25" s="9"/>
      <c r="X25" s="8"/>
      <c r="Y25" s="8"/>
      <c r="Z25" s="9"/>
      <c r="AA25" s="9"/>
      <c r="AB25" s="9"/>
      <c r="AC25" s="5"/>
      <c r="AD25" s="6"/>
      <c r="AE25" s="6"/>
      <c r="AF25" s="6"/>
      <c r="AG25" s="6"/>
      <c r="AH25" s="5"/>
      <c r="AI25" s="5"/>
      <c r="AJ25" s="6"/>
      <c r="AK25" s="6"/>
      <c r="AL25" s="6"/>
      <c r="AM25" s="5"/>
      <c r="AN25" s="5"/>
      <c r="AO25" s="6"/>
      <c r="AP25" s="6"/>
      <c r="AQ25" s="6"/>
      <c r="AR25" s="5"/>
      <c r="AS25" s="5"/>
      <c r="AT25" s="6"/>
      <c r="AU25" s="6"/>
      <c r="AV25" s="6"/>
      <c r="AW25" s="3"/>
      <c r="AX25" s="3"/>
      <c r="AY25" s="4"/>
      <c r="AZ25" s="4"/>
      <c r="BA25" s="4"/>
    </row>
    <row r="26" spans="1:53" x14ac:dyDescent="0.2">
      <c r="A26" s="9" t="s">
        <v>203</v>
      </c>
      <c r="B26" s="9">
        <f ca="1">AVERAGEIFS(INDIRECT($A$1&amp;"!$S$2:$S$999"),INDIRECT($A$1&amp;"!$D$2:$D$999"),"YES",INDIRECT($A$1&amp;"!$i$2:$i$999"),"YES")</f>
        <v>4.4022727272727273</v>
      </c>
      <c r="C26">
        <f ca="1">COUNTIFS(INDIRECT($A$1&amp;"!$D$2:$D$999"),"YES",INDIRECT($A$1&amp;"!$i$2:$i$999"),"YES")</f>
        <v>4</v>
      </c>
      <c r="D26" s="9" t="e">
        <f ca="1">AVERAGEIFS(INDIRECT($A$1&amp;"!$S$2:$S$999"),INDIRECT($A$1&amp;"!$Q$2:$Q$999"),"&lt;=4",INDIRECT($A$1&amp;"!$D$2:$D$999"),"YES",INDIRECT($A$1&amp;"!$i$2:$i$999"),"YES")</f>
        <v>#DIV/0!</v>
      </c>
      <c r="E26">
        <f ca="1">COUNTIFS(INDIRECT($A$1&amp;"!$Q$2:$Q$999"),"&lt;=4",INDIRECT($A$1&amp;"!$D$2:$D$999"),"YES",INDIRECT($A$1&amp;"!$i$2:$i$999"),"YES")</f>
        <v>0</v>
      </c>
      <c r="F26" s="9">
        <f ca="1">AVERAGEIFS(INDIRECT($A$1&amp;"!$S$2:$S$999"),INDIRECT($A$1&amp;"!$Q$2:$Q$999"),"&gt;=4.1",INDIRECT($A$1&amp;"!$Q$2:$Q$999"),"&lt;=5",INDIRECT($A$1&amp;"!$D$2:$D$999"),"YES",INDIRECT($A$1&amp;"!$i$2:$i$999"),"YES")</f>
        <v>8.8000000000000007</v>
      </c>
      <c r="G26">
        <f ca="1">COUNTIFS(INDIRECT($A$1&amp;"!$Q$2:$Q$999"),"&gt;=4.1",INDIRECT($A$1&amp;"!$Q$2:$Q$999"),"&lt;=5",INDIRECT($A$1&amp;"!$D$2:$D$999"),"YES",INDIRECT($A$1&amp;"!$i$2:$i$999"),"YES")</f>
        <v>1</v>
      </c>
      <c r="H26" s="9">
        <f ca="1">AVERAGEIFS(INDIRECT($A$1&amp;"!$S$2:$S$999"),INDIRECT($A$1&amp;"!$Q$2:$Q$999"),"&gt;=5.1",INDIRECT($A$1&amp;"!$Q$2:$Q$999"),"&lt;=6.2",INDIRECT($A$1&amp;"!$D$2:$D$999"),"YES",INDIRECT($A$1&amp;"!$i$2:$i$999"),"YES")</f>
        <v>2.9363636363636361</v>
      </c>
      <c r="I26">
        <f ca="1">COUNTIFS(INDIRECT($A$1&amp;"!$Q$2:$Q$999"),"&gt;=5.1",INDIRECT($A$1&amp;"!$Q$2:$Q$999"),"&lt;=6.2",INDIRECT($A$1&amp;"!$D$2:$D$999"),"YES",INDIRECT($A$1&amp;"!$i$2:$i$999"),"YES")</f>
        <v>3</v>
      </c>
      <c r="J26" s="9" t="e">
        <f ca="1">AVERAGEIFS(INDIRECT($A$1&amp;"!$S$2:$S$999"),INDIRECT($A$1&amp;"!$Q$2:$Q$999"),"&gt;=6.3",INDIRECT($A$1&amp;"!$D$2:$D$999"),"YES",INDIRECT($A$1&amp;"!$i$2:$i$999"),"YES")</f>
        <v>#DIV/0!</v>
      </c>
      <c r="K26">
        <f ca="1">COUNTIFS(INDIRECT($A$1&amp;"!$Q$2:$Q$999"),"&gt;=6.3",INDIRECT($A$1&amp;"!$D$2:$D$999"),"YES",INDIRECT($A$1&amp;"!$i$2:$i$999"),"YES")</f>
        <v>0</v>
      </c>
      <c r="O26" s="1"/>
      <c r="P26" s="1"/>
      <c r="Q26" s="1"/>
      <c r="R26" s="1"/>
      <c r="S26" s="8"/>
      <c r="T26" s="9"/>
      <c r="U26" s="9"/>
      <c r="V26" s="9"/>
      <c r="W26" s="9"/>
      <c r="X26" s="8"/>
      <c r="Y26" s="9"/>
      <c r="Z26" s="9"/>
      <c r="AA26" s="9"/>
      <c r="AB26" s="9"/>
      <c r="AC26" s="5"/>
      <c r="AD26" s="6"/>
      <c r="AE26" s="6"/>
      <c r="AF26" s="6"/>
      <c r="AG26" s="6"/>
      <c r="AH26" s="5"/>
      <c r="AI26" s="6"/>
      <c r="AJ26" s="6"/>
      <c r="AK26" s="6"/>
      <c r="AL26" s="6"/>
      <c r="AM26" s="5"/>
      <c r="AN26" s="6"/>
      <c r="AO26" s="6"/>
      <c r="AP26" s="6"/>
      <c r="AQ26" s="6"/>
      <c r="AR26" s="5"/>
      <c r="AS26" s="6"/>
      <c r="AT26" s="6"/>
      <c r="AU26" s="6"/>
      <c r="AV26" s="6"/>
      <c r="AW26" s="3"/>
      <c r="AX26" s="4"/>
      <c r="AY26" s="4"/>
      <c r="AZ26" s="4"/>
      <c r="BA26" s="4"/>
    </row>
    <row r="27" spans="1:53" x14ac:dyDescent="0.2">
      <c r="A27" s="9" t="s">
        <v>206</v>
      </c>
      <c r="B27" s="9">
        <f ca="1">AVERAGEIFS(INDIRECT($A$1&amp;"!$S$2:$S$999"),INDIRECT($A$1&amp;"!$D$2:$D$999"),"YES",INDIRECT($A$1&amp;"!$i$2:$i$999"),"YES")</f>
        <v>4.4022727272727273</v>
      </c>
      <c r="C27">
        <f ca="1">COUNTIFS(INDIRECT($A$1&amp;"!$D$2:$D$999"),"YES",INDIRECT($A$1&amp;"!$C$2:$C$999"),"&gt;=0.01",INDIRECT($A$1&amp;"!$i$2:$i$999"),"YES")</f>
        <v>1</v>
      </c>
      <c r="D27" s="9" t="e">
        <f ca="1">AVERAGEIFS(INDIRECT($A$1&amp;"!$S$2:$S$999"),INDIRECT($A$1&amp;"!$Q$2:$Q$999"),"&lt;=4",INDIRECT($A$1&amp;"!$D$2:$D$999"),"YES",INDIRECT($A$1&amp;"!$C$2:$C$999"),"&gt;=0.01",INDIRECT($A$1&amp;"!$i$2:$i$999"),"YES")</f>
        <v>#DIV/0!</v>
      </c>
      <c r="E27">
        <f ca="1">COUNTIFS(INDIRECT($A$1&amp;"!$Q$2:$Q$999"),"&lt;=4",INDIRECT($A$1&amp;"!$D$2:$D$999"),"YES",INDIRECT($A$1&amp;"!$C$2:$C$999"),"&gt;=0.01",INDIRECT($A$1&amp;"!$i$2:$i$999"),"YES")</f>
        <v>0</v>
      </c>
      <c r="F27" s="9" t="e">
        <f ca="1">AVERAGEIFS(INDIRECT($A$1&amp;"!$S$2:$S$999"),INDIRECT($A$1&amp;"!$Q$2:$Q$999"),"&gt;=4.1",INDIRECT($A$1&amp;"!$Q$2:$Q$999"),"&lt;=5",INDIRECT($A$1&amp;"!$D$2:$D$999"),"YES",INDIRECT($A$1&amp;"!$C$2:$C$999"),"&gt;=0.01",INDIRECT($A$1&amp;"!$i$2:$i$999"),"YES")</f>
        <v>#DIV/0!</v>
      </c>
      <c r="G27">
        <f ca="1">COUNTIFS(INDIRECT($A$1&amp;"!$Q$2:$Q$999"),"&gt;=4.1",INDIRECT($A$1&amp;"!$Q$2:$Q$999"),"&lt;=5",INDIRECT($A$1&amp;"!$D$2:$D$999"),"YES",INDIRECT($A$1&amp;"!$C$2:$C$999"),"&gt;=0.01",INDIRECT($A$1&amp;"!$i$2:$i$999"),"YES")</f>
        <v>0</v>
      </c>
      <c r="H27" s="9">
        <f ca="1">AVERAGEIFS(INDIRECT($A$1&amp;"!$S$2:$S$999"),INDIRECT($A$1&amp;"!$Q$2:$Q$999"),"&gt;=5.1",INDIRECT($A$1&amp;"!$Q$2:$Q$999"),"&lt;=6.2",INDIRECT($A$1&amp;"!$D$2:$D$999"),"YES",INDIRECT($A$1&amp;"!$C$2:$C$999"),"&gt;=0.01",INDIRECT($A$1&amp;"!$i$2:$i$999"),"YES")</f>
        <v>3.709090909090909</v>
      </c>
      <c r="I27">
        <f ca="1">COUNTIFS(INDIRECT($A$1&amp;"!$Q$2:$Q$999"),"&gt;=5.1",INDIRECT($A$1&amp;"!$Q$2:$Q$999"),"&lt;=6.2",INDIRECT($A$1&amp;"!$D$2:$D$999"),"YES",INDIRECT($A$1&amp;"!$C$2:$C$999"),"&gt;=0.01",INDIRECT($A$1&amp;"!$i$2:$i$999"),"YES")</f>
        <v>1</v>
      </c>
      <c r="J27" s="9" t="e">
        <f ca="1">AVERAGEIFS(INDIRECT($A$1&amp;"!$S$2:$S$999"),INDIRECT($A$1&amp;"!$Q$2:$Q$999"),"&gt;=6.3",INDIRECT($A$1&amp;"!$D$2:$D$999"),"YES",INDIRECT($A$1&amp;"!$C$2:$C$999"),"&gt;=0.01",INDIRECT($A$1&amp;"!$i$2:$i$999"),"YES")</f>
        <v>#DIV/0!</v>
      </c>
      <c r="K27">
        <f ca="1">COUNTIFS(INDIRECT($A$1&amp;"!$Q$2:$Q$999"),"&gt;=6.3",INDIRECT($A$1&amp;"!$D$2:$D$999"),"YES",INDIRECT($A$1&amp;"!$C$2:$C$999"),"&gt;=0.01",INDIRECT($A$1&amp;"!$i$2:$i$999"),"YES")</f>
        <v>0</v>
      </c>
      <c r="O27" s="1"/>
      <c r="P27" s="1"/>
      <c r="Q27" s="1"/>
      <c r="R27" s="1"/>
      <c r="S27" s="8"/>
      <c r="T27" s="9"/>
      <c r="U27" s="9"/>
      <c r="V27" s="9"/>
      <c r="W27" s="9"/>
      <c r="X27" s="8"/>
      <c r="Y27" s="9"/>
      <c r="Z27" s="9"/>
      <c r="AA27" s="9"/>
      <c r="AB27" s="9"/>
      <c r="AC27" s="5"/>
      <c r="AD27" s="6"/>
      <c r="AE27" s="6"/>
      <c r="AF27" s="6"/>
      <c r="AG27" s="6"/>
      <c r="AH27" s="5"/>
      <c r="AI27" s="6"/>
      <c r="AJ27" s="6"/>
      <c r="AK27" s="6"/>
      <c r="AL27" s="6"/>
      <c r="AM27" s="5"/>
      <c r="AN27" s="6"/>
      <c r="AO27" s="6"/>
      <c r="AP27" s="6"/>
      <c r="AQ27" s="6"/>
      <c r="AR27" s="5"/>
      <c r="AS27" s="6"/>
      <c r="AT27" s="6"/>
      <c r="AU27" s="6"/>
      <c r="AV27" s="6"/>
      <c r="AW27" s="3"/>
      <c r="AX27" s="4"/>
      <c r="AY27" s="4"/>
      <c r="AZ27" s="4"/>
      <c r="BA27" s="4"/>
    </row>
    <row r="28" spans="1:53" x14ac:dyDescent="0.2">
      <c r="A28" s="8" t="s">
        <v>209</v>
      </c>
      <c r="B28" s="9">
        <f ca="1">AVERAGEIFS(INDIRECT($A$1&amp;"!$S$2:$S$999"),INDIRECT($A$1&amp;"!$F$2:$F$999"),"UP",INDIRECT($A$1&amp;"!$i$2:$i$999"),"YES")</f>
        <v>4.38</v>
      </c>
      <c r="C28" s="8">
        <f ca="1">COUNTIFS(INDIRECT($A$1&amp;"!$F$2:$F$999"),"UP",INDIRECT($A$1&amp;"!$i$2:$i$999"),"YES")</f>
        <v>5</v>
      </c>
      <c r="D28" s="9">
        <f ca="1">AVERAGEIFS(INDIRECT($A$1&amp;"!$S$2:$S$999"),INDIRECT($A$1&amp;"!$Q$2:$Q$999"),"&lt;=4",INDIRECT($A$1&amp;"!$F$2:$F$999"),"UP",INDIRECT($A$1&amp;"!$i$2:$i$999"),"YES")</f>
        <v>3.3</v>
      </c>
      <c r="E28" s="8">
        <f ca="1">COUNTIFS(INDIRECT($A$1&amp;"!$Q$2:$Q$999"),"&lt;=4",INDIRECT($A$1&amp;"!$F$2:$F$999"),"UP",INDIRECT($A$1&amp;"!$i$2:$i$999"),"YES")</f>
        <v>1</v>
      </c>
      <c r="F28" s="9">
        <f ca="1">AVERAGEIFS(INDIRECT($A$1&amp;"!$S$2:$S$999"),INDIRECT($A$1&amp;"!$Q$2:$Q$999"),"&gt;=4.1",INDIRECT($A$1&amp;"!$Q$2:$Q$999"),"&lt;=5",INDIRECT($A$1&amp;"!$F$2:$F$999"),"UP",INDIRECT($A$1&amp;"!$i$2:$i$999"),"YES")</f>
        <v>5.75</v>
      </c>
      <c r="G28" s="8">
        <f ca="1">COUNTIFS(INDIRECT($A$1&amp;"!$Q$2:$Q$999"),"&gt;=4.1",INDIRECT($A$1&amp;"!$Q$2:$Q$999"),"&lt;=5",INDIRECT($A$1&amp;"!$F$2:$F$999"),"UP",INDIRECT($A$1&amp;"!$i$2:$i$999"),"YES")</f>
        <v>2</v>
      </c>
      <c r="H28" s="9">
        <f ca="1">AVERAGEIFS(INDIRECT($A$1&amp;"!$S$2:$S$999"),INDIRECT($A$1&amp;"!$Q$2:$Q$999"),"&gt;=5.1",INDIRECT($A$1&amp;"!$Q$2:$Q$999"),"&lt;=6.2",INDIRECT($A$1&amp;"!$F$2:$F$999"),"UP",INDIRECT($A$1&amp;"!$i$2:$i$999"),"YES")</f>
        <v>3.55</v>
      </c>
      <c r="I28" s="8">
        <f ca="1">COUNTIFS(INDIRECT($A$1&amp;"!$Q$2:$Q$999"),"&gt;=5.1",INDIRECT($A$1&amp;"!$Q$2:$Q$999"),"&lt;=6.2",INDIRECT($A$1&amp;"!$F$2:$F$999"),"UP",INDIRECT($A$1&amp;"!$i$2:$i$999"),"YES")</f>
        <v>2</v>
      </c>
      <c r="J28" s="9" t="e">
        <f ca="1">AVERAGEIFS(INDIRECT($A$1&amp;"!$S$2:$S$999"),INDIRECT($A$1&amp;"!$Q$2:$Q$999"),"&gt;=6.3",INDIRECT($A$1&amp;"!$F$2:$F$999"),"UP",INDIRECT($A$1&amp;"!$i$2:$i$999"),"YES")</f>
        <v>#DIV/0!</v>
      </c>
      <c r="K28" s="8">
        <f ca="1">COUNTIFS(INDIRECT($A$1&amp;"!$Q$2:$Q$999"),"&gt;=6.3",INDIRECT($A$1&amp;"!$F$2:$F$999"),"UP",INDIRECT($A$1&amp;"!$i$2:$i$999"),"YES")</f>
        <v>0</v>
      </c>
      <c r="O28" s="1"/>
      <c r="P28" s="1"/>
      <c r="Q28" s="1"/>
      <c r="R28" s="1"/>
      <c r="S28" s="8"/>
      <c r="T28" s="8"/>
      <c r="U28" s="9"/>
      <c r="V28" s="9"/>
      <c r="W28" s="9"/>
      <c r="X28" s="8"/>
      <c r="Y28" s="8"/>
      <c r="Z28" s="9"/>
      <c r="AA28" s="9"/>
      <c r="AB28" s="9"/>
      <c r="AC28" s="5"/>
      <c r="AD28" s="6"/>
      <c r="AE28" s="6"/>
      <c r="AF28" s="6"/>
      <c r="AG28" s="6"/>
      <c r="AH28" s="5"/>
      <c r="AI28" s="5"/>
      <c r="AJ28" s="6"/>
      <c r="AK28" s="6"/>
      <c r="AL28" s="6"/>
      <c r="AM28" s="5"/>
      <c r="AN28" s="5"/>
      <c r="AO28" s="6"/>
      <c r="AP28" s="6"/>
      <c r="AQ28" s="6"/>
      <c r="AR28" s="5"/>
      <c r="AS28" s="5"/>
      <c r="AT28" s="6"/>
      <c r="AU28" s="6"/>
      <c r="AV28" s="6"/>
      <c r="AW28" s="3"/>
      <c r="AX28" s="3"/>
      <c r="AY28" s="4"/>
      <c r="AZ28" s="4"/>
      <c r="BA28" s="4"/>
    </row>
    <row r="29" spans="1:53" x14ac:dyDescent="0.2">
      <c r="A29" s="8" t="s">
        <v>199</v>
      </c>
      <c r="B29" s="9">
        <f ca="1">AVERAGEIFS(INDIRECT($A$1&amp;"!$S$2:$S$999"),INDIRECT($A$1&amp;"!$F$2:$F$999"),"UP")</f>
        <v>4.3761217948717954</v>
      </c>
      <c r="C29" s="8">
        <f ca="1">COUNTIF(INDIRECT($A$1&amp;"!$F$2:$F$999"),"UP")</f>
        <v>127</v>
      </c>
      <c r="D29" s="9">
        <f ca="1">AVERAGEIFS(INDIRECT($A$1&amp;"!$S$2:$S$999"),INDIRECT($A$1&amp;"!$Q$2:$Q$999"),"&lt;=4",INDIRECT($A$1&amp;"!$F$2:$F$999"),"UP")</f>
        <v>3.3</v>
      </c>
      <c r="E29" s="8">
        <f ca="1">COUNTIFS(INDIRECT($A$1&amp;"!$Q$2:$Q$999"),"&lt;=4",INDIRECT($A$1&amp;"!$F$2:$F$999"),"UP")</f>
        <v>1</v>
      </c>
      <c r="F29" s="9">
        <f ca="1">AVERAGEIFS(INDIRECT($A$1&amp;"!$S$2:$S$999"),INDIRECT($A$1&amp;"!$Q$2:$Q$999"),"&gt;=4.1",INDIRECT($A$1&amp;"!$Q$2:$Q$999"),"&lt;=5",INDIRECT($A$1&amp;"!$F$2:$F$999"),"UP")</f>
        <v>5.5388888888888888</v>
      </c>
      <c r="G29" s="8">
        <f ca="1">COUNTIFS(INDIRECT($A$1&amp;"!$Q$2:$Q$999"),"&gt;=4.1",INDIRECT($A$1&amp;"!$Q$2:$Q$999"),"&lt;=5",INDIRECT($A$1&amp;"!$F$2:$F$999"),"UP")</f>
        <v>6</v>
      </c>
      <c r="H29" s="9">
        <f ca="1">AVERAGEIFS(INDIRECT($A$1&amp;"!$S$2:$S$999"),INDIRECT($A$1&amp;"!$Q$2:$Q$999"),"&gt;=5.1",INDIRECT($A$1&amp;"!$Q$2:$Q$999"),"&lt;=6.2",INDIRECT($A$1&amp;"!$F$2:$F$999"),"UP")</f>
        <v>4.55</v>
      </c>
      <c r="I29" s="8">
        <f ca="1">COUNTIFS(INDIRECT($A$1&amp;"!$Q$2:$Q$999"),"&gt;=5.1",INDIRECT($A$1&amp;"!$Q$2:$Q$999"),"&lt;=6.2",INDIRECT($A$1&amp;"!$F$2:$F$999"),"UP")</f>
        <v>6</v>
      </c>
      <c r="J29" s="9">
        <f ca="1">AVERAGEIFS(INDIRECT($A$1&amp;"!$S$2:$S$999"),INDIRECT($A$1&amp;"!$Q$2:$Q$999"),"&gt;=6.3",INDIRECT($A$1&amp;"!$F$2:$F$999"),"UP")</f>
        <v>2.0615384615384613</v>
      </c>
      <c r="K29" s="8">
        <f ca="1">COUNTIFS(INDIRECT($A$1&amp;"!$Q$2:$Q$999"),"&gt;=6.3",INDIRECT($A$1&amp;"!$F$2:$F$999"),"UP")</f>
        <v>3</v>
      </c>
      <c r="O29" s="1"/>
      <c r="P29" s="1"/>
      <c r="Q29" s="1"/>
      <c r="R29" s="1"/>
      <c r="S29" s="8"/>
      <c r="T29" s="9"/>
      <c r="U29" s="9"/>
      <c r="V29" s="9"/>
      <c r="W29" s="9"/>
      <c r="X29" s="8"/>
      <c r="Y29" s="9"/>
      <c r="Z29" s="9"/>
      <c r="AA29" s="9"/>
      <c r="AB29" s="9"/>
      <c r="AC29" s="5"/>
      <c r="AD29" s="6"/>
      <c r="AE29" s="6"/>
      <c r="AF29" s="6"/>
      <c r="AG29" s="6"/>
      <c r="AH29" s="5"/>
      <c r="AI29" s="6"/>
      <c r="AJ29" s="6"/>
      <c r="AK29" s="6"/>
      <c r="AL29" s="6"/>
      <c r="AM29" s="5"/>
      <c r="AN29" s="6"/>
      <c r="AO29" s="6"/>
      <c r="AP29" s="6"/>
      <c r="AQ29" s="6"/>
      <c r="AR29" s="5"/>
      <c r="AS29" s="6"/>
      <c r="AT29" s="6"/>
      <c r="AU29" s="6"/>
      <c r="AV29" s="6"/>
      <c r="AW29" s="3"/>
      <c r="AX29" s="4"/>
      <c r="AY29" s="4"/>
      <c r="AZ29" s="4"/>
      <c r="BA29" s="4"/>
    </row>
    <row r="30" spans="1:53" x14ac:dyDescent="0.2">
      <c r="A30" s="8" t="s">
        <v>195</v>
      </c>
      <c r="B30" s="9">
        <f ca="1">AVERAGEIFS(INDIRECT($A$1&amp;"!$S$2:$S$999"),INDIRECT($A$1&amp;"!$E$2:$E$999"),"YES",INDIRECT($A$1&amp;"!$C$2:$C$999"),"&gt;=0.01")</f>
        <v>4.2523809523809515</v>
      </c>
      <c r="C30">
        <f ca="1">COUNTIFS(INDIRECT($A$1&amp;"!$E$2:$E$999"),"YES",INDIRECT($A$1&amp;"!$C$2:$C$999"),"&gt;=0.01")</f>
        <v>17</v>
      </c>
      <c r="D30" s="9">
        <f ca="1">AVERAGEIFS(INDIRECT($A$1&amp;"!$S$2:$S$999"),INDIRECT($A$1&amp;"!$Q$2:$Q$999"),"&lt;=4",INDIRECT($A$1&amp;"!$E$2:$E$999"),"YES",INDIRECT($A$1&amp;"!$C$2:$C$999"),"&gt;=0.01")</f>
        <v>2.7333333333333329</v>
      </c>
      <c r="E30">
        <f ca="1">COUNTIFS(INDIRECT($A$1&amp;"!$Q$2:$Q$999"),"&lt;=4",INDIRECT($A$1&amp;"!$E$2:$E$999"),"YES",INDIRECT($A$1&amp;"!$C$2:$C$999"),"&gt;=0.01")</f>
        <v>3</v>
      </c>
      <c r="F30" s="9">
        <f ca="1">AVERAGEIFS(INDIRECT($A$1&amp;"!$S$2:$S$999"),INDIRECT($A$1&amp;"!$Q$2:$Q$999"),"&gt;=4.1",INDIRECT($A$1&amp;"!$Q$2:$Q$999"),"&lt;=5",INDIRECT($A$1&amp;"!$E$2:$E$999"),"YES",INDIRECT($A$1&amp;"!$C$2:$C$999"),"&gt;=0.01")</f>
        <v>5.0047619047619047</v>
      </c>
      <c r="G30">
        <f ca="1">COUNTIFS(INDIRECT($A$1&amp;"!$Q$2:$Q$999"),"&gt;=4.1",INDIRECT($A$1&amp;"!$Q$2:$Q$999"),"&lt;=5",INDIRECT($A$1&amp;"!$E$2:$E$999"),"YES",INDIRECT($A$1&amp;"!$C$2:$C$999"),"&gt;=0.01")</f>
        <v>7</v>
      </c>
      <c r="H30" s="9">
        <f ca="1">AVERAGEIFS(INDIRECT($A$1&amp;"!$S$2:$S$999"),INDIRECT($A$1&amp;"!$Q$2:$Q$999"),"&gt;=5.1",INDIRECT($A$1&amp;"!$Q$2:$Q$999"),"&lt;=6.2",INDIRECT($A$1&amp;"!$E$2:$E$999"),"YES",INDIRECT($A$1&amp;"!$C$2:$C$999"),"&gt;=0.01")</f>
        <v>4.833333333333333</v>
      </c>
      <c r="I30">
        <f ca="1">COUNTIFS(INDIRECT($A$1&amp;"!$Q$2:$Q$999"),"&gt;=5.1",INDIRECT($A$1&amp;"!$Q$2:$Q$999"),"&lt;=6.2",INDIRECT($A$1&amp;"!$E$2:$E$999"),"YES",INDIRECT($A$1&amp;"!$C$2:$C$999"),"&gt;=0.01")</f>
        <v>3</v>
      </c>
      <c r="J30" s="9">
        <f ca="1">AVERAGEIFS(INDIRECT($A$1&amp;"!$S$2:$S$999"),INDIRECT($A$1&amp;"!$Q$2:$Q$999"),"&gt;=6.3",INDIRECT($A$1&amp;"!$E$2:$E$999"),"YES",INDIRECT($A$1&amp;"!$C$2:$C$999"),"&gt;=0.01")</f>
        <v>1.8</v>
      </c>
      <c r="K30">
        <f ca="1">COUNTIFS(INDIRECT($A$1&amp;"!$Q$2:$Q$999"),"&gt;=6.3",INDIRECT($A$1&amp;"!$E$2:$E$999"),"YES",INDIRECT($A$1&amp;"!$C$2:$C$999"),"&gt;=0.01")</f>
        <v>1</v>
      </c>
      <c r="O30" s="1"/>
      <c r="P30" s="1"/>
      <c r="Q30" s="1"/>
      <c r="R30" s="1"/>
      <c r="S30" s="8"/>
      <c r="T30" s="8"/>
      <c r="U30" s="8"/>
      <c r="V30" s="8"/>
      <c r="W30" s="8"/>
      <c r="X30" s="9"/>
      <c r="Y30" s="8"/>
      <c r="Z30" s="9"/>
      <c r="AA30" s="9"/>
      <c r="AB30" s="9"/>
      <c r="AC30" s="5"/>
      <c r="AD30" s="6"/>
      <c r="AE30" s="6"/>
      <c r="AF30" s="6"/>
      <c r="AG30" s="6"/>
      <c r="AH30" s="5"/>
      <c r="AI30" s="5"/>
      <c r="AJ30" s="5"/>
      <c r="AK30" s="5"/>
      <c r="AL30" s="5"/>
      <c r="AM30" s="6"/>
      <c r="AN30" s="5"/>
      <c r="AO30" s="6"/>
      <c r="AP30" s="6"/>
      <c r="AQ30" s="6"/>
      <c r="AR30" s="5"/>
      <c r="AS30" s="6"/>
      <c r="AT30" s="6"/>
      <c r="AU30" s="6"/>
      <c r="AV30" s="6"/>
      <c r="AW30" s="3"/>
      <c r="AX30" s="3"/>
      <c r="AY30" s="3"/>
      <c r="AZ30" s="3"/>
      <c r="BA30" s="3"/>
    </row>
    <row r="31" spans="1:53" x14ac:dyDescent="0.2">
      <c r="A31" s="8" t="s">
        <v>151</v>
      </c>
      <c r="B31" s="9">
        <f ca="1">AVERAGEIFS(INDIRECT($A$1&amp;"!$S$2:$S$999"),INDIRECT($A$1&amp;"!$K$2:$K$999"),"YES")</f>
        <v>4.03</v>
      </c>
      <c r="C31" s="8">
        <f ca="1">COUNTIF(INDIRECT($A$1&amp;"!$K$2:$K$999"),"YES")</f>
        <v>10</v>
      </c>
      <c r="D31" s="9">
        <f ca="1">AVERAGEIFS(INDIRECT($A$1&amp;"!$S$2:$S$999"),INDIRECT($A$1&amp;"!$Q$2:$Q$999"),"&lt;=4",INDIRECT($A$1&amp;"!$K$2:$K$999"),"YES")</f>
        <v>4.05</v>
      </c>
      <c r="E31" s="8">
        <f ca="1">COUNTIFS(INDIRECT($A$1&amp;"!$Q$2:$Q$999"),"&lt;=4",INDIRECT($A$1&amp;"!$K$2:$K$999"),"YES")</f>
        <v>4</v>
      </c>
      <c r="F31" s="9">
        <f ca="1">AVERAGEIFS(INDIRECT($A$1&amp;"!$S$2:$S$999"),INDIRECT($A$1&amp;"!$Q$2:$Q$999"),"&gt;=4.1",INDIRECT($A$1&amp;"!$Q$2:$Q$999"),"&lt;=5",INDIRECT($A$1&amp;"!$K$2:$K$999"),"YES")</f>
        <v>5.125</v>
      </c>
      <c r="G31" s="8">
        <f ca="1">COUNTIFS(INDIRECT($A$1&amp;"!$Q$2:$Q$999"),"&gt;=4.1",INDIRECT($A$1&amp;"!$Q$2:$Q$999"),"&lt;=5",INDIRECT($A$1&amp;"!$K$2:$K$999"),"YES")</f>
        <v>4</v>
      </c>
      <c r="H31" s="9">
        <f ca="1">AVERAGEIFS(INDIRECT($A$1&amp;"!$S$2:$S$999"),INDIRECT($A$1&amp;"!$Q$2:$Q$999"),"&gt;=5.1",INDIRECT($A$1&amp;"!$Q$2:$Q$999"),"&lt;=6.2",INDIRECT($A$1&amp;"!$K$2:$K$999"),"YES")</f>
        <v>1.8</v>
      </c>
      <c r="I31" s="8">
        <f ca="1">COUNTIFS(INDIRECT($A$1&amp;"!$Q$2:$Q$999"),"&gt;=5.1",INDIRECT($A$1&amp;"!$Q$2:$Q$999"),"&lt;=6.2",INDIRECT($A$1&amp;"!$K$2:$K$999"),"YES")</f>
        <v>2</v>
      </c>
      <c r="J31" s="9" t="e">
        <f ca="1">AVERAGEIFS(INDIRECT($A$1&amp;"!$S$2:$S$999"),INDIRECT($A$1&amp;"!$Q$2:$Q$999"),"&gt;=6.3",INDIRECT($A$1&amp;"!$K$2:$K$999"),"YES")</f>
        <v>#DIV/0!</v>
      </c>
      <c r="K31" s="8">
        <f ca="1">COUNTIFS(INDIRECT($A$1&amp;"!$Q$2:$Q$999"),"&gt;=6.3",INDIRECT($A$1&amp;"!$K$2:$K$999"),"YES")</f>
        <v>0</v>
      </c>
      <c r="O31" s="1"/>
      <c r="P31" s="1"/>
      <c r="Q31" s="1"/>
      <c r="R31" s="1"/>
      <c r="S31" s="8"/>
      <c r="T31" s="8"/>
      <c r="U31" s="9"/>
      <c r="V31" s="9"/>
      <c r="W31" s="9"/>
      <c r="X31" s="9"/>
      <c r="Y31" s="8"/>
      <c r="Z31" s="9"/>
      <c r="AA31" s="9"/>
      <c r="AB31" s="9"/>
      <c r="AC31" s="5"/>
      <c r="AD31" s="6"/>
      <c r="AE31" s="6"/>
      <c r="AF31" s="6"/>
      <c r="AG31" s="6"/>
      <c r="AH31" s="5"/>
      <c r="AI31" s="5"/>
      <c r="AJ31" s="6"/>
      <c r="AK31" s="6"/>
      <c r="AL31" s="6"/>
      <c r="AM31" s="6"/>
      <c r="AN31" s="5"/>
      <c r="AO31" s="6"/>
      <c r="AP31" s="6"/>
      <c r="AQ31" s="6"/>
      <c r="AR31" s="6"/>
      <c r="AS31" s="6"/>
      <c r="AT31" s="6"/>
      <c r="AU31" s="6"/>
      <c r="AV31" s="6"/>
      <c r="AW31" s="3"/>
      <c r="AX31" s="4"/>
      <c r="AY31" s="4"/>
      <c r="AZ31" s="4"/>
      <c r="BA31" s="4"/>
    </row>
    <row r="32" spans="1:53" x14ac:dyDescent="0.2">
      <c r="A32" s="8" t="s">
        <v>66</v>
      </c>
      <c r="B32" s="9">
        <f ca="1">AVERAGEIFS(INDIRECT($A$1&amp;"!$S$2:$S$999"),INDIRECT($A$1&amp;"!$E$2:$E$999"),"YES")</f>
        <v>4.026121794871794</v>
      </c>
      <c r="C32">
        <f ca="1">COUNTIF(INDIRECT($A$1&amp;"!$E$2:$E$999"),"YES")</f>
        <v>91</v>
      </c>
      <c r="D32" s="9">
        <f ca="1">AVERAGEIFS(INDIRECT($A$1&amp;"!$S$2:$S$999"),INDIRECT($A$1&amp;"!$Q$2:$Q$999"),"&lt;=4",INDIRECT($A$1&amp;"!$E$2:$E$999"),"YES")</f>
        <v>2.7333333333333329</v>
      </c>
      <c r="E32">
        <f ca="1">COUNTIFS(INDIRECT($A$1&amp;"!$Q$2:$Q$999"),"&lt;=4",INDIRECT($A$1&amp;"!$E$2:$E$999"),"YES")</f>
        <v>3</v>
      </c>
      <c r="F32" s="9">
        <f ca="1">AVERAGEIFS(INDIRECT($A$1&amp;"!$S$2:$S$999"),INDIRECT($A$1&amp;"!$Q$2:$Q$999"),"&gt;=4.1",INDIRECT($A$1&amp;"!$Q$2:$Q$999"),"&lt;=5",INDIRECT($A$1&amp;"!$E$2:$E$999"),"YES")</f>
        <v>5.0047619047619047</v>
      </c>
      <c r="G32">
        <f ca="1">COUNTIFS(INDIRECT($A$1&amp;"!$Q$2:$Q$999"),"&gt;=4.1",INDIRECT($A$1&amp;"!$Q$2:$Q$999"),"&lt;=5",INDIRECT($A$1&amp;"!$E$2:$E$999"),"YES")</f>
        <v>7</v>
      </c>
      <c r="H32" s="9">
        <f ca="1">AVERAGEIFS(INDIRECT($A$1&amp;"!$S$2:$S$999"),INDIRECT($A$1&amp;"!$Q$2:$Q$999"),"&gt;=5.1",INDIRECT($A$1&amp;"!$Q$2:$Q$999"),"&lt;=6.2",INDIRECT($A$1&amp;"!$E$2:$E$999"),"YES")</f>
        <v>4.833333333333333</v>
      </c>
      <c r="I32">
        <f ca="1">COUNTIFS(INDIRECT($A$1&amp;"!$Q$2:$Q$999"),"&gt;=5.1",INDIRECT($A$1&amp;"!$Q$2:$Q$999"),"&lt;=6.2",INDIRECT($A$1&amp;"!$E$2:$E$999"),"YES")</f>
        <v>3</v>
      </c>
      <c r="J32" s="9">
        <f ca="1">AVERAGEIFS(INDIRECT($A$1&amp;"!$S$2:$S$999"),INDIRECT($A$1&amp;"!$Q$2:$Q$999"),"&gt;=6.3",INDIRECT($A$1&amp;"!$E$2:$E$999"),"YES")</f>
        <v>2.2282051282051278</v>
      </c>
      <c r="K32">
        <f ca="1">COUNTIFS(INDIRECT($A$1&amp;"!$Q$2:$Q$999"),"&gt;=6.3",INDIRECT($A$1&amp;"!$E$2:$E$999"),"YES")</f>
        <v>3</v>
      </c>
      <c r="O32" s="1"/>
      <c r="P32" s="1"/>
      <c r="Q32" s="1"/>
      <c r="R32" s="1"/>
      <c r="S32" s="8"/>
      <c r="T32" s="9"/>
      <c r="U32" s="9"/>
      <c r="V32" s="9"/>
      <c r="W32" s="9"/>
      <c r="X32" s="8"/>
      <c r="Y32" s="9"/>
      <c r="Z32" s="9"/>
      <c r="AA32" s="9"/>
      <c r="AB32" s="9"/>
      <c r="AC32" s="5"/>
      <c r="AD32" s="6"/>
      <c r="AE32" s="6"/>
      <c r="AF32" s="6"/>
      <c r="AG32" s="6"/>
      <c r="AH32" s="5"/>
      <c r="AI32" s="6"/>
      <c r="AJ32" s="6"/>
      <c r="AK32" s="6"/>
      <c r="AL32" s="6"/>
      <c r="AM32" s="5"/>
      <c r="AN32" s="6"/>
      <c r="AO32" s="6"/>
      <c r="AP32" s="6"/>
      <c r="AQ32" s="6"/>
      <c r="AR32" s="5"/>
      <c r="AS32" s="6"/>
      <c r="AT32" s="6"/>
      <c r="AU32" s="6"/>
      <c r="AV32" s="6"/>
      <c r="AW32" s="3"/>
      <c r="AX32" s="4"/>
      <c r="AY32" s="4"/>
      <c r="AZ32" s="4"/>
      <c r="BA32" s="4"/>
    </row>
    <row r="33" spans="1:53" x14ac:dyDescent="0.2">
      <c r="A33" s="9" t="s">
        <v>65</v>
      </c>
      <c r="B33" s="9">
        <f ca="1">AVERAGEIFS(INDIRECT($A$1&amp;"!$S$2:$S$999"),INDIRECT($A$1&amp;"!$D$2:$D$999"),"YES")</f>
        <v>3.9083754007439699</v>
      </c>
      <c r="C33">
        <f ca="1">COUNTIF(INDIRECT($A$1&amp;"!$D$2:$D$999"),"YES")</f>
        <v>166</v>
      </c>
      <c r="D33" s="9">
        <f ca="1">AVERAGEIFS(INDIRECT($A$1&amp;"!$S$2:$S$999"),INDIRECT($A$1&amp;"!$Q$2:$Q$999"),"&lt;=4",INDIRECT($A$1&amp;"!$D$2:$D$999"),"YES")</f>
        <v>4.32</v>
      </c>
      <c r="E33">
        <f ca="1">COUNTIFS(INDIRECT($A$1&amp;"!$Q$2:$Q$999"),"&lt;=4",INDIRECT($A$1&amp;"!$D$2:$D$999"),"YES")</f>
        <v>5</v>
      </c>
      <c r="F33" s="9">
        <f ca="1">AVERAGEIFS(INDIRECT($A$1&amp;"!$S$2:$S$999"),INDIRECT($A$1&amp;"!$Q$2:$Q$999"),"&gt;=4.1",INDIRECT($A$1&amp;"!$Q$2:$Q$999"),"&lt;=5",INDIRECT($A$1&amp;"!$D$2:$D$999"),"YES")</f>
        <v>4.62</v>
      </c>
      <c r="G33">
        <f ca="1">COUNTIFS(INDIRECT($A$1&amp;"!$Q$2:$Q$999"),"&gt;=4.1",INDIRECT($A$1&amp;"!$Q$2:$Q$999"),"&lt;=5",INDIRECT($A$1&amp;"!$D$2:$D$999"),"YES")</f>
        <v>10</v>
      </c>
      <c r="H33" s="9">
        <f ca="1">AVERAGEIFS(INDIRECT($A$1&amp;"!$S$2:$S$999"),INDIRECT($A$1&amp;"!$Q$2:$Q$999"),"&gt;=5.1",INDIRECT($A$1&amp;"!$Q$2:$Q$999"),"&lt;=6.2",INDIRECT($A$1&amp;"!$D$2:$D$999"),"YES")</f>
        <v>3.363189269746647</v>
      </c>
      <c r="I33">
        <f ca="1">COUNTIFS(INDIRECT($A$1&amp;"!$Q$2:$Q$999"),"&gt;=5.1",INDIRECT($A$1&amp;"!$Q$2:$Q$999"),"&lt;=6.2",INDIRECT($A$1&amp;"!$D$2:$D$999"),"YES")</f>
        <v>12</v>
      </c>
      <c r="J33" s="9">
        <f ca="1">AVERAGEIFS(INDIRECT($A$1&amp;"!$S$2:$S$999"),INDIRECT($A$1&amp;"!$Q$2:$Q$999"),"&gt;=6.3",INDIRECT($A$1&amp;"!$D$2:$D$999"),"YES")</f>
        <v>2.5923076923076924</v>
      </c>
      <c r="K33">
        <f ca="1">COUNTIFS(INDIRECT($A$1&amp;"!$Q$2:$Q$999"),"&gt;=6.3",INDIRECT($A$1&amp;"!$D$2:$D$999"),"YES")</f>
        <v>2</v>
      </c>
      <c r="O33" s="1"/>
      <c r="P33" s="1"/>
      <c r="Q33" s="1"/>
      <c r="R33" s="1"/>
      <c r="S33" s="8"/>
      <c r="T33" s="9"/>
      <c r="U33" s="9"/>
      <c r="V33" s="9"/>
      <c r="W33" s="9"/>
      <c r="X33" s="8"/>
      <c r="Y33" s="9"/>
      <c r="Z33" s="9"/>
      <c r="AA33" s="9"/>
      <c r="AB33" s="9"/>
      <c r="AC33" s="5"/>
      <c r="AD33" s="6"/>
      <c r="AE33" s="6"/>
      <c r="AF33" s="6"/>
      <c r="AG33" s="6"/>
      <c r="AH33" s="5"/>
      <c r="AI33" s="6"/>
      <c r="AJ33" s="6"/>
      <c r="AK33" s="6"/>
      <c r="AL33" s="6"/>
      <c r="AM33" s="5"/>
      <c r="AN33" s="6"/>
      <c r="AO33" s="6"/>
      <c r="AP33" s="6"/>
      <c r="AQ33" s="6"/>
      <c r="AR33" s="5"/>
      <c r="AS33" s="6"/>
      <c r="AT33" s="6"/>
      <c r="AU33" s="6"/>
      <c r="AV33" s="6"/>
      <c r="AW33" s="3"/>
      <c r="AX33" s="4"/>
      <c r="AY33" s="4"/>
      <c r="AZ33" s="4"/>
      <c r="BA33" s="4"/>
    </row>
    <row r="34" spans="1:53" x14ac:dyDescent="0.2">
      <c r="A34" s="9" t="s">
        <v>196</v>
      </c>
      <c r="B34" s="9">
        <f ca="1">AVERAGEIFS(INDIRECT($A$1&amp;"!$S$2:$S$999"),INDIRECT($A$1&amp;"!$D$2:$D$999"),"YES")</f>
        <v>3.9083754007439699</v>
      </c>
      <c r="C34">
        <f ca="1">COUNTIFS(INDIRECT($A$1&amp;"!$D$2:$D$999"),"YES",INDIRECT($A$1&amp;"!$C$2:$C$999"),"&gt;=0.01")</f>
        <v>38</v>
      </c>
      <c r="D34" s="9">
        <f ca="1">AVERAGEIFS(INDIRECT($A$1&amp;"!$S$2:$S$999"),INDIRECT($A$1&amp;"!$Q$2:$Q$999"),"&lt;=4",INDIRECT($A$1&amp;"!$D$2:$D$999"),"YES",INDIRECT($A$1&amp;"!$C$2:$C$999"),"&gt;=0.01")</f>
        <v>4.55</v>
      </c>
      <c r="E34">
        <f ca="1">COUNTIFS(INDIRECT($A$1&amp;"!$Q$2:$Q$999"),"&lt;=4",INDIRECT($A$1&amp;"!$D$2:$D$999"),"YES",INDIRECT($A$1&amp;"!$C$2:$C$999"),"&gt;=0.01")</f>
        <v>4</v>
      </c>
      <c r="F34" s="9">
        <f ca="1">AVERAGEIFS(INDIRECT($A$1&amp;"!$S$2:$S$999"),INDIRECT($A$1&amp;"!$Q$2:$Q$999"),"&gt;=4.1",INDIRECT($A$1&amp;"!$Q$2:$Q$999"),"&lt;=5",INDIRECT($A$1&amp;"!$D$2:$D$999"),"YES",INDIRECT($A$1&amp;"!$C$2:$C$999"),"&gt;=0.01")</f>
        <v>4.155555555555555</v>
      </c>
      <c r="G34">
        <f ca="1">COUNTIFS(INDIRECT($A$1&amp;"!$Q$2:$Q$999"),"&gt;=4.1",INDIRECT($A$1&amp;"!$Q$2:$Q$999"),"&lt;=5",INDIRECT($A$1&amp;"!$D$2:$D$999"),"YES",INDIRECT($A$1&amp;"!$C$2:$C$999"),"&gt;=0.01")</f>
        <v>9</v>
      </c>
      <c r="H34" s="9">
        <f ca="1">AVERAGEIFS(INDIRECT($A$1&amp;"!$S$2:$S$999"),INDIRECT($A$1&amp;"!$Q$2:$Q$999"),"&gt;=5.1",INDIRECT($A$1&amp;"!$Q$2:$Q$999"),"&lt;=6.2",INDIRECT($A$1&amp;"!$D$2:$D$999"),"YES",INDIRECT($A$1&amp;"!$C$2:$C$999"),"&gt;=0.01")</f>
        <v>3.5258271236959766</v>
      </c>
      <c r="I34">
        <f ca="1">COUNTIFS(INDIRECT($A$1&amp;"!$Q$2:$Q$999"),"&gt;=5.1",INDIRECT($A$1&amp;"!$Q$2:$Q$999"),"&lt;=6.2",INDIRECT($A$1&amp;"!$D$2:$D$999"),"YES",INDIRECT($A$1&amp;"!$C$2:$C$999"),"&gt;=0.01")</f>
        <v>10</v>
      </c>
      <c r="J34" s="9">
        <f ca="1">AVERAGEIFS(INDIRECT($A$1&amp;"!$S$2:$S$999"),INDIRECT($A$1&amp;"!$Q$2:$Q$999"),"&gt;=6.3",INDIRECT($A$1&amp;"!$D$2:$D$999"),"YES",INDIRECT($A$1&amp;"!$C$2:$C$999"),"&gt;=0.01")</f>
        <v>1.8</v>
      </c>
      <c r="K34">
        <f ca="1">COUNTIFS(INDIRECT($A$1&amp;"!$Q$2:$Q$999"),"&gt;=6.3",INDIRECT($A$1&amp;"!$D$2:$D$999"),"YES",INDIRECT($A$1&amp;"!$C$2:$C$999"),"&gt;=0.01")</f>
        <v>1</v>
      </c>
      <c r="O34" s="1"/>
      <c r="P34" s="1"/>
      <c r="Q34" s="1"/>
      <c r="R34" s="1"/>
      <c r="S34" s="8"/>
      <c r="T34" s="8"/>
      <c r="U34" s="9"/>
      <c r="V34" s="9"/>
      <c r="W34" s="9"/>
      <c r="X34" s="8"/>
      <c r="Y34" s="8"/>
      <c r="Z34" s="9"/>
      <c r="AA34" s="9"/>
      <c r="AB34" s="9"/>
      <c r="AC34" s="5"/>
      <c r="AD34" s="6"/>
      <c r="AE34" s="6"/>
      <c r="AF34" s="6"/>
      <c r="AG34" s="6"/>
      <c r="AH34" s="5"/>
      <c r="AI34" s="5"/>
      <c r="AJ34" s="6"/>
      <c r="AK34" s="6"/>
      <c r="AL34" s="6"/>
      <c r="AM34" s="5"/>
      <c r="AN34" s="5"/>
      <c r="AO34" s="6"/>
      <c r="AP34" s="6"/>
      <c r="AQ34" s="6"/>
      <c r="AR34" s="5"/>
      <c r="AS34" s="5"/>
      <c r="AT34" s="6"/>
      <c r="AU34" s="6"/>
      <c r="AV34" s="6"/>
      <c r="AW34" s="3"/>
      <c r="AX34" s="3"/>
      <c r="AY34" s="4"/>
      <c r="AZ34" s="4"/>
      <c r="BA34" s="4"/>
    </row>
    <row r="35" spans="1:53" x14ac:dyDescent="0.2">
      <c r="A35" s="8" t="s">
        <v>149</v>
      </c>
      <c r="B35" s="9">
        <f ca="1">AVERAGEIFS(INDIRECT($A$1&amp;"!$S$2:$S$999"),INDIRECT($A$1&amp;"!$J$2:$J$999"),"YES",INDIRECT($A$1&amp;"!$K$2:$K$999"),"YES")</f>
        <v>3.8</v>
      </c>
      <c r="C35" s="8">
        <f ca="1">COUNTIFS(INDIRECT($A$1&amp;"!$J$2:$J$999"),"YES",INDIRECT($A$1&amp;"!$K$2:$K$999"),"YES")</f>
        <v>1</v>
      </c>
      <c r="D35" s="9">
        <f ca="1">AVERAGEIFS(INDIRECT($A$1&amp;"!$S$2:$S$999"),INDIRECT($A$1&amp;"!$Q$2:$Q$999"),"&lt;=4",INDIRECT($A$1&amp;"!$J$2:$J$999"),"YES",INDIRECT($A$1&amp;"!$K$2:$K$999"),"YES")</f>
        <v>3.8</v>
      </c>
      <c r="E35" s="8">
        <f ca="1">COUNTIFS(INDIRECT($A$1&amp;"!$Q$2:$Q$999"),"&lt;=4",INDIRECT($A$1&amp;"!$J$2:$J$999"),"YES",INDIRECT($A$1&amp;"!$K$2:$K$999"),"YES")</f>
        <v>1</v>
      </c>
      <c r="F35" s="9" t="e">
        <f ca="1">AVERAGEIFS(INDIRECT($A$1&amp;"!$S$2:$S$999"),INDIRECT($A$1&amp;"!$Q$2:$Q$999"),"&gt;=4.1",INDIRECT($A$1&amp;"!$Q$2:$Q$999"),"&lt;=5",INDIRECT($A$1&amp;"!$J$2:$J$999"),"YES",INDIRECT($A$1&amp;"!$K$2:$K$999"),"YES")</f>
        <v>#DIV/0!</v>
      </c>
      <c r="G35" s="8">
        <f ca="1">COUNTIFS(INDIRECT($A$1&amp;"!$Q$2:$Q$999"),"&gt;=4.1",INDIRECT($A$1&amp;"!$Q$2:$Q$999"),"&lt;=5",INDIRECT($A$1&amp;"!$J$2:$J$999"),"YES",INDIRECT($A$1&amp;"!$K$2:$K$999"),"YES")</f>
        <v>0</v>
      </c>
      <c r="H35" s="9" t="e">
        <f ca="1">AVERAGEIFS(INDIRECT($A$1&amp;"!$S$2:$S$999"),INDIRECT($A$1&amp;"!$Q$2:$Q$999"),"&gt;=5.1",INDIRECT($A$1&amp;"!$Q$2:$Q$999"),"&lt;=6.2",INDIRECT($A$1&amp;"!$J$2:$J$999"),"YES",INDIRECT($A$1&amp;"!$K$2:$K$999"),"YES")</f>
        <v>#DIV/0!</v>
      </c>
      <c r="I35" s="8">
        <f ca="1">COUNTIFS(INDIRECT($A$1&amp;"!$Q$2:$Q$999"),"&gt;=5.1",INDIRECT($A$1&amp;"!$Q$2:$Q$999"),"&lt;=6.2",INDIRECT($A$1&amp;"!$J$2:$J$999"),"YES",INDIRECT($A$1&amp;"!$K$2:$K$999"),"YES")</f>
        <v>0</v>
      </c>
      <c r="J35" s="9" t="e">
        <f ca="1">AVERAGEIFS(INDIRECT($A$1&amp;"!$S$2:$S$999"),INDIRECT($A$1&amp;"!$Q$2:$Q$999"),"&gt;=6.3",INDIRECT($A$1&amp;"!$J$2:$J$999"),"YES",INDIRECT($A$1&amp;"!$K$2:$K$999"),"YES")</f>
        <v>#DIV/0!</v>
      </c>
      <c r="K35" s="8">
        <f ca="1">COUNTIFS(INDIRECT($A$1&amp;"!$Q$2:$Q$999"),"&gt;=6.3",INDIRECT($A$1&amp;"!$J$2:$J$999"),"YES",INDIRECT($A$1&amp;"!$K$2:$K$999"),"YES")</f>
        <v>0</v>
      </c>
      <c r="O35" s="1"/>
      <c r="P35" s="1"/>
      <c r="Q35" s="1"/>
      <c r="R35" s="1"/>
      <c r="S35" s="8"/>
      <c r="T35" s="9"/>
      <c r="U35" s="9"/>
      <c r="V35" s="9"/>
      <c r="W35" s="9"/>
      <c r="X35" s="8"/>
      <c r="Y35" s="9"/>
      <c r="Z35" s="9"/>
      <c r="AA35" s="9"/>
      <c r="AB35" s="9"/>
      <c r="AC35" s="5"/>
      <c r="AD35" s="6"/>
      <c r="AE35" s="6"/>
      <c r="AF35" s="6"/>
      <c r="AG35" s="6"/>
      <c r="AH35" s="5"/>
      <c r="AI35" s="6"/>
      <c r="AJ35" s="6"/>
      <c r="AK35" s="6"/>
      <c r="AL35" s="6"/>
      <c r="AM35" s="5"/>
      <c r="AN35" s="6"/>
      <c r="AO35" s="6"/>
      <c r="AP35" s="6"/>
      <c r="AQ35" s="6"/>
      <c r="AR35" s="5"/>
      <c r="AS35" s="6"/>
      <c r="AT35" s="6"/>
      <c r="AU35" s="6"/>
      <c r="AV35" s="6"/>
      <c r="AW35" s="3"/>
      <c r="AX35" s="4"/>
      <c r="AY35" s="4"/>
      <c r="AZ35" s="4"/>
      <c r="BA35" s="4"/>
    </row>
    <row r="36" spans="1:53" x14ac:dyDescent="0.2">
      <c r="A36" s="8" t="s">
        <v>220</v>
      </c>
      <c r="B36" s="9">
        <f ca="1">AVERAGEIFS(INDIRECT($A$1&amp;"!$S$2:$S$999"),INDIRECT($A$1&amp;"!$C$2:$C$999"),"&gt;=.01",INDIRECT($A$1&amp;"!$J$2:$J$999"),"YES")</f>
        <v>3.7357769643483927</v>
      </c>
      <c r="C36" s="8">
        <f ca="1">COUNTIFS(INDIRECT($A$1&amp;"!$C$2:$C$999"),"&gt;=.01",INDIRECT($A$1&amp;"!$J$2:$J$999"),"YES")</f>
        <v>6</v>
      </c>
      <c r="D36" s="9">
        <f ca="1">AVERAGEIFS(INDIRECT($A$1&amp;"!$S$2:$S$999"),INDIRECT($A$1&amp;"!$Q$2:$Q$999"),"&lt;=4",INDIRECT($A$1&amp;"!$C$2:$C$999"),"&gt;=.01",INDIRECT($A$1&amp;"!$J$2:$J$999"),"YES")</f>
        <v>1.4905405405405405</v>
      </c>
      <c r="E36" s="8">
        <f ca="1">COUNTIFS(INDIRECT($A$1&amp;"!$Q$2:$Q$999"),"&lt;=4",INDIRECT($A$1&amp;"!$C$2:$C$999"),"&gt;=.01",INDIRECT($A$1&amp;"!$J$2:$J$999"),"YES")</f>
        <v>2</v>
      </c>
      <c r="F36" s="9">
        <f ca="1">AVERAGEIFS(INDIRECT($A$1&amp;"!$S$2:$S$999"),INDIRECT($A$1&amp;"!$Q$2:$Q$999"),"&gt;=4.1",INDIRECT($A$1&amp;"!$Q$2:$Q$999"),"&lt;=5",INDIRECT($A$1&amp;"!$C$2:$C$999"),"&gt;=.01",INDIRECT($A$1&amp;"!$J$2:$J$999"),"YES")</f>
        <v>5.0122448979591834</v>
      </c>
      <c r="G36" s="8">
        <f ca="1">COUNTIFS(INDIRECT($A$1&amp;"!$Q$2:$Q$999"),"&gt;=4.1",INDIRECT($A$1&amp;"!$Q$2:$Q$999"),"&lt;=5",INDIRECT($A$1&amp;"!$C$2:$C$999"),"&gt;=.01",INDIRECT($A$1&amp;"!$J$2:$J$999"),"YES")</f>
        <v>2</v>
      </c>
      <c r="H36" s="9">
        <f ca="1">AVERAGEIFS(INDIRECT($A$1&amp;"!$S$2:$S$999"),INDIRECT($A$1&amp;"!$Q$2:$Q$999"),"&gt;=5.1",INDIRECT($A$1&amp;"!$Q$2:$Q$999"),"&lt;=6.2",INDIRECT($A$1&amp;"!$C$2:$C$999"),"&gt;=.01",INDIRECT($A$1&amp;"!$J$2:$J$999"),"YES")</f>
        <v>4.704545454545455</v>
      </c>
      <c r="I36" s="8">
        <f ca="1">COUNTIFS(INDIRECT($A$1&amp;"!$Q$2:$Q$999"),"&gt;=5.1",INDIRECT($A$1&amp;"!$Q$2:$Q$999"),"&lt;=6.2",INDIRECT($A$1&amp;"!$C$2:$C$999"),"&gt;=.01",INDIRECT($A$1&amp;"!$J$2:$J$999"),"YES")</f>
        <v>2</v>
      </c>
      <c r="J36" s="9" t="e">
        <f ca="1">AVERAGEIFS(INDIRECT($A$1&amp;"!$S$2:$S$999"),INDIRECT($A$1&amp;"!$Q$2:$Q$999"),"&gt;=6.3",INDIRECT($A$1&amp;"!$C$2:$C$999"),"&gt;=.01",INDIRECT($A$1&amp;"!$J$2:$J$999"),"YES")</f>
        <v>#DIV/0!</v>
      </c>
      <c r="K36" s="8">
        <f ca="1">COUNTIFS(INDIRECT($A$1&amp;"!$Q$2:$Q$999"),"&gt;=6.3",INDIRECT($A$1&amp;"!$C$2:$C$999"),"&gt;=.01",INDIRECT($A$1&amp;"!$J$2:$J$999"),"YES")</f>
        <v>0</v>
      </c>
      <c r="O36" s="1"/>
      <c r="P36" s="1"/>
      <c r="Q36" s="1"/>
      <c r="R36" s="1"/>
      <c r="S36" s="8"/>
      <c r="T36" s="9"/>
      <c r="U36" s="9"/>
      <c r="V36" s="9"/>
      <c r="W36" s="9"/>
      <c r="X36" s="8"/>
      <c r="Y36" s="9"/>
      <c r="Z36" s="9"/>
      <c r="AA36" s="9"/>
      <c r="AB36" s="9"/>
      <c r="AC36" s="5"/>
      <c r="AD36" s="6"/>
      <c r="AE36" s="6"/>
      <c r="AF36" s="6"/>
      <c r="AG36" s="6"/>
      <c r="AH36" s="5"/>
      <c r="AI36" s="6"/>
      <c r="AJ36" s="6"/>
      <c r="AK36" s="6"/>
      <c r="AL36" s="6"/>
      <c r="AM36" s="5"/>
      <c r="AN36" s="6"/>
      <c r="AO36" s="6"/>
      <c r="AP36" s="6"/>
      <c r="AQ36" s="6"/>
      <c r="AR36" s="5"/>
      <c r="AS36" s="6"/>
      <c r="AT36" s="6"/>
      <c r="AU36" s="6"/>
      <c r="AV36" s="6"/>
      <c r="AW36" s="3"/>
      <c r="AX36" s="4"/>
      <c r="AY36" s="4"/>
      <c r="AZ36" s="4"/>
      <c r="BA36" s="4"/>
    </row>
    <row r="37" spans="1:53" x14ac:dyDescent="0.2">
      <c r="A37" s="8" t="s">
        <v>205</v>
      </c>
      <c r="B37" s="9">
        <f ca="1">AVERAGEIFS(INDIRECT($A$1&amp;"!$S$2:$S$999"),INDIRECT($A$1&amp;"!$E$2:$E$999"),"YES",INDIRECT($A$1&amp;"!$C$2:$C$999"),"&gt;=0.01",INDIRECT($A$1&amp;"!$i$2:$i$999"),"YES")</f>
        <v>3.3</v>
      </c>
      <c r="C37">
        <f ca="1">COUNTIFS(INDIRECT($A$1&amp;"!$E$2:$E$999"),"YES",INDIRECT($A$1&amp;"!$C$2:$C$999"),"&gt;=0.01",INDIRECT($A$1&amp;"!$i$2:$i$999"),"YES")</f>
        <v>1</v>
      </c>
      <c r="D37" s="9">
        <f ca="1">AVERAGEIFS(INDIRECT($A$1&amp;"!$S$2:$S$999"),INDIRECT($A$1&amp;"!$Q$2:$Q$999"),"&lt;=4",INDIRECT($A$1&amp;"!$E$2:$E$999"),"YES",INDIRECT($A$1&amp;"!$C$2:$C$999"),"&gt;=0.01",INDIRECT($A$1&amp;"!$i$2:$i$999"),"YES")</f>
        <v>3.3</v>
      </c>
      <c r="E37">
        <f ca="1">COUNTIFS(INDIRECT($A$1&amp;"!$Q$2:$Q$999"),"&lt;=4",INDIRECT($A$1&amp;"!$E$2:$E$999"),"YES",INDIRECT($A$1&amp;"!$C$2:$C$999"),"&gt;=0.01",INDIRECT($A$1&amp;"!$i$2:$i$999"),"YES")</f>
        <v>1</v>
      </c>
      <c r="F37" s="9" t="e">
        <f ca="1">AVERAGEIFS(INDIRECT($A$1&amp;"!$S$2:$S$999"),INDIRECT($A$1&amp;"!$Q$2:$Q$999"),"&gt;=4.1",INDIRECT($A$1&amp;"!$Q$2:$Q$999"),"&lt;=5",INDIRECT($A$1&amp;"!$E$2:$E$999"),"YES",INDIRECT($A$1&amp;"!$C$2:$C$999"),"&gt;=0.01",INDIRECT($A$1&amp;"!$i$2:$i$999"),"YES")</f>
        <v>#DIV/0!</v>
      </c>
      <c r="G37">
        <f ca="1">COUNTIFS(INDIRECT($A$1&amp;"!$Q$2:$Q$999"),"&gt;=4.1",INDIRECT($A$1&amp;"!$Q$2:$Q$999"),"&lt;=5",INDIRECT($A$1&amp;"!$E$2:$E$999"),"YES",INDIRECT($A$1&amp;"!$C$2:$C$999"),"&gt;=0.01",INDIRECT($A$1&amp;"!$i$2:$i$999"),"YES")</f>
        <v>0</v>
      </c>
      <c r="H37" s="9" t="e">
        <f ca="1">AVERAGEIFS(INDIRECT($A$1&amp;"!$S$2:$S$999"),INDIRECT($A$1&amp;"!$Q$2:$Q$999"),"&gt;=5.1",INDIRECT($A$1&amp;"!$Q$2:$Q$999"),"&lt;=6.2",INDIRECT($A$1&amp;"!$E$2:$E$999"),"YES",INDIRECT($A$1&amp;"!$C$2:$C$999"),"&gt;=0.01",INDIRECT($A$1&amp;"!$i$2:$i$999"),"YES")</f>
        <v>#DIV/0!</v>
      </c>
      <c r="I37">
        <f ca="1">COUNTIFS(INDIRECT($A$1&amp;"!$Q$2:$Q$999"),"&gt;=5.1",INDIRECT($A$1&amp;"!$Q$2:$Q$999"),"&lt;=6.2",INDIRECT($A$1&amp;"!$E$2:$E$999"),"YES",INDIRECT($A$1&amp;"!$C$2:$C$999"),"&gt;=0.01",INDIRECT($A$1&amp;"!$i$2:$i$999"),"YES")</f>
        <v>0</v>
      </c>
      <c r="J37" s="9" t="e">
        <f ca="1">AVERAGEIFS(INDIRECT($A$1&amp;"!$S$2:$S$999"),INDIRECT($A$1&amp;"!$Q$2:$Q$999"),"&gt;=6.3",INDIRECT($A$1&amp;"!$E$2:$E$999"),"YES",INDIRECT($A$1&amp;"!$C$2:$C$999"),"&gt;=0.01",INDIRECT($A$1&amp;"!$i$2:$i$999"),"YES")</f>
        <v>#DIV/0!</v>
      </c>
      <c r="K37">
        <f ca="1">COUNTIFS(INDIRECT($A$1&amp;"!$Q$2:$Q$999"),"&gt;=6.3",INDIRECT($A$1&amp;"!$E$2:$E$999"),"YES",INDIRECT($A$1&amp;"!$C$2:$C$999"),"&gt;=0.01",INDIRECT($A$1&amp;"!$i$2:$i$999"),"YES")</f>
        <v>0</v>
      </c>
      <c r="O37" s="1"/>
      <c r="P37" s="1"/>
      <c r="Q37" s="1"/>
      <c r="R37" s="1"/>
      <c r="S37" s="8"/>
      <c r="T37" s="8"/>
      <c r="U37" s="9"/>
      <c r="V37" s="9"/>
      <c r="W37" s="9"/>
      <c r="X37" s="8"/>
      <c r="Y37" s="8"/>
      <c r="Z37" s="9"/>
      <c r="AA37" s="9"/>
      <c r="AB37" s="9"/>
      <c r="AC37" s="5"/>
      <c r="AD37" s="6"/>
      <c r="AE37" s="6"/>
      <c r="AF37" s="6"/>
      <c r="AG37" s="6"/>
      <c r="AH37" s="5"/>
      <c r="AI37" s="5"/>
      <c r="AJ37" s="6"/>
      <c r="AK37" s="6"/>
      <c r="AL37" s="6"/>
      <c r="AM37" s="5"/>
      <c r="AN37" s="5"/>
      <c r="AO37" s="6"/>
      <c r="AP37" s="6"/>
      <c r="AQ37" s="6"/>
      <c r="AR37" s="5"/>
      <c r="AS37" s="5"/>
      <c r="AT37" s="6"/>
      <c r="AU37" s="6"/>
      <c r="AV37" s="6"/>
      <c r="AW37" s="3"/>
      <c r="AX37" s="3"/>
      <c r="AY37" s="4"/>
      <c r="AZ37" s="4"/>
      <c r="BA37" s="4"/>
    </row>
    <row r="38" spans="1:53" x14ac:dyDescent="0.2">
      <c r="A38" s="8" t="s">
        <v>210</v>
      </c>
      <c r="B38" s="9">
        <f ca="1">AVERAGEIFS(INDIRECT($A$1&amp;"!$S$2:$S$999"),INDIRECT($A$1&amp;"!$E$2:$E$999"),"YES",INDIRECT($A$1&amp;"!$F$2:$F$999"),"UP",INDIRECT($A$1&amp;"!$i$2:$i$999"),"YES")</f>
        <v>3.3</v>
      </c>
      <c r="C38">
        <f ca="1">COUNTIFS(INDIRECT($A$1&amp;"!$E$2:$E$999"),"YES",INDIRECT($A$1&amp;"!$F$2:$F$999"),"UP",INDIRECT($A$1&amp;"!$i$2:$i$999"),"YES")</f>
        <v>1</v>
      </c>
      <c r="D38" s="9">
        <f ca="1">AVERAGEIFS(INDIRECT($A$1&amp;"!$S$2:$S$999"),INDIRECT($A$1&amp;"!$Q$2:$Q$999"),"&lt;=4",INDIRECT($A$1&amp;"!$E$2:$E$999"),"YES",INDIRECT($A$1&amp;"!$F$2:$F$999"),"UP",INDIRECT($A$1&amp;"!$i$2:$i$999"),"YES")</f>
        <v>3.3</v>
      </c>
      <c r="E38">
        <f ca="1">COUNTIFS(INDIRECT($A$1&amp;"!$Q$2:$Q$999"),"&lt;=4",INDIRECT($A$1&amp;"!$E$2:$E$999"),"YES",INDIRECT($A$1&amp;"!$F$2:$F$999"),"UP",INDIRECT($A$1&amp;"!$i$2:$i$999"),"YES")</f>
        <v>1</v>
      </c>
      <c r="F38" s="9" t="e">
        <f ca="1">AVERAGEIFS(INDIRECT($A$1&amp;"!$S$2:$S$999"),INDIRECT($A$1&amp;"!$Q$2:$Q$999"),"&gt;=4.1",INDIRECT($A$1&amp;"!$Q$2:$Q$999"),"&lt;=5",INDIRECT($A$1&amp;"!$E$2:$E$999"),"YES",INDIRECT($A$1&amp;"!$F$2:$F$999"),"UP",INDIRECT($A$1&amp;"!$i$2:$i$999"),"YES")</f>
        <v>#DIV/0!</v>
      </c>
      <c r="G38">
        <f ca="1">COUNTIFS(INDIRECT($A$1&amp;"!$Q$2:$Q$999"),"&gt;=4.1",INDIRECT($A$1&amp;"!$Q$2:$Q$999"),"&lt;=5",INDIRECT($A$1&amp;"!$E$2:$E$999"),"YES",INDIRECT($A$1&amp;"!$F$2:$F$999"),"UP",INDIRECT($A$1&amp;"!$i$2:$i$999"),"YES")</f>
        <v>0</v>
      </c>
      <c r="H38" s="9" t="e">
        <f ca="1">AVERAGEIFS(INDIRECT($A$1&amp;"!$S$2:$S$999"),INDIRECT($A$1&amp;"!$Q$2:$Q$999"),"&gt;=5.1",INDIRECT($A$1&amp;"!$Q$2:$Q$999"),"&lt;=6.2",INDIRECT($A$1&amp;"!$E$2:$E$999"),"YES",INDIRECT($A$1&amp;"!$F$2:$F$999"),"UP",INDIRECT($A$1&amp;"!$i$2:$i$999"),"YES")</f>
        <v>#DIV/0!</v>
      </c>
      <c r="I38">
        <f ca="1">COUNTIFS(INDIRECT($A$1&amp;"!$Q$2:$Q$999"),"&gt;=5.1",INDIRECT($A$1&amp;"!$Q$2:$Q$999"),"&lt;=6.2",INDIRECT($A$1&amp;"!$E$2:$E$999"),"YES",INDIRECT($A$1&amp;"!$F$2:$F$999"),"UP",INDIRECT($A$1&amp;"!$i$2:$i$999"),"YES")</f>
        <v>0</v>
      </c>
      <c r="J38" s="9" t="e">
        <f ca="1">AVERAGEIFS(INDIRECT($A$1&amp;"!$S$2:$S$999"),INDIRECT($A$1&amp;"!$Q$2:$Q$999"),"&gt;=6.3",INDIRECT($A$1&amp;"!$E$2:$E$999"),"YES",INDIRECT($A$1&amp;"!$F$2:$F$999"),"UP",INDIRECT($A$1&amp;"!$i$2:$i$999"),"YES")</f>
        <v>#DIV/0!</v>
      </c>
      <c r="K38">
        <f ca="1">COUNTIFS(INDIRECT($A$1&amp;"!$Q$2:$Q$999"),"&gt;=6.3",INDIRECT($A$1&amp;"!$E$2:$E$999"),"YES",INDIRECT($A$1&amp;"!$F$2:$F$999"),"UP",INDIRECT($A$1&amp;"!$i$2:$i$999"),"YES")</f>
        <v>0</v>
      </c>
      <c r="O38" s="1"/>
      <c r="P38" s="1"/>
      <c r="Q38" s="1"/>
      <c r="R38" s="1"/>
      <c r="S38" s="8"/>
      <c r="T38" s="9"/>
      <c r="U38" s="9"/>
      <c r="V38" s="9"/>
      <c r="W38" s="9"/>
      <c r="X38" s="8"/>
      <c r="Y38" s="9"/>
      <c r="Z38" s="9"/>
      <c r="AA38" s="9"/>
      <c r="AB38" s="9"/>
      <c r="AC38" s="5"/>
      <c r="AD38" s="6"/>
      <c r="AE38" s="6"/>
      <c r="AF38" s="6"/>
      <c r="AG38" s="6"/>
      <c r="AH38" s="5"/>
      <c r="AI38" s="6"/>
      <c r="AJ38" s="6"/>
      <c r="AK38" s="6"/>
      <c r="AL38" s="6"/>
      <c r="AM38" s="5"/>
      <c r="AN38" s="6"/>
      <c r="AO38" s="6"/>
      <c r="AP38" s="6"/>
      <c r="AQ38" s="6"/>
      <c r="AR38" s="5"/>
      <c r="AS38" s="6"/>
      <c r="AT38" s="6"/>
      <c r="AU38" s="6"/>
      <c r="AV38" s="6"/>
      <c r="AW38" s="3"/>
      <c r="AX38" s="4"/>
      <c r="AY38" s="4"/>
      <c r="AZ38" s="4"/>
      <c r="BA38" s="4"/>
    </row>
    <row r="39" spans="1:53" x14ac:dyDescent="0.2">
      <c r="A39" s="8" t="s">
        <v>155</v>
      </c>
      <c r="B39" s="9">
        <f ca="1">AVERAGEIFS(INDIRECT($A$1&amp;"!$S$2:$S$999"),INDIRECT($A$1&amp;"!$K$2:$K$999"),"YES",INDIRECT($A$1&amp;"!$i$2:$i$999"),"YES")</f>
        <v>3.1857142857142859</v>
      </c>
      <c r="C39" s="8">
        <f ca="1">COUNTIFS(INDIRECT($A$1&amp;"!$K$2:$K$999"),"YES",INDIRECT($A$1&amp;"!$i$2:$i$999"),"YES")</f>
        <v>7</v>
      </c>
      <c r="D39" s="9">
        <f ca="1">AVERAGEIFS(INDIRECT($A$1&amp;"!$S$2:$S$999"),INDIRECT($A$1&amp;"!$Q$2:$Q$999"),"&lt;=4",INDIRECT($A$1&amp;"!$K$2:$K$999"),"YES",INDIRECT($A$1&amp;"!$i$2:$i$999"),"YES")</f>
        <v>4.1333333333333337</v>
      </c>
      <c r="E39" s="8">
        <f ca="1">COUNTIFS(INDIRECT($A$1&amp;"!$Q$2:$Q$999"),"&lt;=4",INDIRECT($A$1&amp;"!$K$2:$K$999"),"YES",INDIRECT($A$1&amp;"!$i$2:$i$999"),"YES")</f>
        <v>3</v>
      </c>
      <c r="F39" s="9">
        <f ca="1">AVERAGEIFS(INDIRECT($A$1&amp;"!$S$2:$S$999"),INDIRECT($A$1&amp;"!$Q$2:$Q$999"),"&gt;=4.1",INDIRECT($A$1&amp;"!$Q$2:$Q$999"),"&lt;=5",INDIRECT($A$1&amp;"!$K$2:$K$999"),"YES",INDIRECT($A$1&amp;"!$i$2:$i$999"),"YES")</f>
        <v>2.6333333333333333</v>
      </c>
      <c r="G39" s="8">
        <f ca="1">COUNTIFS(INDIRECT($A$1&amp;"!$Q$2:$Q$999"),"&gt;=4.1",INDIRECT($A$1&amp;"!$Q$2:$Q$999"),"&lt;=5",INDIRECT($A$1&amp;"!$K$2:$K$999"),"YES",INDIRECT($A$1&amp;"!$i$2:$i$999"),"YES")</f>
        <v>3</v>
      </c>
      <c r="H39" s="9">
        <f ca="1">AVERAGEIFS(INDIRECT($A$1&amp;"!$S$2:$S$999"),INDIRECT($A$1&amp;"!$Q$2:$Q$999"),"&gt;=5.1",INDIRECT($A$1&amp;"!$Q$2:$Q$999"),"&lt;=6.2",INDIRECT($A$1&amp;"!$K$2:$K$999"),"YES",INDIRECT($A$1&amp;"!$i$2:$i$999"),"YES")</f>
        <v>2</v>
      </c>
      <c r="I39" s="8">
        <f ca="1">COUNTIFS(INDIRECT($A$1&amp;"!$Q$2:$Q$999"),"&gt;=5.1",INDIRECT($A$1&amp;"!$Q$2:$Q$999"),"&lt;=6.2",INDIRECT($A$1&amp;"!$K$2:$K$999"),"YES",INDIRECT($A$1&amp;"!$i$2:$i$999"),"YES")</f>
        <v>1</v>
      </c>
      <c r="J39" s="9" t="e">
        <f ca="1">AVERAGEIFS(INDIRECT($A$1&amp;"!$S$2:$S$999"),INDIRECT($A$1&amp;"!$Q$2:$Q$999"),"&gt;=6.3",INDIRECT($A$1&amp;"!$K$2:$K$999"),"YES",INDIRECT($A$1&amp;"!$i$2:$i$999"),"YES")</f>
        <v>#DIV/0!</v>
      </c>
      <c r="K39" s="8">
        <f ca="1">COUNTIFS(INDIRECT($A$1&amp;"!$Q$2:$Q$999"),"&gt;=6.3",INDIRECT($A$1&amp;"!$K$2:$K$999"),"YES",INDIRECT($A$1&amp;"!$i$2:$i$999"),"YES")</f>
        <v>0</v>
      </c>
      <c r="O39" s="1"/>
      <c r="P39" s="1"/>
      <c r="Q39" s="1"/>
      <c r="R39" s="1"/>
      <c r="S39" s="8"/>
      <c r="T39" s="9"/>
      <c r="U39" s="9"/>
      <c r="V39" s="9"/>
      <c r="W39" s="9"/>
      <c r="X39" s="8"/>
      <c r="Y39" s="9"/>
      <c r="Z39" s="9"/>
      <c r="AA39" s="9"/>
      <c r="AB39" s="9"/>
      <c r="AC39" s="5"/>
      <c r="AD39" s="6"/>
      <c r="AE39" s="6"/>
      <c r="AF39" s="6"/>
      <c r="AG39" s="6"/>
      <c r="AH39" s="5"/>
      <c r="AI39" s="6"/>
      <c r="AJ39" s="6"/>
      <c r="AK39" s="6"/>
      <c r="AL39" s="6"/>
      <c r="AM39" s="5"/>
      <c r="AN39" s="6"/>
      <c r="AO39" s="6"/>
      <c r="AP39" s="6"/>
      <c r="AQ39" s="6"/>
      <c r="AR39" s="5"/>
      <c r="AS39" s="6"/>
      <c r="AT39" s="6"/>
      <c r="AU39" s="6"/>
      <c r="AV39" s="6"/>
      <c r="AW39" s="3"/>
      <c r="AX39" s="4"/>
      <c r="AY39" s="4"/>
      <c r="AZ39" s="4"/>
      <c r="BA39" s="4"/>
    </row>
    <row r="40" spans="1:53" x14ac:dyDescent="0.2">
      <c r="A40" s="1" t="s">
        <v>43</v>
      </c>
      <c r="B40" s="1">
        <f ca="1">AVERAGEIFS(INDIRECT($A$1&amp;"!$S$2:$S$999"),INDIRECT($A$1&amp;"!$O$2:$O$999"),"&gt;=-4.5",INDIRECT($A$1&amp;"!$O$2:$O$999"),"&lt;=4.5")</f>
        <v>3.0698706658468202</v>
      </c>
      <c r="C40">
        <f ca="1">COUNTIFS(INDIRECT($A$1&amp;"!$O$2:$O$999"),"&gt;=-4.5",INDIRECT($A$1&amp;"!$O$2:$O$999"),"&lt;=4.5")</f>
        <v>391</v>
      </c>
      <c r="D40" s="1">
        <f ca="1">AVERAGEIFS(INDIRECT($A$1&amp;"!$S$2:$S$999"),INDIRECT($A$1&amp;"!$O$2:$O$999"),"&gt;=-4.5",INDIRECT($A$1&amp;"!$O$2:$O$999"),"&lt;=4.55",INDIRECT($A$1&amp;"!$Q$2:$Q$999"),"&lt;=4")</f>
        <v>3.1249999999999996</v>
      </c>
      <c r="E40">
        <f ca="1">COUNTIFS(INDIRECT($A$1&amp;"!$O$2:$O$999"),"&gt;=-4.5",INDIRECT($A$1&amp;"!$O$2:$O$999"),"&lt;=4.55",INDIRECT($A$1&amp;"!$Q$2:$Q$999"),"&lt;=4")</f>
        <v>16</v>
      </c>
      <c r="F40" s="1">
        <f ca="1">AVERAGEIFS(INDIRECT($A$1&amp;"!$S$2:$S$999"),INDIRECT($A$1&amp;"!$O$2:$O$999"),"&gt;=-4.5",INDIRECT($A$1&amp;"!$O$2:$O$999"),"&lt;=4.5",INDIRECT($A$1&amp;"!$Q$2:$Q$999"),"&gt;=4.1",INDIRECT($A$1&amp;"!$Q$2:$Q$999"),"&lt;=5")</f>
        <v>3.5909090909090908</v>
      </c>
      <c r="G40">
        <f ca="1">COUNTIFS(INDIRECT($A$1&amp;"!$O$2:$O$999"),"&gt;=-4.5",INDIRECT($A$1&amp;"!$O$2:$O$999"),"&lt;=4.5",INDIRECT($A$1&amp;"!$Q$2:$Q$999"),"&gt;=4.1",INDIRECT($A$1&amp;"!$Q$2:$Q$999"),"&lt;=5")</f>
        <v>22</v>
      </c>
      <c r="H40" s="1">
        <f ca="1">AVERAGEIFS(INDIRECT($A$1&amp;"!$S$2:$S$999"),INDIRECT($A$1&amp;"!$O$2:$O$999"),"&gt;=-4.5",INDIRECT($A$1&amp;"!$O$2:$O$999"),"&lt;=4.5",INDIRECT($A$1&amp;"!$Q$2:$Q$999"),"&gt;=5.1",INDIRECT($A$1&amp;"!$Q$2:$Q$999"),"&lt;=6.2")</f>
        <v>2.2890977874584433</v>
      </c>
      <c r="I40">
        <f ca="1">COUNTIFS(INDIRECT($A$1&amp;"!$O$2:$O$999"),"&gt;=-4.5",INDIRECT($A$1&amp;"!$O$2:$O$999"),"&lt;=4.5",INDIRECT($A$1&amp;"!$Q$2:$Q$999"),"&gt;=5.1",INDIRECT($A$1&amp;"!$Q$2:$Q$999"),"&lt;=6.2")</f>
        <v>13</v>
      </c>
      <c r="J40" s="1">
        <f ca="1">AVERAGEIFS(INDIRECT($A$1&amp;"!$S$2:$S$999"),INDIRECT($A$1&amp;"!$O$2:$O$999"),"&gt;=-4.5",INDIRECT($A$1&amp;"!$O$2:$O$999"),"&lt;=4.5",INDIRECT($A$1&amp;"!$Q$2:$Q$999"),"&gt;=6.3")</f>
        <v>2.5211538461538461</v>
      </c>
      <c r="K40">
        <f ca="1">COUNTIFS(INDIRECT($A$1&amp;"!$O$2:$O$999"),"&gt;=-4.5",INDIRECT($A$1&amp;"!$O$2:$O$999"),"&lt;=4.5",INDIRECT($A$1&amp;"!$Q$2:$Q$999"),"&gt;=6.3")</f>
        <v>4</v>
      </c>
      <c r="O40" s="1"/>
      <c r="P40" s="1"/>
      <c r="Q40" s="1"/>
      <c r="R40" s="1"/>
      <c r="S40" s="8"/>
      <c r="T40" s="8"/>
      <c r="U40" s="9"/>
      <c r="V40" s="9"/>
      <c r="W40" s="9"/>
      <c r="X40" s="8"/>
      <c r="Y40" s="8"/>
      <c r="Z40" s="9"/>
      <c r="AA40" s="9"/>
      <c r="AB40" s="9"/>
      <c r="AC40" s="5"/>
      <c r="AD40" s="6"/>
      <c r="AE40" s="6"/>
      <c r="AF40" s="6"/>
      <c r="AG40" s="6"/>
      <c r="AH40" s="5"/>
      <c r="AI40" s="5"/>
      <c r="AJ40" s="6"/>
      <c r="AK40" s="6"/>
      <c r="AL40" s="6"/>
      <c r="AM40" s="5"/>
      <c r="AN40" s="5"/>
      <c r="AO40" s="6"/>
      <c r="AP40" s="6"/>
      <c r="AQ40" s="6"/>
      <c r="AR40" s="5"/>
      <c r="AS40" s="5"/>
      <c r="AT40" s="6"/>
      <c r="AU40" s="6"/>
      <c r="AV40" s="6"/>
      <c r="AW40" s="3"/>
      <c r="AX40" s="3"/>
      <c r="AY40" s="4"/>
      <c r="AZ40" s="4"/>
      <c r="BA40" s="4"/>
    </row>
    <row r="41" spans="1:53" x14ac:dyDescent="0.2">
      <c r="A41" s="8" t="s">
        <v>150</v>
      </c>
      <c r="B41" s="9">
        <f ca="1">AVERAGEIFS(INDIRECT($A$1&amp;"!$S$2:$S$999"),INDIRECT($A$1&amp;"!$J$2:$J$999"),"YES")</f>
        <v>3.0637700902942271</v>
      </c>
      <c r="C41" s="8">
        <f ca="1">COUNTIF(INDIRECT($A$1&amp;"!$J$2:$J$999"),"YES")</f>
        <v>31</v>
      </c>
      <c r="D41" s="9">
        <f ca="1">AVERAGEIFS(INDIRECT($A$1&amp;"!$S$2:$S$999"),INDIRECT($A$1&amp;"!$Q$2:$Q$999"),"&lt;=4",INDIRECT($A$1&amp;"!$J$2:$J$999"),"YES")</f>
        <v>2.5150900900900899</v>
      </c>
      <c r="E41" s="8">
        <f ca="1">COUNTIFS(INDIRECT($A$1&amp;"!$Q$2:$Q$999"),"&lt;=4",INDIRECT($A$1&amp;"!$J$2:$J$999"),"YES")</f>
        <v>12</v>
      </c>
      <c r="F41" s="9">
        <f ca="1">AVERAGEIFS(INDIRECT($A$1&amp;"!$S$2:$S$999"),INDIRECT($A$1&amp;"!$Q$2:$Q$999"),"&gt;=4.1",INDIRECT($A$1&amp;"!$Q$2:$Q$999"),"&lt;=5",INDIRECT($A$1&amp;"!$J$2:$J$999"),"YES")</f>
        <v>3.9657823129251697</v>
      </c>
      <c r="G41" s="8">
        <f ca="1">COUNTIFS(INDIRECT($A$1&amp;"!$Q$2:$Q$999"),"&gt;=4.1",INDIRECT($A$1&amp;"!$Q$2:$Q$999"),"&lt;=5",INDIRECT($A$1&amp;"!$J$2:$J$999"),"YES")</f>
        <v>10</v>
      </c>
      <c r="H41" s="9">
        <f ca="1">AVERAGEIFS(INDIRECT($A$1&amp;"!$S$2:$S$999"),INDIRECT($A$1&amp;"!$Q$2:$Q$999"),"&gt;=5.1",INDIRECT($A$1&amp;"!$Q$2:$Q$999"),"&lt;=6.2",INDIRECT($A$1&amp;"!$J$2:$J$999"),"YES")</f>
        <v>2.7361933148818403</v>
      </c>
      <c r="I41" s="8">
        <f ca="1">COUNTIFS(INDIRECT($A$1&amp;"!$Q$2:$Q$999"),"&gt;=5.1",INDIRECT($A$1&amp;"!$Q$2:$Q$999"),"&lt;=6.2",INDIRECT($A$1&amp;"!$J$2:$J$999"),"YES")</f>
        <v>7</v>
      </c>
      <c r="J41" s="9">
        <f ca="1">AVERAGEIFS(INDIRECT($A$1&amp;"!$S$2:$S$999"),INDIRECT($A$1&amp;"!$Q$2:$Q$999"),"&gt;=6.3",INDIRECT($A$1&amp;"!$J$2:$J$999"),"YES")</f>
        <v>2.9923076923076923</v>
      </c>
      <c r="K41" s="8">
        <f ca="1">COUNTIFS(INDIRECT($A$1&amp;"!$Q$2:$Q$999"),"&gt;=6.3",INDIRECT($A$1&amp;"!$J$2:$J$999"),"YES")</f>
        <v>2</v>
      </c>
      <c r="O41" s="1"/>
      <c r="P41" s="1"/>
      <c r="Q41" s="1"/>
      <c r="R41" s="1"/>
      <c r="S41" s="8"/>
      <c r="T41" s="9"/>
      <c r="U41" s="9"/>
      <c r="V41" s="9"/>
      <c r="W41" s="9"/>
      <c r="X41" s="8"/>
      <c r="Y41" s="9"/>
      <c r="Z41" s="9"/>
      <c r="AA41" s="9"/>
      <c r="AB41" s="9"/>
      <c r="AC41" s="5"/>
      <c r="AD41" s="6"/>
      <c r="AE41" s="6"/>
      <c r="AF41" s="6"/>
      <c r="AG41" s="6"/>
      <c r="AH41" s="5"/>
      <c r="AI41" s="6"/>
      <c r="AJ41" s="6"/>
      <c r="AK41" s="6"/>
      <c r="AL41" s="6"/>
      <c r="AM41" s="5"/>
      <c r="AN41" s="6"/>
      <c r="AO41" s="6"/>
      <c r="AP41" s="6"/>
      <c r="AQ41" s="6"/>
      <c r="AR41" s="5"/>
      <c r="AS41" s="6"/>
      <c r="AT41" s="6"/>
      <c r="AU41" s="6"/>
      <c r="AV41" s="6"/>
      <c r="AW41" s="3"/>
      <c r="AX41" s="4"/>
      <c r="AY41" s="4"/>
      <c r="AZ41" s="4"/>
      <c r="BA41" s="4"/>
    </row>
    <row r="42" spans="1:53" x14ac:dyDescent="0.2">
      <c r="A42" s="8" t="s">
        <v>152</v>
      </c>
      <c r="B42" s="9">
        <f ca="1">AVERAGEIFS(INDIRECT($A$1&amp;"!$S$2:$S$999"),INDIRECT($A$1&amp;"!$i$2:$i$999"),"YES")</f>
        <v>3.0567753001715268</v>
      </c>
      <c r="C42" s="8">
        <f ca="1">COUNTIF(INDIRECT($A$1&amp;"!$i$2:$i$999"),"YES")</f>
        <v>54</v>
      </c>
      <c r="D42" s="9">
        <f ca="1">AVERAGEIFS(INDIRECT($A$1&amp;"!$S$2:$S$999"),INDIRECT($A$1&amp;"!$Q$2:$Q$999"),"&lt;=4",INDIRECT($A$1&amp;"!$i$2:$i$999"),"YES")</f>
        <v>4.1636363636363631</v>
      </c>
      <c r="E42" s="8">
        <f ca="1">COUNTIFS(INDIRECT($A$1&amp;"!$Q$2:$Q$999"),"&lt;=4",INDIRECT($A$1&amp;"!$i$2:$i$999"),"YES")</f>
        <v>11</v>
      </c>
      <c r="F42" s="9">
        <f ca="1">AVERAGEIFS(INDIRECT($A$1&amp;"!$S$2:$S$999"),INDIRECT($A$1&amp;"!$Q$2:$Q$999"),"&gt;=4.1",INDIRECT($A$1&amp;"!$Q$2:$Q$999"),"&lt;=5",INDIRECT($A$1&amp;"!$i$2:$i$999"),"YES")</f>
        <v>3.3631578947368421</v>
      </c>
      <c r="G42" s="8">
        <f ca="1">COUNTIFS(INDIRECT($A$1&amp;"!$Q$2:$Q$999"),"&gt;=4.1",INDIRECT($A$1&amp;"!$Q$2:$Q$999"),"&lt;=5",INDIRECT($A$1&amp;"!$i$2:$i$999"),"YES")</f>
        <v>19</v>
      </c>
      <c r="H42" s="9">
        <f ca="1">AVERAGEIFS(INDIRECT($A$1&amp;"!$S$2:$S$999"),INDIRECT($A$1&amp;"!$Q$2:$Q$999"),"&gt;=5.1",INDIRECT($A$1&amp;"!$Q$2:$Q$999"),"&lt;=6.2",INDIRECT($A$1&amp;"!$i$2:$i$999"),"YES")</f>
        <v>2.4160839160839163</v>
      </c>
      <c r="I42" s="8">
        <f ca="1">COUNTIFS(INDIRECT($A$1&amp;"!$Q$2:$Q$999"),"&gt;=5.1",INDIRECT($A$1&amp;"!$Q$2:$Q$999"),"&lt;=6.2",INDIRECT($A$1&amp;"!$i$2:$i$999"),"YES")</f>
        <v>13</v>
      </c>
      <c r="J42" s="9">
        <f ca="1">AVERAGEIFS(INDIRECT($A$1&amp;"!$S$2:$S$999"),INDIRECT($A$1&amp;"!$Q$2:$Q$999"),"&gt;=6.3",INDIRECT($A$1&amp;"!$i$2:$i$999"),"YES")</f>
        <v>2.0900000000000003</v>
      </c>
      <c r="K42" s="8">
        <f ca="1">COUNTIFS(INDIRECT($A$1&amp;"!$Q$2:$Q$999"),"&gt;=6.3",INDIRECT($A$1&amp;"!$i$2:$i$999"),"YES")</f>
        <v>10</v>
      </c>
      <c r="O42" s="1"/>
      <c r="P42" s="1"/>
      <c r="Q42" s="1"/>
      <c r="R42" s="1"/>
      <c r="S42" s="8"/>
      <c r="T42" s="9"/>
      <c r="U42" s="9"/>
      <c r="V42" s="9"/>
      <c r="W42" s="9"/>
      <c r="X42" s="8"/>
      <c r="Y42" s="9"/>
      <c r="Z42" s="9"/>
      <c r="AA42" s="9"/>
      <c r="AB42" s="9"/>
      <c r="AC42" s="5"/>
      <c r="AD42" s="6"/>
      <c r="AE42" s="6"/>
      <c r="AF42" s="6"/>
      <c r="AG42" s="6"/>
      <c r="AH42" s="5"/>
      <c r="AI42" s="6"/>
      <c r="AJ42" s="6"/>
      <c r="AK42" s="6"/>
      <c r="AL42" s="6"/>
      <c r="AM42" s="5"/>
      <c r="AN42" s="6"/>
      <c r="AO42" s="6"/>
      <c r="AP42" s="6"/>
      <c r="AQ42" s="6"/>
      <c r="AR42" s="5"/>
      <c r="AS42" s="6"/>
      <c r="AT42" s="6"/>
      <c r="AU42" s="6"/>
      <c r="AV42" s="6"/>
      <c r="AW42" s="3"/>
      <c r="AX42" s="4"/>
      <c r="AY42" s="4"/>
      <c r="AZ42" s="4"/>
      <c r="BA42" s="4"/>
    </row>
    <row r="43" spans="1:53" x14ac:dyDescent="0.2">
      <c r="A43" s="8" t="s">
        <v>198</v>
      </c>
      <c r="B43" s="9">
        <f ca="1">AVERAGEIFS(INDIRECT($A$1&amp;"!$S$2:$S$999"),INDIRECT($A$1&amp;"!$C$2:$C$999"),"&gt;=.01")</f>
        <v>3.0092741601236028</v>
      </c>
      <c r="C43" s="8">
        <f ca="1">COUNTIF(INDIRECT($A$1&amp;"!$C$2:$C$999"),"&gt;=.01")</f>
        <v>88</v>
      </c>
      <c r="D43" s="9">
        <f ca="1">AVERAGEIFS(INDIRECT($A$1&amp;"!$S$2:$S$999"),INDIRECT($A$1&amp;"!$Q$2:$Q$999"),"&lt;=4",INDIRECT($A$1&amp;"!$C$2:$C$999"),"&gt;=.01")</f>
        <v>2.7177754677754677</v>
      </c>
      <c r="E43" s="8">
        <f ca="1">COUNTIFS(INDIRECT($A$1&amp;"!$Q$2:$Q$999"),"&lt;=4",INDIRECT($A$1&amp;"!$C$2:$C$999"),"&gt;=.01")</f>
        <v>13</v>
      </c>
      <c r="F43" s="9">
        <f ca="1">AVERAGEIFS(INDIRECT($A$1&amp;"!$S$2:$S$999"),INDIRECT($A$1&amp;"!$Q$2:$Q$999"),"&gt;=4.1",INDIRECT($A$1&amp;"!$Q$2:$Q$999"),"&lt;=5",INDIRECT($A$1&amp;"!$C$2:$C$999"),"&gt;=.01")</f>
        <v>3.2485941043083897</v>
      </c>
      <c r="G43" s="8">
        <f ca="1">COUNTIFS(INDIRECT($A$1&amp;"!$Q$2:$Q$999"),"&gt;=4.1",INDIRECT($A$1&amp;"!$Q$2:$Q$999"),"&lt;=5",INDIRECT($A$1&amp;"!$C$2:$C$999"),"&gt;=.01")</f>
        <v>30</v>
      </c>
      <c r="H43" s="9">
        <f ca="1">AVERAGEIFS(INDIRECT($A$1&amp;"!$S$2:$S$999"),INDIRECT($A$1&amp;"!$Q$2:$Q$999"),"&gt;=5.1",INDIRECT($A$1&amp;"!$Q$2:$Q$999"),"&lt;=6.2",INDIRECT($A$1&amp;"!$C$2:$C$999"),"&gt;=.01")</f>
        <v>2.9970193740685547</v>
      </c>
      <c r="I43" s="8">
        <f ca="1">COUNTIFS(INDIRECT($A$1&amp;"!$Q$2:$Q$999"),"&gt;=5.1",INDIRECT($A$1&amp;"!$Q$2:$Q$999"),"&lt;=6.2",INDIRECT($A$1&amp;"!$C$2:$C$999"),"&gt;=.01")</f>
        <v>14</v>
      </c>
      <c r="J43" s="9">
        <f ca="1">AVERAGEIFS(INDIRECT($A$1&amp;"!$S$2:$S$999"),INDIRECT($A$1&amp;"!$Q$2:$Q$999"),"&gt;=6.3",INDIRECT($A$1&amp;"!$C$2:$C$999"),"&gt;=.01")</f>
        <v>1.4</v>
      </c>
      <c r="K43" s="8">
        <f ca="1">COUNTIFS(INDIRECT($A$1&amp;"!$Q$2:$Q$999"),"&gt;=6.3",INDIRECT($A$1&amp;"!$C$2:$C$999"),"&gt;=.01")</f>
        <v>2</v>
      </c>
      <c r="O43" s="1"/>
      <c r="P43" s="1"/>
      <c r="Q43" s="1"/>
      <c r="R43" s="1"/>
      <c r="S43" s="8"/>
      <c r="T43" s="8"/>
      <c r="U43" s="9"/>
      <c r="V43" s="9"/>
      <c r="W43" s="9"/>
      <c r="X43" s="8"/>
      <c r="Y43" s="8"/>
      <c r="Z43" s="9"/>
      <c r="AA43" s="9"/>
      <c r="AB43" s="9"/>
      <c r="AC43" s="5"/>
      <c r="AD43" s="6"/>
      <c r="AE43" s="6"/>
      <c r="AF43" s="6"/>
      <c r="AG43" s="6"/>
      <c r="AH43" s="5"/>
      <c r="AI43" s="5"/>
      <c r="AJ43" s="6"/>
      <c r="AK43" s="6"/>
      <c r="AL43" s="6"/>
      <c r="AM43" s="5"/>
      <c r="AN43" s="5"/>
      <c r="AO43" s="6"/>
      <c r="AP43" s="6"/>
      <c r="AQ43" s="6"/>
      <c r="AR43" s="5"/>
      <c r="AS43" s="5"/>
      <c r="AT43" s="6"/>
      <c r="AU43" s="6"/>
      <c r="AV43" s="6"/>
      <c r="AW43" s="3"/>
      <c r="AX43" s="3"/>
      <c r="AY43" s="4"/>
      <c r="AZ43" s="4"/>
      <c r="BA43" s="4"/>
    </row>
    <row r="44" spans="1:53" x14ac:dyDescent="0.2">
      <c r="A44" t="s">
        <v>40</v>
      </c>
      <c r="B44" s="1">
        <f ca="1">AVERAGEIF(INDIRECT($A$1&amp;"!$P$2:$P$999"),"&lt;=44",INDIRECT($A$1&amp;"!$S$2:$S$999"))</f>
        <v>2.9777308558558566</v>
      </c>
      <c r="C44">
        <f ca="1">COUNTIF(INDIRECT($A$1&amp;"!$P$2:$P$999"),"&lt;=44")</f>
        <v>269</v>
      </c>
      <c r="D44" s="1">
        <f ca="1">AVERAGEIFS(INDIRECT($A$1&amp;"!$S$2:$S$999"),INDIRECT($A$1&amp;"!$Q$2:$Q$999"),"&lt;=4",INDIRECT($A$1&amp;"!$P$2:$P$999"),"&lt;=44")</f>
        <v>3.1020720720720716</v>
      </c>
      <c r="E44">
        <f ca="1">COUNTIFS(INDIRECT($A$1&amp;"!$Q$2:$Q$999"),"&lt;=4",INDIRECT($A$1&amp;"!$P$2:$P$999"),"&lt;=44")</f>
        <v>16</v>
      </c>
      <c r="F44" s="1">
        <f ca="1">AVERAGEIFS(INDIRECT($A$1&amp;"!$S$2:$S$999"),INDIRECT($A$1&amp;"!$Q$2:$Q$999"),"&gt;=4.1",INDIRECT($A$1&amp;"!$Q$2:$Q$999"),"&lt;=5",INDIRECT($A$1&amp;"!$P$2:$P$999"),"&lt;=44")</f>
        <v>3.4299999999999997</v>
      </c>
      <c r="G44">
        <f ca="1">COUNTIFS(INDIRECT($A$1&amp;"!$Q$2:$Q$999"),"&gt;=4.1",INDIRECT($A$1&amp;"!$Q$2:$Q$999"),"&lt;=5",INDIRECT($A$1&amp;"!$P$2:$P$999"),"&lt;=44")</f>
        <v>20</v>
      </c>
      <c r="H44" s="1">
        <f ca="1">AVERAGEIFS(INDIRECT($A$1&amp;"!$S$2:$S$999"),INDIRECT($A$1&amp;"!$Q$2:$Q$999"),"&gt;=5.1",INDIRECT($A$1&amp;"!$Q$2:$Q$999"),"&lt;=6.2",INDIRECT($A$1&amp;"!$P$2:$P$999"),"&lt;=44")</f>
        <v>1.9100000000000001</v>
      </c>
      <c r="I44">
        <f ca="1">COUNTIFS(INDIRECT($A$1&amp;"!$Q$2:$Q$999"),"&gt;=5.1",INDIRECT($A$1&amp;"!$Q$2:$Q$999"),"&lt;=6.2",INDIRECT($A$1&amp;"!$P$2:$P$999"),"&lt;=44")</f>
        <v>10</v>
      </c>
      <c r="J44" s="1">
        <f ca="1">AVERAGEIFS(INDIRECT($A$1&amp;"!$S$2:$S$999"),INDIRECT($A$1&amp;"!$Q$2:$Q$999"),"&gt;=6.3",INDIRECT($A$1&amp;"!$P$2:$P$999"),"&lt;=44")</f>
        <v>2.9</v>
      </c>
      <c r="K44">
        <f ca="1">COUNTIFS(INDIRECT($A$1&amp;"!$Q$2:$Q$999"),"&gt;=6.3",INDIRECT($A$1&amp;"!$P$2:$P$999"),"&lt;=44")</f>
        <v>3</v>
      </c>
      <c r="O44" s="1"/>
      <c r="P44" s="1"/>
      <c r="Q44" s="1"/>
      <c r="R44" s="1"/>
      <c r="S44" s="8"/>
      <c r="T44" s="9"/>
      <c r="U44" s="9"/>
      <c r="V44" s="9"/>
      <c r="W44" s="9"/>
      <c r="X44" s="8"/>
      <c r="Y44" s="9"/>
      <c r="Z44" s="9"/>
      <c r="AA44" s="9"/>
      <c r="AB44" s="9"/>
      <c r="AC44" s="5"/>
      <c r="AD44" s="6"/>
      <c r="AE44" s="6"/>
      <c r="AF44" s="6"/>
      <c r="AG44" s="6"/>
      <c r="AH44" s="5"/>
      <c r="AI44" s="6"/>
      <c r="AJ44" s="6"/>
      <c r="AK44" s="6"/>
      <c r="AL44" s="6"/>
      <c r="AM44" s="5"/>
      <c r="AN44" s="6"/>
      <c r="AO44" s="6"/>
      <c r="AP44" s="6"/>
      <c r="AQ44" s="6"/>
      <c r="AR44" s="5"/>
      <c r="AS44" s="6"/>
      <c r="AT44" s="6"/>
      <c r="AU44" s="6"/>
      <c r="AV44" s="6"/>
      <c r="AW44" s="3"/>
      <c r="AX44" s="4"/>
      <c r="AY44" s="4"/>
      <c r="AZ44" s="4"/>
      <c r="BA44" s="4"/>
    </row>
    <row r="45" spans="1:53" x14ac:dyDescent="0.2">
      <c r="A45" t="s">
        <v>42</v>
      </c>
      <c r="B45" s="1">
        <f ca="1">AVERAGEIF(INDIRECT($A$1&amp;"!$P$2:$P$999"),"&gt;=49",INDIRECT($A$1&amp;"!$S$2:$S$999"))</f>
        <v>2.928506787330317</v>
      </c>
      <c r="C45">
        <f ca="1">COUNTIF(INDIRECT($A$1&amp;"!$P$2:$P$999"),"&gt;=49")</f>
        <v>186</v>
      </c>
      <c r="D45" s="1" t="e">
        <f ca="1">AVERAGEIFS(INDIRECT($A$1&amp;"!$S$2:$S$999"),INDIRECT($A$1&amp;"!$Q$2:$Q$999"),"&lt;=4",INDIRECT($A$1&amp;"!$P$2:$P$999"),"&gt;=49")</f>
        <v>#DIV/0!</v>
      </c>
      <c r="E45">
        <f ca="1">COUNTIFS(INDIRECT($A$1&amp;"!$Q$2:$Q$999"),"&lt;=4",INDIRECT($A$1&amp;"!$P$2:$P$999"),"&gt;=49")</f>
        <v>0</v>
      </c>
      <c r="F45" s="1">
        <f ca="1">AVERAGEIFS(INDIRECT($A$1&amp;"!$S$2:$S$999"),INDIRECT($A$1&amp;"!$Q$2:$Q$999"),"&gt;=4.1",INDIRECT($A$1&amp;"!$Q$2:$Q$999"),"&lt;=5",INDIRECT($A$1&amp;"!$P$2:$P$999"),"&gt;=49")</f>
        <v>3.3999999999999995</v>
      </c>
      <c r="G45">
        <f ca="1">COUNTIFS(INDIRECT($A$1&amp;"!$Q$2:$Q$999"),"&gt;=4.1",INDIRECT($A$1&amp;"!$Q$2:$Q$999"),"&lt;=5",INDIRECT($A$1&amp;"!$P$2:$P$999"),"&gt;=49")</f>
        <v>7</v>
      </c>
      <c r="H45" s="1">
        <f ca="1">AVERAGEIFS(INDIRECT($A$1&amp;"!$S$2:$S$999"),INDIRECT($A$1&amp;"!$Q$2:$Q$999"),"&gt;=5.1",INDIRECT($A$1&amp;"!$Q$2:$Q$999"),"&lt;=6.2",INDIRECT($A$1&amp;"!$P$2:$P$999"),"&gt;=49")</f>
        <v>3.3</v>
      </c>
      <c r="I45">
        <f ca="1">COUNTIFS(INDIRECT($A$1&amp;"!$Q$2:$Q$999"),"&gt;=5.1",INDIRECT($A$1&amp;"!$Q$2:$Q$999"),"&lt;=6.2",INDIRECT($A$1&amp;"!$P$2:$P$999"),"&gt;=49")</f>
        <v>5</v>
      </c>
      <c r="J45" s="1">
        <f ca="1">AVERAGEIFS(INDIRECT($A$1&amp;"!$S$2:$S$999"),INDIRECT($A$1&amp;"!$Q$2:$Q$999"),"&gt;=6.3",INDIRECT($A$1&amp;"!$P$2:$P$999"),"&gt;=49")</f>
        <v>1.8969230769230769</v>
      </c>
      <c r="K45">
        <f ca="1">COUNTIFS(INDIRECT($A$1&amp;"!$Q$2:$Q$999"),"&gt;=6.3",INDIRECT($A$1&amp;"!$P$2:$P$999"),"&gt;=49")</f>
        <v>5</v>
      </c>
      <c r="O45" s="1"/>
      <c r="P45" s="1"/>
      <c r="Q45" s="1"/>
      <c r="R45" s="1"/>
      <c r="S45" s="8"/>
      <c r="T45" s="9"/>
      <c r="U45" s="9"/>
      <c r="V45" s="9"/>
      <c r="W45" s="9"/>
      <c r="X45" s="9"/>
      <c r="Y45" s="8"/>
      <c r="Z45" s="9"/>
      <c r="AA45" s="9"/>
      <c r="AB45" s="9"/>
      <c r="AC45" s="5"/>
      <c r="AD45" s="6"/>
      <c r="AE45" s="6"/>
      <c r="AF45" s="6"/>
      <c r="AG45" s="6"/>
      <c r="AH45" s="5"/>
      <c r="AI45" s="6"/>
      <c r="AJ45" s="6"/>
      <c r="AK45" s="6"/>
      <c r="AL45" s="6"/>
      <c r="AM45" s="6"/>
      <c r="AN45" s="5"/>
      <c r="AO45" s="6"/>
      <c r="AP45" s="6"/>
      <c r="AQ45" s="6"/>
      <c r="AR45" s="5"/>
      <c r="AS45" s="6"/>
      <c r="AT45" s="6"/>
      <c r="AU45" s="6"/>
      <c r="AV45" s="6"/>
      <c r="AW45" s="3"/>
      <c r="AX45" s="3"/>
      <c r="AY45" s="3"/>
      <c r="AZ45" s="3"/>
      <c r="BA45" s="3"/>
    </row>
    <row r="46" spans="1:53" x14ac:dyDescent="0.2">
      <c r="A46" t="s">
        <v>29</v>
      </c>
      <c r="B46" s="1">
        <f ca="1">AVERAGE((INDIRECT($A$1&amp;"!$s$2:$s$999")))</f>
        <v>2.8961670817212757</v>
      </c>
      <c r="C46">
        <f ca="1">COUNT(INDIRECT($A$1&amp;"!$s$2:$s$999"))</f>
        <v>128</v>
      </c>
      <c r="D46" s="1">
        <f ca="1">AVERAGEIFS(INDIRECT($A$1&amp;"!$s$2:$s$999"),INDIRECT($A$1&amp;"!q$2:$q$999"),"&lt;=4")</f>
        <v>3.0915962837837836</v>
      </c>
      <c r="E46">
        <f ca="1">COUNTIF(INDIRECT($A$1&amp;"!$q$2:$q$999"),"&lt;=4")</f>
        <v>33</v>
      </c>
      <c r="F46" s="1">
        <f ca="1">AVERAGEIFS(INDIRECT($A$1&amp;"!$S$2:$S$999"),INDIRECT($A$1&amp;"!$Q$2:$Q$999"),"&gt;=4.1",INDIRECT($A$1&amp;"!$Q$2:$Q$999"),"&lt;=5")</f>
        <v>3.2286760858189436</v>
      </c>
      <c r="G46">
        <f ca="1">COUNTIFS(INDIRECT($A$1&amp;"!$Q$2:$Q$999"),"&gt;=4.1",INDIRECT($A$1&amp;"!$Q$2:$Q$999"),"&lt;=5")</f>
        <v>52</v>
      </c>
      <c r="H46" s="1">
        <f ca="1">AVERAGEIFS(INDIRECT($A$1&amp;"!$S$2:$S$999"),INDIRECT($A$1&amp;"!$Q$2:$Q$999"),"&gt;=5.1",INDIRECT($A$1&amp;"!$Q$2:$Q$999"),"&lt;=6.2")</f>
        <v>2.4775010816787653</v>
      </c>
      <c r="I46">
        <f ca="1">COUNTIFS(INDIRECT($A$1&amp;"!$Q$2:$Q$999"),"&gt;=5.1",INDIRECT($A$1&amp;"!$Q$2:$Q$999"),"&lt;=6.2")</f>
        <v>31</v>
      </c>
      <c r="J46" s="1">
        <f ca="1">AVERAGEIFS(INDIRECT($A$1&amp;"!$S$2:$S$999"),INDIRECT($A$1&amp;"!$Q$2:$Q$999"),"&gt;=6.3")</f>
        <v>2.0834319526627221</v>
      </c>
      <c r="K46">
        <f ca="1">COUNTIF(INDIRECT($A$1&amp;"!$Q$2:$Q$999"),"&gt;=6.3")</f>
        <v>13</v>
      </c>
      <c r="O46" s="1"/>
      <c r="P46" s="1"/>
      <c r="Q46" s="1"/>
      <c r="R46" s="1"/>
      <c r="S46" s="8"/>
      <c r="T46" s="9"/>
      <c r="U46" s="9"/>
      <c r="V46" s="9"/>
      <c r="W46" s="9"/>
      <c r="X46" s="8"/>
      <c r="Y46" s="8"/>
      <c r="Z46" s="9"/>
      <c r="AA46" s="9"/>
      <c r="AB46" s="9"/>
      <c r="AC46" s="5"/>
      <c r="AD46" s="6"/>
      <c r="AE46" s="6"/>
      <c r="AF46" s="6"/>
      <c r="AG46" s="6"/>
      <c r="AH46" s="5"/>
      <c r="AI46" s="6"/>
      <c r="AJ46" s="6"/>
      <c r="AK46" s="6"/>
      <c r="AL46" s="6"/>
      <c r="AM46" s="5"/>
      <c r="AN46" s="5"/>
      <c r="AO46" s="6"/>
      <c r="AP46" s="6"/>
      <c r="AQ46" s="6"/>
      <c r="AR46" s="5"/>
      <c r="AS46" s="6"/>
      <c r="AT46" s="6"/>
      <c r="AU46" s="6"/>
      <c r="AV46" s="6"/>
      <c r="AX46" s="1"/>
      <c r="AY46" s="1"/>
      <c r="AZ46" s="1"/>
      <c r="BA46" s="1"/>
    </row>
    <row r="47" spans="1:53" x14ac:dyDescent="0.2">
      <c r="A47" s="1" t="s">
        <v>30</v>
      </c>
      <c r="B47" s="1">
        <f ca="1">AVERAGEIF(INDIRECT($A$1&amp;"!$O$2:$O$999"),"&gt;=5",INDIRECT($A$1&amp;"!$S$2:$S$999"))</f>
        <v>2.8745570133003882</v>
      </c>
      <c r="C47">
        <f ca="1">COUNTIF(INDIRECT($A$1&amp;"!$O$2:$O$999"),"&gt;=5")</f>
        <v>170</v>
      </c>
      <c r="D47" s="1">
        <f ca="1">AVERAGEIFS(INDIRECT($A$1&amp;"!$S$2:$S$999"),INDIRECT($A$1&amp;"!$O$2:$O$999"),"&gt;=5",INDIRECT($A$1&amp;"!$Q$2:$Q$999"),"&lt;=4")</f>
        <v>2.359009009009009</v>
      </c>
      <c r="E47">
        <f ca="1">COUNTIFS(INDIRECT($A$1&amp;"!$O$2:$O$999"),"&gt;=5",INDIRECT($A$1&amp;"!$Q$2:$Q$999"),"&lt;=4")</f>
        <v>10</v>
      </c>
      <c r="F47" s="1">
        <f ca="1">AVERAGEIFS(INDIRECT($A$1&amp;"!$S$2:$S$999"),INDIRECT($A$1&amp;"!$O$2:$O$999"),"&gt;=5",INDIRECT($A$1&amp;"!$Q$2:$Q$999"),"&gt;=4.1",INDIRECT($A$1&amp;"!$Q$2:$Q$999"),"&lt;=5")</f>
        <v>3.0386954781912761</v>
      </c>
      <c r="G47">
        <f ca="1">COUNTIFS(INDIRECT($A$1&amp;"!$O$2:$O$999"),"&gt;=5",INDIRECT($A$1&amp;"!$Q$2:$Q$999"),"&gt;=4.1",INDIRECT($A$1&amp;"!$Q$2:$Q$999"),"&lt;=5")</f>
        <v>17</v>
      </c>
      <c r="H47" s="1">
        <f ca="1">AVERAGEIFS(INDIRECT($A$1&amp;"!$S$2:$S$999"),INDIRECT($A$1&amp;"!$O$2:$O$999"),"&gt;=5",INDIRECT($A$1&amp;"!$Q$2:$Q$999"),"&gt;=5.1",INDIRECT($A$1&amp;"!$Q$2:$Q$999"),"&lt;=6.2")</f>
        <v>3.1744262295081969</v>
      </c>
      <c r="I47">
        <f ca="1">COUNTIFS(INDIRECT($A$1&amp;"!$O$2:$O$999"),"&gt;=5",INDIRECT($A$1&amp;"!$Q$2:$Q$999"),"&gt;=5.1",INDIRECT($A$1&amp;"!$Q$2:$Q$999"),"&lt;=6.2")</f>
        <v>10</v>
      </c>
      <c r="J47" s="1">
        <f ca="1">AVERAGEIFS(INDIRECT($A$1&amp;"!$S$2:$S$999"),INDIRECT($A$1&amp;"!$O$2:$O$999"),"&gt;=5",INDIRECT($A$1&amp;"!$Q$2:$Q$999"),"&gt;=6.3")</f>
        <v>2.2999999999999998</v>
      </c>
      <c r="K47">
        <f ca="1">COUNTIFS(INDIRECT($A$1&amp;"!$O$2:$O$999"),"&gt;=5",INDIRECT($A$1&amp;"!$Q$2:$Q$999"),"&gt;=6.3")</f>
        <v>2</v>
      </c>
      <c r="P47" s="1"/>
      <c r="Q47" s="1"/>
      <c r="R47" s="1"/>
      <c r="S47" s="8"/>
      <c r="T47" s="9"/>
      <c r="U47" s="9"/>
      <c r="V47" s="9"/>
      <c r="W47" s="9"/>
      <c r="X47" s="8"/>
      <c r="Y47" s="9"/>
      <c r="Z47" s="9"/>
      <c r="AA47" s="9"/>
      <c r="AB47" s="9"/>
      <c r="AC47" s="5"/>
      <c r="AD47" s="6"/>
      <c r="AE47" s="6"/>
      <c r="AF47" s="6"/>
      <c r="AG47" s="6"/>
      <c r="AH47" s="5"/>
      <c r="AI47" s="6"/>
      <c r="AJ47" s="6"/>
      <c r="AK47" s="6"/>
      <c r="AL47" s="6"/>
      <c r="AM47" s="5"/>
      <c r="AN47" s="6"/>
      <c r="AO47" s="6"/>
      <c r="AP47" s="6"/>
      <c r="AQ47" s="6"/>
      <c r="AR47" s="5"/>
      <c r="AS47" s="6"/>
      <c r="AT47" s="6"/>
      <c r="AU47" s="6"/>
      <c r="AV47" s="6"/>
      <c r="AX47" s="1"/>
      <c r="AY47" s="1"/>
      <c r="AZ47" s="1"/>
      <c r="BA47" s="1"/>
    </row>
    <row r="48" spans="1:53" x14ac:dyDescent="0.2">
      <c r="A48" t="s">
        <v>41</v>
      </c>
      <c r="B48" s="1">
        <f ca="1">AVERAGEIFS(INDIRECT($A$1&amp;"!$S$2:$S$999"),INDIRECT($A$1&amp;"!$P$2:$P$999"),"&gt;=44.5",INDIRECT($A$1&amp;"!$P$2:$P$999"),"&lt;=48.5")</f>
        <v>2.7255796173982527</v>
      </c>
      <c r="C48">
        <f ca="1">COUNTIFS(INDIRECT($A$1&amp;"!$P$2:$P$999"),"&gt;=44.5",INDIRECT($A$1&amp;"!$P$2:$P$999"),"&lt;=48.5")</f>
        <v>270</v>
      </c>
      <c r="D48" s="1">
        <f ca="1">AVERAGEIFS(INDIRECT($A$1&amp;"!$S$2:$S$999"),INDIRECT($A$1&amp;"!$Q$2:$Q$999"),"&lt;=4",INDIRECT($A$1&amp;"!$P$2:$P$999"),"&gt;=44.5",INDIRECT($A$1&amp;"!$P$2:$P$999"),"&lt;=48.5")</f>
        <v>3.0823529411764703</v>
      </c>
      <c r="E48">
        <f ca="1">COUNTIFS(INDIRECT($A$1&amp;"!$Q$2:$Q$999"),"&lt;=4",INDIRECT($A$1&amp;"!$P$2:$P$999"),"&gt;=44.5",INDIRECT($A$1&amp;"!$P$2:$P$999"),"&lt;=48.5")</f>
        <v>17</v>
      </c>
      <c r="F48" s="1">
        <f ca="1">AVERAGEIFS(INDIRECT($A$1&amp;"!$S$2:$S$999"),INDIRECT($A$1&amp;"!$Q$2:$Q$999"),"&gt;=4.1",INDIRECT($A$1&amp;"!$Q$2:$Q$999"),"&lt;=5",INDIRECT($A$1&amp;"!$P$2:$P$999"),"&gt;=44.5",INDIRECT($A$1&amp;"!$P$2:$P$999"),"&lt;=48.5")</f>
        <v>2.7720792664892047</v>
      </c>
      <c r="G48">
        <f ca="1">COUNTIFS(INDIRECT($A$1&amp;"!$Q$2:$Q$999"),"&gt;=4.1",INDIRECT($A$1&amp;"!$Q$2:$Q$999"),"&lt;=5",INDIRECT($A$1&amp;"!$P$2:$P$999"),"&gt;=44.5",INDIRECT($A$1&amp;"!$P$2:$P$999"),"&lt;=48.5")</f>
        <v>23</v>
      </c>
      <c r="H48" s="1">
        <f ca="1">AVERAGEIFS(INDIRECT($A$1&amp;"!$S$2:$S$999"),INDIRECT($A$1&amp;"!$Q$2:$Q$999"),"&gt;=5.1",INDIRECT($A$1&amp;"!$Q$2:$Q$999"),"&lt;=6.2",INDIRECT($A$1&amp;"!$P$2:$P$999"),"&gt;=44.5",INDIRECT($A$1&amp;"!$P$2:$P$999"),"&lt;=48.5")</f>
        <v>2.5751583457526079</v>
      </c>
      <c r="I48">
        <f ca="1">COUNTIFS(INDIRECT($A$1&amp;"!$Q$2:$Q$999"),"&gt;=5.1",INDIRECT($A$1&amp;"!$Q$2:$Q$999"),"&lt;=6.2",INDIRECT($A$1&amp;"!$P$2:$P$999"),"&gt;=44.5",INDIRECT($A$1&amp;"!$P$2:$P$999"),"&lt;=48.5")</f>
        <v>16</v>
      </c>
      <c r="J48" s="1">
        <f ca="1">AVERAGEIFS(INDIRECT($A$1&amp;"!$S$2:$S$999"),INDIRECT($A$1&amp;"!$Q$2:$Q$999"),"&gt;=6.3",INDIRECT($A$1&amp;"!$P$2:$P$999"),"&gt;=44.5",INDIRECT($A$1&amp;"!$P$2:$P$999"),"&lt;=48.5")</f>
        <v>1.78</v>
      </c>
      <c r="K48">
        <f ca="1">COUNTIFS(INDIRECT($A$1&amp;"!$Q$2:$Q$999"),"&gt;=6.3",INDIRECT($A$1&amp;"!$P$2:$P$999"),"&gt;=44.5",INDIRECT($A$1&amp;"!$P$2:$P$999"),"&lt;=48.5")</f>
        <v>5</v>
      </c>
      <c r="O48" s="1"/>
      <c r="P48" s="1"/>
      <c r="Q48" s="1"/>
      <c r="R48" s="1"/>
      <c r="S48" s="8"/>
      <c r="T48" s="9"/>
      <c r="U48" s="9"/>
      <c r="V48" s="9"/>
      <c r="W48" s="9"/>
      <c r="X48" s="8"/>
      <c r="Y48" s="9"/>
      <c r="Z48" s="9"/>
      <c r="AA48" s="9"/>
      <c r="AB48" s="9"/>
      <c r="AC48" s="5"/>
      <c r="AD48" s="6"/>
      <c r="AE48" s="6"/>
      <c r="AF48" s="6"/>
      <c r="AG48" s="6"/>
      <c r="AH48" s="5"/>
      <c r="AI48" s="6"/>
      <c r="AJ48" s="6"/>
      <c r="AK48" s="6"/>
      <c r="AL48" s="6"/>
      <c r="AM48" s="5"/>
      <c r="AN48" s="6"/>
      <c r="AO48" s="6"/>
      <c r="AP48" s="6"/>
      <c r="AQ48" s="6"/>
      <c r="AR48" s="5"/>
      <c r="AS48" s="6"/>
      <c r="AT48" s="6"/>
      <c r="AU48" s="6"/>
      <c r="AV48" s="6"/>
      <c r="AX48" s="1"/>
      <c r="AY48" s="1"/>
      <c r="AZ48" s="1"/>
      <c r="BA48" s="1"/>
    </row>
    <row r="49" spans="1:53" x14ac:dyDescent="0.2">
      <c r="A49" s="8" t="s">
        <v>208</v>
      </c>
      <c r="B49" s="9">
        <f ca="1">AVERAGEIFS(INDIRECT($A$1&amp;"!$S$2:$S$999"),INDIRECT($A$1&amp;"!$C$2:$C$999"),"&gt;=.01",INDIRECT($A$1&amp;"!$i$2:$i$999"),"YES")</f>
        <v>2.6363636363636362</v>
      </c>
      <c r="C49" s="8">
        <f ca="1">COUNTIFS(INDIRECT($A$1&amp;"!$C$2:$C$999"),"&gt;=.01",INDIRECT($A$1&amp;"!$i$2:$i$999"),"YES")</f>
        <v>4</v>
      </c>
      <c r="D49" s="9">
        <f ca="1">AVERAGEIFS(INDIRECT($A$1&amp;"!$S$2:$S$999"),INDIRECT($A$1&amp;"!$Q$2:$Q$999"),"&lt;=4",INDIRECT($A$1&amp;"!$C$2:$C$999"),"&gt;=.01",INDIRECT($A$1&amp;"!$i$2:$i$999"),"YES")</f>
        <v>3.3</v>
      </c>
      <c r="E49" s="8">
        <f ca="1">COUNTIFS(INDIRECT($A$1&amp;"!$Q$2:$Q$999"),"&lt;=4",INDIRECT($A$1&amp;"!$C$2:$C$999"),"&gt;=.01",INDIRECT($A$1&amp;"!$i$2:$i$999"),"YES")</f>
        <v>1</v>
      </c>
      <c r="F49" s="9">
        <f ca="1">AVERAGEIFS(INDIRECT($A$1&amp;"!$S$2:$S$999"),INDIRECT($A$1&amp;"!$Q$2:$Q$999"),"&gt;=4.1",INDIRECT($A$1&amp;"!$Q$2:$Q$999"),"&lt;=5",INDIRECT($A$1&amp;"!$C$2:$C$999"),"&gt;=.01",INDIRECT($A$1&amp;"!$i$2:$i$999"),"YES")</f>
        <v>0.9</v>
      </c>
      <c r="G49" s="8">
        <f ca="1">COUNTIFS(INDIRECT($A$1&amp;"!$Q$2:$Q$999"),"&gt;=4.1",INDIRECT($A$1&amp;"!$Q$2:$Q$999"),"&lt;=5",INDIRECT($A$1&amp;"!$C$2:$C$999"),"&gt;=.01",INDIRECT($A$1&amp;"!$i$2:$i$999"),"YES")</f>
        <v>1</v>
      </c>
      <c r="H49" s="9">
        <f ca="1">AVERAGEIFS(INDIRECT($A$1&amp;"!$S$2:$S$999"),INDIRECT($A$1&amp;"!$Q$2:$Q$999"),"&gt;=5.1",INDIRECT($A$1&amp;"!$Q$2:$Q$999"),"&lt;=6.2",INDIRECT($A$1&amp;"!$C$2:$C$999"),"&gt;=.01",INDIRECT($A$1&amp;"!$i$2:$i$999"),"YES")</f>
        <v>3.709090909090909</v>
      </c>
      <c r="I49" s="8">
        <f ca="1">COUNTIFS(INDIRECT($A$1&amp;"!$Q$2:$Q$999"),"&gt;=5.1",INDIRECT($A$1&amp;"!$Q$2:$Q$999"),"&lt;=6.2",INDIRECT($A$1&amp;"!$C$2:$C$999"),"&gt;=.01",INDIRECT($A$1&amp;"!$i$2:$i$999"),"YES")</f>
        <v>1</v>
      </c>
      <c r="J49" s="9" t="e">
        <f ca="1">AVERAGEIFS(INDIRECT($A$1&amp;"!$S$2:$S$999"),INDIRECT($A$1&amp;"!$Q$2:$Q$999"),"&gt;=6.3",INDIRECT($A$1&amp;"!$C$2:$C$999"),"&gt;=.01",INDIRECT($A$1&amp;"!$i$2:$i$999"),"YES")</f>
        <v>#DIV/0!</v>
      </c>
      <c r="K49" s="8">
        <f ca="1">COUNTIFS(INDIRECT($A$1&amp;"!$Q$2:$Q$999"),"&gt;=6.3",INDIRECT($A$1&amp;"!$C$2:$C$999"),"&gt;=.01",INDIRECT($A$1&amp;"!$i$2:$i$999"),"YES")</f>
        <v>0</v>
      </c>
      <c r="O49" s="1"/>
      <c r="P49" s="1"/>
      <c r="Q49" s="1"/>
      <c r="R49" s="1"/>
      <c r="S49" s="8"/>
      <c r="T49" s="9"/>
      <c r="U49" s="9"/>
      <c r="V49" s="9"/>
      <c r="W49" s="9"/>
      <c r="X49" s="8"/>
      <c r="Y49" s="8"/>
      <c r="Z49" s="9"/>
      <c r="AA49" s="9"/>
      <c r="AB49" s="9"/>
      <c r="AC49" s="5"/>
      <c r="AD49" s="6"/>
      <c r="AE49" s="6"/>
      <c r="AF49" s="6"/>
      <c r="AG49" s="6"/>
      <c r="AH49" s="5"/>
      <c r="AI49" s="6"/>
      <c r="AJ49" s="6"/>
      <c r="AK49" s="6"/>
      <c r="AL49" s="6"/>
      <c r="AM49" s="5"/>
      <c r="AN49" s="5"/>
      <c r="AO49" s="6"/>
      <c r="AP49" s="6"/>
      <c r="AQ49" s="6"/>
      <c r="AR49" s="5"/>
      <c r="AS49" s="6"/>
      <c r="AT49" s="6"/>
      <c r="AU49" s="6"/>
      <c r="AV49" s="6"/>
      <c r="AX49" s="1"/>
      <c r="AY49" s="1"/>
      <c r="AZ49" s="1"/>
      <c r="BA49" s="1"/>
    </row>
    <row r="50" spans="1:53" x14ac:dyDescent="0.2">
      <c r="A50" s="1" t="s">
        <v>31</v>
      </c>
      <c r="B50" s="1">
        <f ca="1">AVERAGEIF(INDIRECT($A$1&amp;"!$O$2:$O$999"),"&lt;=-5",INDIRECT($A$1&amp;"!$S$2:$S$999"))</f>
        <v>2.4515151515151508</v>
      </c>
      <c r="C50">
        <f ca="1">COUNTIF(INDIRECT($A$1&amp;"!$O$2:$O$999"),"&lt;=-5")</f>
        <v>164</v>
      </c>
      <c r="D50" s="1">
        <f ca="1">AVERAGEIFS(INDIRECT($A$1&amp;"!$S$2:$S$999"),INDIRECT($A$1&amp;"!$O$2:$O$999"),"&lt;=-5",INDIRECT($A$1&amp;"!$Q$2:$Q$999"),"&lt;=4")</f>
        <v>3.9571428571428569</v>
      </c>
      <c r="E50">
        <f ca="1">COUNTIFS(INDIRECT($A$1&amp;"!$O$2:$O$999"),"&lt;=-5",INDIRECT($A$1&amp;"!$Q$2:$Q$999"),"&lt;=4")</f>
        <v>7</v>
      </c>
      <c r="F50" s="1">
        <f ca="1">AVERAGEIFS(INDIRECT($A$1&amp;"!$S$2:$S$999"),INDIRECT($A$1&amp;"!$O$2:$O$999"),"&lt;=-5",INDIRECT($A$1&amp;"!$Q$2:$Q$999"),"&gt;=4.1",INDIRECT($A$1&amp;"!$Q$2:$Q$999"),"&lt;=5")</f>
        <v>2.3181818181818183</v>
      </c>
      <c r="G50">
        <f ca="1">COUNTIFS(INDIRECT($A$1&amp;"!$O$2:$O$999"),"&lt;=-5",INDIRECT($A$1&amp;"!$Q$2:$Q$999"),"&gt;=4.1",INDIRECT($A$1&amp;"!$Q$2:$Q$999"),"&lt;=5")</f>
        <v>11</v>
      </c>
      <c r="H50" s="1">
        <f ca="1">AVERAGEIFS(INDIRECT($A$1&amp;"!$S$2:$S$999"),INDIRECT($A$1&amp;"!$O$2:$O$999"),"&lt;=-5",INDIRECT($A$1&amp;"!$Q$2:$Q$999"),"&gt;=5.1",INDIRECT($A$1&amp;"!$Q$2:$Q$999"),"&lt;=6.2")</f>
        <v>1.9124999999999999</v>
      </c>
      <c r="I50">
        <f ca="1">COUNTIFS(INDIRECT($A$1&amp;"!$O$2:$O$999"),"&lt;=-5",INDIRECT($A$1&amp;"!$Q$2:$Q$999"),"&gt;=5.1",INDIRECT($A$1&amp;"!$Q$2:$Q$999"),"&lt;=6.2")</f>
        <v>8</v>
      </c>
      <c r="J50" s="1">
        <f ca="1">AVERAGEIFS(INDIRECT($A$1&amp;"!$S$2:$S$999"),INDIRECT($A$1&amp;"!$O$2:$O$999"),"&lt;=-5",INDIRECT($A$1&amp;"!$Q$2:$Q$999"),"&gt;=6.3")</f>
        <v>1.7714285714285711</v>
      </c>
      <c r="K50">
        <f ca="1">COUNTIFS(INDIRECT($A$1&amp;"!$O$2:$O$999"),"&lt;=-5",INDIRECT($A$1&amp;"!$Q$2:$Q$999"),"&gt;=6.3")</f>
        <v>7</v>
      </c>
      <c r="P50" s="1"/>
      <c r="Q50" s="1"/>
      <c r="R50" s="1"/>
      <c r="S50" s="8"/>
      <c r="T50" s="9"/>
      <c r="U50" s="9"/>
      <c r="V50" s="9"/>
      <c r="W50" s="9"/>
      <c r="X50" s="8"/>
      <c r="Y50" s="9"/>
      <c r="Z50" s="9"/>
      <c r="AA50" s="9"/>
      <c r="AB50" s="9"/>
      <c r="AC50" s="5"/>
      <c r="AD50" s="6"/>
      <c r="AE50" s="6"/>
      <c r="AF50" s="6"/>
      <c r="AG50" s="6"/>
      <c r="AH50" s="5"/>
      <c r="AI50" s="6"/>
      <c r="AJ50" s="6"/>
      <c r="AK50" s="6"/>
      <c r="AL50" s="6"/>
      <c r="AM50" s="5"/>
      <c r="AN50" s="6"/>
      <c r="AO50" s="6"/>
      <c r="AP50" s="6"/>
      <c r="AQ50" s="6"/>
      <c r="AR50" s="5"/>
      <c r="AS50" s="6"/>
      <c r="AT50" s="6"/>
      <c r="AU50" s="6"/>
      <c r="AV50" s="6"/>
      <c r="AX50" s="1"/>
      <c r="AY50" s="1"/>
      <c r="AZ50" s="1"/>
      <c r="BA50" s="1"/>
    </row>
    <row r="51" spans="1:53" x14ac:dyDescent="0.2">
      <c r="A51" s="8" t="s">
        <v>202</v>
      </c>
      <c r="B51" s="9">
        <f ca="1">AVERAGEIFS(INDIRECT($A$1&amp;"!$S$2:$S$999"),INDIRECT($A$1&amp;"!$E$2:$E$999"),"YES",INDIRECT($A$1&amp;"!$i$2:$i$999"),"YES")</f>
        <v>2.4</v>
      </c>
      <c r="C51">
        <f ca="1">COUNTIFS(INDIRECT($A$1&amp;"!$E$2:$E$999"),"YES",INDIRECT($A$1&amp;"!$i$2:$i$999"),"YES")</f>
        <v>2</v>
      </c>
      <c r="D51" s="9">
        <f ca="1">AVERAGEIFS(INDIRECT($A$1&amp;"!$S$2:$S$999"),INDIRECT($A$1&amp;"!$Q$2:$Q$999"),"&lt;=4",INDIRECT($A$1&amp;"!$E$2:$E$999"),"YES",INDIRECT($A$1&amp;"!$i$2:$i$999"),"YES")</f>
        <v>3.3</v>
      </c>
      <c r="E51">
        <f ca="1">COUNTIFS(INDIRECT($A$1&amp;"!$Q$2:$Q$999"),"&lt;=4",INDIRECT($A$1&amp;"!$E$2:$E$999"),"YES",INDIRECT($A$1&amp;"!$i$2:$i$999"),"YES")</f>
        <v>1</v>
      </c>
      <c r="F51" s="9" t="e">
        <f ca="1">AVERAGEIFS(INDIRECT($A$1&amp;"!$S$2:$S$999"),INDIRECT($A$1&amp;"!$Q$2:$Q$999"),"&gt;=4.1",INDIRECT($A$1&amp;"!$Q$2:$Q$999"),"&lt;=5",INDIRECT($A$1&amp;"!$E$2:$E$999"),"YES",INDIRECT($A$1&amp;"!$i$2:$i$999"),"YES")</f>
        <v>#DIV/0!</v>
      </c>
      <c r="G51">
        <f ca="1">COUNTIFS(INDIRECT($A$1&amp;"!$Q$2:$Q$999"),"&gt;=4.1",INDIRECT($A$1&amp;"!$Q$2:$Q$999"),"&lt;=5",INDIRECT($A$1&amp;"!$E$2:$E$999"),"YES",INDIRECT($A$1&amp;"!$i$2:$i$999"),"YES")</f>
        <v>0</v>
      </c>
      <c r="H51" s="9" t="e">
        <f ca="1">AVERAGEIFS(INDIRECT($A$1&amp;"!$S$2:$S$999"),INDIRECT($A$1&amp;"!$Q$2:$Q$999"),"&gt;=5.1",INDIRECT($A$1&amp;"!$Q$2:$Q$999"),"&lt;=6.2",INDIRECT($A$1&amp;"!$E$2:$E$999"),"YES",INDIRECT($A$1&amp;"!$i$2:$i$999"),"YES")</f>
        <v>#DIV/0!</v>
      </c>
      <c r="I51">
        <f ca="1">COUNTIFS(INDIRECT($A$1&amp;"!$Q$2:$Q$999"),"&gt;=5.1",INDIRECT($A$1&amp;"!$Q$2:$Q$999"),"&lt;=6.2",INDIRECT($A$1&amp;"!$E$2:$E$999"),"YES",INDIRECT($A$1&amp;"!$i$2:$i$999"),"YES")</f>
        <v>0</v>
      </c>
      <c r="J51" s="9">
        <f ca="1">AVERAGEIFS(INDIRECT($A$1&amp;"!$S$2:$S$999"),INDIRECT($A$1&amp;"!$Q$2:$Q$999"),"&gt;=6.3",INDIRECT($A$1&amp;"!$E$2:$E$999"),"YES",INDIRECT($A$1&amp;"!$i$2:$i$999"),"YES")</f>
        <v>1.5</v>
      </c>
      <c r="K51">
        <f ca="1">COUNTIFS(INDIRECT($A$1&amp;"!$Q$2:$Q$999"),"&gt;=6.3",INDIRECT($A$1&amp;"!$E$2:$E$999"),"YES",INDIRECT($A$1&amp;"!$i$2:$i$999"),"YES")</f>
        <v>1</v>
      </c>
      <c r="O51" s="1"/>
      <c r="P51" s="1"/>
      <c r="Q51" s="1"/>
      <c r="R51" s="1"/>
      <c r="S51" s="8"/>
      <c r="T51" s="9"/>
      <c r="U51" s="9"/>
      <c r="V51" s="9"/>
      <c r="W51" s="9"/>
      <c r="X51" s="8"/>
      <c r="Y51" s="9"/>
      <c r="Z51" s="9"/>
      <c r="AA51" s="9"/>
      <c r="AB51" s="9"/>
      <c r="AC51" s="5"/>
      <c r="AD51" s="6"/>
      <c r="AE51" s="6"/>
      <c r="AF51" s="6"/>
      <c r="AG51" s="6"/>
      <c r="AH51" s="5"/>
      <c r="AI51" s="6"/>
      <c r="AJ51" s="6"/>
      <c r="AK51" s="6"/>
      <c r="AL51" s="6"/>
      <c r="AM51" s="5"/>
      <c r="AN51" s="6"/>
      <c r="AO51" s="6"/>
      <c r="AP51" s="6"/>
      <c r="AQ51" s="6"/>
      <c r="AR51" s="5"/>
      <c r="AS51" s="6"/>
      <c r="AT51" s="6"/>
      <c r="AU51" s="6"/>
      <c r="AV51" s="6"/>
      <c r="AX51" s="1"/>
      <c r="AY51" s="1"/>
      <c r="AZ51" s="1"/>
      <c r="BA51" s="1"/>
    </row>
    <row r="52" spans="1:53" x14ac:dyDescent="0.2">
      <c r="O52" s="1"/>
      <c r="P52" s="1"/>
      <c r="Q52" s="1"/>
      <c r="R52" s="1"/>
      <c r="S52" s="8"/>
      <c r="T52" s="9"/>
      <c r="U52" s="9"/>
      <c r="V52" s="9"/>
      <c r="W52" s="9"/>
      <c r="X52" s="8"/>
      <c r="Y52" s="8"/>
      <c r="Z52" s="9"/>
      <c r="AA52" s="9"/>
      <c r="AB52" s="9"/>
      <c r="AC52" s="5"/>
      <c r="AD52" s="6"/>
      <c r="AE52" s="6"/>
      <c r="AF52" s="6"/>
      <c r="AG52" s="6"/>
      <c r="AH52" s="5"/>
      <c r="AI52" s="6"/>
      <c r="AJ52" s="6"/>
      <c r="AK52" s="6"/>
      <c r="AL52" s="6"/>
      <c r="AM52" s="5"/>
      <c r="AN52" s="5"/>
      <c r="AO52" s="6"/>
      <c r="AP52" s="6"/>
      <c r="AQ52" s="6"/>
      <c r="AR52" s="5"/>
      <c r="AS52" s="6"/>
      <c r="AT52" s="6"/>
      <c r="AU52" s="6"/>
      <c r="AV52" s="6"/>
      <c r="AX52" s="1"/>
      <c r="AY52" s="1"/>
      <c r="AZ52" s="1"/>
      <c r="BA52" s="1"/>
    </row>
    <row r="53" spans="1:53" x14ac:dyDescent="0.2">
      <c r="P53" s="1"/>
      <c r="Q53" s="1"/>
      <c r="R53" s="1"/>
      <c r="S53" s="8"/>
      <c r="T53" s="9"/>
      <c r="U53" s="9"/>
      <c r="V53" s="9"/>
      <c r="W53" s="9"/>
      <c r="X53" s="8"/>
      <c r="Y53" s="9"/>
      <c r="Z53" s="9"/>
      <c r="AA53" s="9"/>
      <c r="AB53" s="9"/>
      <c r="AC53" s="5"/>
      <c r="AD53" s="6"/>
      <c r="AE53" s="6"/>
      <c r="AF53" s="6"/>
      <c r="AG53" s="6"/>
      <c r="AH53" s="5"/>
      <c r="AI53" s="6"/>
      <c r="AJ53" s="6"/>
      <c r="AK53" s="6"/>
      <c r="AL53" s="6"/>
      <c r="AM53" s="5"/>
      <c r="AN53" s="6"/>
      <c r="AO53" s="6"/>
      <c r="AP53" s="6"/>
      <c r="AQ53" s="6"/>
      <c r="AR53" s="5"/>
      <c r="AS53" s="6"/>
      <c r="AT53" s="6"/>
      <c r="AU53" s="6"/>
      <c r="AV53" s="6"/>
      <c r="AX53" s="1"/>
      <c r="AY53" s="1"/>
      <c r="AZ53" s="1"/>
      <c r="BA53" s="1"/>
    </row>
    <row r="54" spans="1:53" x14ac:dyDescent="0.2">
      <c r="O54" s="1"/>
      <c r="P54" s="1"/>
      <c r="Q54" s="1"/>
      <c r="R54" s="1"/>
      <c r="S54" s="8"/>
      <c r="T54" s="9"/>
      <c r="U54" s="9"/>
      <c r="V54" s="9"/>
      <c r="W54" s="9"/>
      <c r="X54" s="8"/>
      <c r="Y54" s="9"/>
      <c r="Z54" s="9"/>
      <c r="AA54" s="9"/>
      <c r="AB54" s="9"/>
      <c r="AC54" s="5"/>
      <c r="AD54" s="6"/>
      <c r="AE54" s="6"/>
      <c r="AF54" s="6"/>
      <c r="AG54" s="6"/>
      <c r="AH54" s="5"/>
      <c r="AI54" s="6"/>
      <c r="AJ54" s="6"/>
      <c r="AK54" s="6"/>
      <c r="AL54" s="6"/>
      <c r="AM54" s="5"/>
      <c r="AN54" s="6"/>
      <c r="AO54" s="6"/>
      <c r="AP54" s="6"/>
      <c r="AQ54" s="6"/>
      <c r="AR54" s="5"/>
      <c r="AS54" s="6"/>
      <c r="AT54" s="6"/>
      <c r="AU54" s="6"/>
      <c r="AV54" s="6"/>
      <c r="AX54" s="1"/>
      <c r="AY54" s="1"/>
      <c r="AZ54" s="1"/>
      <c r="BA54" s="1"/>
    </row>
    <row r="55" spans="1:53" x14ac:dyDescent="0.2">
      <c r="O55" s="1"/>
      <c r="P55" s="1"/>
      <c r="Q55" s="1"/>
      <c r="R55" s="1"/>
      <c r="S55" s="8"/>
      <c r="T55" s="9"/>
      <c r="U55" s="9"/>
      <c r="V55" s="9"/>
      <c r="W55" s="9"/>
      <c r="X55" s="8"/>
      <c r="Y55" s="8"/>
      <c r="Z55" s="9"/>
      <c r="AA55" s="9"/>
      <c r="AB55" s="9"/>
      <c r="AC55" s="5"/>
      <c r="AD55" s="6"/>
      <c r="AE55" s="6"/>
      <c r="AF55" s="6"/>
      <c r="AG55" s="6"/>
      <c r="AH55" s="5"/>
      <c r="AI55" s="6"/>
      <c r="AJ55" s="6"/>
      <c r="AK55" s="6"/>
      <c r="AL55" s="6"/>
      <c r="AM55" s="5"/>
      <c r="AN55" s="5"/>
      <c r="AO55" s="6"/>
      <c r="AP55" s="6"/>
      <c r="AQ55" s="6"/>
      <c r="AR55" s="5"/>
      <c r="AS55" s="6"/>
      <c r="AT55" s="6"/>
      <c r="AU55" s="6"/>
      <c r="AV55" s="6"/>
      <c r="AX55" s="1"/>
      <c r="AY55" s="1"/>
      <c r="AZ55" s="1"/>
      <c r="BA55" s="1"/>
    </row>
    <row r="56" spans="1:53" x14ac:dyDescent="0.2">
      <c r="P56" s="1"/>
      <c r="Q56" s="1"/>
      <c r="R56" s="1"/>
      <c r="S56" s="8"/>
      <c r="T56" s="9"/>
      <c r="U56" s="9"/>
      <c r="V56" s="9"/>
      <c r="W56" s="9"/>
      <c r="X56" s="8"/>
      <c r="Y56" s="9"/>
      <c r="Z56" s="9"/>
      <c r="AA56" s="9"/>
      <c r="AB56" s="9"/>
      <c r="AC56" s="5"/>
      <c r="AD56" s="6"/>
      <c r="AE56" s="6"/>
      <c r="AF56" s="6"/>
      <c r="AG56" s="6"/>
      <c r="AH56" s="5"/>
      <c r="AI56" s="6"/>
      <c r="AJ56" s="6"/>
      <c r="AK56" s="6"/>
      <c r="AL56" s="6"/>
      <c r="AM56" s="5"/>
      <c r="AN56" s="6"/>
      <c r="AO56" s="6"/>
      <c r="AP56" s="6"/>
      <c r="AQ56" s="6"/>
      <c r="AR56" s="5"/>
      <c r="AS56" s="6"/>
      <c r="AT56" s="6"/>
      <c r="AU56" s="6"/>
      <c r="AV56" s="6"/>
      <c r="AX56" s="1"/>
      <c r="AY56" s="1"/>
      <c r="AZ56" s="1"/>
      <c r="BA56" s="1"/>
    </row>
    <row r="57" spans="1:53" x14ac:dyDescent="0.2">
      <c r="O57" s="1"/>
      <c r="P57" s="1"/>
      <c r="Q57" s="1"/>
      <c r="R57" s="1"/>
      <c r="S57" s="8"/>
      <c r="T57" s="9"/>
      <c r="U57" s="9"/>
      <c r="V57" s="9"/>
      <c r="W57" s="9"/>
      <c r="X57" s="8"/>
      <c r="Y57" s="9"/>
      <c r="Z57" s="9"/>
      <c r="AA57" s="9"/>
      <c r="AB57" s="9"/>
      <c r="AC57" s="5"/>
      <c r="AD57" s="6"/>
      <c r="AE57" s="6"/>
      <c r="AF57" s="6"/>
      <c r="AG57" s="6"/>
      <c r="AH57" s="5"/>
      <c r="AI57" s="6"/>
      <c r="AJ57" s="6"/>
      <c r="AK57" s="6"/>
      <c r="AL57" s="6"/>
      <c r="AM57" s="5"/>
      <c r="AN57" s="6"/>
      <c r="AO57" s="6"/>
      <c r="AP57" s="6"/>
      <c r="AQ57" s="6"/>
      <c r="AR57" s="5"/>
      <c r="AS57" s="6"/>
      <c r="AT57" s="6"/>
      <c r="AU57" s="6"/>
      <c r="AV57" s="6"/>
      <c r="AX57" s="1"/>
      <c r="AY57" s="1"/>
      <c r="AZ57" s="1"/>
      <c r="BA57" s="1"/>
    </row>
    <row r="58" spans="1:53" x14ac:dyDescent="0.2">
      <c r="O58" s="1"/>
      <c r="P58" s="1"/>
      <c r="Q58" s="1"/>
      <c r="R58" s="1"/>
      <c r="S58" s="8"/>
      <c r="T58" s="9"/>
      <c r="U58" s="9"/>
      <c r="V58" s="9"/>
      <c r="W58" s="9"/>
      <c r="X58" s="8"/>
      <c r="Y58" s="8"/>
      <c r="Z58" s="9"/>
      <c r="AA58" s="9"/>
      <c r="AB58" s="9"/>
      <c r="AC58" s="5"/>
      <c r="AD58" s="6"/>
      <c r="AE58" s="6"/>
      <c r="AF58" s="6"/>
      <c r="AG58" s="6"/>
      <c r="AH58" s="5"/>
      <c r="AI58" s="6"/>
      <c r="AJ58" s="6"/>
      <c r="AK58" s="6"/>
      <c r="AL58" s="6"/>
      <c r="AM58" s="5"/>
      <c r="AN58" s="5"/>
      <c r="AO58" s="6"/>
      <c r="AP58" s="6"/>
      <c r="AQ58" s="6"/>
      <c r="AR58" s="5"/>
      <c r="AS58" s="6"/>
      <c r="AT58" s="6"/>
      <c r="AU58" s="6"/>
      <c r="AV58" s="6"/>
      <c r="AX58" s="1"/>
      <c r="AY58" s="1"/>
      <c r="AZ58" s="1"/>
      <c r="BA58" s="1"/>
    </row>
    <row r="59" spans="1:53" x14ac:dyDescent="0.2">
      <c r="P59" s="1"/>
      <c r="Q59" s="1"/>
      <c r="R59" s="1"/>
      <c r="S59" s="8"/>
      <c r="T59" s="9"/>
      <c r="U59" s="9"/>
      <c r="V59" s="9"/>
      <c r="W59" s="9"/>
      <c r="X59" s="8"/>
      <c r="Y59" s="9"/>
      <c r="Z59" s="9"/>
      <c r="AA59" s="9"/>
      <c r="AB59" s="9"/>
      <c r="AC59" s="5"/>
      <c r="AD59" s="6"/>
      <c r="AE59" s="6"/>
      <c r="AF59" s="6"/>
      <c r="AG59" s="6"/>
      <c r="AH59" s="5"/>
      <c r="AI59" s="6"/>
      <c r="AJ59" s="6"/>
      <c r="AK59" s="6"/>
      <c r="AL59" s="6"/>
      <c r="AM59" s="5"/>
      <c r="AN59" s="6"/>
      <c r="AO59" s="6"/>
      <c r="AP59" s="6"/>
      <c r="AQ59" s="6"/>
      <c r="AR59" s="5"/>
      <c r="AS59" s="6"/>
      <c r="AT59" s="6"/>
      <c r="AU59" s="6"/>
      <c r="AV59" s="6"/>
      <c r="AX59" s="1"/>
      <c r="AY59" s="1"/>
      <c r="AZ59" s="1"/>
      <c r="BA59" s="1"/>
    </row>
    <row r="60" spans="1:53" x14ac:dyDescent="0.2">
      <c r="O60" s="1"/>
      <c r="P60" s="1"/>
      <c r="Q60" s="1"/>
      <c r="R60" s="1"/>
      <c r="S60" s="8"/>
      <c r="T60" s="9"/>
      <c r="U60" s="9"/>
      <c r="V60" s="9"/>
      <c r="W60" s="9"/>
      <c r="X60" s="9"/>
      <c r="Y60" s="8"/>
      <c r="Z60" s="9"/>
      <c r="AA60" s="9"/>
      <c r="AB60" s="9"/>
      <c r="AC60" s="5"/>
      <c r="AD60" s="6"/>
      <c r="AE60" s="6"/>
      <c r="AF60" s="6"/>
      <c r="AG60" s="6"/>
      <c r="AH60" s="5"/>
      <c r="AI60" s="6"/>
      <c r="AJ60" s="6"/>
      <c r="AK60" s="6"/>
      <c r="AL60" s="6"/>
      <c r="AM60" s="6"/>
      <c r="AN60" s="5"/>
      <c r="AO60" s="6"/>
      <c r="AP60" s="6"/>
      <c r="AQ60" s="6"/>
      <c r="AR60" s="5"/>
      <c r="AS60" s="6"/>
      <c r="AT60" s="6"/>
      <c r="AU60" s="6"/>
      <c r="AV60" s="6"/>
      <c r="AX60" s="1"/>
      <c r="AY60" s="1"/>
      <c r="AZ60" s="1"/>
      <c r="BA60" s="1"/>
    </row>
    <row r="61" spans="1:53" x14ac:dyDescent="0.2">
      <c r="O61" s="1"/>
      <c r="P61" s="1"/>
      <c r="Q61" s="1"/>
      <c r="R61" s="1"/>
      <c r="S61" s="8"/>
      <c r="T61" s="9"/>
      <c r="U61" s="9"/>
      <c r="V61" s="9"/>
      <c r="W61" s="9"/>
      <c r="X61" s="9"/>
      <c r="Y61" s="8"/>
      <c r="Z61" s="9"/>
      <c r="AA61" s="9"/>
      <c r="AB61" s="9"/>
      <c r="AC61" s="5"/>
      <c r="AD61" s="6"/>
      <c r="AE61" s="6"/>
      <c r="AF61" s="6"/>
      <c r="AG61" s="6"/>
      <c r="AH61" s="5"/>
      <c r="AI61" s="6"/>
      <c r="AJ61" s="6"/>
      <c r="AK61" s="6"/>
      <c r="AL61" s="6"/>
      <c r="AM61" s="6"/>
      <c r="AN61" s="5"/>
      <c r="AO61" s="6"/>
      <c r="AP61" s="6"/>
      <c r="AQ61" s="6"/>
      <c r="AR61" s="5"/>
      <c r="AS61" s="6"/>
      <c r="AT61" s="6"/>
      <c r="AU61" s="6"/>
      <c r="AV61" s="6"/>
      <c r="AX61" s="1"/>
      <c r="AY61" s="1"/>
      <c r="AZ61" s="1"/>
      <c r="BA61" s="1"/>
    </row>
    <row r="62" spans="1:53" x14ac:dyDescent="0.2">
      <c r="P62" s="1"/>
      <c r="Q62" s="1"/>
      <c r="R62" s="1"/>
      <c r="S62" s="8"/>
      <c r="T62" s="9"/>
      <c r="U62" s="9"/>
      <c r="V62" s="9"/>
      <c r="W62" s="9"/>
      <c r="X62" s="9"/>
      <c r="Y62" s="8"/>
      <c r="Z62" s="9"/>
      <c r="AA62" s="9"/>
      <c r="AB62" s="9"/>
      <c r="AC62" s="5"/>
      <c r="AD62" s="6"/>
      <c r="AE62" s="6"/>
      <c r="AF62" s="6"/>
      <c r="AG62" s="6"/>
      <c r="AH62" s="5"/>
      <c r="AI62" s="6"/>
      <c r="AJ62" s="6"/>
      <c r="AK62" s="6"/>
      <c r="AL62" s="6"/>
      <c r="AM62" s="6"/>
      <c r="AN62" s="5"/>
      <c r="AO62" s="6"/>
      <c r="AP62" s="6"/>
      <c r="AQ62" s="6"/>
      <c r="AR62" s="5"/>
      <c r="AS62" s="6"/>
      <c r="AT62" s="6"/>
      <c r="AU62" s="6"/>
      <c r="AV62" s="6"/>
      <c r="AX62" s="1"/>
      <c r="AY62" s="1"/>
      <c r="AZ62" s="1"/>
      <c r="BA62" s="1"/>
    </row>
    <row r="63" spans="1:53" x14ac:dyDescent="0.2">
      <c r="O63" s="1"/>
      <c r="P63" s="1"/>
      <c r="Q63" s="1"/>
      <c r="R63" s="1"/>
      <c r="S63" s="8"/>
      <c r="T63" s="9"/>
      <c r="U63" s="9"/>
      <c r="V63" s="9"/>
      <c r="W63" s="9"/>
      <c r="X63" s="9"/>
      <c r="Y63" s="8"/>
      <c r="Z63" s="9"/>
      <c r="AA63" s="9"/>
      <c r="AB63" s="9"/>
      <c r="AC63" s="5"/>
      <c r="AD63" s="6"/>
      <c r="AE63" s="6"/>
      <c r="AF63" s="6"/>
      <c r="AG63" s="6"/>
      <c r="AH63" s="5"/>
      <c r="AI63" s="6"/>
      <c r="AJ63" s="6"/>
      <c r="AK63" s="6"/>
      <c r="AL63" s="6"/>
      <c r="AM63" s="6"/>
      <c r="AN63" s="5"/>
      <c r="AO63" s="6"/>
      <c r="AP63" s="6"/>
      <c r="AQ63" s="6"/>
      <c r="AR63" s="5"/>
      <c r="AS63" s="6"/>
      <c r="AT63" s="6"/>
      <c r="AU63" s="6"/>
      <c r="AV63" s="6"/>
      <c r="AX63" s="1"/>
      <c r="AY63" s="1"/>
      <c r="AZ63" s="1"/>
      <c r="BA63" s="1"/>
    </row>
    <row r="64" spans="1:53" x14ac:dyDescent="0.2">
      <c r="O64" s="1"/>
      <c r="P64" s="1"/>
      <c r="Q64" s="1"/>
      <c r="R64" s="1"/>
      <c r="S64" s="8"/>
      <c r="T64" s="9"/>
      <c r="U64" s="9"/>
      <c r="V64" s="9"/>
      <c r="W64" s="9"/>
      <c r="X64" s="9"/>
      <c r="Y64" s="8"/>
      <c r="Z64" s="9"/>
      <c r="AA64" s="9"/>
      <c r="AB64" s="9"/>
      <c r="AC64" s="5"/>
      <c r="AD64" s="6"/>
      <c r="AE64" s="6"/>
      <c r="AF64" s="6"/>
      <c r="AG64" s="6"/>
      <c r="AH64" s="5"/>
      <c r="AI64" s="6"/>
      <c r="AJ64" s="6"/>
      <c r="AK64" s="6"/>
      <c r="AL64" s="6"/>
      <c r="AM64" s="6"/>
      <c r="AN64" s="5"/>
      <c r="AO64" s="6"/>
      <c r="AP64" s="6"/>
      <c r="AQ64" s="6"/>
      <c r="AR64" s="5"/>
      <c r="AS64" s="6"/>
      <c r="AT64" s="6"/>
      <c r="AU64" s="6"/>
      <c r="AV64" s="6"/>
      <c r="AX64" s="1"/>
      <c r="AY64" s="1"/>
      <c r="AZ64" s="1"/>
      <c r="BA64" s="1"/>
    </row>
    <row r="65" spans="15:53" x14ac:dyDescent="0.2">
      <c r="P65" s="1"/>
      <c r="Q65" s="1"/>
      <c r="R65" s="1"/>
      <c r="S65" s="8"/>
      <c r="T65" s="9"/>
      <c r="U65" s="9"/>
      <c r="V65" s="9"/>
      <c r="W65" s="9"/>
      <c r="X65" s="9"/>
      <c r="Y65" s="8"/>
      <c r="Z65" s="9"/>
      <c r="AA65" s="9"/>
      <c r="AB65" s="9"/>
      <c r="AC65" s="5"/>
      <c r="AD65" s="6"/>
      <c r="AE65" s="6"/>
      <c r="AF65" s="6"/>
      <c r="AG65" s="6"/>
      <c r="AH65" s="5"/>
      <c r="AI65" s="6"/>
      <c r="AJ65" s="6"/>
      <c r="AK65" s="6"/>
      <c r="AL65" s="6"/>
      <c r="AM65" s="6"/>
      <c r="AN65" s="5"/>
      <c r="AO65" s="6"/>
      <c r="AP65" s="6"/>
      <c r="AQ65" s="6"/>
      <c r="AR65" s="5"/>
      <c r="AS65" s="6"/>
      <c r="AT65" s="6"/>
      <c r="AU65" s="6"/>
      <c r="AV65" s="6"/>
      <c r="AX65" s="1"/>
      <c r="AY65" s="1"/>
      <c r="AZ65" s="1"/>
      <c r="BA65" s="1"/>
    </row>
    <row r="66" spans="15:53" x14ac:dyDescent="0.2">
      <c r="O66" s="1"/>
      <c r="P66" s="1"/>
      <c r="Q66" s="1"/>
      <c r="R66" s="1"/>
      <c r="S66" s="8"/>
      <c r="T66" s="9"/>
      <c r="U66" s="9"/>
      <c r="V66" s="9"/>
      <c r="W66" s="9"/>
      <c r="X66" s="9"/>
      <c r="Y66" s="8"/>
      <c r="Z66" s="9"/>
      <c r="AA66" s="9"/>
      <c r="AB66" s="9"/>
      <c r="AC66" s="5"/>
      <c r="AD66" s="6"/>
      <c r="AE66" s="6"/>
      <c r="AF66" s="6"/>
      <c r="AG66" s="6"/>
      <c r="AH66" s="5"/>
      <c r="AI66" s="6"/>
      <c r="AJ66" s="6"/>
      <c r="AK66" s="6"/>
      <c r="AL66" s="6"/>
      <c r="AM66" s="6"/>
      <c r="AN66" s="5"/>
      <c r="AO66" s="6"/>
      <c r="AP66" s="6"/>
      <c r="AQ66" s="6"/>
      <c r="AR66" s="5"/>
      <c r="AS66" s="6"/>
      <c r="AT66" s="6"/>
      <c r="AU66" s="6"/>
      <c r="AV66" s="6"/>
      <c r="AX66" s="1"/>
      <c r="AY66" s="1"/>
      <c r="AZ66" s="1"/>
      <c r="BA66" s="1"/>
    </row>
    <row r="67" spans="15:53" x14ac:dyDescent="0.2">
      <c r="O67" s="1"/>
      <c r="P67" s="1"/>
      <c r="Q67" s="1"/>
      <c r="R67" s="1"/>
      <c r="S67" s="8"/>
      <c r="T67" s="9"/>
      <c r="U67" s="9"/>
      <c r="V67" s="9"/>
      <c r="W67" s="9"/>
      <c r="X67" s="9"/>
      <c r="Y67" s="8"/>
      <c r="Z67" s="9"/>
      <c r="AA67" s="9"/>
      <c r="AB67" s="9"/>
      <c r="AC67" s="5"/>
      <c r="AD67" s="6"/>
      <c r="AE67" s="6"/>
      <c r="AF67" s="6"/>
      <c r="AG67" s="6"/>
      <c r="AH67" s="5"/>
      <c r="AI67" s="6"/>
      <c r="AJ67" s="6"/>
      <c r="AK67" s="6"/>
      <c r="AL67" s="6"/>
      <c r="AM67" s="6"/>
      <c r="AN67" s="5"/>
      <c r="AO67" s="6"/>
      <c r="AP67" s="6"/>
      <c r="AQ67" s="6"/>
      <c r="AR67" s="5"/>
      <c r="AS67" s="6"/>
      <c r="AT67" s="6"/>
      <c r="AU67" s="6"/>
      <c r="AV67" s="6"/>
      <c r="AX67" s="1"/>
      <c r="AY67" s="1"/>
      <c r="AZ67" s="1"/>
      <c r="BA67" s="1"/>
    </row>
    <row r="68" spans="15:53" x14ac:dyDescent="0.2">
      <c r="P68" s="1"/>
      <c r="Q68" s="1"/>
      <c r="R68" s="1"/>
      <c r="S68" s="8"/>
      <c r="T68" s="9"/>
      <c r="U68" s="9"/>
      <c r="V68" s="9"/>
      <c r="W68" s="9"/>
      <c r="X68" s="9"/>
      <c r="Y68" s="8"/>
      <c r="Z68" s="9"/>
      <c r="AA68" s="9"/>
      <c r="AB68" s="9"/>
      <c r="AC68" s="5"/>
      <c r="AD68" s="6"/>
      <c r="AE68" s="6"/>
      <c r="AF68" s="6"/>
      <c r="AG68" s="6"/>
      <c r="AH68" s="5"/>
      <c r="AI68" s="6"/>
      <c r="AJ68" s="6"/>
      <c r="AK68" s="6"/>
      <c r="AL68" s="6"/>
      <c r="AM68" s="6"/>
      <c r="AN68" s="5"/>
      <c r="AO68" s="6"/>
      <c r="AP68" s="6"/>
      <c r="AQ68" s="6"/>
      <c r="AR68" s="5"/>
      <c r="AS68" s="6"/>
      <c r="AT68" s="6"/>
      <c r="AU68" s="6"/>
      <c r="AV68" s="6"/>
      <c r="AX68" s="1"/>
      <c r="AY68" s="1"/>
      <c r="AZ68" s="1"/>
      <c r="BA68" s="1"/>
    </row>
    <row r="69" spans="15:53" x14ac:dyDescent="0.2">
      <c r="O69" s="1"/>
      <c r="P69" s="1"/>
      <c r="Q69" s="1"/>
      <c r="R69" s="1"/>
      <c r="S69" s="8"/>
      <c r="T69" s="9"/>
      <c r="U69" s="9"/>
      <c r="V69" s="9"/>
      <c r="W69" s="9"/>
      <c r="X69" s="9"/>
      <c r="Y69" s="8"/>
      <c r="Z69" s="9"/>
      <c r="AA69" s="9"/>
      <c r="AB69" s="9"/>
      <c r="AC69" s="5"/>
      <c r="AD69" s="6"/>
      <c r="AE69" s="6"/>
      <c r="AF69" s="6"/>
      <c r="AG69" s="6"/>
      <c r="AH69" s="5"/>
      <c r="AI69" s="6"/>
      <c r="AJ69" s="6"/>
      <c r="AK69" s="6"/>
      <c r="AL69" s="6"/>
      <c r="AM69" s="6"/>
      <c r="AN69" s="5"/>
      <c r="AO69" s="6"/>
      <c r="AP69" s="6"/>
      <c r="AQ69" s="6"/>
      <c r="AR69" s="5"/>
      <c r="AS69" s="6"/>
      <c r="AT69" s="6"/>
      <c r="AU69" s="6"/>
      <c r="AV69" s="6"/>
      <c r="AX69" s="1"/>
      <c r="AY69" s="1"/>
      <c r="AZ69" s="1"/>
      <c r="BA69" s="1"/>
    </row>
    <row r="70" spans="15:53" x14ac:dyDescent="0.2">
      <c r="O70" s="1"/>
      <c r="P70" s="1"/>
      <c r="Q70" s="1"/>
      <c r="R70" s="1"/>
      <c r="S70" s="8"/>
      <c r="T70" s="9"/>
      <c r="U70" s="9"/>
      <c r="V70" s="9"/>
      <c r="W70" s="9"/>
      <c r="X70" s="9"/>
      <c r="Y70" s="8"/>
      <c r="Z70" s="9"/>
      <c r="AA70" s="9"/>
      <c r="AB70" s="9"/>
      <c r="AC70" s="5"/>
      <c r="AD70" s="6"/>
      <c r="AE70" s="6"/>
      <c r="AF70" s="6"/>
      <c r="AG70" s="6"/>
      <c r="AH70" s="5"/>
      <c r="AI70" s="6"/>
      <c r="AJ70" s="6"/>
      <c r="AK70" s="6"/>
      <c r="AL70" s="6"/>
      <c r="AM70" s="6"/>
      <c r="AN70" s="5"/>
      <c r="AO70" s="6"/>
      <c r="AP70" s="6"/>
      <c r="AQ70" s="6"/>
      <c r="AR70" s="5"/>
      <c r="AS70" s="6"/>
      <c r="AT70" s="6"/>
      <c r="AU70" s="6"/>
      <c r="AV70" s="6"/>
      <c r="AX70" s="1"/>
      <c r="AY70" s="1"/>
      <c r="AZ70" s="1"/>
      <c r="BA70" s="1"/>
    </row>
    <row r="71" spans="15:53" x14ac:dyDescent="0.2">
      <c r="P71" s="1"/>
      <c r="Q71" s="1"/>
      <c r="R71" s="1"/>
      <c r="S71" s="8"/>
      <c r="T71" s="9"/>
      <c r="U71" s="9"/>
      <c r="V71" s="9"/>
      <c r="W71" s="9"/>
      <c r="X71" s="9"/>
      <c r="Y71" s="8"/>
      <c r="Z71" s="9"/>
      <c r="AA71" s="9"/>
      <c r="AB71" s="9"/>
      <c r="AC71" s="5"/>
      <c r="AD71" s="6"/>
      <c r="AE71" s="6"/>
      <c r="AF71" s="6"/>
      <c r="AG71" s="6"/>
      <c r="AH71" s="5"/>
      <c r="AI71" s="6"/>
      <c r="AJ71" s="6"/>
      <c r="AK71" s="6"/>
      <c r="AL71" s="6"/>
      <c r="AM71" s="6"/>
      <c r="AN71" s="5"/>
      <c r="AO71" s="6"/>
      <c r="AP71" s="6"/>
      <c r="AQ71" s="6"/>
      <c r="AR71" s="5"/>
      <c r="AS71" s="6"/>
      <c r="AT71" s="6"/>
      <c r="AU71" s="6"/>
      <c r="AV71" s="6"/>
      <c r="AX71" s="1"/>
      <c r="AY71" s="1"/>
      <c r="AZ71" s="1"/>
      <c r="BA71" s="1"/>
    </row>
    <row r="72" spans="15:53" x14ac:dyDescent="0.2">
      <c r="O72" s="1"/>
      <c r="P72" s="1"/>
      <c r="Q72" s="1"/>
      <c r="R72" s="1"/>
      <c r="S72" s="8"/>
      <c r="T72" s="9"/>
      <c r="U72" s="9"/>
      <c r="V72" s="9"/>
      <c r="W72" s="9"/>
      <c r="X72" s="9"/>
      <c r="Y72" s="8"/>
      <c r="Z72" s="9"/>
      <c r="AA72" s="9"/>
      <c r="AB72" s="9"/>
      <c r="AC72" s="5"/>
      <c r="AD72" s="6"/>
      <c r="AE72" s="6"/>
      <c r="AF72" s="6"/>
      <c r="AG72" s="6"/>
      <c r="AH72" s="5"/>
      <c r="AI72" s="6"/>
      <c r="AJ72" s="6"/>
      <c r="AK72" s="6"/>
      <c r="AL72" s="6"/>
      <c r="AM72" s="6"/>
      <c r="AN72" s="5"/>
      <c r="AO72" s="6"/>
      <c r="AP72" s="6"/>
      <c r="AQ72" s="6"/>
      <c r="AR72" s="5"/>
      <c r="AS72" s="6"/>
      <c r="AT72" s="6"/>
      <c r="AU72" s="6"/>
      <c r="AV72" s="6"/>
      <c r="AX72" s="1"/>
      <c r="AY72" s="1"/>
      <c r="AZ72" s="1"/>
      <c r="BA72" s="1"/>
    </row>
    <row r="73" spans="15:53" x14ac:dyDescent="0.2">
      <c r="O73" s="1"/>
      <c r="P73" s="1"/>
      <c r="Q73" s="1"/>
      <c r="R73" s="1"/>
      <c r="S73" s="8"/>
      <c r="T73" s="9"/>
      <c r="U73" s="9"/>
      <c r="V73" s="9"/>
      <c r="W73" s="9"/>
      <c r="X73" s="9"/>
      <c r="Y73" s="8"/>
      <c r="Z73" s="9"/>
      <c r="AA73" s="9"/>
      <c r="AB73" s="9"/>
      <c r="AC73" s="5"/>
      <c r="AD73" s="6"/>
      <c r="AE73" s="6"/>
      <c r="AF73" s="6"/>
      <c r="AG73" s="6"/>
      <c r="AH73" s="5"/>
      <c r="AI73" s="6"/>
      <c r="AJ73" s="6"/>
      <c r="AK73" s="6"/>
      <c r="AL73" s="6"/>
      <c r="AM73" s="6"/>
      <c r="AN73" s="5"/>
      <c r="AO73" s="6"/>
      <c r="AP73" s="6"/>
      <c r="AQ73" s="6"/>
      <c r="AR73" s="5"/>
      <c r="AS73" s="6"/>
      <c r="AT73" s="6"/>
      <c r="AU73" s="6"/>
      <c r="AV73" s="6"/>
      <c r="AX73" s="1"/>
      <c r="AY73" s="1"/>
      <c r="AZ73" s="1"/>
      <c r="BA73" s="1"/>
    </row>
    <row r="74" spans="15:53" x14ac:dyDescent="0.2">
      <c r="P74" s="1"/>
      <c r="Q74" s="1"/>
      <c r="R74" s="1"/>
      <c r="S74" s="8"/>
      <c r="T74" s="9"/>
      <c r="U74" s="9"/>
      <c r="V74" s="9"/>
      <c r="W74" s="9"/>
      <c r="X74" s="9"/>
      <c r="Y74" s="8"/>
      <c r="Z74" s="9"/>
      <c r="AA74" s="9"/>
      <c r="AB74" s="9"/>
      <c r="AC74" s="5"/>
      <c r="AD74" s="6"/>
      <c r="AE74" s="6"/>
      <c r="AF74" s="6"/>
      <c r="AG74" s="6"/>
      <c r="AH74" s="5"/>
      <c r="AI74" s="6"/>
      <c r="AJ74" s="6"/>
      <c r="AK74" s="6"/>
      <c r="AL74" s="6"/>
      <c r="AM74" s="6"/>
      <c r="AN74" s="5"/>
      <c r="AO74" s="6"/>
      <c r="AP74" s="6"/>
      <c r="AQ74" s="6"/>
      <c r="AR74" s="5"/>
      <c r="AS74" s="6"/>
      <c r="AT74" s="6"/>
      <c r="AU74" s="6"/>
      <c r="AV74" s="6"/>
      <c r="AX74" s="1"/>
      <c r="AY74" s="1"/>
      <c r="AZ74" s="1"/>
      <c r="BA74" s="1"/>
    </row>
  </sheetData>
  <autoFilter ref="A1:K39" xr:uid="{7ECFB79D-0745-6748-9004-904499B96127}">
    <sortState xmlns:xlrd2="http://schemas.microsoft.com/office/spreadsheetml/2017/richdata2" ref="A2:K51">
      <sortCondition descending="1" ref="B1:B51"/>
    </sortState>
  </autoFilter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E0C71-50DA-394A-BACE-B68E58423DB8}">
  <sheetPr codeName="Sheet4"/>
  <dimension ref="A1:K51"/>
  <sheetViews>
    <sheetView workbookViewId="0">
      <selection activeCell="D21" sqref="D21"/>
    </sheetView>
  </sheetViews>
  <sheetFormatPr baseColWidth="10" defaultRowHeight="16" x14ac:dyDescent="0.2"/>
  <cols>
    <col min="1" max="1" width="54.6640625" bestFit="1" customWidth="1"/>
  </cols>
  <sheetData>
    <row r="1" spans="1:11" x14ac:dyDescent="0.2">
      <c r="A1" t="s">
        <v>193</v>
      </c>
      <c r="B1" t="s">
        <v>29</v>
      </c>
      <c r="C1" t="s">
        <v>186</v>
      </c>
      <c r="D1" t="s">
        <v>33</v>
      </c>
      <c r="E1" t="s">
        <v>187</v>
      </c>
      <c r="F1" t="s">
        <v>36</v>
      </c>
      <c r="G1" t="s">
        <v>188</v>
      </c>
      <c r="H1" t="s">
        <v>34</v>
      </c>
      <c r="I1" t="s">
        <v>189</v>
      </c>
      <c r="J1" t="s">
        <v>185</v>
      </c>
      <c r="K1" t="s">
        <v>190</v>
      </c>
    </row>
    <row r="2" spans="1:11" x14ac:dyDescent="0.2">
      <c r="A2" s="8" t="s">
        <v>200</v>
      </c>
      <c r="B2" s="9" t="e">
        <f ca="1">AVERAGEIFS(INDIRECT($A$1&amp;"!$S$2:$S$999"),INDIRECT($A$1&amp;"!$E$2:$E$999"),"YES",INDIRECT($A$1&amp;"!$D$2:$D$999"),"YES",INDIRECT($A$1&amp;"!$F$2:$F$999"),"UP")</f>
        <v>#DIV/0!</v>
      </c>
      <c r="C2">
        <f ca="1">COUNTIFS(INDIRECT($A$1&amp;"!$E$2:$E$999"),"YES",INDIRECT($A$1&amp;"!$D$2:$D$999"),"YES",INDIRECT($A$1&amp;"!$F$2:$F$999"),"UP")</f>
        <v>8</v>
      </c>
      <c r="D2" s="9" t="e">
        <f ca="1">AVERAGEIFS(INDIRECT($A$1&amp;"!$S$2:$S$999"),INDIRECT($A$1&amp;"!$Q$2:$Q$999"),"&lt;=4",INDIRECT($A$1&amp;"!$E$2:$E$999"),"YES",INDIRECT($A$1&amp;"!$D$2:$D$999"),"YES",INDIRECT($A$1&amp;"!$F$2:$F$999"),"UP")</f>
        <v>#DIV/0!</v>
      </c>
      <c r="E2">
        <f ca="1">COUNTIFS(INDIRECT($A$1&amp;"!$Q$2:$Q$999"),"&lt;=4",INDIRECT($A$1&amp;"!$E$2:$E$999"),"YES",INDIRECT($A$1&amp;"!$D$2:$D$999"),"YES",INDIRECT($A$1&amp;"!$F$2:$F$999"),"UP")</f>
        <v>0</v>
      </c>
      <c r="F2" s="9" t="e">
        <f ca="1">AVERAGEIFS(INDIRECT($A$1&amp;"!$S$2:$S$999"),INDIRECT($A$1&amp;"!$Q$2:$Q$999"),"&gt;=4.1",INDIRECT($A$1&amp;"!$Q$2:$Q$999"),"&lt;=5",INDIRECT($A$1&amp;"!$E$2:$E$999"),"YES",INDIRECT($A$1&amp;"!$D$2:$D$999"),"YES",INDIRECT($A$1&amp;"!$F$2:$F$999"),"UP")</f>
        <v>#DIV/0!</v>
      </c>
      <c r="G2">
        <f ca="1">COUNTIFS(INDIRECT($A$1&amp;"!$Q$2:$Q$999"),"&gt;=4.1",INDIRECT($A$1&amp;"!$Q$2:$Q$999"),"&lt;=5",INDIRECT($A$1&amp;"!$E$2:$E$999"),"YES",INDIRECT($A$1&amp;"!$D$2:$D$999"),"YES",INDIRECT($A$1&amp;"!$F$2:$F$999"),"UP")</f>
        <v>0</v>
      </c>
      <c r="H2" s="9" t="e">
        <f ca="1">AVERAGEIFS(INDIRECT($A$1&amp;"!$S$2:$S$999"),INDIRECT($A$1&amp;"!$Q$2:$Q$999"),"&gt;=5.1",INDIRECT($A$1&amp;"!$Q$2:$Q$999"),"&lt;=6.2",INDIRECT($A$1&amp;"!$E$2:$E$999"),"YES",INDIRECT($A$1&amp;"!$D$2:$D$999"),"YES",INDIRECT($A$1&amp;"!$F$2:$F$999"),"UP")</f>
        <v>#DIV/0!</v>
      </c>
      <c r="I2">
        <f ca="1">COUNTIFS(INDIRECT($A$1&amp;"!$Q$2:$Q$999"),"&gt;=5.1",INDIRECT($A$1&amp;"!$Q$2:$Q$999"),"&lt;=6.2",INDIRECT($A$1&amp;"!$E$2:$E$999"),"YES",INDIRECT($A$1&amp;"!$D$2:$D$999"),"YES",INDIRECT($A$1&amp;"!$F$2:$F$999"),"UP")</f>
        <v>0</v>
      </c>
      <c r="J2" s="9" t="e">
        <f ca="1">AVERAGEIFS(INDIRECT($A$1&amp;"!$S$2:$S$999"),INDIRECT($A$1&amp;"!$Q$2:$Q$999"),"&gt;=6.3",INDIRECT($A$1&amp;"!$E$2:$E$999"),"YES",INDIRECT($A$1&amp;"!$D$2:$D$999"),"YES",INDIRECT($A$1&amp;"!$F$2:$F$999"),"UP")</f>
        <v>#DIV/0!</v>
      </c>
      <c r="K2">
        <f ca="1">COUNTIFS(INDIRECT($A$1&amp;"!$Q$2:$Q$999"),"&gt;=6.3",INDIRECT($A$1&amp;"!$E$2:$E$999"),"YES",INDIRECT($A$1&amp;"!$D$2:$D$999"),"YES",INDIRECT($A$1&amp;"!$F$2:$F$999"),"UP")</f>
        <v>0</v>
      </c>
    </row>
    <row r="3" spans="1:11" x14ac:dyDescent="0.2">
      <c r="A3" s="8" t="s">
        <v>201</v>
      </c>
      <c r="B3" s="9" t="e">
        <f ca="1">AVERAGEIFS(INDIRECT($A$1&amp;"!$S$2:$S$999"),INDIRECT($A$1&amp;"!$E$2:$E$999"),"YES",INDIRECT($A$1&amp;"!$D$2:$D$999"),"YES",INDIRECT($A$1&amp;"!$F$2:$F$999"),"UP")</f>
        <v>#DIV/0!</v>
      </c>
      <c r="C3">
        <f ca="1">COUNTIFS(INDIRECT($A$1&amp;"!$E$2:$E$999"),"YES",INDIRECT($A$1&amp;"!$D$2:$D$999"),"YES",INDIRECT($A$1&amp;"!$C$2:$C$999"),"&gt;=0.01",INDIRECT($A$1&amp;"!$F$2:$F$999"),"UP")</f>
        <v>0</v>
      </c>
      <c r="D3" s="9" t="e">
        <f ca="1">AVERAGEIFS(INDIRECT($A$1&amp;"!$S$2:$S$999"),INDIRECT($A$1&amp;"!$Q$2:$Q$999"),"&lt;=4",INDIRECT($A$1&amp;"!$E$2:$E$999"),"YES",INDIRECT($A$1&amp;"!$D$2:$D$999"),"YES",INDIRECT($A$1&amp;"!$C$2:$C$999"),"&gt;=0.01",INDIRECT($A$1&amp;"!$F$2:$F$999"),"UP")</f>
        <v>#DIV/0!</v>
      </c>
      <c r="E3">
        <f ca="1">COUNTIFS(INDIRECT($A$1&amp;"!$Q$2:$Q$999"),"&lt;=4",INDIRECT($A$1&amp;"!$E$2:$E$999"),"YES",INDIRECT($A$1&amp;"!$D$2:$D$999"),"YES",INDIRECT($A$1&amp;"!$C$2:$C$999"),"&gt;=0.01",INDIRECT($A$1&amp;"!$F$2:$F$999"),"UP")</f>
        <v>0</v>
      </c>
      <c r="F3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F$2:$F$999"),"UP")</f>
        <v>#DIV/0!</v>
      </c>
      <c r="G3">
        <f ca="1">COUNTIFS(INDIRECT($A$1&amp;"!$Q$2:$Q$999"),"&gt;=4.1",INDIRECT($A$1&amp;"!$Q$2:$Q$999"),"&lt;=5",INDIRECT($A$1&amp;"!$E$2:$E$999"),"YES",INDIRECT($A$1&amp;"!$D$2:$D$999"),"YES",INDIRECT($A$1&amp;"!$C$2:$C$999"),"&gt;=0.01",INDIRECT($A$1&amp;"!$F$2:$F$999"),"UP")</f>
        <v>0</v>
      </c>
      <c r="H3" s="9" t="e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F$2:$F$999"),"UP")</f>
        <v>#DIV/0!</v>
      </c>
      <c r="I3">
        <f ca="1">COUNTIFS(INDIRECT($A$1&amp;"!$Q$2:$Q$999"),"&gt;=5.1",INDIRECT($A$1&amp;"!$Q$2:$Q$999"),"&lt;=6.2",INDIRECT($A$1&amp;"!$E$2:$E$999"),"YES",INDIRECT($A$1&amp;"!$D$2:$D$999"),"YES",INDIRECT($A$1&amp;"!$C$2:$C$999"),"&gt;=0.01",INDIRECT($A$1&amp;"!$F$2:$F$999"),"UP")</f>
        <v>0</v>
      </c>
      <c r="J3" s="9" t="e">
        <f ca="1">AVERAGEIFS(INDIRECT($A$1&amp;"!$S$2:$S$999"),INDIRECT($A$1&amp;"!$Q$2:$Q$999"),"&gt;=6.3",INDIRECT($A$1&amp;"!$E$2:$E$999"),"YES",INDIRECT($A$1&amp;"!$D$2:$D$999"),"YES",INDIRECT($A$1&amp;"!$C$2:$C$999"),"&gt;=0.01",INDIRECT($A$1&amp;"!$F$2:$F$999"),"UP")</f>
        <v>#DIV/0!</v>
      </c>
      <c r="K3">
        <f ca="1">COUNTIFS(INDIRECT($A$1&amp;"!$Q$2:$Q$999"),"&gt;=6.3",INDIRECT($A$1&amp;"!$E$2:$E$999"),"YES",INDIRECT($A$1&amp;"!$D$2:$D$999"),"YES",INDIRECT($A$1&amp;"!$C$2:$C$999"),"&gt;=0.01",INDIRECT($A$1&amp;"!$F$2:$F$999"),"UP")</f>
        <v>0</v>
      </c>
    </row>
    <row r="4" spans="1:11" x14ac:dyDescent="0.2">
      <c r="A4" s="8" t="s">
        <v>204</v>
      </c>
      <c r="B4" s="9" t="e">
        <f ca="1">AVERAGEIFS(INDIRECT($A$1&amp;"!$S$2:$S$999"),INDIRECT($A$1&amp;"!$E$2:$E$999"),"YES",INDIRECT($A$1&amp;"!$D$2:$D$999"),"YES",INDIRECT($A$1&amp;"!$i$2:$i$999"),"YES")</f>
        <v>#DIV/0!</v>
      </c>
      <c r="C4">
        <f ca="1">COUNTIFS(INDIRECT($A$1&amp;"!$E$2:$E$999"),"YES",INDIRECT($A$1&amp;"!$D$2:$D$999"),"YES",INDIRECT($A$1&amp;"!$i$2:$i$999"),"YES")</f>
        <v>0</v>
      </c>
      <c r="D4" s="9" t="e">
        <f ca="1">AVERAGEIFS(INDIRECT($A$1&amp;"!$S$2:$S$999"),INDIRECT($A$1&amp;"!$Q$2:$Q$999"),"&lt;=4",INDIRECT($A$1&amp;"!$E$2:$E$999"),"YES",INDIRECT($A$1&amp;"!$D$2:$D$999"),"YES",INDIRECT($A$1&amp;"!$i$2:$i$999"),"YES")</f>
        <v>#DIV/0!</v>
      </c>
      <c r="E4">
        <f ca="1">COUNTIFS(INDIRECT($A$1&amp;"!$Q$2:$Q$999"),"&lt;=4",INDIRECT($A$1&amp;"!$E$2:$E$999"),"YES",INDIRECT($A$1&amp;"!$D$2:$D$999"),"YES",INDIRECT($A$1&amp;"!$i$2:$i$999"),"YES")</f>
        <v>0</v>
      </c>
      <c r="F4" s="9" t="e">
        <f ca="1">AVERAGEIFS(INDIRECT($A$1&amp;"!$S$2:$S$999"),INDIRECT($A$1&amp;"!$Q$2:$Q$999"),"&gt;=4.1",INDIRECT($A$1&amp;"!$Q$2:$Q$999"),"&lt;=5",INDIRECT($A$1&amp;"!$E$2:$E$999"),"YES",INDIRECT($A$1&amp;"!$D$2:$D$999"),"YES",INDIRECT($A$1&amp;"!$i$2:$i$999"),"YES")</f>
        <v>#DIV/0!</v>
      </c>
      <c r="G4">
        <f ca="1">COUNTIFS(INDIRECT($A$1&amp;"!$Q$2:$Q$999"),"&gt;=4.1",INDIRECT($A$1&amp;"!$Q$2:$Q$999"),"&lt;=5",INDIRECT($A$1&amp;"!$E$2:$E$999"),"YES",INDIRECT($A$1&amp;"!$D$2:$D$999"),"YES",INDIRECT($A$1&amp;"!$i$2:$i$999"),"YES")</f>
        <v>0</v>
      </c>
      <c r="H4" s="9" t="e">
        <f ca="1">AVERAGEIFS(INDIRECT($A$1&amp;"!$S$2:$S$999"),INDIRECT($A$1&amp;"!$Q$2:$Q$999"),"&gt;=5.1",INDIRECT($A$1&amp;"!$Q$2:$Q$999"),"&lt;=6.2",INDIRECT($A$1&amp;"!$E$2:$E$999"),"YES",INDIRECT($A$1&amp;"!$D$2:$D$999"),"YES",INDIRECT($A$1&amp;"!$i$2:$i$999"),"YES")</f>
        <v>#DIV/0!</v>
      </c>
      <c r="I4">
        <f ca="1">COUNTIFS(INDIRECT($A$1&amp;"!$Q$2:$Q$999"),"&gt;=5.1",INDIRECT($A$1&amp;"!$Q$2:$Q$999"),"&lt;=6.2",INDIRECT($A$1&amp;"!$E$2:$E$999"),"YES",INDIRECT($A$1&amp;"!$D$2:$D$999"),"YES",INDIRECT($A$1&amp;"!$i$2:$i$999"),"YES")</f>
        <v>0</v>
      </c>
      <c r="J4" s="9" t="e">
        <f ca="1">AVERAGEIFS(INDIRECT($A$1&amp;"!$S$2:$S$999"),INDIRECT($A$1&amp;"!$Q$2:$Q$999"),"&gt;=6.3",INDIRECT($A$1&amp;"!$E$2:$E$999"),"YES",INDIRECT($A$1&amp;"!$D$2:$D$999"),"YES",INDIRECT($A$1&amp;"!$i$2:$i$999"),"YES")</f>
        <v>#DIV/0!</v>
      </c>
      <c r="K4">
        <f ca="1">COUNTIFS(INDIRECT($A$1&amp;"!$Q$2:$Q$999"),"&gt;=6.3",INDIRECT($A$1&amp;"!$E$2:$E$999"),"YES",INDIRECT($A$1&amp;"!$D$2:$D$999"),"YES",INDIRECT($A$1&amp;"!$i$2:$i$999"),"YES")</f>
        <v>0</v>
      </c>
    </row>
    <row r="5" spans="1:11" x14ac:dyDescent="0.2">
      <c r="A5" s="8" t="s">
        <v>205</v>
      </c>
      <c r="B5" s="9" t="e">
        <f ca="1">AVERAGEIFS(INDIRECT($A$1&amp;"!$S$2:$S$999"),INDIRECT($A$1&amp;"!$E$2:$E$999"),"YES",INDIRECT($A$1&amp;"!$C$2:$C$999"),"&gt;=0.01",INDIRECT($A$1&amp;"!$i$2:$i$999"),"YES")</f>
        <v>#DIV/0!</v>
      </c>
      <c r="C5">
        <f ca="1">COUNTIFS(INDIRECT($A$1&amp;"!$E$2:$E$999"),"YES",INDIRECT($A$1&amp;"!$C$2:$C$999"),"&gt;=0.01",INDIRECT($A$1&amp;"!$i$2:$i$999"),"YES")</f>
        <v>0</v>
      </c>
      <c r="D5" s="9" t="e">
        <f ca="1">AVERAGEIFS(INDIRECT($A$1&amp;"!$S$2:$S$999"),INDIRECT($A$1&amp;"!$Q$2:$Q$999"),"&lt;=4",INDIRECT($A$1&amp;"!$E$2:$E$999"),"YES",INDIRECT($A$1&amp;"!$C$2:$C$999"),"&gt;=0.01",INDIRECT($A$1&amp;"!$i$2:$i$999"),"YES")</f>
        <v>#DIV/0!</v>
      </c>
      <c r="E5">
        <f ca="1">COUNTIFS(INDIRECT($A$1&amp;"!$Q$2:$Q$999"),"&lt;=4",INDIRECT($A$1&amp;"!$E$2:$E$999"),"YES",INDIRECT($A$1&amp;"!$C$2:$C$999"),"&gt;=0.01",INDIRECT($A$1&amp;"!$i$2:$i$999"),"YES")</f>
        <v>0</v>
      </c>
      <c r="F5" s="9" t="e">
        <f ca="1">AVERAGEIFS(INDIRECT($A$1&amp;"!$S$2:$S$999"),INDIRECT($A$1&amp;"!$Q$2:$Q$999"),"&gt;=4.1",INDIRECT($A$1&amp;"!$Q$2:$Q$999"),"&lt;=5",INDIRECT($A$1&amp;"!$E$2:$E$999"),"YES",INDIRECT($A$1&amp;"!$C$2:$C$999"),"&gt;=0.01",INDIRECT($A$1&amp;"!$i$2:$i$999"),"YES")</f>
        <v>#DIV/0!</v>
      </c>
      <c r="G5">
        <f ca="1">COUNTIFS(INDIRECT($A$1&amp;"!$Q$2:$Q$999"),"&gt;=4.1",INDIRECT($A$1&amp;"!$Q$2:$Q$999"),"&lt;=5",INDIRECT($A$1&amp;"!$E$2:$E$999"),"YES",INDIRECT($A$1&amp;"!$C$2:$C$999"),"&gt;=0.01",INDIRECT($A$1&amp;"!$i$2:$i$999"),"YES")</f>
        <v>0</v>
      </c>
      <c r="H5" s="9" t="e">
        <f ca="1">AVERAGEIFS(INDIRECT($A$1&amp;"!$S$2:$S$999"),INDIRECT($A$1&amp;"!$Q$2:$Q$999"),"&gt;=5.1",INDIRECT($A$1&amp;"!$Q$2:$Q$999"),"&lt;=6.2",INDIRECT($A$1&amp;"!$E$2:$E$999"),"YES",INDIRECT($A$1&amp;"!$C$2:$C$999"),"&gt;=0.01",INDIRECT($A$1&amp;"!$i$2:$i$999"),"YES")</f>
        <v>#DIV/0!</v>
      </c>
      <c r="I5">
        <f ca="1">COUNTIFS(INDIRECT($A$1&amp;"!$Q$2:$Q$999"),"&gt;=5.1",INDIRECT($A$1&amp;"!$Q$2:$Q$999"),"&lt;=6.2",INDIRECT($A$1&amp;"!$E$2:$E$999"),"YES",INDIRECT($A$1&amp;"!$C$2:$C$999"),"&gt;=0.01",INDIRECT($A$1&amp;"!$i$2:$i$999"),"YES")</f>
        <v>0</v>
      </c>
      <c r="J5" s="9" t="e">
        <f ca="1">AVERAGEIFS(INDIRECT($A$1&amp;"!$S$2:$S$999"),INDIRECT($A$1&amp;"!$Q$2:$Q$999"),"&gt;=6.3",INDIRECT($A$1&amp;"!$E$2:$E$999"),"YES",INDIRECT($A$1&amp;"!$C$2:$C$999"),"&gt;=0.01",INDIRECT($A$1&amp;"!$i$2:$i$999"),"YES")</f>
        <v>#DIV/0!</v>
      </c>
      <c r="K5">
        <f ca="1">COUNTIFS(INDIRECT($A$1&amp;"!$Q$2:$Q$999"),"&gt;=6.3",INDIRECT($A$1&amp;"!$E$2:$E$999"),"YES",INDIRECT($A$1&amp;"!$C$2:$C$999"),"&gt;=0.01",INDIRECT($A$1&amp;"!$i$2:$i$999"),"YES")</f>
        <v>0</v>
      </c>
    </row>
    <row r="6" spans="1:11" x14ac:dyDescent="0.2">
      <c r="A6" s="8" t="s">
        <v>207</v>
      </c>
      <c r="B6" s="9" t="e">
        <f ca="1">AVERAGEIFS(INDIRECT($A$1&amp;"!$S$2:$S$999"),INDIRECT($A$1&amp;"!$E$2:$E$999"),"YES",INDIRECT($A$1&amp;"!$D$2:$D$999"),"YES",INDIRECT($A$1&amp;"!$i$2:$i$999"),"YES")</f>
        <v>#DIV/0!</v>
      </c>
      <c r="C6">
        <f ca="1">COUNTIFS(INDIRECT($A$1&amp;"!$E$2:$E$999"),"YES",INDIRECT($A$1&amp;"!$D$2:$D$999"),"YES",INDIRECT($A$1&amp;"!$C$2:$C$999"),"&gt;=0.01",INDIRECT($A$1&amp;"!$i$2:$i$999"),"YES")</f>
        <v>0</v>
      </c>
      <c r="D6" s="9" t="e">
        <f ca="1">AVERAGEIFS(INDIRECT($A$1&amp;"!$S$2:$S$999"),INDIRECT($A$1&amp;"!$Q$2:$Q$999"),"&lt;=4",INDIRECT($A$1&amp;"!$E$2:$E$999"),"YES",INDIRECT($A$1&amp;"!$D$2:$D$999"),"YES",INDIRECT($A$1&amp;"!$C$2:$C$999"),"&gt;=0.01",INDIRECT($A$1&amp;"!$i$2:$i$999"),"YES")</f>
        <v>#DIV/0!</v>
      </c>
      <c r="E6">
        <f ca="1">COUNTIFS(INDIRECT($A$1&amp;"!$Q$2:$Q$999"),"&lt;=4",INDIRECT($A$1&amp;"!$E$2:$E$999"),"YES",INDIRECT($A$1&amp;"!$D$2:$D$999"),"YES",INDIRECT($A$1&amp;"!$C$2:$C$999"),"&gt;=0.01",INDIRECT($A$1&amp;"!$i$2:$i$999"),"YES")</f>
        <v>0</v>
      </c>
      <c r="F6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i$2:$i$999"),"YES")</f>
        <v>#DIV/0!</v>
      </c>
      <c r="G6">
        <f ca="1">COUNTIFS(INDIRECT($A$1&amp;"!$Q$2:$Q$999"),"&gt;=4.1",INDIRECT($A$1&amp;"!$Q$2:$Q$999"),"&lt;=5",INDIRECT($A$1&amp;"!$E$2:$E$999"),"YES",INDIRECT($A$1&amp;"!$D$2:$D$999"),"YES",INDIRECT($A$1&amp;"!$C$2:$C$999"),"&gt;=0.01",INDIRECT($A$1&amp;"!$i$2:$i$999"),"YES")</f>
        <v>0</v>
      </c>
      <c r="H6" s="9" t="e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i$2:$i$999"),"YES")</f>
        <v>#DIV/0!</v>
      </c>
      <c r="I6">
        <f ca="1">COUNTIFS(INDIRECT($A$1&amp;"!$Q$2:$Q$999"),"&gt;=5.1",INDIRECT($A$1&amp;"!$Q$2:$Q$999"),"&lt;=6.2",INDIRECT($A$1&amp;"!$E$2:$E$999"),"YES",INDIRECT($A$1&amp;"!$D$2:$D$999"),"YES",INDIRECT($A$1&amp;"!$C$2:$C$999"),"&gt;=0.01",INDIRECT($A$1&amp;"!$i$2:$i$999"),"YES")</f>
        <v>0</v>
      </c>
      <c r="J6" s="9" t="e">
        <f ca="1">AVERAGEIFS(INDIRECT($A$1&amp;"!$S$2:$S$999"),INDIRECT($A$1&amp;"!$Q$2:$Q$999"),"&gt;=6.3",INDIRECT($A$1&amp;"!$E$2:$E$999"),"YES",INDIRECT($A$1&amp;"!$D$2:$D$999"),"YES",INDIRECT($A$1&amp;"!$C$2:$C$999"),"&gt;=0.01",INDIRECT($A$1&amp;"!$i$2:$i$999"),"YES")</f>
        <v>#DIV/0!</v>
      </c>
      <c r="K6">
        <f ca="1">COUNTIFS(INDIRECT($A$1&amp;"!$Q$2:$Q$999"),"&gt;=6.3",INDIRECT($A$1&amp;"!$E$2:$E$999"),"YES",INDIRECT($A$1&amp;"!$D$2:$D$999"),"YES",INDIRECT($A$1&amp;"!$C$2:$C$999"),"&gt;=0.01",INDIRECT($A$1&amp;"!$i$2:$i$999"),"YES")</f>
        <v>0</v>
      </c>
    </row>
    <row r="7" spans="1:11" x14ac:dyDescent="0.2">
      <c r="A7" s="8" t="s">
        <v>210</v>
      </c>
      <c r="B7" s="9" t="e">
        <f ca="1">AVERAGEIFS(INDIRECT($A$1&amp;"!$S$2:$S$999"),INDIRECT($A$1&amp;"!$E$2:$E$999"),"YES",INDIRECT($A$1&amp;"!$F$2:$F$999"),"UP",INDIRECT($A$1&amp;"!$i$2:$i$999"),"YES")</f>
        <v>#DIV/0!</v>
      </c>
      <c r="C7">
        <f ca="1">COUNTIFS(INDIRECT($A$1&amp;"!$E$2:$E$999"),"YES",INDIRECT($A$1&amp;"!$F$2:$F$999"),"UP",INDIRECT($A$1&amp;"!$i$2:$i$999"),"YES")</f>
        <v>0</v>
      </c>
      <c r="D7" s="9" t="e">
        <f ca="1">AVERAGEIFS(INDIRECT($A$1&amp;"!$S$2:$S$999"),INDIRECT($A$1&amp;"!$Q$2:$Q$999"),"&lt;=4",INDIRECT($A$1&amp;"!$E$2:$E$999"),"YES",INDIRECT($A$1&amp;"!$F$2:$F$999"),"UP",INDIRECT($A$1&amp;"!$i$2:$i$999"),"YES")</f>
        <v>#DIV/0!</v>
      </c>
      <c r="E7">
        <f ca="1">COUNTIFS(INDIRECT($A$1&amp;"!$Q$2:$Q$999"),"&lt;=4",INDIRECT($A$1&amp;"!$E$2:$E$999"),"YES",INDIRECT($A$1&amp;"!$F$2:$F$999"),"UP",INDIRECT($A$1&amp;"!$i$2:$i$999"),"YES")</f>
        <v>0</v>
      </c>
      <c r="F7" s="9" t="e">
        <f ca="1">AVERAGEIFS(INDIRECT($A$1&amp;"!$S$2:$S$999"),INDIRECT($A$1&amp;"!$Q$2:$Q$999"),"&gt;=4.1",INDIRECT($A$1&amp;"!$Q$2:$Q$999"),"&lt;=5",INDIRECT($A$1&amp;"!$E$2:$E$999"),"YES",INDIRECT($A$1&amp;"!$F$2:$F$999"),"UP",INDIRECT($A$1&amp;"!$i$2:$i$999"),"YES")</f>
        <v>#DIV/0!</v>
      </c>
      <c r="G7">
        <f ca="1">COUNTIFS(INDIRECT($A$1&amp;"!$Q$2:$Q$999"),"&gt;=4.1",INDIRECT($A$1&amp;"!$Q$2:$Q$999"),"&lt;=5",INDIRECT($A$1&amp;"!$E$2:$E$999"),"YES",INDIRECT($A$1&amp;"!$F$2:$F$999"),"UP",INDIRECT($A$1&amp;"!$i$2:$i$999"),"YES")</f>
        <v>0</v>
      </c>
      <c r="H7" s="9" t="e">
        <f ca="1">AVERAGEIFS(INDIRECT($A$1&amp;"!$S$2:$S$999"),INDIRECT($A$1&amp;"!$Q$2:$Q$999"),"&gt;=5.1",INDIRECT($A$1&amp;"!$Q$2:$Q$999"),"&lt;=6.2",INDIRECT($A$1&amp;"!$E$2:$E$999"),"YES",INDIRECT($A$1&amp;"!$F$2:$F$999"),"UP",INDIRECT($A$1&amp;"!$i$2:$i$999"),"YES")</f>
        <v>#DIV/0!</v>
      </c>
      <c r="I7">
        <f ca="1">COUNTIFS(INDIRECT($A$1&amp;"!$Q$2:$Q$999"),"&gt;=5.1",INDIRECT($A$1&amp;"!$Q$2:$Q$999"),"&lt;=6.2",INDIRECT($A$1&amp;"!$E$2:$E$999"),"YES",INDIRECT($A$1&amp;"!$F$2:$F$999"),"UP",INDIRECT($A$1&amp;"!$i$2:$i$999"),"YES")</f>
        <v>0</v>
      </c>
      <c r="J7" s="9" t="e">
        <f ca="1">AVERAGEIFS(INDIRECT($A$1&amp;"!$S$2:$S$999"),INDIRECT($A$1&amp;"!$Q$2:$Q$999"),"&gt;=6.3",INDIRECT($A$1&amp;"!$E$2:$E$999"),"YES",INDIRECT($A$1&amp;"!$F$2:$F$999"),"UP",INDIRECT($A$1&amp;"!$i$2:$i$999"),"YES")</f>
        <v>#DIV/0!</v>
      </c>
      <c r="K7">
        <f ca="1">COUNTIFS(INDIRECT($A$1&amp;"!$Q$2:$Q$999"),"&gt;=6.3",INDIRECT($A$1&amp;"!$E$2:$E$999"),"YES",INDIRECT($A$1&amp;"!$F$2:$F$999"),"UP",INDIRECT($A$1&amp;"!$i$2:$i$999"),"YES")</f>
        <v>0</v>
      </c>
    </row>
    <row r="8" spans="1:11" x14ac:dyDescent="0.2">
      <c r="A8" s="8" t="s">
        <v>212</v>
      </c>
      <c r="B8" s="9" t="e">
        <f ca="1">AVERAGEIFS(INDIRECT($A$1&amp;"!$S$2:$S$999"),INDIRECT($A$1&amp;"!$E$2:$E$999"),"YES",INDIRECT($A$1&amp;"!$D$2:$D$999"),"YES",INDIRECT($A$1&amp;"!$F$2:$F$999"),"UP",INDIRECT($A$1&amp;"!$i$2:$i$999"),"YES")</f>
        <v>#DIV/0!</v>
      </c>
      <c r="C8">
        <f ca="1">COUNTIFS(INDIRECT($A$1&amp;"!$E$2:$E$999"),"YES",INDIRECT($A$1&amp;"!$D$2:$D$999"),"YES",INDIRECT($A$1&amp;"!$F$2:$F$999"),"UP",INDIRECT($A$1&amp;"!$i$2:$i$999"),"YES")</f>
        <v>0</v>
      </c>
      <c r="D8" s="9" t="e">
        <f ca="1">AVERAGEIFS(INDIRECT($A$1&amp;"!$S$2:$S$999"),INDIRECT($A$1&amp;"!$Q$2:$Q$999"),"&lt;=4",INDIRECT($A$1&amp;"!$E$2:$E$999"),"YES",INDIRECT($A$1&amp;"!$D$2:$D$999"),"YES",INDIRECT($A$1&amp;"!$F$2:$F$999"),"UP",INDIRECT($A$1&amp;"!$i$2:$i$999"),"YES")</f>
        <v>#DIV/0!</v>
      </c>
      <c r="E8">
        <f ca="1">COUNTIFS(INDIRECT($A$1&amp;"!$Q$2:$Q$999"),"&lt;=4",INDIRECT($A$1&amp;"!$E$2:$E$999"),"YES",INDIRECT($A$1&amp;"!$D$2:$D$999"),"YES",INDIRECT($A$1&amp;"!$F$2:$F$999"),"UP",INDIRECT($A$1&amp;"!$i$2:$i$999"),"YES")</f>
        <v>0</v>
      </c>
      <c r="F8" s="9" t="e">
        <f ca="1">AVERAGEIFS(INDIRECT($A$1&amp;"!$S$2:$S$999"),INDIRECT($A$1&amp;"!$Q$2:$Q$999"),"&gt;=4.1",INDIRECT($A$1&amp;"!$Q$2:$Q$999"),"&lt;=5",INDIRECT($A$1&amp;"!$E$2:$E$999"),"YES",INDIRECT($A$1&amp;"!$D$2:$D$999"),"YES",INDIRECT($A$1&amp;"!$F$2:$F$999"),"UP",INDIRECT($A$1&amp;"!$i$2:$i$999"),"YES")</f>
        <v>#DIV/0!</v>
      </c>
      <c r="G8">
        <f ca="1">COUNTIFS(INDIRECT($A$1&amp;"!$Q$2:$Q$999"),"&gt;=4.1",INDIRECT($A$1&amp;"!$Q$2:$Q$999"),"&lt;=5",INDIRECT($A$1&amp;"!$E$2:$E$999"),"YES",INDIRECT($A$1&amp;"!$D$2:$D$999"),"YES",INDIRECT($A$1&amp;"!$F$2:$F$999"),"UP",INDIRECT($A$1&amp;"!$i$2:$i$999"),"YES")</f>
        <v>0</v>
      </c>
      <c r="H8" s="9" t="e">
        <f ca="1">AVERAGEIFS(INDIRECT($A$1&amp;"!$S$2:$S$999"),INDIRECT($A$1&amp;"!$Q$2:$Q$999"),"&gt;=5.1",INDIRECT($A$1&amp;"!$Q$2:$Q$999"),"&lt;=6.2",INDIRECT($A$1&amp;"!$E$2:$E$999"),"YES",INDIRECT($A$1&amp;"!$D$2:$D$999"),"YES",INDIRECT($A$1&amp;"!$F$2:$F$999"),"UP",INDIRECT($A$1&amp;"!$i$2:$i$999"),"YES")</f>
        <v>#DIV/0!</v>
      </c>
      <c r="I8">
        <f ca="1">COUNTIFS(INDIRECT($A$1&amp;"!$Q$2:$Q$999"),"&gt;=5.1",INDIRECT($A$1&amp;"!$Q$2:$Q$999"),"&lt;=6.2",INDIRECT($A$1&amp;"!$E$2:$E$999"),"YES",INDIRECT($A$1&amp;"!$D$2:$D$999"),"YES",INDIRECT($A$1&amp;"!$F$2:$F$999"),"UP",INDIRECT($A$1&amp;"!$i$2:$i$999"),"YES")</f>
        <v>0</v>
      </c>
      <c r="J8" s="9" t="e">
        <f ca="1">AVERAGEIFS(INDIRECT($A$1&amp;"!$S$2:$S$999"),INDIRECT($A$1&amp;"!$Q$2:$Q$999"),"&gt;=6.3",INDIRECT($A$1&amp;"!$E$2:$E$999"),"YES",INDIRECT($A$1&amp;"!$D$2:$D$999"),"YES",INDIRECT($A$1&amp;"!$F$2:$F$999"),"UP",INDIRECT($A$1&amp;"!$i$2:$i$999"),"YES")</f>
        <v>#DIV/0!</v>
      </c>
      <c r="K8">
        <f ca="1">COUNTIFS(INDIRECT($A$1&amp;"!$Q$2:$Q$999"),"&gt;=6.3",INDIRECT($A$1&amp;"!$E$2:$E$999"),"YES",INDIRECT($A$1&amp;"!$D$2:$D$999"),"YES",INDIRECT($A$1&amp;"!$F$2:$F$999"),"UP",INDIRECT($A$1&amp;"!$i$2:$i$999"),"YES")</f>
        <v>0</v>
      </c>
    </row>
    <row r="9" spans="1:11" x14ac:dyDescent="0.2">
      <c r="A9" s="8" t="s">
        <v>213</v>
      </c>
      <c r="B9" s="9" t="e">
        <f ca="1">AVERAGEIFS(INDIRECT($A$1&amp;"!$S$2:$S$999"),INDIRECT($A$1&amp;"!$E$2:$E$999"),"YES",INDIRECT($A$1&amp;"!$D$2:$D$999"),"YES",INDIRECT($A$1&amp;"!$F$2:$F$999"),"UP",INDIRECT($A$1&amp;"!$i$2:$i$999"),"YES")</f>
        <v>#DIV/0!</v>
      </c>
      <c r="C9">
        <f ca="1">COUNTIFS(INDIRECT($A$1&amp;"!$E$2:$E$999"),"YES",INDIRECT($A$1&amp;"!$D$2:$D$999"),"YES",INDIRECT($A$1&amp;"!$C$2:$C$999"),"&gt;=0.01",INDIRECT($A$1&amp;"!$F$2:$F$999"),"UP",INDIRECT($A$1&amp;"!$i$2:$i$999"),"YES")</f>
        <v>0</v>
      </c>
      <c r="D9" s="9" t="e">
        <f ca="1">AVERAGEIFS(INDIRECT($A$1&amp;"!$S$2:$S$999"),INDIRECT($A$1&amp;"!$Q$2:$Q$999"),"&lt;=4",INDIRECT($A$1&amp;"!$E$2:$E$999"),"YES",INDIRECT($A$1&amp;"!$D$2:$D$999"),"YES",INDIRECT($A$1&amp;"!$C$2:$C$999"),"&gt;=0.01",INDIRECT($A$1&amp;"!$F$2:$F$999"),"UP",INDIRECT($A$1&amp;"!$i$2:$i$999"),"YES")</f>
        <v>#DIV/0!</v>
      </c>
      <c r="E9">
        <f ca="1">COUNTIFS(INDIRECT($A$1&amp;"!$Q$2:$Q$999"),"&lt;=4",INDIRECT($A$1&amp;"!$E$2:$E$999"),"YES",INDIRECT($A$1&amp;"!$D$2:$D$999"),"YES",INDIRECT($A$1&amp;"!$C$2:$C$999"),"&gt;=0.01",INDIRECT($A$1&amp;"!$F$2:$F$999"),"UP",INDIRECT($A$1&amp;"!$i$2:$i$999"),"YES")</f>
        <v>0</v>
      </c>
      <c r="F9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F$2:$F$999"),"UP",INDIRECT($A$1&amp;"!$i$2:$i$999"),"YES")</f>
        <v>#DIV/0!</v>
      </c>
      <c r="G9">
        <f ca="1">COUNTIFS(INDIRECT($A$1&amp;"!$Q$2:$Q$999"),"&gt;=4.1",INDIRECT($A$1&amp;"!$Q$2:$Q$999"),"&lt;=5",INDIRECT($A$1&amp;"!$E$2:$E$999"),"YES",INDIRECT($A$1&amp;"!$D$2:$D$999"),"YES",INDIRECT($A$1&amp;"!$C$2:$C$999"),"&gt;=0.01",INDIRECT($A$1&amp;"!$F$2:$F$999"),"UP",INDIRECT($A$1&amp;"!$i$2:$i$999"),"YES")</f>
        <v>0</v>
      </c>
      <c r="H9" s="9" t="e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F$2:$F$999"),"UP",INDIRECT($A$1&amp;"!$i$2:$i$999"),"YES")</f>
        <v>#DIV/0!</v>
      </c>
      <c r="I9">
        <f ca="1">COUNTIFS(INDIRECT($A$1&amp;"!$Q$2:$Q$999"),"&gt;=5.1",INDIRECT($A$1&amp;"!$Q$2:$Q$999"),"&lt;=6.2",INDIRECT($A$1&amp;"!$E$2:$E$999"),"YES",INDIRECT($A$1&amp;"!$D$2:$D$999"),"YES",INDIRECT($A$1&amp;"!$C$2:$C$999"),"&gt;=0.01",INDIRECT($A$1&amp;"!$F$2:$F$999"),"UP",INDIRECT($A$1&amp;"!$i$2:$i$999"),"YES")</f>
        <v>0</v>
      </c>
      <c r="J9" s="9" t="e">
        <f ca="1">AVERAGEIFS(INDIRECT($A$1&amp;"!$S$2:$S$999"),INDIRECT($A$1&amp;"!$Q$2:$Q$999"),"&gt;=6.3",INDIRECT($A$1&amp;"!$E$2:$E$999"),"YES",INDIRECT($A$1&amp;"!$D$2:$D$999"),"YES",INDIRECT($A$1&amp;"!$C$2:$C$999"),"&gt;=0.01",INDIRECT($A$1&amp;"!$F$2:$F$999"),"UP",INDIRECT($A$1&amp;"!$i$2:$i$999"),"YES")</f>
        <v>#DIV/0!</v>
      </c>
      <c r="K9">
        <f ca="1">COUNTIFS(INDIRECT($A$1&amp;"!$Q$2:$Q$999"),"&gt;=6.3",INDIRECT($A$1&amp;"!$E$2:$E$999"),"YES",INDIRECT($A$1&amp;"!$D$2:$D$999"),"YES",INDIRECT($A$1&amp;"!$C$2:$C$999"),"&gt;=0.01",INDIRECT($A$1&amp;"!$F$2:$F$999"),"UP",INDIRECT($A$1&amp;"!$i$2:$i$999"),"YES")</f>
        <v>0</v>
      </c>
    </row>
    <row r="10" spans="1:11" x14ac:dyDescent="0.2">
      <c r="A10" s="8" t="s">
        <v>222</v>
      </c>
      <c r="B10" s="9" t="e">
        <f ca="1">AVERAGEIFS(INDIRECT($A$1&amp;"!$S$2:$S$999"),INDIRECT($A$1&amp;"!$E$2:$E$999"),"YES",INDIRECT($A$1&amp;"!$F$2:$F$999"),"UP",INDIRECT($A$1&amp;"!$J$2:$J$999"),"YES")</f>
        <v>#DIV/0!</v>
      </c>
      <c r="C10">
        <f ca="1">COUNTIFS(INDIRECT($A$1&amp;"!$E$2:$E$999"),"YES",INDIRECT($A$1&amp;"!$F$2:$F$999"),"UP",INDIRECT($A$1&amp;"!$J$2:$J$999"),"YES")</f>
        <v>0</v>
      </c>
      <c r="D10" s="9" t="e">
        <f ca="1">AVERAGEIFS(INDIRECT($A$1&amp;"!$S$2:$S$999"),INDIRECT($A$1&amp;"!$Q$2:$Q$999"),"&lt;=4",INDIRECT($A$1&amp;"!$E$2:$E$999"),"YES",INDIRECT($A$1&amp;"!$F$2:$F$999"),"UP",INDIRECT($A$1&amp;"!$J$2:$J$999"),"YES")</f>
        <v>#DIV/0!</v>
      </c>
      <c r="E10">
        <f ca="1">COUNTIFS(INDIRECT($A$1&amp;"!$Q$2:$Q$999"),"&lt;=4",INDIRECT($A$1&amp;"!$E$2:$E$999"),"YES",INDIRECT($A$1&amp;"!$F$2:$F$999"),"UP",INDIRECT($A$1&amp;"!$J$2:$J$999"),"YES")</f>
        <v>0</v>
      </c>
      <c r="F10" s="9" t="e">
        <f ca="1">AVERAGEIFS(INDIRECT($A$1&amp;"!$S$2:$S$999"),INDIRECT($A$1&amp;"!$Q$2:$Q$999"),"&gt;=4.1",INDIRECT($A$1&amp;"!$Q$2:$Q$999"),"&lt;=5",INDIRECT($A$1&amp;"!$E$2:$E$999"),"YES",INDIRECT($A$1&amp;"!$F$2:$F$999"),"UP",INDIRECT($A$1&amp;"!$J$2:$J$999"),"YES")</f>
        <v>#DIV/0!</v>
      </c>
      <c r="G10">
        <f ca="1">COUNTIFS(INDIRECT($A$1&amp;"!$Q$2:$Q$999"),"&gt;=4.1",INDIRECT($A$1&amp;"!$Q$2:$Q$999"),"&lt;=5",INDIRECT($A$1&amp;"!$E$2:$E$999"),"YES",INDIRECT($A$1&amp;"!$F$2:$F$999"),"UP",INDIRECT($A$1&amp;"!$J$2:$J$999"),"YES")</f>
        <v>0</v>
      </c>
      <c r="H10" s="9" t="e">
        <f ca="1">AVERAGEIFS(INDIRECT($A$1&amp;"!$S$2:$S$999"),INDIRECT($A$1&amp;"!$Q$2:$Q$999"),"&gt;=5.1",INDIRECT($A$1&amp;"!$Q$2:$Q$999"),"&lt;=6.2",INDIRECT($A$1&amp;"!$E$2:$E$999"),"YES",INDIRECT($A$1&amp;"!$F$2:$F$999"),"UP",INDIRECT($A$1&amp;"!$J$2:$J$999"),"YES")</f>
        <v>#DIV/0!</v>
      </c>
      <c r="I10">
        <f ca="1">COUNTIFS(INDIRECT($A$1&amp;"!$Q$2:$Q$999"),"&gt;=5.1",INDIRECT($A$1&amp;"!$Q$2:$Q$999"),"&lt;=6.2",INDIRECT($A$1&amp;"!$E$2:$E$999"),"YES",INDIRECT($A$1&amp;"!$F$2:$F$999"),"UP",INDIRECT($A$1&amp;"!$J$2:$J$999"),"YES")</f>
        <v>0</v>
      </c>
      <c r="J10" s="9" t="e">
        <f ca="1">AVERAGEIFS(INDIRECT($A$1&amp;"!$S$2:$S$999"),INDIRECT($A$1&amp;"!$Q$2:$Q$999"),"&gt;=6.3",INDIRECT($A$1&amp;"!$E$2:$E$999"),"YES",INDIRECT($A$1&amp;"!$F$2:$F$999"),"UP",INDIRECT($A$1&amp;"!$J$2:$J$999"),"YES")</f>
        <v>#DIV/0!</v>
      </c>
      <c r="K10">
        <f ca="1">COUNTIFS(INDIRECT($A$1&amp;"!$Q$2:$Q$999"),"&gt;=6.3",INDIRECT($A$1&amp;"!$E$2:$E$999"),"YES",INDIRECT($A$1&amp;"!$F$2:$F$999"),"UP",INDIRECT($A$1&amp;"!$J$2:$J$999"),"YES")</f>
        <v>0</v>
      </c>
    </row>
    <row r="11" spans="1:11" x14ac:dyDescent="0.2">
      <c r="A11" s="8" t="s">
        <v>224</v>
      </c>
      <c r="B11" s="9" t="e">
        <f ca="1">AVERAGEIFS(INDIRECT($A$1&amp;"!$S$2:$S$999"),INDIRECT($A$1&amp;"!$E$2:$E$999"),"YES",INDIRECT($A$1&amp;"!$D$2:$D$999"),"YES",INDIRECT($A$1&amp;"!$F$2:$F$999"),"UP",INDIRECT($A$1&amp;"!$J$2:$J$999"),"YES")</f>
        <v>#DIV/0!</v>
      </c>
      <c r="C11">
        <f ca="1">COUNTIFS(INDIRECT($A$1&amp;"!$E$2:$E$999"),"YES",INDIRECT($A$1&amp;"!$D$2:$D$999"),"YES",INDIRECT($A$1&amp;"!$F$2:$F$999"),"UP",INDIRECT($A$1&amp;"!$J$2:$J$999"),"YES")</f>
        <v>0</v>
      </c>
      <c r="D11" s="9" t="e">
        <f ca="1">AVERAGEIFS(INDIRECT($A$1&amp;"!$S$2:$S$999"),INDIRECT($A$1&amp;"!$Q$2:$Q$999"),"&lt;=4",INDIRECT($A$1&amp;"!$E$2:$E$999"),"YES",INDIRECT($A$1&amp;"!$D$2:$D$999"),"YES",INDIRECT($A$1&amp;"!$F$2:$F$999"),"UP",INDIRECT($A$1&amp;"!$J$2:$J$999"),"YES")</f>
        <v>#DIV/0!</v>
      </c>
      <c r="E11">
        <f ca="1">COUNTIFS(INDIRECT($A$1&amp;"!$Q$2:$Q$999"),"&lt;=4",INDIRECT($A$1&amp;"!$E$2:$E$999"),"YES",INDIRECT($A$1&amp;"!$D$2:$D$999"),"YES",INDIRECT($A$1&amp;"!$F$2:$F$999"),"UP",INDIRECT($A$1&amp;"!$J$2:$J$999"),"YES")</f>
        <v>0</v>
      </c>
      <c r="F11" s="9" t="e">
        <f ca="1">AVERAGEIFS(INDIRECT($A$1&amp;"!$S$2:$S$999"),INDIRECT($A$1&amp;"!$Q$2:$Q$999"),"&gt;=4.1",INDIRECT($A$1&amp;"!$Q$2:$Q$999"),"&lt;=5",INDIRECT($A$1&amp;"!$E$2:$E$999"),"YES",INDIRECT($A$1&amp;"!$D$2:$D$999"),"YES",INDIRECT($A$1&amp;"!$F$2:$F$999"),"UP",INDIRECT($A$1&amp;"!$J$2:$J$999"),"YES")</f>
        <v>#DIV/0!</v>
      </c>
      <c r="G11">
        <f ca="1">COUNTIFS(INDIRECT($A$1&amp;"!$Q$2:$Q$999"),"&gt;=4.1",INDIRECT($A$1&amp;"!$Q$2:$Q$999"),"&lt;=5",INDIRECT($A$1&amp;"!$E$2:$E$999"),"YES",INDIRECT($A$1&amp;"!$D$2:$D$999"),"YES",INDIRECT($A$1&amp;"!$F$2:$F$999"),"UP",INDIRECT($A$1&amp;"!$J$2:$J$999"),"YES")</f>
        <v>0</v>
      </c>
      <c r="H11" s="9" t="e">
        <f ca="1">AVERAGEIFS(INDIRECT($A$1&amp;"!$S$2:$S$999"),INDIRECT($A$1&amp;"!$Q$2:$Q$999"),"&gt;=5.1",INDIRECT($A$1&amp;"!$Q$2:$Q$999"),"&lt;=6.2",INDIRECT($A$1&amp;"!$E$2:$E$999"),"YES",INDIRECT($A$1&amp;"!$D$2:$D$999"),"YES",INDIRECT($A$1&amp;"!$F$2:$F$999"),"UP",INDIRECT($A$1&amp;"!$J$2:$J$999"),"YES")</f>
        <v>#DIV/0!</v>
      </c>
      <c r="I11">
        <f ca="1">COUNTIFS(INDIRECT($A$1&amp;"!$Q$2:$Q$999"),"&gt;=5.1",INDIRECT($A$1&amp;"!$Q$2:$Q$999"),"&lt;=6.2",INDIRECT($A$1&amp;"!$E$2:$E$999"),"YES",INDIRECT($A$1&amp;"!$D$2:$D$999"),"YES",INDIRECT($A$1&amp;"!$F$2:$F$999"),"UP",INDIRECT($A$1&amp;"!$J$2:$J$999"),"YES")</f>
        <v>0</v>
      </c>
      <c r="J11" s="9" t="e">
        <f ca="1">AVERAGEIFS(INDIRECT($A$1&amp;"!$S$2:$S$999"),INDIRECT($A$1&amp;"!$Q$2:$Q$999"),"&gt;=6.3",INDIRECT($A$1&amp;"!$E$2:$E$999"),"YES",INDIRECT($A$1&amp;"!$D$2:$D$999"),"YES",INDIRECT($A$1&amp;"!$F$2:$F$999"),"UP",INDIRECT($A$1&amp;"!$J$2:$J$999"),"YES")</f>
        <v>#DIV/0!</v>
      </c>
      <c r="K11">
        <f ca="1">COUNTIFS(INDIRECT($A$1&amp;"!$Q$2:$Q$999"),"&gt;=6.3",INDIRECT($A$1&amp;"!$E$2:$E$999"),"YES",INDIRECT($A$1&amp;"!$D$2:$D$999"),"YES",INDIRECT($A$1&amp;"!$F$2:$F$999"),"UP",INDIRECT($A$1&amp;"!$J$2:$J$999"),"YES")</f>
        <v>0</v>
      </c>
    </row>
    <row r="12" spans="1:11" x14ac:dyDescent="0.2">
      <c r="A12" s="8" t="s">
        <v>225</v>
      </c>
      <c r="B12" s="9" t="e">
        <f ca="1">AVERAGEIFS(INDIRECT($A$1&amp;"!$S$2:$S$999"),INDIRECT($A$1&amp;"!$E$2:$E$999"),"YES",INDIRECT($A$1&amp;"!$D$2:$D$999"),"YES",INDIRECT($A$1&amp;"!$F$2:$F$999"),"UP",INDIRECT($A$1&amp;"!$J$2:$J$999"),"YES")</f>
        <v>#DIV/0!</v>
      </c>
      <c r="C12">
        <f ca="1">COUNTIFS(INDIRECT($A$1&amp;"!$E$2:$E$999"),"YES",INDIRECT($A$1&amp;"!$D$2:$D$999"),"YES",INDIRECT($A$1&amp;"!$C$2:$C$999"),"&gt;=0.01",INDIRECT($A$1&amp;"!$F$2:$F$999"),"UP",INDIRECT($A$1&amp;"!$J$2:$J$999"),"YES")</f>
        <v>0</v>
      </c>
      <c r="D12" s="9" t="e">
        <f ca="1">AVERAGEIFS(INDIRECT($A$1&amp;"!$S$2:$S$999"),INDIRECT($A$1&amp;"!$Q$2:$Q$999"),"&lt;=4",INDIRECT($A$1&amp;"!$E$2:$E$999"),"YES",INDIRECT($A$1&amp;"!$D$2:$D$999"),"YES",INDIRECT($A$1&amp;"!$C$2:$C$999"),"&gt;=0.01",INDIRECT($A$1&amp;"!$F$2:$F$999"),"UP",INDIRECT($A$1&amp;"!$J$2:$J$999"),"YES")</f>
        <v>#DIV/0!</v>
      </c>
      <c r="E12">
        <f ca="1">COUNTIFS(INDIRECT($A$1&amp;"!$Q$2:$Q$999"),"&lt;=4",INDIRECT($A$1&amp;"!$E$2:$E$999"),"YES",INDIRECT($A$1&amp;"!$D$2:$D$999"),"YES",INDIRECT($A$1&amp;"!$C$2:$C$999"),"&gt;=0.01",INDIRECT($A$1&amp;"!$F$2:$F$999"),"UP",INDIRECT($A$1&amp;"!$J$2:$J$999"),"YES")</f>
        <v>0</v>
      </c>
      <c r="F12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F$2:$F$999"),"UP",INDIRECT($A$1&amp;"!$J$2:$J$999"),"YES")</f>
        <v>#DIV/0!</v>
      </c>
      <c r="G12">
        <f ca="1">COUNTIFS(INDIRECT($A$1&amp;"!$Q$2:$Q$999"),"&gt;=4.1",INDIRECT($A$1&amp;"!$Q$2:$Q$999"),"&lt;=5",INDIRECT($A$1&amp;"!$E$2:$E$999"),"YES",INDIRECT($A$1&amp;"!$D$2:$D$999"),"YES",INDIRECT($A$1&amp;"!$C$2:$C$999"),"&gt;=0.01",INDIRECT($A$1&amp;"!$F$2:$F$999"),"UP",INDIRECT($A$1&amp;"!$J$2:$J$999"),"YES")</f>
        <v>0</v>
      </c>
      <c r="H12" s="9" t="e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F$2:$F$999"),"UP",INDIRECT($A$1&amp;"!$J$2:$J$999"),"YES")</f>
        <v>#DIV/0!</v>
      </c>
      <c r="I12">
        <f ca="1">COUNTIFS(INDIRECT($A$1&amp;"!$Q$2:$Q$999"),"&gt;=5.1",INDIRECT($A$1&amp;"!$Q$2:$Q$999"),"&lt;=6.2",INDIRECT($A$1&amp;"!$E$2:$E$999"),"YES",INDIRECT($A$1&amp;"!$D$2:$D$999"),"YES",INDIRECT($A$1&amp;"!$C$2:$C$999"),"&gt;=0.01",INDIRECT($A$1&amp;"!$F$2:$F$999"),"UP",INDIRECT($A$1&amp;"!$J$2:$J$999"),"YES")</f>
        <v>0</v>
      </c>
      <c r="J12" s="9" t="e">
        <f ca="1">AVERAGEIFS(INDIRECT($A$1&amp;"!$S$2:$S$999"),INDIRECT($A$1&amp;"!$Q$2:$Q$999"),"&gt;=6.3",INDIRECT($A$1&amp;"!$E$2:$E$999"),"YES",INDIRECT($A$1&amp;"!$D$2:$D$999"),"YES",INDIRECT($A$1&amp;"!$C$2:$C$999"),"&gt;=0.01",INDIRECT($A$1&amp;"!$F$2:$F$999"),"UP",INDIRECT($A$1&amp;"!$J$2:$J$999"),"YES")</f>
        <v>#DIV/0!</v>
      </c>
      <c r="K12">
        <f ca="1">COUNTIFS(INDIRECT($A$1&amp;"!$Q$2:$Q$999"),"&gt;=6.3",INDIRECT($A$1&amp;"!$E$2:$E$999"),"YES",INDIRECT($A$1&amp;"!$D$2:$D$999"),"YES",INDIRECT($A$1&amp;"!$C$2:$C$999"),"&gt;=0.01",INDIRECT($A$1&amp;"!$F$2:$F$999"),"UP",INDIRECT($A$1&amp;"!$J$2:$J$999"),"YES")</f>
        <v>0</v>
      </c>
    </row>
    <row r="13" spans="1:11" x14ac:dyDescent="0.2">
      <c r="A13" s="8" t="s">
        <v>153</v>
      </c>
      <c r="B13" s="9">
        <f ca="1">AVERAGEIFS(INDIRECT($A$1&amp;"!$S$2:$S$999"),INDIRECT($A$1&amp;"!$J$2:$J$999"),"YES",INDIRECT($A$1&amp;"!$K$2:$K$999"),"YES",INDIRECT($A$1&amp;"!$i$2:$i$999"),"YES")</f>
        <v>4.5</v>
      </c>
      <c r="C13" s="8">
        <f ca="1">COUNTIFS(INDIRECT($A$1&amp;"!$J$2:$J$999"),"YES",INDIRECT($A$1&amp;"!$K$2:$K$999"),"YES",INDIRECT($A$1&amp;"!$i$2:$i$999"),"YES")</f>
        <v>1</v>
      </c>
      <c r="D13" s="9" t="e">
        <f ca="1">AVERAGEIFS(INDIRECT($A$1&amp;"!$S$2:$S$999"),INDIRECT($A$1&amp;"!$Q$2:$Q$999"),"&lt;=4",INDIRECT($A$1&amp;"!$J$2:$J$999"),"YES",INDIRECT($A$1&amp;"!$K$2:$K$999"),"YES",INDIRECT($A$1&amp;"!$i$2:$i$999"),"YES")</f>
        <v>#DIV/0!</v>
      </c>
      <c r="E13" s="8">
        <f ca="1">COUNTIFS(INDIRECT($A$1&amp;"!$Q$2:$Q$999"),"&lt;=4",INDIRECT($A$1&amp;"!$J$2:$J$999"),"YES",INDIRECT($A$1&amp;"!$K$2:$K$999"),"YES",INDIRECT($A$1&amp;"!$i$2:$i$999"),"YES")</f>
        <v>0</v>
      </c>
      <c r="F13" s="9" t="e">
        <f ca="1">AVERAGEIFS(INDIRECT($A$1&amp;"!$S$2:$S$999"),INDIRECT($A$1&amp;"!$Q$2:$Q$999"),"&gt;=4.1",INDIRECT($A$1&amp;"!$Q$2:$Q$999"),"&lt;=5",INDIRECT($A$1&amp;"!$J$2:$J$999"),"YES",INDIRECT($A$1&amp;"!$K$2:$K$999"),"YES",INDIRECT($A$1&amp;"!$i$2:$i$999"),"YES")</f>
        <v>#DIV/0!</v>
      </c>
      <c r="G13" s="8">
        <f ca="1">COUNTIFS(INDIRECT($A$1&amp;"!$Q$2:$Q$999"),"&gt;=4.1",INDIRECT($A$1&amp;"!$Q$2:$Q$999"),"&lt;=5",INDIRECT($A$1&amp;"!$J$2:$J$999"),"YES",INDIRECT($A$1&amp;"!$K$2:$K$999"),"YES",INDIRECT($A$1&amp;"!$i$2:$i$999"),"YES")</f>
        <v>0</v>
      </c>
      <c r="H13" s="9">
        <f ca="1">AVERAGEIFS(INDIRECT($A$1&amp;"!$S$2:$S$999"),INDIRECT($A$1&amp;"!$Q$2:$Q$999"),"&gt;=5.1",INDIRECT($A$1&amp;"!$Q$2:$Q$999"),"&lt;=6.2",INDIRECT($A$1&amp;"!$J$2:$J$999"),"YES",INDIRECT($A$1&amp;"!$K$2:$K$999"),"YES",INDIRECT($A$1&amp;"!$i$2:$i$999"),"YES")</f>
        <v>4.5</v>
      </c>
      <c r="I13" s="8">
        <f ca="1">COUNTIFS(INDIRECT($A$1&amp;"!$Q$2:$Q$999"),"&gt;=5.1",INDIRECT($A$1&amp;"!$Q$2:$Q$999"),"&lt;=6.2",INDIRECT($A$1&amp;"!$J$2:$J$999"),"YES",INDIRECT($A$1&amp;"!$K$2:$K$999"),"YES",INDIRECT($A$1&amp;"!$i$2:$i$999"),"YES")</f>
        <v>1</v>
      </c>
      <c r="J13" s="9" t="e">
        <f ca="1">AVERAGEIFS(INDIRECT($A$1&amp;"!$S$2:$S$999"),INDIRECT($A$1&amp;"!$Q$2:$Q$999"),"&gt;=6.3",INDIRECT($A$1&amp;"!$J$2:$J$999"),"YES",INDIRECT($A$1&amp;"!$K$2:$K$999"),"YES",INDIRECT($A$1&amp;"!$i$2:$i$999"),"YES")</f>
        <v>#DIV/0!</v>
      </c>
      <c r="K13" s="8">
        <f ca="1">COUNTIFS(INDIRECT($A$1&amp;"!$Q$2:$Q$999"),"&gt;=6.3",INDIRECT($A$1&amp;"!$J$2:$J$999"),"YES",INDIRECT($A$1&amp;"!$K$2:$K$999"),"YES",INDIRECT($A$1&amp;"!$i$2:$i$999"),"YES")</f>
        <v>0</v>
      </c>
    </row>
    <row r="14" spans="1:11" x14ac:dyDescent="0.2">
      <c r="A14" s="8" t="s">
        <v>149</v>
      </c>
      <c r="B14" s="9">
        <f ca="1">AVERAGEIFS(INDIRECT($A$1&amp;"!$S$2:$S$999"),INDIRECT($A$1&amp;"!$J$2:$J$999"),"YES",INDIRECT($A$1&amp;"!$K$2:$K$999"),"YES")</f>
        <v>4.5</v>
      </c>
      <c r="C14" s="8">
        <f ca="1">COUNTIFS(INDIRECT($A$1&amp;"!$J$2:$J$999"),"YES",INDIRECT($A$1&amp;"!$K$2:$K$999"),"YES")</f>
        <v>2</v>
      </c>
      <c r="D14" s="9">
        <f ca="1">AVERAGEIFS(INDIRECT($A$1&amp;"!$S$2:$S$999"),INDIRECT($A$1&amp;"!$Q$2:$Q$999"),"&lt;=4",INDIRECT($A$1&amp;"!$J$2:$J$999"),"YES",INDIRECT($A$1&amp;"!$K$2:$K$999"),"YES")</f>
        <v>4.5</v>
      </c>
      <c r="E14" s="8">
        <f ca="1">COUNTIFS(INDIRECT($A$1&amp;"!$Q$2:$Q$999"),"&lt;=4",INDIRECT($A$1&amp;"!$J$2:$J$999"),"YES",INDIRECT($A$1&amp;"!$K$2:$K$999"),"YES")</f>
        <v>1</v>
      </c>
      <c r="F14" s="9" t="e">
        <f ca="1">AVERAGEIFS(INDIRECT($A$1&amp;"!$S$2:$S$999"),INDIRECT($A$1&amp;"!$Q$2:$Q$999"),"&gt;=4.1",INDIRECT($A$1&amp;"!$Q$2:$Q$999"),"&lt;=5",INDIRECT($A$1&amp;"!$J$2:$J$999"),"YES",INDIRECT($A$1&amp;"!$K$2:$K$999"),"YES")</f>
        <v>#DIV/0!</v>
      </c>
      <c r="G14" s="8">
        <f ca="1">COUNTIFS(INDIRECT($A$1&amp;"!$Q$2:$Q$999"),"&gt;=4.1",INDIRECT($A$1&amp;"!$Q$2:$Q$999"),"&lt;=5",INDIRECT($A$1&amp;"!$J$2:$J$999"),"YES",INDIRECT($A$1&amp;"!$K$2:$K$999"),"YES")</f>
        <v>0</v>
      </c>
      <c r="H14" s="9">
        <f ca="1">AVERAGEIFS(INDIRECT($A$1&amp;"!$S$2:$S$999"),INDIRECT($A$1&amp;"!$Q$2:$Q$999"),"&gt;=5.1",INDIRECT($A$1&amp;"!$Q$2:$Q$999"),"&lt;=6.2",INDIRECT($A$1&amp;"!$J$2:$J$999"),"YES",INDIRECT($A$1&amp;"!$K$2:$K$999"),"YES")</f>
        <v>4.5</v>
      </c>
      <c r="I14" s="8">
        <f ca="1">COUNTIFS(INDIRECT($A$1&amp;"!$Q$2:$Q$999"),"&gt;=5.1",INDIRECT($A$1&amp;"!$Q$2:$Q$999"),"&lt;=6.2",INDIRECT($A$1&amp;"!$J$2:$J$999"),"YES",INDIRECT($A$1&amp;"!$K$2:$K$999"),"YES")</f>
        <v>1</v>
      </c>
      <c r="J14" s="9" t="e">
        <f ca="1">AVERAGEIFS(INDIRECT($A$1&amp;"!$S$2:$S$999"),INDIRECT($A$1&amp;"!$Q$2:$Q$999"),"&gt;=6.3",INDIRECT($A$1&amp;"!$J$2:$J$999"),"YES",INDIRECT($A$1&amp;"!$K$2:$K$999"),"YES")</f>
        <v>#DIV/0!</v>
      </c>
      <c r="K14" s="8">
        <f ca="1">COUNTIFS(INDIRECT($A$1&amp;"!$Q$2:$Q$999"),"&gt;=6.3",INDIRECT($A$1&amp;"!$J$2:$J$999"),"YES",INDIRECT($A$1&amp;"!$K$2:$K$999"),"YES")</f>
        <v>0</v>
      </c>
    </row>
    <row r="15" spans="1:11" x14ac:dyDescent="0.2">
      <c r="A15" s="8" t="s">
        <v>154</v>
      </c>
      <c r="B15" s="9">
        <f ca="1">AVERAGEIFS(INDIRECT($A$1&amp;"!$S$2:$S$999"),INDIRECT($A$1&amp;"!$J$2:$J$999"),"YES",INDIRECT($A$1&amp;"!$i$2:$i$999"),"YES")</f>
        <v>3.73167701863354</v>
      </c>
      <c r="C15" s="8">
        <f ca="1">COUNTIFS(INDIRECT($A$1&amp;"!$J$2:$J$999"),"YES",INDIRECT($A$1&amp;"!$i$2:$i$999"),"YES")</f>
        <v>7</v>
      </c>
      <c r="D15" s="9">
        <f ca="1">AVERAGEIFS(INDIRECT($A$1&amp;"!$S$2:$S$999"),INDIRECT($A$1&amp;"!$Q$2:$Q$999"),"&lt;=4",INDIRECT($A$1&amp;"!$J$2:$J$999"),"YES",INDIRECT($A$1&amp;"!$i$2:$i$999"),"YES")</f>
        <v>4.1199999999999992</v>
      </c>
      <c r="E15" s="8">
        <f ca="1">COUNTIFS(INDIRECT($A$1&amp;"!$Q$2:$Q$999"),"&lt;=4",INDIRECT($A$1&amp;"!$J$2:$J$999"),"YES",INDIRECT($A$1&amp;"!$i$2:$i$999"),"YES")</f>
        <v>5</v>
      </c>
      <c r="F15" s="9">
        <f ca="1">AVERAGEIFS(INDIRECT($A$1&amp;"!$S$2:$S$999"),INDIRECT($A$1&amp;"!$Q$2:$Q$999"),"&gt;=4.1",INDIRECT($A$1&amp;"!$Q$2:$Q$999"),"&lt;=5",INDIRECT($A$1&amp;"!$J$2:$J$999"),"YES",INDIRECT($A$1&amp;"!$i$2:$i$999"),"YES")</f>
        <v>1.0217391304347827</v>
      </c>
      <c r="G15" s="8">
        <f ca="1">COUNTIFS(INDIRECT($A$1&amp;"!$Q$2:$Q$999"),"&gt;=4.1",INDIRECT($A$1&amp;"!$Q$2:$Q$999"),"&lt;=5",INDIRECT($A$1&amp;"!$J$2:$J$999"),"YES",INDIRECT($A$1&amp;"!$i$2:$i$999"),"YES")</f>
        <v>1</v>
      </c>
      <c r="H15" s="9">
        <f ca="1">AVERAGEIFS(INDIRECT($A$1&amp;"!$S$2:$S$999"),INDIRECT($A$1&amp;"!$Q$2:$Q$999"),"&gt;=5.1",INDIRECT($A$1&amp;"!$Q$2:$Q$999"),"&lt;=6.2",INDIRECT($A$1&amp;"!$J$2:$J$999"),"YES",INDIRECT($A$1&amp;"!$i$2:$i$999"),"YES")</f>
        <v>4.5</v>
      </c>
      <c r="I15" s="8">
        <f ca="1">COUNTIFS(INDIRECT($A$1&amp;"!$Q$2:$Q$999"),"&gt;=5.1",INDIRECT($A$1&amp;"!$Q$2:$Q$999"),"&lt;=6.2",INDIRECT($A$1&amp;"!$J$2:$J$999"),"YES",INDIRECT($A$1&amp;"!$i$2:$i$999"),"YES")</f>
        <v>1</v>
      </c>
      <c r="J15" s="9" t="e">
        <f ca="1">AVERAGEIFS(INDIRECT($A$1&amp;"!$S$2:$S$999"),INDIRECT($A$1&amp;"!$Q$2:$Q$999"),"&gt;=6.3",INDIRECT($A$1&amp;"!$J$2:$J$999"),"YES",INDIRECT($A$1&amp;"!$i$2:$i$999"),"YES")</f>
        <v>#DIV/0!</v>
      </c>
      <c r="K15" s="8">
        <f ca="1">COUNTIFS(INDIRECT($A$1&amp;"!$Q$2:$Q$999"),"&gt;=6.3",INDIRECT($A$1&amp;"!$J$2:$J$999"),"YES",INDIRECT($A$1&amp;"!$i$2:$i$999"),"YES")</f>
        <v>0</v>
      </c>
    </row>
    <row r="16" spans="1:11" x14ac:dyDescent="0.2">
      <c r="A16" s="8" t="s">
        <v>150</v>
      </c>
      <c r="B16" s="9">
        <f ca="1">AVERAGEIFS(INDIRECT($A$1&amp;"!$S$2:$S$999"),INDIRECT($A$1&amp;"!$J$2:$J$999"),"YES")</f>
        <v>3.6018115942028981</v>
      </c>
      <c r="C16" s="8">
        <f ca="1">COUNTIF(INDIRECT($A$1&amp;"!$J$2:$J$999"),"YES")</f>
        <v>12</v>
      </c>
      <c r="D16" s="9">
        <f ca="1">AVERAGEIFS(INDIRECT($A$1&amp;"!$S$2:$S$999"),INDIRECT($A$1&amp;"!$Q$2:$Q$999"),"&lt;=4",INDIRECT($A$1&amp;"!$J$2:$J$999"),"YES")</f>
        <v>4.1833333333333327</v>
      </c>
      <c r="E16" s="8">
        <f ca="1">COUNTIFS(INDIRECT($A$1&amp;"!$Q$2:$Q$999"),"&lt;=4",INDIRECT($A$1&amp;"!$J$2:$J$999"),"YES")</f>
        <v>6</v>
      </c>
      <c r="F16" s="9">
        <f ca="1">AVERAGEIFS(INDIRECT($A$1&amp;"!$S$2:$S$999"),INDIRECT($A$1&amp;"!$Q$2:$Q$999"),"&gt;=4.1",INDIRECT($A$1&amp;"!$Q$2:$Q$999"),"&lt;=5",INDIRECT($A$1&amp;"!$J$2:$J$999"),"YES")</f>
        <v>2.8054347826086956</v>
      </c>
      <c r="G16" s="8">
        <f ca="1">COUNTIFS(INDIRECT($A$1&amp;"!$Q$2:$Q$999"),"&gt;=4.1",INDIRECT($A$1&amp;"!$Q$2:$Q$999"),"&lt;=5",INDIRECT($A$1&amp;"!$J$2:$J$999"),"YES")</f>
        <v>4</v>
      </c>
      <c r="H16" s="9">
        <f ca="1">AVERAGEIFS(INDIRECT($A$1&amp;"!$S$2:$S$999"),INDIRECT($A$1&amp;"!$Q$2:$Q$999"),"&gt;=5.1",INDIRECT($A$1&amp;"!$Q$2:$Q$999"),"&lt;=6.2",INDIRECT($A$1&amp;"!$J$2:$J$999"),"YES")</f>
        <v>3.45</v>
      </c>
      <c r="I16" s="8">
        <f ca="1">COUNTIFS(INDIRECT($A$1&amp;"!$Q$2:$Q$999"),"&gt;=5.1",INDIRECT($A$1&amp;"!$Q$2:$Q$999"),"&lt;=6.2",INDIRECT($A$1&amp;"!$J$2:$J$999"),"YES")</f>
        <v>2</v>
      </c>
      <c r="J16" s="9" t="e">
        <f ca="1">AVERAGEIFS(INDIRECT($A$1&amp;"!$S$2:$S$999"),INDIRECT($A$1&amp;"!$Q$2:$Q$999"),"&gt;=6.3",INDIRECT($A$1&amp;"!$J$2:$J$999"),"YES")</f>
        <v>#DIV/0!</v>
      </c>
      <c r="K16" s="8">
        <f ca="1">COUNTIFS(INDIRECT($A$1&amp;"!$Q$2:$Q$999"),"&gt;=6.3",INDIRECT($A$1&amp;"!$J$2:$J$999"),"YES")</f>
        <v>0</v>
      </c>
    </row>
    <row r="17" spans="1:11" x14ac:dyDescent="0.2">
      <c r="A17" s="8" t="s">
        <v>208</v>
      </c>
      <c r="B17" s="9">
        <f ca="1">AVERAGEIFS(INDIRECT($A$1&amp;"!$S$2:$S$999"),INDIRECT($A$1&amp;"!$C$2:$C$999"),"&gt;=.01",INDIRECT($A$1&amp;"!$i$2:$i$999"),"YES")</f>
        <v>3.5</v>
      </c>
      <c r="C17" s="8">
        <f ca="1">COUNTIFS(INDIRECT($A$1&amp;"!$C$2:$C$999"),"&gt;=.01",INDIRECT($A$1&amp;"!$i$2:$i$999"),"YES")</f>
        <v>1</v>
      </c>
      <c r="D17" s="9">
        <f ca="1">AVERAGEIFS(INDIRECT($A$1&amp;"!$S$2:$S$999"),INDIRECT($A$1&amp;"!$Q$2:$Q$999"),"&lt;=4",INDIRECT($A$1&amp;"!$C$2:$C$999"),"&gt;=.01",INDIRECT($A$1&amp;"!$i$2:$i$999"),"YES")</f>
        <v>3.5</v>
      </c>
      <c r="E17" s="8">
        <f ca="1">COUNTIFS(INDIRECT($A$1&amp;"!$Q$2:$Q$999"),"&lt;=4",INDIRECT($A$1&amp;"!$C$2:$C$999"),"&gt;=.01",INDIRECT($A$1&amp;"!$i$2:$i$999"),"YES")</f>
        <v>1</v>
      </c>
      <c r="F17" s="9" t="e">
        <f ca="1">AVERAGEIFS(INDIRECT($A$1&amp;"!$S$2:$S$999"),INDIRECT($A$1&amp;"!$Q$2:$Q$999"),"&gt;=4.1",INDIRECT($A$1&amp;"!$Q$2:$Q$999"),"&lt;=5",INDIRECT($A$1&amp;"!$C$2:$C$999"),"&gt;=.01",INDIRECT($A$1&amp;"!$i$2:$i$999"),"YES")</f>
        <v>#DIV/0!</v>
      </c>
      <c r="G17" s="8">
        <f ca="1">COUNTIFS(INDIRECT($A$1&amp;"!$Q$2:$Q$999"),"&gt;=4.1",INDIRECT($A$1&amp;"!$Q$2:$Q$999"),"&lt;=5",INDIRECT($A$1&amp;"!$C$2:$C$999"),"&gt;=.01",INDIRECT($A$1&amp;"!$i$2:$i$999"),"YES")</f>
        <v>0</v>
      </c>
      <c r="H17" s="9" t="e">
        <f ca="1">AVERAGEIFS(INDIRECT($A$1&amp;"!$S$2:$S$999"),INDIRECT($A$1&amp;"!$Q$2:$Q$999"),"&gt;=5.1",INDIRECT($A$1&amp;"!$Q$2:$Q$999"),"&lt;=6.2",INDIRECT($A$1&amp;"!$C$2:$C$999"),"&gt;=.01",INDIRECT($A$1&amp;"!$i$2:$i$999"),"YES")</f>
        <v>#DIV/0!</v>
      </c>
      <c r="I17" s="8">
        <f ca="1">COUNTIFS(INDIRECT($A$1&amp;"!$Q$2:$Q$999"),"&gt;=5.1",INDIRECT($A$1&amp;"!$Q$2:$Q$999"),"&lt;=6.2",INDIRECT($A$1&amp;"!$C$2:$C$999"),"&gt;=.01",INDIRECT($A$1&amp;"!$i$2:$i$999"),"YES")</f>
        <v>0</v>
      </c>
      <c r="J17" s="9" t="e">
        <f ca="1">AVERAGEIFS(INDIRECT($A$1&amp;"!$S$2:$S$999"),INDIRECT($A$1&amp;"!$Q$2:$Q$999"),"&gt;=6.3",INDIRECT($A$1&amp;"!$C$2:$C$999"),"&gt;=.01",INDIRECT($A$1&amp;"!$i$2:$i$999"),"YES")</f>
        <v>#DIV/0!</v>
      </c>
      <c r="K17" s="8">
        <f ca="1">COUNTIFS(INDIRECT($A$1&amp;"!$Q$2:$Q$999"),"&gt;=6.3",INDIRECT($A$1&amp;"!$C$2:$C$999"),"&gt;=.01",INDIRECT($A$1&amp;"!$i$2:$i$999"),"YES")</f>
        <v>0</v>
      </c>
    </row>
    <row r="18" spans="1:11" x14ac:dyDescent="0.2">
      <c r="A18" s="8" t="s">
        <v>151</v>
      </c>
      <c r="B18" s="9">
        <f ca="1">AVERAGEIFS(INDIRECT($A$1&amp;"!$S$2:$S$999"),INDIRECT($A$1&amp;"!$K$2:$K$999"),"YES")</f>
        <v>3.3200000000000003</v>
      </c>
      <c r="C18" s="8">
        <f ca="1">COUNTIF(INDIRECT($A$1&amp;"!$K$2:$K$999"),"YES")</f>
        <v>5</v>
      </c>
      <c r="D18" s="9">
        <f ca="1">AVERAGEIFS(INDIRECT($A$1&amp;"!$S$2:$S$999"),INDIRECT($A$1&amp;"!$Q$2:$Q$999"),"&lt;=4",INDIRECT($A$1&amp;"!$K$2:$K$999"),"YES")</f>
        <v>4.5</v>
      </c>
      <c r="E18" s="8">
        <f ca="1">COUNTIFS(INDIRECT($A$1&amp;"!$Q$2:$Q$999"),"&lt;=4",INDIRECT($A$1&amp;"!$K$2:$K$999"),"YES")</f>
        <v>1</v>
      </c>
      <c r="F18" s="9">
        <f ca="1">AVERAGEIFS(INDIRECT($A$1&amp;"!$S$2:$S$999"),INDIRECT($A$1&amp;"!$Q$2:$Q$999"),"&gt;=4.1",INDIRECT($A$1&amp;"!$Q$2:$Q$999"),"&lt;=5",INDIRECT($A$1&amp;"!$K$2:$K$999"),"YES")</f>
        <v>3.7</v>
      </c>
      <c r="G18" s="8">
        <f ca="1">COUNTIFS(INDIRECT($A$1&amp;"!$Q$2:$Q$999"),"&gt;=4.1",INDIRECT($A$1&amp;"!$Q$2:$Q$999"),"&lt;=5",INDIRECT($A$1&amp;"!$K$2:$K$999"),"YES")</f>
        <v>1</v>
      </c>
      <c r="H18" s="9">
        <f ca="1">AVERAGEIFS(INDIRECT($A$1&amp;"!$S$2:$S$999"),INDIRECT($A$1&amp;"!$Q$2:$Q$999"),"&gt;=5.1",INDIRECT($A$1&amp;"!$Q$2:$Q$999"),"&lt;=6.2",INDIRECT($A$1&amp;"!$K$2:$K$999"),"YES")</f>
        <v>2.8000000000000003</v>
      </c>
      <c r="I18" s="8">
        <f ca="1">COUNTIFS(INDIRECT($A$1&amp;"!$Q$2:$Q$999"),"&gt;=5.1",INDIRECT($A$1&amp;"!$Q$2:$Q$999"),"&lt;=6.2",INDIRECT($A$1&amp;"!$K$2:$K$999"),"YES")</f>
        <v>3</v>
      </c>
      <c r="J18" s="9" t="e">
        <f ca="1">AVERAGEIFS(INDIRECT($A$1&amp;"!$S$2:$S$999"),INDIRECT($A$1&amp;"!$Q$2:$Q$999"),"&gt;=6.3",INDIRECT($A$1&amp;"!$K$2:$K$999"),"YES")</f>
        <v>#DIV/0!</v>
      </c>
      <c r="K18" s="8">
        <f ca="1">COUNTIFS(INDIRECT($A$1&amp;"!$Q$2:$Q$999"),"&gt;=6.3",INDIRECT($A$1&amp;"!$K$2:$K$999"),"YES")</f>
        <v>0</v>
      </c>
    </row>
    <row r="19" spans="1:11" x14ac:dyDescent="0.2">
      <c r="A19" s="9" t="s">
        <v>112</v>
      </c>
      <c r="B19" s="9">
        <f ca="1">AVERAGEIFS(INDIRECT($A$1&amp;"!$S$2:$S$999"),INDIRECT($A$1&amp;"!$D$2:$D$999"),"YES",INDIRECT($A$1&amp;"!$F$2:$F$999"),"UP")</f>
        <v>3.2</v>
      </c>
      <c r="C19">
        <f ca="1">COUNTIFS(INDIRECT($A$1&amp;"!$D$2:$D$999"),"YES",INDIRECT($A$1&amp;"!$F$2:$F$999"),"UP")</f>
        <v>29</v>
      </c>
      <c r="D19" s="9">
        <f ca="1">AVERAGEIFS(INDIRECT($A$1&amp;"!$S$2:$S$999"),INDIRECT($A$1&amp;"!$Q$2:$Q$999"),"&lt;=4",INDIRECT($A$1&amp;"!$D$2:$D$999"),"YES",INDIRECT($A$1&amp;"!$F$2:$F$999"),"UP")</f>
        <v>3.2</v>
      </c>
      <c r="E19">
        <f ca="1">COUNTIFS(INDIRECT($A$1&amp;"!$Q$2:$Q$999"),"&lt;=4",INDIRECT($A$1&amp;"!$D$2:$D$999"),"YES",INDIRECT($A$1&amp;"!$F$2:$F$999"),"UP")</f>
        <v>2</v>
      </c>
      <c r="F19" s="9" t="e">
        <f ca="1">AVERAGEIFS(INDIRECT($A$1&amp;"!$S$2:$S$999"),INDIRECT($A$1&amp;"!$Q$2:$Q$999"),"&gt;=4.1",INDIRECT($A$1&amp;"!$Q$2:$Q$999"),"&lt;=5",INDIRECT($A$1&amp;"!$D$2:$D$999"),"YES",INDIRECT($A$1&amp;"!$F$2:$F$999"),"UP")</f>
        <v>#DIV/0!</v>
      </c>
      <c r="G19">
        <f ca="1">COUNTIFS(INDIRECT($A$1&amp;"!$Q$2:$Q$999"),"&gt;=4.1",INDIRECT($A$1&amp;"!$Q$2:$Q$999"),"&lt;=5",INDIRECT($A$1&amp;"!$D$2:$D$999"),"YES",INDIRECT($A$1&amp;"!$F$2:$F$999"),"UP")</f>
        <v>0</v>
      </c>
      <c r="H19" s="9" t="e">
        <f ca="1">AVERAGEIFS(INDIRECT($A$1&amp;"!$S$2:$S$999"),INDIRECT($A$1&amp;"!$Q$2:$Q$999"),"&gt;=5.1",INDIRECT($A$1&amp;"!$Q$2:$Q$999"),"&lt;=6.2",INDIRECT($A$1&amp;"!$D$2:$D$999"),"YES",INDIRECT($A$1&amp;"!$F$2:$F$999"),"UP")</f>
        <v>#DIV/0!</v>
      </c>
      <c r="I19">
        <f ca="1">COUNTIFS(INDIRECT($A$1&amp;"!$Q$2:$Q$999"),"&gt;=5.1",INDIRECT($A$1&amp;"!$Q$2:$Q$999"),"&lt;=6.2",INDIRECT($A$1&amp;"!$D$2:$D$999"),"YES",INDIRECT($A$1&amp;"!$F$2:$F$999"),"UP")</f>
        <v>0</v>
      </c>
      <c r="J19" s="9" t="e">
        <f ca="1">AVERAGEIFS(INDIRECT($A$1&amp;"!$S$2:$S$999"),INDIRECT($A$1&amp;"!$Q$2:$Q$999"),"&gt;=6.3",INDIRECT($A$1&amp;"!$D$2:$D$999"),"YES",INDIRECT($A$1&amp;"!$F$2:$F$999"),"UP")</f>
        <v>#DIV/0!</v>
      </c>
      <c r="K19">
        <f ca="1">COUNTIFS(INDIRECT($A$1&amp;"!$Q$2:$Q$999"),"&gt;=6.3",INDIRECT($A$1&amp;"!$D$2:$D$999"),"YES",INDIRECT($A$1&amp;"!$F$2:$F$999"),"UP")</f>
        <v>0</v>
      </c>
    </row>
    <row r="20" spans="1:11" x14ac:dyDescent="0.2">
      <c r="A20" s="9" t="s">
        <v>203</v>
      </c>
      <c r="B20" s="9">
        <f ca="1">AVERAGEIFS(INDIRECT($A$1&amp;"!$S$2:$S$999"),INDIRECT($A$1&amp;"!$D$2:$D$999"),"YES",INDIRECT($A$1&amp;"!$i$2:$i$999"),"YES")</f>
        <v>3.2</v>
      </c>
      <c r="C20">
        <f ca="1">COUNTIFS(INDIRECT($A$1&amp;"!$D$2:$D$999"),"YES",INDIRECT($A$1&amp;"!$i$2:$i$999"),"YES")</f>
        <v>2</v>
      </c>
      <c r="D20" s="9">
        <f ca="1">AVERAGEIFS(INDIRECT($A$1&amp;"!$S$2:$S$999"),INDIRECT($A$1&amp;"!$Q$2:$Q$999"),"&lt;=4",INDIRECT($A$1&amp;"!$D$2:$D$999"),"YES",INDIRECT($A$1&amp;"!$i$2:$i$999"),"YES")</f>
        <v>3.2</v>
      </c>
      <c r="E20">
        <f ca="1">COUNTIFS(INDIRECT($A$1&amp;"!$Q$2:$Q$999"),"&lt;=4",INDIRECT($A$1&amp;"!$D$2:$D$999"),"YES",INDIRECT($A$1&amp;"!$i$2:$i$999"),"YES")</f>
        <v>2</v>
      </c>
      <c r="F20" s="9" t="e">
        <f ca="1">AVERAGEIFS(INDIRECT($A$1&amp;"!$S$2:$S$999"),INDIRECT($A$1&amp;"!$Q$2:$Q$999"),"&gt;=4.1",INDIRECT($A$1&amp;"!$Q$2:$Q$999"),"&lt;=5",INDIRECT($A$1&amp;"!$D$2:$D$999"),"YES",INDIRECT($A$1&amp;"!$i$2:$i$999"),"YES")</f>
        <v>#DIV/0!</v>
      </c>
      <c r="G20">
        <f ca="1">COUNTIFS(INDIRECT($A$1&amp;"!$Q$2:$Q$999"),"&gt;=4.1",INDIRECT($A$1&amp;"!$Q$2:$Q$999"),"&lt;=5",INDIRECT($A$1&amp;"!$D$2:$D$999"),"YES",INDIRECT($A$1&amp;"!$i$2:$i$999"),"YES")</f>
        <v>0</v>
      </c>
      <c r="H20" s="9" t="e">
        <f ca="1">AVERAGEIFS(INDIRECT($A$1&amp;"!$S$2:$S$999"),INDIRECT($A$1&amp;"!$Q$2:$Q$999"),"&gt;=5.1",INDIRECT($A$1&amp;"!$Q$2:$Q$999"),"&lt;=6.2",INDIRECT($A$1&amp;"!$D$2:$D$999"),"YES",INDIRECT($A$1&amp;"!$i$2:$i$999"),"YES")</f>
        <v>#DIV/0!</v>
      </c>
      <c r="I20">
        <f ca="1">COUNTIFS(INDIRECT($A$1&amp;"!$Q$2:$Q$999"),"&gt;=5.1",INDIRECT($A$1&amp;"!$Q$2:$Q$999"),"&lt;=6.2",INDIRECT($A$1&amp;"!$D$2:$D$999"),"YES",INDIRECT($A$1&amp;"!$i$2:$i$999"),"YES")</f>
        <v>0</v>
      </c>
      <c r="J20" s="9" t="e">
        <f ca="1">AVERAGEIFS(INDIRECT($A$1&amp;"!$S$2:$S$999"),INDIRECT($A$1&amp;"!$Q$2:$Q$999"),"&gt;=6.3",INDIRECT($A$1&amp;"!$D$2:$D$999"),"YES",INDIRECT($A$1&amp;"!$i$2:$i$999"),"YES")</f>
        <v>#DIV/0!</v>
      </c>
      <c r="K20">
        <f ca="1">COUNTIFS(INDIRECT($A$1&amp;"!$Q$2:$Q$999"),"&gt;=6.3",INDIRECT($A$1&amp;"!$D$2:$D$999"),"YES",INDIRECT($A$1&amp;"!$i$2:$i$999"),"YES")</f>
        <v>0</v>
      </c>
    </row>
    <row r="21" spans="1:11" x14ac:dyDescent="0.2">
      <c r="A21" s="9" t="s">
        <v>206</v>
      </c>
      <c r="B21" s="9">
        <f ca="1">AVERAGEIFS(INDIRECT($A$1&amp;"!$S$2:$S$999"),INDIRECT($A$1&amp;"!$D$2:$D$999"),"YES",INDIRECT($A$1&amp;"!$i$2:$i$999"),"YES")</f>
        <v>3.2</v>
      </c>
      <c r="C21">
        <f ca="1">COUNTIFS(INDIRECT($A$1&amp;"!$D$2:$D$999"),"YES",INDIRECT($A$1&amp;"!$C$2:$C$999"),"&gt;=0.01",INDIRECT($A$1&amp;"!$i$2:$i$999"),"YES")</f>
        <v>1</v>
      </c>
      <c r="D21" s="9">
        <f ca="1">AVERAGEIFS(INDIRECT($A$1&amp;"!$S$2:$S$999"),INDIRECT($A$1&amp;"!$Q$2:$Q$999"),"&lt;=4",INDIRECT($A$1&amp;"!$D$2:$D$999"),"YES",INDIRECT($A$1&amp;"!$C$2:$C$999"),"&gt;=0.01",INDIRECT($A$1&amp;"!$i$2:$i$999"),"YES")</f>
        <v>3.5</v>
      </c>
      <c r="E21">
        <f ca="1">COUNTIFS(INDIRECT($A$1&amp;"!$Q$2:$Q$999"),"&lt;=4",INDIRECT($A$1&amp;"!$D$2:$D$999"),"YES",INDIRECT($A$1&amp;"!$C$2:$C$999"),"&gt;=0.01",INDIRECT($A$1&amp;"!$i$2:$i$999"),"YES")</f>
        <v>1</v>
      </c>
      <c r="F21" s="9" t="e">
        <f ca="1">AVERAGEIFS(INDIRECT($A$1&amp;"!$S$2:$S$999"),INDIRECT($A$1&amp;"!$Q$2:$Q$999"),"&gt;=4.1",INDIRECT($A$1&amp;"!$Q$2:$Q$999"),"&lt;=5",INDIRECT($A$1&amp;"!$D$2:$D$999"),"YES",INDIRECT($A$1&amp;"!$C$2:$C$999"),"&gt;=0.01",INDIRECT($A$1&amp;"!$i$2:$i$999"),"YES")</f>
        <v>#DIV/0!</v>
      </c>
      <c r="G21">
        <f ca="1">COUNTIFS(INDIRECT($A$1&amp;"!$Q$2:$Q$999"),"&gt;=4.1",INDIRECT($A$1&amp;"!$Q$2:$Q$999"),"&lt;=5",INDIRECT($A$1&amp;"!$D$2:$D$999"),"YES",INDIRECT($A$1&amp;"!$C$2:$C$999"),"&gt;=0.01",INDIRECT($A$1&amp;"!$i$2:$i$999"),"YES")</f>
        <v>0</v>
      </c>
      <c r="H21" s="9" t="e">
        <f ca="1">AVERAGEIFS(INDIRECT($A$1&amp;"!$S$2:$S$999"),INDIRECT($A$1&amp;"!$Q$2:$Q$999"),"&gt;=5.1",INDIRECT($A$1&amp;"!$Q$2:$Q$999"),"&lt;=6.2",INDIRECT($A$1&amp;"!$D$2:$D$999"),"YES",INDIRECT($A$1&amp;"!$C$2:$C$999"),"&gt;=0.01",INDIRECT($A$1&amp;"!$i$2:$i$999"),"YES")</f>
        <v>#DIV/0!</v>
      </c>
      <c r="I21">
        <f ca="1">COUNTIFS(INDIRECT($A$1&amp;"!$Q$2:$Q$999"),"&gt;=5.1",INDIRECT($A$1&amp;"!$Q$2:$Q$999"),"&lt;=6.2",INDIRECT($A$1&amp;"!$D$2:$D$999"),"YES",INDIRECT($A$1&amp;"!$C$2:$C$999"),"&gt;=0.01",INDIRECT($A$1&amp;"!$i$2:$i$999"),"YES")</f>
        <v>0</v>
      </c>
      <c r="J21" s="9" t="e">
        <f ca="1">AVERAGEIFS(INDIRECT($A$1&amp;"!$S$2:$S$999"),INDIRECT($A$1&amp;"!$Q$2:$Q$999"),"&gt;=6.3",INDIRECT($A$1&amp;"!$D$2:$D$999"),"YES",INDIRECT($A$1&amp;"!$C$2:$C$999"),"&gt;=0.01",INDIRECT($A$1&amp;"!$i$2:$i$999"),"YES")</f>
        <v>#DIV/0!</v>
      </c>
      <c r="K21">
        <f ca="1">COUNTIFS(INDIRECT($A$1&amp;"!$Q$2:$Q$999"),"&gt;=6.3",INDIRECT($A$1&amp;"!$D$2:$D$999"),"YES",INDIRECT($A$1&amp;"!$C$2:$C$999"),"&gt;=0.01",INDIRECT($A$1&amp;"!$i$2:$i$999"),"YES")</f>
        <v>0</v>
      </c>
    </row>
    <row r="22" spans="1:11" x14ac:dyDescent="0.2">
      <c r="A22" s="8" t="s">
        <v>209</v>
      </c>
      <c r="B22" s="9">
        <f ca="1">AVERAGEIFS(INDIRECT($A$1&amp;"!$S$2:$S$999"),INDIRECT($A$1&amp;"!$F$2:$F$999"),"UP",INDIRECT($A$1&amp;"!$i$2:$i$999"),"YES")</f>
        <v>3.2</v>
      </c>
      <c r="C22" s="8">
        <f ca="1">COUNTIFS(INDIRECT($A$1&amp;"!$F$2:$F$999"),"UP",INDIRECT($A$1&amp;"!$i$2:$i$999"),"YES")</f>
        <v>2</v>
      </c>
      <c r="D22" s="9">
        <f ca="1">AVERAGEIFS(INDIRECT($A$1&amp;"!$S$2:$S$999"),INDIRECT($A$1&amp;"!$Q$2:$Q$999"),"&lt;=4",INDIRECT($A$1&amp;"!$F$2:$F$999"),"UP",INDIRECT($A$1&amp;"!$i$2:$i$999"),"YES")</f>
        <v>3.2</v>
      </c>
      <c r="E22" s="8">
        <f ca="1">COUNTIFS(INDIRECT($A$1&amp;"!$Q$2:$Q$999"),"&lt;=4",INDIRECT($A$1&amp;"!$F$2:$F$999"),"UP",INDIRECT($A$1&amp;"!$i$2:$i$999"),"YES")</f>
        <v>2</v>
      </c>
      <c r="F22" s="9" t="e">
        <f ca="1">AVERAGEIFS(INDIRECT($A$1&amp;"!$S$2:$S$999"),INDIRECT($A$1&amp;"!$Q$2:$Q$999"),"&gt;=4.1",INDIRECT($A$1&amp;"!$Q$2:$Q$999"),"&lt;=5",INDIRECT($A$1&amp;"!$F$2:$F$999"),"UP",INDIRECT($A$1&amp;"!$i$2:$i$999"),"YES")</f>
        <v>#DIV/0!</v>
      </c>
      <c r="G22" s="8">
        <f ca="1">COUNTIFS(INDIRECT($A$1&amp;"!$Q$2:$Q$999"),"&gt;=4.1",INDIRECT($A$1&amp;"!$Q$2:$Q$999"),"&lt;=5",INDIRECT($A$1&amp;"!$F$2:$F$999"),"UP",INDIRECT($A$1&amp;"!$i$2:$i$999"),"YES")</f>
        <v>0</v>
      </c>
      <c r="H22" s="9" t="e">
        <f ca="1">AVERAGEIFS(INDIRECT($A$1&amp;"!$S$2:$S$999"),INDIRECT($A$1&amp;"!$Q$2:$Q$999"),"&gt;=5.1",INDIRECT($A$1&amp;"!$Q$2:$Q$999"),"&lt;=6.2",INDIRECT($A$1&amp;"!$F$2:$F$999"),"UP",INDIRECT($A$1&amp;"!$i$2:$i$999"),"YES")</f>
        <v>#DIV/0!</v>
      </c>
      <c r="I22" s="8">
        <f ca="1">COUNTIFS(INDIRECT($A$1&amp;"!$Q$2:$Q$999"),"&gt;=5.1",INDIRECT($A$1&amp;"!$Q$2:$Q$999"),"&lt;=6.2",INDIRECT($A$1&amp;"!$F$2:$F$999"),"UP",INDIRECT($A$1&amp;"!$i$2:$i$999"),"YES")</f>
        <v>0</v>
      </c>
      <c r="J22" s="9" t="e">
        <f ca="1">AVERAGEIFS(INDIRECT($A$1&amp;"!$S$2:$S$999"),INDIRECT($A$1&amp;"!$Q$2:$Q$999"),"&gt;=6.3",INDIRECT($A$1&amp;"!$F$2:$F$999"),"UP",INDIRECT($A$1&amp;"!$i$2:$i$999"),"YES")</f>
        <v>#DIV/0!</v>
      </c>
      <c r="K22" s="8">
        <f ca="1">COUNTIFS(INDIRECT($A$1&amp;"!$Q$2:$Q$999"),"&gt;=6.3",INDIRECT($A$1&amp;"!$F$2:$F$999"),"UP",INDIRECT($A$1&amp;"!$i$2:$i$999"),"YES")</f>
        <v>0</v>
      </c>
    </row>
    <row r="23" spans="1:11" x14ac:dyDescent="0.2">
      <c r="A23" s="9" t="s">
        <v>211</v>
      </c>
      <c r="B23" s="9">
        <f ca="1">AVERAGEIFS(INDIRECT($A$1&amp;"!$S$2:$S$999"),INDIRECT($A$1&amp;"!$D$2:$D$999"),"YES",INDIRECT($A$1&amp;"!$F$2:$F$999"),"UP",INDIRECT($A$1&amp;"!$i$2:$i$999"),"YES")</f>
        <v>3.2</v>
      </c>
      <c r="C23">
        <f ca="1">COUNTIFS(INDIRECT($A$1&amp;"!$D$2:$D$999"),"YES",INDIRECT($A$1&amp;"!$F$2:$F$999"),"UP",INDIRECT($A$1&amp;"!$i$2:$i$999"),"YES")</f>
        <v>2</v>
      </c>
      <c r="D23" s="9">
        <f ca="1">AVERAGEIFS(INDIRECT($A$1&amp;"!$S$2:$S$999"),INDIRECT($A$1&amp;"!$Q$2:$Q$999"),"&lt;=4",INDIRECT($A$1&amp;"!$D$2:$D$999"),"YES",INDIRECT($A$1&amp;"!$F$2:$F$999"),"UP",INDIRECT($A$1&amp;"!$i$2:$i$999"),"YES")</f>
        <v>3.2</v>
      </c>
      <c r="E23">
        <f ca="1">COUNTIFS(INDIRECT($A$1&amp;"!$Q$2:$Q$999"),"&lt;=4",INDIRECT($A$1&amp;"!$D$2:$D$999"),"YES",INDIRECT($A$1&amp;"!$F$2:$F$999"),"UP",INDIRECT($A$1&amp;"!$i$2:$i$999"),"YES")</f>
        <v>2</v>
      </c>
      <c r="F23" s="9" t="e">
        <f ca="1">AVERAGEIFS(INDIRECT($A$1&amp;"!$S$2:$S$999"),INDIRECT($A$1&amp;"!$Q$2:$Q$999"),"&gt;=4.1",INDIRECT($A$1&amp;"!$Q$2:$Q$999"),"&lt;=5",INDIRECT($A$1&amp;"!$D$2:$D$999"),"YES",INDIRECT($A$1&amp;"!$F$2:$F$999"),"UP",INDIRECT($A$1&amp;"!$i$2:$i$999"),"YES")</f>
        <v>#DIV/0!</v>
      </c>
      <c r="G23">
        <f ca="1">COUNTIFS(INDIRECT($A$1&amp;"!$Q$2:$Q$999"),"&gt;=4.1",INDIRECT($A$1&amp;"!$Q$2:$Q$999"),"&lt;=5",INDIRECT($A$1&amp;"!$D$2:$D$999"),"YES",INDIRECT($A$1&amp;"!$F$2:$F$999"),"UP",INDIRECT($A$1&amp;"!$i$2:$i$999"),"YES")</f>
        <v>0</v>
      </c>
      <c r="H23" s="9" t="e">
        <f ca="1">AVERAGEIFS(INDIRECT($A$1&amp;"!$S$2:$S$999"),INDIRECT($A$1&amp;"!$Q$2:$Q$999"),"&gt;=5.1",INDIRECT($A$1&amp;"!$Q$2:$Q$999"),"&lt;=6.2",INDIRECT($A$1&amp;"!$D$2:$D$999"),"YES",INDIRECT($A$1&amp;"!$F$2:$F$999"),"UP",INDIRECT($A$1&amp;"!$i$2:$i$999"),"YES")</f>
        <v>#DIV/0!</v>
      </c>
      <c r="I23">
        <f ca="1">COUNTIFS(INDIRECT($A$1&amp;"!$Q$2:$Q$999"),"&gt;=5.1",INDIRECT($A$1&amp;"!$Q$2:$Q$999"),"&lt;=6.2",INDIRECT($A$1&amp;"!$D$2:$D$999"),"YES",INDIRECT($A$1&amp;"!$F$2:$F$999"),"UP",INDIRECT($A$1&amp;"!$i$2:$i$999"),"YES")</f>
        <v>0</v>
      </c>
      <c r="J23" s="9" t="e">
        <f ca="1">AVERAGEIFS(INDIRECT($A$1&amp;"!$S$2:$S$999"),INDIRECT($A$1&amp;"!$Q$2:$Q$999"),"&gt;=6.3",INDIRECT($A$1&amp;"!$D$2:$D$999"),"YES",INDIRECT($A$1&amp;"!$F$2:$F$999"),"UP",INDIRECT($A$1&amp;"!$i$2:$i$999"),"YES")</f>
        <v>#DIV/0!</v>
      </c>
      <c r="K23">
        <f ca="1">COUNTIFS(INDIRECT($A$1&amp;"!$Q$2:$Q$999"),"&gt;=6.3",INDIRECT($A$1&amp;"!$D$2:$D$999"),"YES",INDIRECT($A$1&amp;"!$F$2:$F$999"),"UP",INDIRECT($A$1&amp;"!$i$2:$i$999"),"YES")</f>
        <v>0</v>
      </c>
    </row>
    <row r="24" spans="1:11" x14ac:dyDescent="0.2">
      <c r="A24" s="1" t="s">
        <v>31</v>
      </c>
      <c r="B24" s="1">
        <f ca="1">AVERAGEIF(INDIRECT($A$1&amp;"!$O$2:$O$999"),"&lt;=-5",INDIRECT($A$1&amp;"!$S$2:$S$999"))</f>
        <v>3.2</v>
      </c>
      <c r="C24">
        <f ca="1">COUNTIF(INDIRECT($A$1&amp;"!$O$2:$O$999"),"&lt;=-5")</f>
        <v>161</v>
      </c>
      <c r="D24" s="1">
        <f ca="1">AVERAGEIFS(INDIRECT($A$1&amp;"!$S$2:$S$999"),INDIRECT($A$1&amp;"!$O$2:$O$999"),"&lt;=-5",INDIRECT($A$1&amp;"!$Q$2:$Q$999"),"&lt;=4")</f>
        <v>3.25</v>
      </c>
      <c r="E24">
        <f ca="1">COUNTIFS(INDIRECT($A$1&amp;"!$O$2:$O$999"),"&lt;=-5",INDIRECT($A$1&amp;"!$Q$2:$Q$999"),"&lt;=4")</f>
        <v>8</v>
      </c>
      <c r="F24" s="1">
        <f ca="1">AVERAGEIFS(INDIRECT($A$1&amp;"!$S$2:$S$999"),INDIRECT($A$1&amp;"!$O$2:$O$999"),"&lt;=-5",INDIRECT($A$1&amp;"!$Q$2:$Q$999"),"&gt;=4.1",INDIRECT($A$1&amp;"!$Q$2:$Q$999"),"&lt;=5")</f>
        <v>6</v>
      </c>
      <c r="G24">
        <f ca="1">COUNTIFS(INDIRECT($A$1&amp;"!$O$2:$O$999"),"&lt;=-5",INDIRECT($A$1&amp;"!$Q$2:$Q$999"),"&gt;=4.1",INDIRECT($A$1&amp;"!$Q$2:$Q$999"),"&lt;=5")</f>
        <v>1</v>
      </c>
      <c r="H24" s="1">
        <f ca="1">AVERAGEIFS(INDIRECT($A$1&amp;"!$S$2:$S$999"),INDIRECT($A$1&amp;"!$O$2:$O$999"),"&lt;=-5",INDIRECT($A$1&amp;"!$Q$2:$Q$999"),"&gt;=5.1",INDIRECT($A$1&amp;"!$Q$2:$Q$999"),"&lt;=6.2")</f>
        <v>2.95</v>
      </c>
      <c r="I24">
        <f ca="1">COUNTIFS(INDIRECT($A$1&amp;"!$O$2:$O$999"),"&lt;=-5",INDIRECT($A$1&amp;"!$Q$2:$Q$999"),"&gt;=5.1",INDIRECT($A$1&amp;"!$Q$2:$Q$999"),"&lt;=6.2")</f>
        <v>4</v>
      </c>
      <c r="J24" s="1">
        <f ca="1">AVERAGEIFS(INDIRECT($A$1&amp;"!$S$2:$S$999"),INDIRECT($A$1&amp;"!$O$2:$O$999"),"&lt;=-5",INDIRECT($A$1&amp;"!$Q$2:$Q$999"),"&gt;=6.3")</f>
        <v>2.4666666666666668</v>
      </c>
      <c r="K24">
        <f ca="1">COUNTIFS(INDIRECT($A$1&amp;"!$O$2:$O$999"),"&lt;=-5",INDIRECT($A$1&amp;"!$Q$2:$Q$999"),"&gt;=6.3")</f>
        <v>3</v>
      </c>
    </row>
    <row r="25" spans="1:11" x14ac:dyDescent="0.2">
      <c r="A25" s="9" t="s">
        <v>101</v>
      </c>
      <c r="B25" s="9">
        <f ca="1">AVERAGEIFS(INDIRECT($A$1&amp;"!$S$2:$S$999"),INDIRECT($A$1&amp;"!$D$2:$D$999"),"YES")</f>
        <v>3.1999999999999997</v>
      </c>
      <c r="C25">
        <f ca="1">COUNTIF(INDIRECT($A$1&amp;"!$D$2:$D$999"),"YES")</f>
        <v>156</v>
      </c>
      <c r="D25" s="9">
        <f ca="1">AVERAGEIFS(INDIRECT($A$1&amp;"!$S$2:$S$999"),INDIRECT($A$1&amp;"!$Q$2:$Q$999"),"&lt;=4",INDIRECT($A$1&amp;"!$D$2:$D$999"),"YES")</f>
        <v>4.166666666666667</v>
      </c>
      <c r="E25">
        <f ca="1">COUNTIFS(INDIRECT($A$1&amp;"!$Q$2:$Q$999"),"&lt;=4",INDIRECT($A$1&amp;"!$D$2:$D$999"),"YES")</f>
        <v>3</v>
      </c>
      <c r="F25" s="9" t="e">
        <f ca="1">AVERAGEIFS(INDIRECT($A$1&amp;"!$S$2:$S$999"),INDIRECT($A$1&amp;"!$Q$2:$Q$999"),"&gt;=4.1",INDIRECT($A$1&amp;"!$Q$2:$Q$999"),"&lt;=5",INDIRECT($A$1&amp;"!$D$2:$D$999"),"YES")</f>
        <v>#DIV/0!</v>
      </c>
      <c r="G25">
        <f ca="1">COUNTIFS(INDIRECT($A$1&amp;"!$Q$2:$Q$999"),"&gt;=4.1",INDIRECT($A$1&amp;"!$Q$2:$Q$999"),"&lt;=5",INDIRECT($A$1&amp;"!$D$2:$D$999"),"YES")</f>
        <v>0</v>
      </c>
      <c r="H25" s="9">
        <f ca="1">AVERAGEIFS(INDIRECT($A$1&amp;"!$S$2:$S$999"),INDIRECT($A$1&amp;"!$Q$2:$Q$999"),"&gt;=5.1",INDIRECT($A$1&amp;"!$Q$2:$Q$999"),"&lt;=6.2",INDIRECT($A$1&amp;"!$D$2:$D$999"),"YES")</f>
        <v>2.8</v>
      </c>
      <c r="I25">
        <f ca="1">COUNTIFS(INDIRECT($A$1&amp;"!$Q$2:$Q$999"),"&gt;=5.1",INDIRECT($A$1&amp;"!$Q$2:$Q$999"),"&lt;=6.2",INDIRECT($A$1&amp;"!$D$2:$D$999"),"YES")</f>
        <v>5</v>
      </c>
      <c r="J25" s="9">
        <f ca="1">AVERAGEIFS(INDIRECT($A$1&amp;"!$S$2:$S$999"),INDIRECT($A$1&amp;"!$Q$2:$Q$999"),"&gt;=6.3",INDIRECT($A$1&amp;"!$D$2:$D$999"),"YES")</f>
        <v>2.2999999999999998</v>
      </c>
      <c r="K25">
        <f ca="1">COUNTIFS(INDIRECT($A$1&amp;"!$Q$2:$Q$999"),"&gt;=6.3",INDIRECT($A$1&amp;"!$D$2:$D$999"),"YES")</f>
        <v>1</v>
      </c>
    </row>
    <row r="26" spans="1:11" x14ac:dyDescent="0.2">
      <c r="A26" s="9" t="s">
        <v>196</v>
      </c>
      <c r="B26" s="9">
        <f ca="1">AVERAGEIFS(INDIRECT($A$1&amp;"!$S$2:$S$999"),INDIRECT($A$1&amp;"!$D$2:$D$999"),"YES")</f>
        <v>3.1999999999999997</v>
      </c>
      <c r="C26">
        <f ca="1">COUNTIFS(INDIRECT($A$1&amp;"!$D$2:$D$999"),"YES",INDIRECT($A$1&amp;"!$C$2:$C$999"),"&gt;=0.01")</f>
        <v>10</v>
      </c>
      <c r="D26" s="9">
        <f ca="1">AVERAGEIFS(INDIRECT($A$1&amp;"!$S$2:$S$999"),INDIRECT($A$1&amp;"!$Q$2:$Q$999"),"&lt;=4",INDIRECT($A$1&amp;"!$D$2:$D$999"),"YES",INDIRECT($A$1&amp;"!$C$2:$C$999"),"&gt;=0.01")</f>
        <v>4.8</v>
      </c>
      <c r="E26">
        <f ca="1">COUNTIFS(INDIRECT($A$1&amp;"!$Q$2:$Q$999"),"&lt;=4",INDIRECT($A$1&amp;"!$D$2:$D$999"),"YES",INDIRECT($A$1&amp;"!$C$2:$C$999"),"&gt;=0.01")</f>
        <v>2</v>
      </c>
      <c r="F26" s="9" t="e">
        <f ca="1">AVERAGEIFS(INDIRECT($A$1&amp;"!$S$2:$S$999"),INDIRECT($A$1&amp;"!$Q$2:$Q$999"),"&gt;=4.1",INDIRECT($A$1&amp;"!$Q$2:$Q$999"),"&lt;=5",INDIRECT($A$1&amp;"!$D$2:$D$999"),"YES",INDIRECT($A$1&amp;"!$C$2:$C$999"),"&gt;=0.01")</f>
        <v>#DIV/0!</v>
      </c>
      <c r="G26">
        <f ca="1">COUNTIFS(INDIRECT($A$1&amp;"!$Q$2:$Q$999"),"&gt;=4.1",INDIRECT($A$1&amp;"!$Q$2:$Q$999"),"&lt;=5",INDIRECT($A$1&amp;"!$D$2:$D$999"),"YES",INDIRECT($A$1&amp;"!$C$2:$C$999"),"&gt;=0.01")</f>
        <v>0</v>
      </c>
      <c r="H26" s="9">
        <f ca="1">AVERAGEIFS(INDIRECT($A$1&amp;"!$S$2:$S$999"),INDIRECT($A$1&amp;"!$Q$2:$Q$999"),"&gt;=5.1",INDIRECT($A$1&amp;"!$Q$2:$Q$999"),"&lt;=6.2",INDIRECT($A$1&amp;"!$D$2:$D$999"),"YES",INDIRECT($A$1&amp;"!$C$2:$C$999"),"&gt;=0.01")</f>
        <v>2.8</v>
      </c>
      <c r="I26">
        <f ca="1">COUNTIFS(INDIRECT($A$1&amp;"!$Q$2:$Q$999"),"&gt;=5.1",INDIRECT($A$1&amp;"!$Q$2:$Q$999"),"&lt;=6.2",INDIRECT($A$1&amp;"!$D$2:$D$999"),"YES",INDIRECT($A$1&amp;"!$C$2:$C$999"),"&gt;=0.01")</f>
        <v>5</v>
      </c>
      <c r="J26" s="9">
        <f ca="1">AVERAGEIFS(INDIRECT($A$1&amp;"!$S$2:$S$999"),INDIRECT($A$1&amp;"!$Q$2:$Q$999"),"&gt;=6.3",INDIRECT($A$1&amp;"!$D$2:$D$999"),"YES",INDIRECT($A$1&amp;"!$C$2:$C$999"),"&gt;=0.01")</f>
        <v>2.2999999999999998</v>
      </c>
      <c r="K26">
        <f ca="1">COUNTIFS(INDIRECT($A$1&amp;"!$Q$2:$Q$999"),"&gt;=6.3",INDIRECT($A$1&amp;"!$D$2:$D$999"),"YES",INDIRECT($A$1&amp;"!$C$2:$C$999"),"&gt;=0.01")</f>
        <v>1</v>
      </c>
    </row>
    <row r="27" spans="1:11" x14ac:dyDescent="0.2">
      <c r="A27" s="8" t="s">
        <v>199</v>
      </c>
      <c r="B27" s="9">
        <f ca="1">AVERAGEIFS(INDIRECT($A$1&amp;"!$S$2:$S$999"),INDIRECT($A$1&amp;"!$F$2:$F$999"),"UP")</f>
        <v>3.15</v>
      </c>
      <c r="C27" s="8">
        <f ca="1">COUNTIF(INDIRECT($A$1&amp;"!$F$2:$F$999"),"UP")</f>
        <v>128</v>
      </c>
      <c r="D27" s="9">
        <f ca="1">AVERAGEIFS(INDIRECT($A$1&amp;"!$S$2:$S$999"),INDIRECT($A$1&amp;"!$Q$2:$Q$999"),"&lt;=4",INDIRECT($A$1&amp;"!$F$2:$F$999"),"UP")</f>
        <v>3.3333333333333335</v>
      </c>
      <c r="E27" s="8">
        <f ca="1">COUNTIFS(INDIRECT($A$1&amp;"!$Q$2:$Q$999"),"&lt;=4",INDIRECT($A$1&amp;"!$F$2:$F$999"),"UP")</f>
        <v>3</v>
      </c>
      <c r="F27" s="9" t="e">
        <f ca="1">AVERAGEIFS(INDIRECT($A$1&amp;"!$S$2:$S$999"),INDIRECT($A$1&amp;"!$Q$2:$Q$999"),"&gt;=4.1",INDIRECT($A$1&amp;"!$Q$2:$Q$999"),"&lt;=5",INDIRECT($A$1&amp;"!$F$2:$F$999"),"UP")</f>
        <v>#DIV/0!</v>
      </c>
      <c r="G27" s="8">
        <f ca="1">COUNTIFS(INDIRECT($A$1&amp;"!$Q$2:$Q$999"),"&gt;=4.1",INDIRECT($A$1&amp;"!$Q$2:$Q$999"),"&lt;=5",INDIRECT($A$1&amp;"!$F$2:$F$999"),"UP")</f>
        <v>0</v>
      </c>
      <c r="H27" s="9">
        <f ca="1">AVERAGEIFS(INDIRECT($A$1&amp;"!$S$2:$S$999"),INDIRECT($A$1&amp;"!$Q$2:$Q$999"),"&gt;=5.1",INDIRECT($A$1&amp;"!$Q$2:$Q$999"),"&lt;=6.2",INDIRECT($A$1&amp;"!$F$2:$F$999"),"UP")</f>
        <v>2.6</v>
      </c>
      <c r="I27" s="8">
        <f ca="1">COUNTIFS(INDIRECT($A$1&amp;"!$Q$2:$Q$999"),"&gt;=5.1",INDIRECT($A$1&amp;"!$Q$2:$Q$999"),"&lt;=6.2",INDIRECT($A$1&amp;"!$F$2:$F$999"),"UP")</f>
        <v>1</v>
      </c>
      <c r="J27" s="9" t="e">
        <f ca="1">AVERAGEIFS(INDIRECT($A$1&amp;"!$S$2:$S$999"),INDIRECT($A$1&amp;"!$Q$2:$Q$999"),"&gt;=6.3",INDIRECT($A$1&amp;"!$F$2:$F$999"),"UP")</f>
        <v>#DIV/0!</v>
      </c>
      <c r="K27" s="8">
        <f ca="1">COUNTIFS(INDIRECT($A$1&amp;"!$Q$2:$Q$999"),"&gt;=6.3",INDIRECT($A$1&amp;"!$F$2:$F$999"),"UP")</f>
        <v>0</v>
      </c>
    </row>
    <row r="28" spans="1:11" x14ac:dyDescent="0.2">
      <c r="A28" s="8" t="s">
        <v>152</v>
      </c>
      <c r="B28" s="9">
        <f ca="1">AVERAGEIFS(INDIRECT($A$1&amp;"!$S$2:$S$999"),INDIRECT($A$1&amp;"!$i$2:$i$999"),"YES")</f>
        <v>3.1400756143667299</v>
      </c>
      <c r="C28" s="8">
        <f ca="1">COUNTIF(INDIRECT($A$1&amp;"!$i$2:$i$999"),"YES")</f>
        <v>23</v>
      </c>
      <c r="D28" s="9">
        <f ca="1">AVERAGEIFS(INDIRECT($A$1&amp;"!$S$2:$S$999"),INDIRECT($A$1&amp;"!$Q$2:$Q$999"),"&lt;=4",INDIRECT($A$1&amp;"!$i$2:$i$999"),"YES")</f>
        <v>3.5357142857142851</v>
      </c>
      <c r="E28" s="8">
        <f ca="1">COUNTIFS(INDIRECT($A$1&amp;"!$Q$2:$Q$999"),"&lt;=4",INDIRECT($A$1&amp;"!$i$2:$i$999"),"YES")</f>
        <v>14</v>
      </c>
      <c r="F28" s="9">
        <f ca="1">AVERAGEIFS(INDIRECT($A$1&amp;"!$S$2:$S$999"),INDIRECT($A$1&amp;"!$Q$2:$Q$999"),"&gt;=4.1",INDIRECT($A$1&amp;"!$Q$2:$Q$999"),"&lt;=5",INDIRECT($A$1&amp;"!$i$2:$i$999"),"YES")</f>
        <v>2.3608695652173912</v>
      </c>
      <c r="G28" s="8">
        <f ca="1">COUNTIFS(INDIRECT($A$1&amp;"!$Q$2:$Q$999"),"&gt;=4.1",INDIRECT($A$1&amp;"!$Q$2:$Q$999"),"&lt;=5",INDIRECT($A$1&amp;"!$i$2:$i$999"),"YES")</f>
        <v>2</v>
      </c>
      <c r="H28" s="9">
        <f ca="1">AVERAGEIFS(INDIRECT($A$1&amp;"!$S$2:$S$999"),INDIRECT($A$1&amp;"!$Q$2:$Q$999"),"&gt;=5.1",INDIRECT($A$1&amp;"!$Q$2:$Q$999"),"&lt;=6.2",INDIRECT($A$1&amp;"!$i$2:$i$999"),"YES")</f>
        <v>2.8000000000000003</v>
      </c>
      <c r="I28" s="8">
        <f ca="1">COUNTIFS(INDIRECT($A$1&amp;"!$Q$2:$Q$999"),"&gt;=5.1",INDIRECT($A$1&amp;"!$Q$2:$Q$999"),"&lt;=6.2",INDIRECT($A$1&amp;"!$i$2:$i$999"),"YES")</f>
        <v>3</v>
      </c>
      <c r="J28" s="9">
        <f ca="1">AVERAGEIFS(INDIRECT($A$1&amp;"!$S$2:$S$999"),INDIRECT($A$1&amp;"!$Q$2:$Q$999"),"&gt;=6.3",INDIRECT($A$1&amp;"!$i$2:$i$999"),"YES")</f>
        <v>2.4000000000000004</v>
      </c>
      <c r="K28" s="8">
        <f ca="1">COUNTIFS(INDIRECT($A$1&amp;"!$Q$2:$Q$999"),"&gt;=6.3",INDIRECT($A$1&amp;"!$i$2:$i$999"),"YES")</f>
        <v>4</v>
      </c>
    </row>
    <row r="29" spans="1:11" x14ac:dyDescent="0.2">
      <c r="A29" s="8" t="s">
        <v>155</v>
      </c>
      <c r="B29" s="9">
        <f ca="1">AVERAGEIFS(INDIRECT($A$1&amp;"!$S$2:$S$999"),INDIRECT($A$1&amp;"!$K$2:$K$999"),"YES",INDIRECT($A$1&amp;"!$i$2:$i$999"),"YES")</f>
        <v>3.0250000000000004</v>
      </c>
      <c r="C29" s="8">
        <f ca="1">COUNTIFS(INDIRECT($A$1&amp;"!$K$2:$K$999"),"YES",INDIRECT($A$1&amp;"!$i$2:$i$999"),"YES")</f>
        <v>4</v>
      </c>
      <c r="D29" s="9" t="e">
        <f ca="1">AVERAGEIFS(INDIRECT($A$1&amp;"!$S$2:$S$999"),INDIRECT($A$1&amp;"!$Q$2:$Q$999"),"&lt;=4",INDIRECT($A$1&amp;"!$K$2:$K$999"),"YES",INDIRECT($A$1&amp;"!$i$2:$i$999"),"YES")</f>
        <v>#DIV/0!</v>
      </c>
      <c r="E29" s="8">
        <f ca="1">COUNTIFS(INDIRECT($A$1&amp;"!$Q$2:$Q$999"),"&lt;=4",INDIRECT($A$1&amp;"!$K$2:$K$999"),"YES",INDIRECT($A$1&amp;"!$i$2:$i$999"),"YES")</f>
        <v>0</v>
      </c>
      <c r="F29" s="9">
        <f ca="1">AVERAGEIFS(INDIRECT($A$1&amp;"!$S$2:$S$999"),INDIRECT($A$1&amp;"!$Q$2:$Q$999"),"&gt;=4.1",INDIRECT($A$1&amp;"!$Q$2:$Q$999"),"&lt;=5",INDIRECT($A$1&amp;"!$K$2:$K$999"),"YES",INDIRECT($A$1&amp;"!$i$2:$i$999"),"YES")</f>
        <v>3.7</v>
      </c>
      <c r="G29" s="8">
        <f ca="1">COUNTIFS(INDIRECT($A$1&amp;"!$Q$2:$Q$999"),"&gt;=4.1",INDIRECT($A$1&amp;"!$Q$2:$Q$999"),"&lt;=5",INDIRECT($A$1&amp;"!$K$2:$K$999"),"YES",INDIRECT($A$1&amp;"!$i$2:$i$999"),"YES")</f>
        <v>1</v>
      </c>
      <c r="H29" s="9">
        <f ca="1">AVERAGEIFS(INDIRECT($A$1&amp;"!$S$2:$S$999"),INDIRECT($A$1&amp;"!$Q$2:$Q$999"),"&gt;=5.1",INDIRECT($A$1&amp;"!$Q$2:$Q$999"),"&lt;=6.2",INDIRECT($A$1&amp;"!$K$2:$K$999"),"YES",INDIRECT($A$1&amp;"!$i$2:$i$999"),"YES")</f>
        <v>2.8000000000000003</v>
      </c>
      <c r="I29" s="8">
        <f ca="1">COUNTIFS(INDIRECT($A$1&amp;"!$Q$2:$Q$999"),"&gt;=5.1",INDIRECT($A$1&amp;"!$Q$2:$Q$999"),"&lt;=6.2",INDIRECT($A$1&amp;"!$K$2:$K$999"),"YES",INDIRECT($A$1&amp;"!$i$2:$i$999"),"YES")</f>
        <v>3</v>
      </c>
      <c r="J29" s="9" t="e">
        <f ca="1">AVERAGEIFS(INDIRECT($A$1&amp;"!$S$2:$S$999"),INDIRECT($A$1&amp;"!$Q$2:$Q$999"),"&gt;=6.3",INDIRECT($A$1&amp;"!$K$2:$K$999"),"YES",INDIRECT($A$1&amp;"!$i$2:$i$999"),"YES")</f>
        <v>#DIV/0!</v>
      </c>
      <c r="K29" s="8">
        <f ca="1">COUNTIFS(INDIRECT($A$1&amp;"!$Q$2:$Q$999"),"&gt;=6.3",INDIRECT($A$1&amp;"!$K$2:$K$999"),"YES",INDIRECT($A$1&amp;"!$i$2:$i$999"),"YES")</f>
        <v>0</v>
      </c>
    </row>
    <row r="30" spans="1:11" x14ac:dyDescent="0.2">
      <c r="A30" t="s">
        <v>41</v>
      </c>
      <c r="B30" s="1">
        <f ca="1">AVERAGEIFS(INDIRECT($A$1&amp;"!$S$2:$S$999"),INDIRECT($A$1&amp;"!$P$2:$P$999"),"&gt;=44.5",INDIRECT($A$1&amp;"!$P$2:$P$999"),"&lt;=48.5")</f>
        <v>2.9092391304347829</v>
      </c>
      <c r="C30">
        <f ca="1">COUNTIFS(INDIRECT($A$1&amp;"!$P$2:$P$999"),"&gt;=44.5",INDIRECT($A$1&amp;"!$P$2:$P$999"),"&lt;=48.5")</f>
        <v>259</v>
      </c>
      <c r="D30" s="1">
        <f ca="1">AVERAGEIFS(INDIRECT($A$1&amp;"!$S$2:$S$999"),INDIRECT($A$1&amp;"!$Q$2:$Q$999"),"&lt;=4",INDIRECT($A$1&amp;"!$P$2:$P$999"),"&gt;=44.5",INDIRECT($A$1&amp;"!$P$2:$P$999"),"&lt;=48.5")</f>
        <v>3.2916666666666665</v>
      </c>
      <c r="E30">
        <f ca="1">COUNTIFS(INDIRECT($A$1&amp;"!$Q$2:$Q$999"),"&lt;=4",INDIRECT($A$1&amp;"!$P$2:$P$999"),"&gt;=44.5",INDIRECT($A$1&amp;"!$P$2:$P$999"),"&lt;=48.5")</f>
        <v>12</v>
      </c>
      <c r="F30" s="1">
        <f ca="1">AVERAGEIFS(INDIRECT($A$1&amp;"!$S$2:$S$999"),INDIRECT($A$1&amp;"!$Q$2:$Q$999"),"&gt;=4.1",INDIRECT($A$1&amp;"!$Q$2:$Q$999"),"&lt;=5",INDIRECT($A$1&amp;"!$P$2:$P$999"),"&gt;=44.5",INDIRECT($A$1&amp;"!$P$2:$P$999"),"&lt;=48.5")</f>
        <v>2.5843478260869572</v>
      </c>
      <c r="G30">
        <f ca="1">COUNTIFS(INDIRECT($A$1&amp;"!$Q$2:$Q$999"),"&gt;=4.1",INDIRECT($A$1&amp;"!$Q$2:$Q$999"),"&lt;=5",INDIRECT($A$1&amp;"!$P$2:$P$999"),"&gt;=44.5",INDIRECT($A$1&amp;"!$P$2:$P$999"),"&lt;=48.5")</f>
        <v>5</v>
      </c>
      <c r="H30" s="1">
        <f ca="1">AVERAGEIFS(INDIRECT($A$1&amp;"!$S$2:$S$999"),INDIRECT($A$1&amp;"!$Q$2:$Q$999"),"&gt;=5.1",INDIRECT($A$1&amp;"!$Q$2:$Q$999"),"&lt;=6.2",INDIRECT($A$1&amp;"!$P$2:$P$999"),"&gt;=44.5",INDIRECT($A$1&amp;"!$P$2:$P$999"),"&lt;=48.5")</f>
        <v>2.5166666666666666</v>
      </c>
      <c r="I30">
        <f ca="1">COUNTIFS(INDIRECT($A$1&amp;"!$Q$2:$Q$999"),"&gt;=5.1",INDIRECT($A$1&amp;"!$Q$2:$Q$999"),"&lt;=6.2",INDIRECT($A$1&amp;"!$P$2:$P$999"),"&gt;=44.5",INDIRECT($A$1&amp;"!$P$2:$P$999"),"&lt;=48.5")</f>
        <v>6</v>
      </c>
      <c r="J30" s="1">
        <f ca="1">AVERAGEIFS(INDIRECT($A$1&amp;"!$S$2:$S$999"),INDIRECT($A$1&amp;"!$Q$2:$Q$999"),"&gt;=6.3",INDIRECT($A$1&amp;"!$P$2:$P$999"),"&gt;=44.5",INDIRECT($A$1&amp;"!$P$2:$P$999"),"&lt;=48.5")</f>
        <v>2.2999999999999998</v>
      </c>
      <c r="K30">
        <f ca="1">COUNTIFS(INDIRECT($A$1&amp;"!$Q$2:$Q$999"),"&gt;=6.3",INDIRECT($A$1&amp;"!$P$2:$P$999"),"&gt;=44.5",INDIRECT($A$1&amp;"!$P$2:$P$999"),"&lt;=48.5")</f>
        <v>1</v>
      </c>
    </row>
    <row r="31" spans="1:11" x14ac:dyDescent="0.2">
      <c r="A31" s="8" t="s">
        <v>221</v>
      </c>
      <c r="B31" s="9">
        <f ca="1">AVERAGEIFS(INDIRECT($A$1&amp;"!$S$2:$S$999"),INDIRECT($A$1&amp;"!$F$2:$F$999"),"UP",INDIRECT($A$1&amp;"!$J$2:$J$999"),"YES")</f>
        <v>2.9</v>
      </c>
      <c r="C31" s="8">
        <f ca="1">COUNTIFS(INDIRECT($A$1&amp;"!$F$2:$F$999"),"UP",INDIRECT($A$1&amp;"!$J$2:$J$999"),"YES")</f>
        <v>1</v>
      </c>
      <c r="D31" s="9">
        <f ca="1">AVERAGEIFS(INDIRECT($A$1&amp;"!$S$2:$S$999"),INDIRECT($A$1&amp;"!$Q$2:$Q$999"),"&lt;=4",INDIRECT($A$1&amp;"!$F$2:$F$999"),"UP",INDIRECT($A$1&amp;"!$J$2:$J$999"),"YES")</f>
        <v>2.9</v>
      </c>
      <c r="E31" s="8">
        <f ca="1">COUNTIFS(INDIRECT($A$1&amp;"!$Q$2:$Q$999"),"&lt;=4",INDIRECT($A$1&amp;"!$F$2:$F$999"),"UP",INDIRECT($A$1&amp;"!$J$2:$J$999"),"YES")</f>
        <v>1</v>
      </c>
      <c r="F31" s="9" t="e">
        <f ca="1">AVERAGEIFS(INDIRECT($A$1&amp;"!$S$2:$S$999"),INDIRECT($A$1&amp;"!$Q$2:$Q$999"),"&gt;=4.1",INDIRECT($A$1&amp;"!$Q$2:$Q$999"),"&lt;=5",INDIRECT($A$1&amp;"!$F$2:$F$999"),"UP",INDIRECT($A$1&amp;"!$J$2:$J$999"),"YES")</f>
        <v>#DIV/0!</v>
      </c>
      <c r="G31" s="8">
        <f ca="1">COUNTIFS(INDIRECT($A$1&amp;"!$Q$2:$Q$999"),"&gt;=4.1",INDIRECT($A$1&amp;"!$Q$2:$Q$999"),"&lt;=5",INDIRECT($A$1&amp;"!$F$2:$F$999"),"UP",INDIRECT($A$1&amp;"!$J$2:$J$999"),"YES")</f>
        <v>0</v>
      </c>
      <c r="H31" s="9" t="e">
        <f ca="1">AVERAGEIFS(INDIRECT($A$1&amp;"!$S$2:$S$999"),INDIRECT($A$1&amp;"!$Q$2:$Q$999"),"&gt;=5.1",INDIRECT($A$1&amp;"!$Q$2:$Q$999"),"&lt;=6.2",INDIRECT($A$1&amp;"!$F$2:$F$999"),"UP",INDIRECT($A$1&amp;"!$J$2:$J$999"),"YES")</f>
        <v>#DIV/0!</v>
      </c>
      <c r="I31" s="8">
        <f ca="1">COUNTIFS(INDIRECT($A$1&amp;"!$Q$2:$Q$999"),"&gt;=5.1",INDIRECT($A$1&amp;"!$Q$2:$Q$999"),"&lt;=6.2",INDIRECT($A$1&amp;"!$F$2:$F$999"),"UP",INDIRECT($A$1&amp;"!$J$2:$J$999"),"YES")</f>
        <v>0</v>
      </c>
      <c r="J31" s="9" t="e">
        <f ca="1">AVERAGEIFS(INDIRECT($A$1&amp;"!$S$2:$S$999"),INDIRECT($A$1&amp;"!$Q$2:$Q$999"),"&gt;=6.3",INDIRECT($A$1&amp;"!$F$2:$F$999"),"UP",INDIRECT($A$1&amp;"!$J$2:$J$999"),"YES")</f>
        <v>#DIV/0!</v>
      </c>
      <c r="K31" s="8">
        <f ca="1">COUNTIFS(INDIRECT($A$1&amp;"!$Q$2:$Q$999"),"&gt;=6.3",INDIRECT($A$1&amp;"!$F$2:$F$999"),"UP",INDIRECT($A$1&amp;"!$J$2:$J$999"),"YES")</f>
        <v>0</v>
      </c>
    </row>
    <row r="32" spans="1:11" x14ac:dyDescent="0.2">
      <c r="A32" s="9" t="s">
        <v>223</v>
      </c>
      <c r="B32" s="9">
        <f ca="1">AVERAGEIFS(INDIRECT($A$1&amp;"!$S$2:$S$999"),INDIRECT($A$1&amp;"!$D$2:$D$999"),"YES",INDIRECT($A$1&amp;"!$F$2:$F$999"),"UP",INDIRECT($A$1&amp;"!$J$2:$J$999"),"YES")</f>
        <v>2.9</v>
      </c>
      <c r="C32">
        <f ca="1">COUNTIFS(INDIRECT($A$1&amp;"!$D$2:$D$999"),"YES",INDIRECT($A$1&amp;"!$F$2:$F$999"),"UP",INDIRECT($A$1&amp;"!$J$2:$J$999"),"YES")</f>
        <v>1</v>
      </c>
      <c r="D32" s="9">
        <f ca="1">AVERAGEIFS(INDIRECT($A$1&amp;"!$S$2:$S$999"),INDIRECT($A$1&amp;"!$Q$2:$Q$999"),"&lt;=4",INDIRECT($A$1&amp;"!$D$2:$D$999"),"YES",INDIRECT($A$1&amp;"!$F$2:$F$999"),"UP",INDIRECT($A$1&amp;"!$J$2:$J$999"),"YES")</f>
        <v>2.9</v>
      </c>
      <c r="E32">
        <f ca="1">COUNTIFS(INDIRECT($A$1&amp;"!$Q$2:$Q$999"),"&lt;=4",INDIRECT($A$1&amp;"!$D$2:$D$999"),"YES",INDIRECT($A$1&amp;"!$F$2:$F$999"),"UP",INDIRECT($A$1&amp;"!$J$2:$J$999"),"YES")</f>
        <v>1</v>
      </c>
      <c r="F32" s="9" t="e">
        <f ca="1">AVERAGEIFS(INDIRECT($A$1&amp;"!$S$2:$S$999"),INDIRECT($A$1&amp;"!$Q$2:$Q$999"),"&gt;=4.1",INDIRECT($A$1&amp;"!$Q$2:$Q$999"),"&lt;=5",INDIRECT($A$1&amp;"!$D$2:$D$999"),"YES",INDIRECT($A$1&amp;"!$F$2:$F$999"),"UP",INDIRECT($A$1&amp;"!$J$2:$J$999"),"YES")</f>
        <v>#DIV/0!</v>
      </c>
      <c r="G32">
        <f ca="1">COUNTIFS(INDIRECT($A$1&amp;"!$Q$2:$Q$999"),"&gt;=4.1",INDIRECT($A$1&amp;"!$Q$2:$Q$999"),"&lt;=5",INDIRECT($A$1&amp;"!$D$2:$D$999"),"YES",INDIRECT($A$1&amp;"!$F$2:$F$999"),"UP",INDIRECT($A$1&amp;"!$J$2:$J$999"),"YES")</f>
        <v>0</v>
      </c>
      <c r="H32" s="9" t="e">
        <f ca="1">AVERAGEIFS(INDIRECT($A$1&amp;"!$S$2:$S$999"),INDIRECT($A$1&amp;"!$Q$2:$Q$999"),"&gt;=5.1",INDIRECT($A$1&amp;"!$Q$2:$Q$999"),"&lt;=6.2",INDIRECT($A$1&amp;"!$D$2:$D$999"),"YES",INDIRECT($A$1&amp;"!$F$2:$F$999"),"UP",INDIRECT($A$1&amp;"!$J$2:$J$999"),"YES")</f>
        <v>#DIV/0!</v>
      </c>
      <c r="I32">
        <f ca="1">COUNTIFS(INDIRECT($A$1&amp;"!$Q$2:$Q$999"),"&gt;=5.1",INDIRECT($A$1&amp;"!$Q$2:$Q$999"),"&lt;=6.2",INDIRECT($A$1&amp;"!$D$2:$D$999"),"YES",INDIRECT($A$1&amp;"!$F$2:$F$999"),"UP",INDIRECT($A$1&amp;"!$J$2:$J$999"),"YES")</f>
        <v>0</v>
      </c>
      <c r="J32" s="9" t="e">
        <f ca="1">AVERAGEIFS(INDIRECT($A$1&amp;"!$S$2:$S$999"),INDIRECT($A$1&amp;"!$Q$2:$Q$999"),"&gt;=6.3",INDIRECT($A$1&amp;"!$D$2:$D$999"),"YES",INDIRECT($A$1&amp;"!$F$2:$F$999"),"UP",INDIRECT($A$1&amp;"!$J$2:$J$999"),"YES")</f>
        <v>#DIV/0!</v>
      </c>
      <c r="K32">
        <f ca="1">COUNTIFS(INDIRECT($A$1&amp;"!$Q$2:$Q$999"),"&gt;=6.3",INDIRECT($A$1&amp;"!$D$2:$D$999"),"YES",INDIRECT($A$1&amp;"!$F$2:$F$999"),"UP",INDIRECT($A$1&amp;"!$J$2:$J$999"),"YES")</f>
        <v>0</v>
      </c>
    </row>
    <row r="33" spans="1:11" x14ac:dyDescent="0.2">
      <c r="A33" s="1" t="s">
        <v>30</v>
      </c>
      <c r="B33" s="1">
        <f ca="1">AVERAGEIF(INDIRECT($A$1&amp;"!$O$2:$O$999"),"&gt;=5",INDIRECT($A$1&amp;"!$S$2:$S$999"))</f>
        <v>2.8187499999999996</v>
      </c>
      <c r="C33">
        <f ca="1">COUNTIF(INDIRECT($A$1&amp;"!$O$2:$O$999"),"&gt;=5")</f>
        <v>163</v>
      </c>
      <c r="D33" s="1">
        <f ca="1">AVERAGEIFS(INDIRECT($A$1&amp;"!$S$2:$S$999"),INDIRECT($A$1&amp;"!$O$2:$O$999"),"&gt;=5",INDIRECT($A$1&amp;"!$Q$2:$Q$999"),"&lt;=4")</f>
        <v>2.76</v>
      </c>
      <c r="E33">
        <f ca="1">COUNTIFS(INDIRECT($A$1&amp;"!$O$2:$O$999"),"&gt;=5",INDIRECT($A$1&amp;"!$Q$2:$Q$999"),"&lt;=4")</f>
        <v>10</v>
      </c>
      <c r="F33" s="1">
        <f ca="1">AVERAGEIFS(INDIRECT($A$1&amp;"!$S$2:$S$999"),INDIRECT($A$1&amp;"!$O$2:$O$999"),"&gt;=5",INDIRECT($A$1&amp;"!$Q$2:$Q$999"),"&gt;=4.1",INDIRECT($A$1&amp;"!$Q$2:$Q$999"),"&lt;=5")</f>
        <v>3</v>
      </c>
      <c r="G33">
        <f ca="1">COUNTIFS(INDIRECT($A$1&amp;"!$O$2:$O$999"),"&gt;=5",INDIRECT($A$1&amp;"!$Q$2:$Q$999"),"&gt;=4.1",INDIRECT($A$1&amp;"!$Q$2:$Q$999"),"&lt;=5")</f>
        <v>3</v>
      </c>
      <c r="H33" s="1">
        <f ca="1">AVERAGEIFS(INDIRECT($A$1&amp;"!$S$2:$S$999"),INDIRECT($A$1&amp;"!$O$2:$O$999"),"&gt;=5",INDIRECT($A$1&amp;"!$Q$2:$Q$999"),"&gt;=5.1",INDIRECT($A$1&amp;"!$Q$2:$Q$999"),"&lt;=6.2")</f>
        <v>3.1</v>
      </c>
      <c r="I33">
        <f ca="1">COUNTIFS(INDIRECT($A$1&amp;"!$O$2:$O$999"),"&gt;=5",INDIRECT($A$1&amp;"!$Q$2:$Q$999"),"&gt;=5.1",INDIRECT($A$1&amp;"!$Q$2:$Q$999"),"&lt;=6.2")</f>
        <v>2</v>
      </c>
      <c r="J33" s="1">
        <f ca="1">AVERAGEIFS(INDIRECT($A$1&amp;"!$S$2:$S$999"),INDIRECT($A$1&amp;"!$O$2:$O$999"),"&gt;=5",INDIRECT($A$1&amp;"!$Q$2:$Q$999"),"&gt;=6.3")</f>
        <v>2.2999999999999998</v>
      </c>
      <c r="K33">
        <f ca="1">COUNTIFS(INDIRECT($A$1&amp;"!$O$2:$O$999"),"&gt;=5",INDIRECT($A$1&amp;"!$Q$2:$Q$999"),"&gt;=6.3")</f>
        <v>1</v>
      </c>
    </row>
    <row r="34" spans="1:11" x14ac:dyDescent="0.2">
      <c r="A34" t="s">
        <v>29</v>
      </c>
      <c r="B34" s="1">
        <f ca="1">AVERAGE((INDIRECT($A$1&amp;"!$s$2:$s$999")))</f>
        <v>2.7929606625258807</v>
      </c>
      <c r="C34">
        <f ca="1">COUNT(INDIRECT($A$1&amp;"!$s$2:$s$999"))</f>
        <v>49</v>
      </c>
      <c r="D34" s="1">
        <f ca="1">AVERAGEIFS(INDIRECT($A$1&amp;"!$s$2:$s$999"),INDIRECT($A$1&amp;"!q$2:$q$999"),"&lt;=4")</f>
        <v>2.8919999999999999</v>
      </c>
      <c r="E34">
        <f ca="1">COUNTIF(INDIRECT($A$1&amp;"!$q$2:$q$999"),"&lt;=4")</f>
        <v>25</v>
      </c>
      <c r="F34" s="1">
        <f ca="1">AVERAGEIFS(INDIRECT($A$1&amp;"!$S$2:$S$999"),INDIRECT($A$1&amp;"!$Q$2:$Q$999"),"&gt;=4.1",INDIRECT($A$1&amp;"!$Q$2:$Q$999"),"&lt;=5")</f>
        <v>2.7152173913043476</v>
      </c>
      <c r="G34">
        <f ca="1">COUNTIFS(INDIRECT($A$1&amp;"!$Q$2:$Q$999"),"&gt;=4.1",INDIRECT($A$1&amp;"!$Q$2:$Q$999"),"&lt;=5")</f>
        <v>8</v>
      </c>
      <c r="H34" s="1">
        <f ca="1">AVERAGEIFS(INDIRECT($A$1&amp;"!$S$2:$S$999"),INDIRECT($A$1&amp;"!$Q$2:$Q$999"),"&gt;=5.1",INDIRECT($A$1&amp;"!$Q$2:$Q$999"),"&lt;=6.2")</f>
        <v>2.812121212121212</v>
      </c>
      <c r="I34">
        <f ca="1">COUNTIFS(INDIRECT($A$1&amp;"!$Q$2:$Q$999"),"&gt;=5.1",INDIRECT($A$1&amp;"!$Q$2:$Q$999"),"&lt;=6.2")</f>
        <v>11</v>
      </c>
      <c r="J34" s="1">
        <f ca="1">AVERAGEIFS(INDIRECT($A$1&amp;"!$S$2:$S$999"),INDIRECT($A$1&amp;"!$Q$2:$Q$999"),"&gt;=6.3")</f>
        <v>2.3800000000000003</v>
      </c>
      <c r="K34">
        <f ca="1">COUNTIF(INDIRECT($A$1&amp;"!$Q$2:$Q$999"),"&gt;=6.3")</f>
        <v>5</v>
      </c>
    </row>
    <row r="35" spans="1:11" x14ac:dyDescent="0.2">
      <c r="A35" t="s">
        <v>40</v>
      </c>
      <c r="B35" s="1">
        <f ca="1">AVERAGEIF(INDIRECT($A$1&amp;"!$P$2:$P$999"),"&lt;=44",INDIRECT($A$1&amp;"!$S$2:$S$999"))</f>
        <v>2.7796296296296297</v>
      </c>
      <c r="C35">
        <f ca="1">COUNTIF(INDIRECT($A$1&amp;"!$P$2:$P$999"),"&lt;=44")</f>
        <v>265</v>
      </c>
      <c r="D35" s="1">
        <f ca="1">AVERAGEIFS(INDIRECT($A$1&amp;"!$S$2:$S$999"),INDIRECT($A$1&amp;"!$Q$2:$Q$999"),"&lt;=4",INDIRECT($A$1&amp;"!$P$2:$P$999"),"&lt;=44")</f>
        <v>2.523076923076923</v>
      </c>
      <c r="E35">
        <f ca="1">COUNTIFS(INDIRECT($A$1&amp;"!$Q$2:$Q$999"),"&lt;=4",INDIRECT($A$1&amp;"!$P$2:$P$999"),"&lt;=44")</f>
        <v>13</v>
      </c>
      <c r="F35" s="1">
        <f ca="1">AVERAGEIFS(INDIRECT($A$1&amp;"!$S$2:$S$999"),INDIRECT($A$1&amp;"!$Q$2:$Q$999"),"&gt;=4.1",INDIRECT($A$1&amp;"!$Q$2:$Q$999"),"&lt;=5",INDIRECT($A$1&amp;"!$P$2:$P$999"),"&lt;=44")</f>
        <v>3.8</v>
      </c>
      <c r="G35">
        <f ca="1">COUNTIFS(INDIRECT($A$1&amp;"!$Q$2:$Q$999"),"&gt;=4.1",INDIRECT($A$1&amp;"!$Q$2:$Q$999"),"&lt;=5",INDIRECT($A$1&amp;"!$P$2:$P$999"),"&lt;=44")</f>
        <v>2</v>
      </c>
      <c r="H35" s="1">
        <f ca="1">AVERAGEIFS(INDIRECT($A$1&amp;"!$S$2:$S$999"),INDIRECT($A$1&amp;"!$Q$2:$Q$999"),"&gt;=5.1",INDIRECT($A$1&amp;"!$Q$2:$Q$999"),"&lt;=6.2",INDIRECT($A$1&amp;"!$P$2:$P$999"),"&lt;=44")</f>
        <v>3.2111111111111108</v>
      </c>
      <c r="I35">
        <f ca="1">COUNTIFS(INDIRECT($A$1&amp;"!$Q$2:$Q$999"),"&gt;=5.1",INDIRECT($A$1&amp;"!$Q$2:$Q$999"),"&lt;=6.2",INDIRECT($A$1&amp;"!$P$2:$P$999"),"&lt;=44")</f>
        <v>3</v>
      </c>
      <c r="J35" s="1" t="e">
        <f ca="1">AVERAGEIFS(INDIRECT($A$1&amp;"!$S$2:$S$999"),INDIRECT($A$1&amp;"!$Q$2:$Q$999"),"&gt;=6.3",INDIRECT($A$1&amp;"!$P$2:$P$999"),"&lt;=44")</f>
        <v>#DIV/0!</v>
      </c>
      <c r="K35">
        <f ca="1">COUNTIFS(INDIRECT($A$1&amp;"!$Q$2:$Q$999"),"&gt;=6.3",INDIRECT($A$1&amp;"!$P$2:$P$999"),"&lt;=44")</f>
        <v>0</v>
      </c>
    </row>
    <row r="36" spans="1:11" x14ac:dyDescent="0.2">
      <c r="A36" s="9" t="s">
        <v>215</v>
      </c>
      <c r="B36" s="9">
        <f ca="1">AVERAGEIFS(INDIRECT($A$1&amp;"!$S$2:$S$999"),INDIRECT($A$1&amp;"!$D$2:$D$999"),"YES",INDIRECT($A$1&amp;"!$J$2:$J$999"),"YES")</f>
        <v>2.65</v>
      </c>
      <c r="C36">
        <f ca="1">COUNTIFS(INDIRECT($A$1&amp;"!$D$2:$D$999"),"YES",INDIRECT($A$1&amp;"!$J$2:$J$999"),"YES")</f>
        <v>2</v>
      </c>
      <c r="D36" s="9">
        <f ca="1">AVERAGEIFS(INDIRECT($A$1&amp;"!$S$2:$S$999"),INDIRECT($A$1&amp;"!$Q$2:$Q$999"),"&lt;=4",INDIRECT($A$1&amp;"!$D$2:$D$999"),"YES",INDIRECT($A$1&amp;"!$J$2:$J$999"),"YES")</f>
        <v>2.9</v>
      </c>
      <c r="E36">
        <f ca="1">COUNTIFS(INDIRECT($A$1&amp;"!$Q$2:$Q$999"),"&lt;=4",INDIRECT($A$1&amp;"!$D$2:$D$999"),"YES",INDIRECT($A$1&amp;"!$J$2:$J$999"),"YES")</f>
        <v>1</v>
      </c>
      <c r="F36" s="9" t="e">
        <f ca="1">AVERAGEIFS(INDIRECT($A$1&amp;"!$S$2:$S$999"),INDIRECT($A$1&amp;"!$Q$2:$Q$999"),"&gt;=4.1",INDIRECT($A$1&amp;"!$Q$2:$Q$999"),"&lt;=5",INDIRECT($A$1&amp;"!$D$2:$D$999"),"YES",INDIRECT($A$1&amp;"!$J$2:$J$999"),"YES")</f>
        <v>#DIV/0!</v>
      </c>
      <c r="G36">
        <f ca="1">COUNTIFS(INDIRECT($A$1&amp;"!$Q$2:$Q$999"),"&gt;=4.1",INDIRECT($A$1&amp;"!$Q$2:$Q$999"),"&lt;=5",INDIRECT($A$1&amp;"!$D$2:$D$999"),"YES",INDIRECT($A$1&amp;"!$J$2:$J$999"),"YES")</f>
        <v>0</v>
      </c>
      <c r="H36" s="9">
        <f ca="1">AVERAGEIFS(INDIRECT($A$1&amp;"!$S$2:$S$999"),INDIRECT($A$1&amp;"!$Q$2:$Q$999"),"&gt;=5.1",INDIRECT($A$1&amp;"!$Q$2:$Q$999"),"&lt;=6.2",INDIRECT($A$1&amp;"!$D$2:$D$999"),"YES",INDIRECT($A$1&amp;"!$J$2:$J$999"),"YES")</f>
        <v>2.4</v>
      </c>
      <c r="I36">
        <f ca="1">COUNTIFS(INDIRECT($A$1&amp;"!$Q$2:$Q$999"),"&gt;=5.1",INDIRECT($A$1&amp;"!$Q$2:$Q$999"),"&lt;=6.2",INDIRECT($A$1&amp;"!$D$2:$D$999"),"YES",INDIRECT($A$1&amp;"!$J$2:$J$999"),"YES")</f>
        <v>1</v>
      </c>
      <c r="J36" s="9" t="e">
        <f ca="1">AVERAGEIFS(INDIRECT($A$1&amp;"!$S$2:$S$999"),INDIRECT($A$1&amp;"!$Q$2:$Q$999"),"&gt;=6.3",INDIRECT($A$1&amp;"!$D$2:$D$999"),"YES",INDIRECT($A$1&amp;"!$J$2:$J$999"),"YES")</f>
        <v>#DIV/0!</v>
      </c>
      <c r="K36">
        <f ca="1">COUNTIFS(INDIRECT($A$1&amp;"!$Q$2:$Q$999"),"&gt;=6.3",INDIRECT($A$1&amp;"!$D$2:$D$999"),"YES",INDIRECT($A$1&amp;"!$J$2:$J$999"),"YES")</f>
        <v>0</v>
      </c>
    </row>
    <row r="37" spans="1:11" x14ac:dyDescent="0.2">
      <c r="A37" s="9" t="s">
        <v>218</v>
      </c>
      <c r="B37" s="9">
        <f ca="1">AVERAGEIFS(INDIRECT($A$1&amp;"!$S$2:$S$999"),INDIRECT($A$1&amp;"!$D$2:$D$999"),"YES",INDIRECT($A$1&amp;"!$J$2:$J$999"),"YES")</f>
        <v>2.65</v>
      </c>
      <c r="C37">
        <f ca="1">COUNTIFS(INDIRECT($A$1&amp;"!$D$2:$D$999"),"YES",INDIRECT($A$1&amp;"!$C$2:$C$999"),"&gt;=0.01",INDIRECT($A$1&amp;"!$J$2:$J$999"),"YES")</f>
        <v>1</v>
      </c>
      <c r="D37" s="9" t="e">
        <f ca="1">AVERAGEIFS(INDIRECT($A$1&amp;"!$S$2:$S$999"),INDIRECT($A$1&amp;"!$Q$2:$Q$999"),"&lt;=4",INDIRECT($A$1&amp;"!$D$2:$D$999"),"YES",INDIRECT($A$1&amp;"!$C$2:$C$999"),"&gt;=0.01",INDIRECT($A$1&amp;"!$J$2:$J$999"),"YES")</f>
        <v>#DIV/0!</v>
      </c>
      <c r="E37">
        <f ca="1">COUNTIFS(INDIRECT($A$1&amp;"!$Q$2:$Q$999"),"&lt;=4",INDIRECT($A$1&amp;"!$D$2:$D$999"),"YES",INDIRECT($A$1&amp;"!$C$2:$C$999"),"&gt;=0.01",INDIRECT($A$1&amp;"!$J$2:$J$999"),"YES")</f>
        <v>0</v>
      </c>
      <c r="F37" s="9" t="e">
        <f ca="1">AVERAGEIFS(INDIRECT($A$1&amp;"!$S$2:$S$999"),INDIRECT($A$1&amp;"!$Q$2:$Q$999"),"&gt;=4.1",INDIRECT($A$1&amp;"!$Q$2:$Q$999"),"&lt;=5",INDIRECT($A$1&amp;"!$D$2:$D$999"),"YES",INDIRECT($A$1&amp;"!$C$2:$C$999"),"&gt;=0.01",INDIRECT($A$1&amp;"!$J$2:$J$999"),"YES")</f>
        <v>#DIV/0!</v>
      </c>
      <c r="G37">
        <f ca="1">COUNTIFS(INDIRECT($A$1&amp;"!$Q$2:$Q$999"),"&gt;=4.1",INDIRECT($A$1&amp;"!$Q$2:$Q$999"),"&lt;=5",INDIRECT($A$1&amp;"!$D$2:$D$999"),"YES",INDIRECT($A$1&amp;"!$C$2:$C$999"),"&gt;=0.01",INDIRECT($A$1&amp;"!$J$2:$J$999"),"YES")</f>
        <v>0</v>
      </c>
      <c r="H37" s="9">
        <f ca="1">AVERAGEIFS(INDIRECT($A$1&amp;"!$S$2:$S$999"),INDIRECT($A$1&amp;"!$Q$2:$Q$999"),"&gt;=5.1",INDIRECT($A$1&amp;"!$Q$2:$Q$999"),"&lt;=6.2",INDIRECT($A$1&amp;"!$D$2:$D$999"),"YES",INDIRECT($A$1&amp;"!$C$2:$C$999"),"&gt;=0.01",INDIRECT($A$1&amp;"!$J$2:$J$999"),"YES")</f>
        <v>2.4</v>
      </c>
      <c r="I37">
        <f ca="1">COUNTIFS(INDIRECT($A$1&amp;"!$Q$2:$Q$999"),"&gt;=5.1",INDIRECT($A$1&amp;"!$Q$2:$Q$999"),"&lt;=6.2",INDIRECT($A$1&amp;"!$D$2:$D$999"),"YES",INDIRECT($A$1&amp;"!$C$2:$C$999"),"&gt;=0.01",INDIRECT($A$1&amp;"!$J$2:$J$999"),"YES")</f>
        <v>1</v>
      </c>
      <c r="J37" s="9" t="e">
        <f ca="1">AVERAGEIFS(INDIRECT($A$1&amp;"!$S$2:$S$999"),INDIRECT($A$1&amp;"!$Q$2:$Q$999"),"&gt;=6.3",INDIRECT($A$1&amp;"!$D$2:$D$999"),"YES",INDIRECT($A$1&amp;"!$C$2:$C$999"),"&gt;=0.01",INDIRECT($A$1&amp;"!$J$2:$J$999"),"YES")</f>
        <v>#DIV/0!</v>
      </c>
      <c r="K37">
        <f ca="1">COUNTIFS(INDIRECT($A$1&amp;"!$Q$2:$Q$999"),"&gt;=6.3",INDIRECT($A$1&amp;"!$D$2:$D$999"),"YES",INDIRECT($A$1&amp;"!$C$2:$C$999"),"&gt;=0.01",INDIRECT($A$1&amp;"!$J$2:$J$999"),"YES")</f>
        <v>0</v>
      </c>
    </row>
    <row r="38" spans="1:11" x14ac:dyDescent="0.2">
      <c r="A38" s="8" t="s">
        <v>113</v>
      </c>
      <c r="B38" s="9">
        <f ca="1">AVERAGEIFS(INDIRECT($A$1&amp;"!$S$2:$S$999"),INDIRECT($A$1&amp;"!$E$2:$E$999"),"YES",INDIRECT($A$1&amp;"!$F$2:$F$999"),"UP")</f>
        <v>2.6</v>
      </c>
      <c r="C38">
        <f ca="1">COUNTIFS(INDIRECT($A$1&amp;"!$E$2:$E$999"),"YES",INDIRECT($A$1&amp;"!$F$2:$F$999"),"UP")</f>
        <v>24</v>
      </c>
      <c r="D38" s="9" t="e">
        <f ca="1">AVERAGEIFS(INDIRECT($A$1&amp;"!$S$2:$S$999"),INDIRECT($A$1&amp;"!$Q$2:$Q$999"),"&lt;=4",INDIRECT($A$1&amp;"!$E$2:$E$999"),"YES",INDIRECT($A$1&amp;"!$F$2:$F$999"),"UP")</f>
        <v>#DIV/0!</v>
      </c>
      <c r="E38">
        <f ca="1">COUNTIFS(INDIRECT($A$1&amp;"!$Q$2:$Q$999"),"&lt;=4",INDIRECT($A$1&amp;"!$E$2:$E$999"),"YES",INDIRECT($A$1&amp;"!$F$2:$F$999"),"UP")</f>
        <v>0</v>
      </c>
      <c r="F38" s="9" t="e">
        <f ca="1">AVERAGEIFS(INDIRECT($A$1&amp;"!$S$2:$S$999"),INDIRECT($A$1&amp;"!$Q$2:$Q$999"),"&gt;=4.1",INDIRECT($A$1&amp;"!$Q$2:$Q$999"),"&lt;=5",INDIRECT($A$1&amp;"!$E$2:$E$999"),"YES",INDIRECT($A$1&amp;"!$F$2:$F$999"),"UP")</f>
        <v>#DIV/0!</v>
      </c>
      <c r="G38">
        <f ca="1">COUNTIFS(INDIRECT($A$1&amp;"!$Q$2:$Q$999"),"&gt;=4.1",INDIRECT($A$1&amp;"!$Q$2:$Q$999"),"&lt;=5",INDIRECT($A$1&amp;"!$E$2:$E$999"),"YES",INDIRECT($A$1&amp;"!$F$2:$F$999"),"UP")</f>
        <v>0</v>
      </c>
      <c r="H38" s="9">
        <f ca="1">AVERAGEIFS(INDIRECT($A$1&amp;"!$S$2:$S$999"),INDIRECT($A$1&amp;"!$Q$2:$Q$999"),"&gt;=5.1",INDIRECT($A$1&amp;"!$Q$2:$Q$999"),"&lt;=6.2",INDIRECT($A$1&amp;"!$E$2:$E$999"),"YES",INDIRECT($A$1&amp;"!$F$2:$F$999"),"UP")</f>
        <v>2.6</v>
      </c>
      <c r="I38">
        <f ca="1">COUNTIFS(INDIRECT($A$1&amp;"!$Q$2:$Q$999"),"&gt;=5.1",INDIRECT($A$1&amp;"!$Q$2:$Q$999"),"&lt;=6.2",INDIRECT($A$1&amp;"!$E$2:$E$999"),"YES",INDIRECT($A$1&amp;"!$F$2:$F$999"),"UP")</f>
        <v>1</v>
      </c>
      <c r="J38" s="9" t="e">
        <f ca="1">AVERAGEIFS(INDIRECT($A$1&amp;"!$S$2:$S$999"),INDIRECT($A$1&amp;"!$Q$2:$Q$999"),"&gt;=6.3",INDIRECT($A$1&amp;"!$E$2:$E$999"),"YES",INDIRECT($A$1&amp;"!$F$2:$F$999"),"UP")</f>
        <v>#DIV/0!</v>
      </c>
      <c r="K38">
        <f ca="1">COUNTIFS(INDIRECT($A$1&amp;"!$Q$2:$Q$999"),"&gt;=6.3",INDIRECT($A$1&amp;"!$E$2:$E$999"),"YES",INDIRECT($A$1&amp;"!$F$2:$F$999"),"UP")</f>
        <v>0</v>
      </c>
    </row>
    <row r="39" spans="1:11" x14ac:dyDescent="0.2">
      <c r="A39" s="8" t="s">
        <v>202</v>
      </c>
      <c r="B39" s="9">
        <f ca="1">AVERAGEIFS(INDIRECT($A$1&amp;"!$S$2:$S$999"),INDIRECT($A$1&amp;"!$E$2:$E$999"),"YES",INDIRECT($A$1&amp;"!$i$2:$i$999"),"YES")</f>
        <v>2.6</v>
      </c>
      <c r="C39">
        <f ca="1">COUNTIFS(INDIRECT($A$1&amp;"!$E$2:$E$999"),"YES",INDIRECT($A$1&amp;"!$i$2:$i$999"),"YES")</f>
        <v>2</v>
      </c>
      <c r="D39" s="9" t="e">
        <f ca="1">AVERAGEIFS(INDIRECT($A$1&amp;"!$S$2:$S$999"),INDIRECT($A$1&amp;"!$Q$2:$Q$999"),"&lt;=4",INDIRECT($A$1&amp;"!$E$2:$E$999"),"YES",INDIRECT($A$1&amp;"!$i$2:$i$999"),"YES")</f>
        <v>#DIV/0!</v>
      </c>
      <c r="E39">
        <f ca="1">COUNTIFS(INDIRECT($A$1&amp;"!$Q$2:$Q$999"),"&lt;=4",INDIRECT($A$1&amp;"!$E$2:$E$999"),"YES",INDIRECT($A$1&amp;"!$i$2:$i$999"),"YES")</f>
        <v>0</v>
      </c>
      <c r="F39" s="9" t="e">
        <f ca="1">AVERAGEIFS(INDIRECT($A$1&amp;"!$S$2:$S$999"),INDIRECT($A$1&amp;"!$Q$2:$Q$999"),"&gt;=4.1",INDIRECT($A$1&amp;"!$Q$2:$Q$999"),"&lt;=5",INDIRECT($A$1&amp;"!$E$2:$E$999"),"YES",INDIRECT($A$1&amp;"!$i$2:$i$999"),"YES")</f>
        <v>#DIV/0!</v>
      </c>
      <c r="G39">
        <f ca="1">COUNTIFS(INDIRECT($A$1&amp;"!$Q$2:$Q$999"),"&gt;=4.1",INDIRECT($A$1&amp;"!$Q$2:$Q$999"),"&lt;=5",INDIRECT($A$1&amp;"!$E$2:$E$999"),"YES",INDIRECT($A$1&amp;"!$i$2:$i$999"),"YES")</f>
        <v>0</v>
      </c>
      <c r="H39" s="9" t="e">
        <f ca="1">AVERAGEIFS(INDIRECT($A$1&amp;"!$S$2:$S$999"),INDIRECT($A$1&amp;"!$Q$2:$Q$999"),"&gt;=5.1",INDIRECT($A$1&amp;"!$Q$2:$Q$999"),"&lt;=6.2",INDIRECT($A$1&amp;"!$E$2:$E$999"),"YES",INDIRECT($A$1&amp;"!$i$2:$i$999"),"YES")</f>
        <v>#DIV/0!</v>
      </c>
      <c r="I39">
        <f ca="1">COUNTIFS(INDIRECT($A$1&amp;"!$Q$2:$Q$999"),"&gt;=5.1",INDIRECT($A$1&amp;"!$Q$2:$Q$999"),"&lt;=6.2",INDIRECT($A$1&amp;"!$E$2:$E$999"),"YES",INDIRECT($A$1&amp;"!$i$2:$i$999"),"YES")</f>
        <v>0</v>
      </c>
      <c r="J39" s="9">
        <f ca="1">AVERAGEIFS(INDIRECT($A$1&amp;"!$S$2:$S$999"),INDIRECT($A$1&amp;"!$Q$2:$Q$999"),"&gt;=6.3",INDIRECT($A$1&amp;"!$E$2:$E$999"),"YES",INDIRECT($A$1&amp;"!$i$2:$i$999"),"YES")</f>
        <v>2.6</v>
      </c>
      <c r="K39">
        <f ca="1">COUNTIFS(INDIRECT($A$1&amp;"!$Q$2:$Q$999"),"&gt;=6.3",INDIRECT($A$1&amp;"!$E$2:$E$999"),"YES",INDIRECT($A$1&amp;"!$i$2:$i$999"),"YES")</f>
        <v>2</v>
      </c>
    </row>
    <row r="40" spans="1:11" x14ac:dyDescent="0.2">
      <c r="A40" s="8" t="s">
        <v>66</v>
      </c>
      <c r="B40" s="9">
        <f ca="1">AVERAGEIFS(INDIRECT($A$1&amp;"!$S$2:$S$999"),INDIRECT($A$1&amp;"!$E$2:$E$999"),"YES")</f>
        <v>2.6</v>
      </c>
      <c r="C40">
        <f ca="1">COUNTIF(INDIRECT($A$1&amp;"!$E$2:$E$999"),"YES")</f>
        <v>93</v>
      </c>
      <c r="D40" s="9" t="e">
        <f ca="1">AVERAGEIFS(INDIRECT($A$1&amp;"!$S$2:$S$999"),INDIRECT($A$1&amp;"!$Q$2:$Q$999"),"&lt;=4",INDIRECT($A$1&amp;"!$E$2:$E$999"),"YES")</f>
        <v>#DIV/0!</v>
      </c>
      <c r="E40">
        <f ca="1">COUNTIFS(INDIRECT($A$1&amp;"!$Q$2:$Q$999"),"&lt;=4",INDIRECT($A$1&amp;"!$E$2:$E$999"),"YES")</f>
        <v>0</v>
      </c>
      <c r="F40" s="9" t="e">
        <f ca="1">AVERAGEIFS(INDIRECT($A$1&amp;"!$S$2:$S$999"),INDIRECT($A$1&amp;"!$Q$2:$Q$999"),"&gt;=4.1",INDIRECT($A$1&amp;"!$Q$2:$Q$999"),"&lt;=5",INDIRECT($A$1&amp;"!$E$2:$E$999"),"YES")</f>
        <v>#DIV/0!</v>
      </c>
      <c r="G40">
        <f ca="1">COUNTIFS(INDIRECT($A$1&amp;"!$Q$2:$Q$999"),"&gt;=4.1",INDIRECT($A$1&amp;"!$Q$2:$Q$999"),"&lt;=5",INDIRECT($A$1&amp;"!$E$2:$E$999"),"YES")</f>
        <v>0</v>
      </c>
      <c r="H40" s="9">
        <f ca="1">AVERAGEIFS(INDIRECT($A$1&amp;"!$S$2:$S$999"),INDIRECT($A$1&amp;"!$Q$2:$Q$999"),"&gt;=5.1",INDIRECT($A$1&amp;"!$Q$2:$Q$999"),"&lt;=6.2",INDIRECT($A$1&amp;"!$E$2:$E$999"),"YES")</f>
        <v>2.5999999999999996</v>
      </c>
      <c r="I40">
        <f ca="1">COUNTIFS(INDIRECT($A$1&amp;"!$Q$2:$Q$999"),"&gt;=5.1",INDIRECT($A$1&amp;"!$Q$2:$Q$999"),"&lt;=6.2",INDIRECT($A$1&amp;"!$E$2:$E$999"),"YES")</f>
        <v>3</v>
      </c>
      <c r="J40" s="9">
        <f ca="1">AVERAGEIFS(INDIRECT($A$1&amp;"!$S$2:$S$999"),INDIRECT($A$1&amp;"!$Q$2:$Q$999"),"&gt;=6.3",INDIRECT($A$1&amp;"!$E$2:$E$999"),"YES")</f>
        <v>2.6</v>
      </c>
      <c r="K40">
        <f ca="1">COUNTIFS(INDIRECT($A$1&amp;"!$Q$2:$Q$999"),"&gt;=6.3",INDIRECT($A$1&amp;"!$E$2:$E$999"),"YES")</f>
        <v>2</v>
      </c>
    </row>
    <row r="41" spans="1:11" x14ac:dyDescent="0.2">
      <c r="A41" s="8" t="s">
        <v>195</v>
      </c>
      <c r="B41" s="9">
        <f ca="1">AVERAGEIFS(INDIRECT($A$1&amp;"!$S$2:$S$999"),INDIRECT($A$1&amp;"!$E$2:$E$999"),"YES",INDIRECT($A$1&amp;"!$C$2:$C$999"),"&gt;=0.01")</f>
        <v>2.5999999999999996</v>
      </c>
      <c r="C41">
        <f ca="1">COUNTIFS(INDIRECT($A$1&amp;"!$E$2:$E$999"),"YES",INDIRECT($A$1&amp;"!$C$2:$C$999"),"&gt;=0.01")</f>
        <v>3</v>
      </c>
      <c r="D41" s="9" t="e">
        <f ca="1">AVERAGEIFS(INDIRECT($A$1&amp;"!$S$2:$S$999"),INDIRECT($A$1&amp;"!$Q$2:$Q$999"),"&lt;=4",INDIRECT($A$1&amp;"!$E$2:$E$999"),"YES",INDIRECT($A$1&amp;"!$C$2:$C$999"),"&gt;=0.01")</f>
        <v>#DIV/0!</v>
      </c>
      <c r="E41">
        <f ca="1">COUNTIFS(INDIRECT($A$1&amp;"!$Q$2:$Q$999"),"&lt;=4",INDIRECT($A$1&amp;"!$E$2:$E$999"),"YES",INDIRECT($A$1&amp;"!$C$2:$C$999"),"&gt;=0.01")</f>
        <v>0</v>
      </c>
      <c r="F41" s="9" t="e">
        <f ca="1">AVERAGEIFS(INDIRECT($A$1&amp;"!$S$2:$S$999"),INDIRECT($A$1&amp;"!$Q$2:$Q$999"),"&gt;=4.1",INDIRECT($A$1&amp;"!$Q$2:$Q$999"),"&lt;=5",INDIRECT($A$1&amp;"!$E$2:$E$999"),"YES",INDIRECT($A$1&amp;"!$C$2:$C$999"),"&gt;=0.01")</f>
        <v>#DIV/0!</v>
      </c>
      <c r="G41">
        <f ca="1">COUNTIFS(INDIRECT($A$1&amp;"!$Q$2:$Q$999"),"&gt;=4.1",INDIRECT($A$1&amp;"!$Q$2:$Q$999"),"&lt;=5",INDIRECT($A$1&amp;"!$E$2:$E$999"),"YES",INDIRECT($A$1&amp;"!$C$2:$C$999"),"&gt;=0.01")</f>
        <v>0</v>
      </c>
      <c r="H41" s="9">
        <f ca="1">AVERAGEIFS(INDIRECT($A$1&amp;"!$S$2:$S$999"),INDIRECT($A$1&amp;"!$Q$2:$Q$999"),"&gt;=5.1",INDIRECT($A$1&amp;"!$Q$2:$Q$999"),"&lt;=6.2",INDIRECT($A$1&amp;"!$E$2:$E$999"),"YES",INDIRECT($A$1&amp;"!$C$2:$C$999"),"&gt;=0.01")</f>
        <v>2.5999999999999996</v>
      </c>
      <c r="I41">
        <f ca="1">COUNTIFS(INDIRECT($A$1&amp;"!$Q$2:$Q$999"),"&gt;=5.1",INDIRECT($A$1&amp;"!$Q$2:$Q$999"),"&lt;=6.2",INDIRECT($A$1&amp;"!$E$2:$E$999"),"YES",INDIRECT($A$1&amp;"!$C$2:$C$999"),"&gt;=0.01")</f>
        <v>3</v>
      </c>
      <c r="J41" s="9" t="e">
        <f ca="1">AVERAGEIFS(INDIRECT($A$1&amp;"!$S$2:$S$999"),INDIRECT($A$1&amp;"!$Q$2:$Q$999"),"&gt;=6.3",INDIRECT($A$1&amp;"!$E$2:$E$999"),"YES",INDIRECT($A$1&amp;"!$C$2:$C$999"),"&gt;=0.01")</f>
        <v>#DIV/0!</v>
      </c>
      <c r="K41">
        <f ca="1">COUNTIFS(INDIRECT($A$1&amp;"!$Q$2:$Q$999"),"&gt;=6.3",INDIRECT($A$1&amp;"!$E$2:$E$999"),"YES",INDIRECT($A$1&amp;"!$C$2:$C$999"),"&gt;=0.01")</f>
        <v>0</v>
      </c>
    </row>
    <row r="42" spans="1:11" x14ac:dyDescent="0.2">
      <c r="A42" s="8" t="s">
        <v>194</v>
      </c>
      <c r="B42" s="9">
        <f ca="1">AVERAGEIFS(INDIRECT($A$1&amp;"!$S$2:$S$999"),INDIRECT($A$1&amp;"!$E$2:$E$999"),"YES",INDIRECT($A$1&amp;"!$D$2:$D$999"),"YES")</f>
        <v>2.5999999999999996</v>
      </c>
      <c r="C42">
        <f ca="1">COUNTIFS(INDIRECT($A$1&amp;"!$E$2:$E$999"),"YES",INDIRECT($A$1&amp;"!$D$2:$D$999"),"YES")</f>
        <v>26</v>
      </c>
      <c r="D42" s="9" t="e">
        <f ca="1">AVERAGEIFS(INDIRECT($A$1&amp;"!$S$2:$S$999"),INDIRECT($A$1&amp;"!$Q$2:$Q$999"),"&lt;=4",INDIRECT($A$1&amp;"!$E$2:$E$999"),"YES",INDIRECT($A$1&amp;"!$D$2:$D$999"),"YES")</f>
        <v>#DIV/0!</v>
      </c>
      <c r="E42">
        <f ca="1">COUNTIFS(INDIRECT($A$1&amp;"!$Q$2:$Q$999"),"&lt;=4",INDIRECT($A$1&amp;"!$E$2:$E$999"),"YES",INDIRECT($A$1&amp;"!$D$2:$D$999"),"YES")</f>
        <v>0</v>
      </c>
      <c r="F42" s="9" t="e">
        <f ca="1">AVERAGEIFS(INDIRECT($A$1&amp;"!$S$2:$S$999"),INDIRECT($A$1&amp;"!$Q$2:$Q$999"),"&gt;=4.1",INDIRECT($A$1&amp;"!$Q$2:$Q$999"),"&lt;=5",INDIRECT($A$1&amp;"!$E$2:$E$999"),"YES",INDIRECT($A$1&amp;"!$D$2:$D$999"),"YES")</f>
        <v>#DIV/0!</v>
      </c>
      <c r="G42">
        <f ca="1">COUNTIFS(INDIRECT($A$1&amp;"!$Q$2:$Q$999"),"&gt;=4.1",INDIRECT($A$1&amp;"!$Q$2:$Q$999"),"&lt;=5",INDIRECT($A$1&amp;"!$E$2:$E$999"),"YES",INDIRECT($A$1&amp;"!$D$2:$D$999"),"YES")</f>
        <v>0</v>
      </c>
      <c r="H42" s="9">
        <f ca="1">AVERAGEIFS(INDIRECT($A$1&amp;"!$S$2:$S$999"),INDIRECT($A$1&amp;"!$Q$2:$Q$999"),"&gt;=5.1",INDIRECT($A$1&amp;"!$Q$2:$Q$999"),"&lt;=6.2",INDIRECT($A$1&amp;"!$E$2:$E$999"),"YES",INDIRECT($A$1&amp;"!$D$2:$D$999"),"YES")</f>
        <v>2.5999999999999996</v>
      </c>
      <c r="I42">
        <f ca="1">COUNTIFS(INDIRECT($A$1&amp;"!$Q$2:$Q$999"),"&gt;=5.1",INDIRECT($A$1&amp;"!$Q$2:$Q$999"),"&lt;=6.2",INDIRECT($A$1&amp;"!$E$2:$E$999"),"YES",INDIRECT($A$1&amp;"!$D$2:$D$999"),"YES")</f>
        <v>2</v>
      </c>
      <c r="J42" s="9" t="e">
        <f ca="1">AVERAGEIFS(INDIRECT($A$1&amp;"!$S$2:$S$999"),INDIRECT($A$1&amp;"!$Q$2:$Q$999"),"&gt;=6.3",INDIRECT($A$1&amp;"!$E$2:$E$999"),"YES",INDIRECT($A$1&amp;"!$D$2:$D$999"),"YES")</f>
        <v>#DIV/0!</v>
      </c>
      <c r="K42">
        <f ca="1">COUNTIFS(INDIRECT($A$1&amp;"!$Q$2:$Q$999"),"&gt;=6.3",INDIRECT($A$1&amp;"!$E$2:$E$999"),"YES",INDIRECT($A$1&amp;"!$D$2:$D$999"),"YES")</f>
        <v>0</v>
      </c>
    </row>
    <row r="43" spans="1:11" x14ac:dyDescent="0.2">
      <c r="A43" s="8" t="s">
        <v>197</v>
      </c>
      <c r="B43" s="9">
        <f ca="1">AVERAGEIFS(INDIRECT($A$1&amp;"!$S$2:$S$999"),INDIRECT($A$1&amp;"!$E$2:$E$999"),"YES",INDIRECT($A$1&amp;"!$D$2:$D$999"),"YES")</f>
        <v>2.5999999999999996</v>
      </c>
      <c r="C43">
        <f ca="1">COUNTIFS(INDIRECT($A$1&amp;"!$E$2:$E$999"),"YES",INDIRECT($A$1&amp;"!$D$2:$D$999"),"YES",INDIRECT($A$1&amp;"!$C$2:$C$999"),"&gt;=0.01")</f>
        <v>2</v>
      </c>
      <c r="D43" s="9" t="e">
        <f ca="1">AVERAGEIFS(INDIRECT($A$1&amp;"!$S$2:$S$999"),INDIRECT($A$1&amp;"!$Q$2:$Q$999"),"&lt;=4",INDIRECT($A$1&amp;"!$E$2:$E$999"),"YES",INDIRECT($A$1&amp;"!$D$2:$D$999"),"YES",INDIRECT($A$1&amp;"!$C$2:$C$999"),"&gt;=0.01")</f>
        <v>#DIV/0!</v>
      </c>
      <c r="E43">
        <f ca="1">COUNTIFS(INDIRECT($A$1&amp;"!$Q$2:$Q$999"),"&lt;=4",INDIRECT($A$1&amp;"!$E$2:$E$999"),"YES",INDIRECT($A$1&amp;"!$D$2:$D$999"),"YES",INDIRECT($A$1&amp;"!$C$2:$C$999"),"&gt;=0.01")</f>
        <v>0</v>
      </c>
      <c r="F43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AVERAGEIFS(INDIRECT($A$1&amp;"!$S$2:$S$999"),INDIRECT($A$1&amp;"!$Q$2:$Q$999"),"&gt;=4.1",INDIRECT($A$1&amp;"!$Q$2:$Q$999"),"&lt;=5",INDIRECT($A$1&amp;"!$E$2:$E$999"),"YES",INDIRECT($A$1&amp;"!$D$2:$D$999"),"YES",INDIRECT($A$1&amp;"!$C$2:$C$999"),"&gt;=0.01")</f>
        <v>#DIV/0!</v>
      </c>
      <c r="G43">
        <f ca="1">COUNTIFS(INDIRECT($A$1&amp;"!$Q$2:$Q$999"),"&gt;=4.1",INDIRECT($A$1&amp;"!$Q$2:$Q$999"),"&lt;=5",INDIRECT($A$1&amp;"!$E$2:$E$999"),"YES",INDIRECT($A$1&amp;"!$D$2:$D$999"),"YES",INDIRECT($A$1&amp;"!$C$2:$C$999"),"&gt;=0.01")</f>
        <v>0</v>
      </c>
      <c r="H43" s="9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AVERAGEIFS(INDIRECT($A$1&amp;"!$S$2:$S$999"),INDIRECT($A$1&amp;"!$Q$2:$Q$999"),"&gt;=5.1",INDIRECT($A$1&amp;"!$Q$2:$Q$999"),"&lt;=6.2",INDIRECT($A$1&amp;"!$E$2:$E$999"),"YES",INDIRECT($A$1&amp;"!$D$2:$D$999"),"YES",INDIRECT($A$1&amp;"!$C$2:$C$999"),"&gt;=0.01")</f>
        <v>2.5999999999999996</v>
      </c>
      <c r="I43">
        <f ca="1">COUNTIFS(INDIRECT($A$1&amp;"!$Q$2:$Q$999"),"&gt;=5.1",INDIRECT($A$1&amp;"!$Q$2:$Q$999"),"&lt;=6.2",INDIRECT($A$1&amp;"!$E$2:$E$999"),"YES",INDIRECT($A$1&amp;"!$D$2:$D$999"),"YES",INDIRECT($A$1&amp;"!$C$2:$C$999"),"&gt;=0.01")</f>
        <v>2</v>
      </c>
      <c r="J43" s="9" t="e">
        <f ca="1">AVERAGEIFS(INDIRECT($A$1&amp;"!$S$2:$S$999"),INDIRECT($A$1&amp;"!$Q$2:$Q$999"),"&gt;=6.3",INDIRECT($A$1&amp;"!$E$2:$E$999"),"YES",INDIRECT($A$1&amp;"!$D$2:$D$999"),"YES",INDIRECT($A$1&amp;"!$C$2:$C$999"),"&gt;=0.01")</f>
        <v>#DIV/0!</v>
      </c>
      <c r="K43">
        <f ca="1">COUNTIFS(INDIRECT($A$1&amp;"!$Q$2:$Q$999"),"&gt;=6.3",INDIRECT($A$1&amp;"!$E$2:$E$999"),"YES",INDIRECT($A$1&amp;"!$D$2:$D$999"),"YES",INDIRECT($A$1&amp;"!$C$2:$C$999"),"&gt;=0.01")</f>
        <v>0</v>
      </c>
    </row>
    <row r="44" spans="1:11" x14ac:dyDescent="0.2">
      <c r="A44" t="s">
        <v>42</v>
      </c>
      <c r="B44" s="1">
        <f ca="1">AVERAGEIF(INDIRECT($A$1&amp;"!$P$2:$P$999"),"&gt;=49",INDIRECT($A$1&amp;"!$S$2:$S$999"))</f>
        <v>2.4285714285714284</v>
      </c>
      <c r="C44">
        <f ca="1">COUNTIF(INDIRECT($A$1&amp;"!$P$2:$P$999"),"&gt;=49")</f>
        <v>186</v>
      </c>
      <c r="D44" s="1" t="e">
        <f ca="1">AVERAGEIFS(INDIRECT($A$1&amp;"!$S$2:$S$999"),INDIRECT($A$1&amp;"!$Q$2:$Q$999"),"&lt;=4",INDIRECT($A$1&amp;"!$P$2:$P$999"),"&gt;=49")</f>
        <v>#DIV/0!</v>
      </c>
      <c r="E44">
        <f ca="1">COUNTIFS(INDIRECT($A$1&amp;"!$Q$2:$Q$999"),"&lt;=4",INDIRECT($A$1&amp;"!$P$2:$P$999"),"&gt;=49")</f>
        <v>0</v>
      </c>
      <c r="F44" s="1">
        <f ca="1">AVERAGEIFS(INDIRECT($A$1&amp;"!$S$2:$S$999"),INDIRECT($A$1&amp;"!$Q$2:$Q$999"),"&gt;=4.1",INDIRECT($A$1&amp;"!$Q$2:$Q$999"),"&lt;=5",INDIRECT($A$1&amp;"!$P$2:$P$999"),"&gt;=49")</f>
        <v>1.2</v>
      </c>
      <c r="G44">
        <f ca="1">COUNTIFS(INDIRECT($A$1&amp;"!$Q$2:$Q$999"),"&gt;=4.1",INDIRECT($A$1&amp;"!$Q$2:$Q$999"),"&lt;=5",INDIRECT($A$1&amp;"!$P$2:$P$999"),"&gt;=49")</f>
        <v>1</v>
      </c>
      <c r="H44" s="1">
        <f ca="1">AVERAGEIFS(INDIRECT($A$1&amp;"!$S$2:$S$999"),INDIRECT($A$1&amp;"!$Q$2:$Q$999"),"&gt;=5.1",INDIRECT($A$1&amp;"!$Q$2:$Q$999"),"&lt;=6.2",INDIRECT($A$1&amp;"!$P$2:$P$999"),"&gt;=49")</f>
        <v>3.1</v>
      </c>
      <c r="I44">
        <f ca="1">COUNTIFS(INDIRECT($A$1&amp;"!$Q$2:$Q$999"),"&gt;=5.1",INDIRECT($A$1&amp;"!$Q$2:$Q$999"),"&lt;=6.2",INDIRECT($A$1&amp;"!$P$2:$P$999"),"&gt;=49")</f>
        <v>2</v>
      </c>
      <c r="J44" s="1">
        <f ca="1">AVERAGEIFS(INDIRECT($A$1&amp;"!$S$2:$S$999"),INDIRECT($A$1&amp;"!$Q$2:$Q$999"),"&gt;=6.3",INDIRECT($A$1&amp;"!$P$2:$P$999"),"&gt;=49")</f>
        <v>2.4000000000000004</v>
      </c>
      <c r="K44">
        <f ca="1">COUNTIFS(INDIRECT($A$1&amp;"!$Q$2:$Q$999"),"&gt;=6.3",INDIRECT($A$1&amp;"!$P$2:$P$999"),"&gt;=49")</f>
        <v>4</v>
      </c>
    </row>
    <row r="45" spans="1:11" x14ac:dyDescent="0.2">
      <c r="A45" s="8" t="s">
        <v>214</v>
      </c>
      <c r="B45" s="9">
        <f ca="1">AVERAGEIFS(INDIRECT($A$1&amp;"!$S$2:$S$999"),INDIRECT($A$1&amp;"!$E$2:$E$999"),"YES",INDIRECT($A$1&amp;"!$J$2:$J$999"),"YES")</f>
        <v>2.4</v>
      </c>
      <c r="C45">
        <f ca="1">COUNTIFS(INDIRECT($A$1&amp;"!$E$2:$E$999"),"YES",INDIRECT($A$1&amp;"!$J$2:$J$999"),"YES")</f>
        <v>1</v>
      </c>
      <c r="D45" s="9" t="e">
        <f ca="1">AVERAGEIFS(INDIRECT($A$1&amp;"!$S$2:$S$999"),INDIRECT($A$1&amp;"!$Q$2:$Q$999"),"&lt;=4",INDIRECT($A$1&amp;"!$E$2:$E$999"),"YES",INDIRECT($A$1&amp;"!$J$2:$J$999"),"YES")</f>
        <v>#DIV/0!</v>
      </c>
      <c r="E45">
        <f ca="1">COUNTIFS(INDIRECT($A$1&amp;"!$Q$2:$Q$999"),"&lt;=4",INDIRECT($A$1&amp;"!$E$2:$E$999"),"YES",INDIRECT($A$1&amp;"!$J$2:$J$999"),"YES")</f>
        <v>0</v>
      </c>
      <c r="F45" s="9" t="e">
        <f ca="1">AVERAGEIFS(INDIRECT($A$1&amp;"!$S$2:$S$999"),INDIRECT($A$1&amp;"!$Q$2:$Q$999"),"&gt;=4.1",INDIRECT($A$1&amp;"!$Q$2:$Q$999"),"&lt;=5",INDIRECT($A$1&amp;"!$E$2:$E$999"),"YES",INDIRECT($A$1&amp;"!$J$2:$J$999"),"YES")</f>
        <v>#DIV/0!</v>
      </c>
      <c r="G45">
        <f ca="1">COUNTIFS(INDIRECT($A$1&amp;"!$Q$2:$Q$999"),"&gt;=4.1",INDIRECT($A$1&amp;"!$Q$2:$Q$999"),"&lt;=5",INDIRECT($A$1&amp;"!$E$2:$E$999"),"YES",INDIRECT($A$1&amp;"!$J$2:$J$999"),"YES")</f>
        <v>0</v>
      </c>
      <c r="H45" s="9">
        <f ca="1">AVERAGEIFS(INDIRECT($A$1&amp;"!$S$2:$S$999"),INDIRECT($A$1&amp;"!$Q$2:$Q$999"),"&gt;=5.1",INDIRECT($A$1&amp;"!$Q$2:$Q$999"),"&lt;=6.2",INDIRECT($A$1&amp;"!$E$2:$E$999"),"YES",INDIRECT($A$1&amp;"!$J$2:$J$999"),"YES")</f>
        <v>2.4</v>
      </c>
      <c r="I45">
        <f ca="1">COUNTIFS(INDIRECT($A$1&amp;"!$Q$2:$Q$999"),"&gt;=5.1",INDIRECT($A$1&amp;"!$Q$2:$Q$999"),"&lt;=6.2",INDIRECT($A$1&amp;"!$E$2:$E$999"),"YES",INDIRECT($A$1&amp;"!$J$2:$J$999"),"YES")</f>
        <v>1</v>
      </c>
      <c r="J45" s="9" t="e">
        <f ca="1">AVERAGEIFS(INDIRECT($A$1&amp;"!$S$2:$S$999"),INDIRECT($A$1&amp;"!$Q$2:$Q$999"),"&gt;=6.3",INDIRECT($A$1&amp;"!$E$2:$E$999"),"YES",INDIRECT($A$1&amp;"!$J$2:$J$999"),"YES")</f>
        <v>#DIV/0!</v>
      </c>
      <c r="K45">
        <f ca="1">COUNTIFS(INDIRECT($A$1&amp;"!$Q$2:$Q$999"),"&gt;=6.3",INDIRECT($A$1&amp;"!$E$2:$E$999"),"YES",INDIRECT($A$1&amp;"!$J$2:$J$999"),"YES")</f>
        <v>0</v>
      </c>
    </row>
    <row r="46" spans="1:11" x14ac:dyDescent="0.2">
      <c r="A46" s="8" t="s">
        <v>216</v>
      </c>
      <c r="B46" s="9">
        <f ca="1">AVERAGEIFS(INDIRECT($A$1&amp;"!$S$2:$S$999"),INDIRECT($A$1&amp;"!$E$2:$E$999"),"YES",INDIRECT($A$1&amp;"!$D$2:$D$999"),"YES",INDIRECT($A$1&amp;"!$J$2:$J$999"),"YES")</f>
        <v>2.4</v>
      </c>
      <c r="C46">
        <f ca="1">COUNTIFS(INDIRECT($A$1&amp;"!$E$2:$E$999"),"YES",INDIRECT($A$1&amp;"!$D$2:$D$999"),"YES",INDIRECT($A$1&amp;"!$J$2:$J$999"),"YES")</f>
        <v>1</v>
      </c>
      <c r="D46" s="9" t="e">
        <f ca="1">AVERAGEIFS(INDIRECT($A$1&amp;"!$S$2:$S$999"),INDIRECT($A$1&amp;"!$Q$2:$Q$999"),"&lt;=4",INDIRECT($A$1&amp;"!$E$2:$E$999"),"YES",INDIRECT($A$1&amp;"!$D$2:$D$999"),"YES",INDIRECT($A$1&amp;"!$J$2:$J$999"),"YES")</f>
        <v>#DIV/0!</v>
      </c>
      <c r="E46">
        <f ca="1">COUNTIFS(INDIRECT($A$1&amp;"!$Q$2:$Q$999"),"&lt;=4",INDIRECT($A$1&amp;"!$E$2:$E$999"),"YES",INDIRECT($A$1&amp;"!$D$2:$D$999"),"YES",INDIRECT($A$1&amp;"!$J$2:$J$999"),"YES")</f>
        <v>0</v>
      </c>
      <c r="F46" s="9" t="e">
        <f ca="1">AVERAGEIFS(INDIRECT($A$1&amp;"!$S$2:$S$999"),INDIRECT($A$1&amp;"!$Q$2:$Q$999"),"&gt;=4.1",INDIRECT($A$1&amp;"!$Q$2:$Q$999"),"&lt;=5",INDIRECT($A$1&amp;"!$E$2:$E$999"),"YES",INDIRECT($A$1&amp;"!$D$2:$D$999"),"YES",INDIRECT($A$1&amp;"!$J$2:$J$999"),"YES")</f>
        <v>#DIV/0!</v>
      </c>
      <c r="G46">
        <f ca="1">COUNTIFS(INDIRECT($A$1&amp;"!$Q$2:$Q$999"),"&gt;=4.1",INDIRECT($A$1&amp;"!$Q$2:$Q$999"),"&lt;=5",INDIRECT($A$1&amp;"!$E$2:$E$999"),"YES",INDIRECT($A$1&amp;"!$D$2:$D$999"),"YES",INDIRECT($A$1&amp;"!$J$2:$J$999"),"YES")</f>
        <v>0</v>
      </c>
      <c r="H46" s="9">
        <f ca="1">AVERAGEIFS(INDIRECT($A$1&amp;"!$S$2:$S$999"),INDIRECT($A$1&amp;"!$Q$2:$Q$999"),"&gt;=5.1",INDIRECT($A$1&amp;"!$Q$2:$Q$999"),"&lt;=6.2",INDIRECT($A$1&amp;"!$E$2:$E$999"),"YES",INDIRECT($A$1&amp;"!$D$2:$D$999"),"YES",INDIRECT($A$1&amp;"!$J$2:$J$999"),"YES")</f>
        <v>2.4</v>
      </c>
      <c r="I46">
        <f ca="1">COUNTIFS(INDIRECT($A$1&amp;"!$Q$2:$Q$999"),"&gt;=5.1",INDIRECT($A$1&amp;"!$Q$2:$Q$999"),"&lt;=6.2",INDIRECT($A$1&amp;"!$E$2:$E$999"),"YES",INDIRECT($A$1&amp;"!$D$2:$D$999"),"YES",INDIRECT($A$1&amp;"!$J$2:$J$999"),"YES")</f>
        <v>1</v>
      </c>
      <c r="J46" s="9" t="e">
        <f ca="1">AVERAGEIFS(INDIRECT($A$1&amp;"!$S$2:$S$999"),INDIRECT($A$1&amp;"!$Q$2:$Q$999"),"&gt;=6.3",INDIRECT($A$1&amp;"!$E$2:$E$999"),"YES",INDIRECT($A$1&amp;"!$D$2:$D$999"),"YES",INDIRECT($A$1&amp;"!$J$2:$J$999"),"YES")</f>
        <v>#DIV/0!</v>
      </c>
      <c r="K46">
        <f ca="1">COUNTIFS(INDIRECT($A$1&amp;"!$Q$2:$Q$999"),"&gt;=6.3",INDIRECT($A$1&amp;"!$E$2:$E$999"),"YES",INDIRECT($A$1&amp;"!$D$2:$D$999"),"YES",INDIRECT($A$1&amp;"!$J$2:$J$999"),"YES")</f>
        <v>0</v>
      </c>
    </row>
    <row r="47" spans="1:11" x14ac:dyDescent="0.2">
      <c r="A47" s="8" t="s">
        <v>217</v>
      </c>
      <c r="B47" s="9">
        <f ca="1">AVERAGEIFS(INDIRECT($A$1&amp;"!$S$2:$S$999"),INDIRECT($A$1&amp;"!$E$2:$E$999"),"YES",INDIRECT($A$1&amp;"!$C$2:$C$999"),"&gt;=0.01",INDIRECT($A$1&amp;"!$J$2:$J$999"),"YES")</f>
        <v>2.4</v>
      </c>
      <c r="C47">
        <f ca="1">COUNTIFS(INDIRECT($A$1&amp;"!$E$2:$E$999"),"YES",INDIRECT($A$1&amp;"!$C$2:$C$999"),"&gt;=0.01",INDIRECT($A$1&amp;"!$J$2:$J$999"),"YES")</f>
        <v>1</v>
      </c>
      <c r="D47" s="9" t="e">
        <f ca="1">AVERAGEIFS(INDIRECT($A$1&amp;"!$S$2:$S$999"),INDIRECT($A$1&amp;"!$Q$2:$Q$999"),"&lt;=4",INDIRECT($A$1&amp;"!$E$2:$E$999"),"YES",INDIRECT($A$1&amp;"!$C$2:$C$999"),"&gt;=0.01",INDIRECT($A$1&amp;"!$J$2:$J$999"),"YES")</f>
        <v>#DIV/0!</v>
      </c>
      <c r="E47">
        <f ca="1">COUNTIFS(INDIRECT($A$1&amp;"!$Q$2:$Q$999"),"&lt;=4",INDIRECT($A$1&amp;"!$E$2:$E$999"),"YES",INDIRECT($A$1&amp;"!$C$2:$C$999"),"&gt;=0.01",INDIRECT($A$1&amp;"!$J$2:$J$999"),"YES")</f>
        <v>0</v>
      </c>
      <c r="F47" s="9" t="e">
        <f ca="1">AVERAGEIFS(INDIRECT($A$1&amp;"!$S$2:$S$999"),INDIRECT($A$1&amp;"!$Q$2:$Q$999"),"&gt;=4.1",INDIRECT($A$1&amp;"!$Q$2:$Q$999"),"&lt;=5",INDIRECT($A$1&amp;"!$E$2:$E$999"),"YES",INDIRECT($A$1&amp;"!$C$2:$C$999"),"&gt;=0.01",INDIRECT($A$1&amp;"!$J$2:$J$999"),"YES")</f>
        <v>#DIV/0!</v>
      </c>
      <c r="G47">
        <f ca="1">COUNTIFS(INDIRECT($A$1&amp;"!$Q$2:$Q$999"),"&gt;=4.1",INDIRECT($A$1&amp;"!$Q$2:$Q$999"),"&lt;=5",INDIRECT($A$1&amp;"!$E$2:$E$999"),"YES",INDIRECT($A$1&amp;"!$C$2:$C$999"),"&gt;=0.01",INDIRECT($A$1&amp;"!$J$2:$J$999"),"YES")</f>
        <v>0</v>
      </c>
      <c r="H47" s="9">
        <f ca="1">AVERAGEIFS(INDIRECT($A$1&amp;"!$S$2:$S$999"),INDIRECT($A$1&amp;"!$Q$2:$Q$999"),"&gt;=5.1",INDIRECT($A$1&amp;"!$Q$2:$Q$999"),"&lt;=6.2",INDIRECT($A$1&amp;"!$E$2:$E$999"),"YES",INDIRECT($A$1&amp;"!$C$2:$C$999"),"&gt;=0.01",INDIRECT($A$1&amp;"!$J$2:$J$999"),"YES")</f>
        <v>2.4</v>
      </c>
      <c r="I47">
        <f ca="1">COUNTIFS(INDIRECT($A$1&amp;"!$Q$2:$Q$999"),"&gt;=5.1",INDIRECT($A$1&amp;"!$Q$2:$Q$999"),"&lt;=6.2",INDIRECT($A$1&amp;"!$E$2:$E$999"),"YES",INDIRECT($A$1&amp;"!$C$2:$C$999"),"&gt;=0.01",INDIRECT($A$1&amp;"!$J$2:$J$999"),"YES")</f>
        <v>1</v>
      </c>
      <c r="J47" s="9" t="e">
        <f ca="1">AVERAGEIFS(INDIRECT($A$1&amp;"!$S$2:$S$999"),INDIRECT($A$1&amp;"!$Q$2:$Q$999"),"&gt;=6.3",INDIRECT($A$1&amp;"!$E$2:$E$999"),"YES",INDIRECT($A$1&amp;"!$C$2:$C$999"),"&gt;=0.01",INDIRECT($A$1&amp;"!$J$2:$J$999"),"YES")</f>
        <v>#DIV/0!</v>
      </c>
      <c r="K47">
        <f ca="1">COUNTIFS(INDIRECT($A$1&amp;"!$Q$2:$Q$999"),"&gt;=6.3",INDIRECT($A$1&amp;"!$E$2:$E$999"),"YES",INDIRECT($A$1&amp;"!$C$2:$C$999"),"&gt;=0.01",INDIRECT($A$1&amp;"!$J$2:$J$999"),"YES")</f>
        <v>0</v>
      </c>
    </row>
    <row r="48" spans="1:11" x14ac:dyDescent="0.2">
      <c r="A48" s="8" t="s">
        <v>219</v>
      </c>
      <c r="B48" s="9">
        <f ca="1">AVERAGEIFS(INDIRECT($A$1&amp;"!$S$2:$S$999"),INDIRECT($A$1&amp;"!$E$2:$E$999"),"YES",INDIRECT($A$1&amp;"!$D$2:$D$999"),"YES",INDIRECT($A$1&amp;"!$J$2:$J$999"),"YES")</f>
        <v>2.4</v>
      </c>
      <c r="C48">
        <f ca="1">COUNTIFS(INDIRECT($A$1&amp;"!$E$2:$E$999"),"YES",INDIRECT($A$1&amp;"!$D$2:$D$999"),"YES",INDIRECT($A$1&amp;"!$C$2:$C$999"),"&gt;=0.01",INDIRECT($A$1&amp;"!$J$2:$J$999"),"YES")</f>
        <v>1</v>
      </c>
      <c r="D48" s="9" t="e">
        <f ca="1">AVERAGEIFS(INDIRECT($A$1&amp;"!$S$2:$S$999"),INDIRECT($A$1&amp;"!$Q$2:$Q$999"),"&lt;=4",INDIRECT($A$1&amp;"!$E$2:$E$999"),"YES",INDIRECT($A$1&amp;"!$D$2:$D$999"),"YES",INDIRECT($A$1&amp;"!$C$2:$C$999"),"&gt;=0.01",INDIRECT($A$1&amp;"!$J$2:$J$999"),"YES")</f>
        <v>#DIV/0!</v>
      </c>
      <c r="E48">
        <f ca="1">COUNTIFS(INDIRECT($A$1&amp;"!$Q$2:$Q$999"),"&lt;=4",INDIRECT($A$1&amp;"!$E$2:$E$999"),"YES",INDIRECT($A$1&amp;"!$D$2:$D$999"),"YES",INDIRECT($A$1&amp;"!$C$2:$C$999"),"&gt;=0.01",INDIRECT($A$1&amp;"!$J$2:$J$999"),"YES")</f>
        <v>0</v>
      </c>
      <c r="F48" s="9" t="e">
        <f ca="1">AVERAGEIFS(INDIRECT($A$1&amp;"!$S$2:$S$999"),INDIRECT($A$1&amp;"!$Q$2:$Q$999"),"&gt;=4.1",INDIRECT($A$1&amp;"!$Q$2:$Q$999"),"&lt;=5",INDIRECT($A$1&amp;"!$E$2:$E$999"),"YES",INDIRECT($A$1&amp;"!$D$2:$D$999"),"YES",INDIRECT($A$1&amp;"!$C$2:$C$999"),"&gt;=0.01",INDIRECT($A$1&amp;"!$J$2:$J$999"),"YES")</f>
        <v>#DIV/0!</v>
      </c>
      <c r="G48">
        <f ca="1">COUNTIFS(INDIRECT($A$1&amp;"!$Q$2:$Q$999"),"&gt;=4.1",INDIRECT($A$1&amp;"!$Q$2:$Q$999"),"&lt;=5",INDIRECT($A$1&amp;"!$E$2:$E$999"),"YES",INDIRECT($A$1&amp;"!$D$2:$D$999"),"YES",INDIRECT($A$1&amp;"!$C$2:$C$999"),"&gt;=0.01",INDIRECT($A$1&amp;"!$J$2:$J$999"),"YES")</f>
        <v>0</v>
      </c>
      <c r="H48" s="9">
        <f ca="1">AVERAGEIFS(INDIRECT($A$1&amp;"!$S$2:$S$999"),INDIRECT($A$1&amp;"!$Q$2:$Q$999"),"&gt;=5.1",INDIRECT($A$1&amp;"!$Q$2:$Q$999"),"&lt;=6.2",INDIRECT($A$1&amp;"!$E$2:$E$999"),"YES",INDIRECT($A$1&amp;"!$D$2:$D$999"),"YES",INDIRECT($A$1&amp;"!$C$2:$C$999"),"&gt;=0.01",INDIRECT($A$1&amp;"!$J$2:$J$999"),"YES")</f>
        <v>2.4</v>
      </c>
      <c r="I48">
        <f ca="1">COUNTIFS(INDIRECT($A$1&amp;"!$Q$2:$Q$999"),"&gt;=5.1",INDIRECT($A$1&amp;"!$Q$2:$Q$999"),"&lt;=6.2",INDIRECT($A$1&amp;"!$E$2:$E$999"),"YES",INDIRECT($A$1&amp;"!$D$2:$D$999"),"YES",INDIRECT($A$1&amp;"!$C$2:$C$999"),"&gt;=0.01",INDIRECT($A$1&amp;"!$J$2:$J$999"),"YES")</f>
        <v>1</v>
      </c>
      <c r="J48" s="9" t="e">
        <f ca="1">AVERAGEIFS(INDIRECT($A$1&amp;"!$S$2:$S$999"),INDIRECT($A$1&amp;"!$Q$2:$Q$999"),"&gt;=6.3",INDIRECT($A$1&amp;"!$E$2:$E$999"),"YES",INDIRECT($A$1&amp;"!$D$2:$D$999"),"YES",INDIRECT($A$1&amp;"!$C$2:$C$999"),"&gt;=0.01",INDIRECT($A$1&amp;"!$J$2:$J$999"),"YES")</f>
        <v>#DIV/0!</v>
      </c>
      <c r="K48">
        <f ca="1">COUNTIFS(INDIRECT($A$1&amp;"!$Q$2:$Q$999"),"&gt;=6.3",INDIRECT($A$1&amp;"!$E$2:$E$999"),"YES",INDIRECT($A$1&amp;"!$D$2:$D$999"),"YES",INDIRECT($A$1&amp;"!$C$2:$C$999"),"&gt;=0.01",INDIRECT($A$1&amp;"!$J$2:$J$999"),"YES")</f>
        <v>0</v>
      </c>
    </row>
    <row r="49" spans="1:11" x14ac:dyDescent="0.2">
      <c r="A49" s="8" t="s">
        <v>220</v>
      </c>
      <c r="B49" s="9">
        <f ca="1">AVERAGEIFS(INDIRECT($A$1&amp;"!$S$2:$S$999"),INDIRECT($A$1&amp;"!$C$2:$C$999"),"&gt;=.01",INDIRECT($A$1&amp;"!$J$2:$J$999"),"YES")</f>
        <v>2.4</v>
      </c>
      <c r="C49" s="8">
        <f ca="1">COUNTIFS(INDIRECT($A$1&amp;"!$C$2:$C$999"),"&gt;=.01",INDIRECT($A$1&amp;"!$J$2:$J$999"),"YES")</f>
        <v>1</v>
      </c>
      <c r="D49" s="9" t="e">
        <f ca="1">AVERAGEIFS(INDIRECT($A$1&amp;"!$S$2:$S$999"),INDIRECT($A$1&amp;"!$Q$2:$Q$999"),"&lt;=4",INDIRECT($A$1&amp;"!$C$2:$C$999"),"&gt;=.01",INDIRECT($A$1&amp;"!$J$2:$J$999"),"YES")</f>
        <v>#DIV/0!</v>
      </c>
      <c r="E49" s="8">
        <f ca="1">COUNTIFS(INDIRECT($A$1&amp;"!$Q$2:$Q$999"),"&lt;=4",INDIRECT($A$1&amp;"!$C$2:$C$999"),"&gt;=.01",INDIRECT($A$1&amp;"!$J$2:$J$999"),"YES")</f>
        <v>0</v>
      </c>
      <c r="F49" s="9" t="e">
        <f ca="1">AVERAGEIFS(INDIRECT($A$1&amp;"!$S$2:$S$999"),INDIRECT($A$1&amp;"!$Q$2:$Q$999"),"&gt;=4.1",INDIRECT($A$1&amp;"!$Q$2:$Q$999"),"&lt;=5",INDIRECT($A$1&amp;"!$C$2:$C$999"),"&gt;=.01",INDIRECT($A$1&amp;"!$J$2:$J$999"),"YES")</f>
        <v>#DIV/0!</v>
      </c>
      <c r="G49" s="8">
        <f ca="1">COUNTIFS(INDIRECT($A$1&amp;"!$Q$2:$Q$999"),"&gt;=4.1",INDIRECT($A$1&amp;"!$Q$2:$Q$999"),"&lt;=5",INDIRECT($A$1&amp;"!$C$2:$C$999"),"&gt;=.01",INDIRECT($A$1&amp;"!$J$2:$J$999"),"YES")</f>
        <v>0</v>
      </c>
      <c r="H49" s="9">
        <f ca="1">AVERAGEIFS(INDIRECT($A$1&amp;"!$S$2:$S$999"),INDIRECT($A$1&amp;"!$Q$2:$Q$999"),"&gt;=5.1",INDIRECT($A$1&amp;"!$Q$2:$Q$999"),"&lt;=6.2",INDIRECT($A$1&amp;"!$C$2:$C$999"),"&gt;=.01",INDIRECT($A$1&amp;"!$J$2:$J$999"),"YES")</f>
        <v>2.4</v>
      </c>
      <c r="I49" s="8">
        <f ca="1">COUNTIFS(INDIRECT($A$1&amp;"!$Q$2:$Q$999"),"&gt;=5.1",INDIRECT($A$1&amp;"!$Q$2:$Q$999"),"&lt;=6.2",INDIRECT($A$1&amp;"!$C$2:$C$999"),"&gt;=.01",INDIRECT($A$1&amp;"!$J$2:$J$999"),"YES")</f>
        <v>1</v>
      </c>
      <c r="J49" s="9" t="e">
        <f ca="1">AVERAGEIFS(INDIRECT($A$1&amp;"!$S$2:$S$999"),INDIRECT($A$1&amp;"!$Q$2:$Q$999"),"&gt;=6.3",INDIRECT($A$1&amp;"!$C$2:$C$999"),"&gt;=.01",INDIRECT($A$1&amp;"!$J$2:$J$999"),"YES")</f>
        <v>#DIV/0!</v>
      </c>
      <c r="K49" s="8">
        <f ca="1">COUNTIFS(INDIRECT($A$1&amp;"!$Q$2:$Q$999"),"&gt;=6.3",INDIRECT($A$1&amp;"!$C$2:$C$999"),"&gt;=.01",INDIRECT($A$1&amp;"!$J$2:$J$999"),"YES")</f>
        <v>0</v>
      </c>
    </row>
    <row r="50" spans="1:11" x14ac:dyDescent="0.2">
      <c r="A50" s="1" t="s">
        <v>43</v>
      </c>
      <c r="B50" s="1">
        <f ca="1">AVERAGEIFS(INDIRECT($A$1&amp;"!$S$2:$S$999"),INDIRECT($A$1&amp;"!$O$2:$O$999"),"&gt;=-4.5",INDIRECT($A$1&amp;"!$O$2:$O$999"),"&lt;=4.5")</f>
        <v>2.3855924978687124</v>
      </c>
      <c r="C50">
        <f ca="1">COUNTIFS(INDIRECT($A$1&amp;"!$O$2:$O$999"),"&gt;=-4.5",INDIRECT($A$1&amp;"!$O$2:$O$999"),"&lt;=4.5")</f>
        <v>386</v>
      </c>
      <c r="D50" s="1">
        <f ca="1">AVERAGEIFS(INDIRECT($A$1&amp;"!$S$2:$S$999"),INDIRECT($A$1&amp;"!$O$2:$O$999"),"&gt;=-4.5",INDIRECT($A$1&amp;"!$O$2:$O$999"),"&lt;=4.55",INDIRECT($A$1&amp;"!$Q$2:$Q$999"),"&lt;=4")</f>
        <v>2.6714285714285713</v>
      </c>
      <c r="E50">
        <f ca="1">COUNTIFS(INDIRECT($A$1&amp;"!$O$2:$O$999"),"&gt;=-4.5",INDIRECT($A$1&amp;"!$O$2:$O$999"),"&lt;=4.55",INDIRECT($A$1&amp;"!$Q$2:$Q$999"),"&lt;=4")</f>
        <v>7</v>
      </c>
      <c r="F50" s="1">
        <f ca="1">AVERAGEIFS(INDIRECT($A$1&amp;"!$S$2:$S$999"),INDIRECT($A$1&amp;"!$O$2:$O$999"),"&gt;=-4.5",INDIRECT($A$1&amp;"!$O$2:$O$999"),"&lt;=4.5",INDIRECT($A$1&amp;"!$Q$2:$Q$999"),"&gt;=4.1",INDIRECT($A$1&amp;"!$Q$2:$Q$999"),"&lt;=5")</f>
        <v>1.6804347826086956</v>
      </c>
      <c r="G50">
        <f ca="1">COUNTIFS(INDIRECT($A$1&amp;"!$O$2:$O$999"),"&gt;=-4.5",INDIRECT($A$1&amp;"!$O$2:$O$999"),"&lt;=4.5",INDIRECT($A$1&amp;"!$Q$2:$Q$999"),"&gt;=4.1",INDIRECT($A$1&amp;"!$Q$2:$Q$999"),"&lt;=5")</f>
        <v>4</v>
      </c>
      <c r="H50" s="1">
        <f ca="1">AVERAGEIFS(INDIRECT($A$1&amp;"!$S$2:$S$999"),INDIRECT($A$1&amp;"!$O$2:$O$999"),"&gt;=-4.5",INDIRECT($A$1&amp;"!$O$2:$O$999"),"&lt;=4.5",INDIRECT($A$1&amp;"!$Q$2:$Q$999"),"&gt;=5.1",INDIRECT($A$1&amp;"!$Q$2:$Q$999"),"&lt;=6.2")</f>
        <v>2.5866666666666669</v>
      </c>
      <c r="I50">
        <f ca="1">COUNTIFS(INDIRECT($A$1&amp;"!$O$2:$O$999"),"&gt;=-4.5",INDIRECT($A$1&amp;"!$O$2:$O$999"),"&lt;=4.5",INDIRECT($A$1&amp;"!$Q$2:$Q$999"),"&gt;=5.1",INDIRECT($A$1&amp;"!$Q$2:$Q$999"),"&lt;=6.2")</f>
        <v>5</v>
      </c>
      <c r="J50" s="1">
        <f ca="1">AVERAGEIFS(INDIRECT($A$1&amp;"!$S$2:$S$999"),INDIRECT($A$1&amp;"!$O$2:$O$999"),"&gt;=-4.5",INDIRECT($A$1&amp;"!$O$2:$O$999"),"&lt;=4.5",INDIRECT($A$1&amp;"!$Q$2:$Q$999"),"&gt;=6.3")</f>
        <v>2.2000000000000002</v>
      </c>
      <c r="K50">
        <f ca="1">COUNTIFS(INDIRECT($A$1&amp;"!$O$2:$O$999"),"&gt;=-4.5",INDIRECT($A$1&amp;"!$O$2:$O$999"),"&lt;=4.5",INDIRECT($A$1&amp;"!$Q$2:$Q$999"),"&gt;=6.3")</f>
        <v>1</v>
      </c>
    </row>
    <row r="51" spans="1:11" x14ac:dyDescent="0.2">
      <c r="A51" s="8" t="s">
        <v>198</v>
      </c>
      <c r="B51" s="9">
        <f ca="1">AVERAGEIFS(INDIRECT($A$1&amp;"!$S$2:$S$999"),INDIRECT($A$1&amp;"!$C$2:$C$999"),"&gt;=.01")</f>
        <v>2.3231884057971017</v>
      </c>
      <c r="C51" s="8">
        <f ca="1">COUNTIF(INDIRECT($A$1&amp;"!$C$2:$C$999"),"&gt;=.01")</f>
        <v>28</v>
      </c>
      <c r="D51" s="9">
        <f ca="1">AVERAGEIFS(INDIRECT($A$1&amp;"!$S$2:$S$999"),INDIRECT($A$1&amp;"!$Q$2:$Q$999"),"&lt;=4",INDIRECT($A$1&amp;"!$C$2:$C$999"),"&gt;=.01")</f>
        <v>1.9818181818181819</v>
      </c>
      <c r="E51" s="8">
        <f ca="1">COUNTIFS(INDIRECT($A$1&amp;"!$Q$2:$Q$999"),"&lt;=4",INDIRECT($A$1&amp;"!$C$2:$C$999"),"&gt;=.01")</f>
        <v>11</v>
      </c>
      <c r="F51" s="9">
        <f ca="1">AVERAGEIFS(INDIRECT($A$1&amp;"!$S$2:$S$999"),INDIRECT($A$1&amp;"!$Q$2:$Q$999"),"&gt;=4.1",INDIRECT($A$1&amp;"!$Q$2:$Q$999"),"&lt;=5",INDIRECT($A$1&amp;"!$C$2:$C$999"),"&gt;=.01")</f>
        <v>2.2666666666666666</v>
      </c>
      <c r="G51" s="8">
        <f ca="1">COUNTIFS(INDIRECT($A$1&amp;"!$Q$2:$Q$999"),"&gt;=4.1",INDIRECT($A$1&amp;"!$Q$2:$Q$999"),"&lt;=5",INDIRECT($A$1&amp;"!$C$2:$C$999"),"&gt;=.01")</f>
        <v>3</v>
      </c>
      <c r="H51" s="9">
        <f ca="1">AVERAGEIFS(INDIRECT($A$1&amp;"!$S$2:$S$999"),INDIRECT($A$1&amp;"!$Q$2:$Q$999"),"&gt;=5.1",INDIRECT($A$1&amp;"!$Q$2:$Q$999"),"&lt;=6.2",INDIRECT($A$1&amp;"!$C$2:$C$999"),"&gt;=.01")</f>
        <v>2.8166666666666669</v>
      </c>
      <c r="I51" s="8">
        <f ca="1">COUNTIFS(INDIRECT($A$1&amp;"!$Q$2:$Q$999"),"&gt;=5.1",INDIRECT($A$1&amp;"!$Q$2:$Q$999"),"&lt;=6.2",INDIRECT($A$1&amp;"!$C$2:$C$999"),"&gt;=.01")</f>
        <v>8</v>
      </c>
      <c r="J51" s="9">
        <f ca="1">AVERAGEIFS(INDIRECT($A$1&amp;"!$S$2:$S$999"),INDIRECT($A$1&amp;"!$Q$2:$Q$999"),"&gt;=6.3",INDIRECT($A$1&amp;"!$C$2:$C$999"),"&gt;=.01")</f>
        <v>2.2999999999999998</v>
      </c>
      <c r="K51" s="8">
        <f ca="1">COUNTIFS(INDIRECT($A$1&amp;"!$Q$2:$Q$999"),"&gt;=6.3",INDIRECT($A$1&amp;"!$C$2:$C$999"),"&gt;=.01")</f>
        <v>1</v>
      </c>
    </row>
  </sheetData>
  <autoFilter ref="A1:K39" xr:uid="{285145D1-1BC6-9343-AAC3-EF7B7051F4F3}">
    <sortState xmlns:xlrd2="http://schemas.microsoft.com/office/spreadsheetml/2017/richdata2" ref="A2:K51">
      <sortCondition descending="1" ref="B1:B51"/>
    </sortState>
  </autoFilter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6CCC9-A5E0-CF41-8412-AFB4964D7EB8}">
  <sheetPr codeName="Sheet5"/>
  <dimension ref="A1:W717"/>
  <sheetViews>
    <sheetView topLeftCell="E1" workbookViewId="0">
      <pane ySplit="1" topLeftCell="A2" activePane="bottomLeft" state="frozen"/>
      <selection pane="bottomLeft" activeCell="I1" sqref="I1"/>
    </sheetView>
  </sheetViews>
  <sheetFormatPr baseColWidth="10" defaultRowHeight="16" x14ac:dyDescent="0.2"/>
  <cols>
    <col min="2" max="2" width="17.1640625" bestFit="1" customWidth="1"/>
    <col min="22" max="23" width="19" bestFit="1" customWidth="1"/>
  </cols>
  <sheetData>
    <row r="1" spans="1:23" x14ac:dyDescent="0.2">
      <c r="A1" t="s">
        <v>420</v>
      </c>
      <c r="B1" t="s">
        <v>1</v>
      </c>
      <c r="C1" t="s">
        <v>77</v>
      </c>
      <c r="D1" t="s">
        <v>65</v>
      </c>
      <c r="E1" t="s">
        <v>66</v>
      </c>
      <c r="F1" t="s">
        <v>108</v>
      </c>
      <c r="G1" t="s">
        <v>120</v>
      </c>
      <c r="H1" t="s">
        <v>121</v>
      </c>
      <c r="I1" t="s">
        <v>131</v>
      </c>
      <c r="J1" t="s">
        <v>119</v>
      </c>
      <c r="K1" t="s">
        <v>133</v>
      </c>
      <c r="L1" t="s">
        <v>122</v>
      </c>
      <c r="M1" t="s">
        <v>123</v>
      </c>
      <c r="N1" t="s">
        <v>124</v>
      </c>
      <c r="O1" t="s">
        <v>9</v>
      </c>
      <c r="P1" t="s">
        <v>13</v>
      </c>
      <c r="Q1" t="s">
        <v>2</v>
      </c>
      <c r="R1" t="s">
        <v>3</v>
      </c>
      <c r="S1" s="1" t="s">
        <v>6</v>
      </c>
      <c r="T1" s="1" t="s">
        <v>226</v>
      </c>
      <c r="U1" t="s">
        <v>0</v>
      </c>
      <c r="V1" t="s">
        <v>254</v>
      </c>
      <c r="W1" t="s">
        <v>227</v>
      </c>
    </row>
    <row r="2" spans="1:23" x14ac:dyDescent="0.2">
      <c r="A2" t="s">
        <v>191</v>
      </c>
      <c r="O2">
        <v>10</v>
      </c>
      <c r="P2" s="42">
        <v>43.5</v>
      </c>
      <c r="R2">
        <v>8.9</v>
      </c>
      <c r="S2" s="1"/>
      <c r="T2" s="19">
        <v>43387</v>
      </c>
      <c r="U2" s="13" t="s">
        <v>252</v>
      </c>
      <c r="V2" t="s">
        <v>285</v>
      </c>
      <c r="W2" s="13" t="s">
        <v>312</v>
      </c>
    </row>
    <row r="3" spans="1:23" x14ac:dyDescent="0.2">
      <c r="A3" t="s">
        <v>191</v>
      </c>
      <c r="D3" t="s">
        <v>75</v>
      </c>
      <c r="E3" t="s">
        <v>75</v>
      </c>
      <c r="F3" t="s">
        <v>109</v>
      </c>
      <c r="O3">
        <v>-3</v>
      </c>
      <c r="P3" s="42">
        <v>57.5</v>
      </c>
      <c r="R3">
        <v>27.4</v>
      </c>
      <c r="S3" s="1"/>
      <c r="T3" s="19">
        <v>43387</v>
      </c>
      <c r="U3" s="13" t="s">
        <v>252</v>
      </c>
      <c r="V3" s="41" t="s">
        <v>295</v>
      </c>
      <c r="W3" s="13" t="s">
        <v>284</v>
      </c>
    </row>
    <row r="4" spans="1:23" x14ac:dyDescent="0.2">
      <c r="A4" t="s">
        <v>191</v>
      </c>
      <c r="B4" t="s">
        <v>422</v>
      </c>
      <c r="C4">
        <v>11.8</v>
      </c>
      <c r="D4" t="s">
        <v>75</v>
      </c>
      <c r="O4">
        <v>-2.5</v>
      </c>
      <c r="P4" s="42">
        <v>43.5</v>
      </c>
      <c r="R4">
        <v>21.3</v>
      </c>
      <c r="S4" s="1"/>
      <c r="T4" s="19">
        <v>43387</v>
      </c>
      <c r="U4" s="13" t="s">
        <v>252</v>
      </c>
      <c r="V4" t="s">
        <v>305</v>
      </c>
      <c r="W4" s="13" t="s">
        <v>310</v>
      </c>
    </row>
    <row r="5" spans="1:23" x14ac:dyDescent="0.2">
      <c r="A5" t="s">
        <v>191</v>
      </c>
      <c r="O5">
        <v>10.5</v>
      </c>
      <c r="P5" s="42">
        <v>40.5</v>
      </c>
      <c r="R5">
        <v>12.5</v>
      </c>
      <c r="S5" s="1"/>
      <c r="T5" s="19">
        <v>43387</v>
      </c>
      <c r="U5" s="13" t="s">
        <v>252</v>
      </c>
      <c r="V5" t="s">
        <v>276</v>
      </c>
      <c r="W5" s="13" t="s">
        <v>311</v>
      </c>
    </row>
    <row r="6" spans="1:23" x14ac:dyDescent="0.2">
      <c r="A6" t="s">
        <v>191</v>
      </c>
      <c r="F6" t="s">
        <v>110</v>
      </c>
      <c r="O6">
        <v>-1</v>
      </c>
      <c r="P6" s="42">
        <v>44.5</v>
      </c>
      <c r="R6">
        <v>13.4</v>
      </c>
      <c r="S6" s="1"/>
      <c r="T6" s="19">
        <v>43387</v>
      </c>
      <c r="U6" s="13" t="s">
        <v>252</v>
      </c>
      <c r="V6" s="41" t="s">
        <v>301</v>
      </c>
      <c r="W6" s="13" t="s">
        <v>306</v>
      </c>
    </row>
    <row r="7" spans="1:23" x14ac:dyDescent="0.2">
      <c r="A7" t="s">
        <v>191</v>
      </c>
      <c r="B7" t="s">
        <v>56</v>
      </c>
      <c r="C7">
        <v>9.9</v>
      </c>
      <c r="E7" t="s">
        <v>75</v>
      </c>
      <c r="F7" t="s">
        <v>110</v>
      </c>
      <c r="O7">
        <v>-7</v>
      </c>
      <c r="P7" s="42">
        <v>41</v>
      </c>
      <c r="R7">
        <v>17.399999999999999</v>
      </c>
      <c r="S7" s="1"/>
      <c r="T7" s="19">
        <v>43387</v>
      </c>
      <c r="U7" s="13" t="s">
        <v>252</v>
      </c>
      <c r="V7" t="s">
        <v>265</v>
      </c>
      <c r="W7" s="13" t="s">
        <v>293</v>
      </c>
    </row>
    <row r="8" spans="1:23" x14ac:dyDescent="0.2">
      <c r="A8" t="s">
        <v>191</v>
      </c>
      <c r="F8" t="s">
        <v>109</v>
      </c>
      <c r="O8">
        <v>-1</v>
      </c>
      <c r="P8" s="42">
        <v>49.5</v>
      </c>
      <c r="R8">
        <v>15.5</v>
      </c>
      <c r="S8" s="1"/>
      <c r="T8" s="19">
        <v>43387</v>
      </c>
      <c r="U8" s="13" t="s">
        <v>252</v>
      </c>
      <c r="V8" t="s">
        <v>272</v>
      </c>
      <c r="W8" s="13" t="s">
        <v>309</v>
      </c>
    </row>
    <row r="9" spans="1:23" x14ac:dyDescent="0.2">
      <c r="A9" t="s">
        <v>191</v>
      </c>
      <c r="O9">
        <v>-1</v>
      </c>
      <c r="P9" s="42">
        <v>47</v>
      </c>
      <c r="R9">
        <v>3.1</v>
      </c>
      <c r="S9" s="1"/>
      <c r="T9" s="19">
        <v>43387</v>
      </c>
      <c r="U9" s="13" t="s">
        <v>252</v>
      </c>
      <c r="V9" t="s">
        <v>281</v>
      </c>
      <c r="W9" s="13" t="s">
        <v>287</v>
      </c>
    </row>
    <row r="10" spans="1:23" x14ac:dyDescent="0.2">
      <c r="A10" t="s">
        <v>191</v>
      </c>
      <c r="O10">
        <v>3</v>
      </c>
      <c r="P10" s="42">
        <v>39.5</v>
      </c>
      <c r="R10">
        <v>22.1</v>
      </c>
      <c r="S10" s="1"/>
      <c r="T10" s="19">
        <v>43387</v>
      </c>
      <c r="U10" s="13" t="s">
        <v>252</v>
      </c>
      <c r="V10" s="17" t="s">
        <v>291</v>
      </c>
      <c r="W10" s="13" t="s">
        <v>297</v>
      </c>
    </row>
    <row r="11" spans="1:23" x14ac:dyDescent="0.2">
      <c r="A11" t="s">
        <v>191</v>
      </c>
      <c r="B11" t="s">
        <v>129</v>
      </c>
      <c r="C11">
        <v>11.7</v>
      </c>
      <c r="D11" t="s">
        <v>75</v>
      </c>
      <c r="O11">
        <v>7</v>
      </c>
      <c r="P11" s="42">
        <v>50</v>
      </c>
      <c r="R11">
        <v>27.5</v>
      </c>
      <c r="S11" s="1"/>
      <c r="T11" s="19">
        <v>43387</v>
      </c>
      <c r="U11" s="13" t="s">
        <v>252</v>
      </c>
      <c r="V11" t="s">
        <v>278</v>
      </c>
      <c r="W11" s="13" t="s">
        <v>304</v>
      </c>
    </row>
    <row r="12" spans="1:23" x14ac:dyDescent="0.2">
      <c r="A12" t="s">
        <v>191</v>
      </c>
      <c r="D12" t="s">
        <v>75</v>
      </c>
      <c r="O12">
        <v>-9</v>
      </c>
      <c r="P12" s="42">
        <v>46.5</v>
      </c>
      <c r="R12">
        <v>38.200000000000003</v>
      </c>
      <c r="S12" s="1"/>
      <c r="T12" s="19">
        <v>43387</v>
      </c>
      <c r="U12" s="13" t="s">
        <v>252</v>
      </c>
      <c r="V12" s="41" t="s">
        <v>300</v>
      </c>
      <c r="W12" s="13" t="s">
        <v>256</v>
      </c>
    </row>
    <row r="13" spans="1:23" x14ac:dyDescent="0.2">
      <c r="A13" t="s">
        <v>191</v>
      </c>
      <c r="O13">
        <v>-10.5</v>
      </c>
      <c r="P13" s="42">
        <v>40.5</v>
      </c>
      <c r="R13">
        <v>17.3</v>
      </c>
      <c r="S13" s="1"/>
      <c r="T13" s="19">
        <v>43387</v>
      </c>
      <c r="U13" s="13" t="s">
        <v>252</v>
      </c>
      <c r="V13" t="s">
        <v>311</v>
      </c>
      <c r="W13" s="13" t="s">
        <v>276</v>
      </c>
    </row>
    <row r="14" spans="1:23" x14ac:dyDescent="0.2">
      <c r="A14" t="s">
        <v>191</v>
      </c>
      <c r="O14">
        <v>2.5</v>
      </c>
      <c r="P14" s="42">
        <v>47.5</v>
      </c>
      <c r="R14">
        <v>15.5</v>
      </c>
      <c r="S14" s="1"/>
      <c r="T14" s="19">
        <v>43387</v>
      </c>
      <c r="U14" s="13" t="s">
        <v>252</v>
      </c>
      <c r="V14" t="s">
        <v>289</v>
      </c>
      <c r="W14" s="13" t="s">
        <v>298</v>
      </c>
    </row>
    <row r="15" spans="1:23" x14ac:dyDescent="0.2">
      <c r="A15" t="s">
        <v>191</v>
      </c>
      <c r="O15">
        <v>-3</v>
      </c>
      <c r="P15" s="42">
        <v>39.5</v>
      </c>
      <c r="R15">
        <v>12.8</v>
      </c>
      <c r="S15" s="1"/>
      <c r="T15" s="19">
        <v>43387</v>
      </c>
      <c r="U15" s="13" t="s">
        <v>252</v>
      </c>
      <c r="V15" s="17" t="s">
        <v>297</v>
      </c>
      <c r="W15" s="13" t="s">
        <v>291</v>
      </c>
    </row>
    <row r="16" spans="1:23" x14ac:dyDescent="0.2">
      <c r="A16" t="s">
        <v>191</v>
      </c>
      <c r="B16" t="s">
        <v>421</v>
      </c>
      <c r="C16">
        <v>11.8</v>
      </c>
      <c r="O16">
        <v>4</v>
      </c>
      <c r="P16" s="42">
        <v>59.5</v>
      </c>
      <c r="R16">
        <v>42.2</v>
      </c>
      <c r="S16" s="1"/>
      <c r="T16" s="19">
        <v>43387</v>
      </c>
      <c r="U16" s="13" t="s">
        <v>252</v>
      </c>
      <c r="V16" t="s">
        <v>288</v>
      </c>
      <c r="W16" s="13" t="s">
        <v>302</v>
      </c>
    </row>
    <row r="17" spans="1:23" x14ac:dyDescent="0.2">
      <c r="A17" t="s">
        <v>191</v>
      </c>
      <c r="D17" t="s">
        <v>75</v>
      </c>
      <c r="F17" t="s">
        <v>110</v>
      </c>
      <c r="O17">
        <v>3</v>
      </c>
      <c r="P17" s="42">
        <v>47.5</v>
      </c>
      <c r="R17">
        <v>2.6</v>
      </c>
      <c r="S17" s="1"/>
      <c r="T17" s="19">
        <v>43387</v>
      </c>
      <c r="U17" s="13" t="s">
        <v>252</v>
      </c>
      <c r="V17" s="17" t="s">
        <v>303</v>
      </c>
      <c r="W17" s="13" t="s">
        <v>308</v>
      </c>
    </row>
    <row r="18" spans="1:23" x14ac:dyDescent="0.2">
      <c r="A18" t="s">
        <v>191</v>
      </c>
      <c r="O18">
        <v>1</v>
      </c>
      <c r="P18" s="42">
        <v>47</v>
      </c>
      <c r="R18">
        <v>14.3</v>
      </c>
      <c r="S18" s="1"/>
      <c r="T18" s="19">
        <v>43387</v>
      </c>
      <c r="U18" s="13" t="s">
        <v>252</v>
      </c>
      <c r="V18" s="17" t="s">
        <v>287</v>
      </c>
      <c r="W18" s="13" t="s">
        <v>281</v>
      </c>
    </row>
    <row r="19" spans="1:23" x14ac:dyDescent="0.2">
      <c r="A19" t="s">
        <v>191</v>
      </c>
      <c r="D19" t="s">
        <v>75</v>
      </c>
      <c r="O19">
        <v>-7</v>
      </c>
      <c r="P19" s="42">
        <v>50</v>
      </c>
      <c r="R19">
        <v>22.1</v>
      </c>
      <c r="S19" s="1"/>
      <c r="T19" s="19">
        <v>43387</v>
      </c>
      <c r="U19" s="13" t="s">
        <v>252</v>
      </c>
      <c r="V19" t="s">
        <v>304</v>
      </c>
      <c r="W19" s="13" t="s">
        <v>278</v>
      </c>
    </row>
    <row r="20" spans="1:23" x14ac:dyDescent="0.2">
      <c r="A20" t="s">
        <v>191</v>
      </c>
      <c r="E20" t="s">
        <v>75</v>
      </c>
      <c r="F20" t="s">
        <v>110</v>
      </c>
      <c r="O20">
        <v>7</v>
      </c>
      <c r="P20" s="42">
        <v>41</v>
      </c>
      <c r="R20">
        <v>36</v>
      </c>
      <c r="S20" s="1"/>
      <c r="T20" s="19">
        <v>43387</v>
      </c>
      <c r="U20" s="13" t="s">
        <v>252</v>
      </c>
      <c r="V20" s="41" t="s">
        <v>293</v>
      </c>
      <c r="W20" s="13" t="s">
        <v>265</v>
      </c>
    </row>
    <row r="21" spans="1:23" x14ac:dyDescent="0.2">
      <c r="A21" t="s">
        <v>191</v>
      </c>
      <c r="D21" t="s">
        <v>75</v>
      </c>
      <c r="O21">
        <v>-10</v>
      </c>
      <c r="P21" s="42">
        <v>43.5</v>
      </c>
      <c r="R21">
        <v>32.299999999999997</v>
      </c>
      <c r="S21" s="1"/>
      <c r="T21" s="19">
        <v>43387</v>
      </c>
      <c r="U21" s="13" t="s">
        <v>252</v>
      </c>
      <c r="V21" t="s">
        <v>312</v>
      </c>
      <c r="W21" s="13" t="s">
        <v>285</v>
      </c>
    </row>
    <row r="22" spans="1:23" x14ac:dyDescent="0.2">
      <c r="A22" t="s">
        <v>191</v>
      </c>
      <c r="O22">
        <v>-4</v>
      </c>
      <c r="P22" s="42">
        <v>59.5</v>
      </c>
      <c r="R22">
        <v>16.100000000000001</v>
      </c>
      <c r="S22" s="1"/>
      <c r="T22" s="19">
        <v>43387</v>
      </c>
      <c r="U22" s="13" t="s">
        <v>252</v>
      </c>
      <c r="V22" s="41" t="s">
        <v>302</v>
      </c>
      <c r="W22" s="13" t="s">
        <v>288</v>
      </c>
    </row>
    <row r="23" spans="1:23" x14ac:dyDescent="0.2">
      <c r="A23" t="s">
        <v>191</v>
      </c>
      <c r="E23" t="s">
        <v>75</v>
      </c>
      <c r="O23">
        <v>1.5</v>
      </c>
      <c r="P23" s="42">
        <v>45.5</v>
      </c>
      <c r="R23">
        <v>9.4</v>
      </c>
      <c r="S23" s="1"/>
      <c r="T23" s="19">
        <v>43387</v>
      </c>
      <c r="U23" s="13" t="s">
        <v>252</v>
      </c>
      <c r="V23" s="41" t="s">
        <v>296</v>
      </c>
      <c r="W23" s="13" t="s">
        <v>294</v>
      </c>
    </row>
    <row r="24" spans="1:23" x14ac:dyDescent="0.2">
      <c r="A24" t="s">
        <v>191</v>
      </c>
      <c r="D24" t="s">
        <v>75</v>
      </c>
      <c r="O24">
        <v>-2.5</v>
      </c>
      <c r="P24" s="42">
        <v>47.5</v>
      </c>
      <c r="R24">
        <v>18.399999999999999</v>
      </c>
      <c r="S24" s="1"/>
      <c r="T24" s="19">
        <v>43387</v>
      </c>
      <c r="U24" s="13" t="s">
        <v>252</v>
      </c>
      <c r="V24" s="41" t="s">
        <v>298</v>
      </c>
      <c r="W24" s="13" t="s">
        <v>289</v>
      </c>
    </row>
    <row r="25" spans="1:23" x14ac:dyDescent="0.2">
      <c r="A25" t="s">
        <v>191</v>
      </c>
      <c r="E25" t="s">
        <v>75</v>
      </c>
      <c r="O25">
        <v>-1.5</v>
      </c>
      <c r="P25" s="42">
        <v>45.5</v>
      </c>
      <c r="R25">
        <v>27.4</v>
      </c>
      <c r="S25" s="1"/>
      <c r="T25" s="19">
        <v>43387</v>
      </c>
      <c r="U25" s="13" t="s">
        <v>252</v>
      </c>
      <c r="V25" s="41" t="s">
        <v>294</v>
      </c>
      <c r="W25" s="13" t="s">
        <v>296</v>
      </c>
    </row>
    <row r="26" spans="1:23" x14ac:dyDescent="0.2">
      <c r="A26" t="s">
        <v>191</v>
      </c>
      <c r="F26" t="s">
        <v>109</v>
      </c>
      <c r="O26">
        <v>1</v>
      </c>
      <c r="P26" s="42">
        <v>49.5</v>
      </c>
      <c r="R26">
        <v>24.1</v>
      </c>
      <c r="S26" s="1"/>
      <c r="T26" s="19">
        <v>43387</v>
      </c>
      <c r="U26" s="13" t="s">
        <v>252</v>
      </c>
      <c r="V26" t="s">
        <v>309</v>
      </c>
      <c r="W26" s="13" t="s">
        <v>272</v>
      </c>
    </row>
    <row r="27" spans="1:23" x14ac:dyDescent="0.2">
      <c r="A27" t="s">
        <v>191</v>
      </c>
      <c r="D27" t="s">
        <v>75</v>
      </c>
      <c r="O27">
        <v>9</v>
      </c>
      <c r="P27" s="42">
        <v>46.5</v>
      </c>
      <c r="R27">
        <v>32.1</v>
      </c>
      <c r="S27" s="1"/>
      <c r="T27" s="19">
        <v>43387</v>
      </c>
      <c r="U27" s="13" t="s">
        <v>252</v>
      </c>
      <c r="V27" s="41" t="s">
        <v>256</v>
      </c>
      <c r="W27" s="13" t="s">
        <v>300</v>
      </c>
    </row>
    <row r="28" spans="1:23" x14ac:dyDescent="0.2">
      <c r="A28" t="s">
        <v>191</v>
      </c>
      <c r="F28" t="s">
        <v>110</v>
      </c>
      <c r="O28">
        <v>-3</v>
      </c>
      <c r="P28" s="42">
        <v>47.5</v>
      </c>
      <c r="R28">
        <v>15.1</v>
      </c>
      <c r="S28" s="1"/>
      <c r="T28" s="19">
        <v>43387</v>
      </c>
      <c r="U28" s="13" t="s">
        <v>252</v>
      </c>
      <c r="V28" s="41" t="s">
        <v>308</v>
      </c>
      <c r="W28" s="13" t="s">
        <v>303</v>
      </c>
    </row>
    <row r="29" spans="1:23" x14ac:dyDescent="0.2">
      <c r="A29" t="s">
        <v>191</v>
      </c>
      <c r="D29" t="s">
        <v>75</v>
      </c>
      <c r="E29" t="s">
        <v>75</v>
      </c>
      <c r="F29" t="s">
        <v>109</v>
      </c>
      <c r="O29">
        <v>3</v>
      </c>
      <c r="P29" s="42">
        <v>57.5</v>
      </c>
      <c r="R29">
        <v>9.8000000000000007</v>
      </c>
      <c r="S29" s="1"/>
      <c r="T29" s="19">
        <v>43387</v>
      </c>
      <c r="U29" s="13" t="s">
        <v>252</v>
      </c>
      <c r="V29" t="s">
        <v>284</v>
      </c>
      <c r="W29" s="13" t="s">
        <v>295</v>
      </c>
    </row>
    <row r="30" spans="1:23" x14ac:dyDescent="0.2">
      <c r="A30" t="s">
        <v>191</v>
      </c>
      <c r="O30">
        <v>2.5</v>
      </c>
      <c r="P30" s="42">
        <v>43.5</v>
      </c>
      <c r="R30">
        <v>3.4</v>
      </c>
      <c r="S30" s="1"/>
      <c r="T30" s="19">
        <v>43387</v>
      </c>
      <c r="U30" s="13" t="s">
        <v>252</v>
      </c>
      <c r="V30" t="s">
        <v>310</v>
      </c>
      <c r="W30" s="13" t="s">
        <v>305</v>
      </c>
    </row>
    <row r="31" spans="1:23" x14ac:dyDescent="0.2">
      <c r="A31" t="s">
        <v>191</v>
      </c>
      <c r="F31" t="s">
        <v>110</v>
      </c>
      <c r="O31">
        <v>1</v>
      </c>
      <c r="P31" s="42">
        <v>44.5</v>
      </c>
      <c r="R31">
        <v>12.3</v>
      </c>
      <c r="S31" s="1"/>
      <c r="T31" s="19">
        <v>43387</v>
      </c>
      <c r="U31" s="13" t="s">
        <v>252</v>
      </c>
      <c r="V31" t="s">
        <v>306</v>
      </c>
      <c r="W31" s="13" t="s">
        <v>301</v>
      </c>
    </row>
    <row r="32" spans="1:23" x14ac:dyDescent="0.2">
      <c r="A32" t="s">
        <v>191</v>
      </c>
      <c r="B32" t="s">
        <v>17</v>
      </c>
      <c r="C32">
        <v>8.6</v>
      </c>
      <c r="D32" t="s">
        <v>75</v>
      </c>
      <c r="O32">
        <v>1</v>
      </c>
      <c r="P32" s="42">
        <v>42.5</v>
      </c>
      <c r="R32">
        <v>14</v>
      </c>
      <c r="S32" s="1"/>
      <c r="T32" s="19">
        <v>43394</v>
      </c>
      <c r="U32" s="13" t="s">
        <v>250</v>
      </c>
      <c r="V32" t="s">
        <v>285</v>
      </c>
      <c r="W32" s="13" t="s">
        <v>278</v>
      </c>
    </row>
    <row r="33" spans="1:23" x14ac:dyDescent="0.2">
      <c r="A33" t="s">
        <v>191</v>
      </c>
      <c r="E33" t="s">
        <v>75</v>
      </c>
      <c r="O33">
        <v>-4.5</v>
      </c>
      <c r="P33" s="42">
        <v>52</v>
      </c>
      <c r="R33">
        <v>21.4</v>
      </c>
      <c r="S33" s="1"/>
      <c r="T33" s="19">
        <v>43394</v>
      </c>
      <c r="U33" s="13" t="s">
        <v>250</v>
      </c>
      <c r="V33" t="s">
        <v>295</v>
      </c>
      <c r="W33" s="13" t="s">
        <v>296</v>
      </c>
    </row>
    <row r="34" spans="1:23" x14ac:dyDescent="0.2">
      <c r="A34" t="s">
        <v>191</v>
      </c>
      <c r="O34">
        <v>-2.5</v>
      </c>
      <c r="P34" s="42">
        <v>49</v>
      </c>
      <c r="R34">
        <v>11.6</v>
      </c>
      <c r="S34" s="1"/>
      <c r="T34" s="19">
        <v>43394</v>
      </c>
      <c r="U34" s="13" t="s">
        <v>250</v>
      </c>
      <c r="V34" t="s">
        <v>305</v>
      </c>
      <c r="W34" s="13" t="s">
        <v>307</v>
      </c>
    </row>
    <row r="35" spans="1:23" x14ac:dyDescent="0.2">
      <c r="A35" t="s">
        <v>191</v>
      </c>
      <c r="D35" t="s">
        <v>75</v>
      </c>
      <c r="O35">
        <v>7</v>
      </c>
      <c r="P35" s="42">
        <v>43.5</v>
      </c>
      <c r="R35">
        <v>5.7</v>
      </c>
      <c r="S35" s="1"/>
      <c r="T35" s="19">
        <v>43394</v>
      </c>
      <c r="U35" s="13" t="s">
        <v>250</v>
      </c>
      <c r="V35" t="s">
        <v>276</v>
      </c>
      <c r="W35" s="13" t="s">
        <v>289</v>
      </c>
    </row>
    <row r="36" spans="1:23" x14ac:dyDescent="0.2">
      <c r="A36" t="s">
        <v>191</v>
      </c>
      <c r="B36" t="s">
        <v>425</v>
      </c>
      <c r="C36">
        <v>8.4</v>
      </c>
      <c r="O36">
        <v>5</v>
      </c>
      <c r="P36" s="42">
        <v>45</v>
      </c>
      <c r="R36">
        <v>5.9</v>
      </c>
      <c r="S36" s="1"/>
      <c r="T36" s="19">
        <v>43394</v>
      </c>
      <c r="U36" s="13" t="s">
        <v>250</v>
      </c>
      <c r="V36" t="s">
        <v>301</v>
      </c>
      <c r="W36" s="13" t="s">
        <v>294</v>
      </c>
    </row>
    <row r="37" spans="1:23" x14ac:dyDescent="0.2">
      <c r="A37" t="s">
        <v>191</v>
      </c>
      <c r="E37" t="s">
        <v>75</v>
      </c>
      <c r="O37">
        <v>1</v>
      </c>
      <c r="P37" s="42">
        <v>49</v>
      </c>
      <c r="R37">
        <v>1.4</v>
      </c>
      <c r="S37" s="1"/>
      <c r="T37" s="19">
        <v>43394</v>
      </c>
      <c r="U37" s="13" t="s">
        <v>250</v>
      </c>
      <c r="V37" t="s">
        <v>265</v>
      </c>
      <c r="W37" s="13" t="s">
        <v>302</v>
      </c>
    </row>
    <row r="38" spans="1:23" x14ac:dyDescent="0.2">
      <c r="A38" t="s">
        <v>191</v>
      </c>
      <c r="O38">
        <v>6.5</v>
      </c>
      <c r="P38" s="42">
        <v>56</v>
      </c>
      <c r="R38">
        <v>21.7</v>
      </c>
      <c r="S38" s="1"/>
      <c r="T38" s="19">
        <v>43394</v>
      </c>
      <c r="U38" s="13" t="s">
        <v>250</v>
      </c>
      <c r="V38" t="s">
        <v>272</v>
      </c>
      <c r="W38" s="13" t="s">
        <v>288</v>
      </c>
    </row>
    <row r="39" spans="1:23" x14ac:dyDescent="0.2">
      <c r="A39" t="s">
        <v>191</v>
      </c>
      <c r="B39" t="s">
        <v>52</v>
      </c>
      <c r="C39">
        <v>11</v>
      </c>
      <c r="D39" t="s">
        <v>75</v>
      </c>
      <c r="F39" t="s">
        <v>109</v>
      </c>
      <c r="O39">
        <v>3.5</v>
      </c>
      <c r="P39" s="42">
        <v>52</v>
      </c>
      <c r="R39">
        <v>25.7</v>
      </c>
      <c r="S39" s="1"/>
      <c r="T39" s="19">
        <v>43394</v>
      </c>
      <c r="U39" s="13" t="s">
        <v>250</v>
      </c>
      <c r="V39" t="s">
        <v>281</v>
      </c>
      <c r="W39" s="13" t="s">
        <v>284</v>
      </c>
    </row>
    <row r="40" spans="1:23" x14ac:dyDescent="0.2">
      <c r="A40" t="s">
        <v>191</v>
      </c>
      <c r="F40" t="s">
        <v>110</v>
      </c>
      <c r="O40">
        <v>-1.5</v>
      </c>
      <c r="P40" s="42">
        <v>40.5</v>
      </c>
      <c r="R40">
        <v>12.6</v>
      </c>
      <c r="S40" s="1"/>
      <c r="T40" s="19">
        <v>43394</v>
      </c>
      <c r="U40" s="13" t="s">
        <v>250</v>
      </c>
      <c r="V40" s="17" t="s">
        <v>291</v>
      </c>
      <c r="W40" s="13" t="s">
        <v>306</v>
      </c>
    </row>
    <row r="41" spans="1:23" x14ac:dyDescent="0.2">
      <c r="A41" t="s">
        <v>191</v>
      </c>
      <c r="D41" t="s">
        <v>75</v>
      </c>
      <c r="O41">
        <v>-1</v>
      </c>
      <c r="P41" s="42">
        <v>42.5</v>
      </c>
      <c r="R41">
        <v>30.32</v>
      </c>
      <c r="S41" s="1"/>
      <c r="T41" s="19">
        <v>43394</v>
      </c>
      <c r="U41" s="13" t="s">
        <v>250</v>
      </c>
      <c r="V41" t="s">
        <v>278</v>
      </c>
      <c r="W41" s="13" t="s">
        <v>285</v>
      </c>
    </row>
    <row r="42" spans="1:23" x14ac:dyDescent="0.2">
      <c r="A42" t="s">
        <v>191</v>
      </c>
      <c r="E42" t="s">
        <v>75</v>
      </c>
      <c r="F42" t="s">
        <v>110</v>
      </c>
      <c r="O42">
        <v>-3</v>
      </c>
      <c r="P42" s="42">
        <v>47</v>
      </c>
      <c r="R42">
        <v>5.7</v>
      </c>
      <c r="S42" s="1"/>
      <c r="T42" s="19">
        <v>43394</v>
      </c>
      <c r="U42" t="s">
        <v>250</v>
      </c>
      <c r="V42" t="s">
        <v>299</v>
      </c>
      <c r="W42" t="s">
        <v>293</v>
      </c>
    </row>
    <row r="43" spans="1:23" x14ac:dyDescent="0.2">
      <c r="A43" t="s">
        <v>191</v>
      </c>
      <c r="F43" t="s">
        <v>109</v>
      </c>
      <c r="O43">
        <v>4</v>
      </c>
      <c r="P43" s="42">
        <v>43</v>
      </c>
      <c r="R43">
        <v>14</v>
      </c>
      <c r="S43" s="1"/>
      <c r="T43" s="19">
        <v>43394</v>
      </c>
      <c r="U43" s="13" t="s">
        <v>250</v>
      </c>
      <c r="V43" t="s">
        <v>311</v>
      </c>
      <c r="W43" s="13" t="s">
        <v>297</v>
      </c>
    </row>
    <row r="44" spans="1:23" x14ac:dyDescent="0.2">
      <c r="A44" t="s">
        <v>191</v>
      </c>
      <c r="O44">
        <v>-7</v>
      </c>
      <c r="P44" s="42">
        <v>43.5</v>
      </c>
      <c r="R44">
        <v>18.5</v>
      </c>
      <c r="S44" s="1"/>
      <c r="T44" s="19">
        <v>43394</v>
      </c>
      <c r="U44" s="13" t="s">
        <v>250</v>
      </c>
      <c r="V44" t="s">
        <v>289</v>
      </c>
      <c r="W44" s="13" t="s">
        <v>276</v>
      </c>
    </row>
    <row r="45" spans="1:23" x14ac:dyDescent="0.2">
      <c r="A45" t="s">
        <v>191</v>
      </c>
      <c r="F45" t="s">
        <v>109</v>
      </c>
      <c r="O45">
        <v>-4</v>
      </c>
      <c r="P45" s="42">
        <v>43</v>
      </c>
      <c r="R45">
        <v>5.7</v>
      </c>
      <c r="S45" s="1"/>
      <c r="T45" s="19">
        <v>43394</v>
      </c>
      <c r="U45" s="13" t="s">
        <v>250</v>
      </c>
      <c r="V45" s="17" t="s">
        <v>297</v>
      </c>
      <c r="W45" s="13" t="s">
        <v>311</v>
      </c>
    </row>
    <row r="46" spans="1:23" x14ac:dyDescent="0.2">
      <c r="A46" t="s">
        <v>191</v>
      </c>
      <c r="O46">
        <v>-6.5</v>
      </c>
      <c r="P46" s="42">
        <v>56</v>
      </c>
      <c r="R46">
        <v>20.6</v>
      </c>
      <c r="S46" s="1"/>
      <c r="T46" s="19">
        <v>43394</v>
      </c>
      <c r="U46" s="13" t="s">
        <v>250</v>
      </c>
      <c r="V46" t="s">
        <v>288</v>
      </c>
      <c r="W46" s="13" t="s">
        <v>272</v>
      </c>
    </row>
    <row r="47" spans="1:23" x14ac:dyDescent="0.2">
      <c r="A47" t="s">
        <v>191</v>
      </c>
      <c r="D47" t="s">
        <v>75</v>
      </c>
      <c r="F47" t="s">
        <v>110</v>
      </c>
      <c r="O47">
        <v>-6.5</v>
      </c>
      <c r="P47" s="42">
        <v>46</v>
      </c>
      <c r="R47">
        <v>12.2</v>
      </c>
      <c r="S47" s="1"/>
      <c r="T47" s="19">
        <v>43394</v>
      </c>
      <c r="U47" s="13" t="s">
        <v>250</v>
      </c>
      <c r="V47" s="17" t="s">
        <v>287</v>
      </c>
      <c r="W47" s="13" t="s">
        <v>310</v>
      </c>
    </row>
    <row r="48" spans="1:23" x14ac:dyDescent="0.2">
      <c r="A48" t="s">
        <v>191</v>
      </c>
      <c r="D48" t="s">
        <v>75</v>
      </c>
      <c r="F48" t="s">
        <v>109</v>
      </c>
      <c r="O48">
        <v>-8</v>
      </c>
      <c r="P48" s="42">
        <v>52</v>
      </c>
      <c r="R48">
        <v>13.4</v>
      </c>
      <c r="S48" s="1"/>
      <c r="T48" s="19">
        <v>43394</v>
      </c>
      <c r="U48" s="13" t="s">
        <v>250</v>
      </c>
      <c r="V48" t="s">
        <v>304</v>
      </c>
      <c r="W48" s="13" t="s">
        <v>256</v>
      </c>
    </row>
    <row r="49" spans="1:23" x14ac:dyDescent="0.2">
      <c r="A49" t="s">
        <v>191</v>
      </c>
      <c r="D49" t="s">
        <v>75</v>
      </c>
      <c r="E49" t="s">
        <v>75</v>
      </c>
      <c r="F49" t="s">
        <v>110</v>
      </c>
      <c r="O49">
        <v>3</v>
      </c>
      <c r="P49" s="42">
        <v>47</v>
      </c>
      <c r="R49">
        <v>20.399999999999999</v>
      </c>
      <c r="S49" s="1"/>
      <c r="T49" s="19">
        <v>43394</v>
      </c>
      <c r="U49" s="13" t="s">
        <v>250</v>
      </c>
      <c r="V49" t="s">
        <v>293</v>
      </c>
      <c r="W49" s="13" t="s">
        <v>299</v>
      </c>
    </row>
    <row r="50" spans="1:23" x14ac:dyDescent="0.2">
      <c r="A50" t="s">
        <v>191</v>
      </c>
      <c r="O50">
        <v>-3.5</v>
      </c>
      <c r="P50" s="42">
        <v>45</v>
      </c>
      <c r="R50">
        <v>29</v>
      </c>
      <c r="S50" s="1"/>
      <c r="T50" s="19">
        <v>43394</v>
      </c>
      <c r="U50" s="13" t="s">
        <v>250</v>
      </c>
      <c r="V50" t="s">
        <v>312</v>
      </c>
      <c r="W50" s="13" t="s">
        <v>298</v>
      </c>
    </row>
    <row r="51" spans="1:23" x14ac:dyDescent="0.2">
      <c r="A51" t="s">
        <v>191</v>
      </c>
      <c r="E51" t="s">
        <v>75</v>
      </c>
      <c r="O51">
        <v>-1</v>
      </c>
      <c r="P51" s="42">
        <v>49</v>
      </c>
      <c r="R51">
        <v>14.6</v>
      </c>
      <c r="S51" s="1"/>
      <c r="T51" s="19">
        <v>43394</v>
      </c>
      <c r="U51" s="13" t="s">
        <v>250</v>
      </c>
      <c r="V51" t="s">
        <v>302</v>
      </c>
      <c r="W51" s="13" t="s">
        <v>265</v>
      </c>
    </row>
    <row r="52" spans="1:23" x14ac:dyDescent="0.2">
      <c r="A52" t="s">
        <v>191</v>
      </c>
      <c r="O52">
        <v>2.5</v>
      </c>
      <c r="P52" s="42">
        <v>49</v>
      </c>
      <c r="R52">
        <v>19.899999999999999</v>
      </c>
      <c r="S52" s="1"/>
      <c r="T52" s="19">
        <v>43394</v>
      </c>
      <c r="U52" s="13" t="s">
        <v>250</v>
      </c>
      <c r="V52" t="s">
        <v>307</v>
      </c>
      <c r="W52" s="13" t="s">
        <v>305</v>
      </c>
    </row>
    <row r="53" spans="1:23" x14ac:dyDescent="0.2">
      <c r="A53" t="s">
        <v>191</v>
      </c>
      <c r="D53" t="s">
        <v>75</v>
      </c>
      <c r="E53" t="s">
        <v>75</v>
      </c>
      <c r="O53">
        <v>4.5</v>
      </c>
      <c r="P53" s="42">
        <v>52</v>
      </c>
      <c r="R53">
        <v>31.2</v>
      </c>
      <c r="S53" s="1"/>
      <c r="T53" s="19">
        <v>43394</v>
      </c>
      <c r="U53" s="13" t="s">
        <v>250</v>
      </c>
      <c r="V53" t="s">
        <v>296</v>
      </c>
      <c r="W53" s="13" t="s">
        <v>295</v>
      </c>
    </row>
    <row r="54" spans="1:23" x14ac:dyDescent="0.2">
      <c r="A54" t="s">
        <v>191</v>
      </c>
      <c r="O54">
        <v>3.5</v>
      </c>
      <c r="P54" s="42">
        <v>45</v>
      </c>
      <c r="R54">
        <v>7.4</v>
      </c>
      <c r="S54" s="1"/>
      <c r="T54" s="19">
        <v>43394</v>
      </c>
      <c r="U54" s="13" t="s">
        <v>250</v>
      </c>
      <c r="V54" t="s">
        <v>298</v>
      </c>
      <c r="W54" s="13" t="s">
        <v>312</v>
      </c>
    </row>
    <row r="55" spans="1:23" x14ac:dyDescent="0.2">
      <c r="A55" t="s">
        <v>191</v>
      </c>
      <c r="O55">
        <v>-5</v>
      </c>
      <c r="P55" s="42">
        <v>45</v>
      </c>
      <c r="R55">
        <v>21.8</v>
      </c>
      <c r="S55" s="1"/>
      <c r="T55" s="19">
        <v>43394</v>
      </c>
      <c r="U55" s="13" t="s">
        <v>250</v>
      </c>
      <c r="V55" t="s">
        <v>294</v>
      </c>
      <c r="W55" s="13" t="s">
        <v>301</v>
      </c>
    </row>
    <row r="56" spans="1:23" x14ac:dyDescent="0.2">
      <c r="A56" t="s">
        <v>191</v>
      </c>
      <c r="D56" t="s">
        <v>75</v>
      </c>
      <c r="F56" t="s">
        <v>109</v>
      </c>
      <c r="O56">
        <v>8</v>
      </c>
      <c r="P56" s="42">
        <v>52</v>
      </c>
      <c r="R56">
        <v>4.4000000000000004</v>
      </c>
      <c r="S56" s="1"/>
      <c r="T56" s="19">
        <v>43394</v>
      </c>
      <c r="U56" s="13" t="s">
        <v>250</v>
      </c>
      <c r="V56" t="s">
        <v>256</v>
      </c>
      <c r="W56" s="13" t="s">
        <v>304</v>
      </c>
    </row>
    <row r="57" spans="1:23" x14ac:dyDescent="0.2">
      <c r="A57" t="s">
        <v>191</v>
      </c>
      <c r="F57" t="s">
        <v>109</v>
      </c>
      <c r="O57">
        <v>-3.5</v>
      </c>
      <c r="P57" s="42">
        <v>52</v>
      </c>
      <c r="R57">
        <v>20.7</v>
      </c>
      <c r="S57" s="1"/>
      <c r="T57" s="19">
        <v>43394</v>
      </c>
      <c r="U57" s="13" t="s">
        <v>250</v>
      </c>
      <c r="V57" t="s">
        <v>284</v>
      </c>
      <c r="W57" s="13" t="s">
        <v>281</v>
      </c>
    </row>
    <row r="58" spans="1:23" x14ac:dyDescent="0.2">
      <c r="A58" t="s">
        <v>191</v>
      </c>
      <c r="F58" t="s">
        <v>110</v>
      </c>
      <c r="O58">
        <v>6.5</v>
      </c>
      <c r="P58" s="42">
        <v>46</v>
      </c>
      <c r="R58">
        <v>4</v>
      </c>
      <c r="S58" s="1"/>
      <c r="T58" s="19">
        <v>43394</v>
      </c>
      <c r="U58" s="13" t="s">
        <v>250</v>
      </c>
      <c r="V58" t="s">
        <v>310</v>
      </c>
      <c r="W58" s="13" t="s">
        <v>287</v>
      </c>
    </row>
    <row r="59" spans="1:23" x14ac:dyDescent="0.2">
      <c r="A59" t="s">
        <v>191</v>
      </c>
      <c r="B59" t="s">
        <v>26</v>
      </c>
      <c r="C59">
        <v>11.5</v>
      </c>
      <c r="F59" t="s">
        <v>110</v>
      </c>
      <c r="O59">
        <v>1.5</v>
      </c>
      <c r="P59" s="42">
        <v>40</v>
      </c>
      <c r="R59">
        <v>7.2</v>
      </c>
      <c r="S59" s="1"/>
      <c r="T59" s="19">
        <v>43394</v>
      </c>
      <c r="U59" s="13" t="s">
        <v>250</v>
      </c>
      <c r="V59" s="41" t="s">
        <v>306</v>
      </c>
      <c r="W59" s="13" t="s">
        <v>291</v>
      </c>
    </row>
    <row r="60" spans="1:23" x14ac:dyDescent="0.2">
      <c r="A60" t="s">
        <v>191</v>
      </c>
      <c r="D60" t="s">
        <v>75</v>
      </c>
      <c r="O60">
        <v>2.5</v>
      </c>
      <c r="P60" s="42">
        <v>40</v>
      </c>
      <c r="R60">
        <v>29.2</v>
      </c>
      <c r="S60" s="1"/>
      <c r="T60" s="19">
        <v>43401</v>
      </c>
      <c r="U60" s="13" t="s">
        <v>248</v>
      </c>
      <c r="V60" s="41" t="s">
        <v>285</v>
      </c>
      <c r="W60" s="13" t="s">
        <v>256</v>
      </c>
    </row>
    <row r="61" spans="1:23" x14ac:dyDescent="0.2">
      <c r="A61" t="s">
        <v>191</v>
      </c>
      <c r="O61">
        <v>-2.5</v>
      </c>
      <c r="P61" s="42">
        <v>44</v>
      </c>
      <c r="R61">
        <v>10.4</v>
      </c>
      <c r="S61" s="1"/>
      <c r="T61" s="19">
        <v>43401</v>
      </c>
      <c r="U61" s="13" t="s">
        <v>248</v>
      </c>
      <c r="V61" t="s">
        <v>305</v>
      </c>
      <c r="W61" s="13" t="s">
        <v>301</v>
      </c>
    </row>
    <row r="62" spans="1:23" x14ac:dyDescent="0.2">
      <c r="A62" t="s">
        <v>191</v>
      </c>
      <c r="O62">
        <v>13.5</v>
      </c>
      <c r="P62" s="42">
        <v>44</v>
      </c>
      <c r="R62">
        <v>11.5</v>
      </c>
      <c r="S62" s="1"/>
      <c r="T62" s="19">
        <v>43401</v>
      </c>
      <c r="U62" s="13" t="s">
        <v>248</v>
      </c>
      <c r="V62" t="s">
        <v>276</v>
      </c>
      <c r="W62" s="13" t="s">
        <v>302</v>
      </c>
    </row>
    <row r="63" spans="1:23" x14ac:dyDescent="0.2">
      <c r="A63" t="s">
        <v>191</v>
      </c>
      <c r="O63">
        <v>2.5</v>
      </c>
      <c r="P63" s="42">
        <v>44</v>
      </c>
      <c r="R63">
        <v>5.7</v>
      </c>
      <c r="S63" s="1"/>
      <c r="T63" s="19">
        <v>43401</v>
      </c>
      <c r="U63" s="13" t="s">
        <v>248</v>
      </c>
      <c r="V63" t="s">
        <v>301</v>
      </c>
      <c r="W63" s="13" t="s">
        <v>305</v>
      </c>
    </row>
    <row r="64" spans="1:23" x14ac:dyDescent="0.2">
      <c r="A64" t="s">
        <v>191</v>
      </c>
      <c r="O64">
        <v>-8.5</v>
      </c>
      <c r="P64" s="42">
        <v>42.5</v>
      </c>
      <c r="R64">
        <v>9.1999999999999993</v>
      </c>
      <c r="S64" s="1"/>
      <c r="T64" s="19">
        <v>43401</v>
      </c>
      <c r="U64" s="13" t="s">
        <v>248</v>
      </c>
      <c r="V64" t="s">
        <v>265</v>
      </c>
      <c r="W64" s="13" t="s">
        <v>298</v>
      </c>
    </row>
    <row r="65" spans="1:23" x14ac:dyDescent="0.2">
      <c r="A65" t="s">
        <v>191</v>
      </c>
      <c r="D65" t="s">
        <v>75</v>
      </c>
      <c r="E65" t="s">
        <v>75</v>
      </c>
      <c r="F65" t="s">
        <v>109</v>
      </c>
      <c r="O65">
        <v>-3.5</v>
      </c>
      <c r="P65" s="42">
        <v>55</v>
      </c>
      <c r="R65">
        <v>18.600000000000001</v>
      </c>
      <c r="S65" s="1"/>
      <c r="T65" s="19">
        <v>43401</v>
      </c>
      <c r="U65" s="13" t="s">
        <v>248</v>
      </c>
      <c r="V65" s="41" t="s">
        <v>272</v>
      </c>
      <c r="W65" s="13" t="s">
        <v>284</v>
      </c>
    </row>
    <row r="66" spans="1:23" x14ac:dyDescent="0.2">
      <c r="A66" t="s">
        <v>191</v>
      </c>
      <c r="O66">
        <v>8.5</v>
      </c>
      <c r="P66" s="42">
        <v>47.5</v>
      </c>
      <c r="R66">
        <v>11.9</v>
      </c>
      <c r="S66" s="1"/>
      <c r="T66" s="19">
        <v>43401</v>
      </c>
      <c r="U66" s="13" t="s">
        <v>248</v>
      </c>
      <c r="V66" t="s">
        <v>281</v>
      </c>
      <c r="W66" s="13" t="s">
        <v>309</v>
      </c>
    </row>
    <row r="67" spans="1:23" x14ac:dyDescent="0.2">
      <c r="A67" t="s">
        <v>191</v>
      </c>
      <c r="F67" t="s">
        <v>109</v>
      </c>
      <c r="O67">
        <v>8.5</v>
      </c>
      <c r="P67" s="42">
        <v>53</v>
      </c>
      <c r="R67">
        <v>9.1</v>
      </c>
      <c r="S67" s="1"/>
      <c r="T67" s="19">
        <v>43401</v>
      </c>
      <c r="U67" s="13" t="s">
        <v>248</v>
      </c>
      <c r="V67" t="s">
        <v>278</v>
      </c>
      <c r="W67" s="13" t="s">
        <v>288</v>
      </c>
    </row>
    <row r="68" spans="1:23" x14ac:dyDescent="0.2">
      <c r="A68" t="s">
        <v>191</v>
      </c>
      <c r="B68" t="s">
        <v>55</v>
      </c>
      <c r="C68">
        <v>7.5</v>
      </c>
      <c r="D68" t="s">
        <v>75</v>
      </c>
      <c r="F68" t="s">
        <v>110</v>
      </c>
      <c r="O68">
        <v>-3</v>
      </c>
      <c r="P68" s="42">
        <v>47.5</v>
      </c>
      <c r="R68">
        <v>33.700000000000003</v>
      </c>
      <c r="S68" s="1"/>
      <c r="T68" s="19">
        <v>43401</v>
      </c>
      <c r="U68" t="s">
        <v>248</v>
      </c>
      <c r="V68" s="41" t="s">
        <v>299</v>
      </c>
      <c r="W68" t="s">
        <v>308</v>
      </c>
    </row>
    <row r="69" spans="1:23" x14ac:dyDescent="0.2">
      <c r="A69" t="s">
        <v>191</v>
      </c>
      <c r="D69" t="s">
        <v>75</v>
      </c>
      <c r="O69">
        <v>7.5</v>
      </c>
      <c r="P69" s="42">
        <v>57</v>
      </c>
      <c r="R69">
        <v>21.3</v>
      </c>
      <c r="S69" s="1"/>
      <c r="T69" s="19">
        <v>43401</v>
      </c>
      <c r="U69" s="13" t="s">
        <v>248</v>
      </c>
      <c r="V69" s="41" t="s">
        <v>300</v>
      </c>
      <c r="W69" s="13" t="s">
        <v>304</v>
      </c>
    </row>
    <row r="70" spans="1:23" x14ac:dyDescent="0.2">
      <c r="A70" t="s">
        <v>191</v>
      </c>
      <c r="O70">
        <v>-7.5</v>
      </c>
      <c r="P70" s="42">
        <v>45</v>
      </c>
      <c r="R70">
        <v>26.2</v>
      </c>
      <c r="S70" s="1"/>
      <c r="T70" s="19">
        <v>43401</v>
      </c>
      <c r="U70" s="13" t="s">
        <v>248</v>
      </c>
      <c r="V70" s="41" t="s">
        <v>311</v>
      </c>
      <c r="W70" s="13" t="s">
        <v>293</v>
      </c>
    </row>
    <row r="71" spans="1:23" x14ac:dyDescent="0.2">
      <c r="A71" t="s">
        <v>191</v>
      </c>
      <c r="F71" t="s">
        <v>110</v>
      </c>
      <c r="O71">
        <v>-3.5</v>
      </c>
      <c r="P71" s="42">
        <v>51</v>
      </c>
      <c r="R71">
        <v>4.4000000000000004</v>
      </c>
      <c r="S71" s="1"/>
      <c r="T71" s="19">
        <v>43401</v>
      </c>
      <c r="U71" s="13" t="s">
        <v>248</v>
      </c>
      <c r="V71" s="41" t="s">
        <v>289</v>
      </c>
      <c r="W71" s="13" t="s">
        <v>303</v>
      </c>
    </row>
    <row r="72" spans="1:23" x14ac:dyDescent="0.2">
      <c r="A72" t="s">
        <v>191</v>
      </c>
      <c r="B72" t="s">
        <v>72</v>
      </c>
      <c r="C72">
        <v>10.9</v>
      </c>
      <c r="O72">
        <v>4</v>
      </c>
      <c r="P72" s="42">
        <v>44.5</v>
      </c>
      <c r="R72">
        <v>9.4</v>
      </c>
      <c r="S72" s="1"/>
      <c r="T72" s="19">
        <v>43401</v>
      </c>
      <c r="U72" s="13" t="s">
        <v>248</v>
      </c>
      <c r="V72" s="17" t="s">
        <v>297</v>
      </c>
      <c r="W72" s="13" t="s">
        <v>294</v>
      </c>
    </row>
    <row r="73" spans="1:23" x14ac:dyDescent="0.2">
      <c r="A73" t="s">
        <v>191</v>
      </c>
      <c r="D73" t="s">
        <v>75</v>
      </c>
      <c r="F73" t="s">
        <v>109</v>
      </c>
      <c r="O73">
        <v>-8.5</v>
      </c>
      <c r="P73" s="42">
        <v>53</v>
      </c>
      <c r="R73">
        <v>10</v>
      </c>
      <c r="S73" s="1"/>
      <c r="T73" s="19">
        <v>43401</v>
      </c>
      <c r="U73" s="13" t="s">
        <v>248</v>
      </c>
      <c r="V73" t="s">
        <v>288</v>
      </c>
      <c r="W73" s="13" t="s">
        <v>278</v>
      </c>
    </row>
    <row r="74" spans="1:23" x14ac:dyDescent="0.2">
      <c r="A74" t="s">
        <v>191</v>
      </c>
      <c r="D74" t="s">
        <v>75</v>
      </c>
      <c r="F74" t="s">
        <v>110</v>
      </c>
      <c r="O74">
        <v>3.5</v>
      </c>
      <c r="P74" s="42">
        <v>51</v>
      </c>
      <c r="R74">
        <v>2.4</v>
      </c>
      <c r="S74" s="1"/>
      <c r="T74" s="19">
        <v>43401</v>
      </c>
      <c r="U74" s="13" t="s">
        <v>248</v>
      </c>
      <c r="V74" s="17" t="s">
        <v>303</v>
      </c>
      <c r="W74" s="13" t="s">
        <v>289</v>
      </c>
    </row>
    <row r="75" spans="1:23" x14ac:dyDescent="0.2">
      <c r="A75" t="s">
        <v>191</v>
      </c>
      <c r="D75" t="s">
        <v>75</v>
      </c>
      <c r="O75">
        <v>-7.5</v>
      </c>
      <c r="P75" s="42">
        <v>57</v>
      </c>
      <c r="R75">
        <v>11.3</v>
      </c>
      <c r="S75" s="1"/>
      <c r="T75" s="19">
        <v>43401</v>
      </c>
      <c r="U75" s="13" t="s">
        <v>248</v>
      </c>
      <c r="V75" s="41" t="s">
        <v>304</v>
      </c>
      <c r="W75" s="13" t="s">
        <v>300</v>
      </c>
    </row>
    <row r="76" spans="1:23" x14ac:dyDescent="0.2">
      <c r="A76" t="s">
        <v>191</v>
      </c>
      <c r="O76">
        <v>7.5</v>
      </c>
      <c r="P76" s="42">
        <v>45</v>
      </c>
      <c r="R76">
        <v>22.4</v>
      </c>
      <c r="S76" s="1"/>
      <c r="T76" s="19">
        <v>43401</v>
      </c>
      <c r="U76" s="13" t="s">
        <v>248</v>
      </c>
      <c r="V76" t="s">
        <v>293</v>
      </c>
      <c r="W76" s="13" t="s">
        <v>311</v>
      </c>
    </row>
    <row r="77" spans="1:23" x14ac:dyDescent="0.2">
      <c r="A77" t="s">
        <v>191</v>
      </c>
      <c r="O77">
        <v>2.5</v>
      </c>
      <c r="P77" s="42">
        <v>53.5</v>
      </c>
      <c r="R77">
        <v>26.8</v>
      </c>
      <c r="S77" s="1"/>
      <c r="T77" s="19">
        <v>43401</v>
      </c>
      <c r="U77" s="13" t="s">
        <v>248</v>
      </c>
      <c r="V77" s="41" t="s">
        <v>312</v>
      </c>
      <c r="W77" s="13" t="s">
        <v>307</v>
      </c>
    </row>
    <row r="78" spans="1:23" x14ac:dyDescent="0.2">
      <c r="A78" t="s">
        <v>191</v>
      </c>
      <c r="O78">
        <v>-13.5</v>
      </c>
      <c r="P78" s="42">
        <v>44</v>
      </c>
      <c r="R78">
        <v>23.7</v>
      </c>
      <c r="S78" s="1"/>
      <c r="T78" s="19">
        <v>43401</v>
      </c>
      <c r="U78" s="13" t="s">
        <v>248</v>
      </c>
      <c r="V78" t="s">
        <v>302</v>
      </c>
      <c r="W78" s="13" t="s">
        <v>276</v>
      </c>
    </row>
    <row r="79" spans="1:23" x14ac:dyDescent="0.2">
      <c r="A79" t="s">
        <v>191</v>
      </c>
      <c r="O79">
        <v>-2.5</v>
      </c>
      <c r="P79" s="42">
        <v>53.5</v>
      </c>
      <c r="R79">
        <v>13.1</v>
      </c>
      <c r="S79" s="1"/>
      <c r="T79" s="19">
        <v>43401</v>
      </c>
      <c r="U79" s="13" t="s">
        <v>248</v>
      </c>
      <c r="V79" s="41" t="s">
        <v>307</v>
      </c>
      <c r="W79" s="13" t="s">
        <v>312</v>
      </c>
    </row>
    <row r="80" spans="1:23" x14ac:dyDescent="0.2">
      <c r="A80" t="s">
        <v>191</v>
      </c>
      <c r="F80" t="s">
        <v>110</v>
      </c>
      <c r="O80">
        <v>1</v>
      </c>
      <c r="P80" s="42">
        <v>43</v>
      </c>
      <c r="R80">
        <v>24.6</v>
      </c>
      <c r="S80" s="1"/>
      <c r="T80" s="19">
        <v>43401</v>
      </c>
      <c r="U80" s="13" t="s">
        <v>248</v>
      </c>
      <c r="V80" s="41" t="s">
        <v>296</v>
      </c>
      <c r="W80" s="13" t="s">
        <v>306</v>
      </c>
    </row>
    <row r="81" spans="1:23" x14ac:dyDescent="0.2">
      <c r="A81" t="s">
        <v>191</v>
      </c>
      <c r="O81">
        <v>8.5</v>
      </c>
      <c r="P81" s="42">
        <v>42.5</v>
      </c>
      <c r="R81">
        <v>6</v>
      </c>
      <c r="S81" s="1"/>
      <c r="T81" s="19">
        <v>43401</v>
      </c>
      <c r="U81" s="13" t="s">
        <v>248</v>
      </c>
      <c r="V81" t="s">
        <v>298</v>
      </c>
      <c r="W81" s="13" t="s">
        <v>265</v>
      </c>
    </row>
    <row r="82" spans="1:23" x14ac:dyDescent="0.2">
      <c r="A82" t="s">
        <v>191</v>
      </c>
      <c r="O82">
        <v>-4</v>
      </c>
      <c r="P82" s="42">
        <v>44.5</v>
      </c>
      <c r="R82">
        <v>7.5</v>
      </c>
      <c r="S82" s="1"/>
      <c r="T82" s="19">
        <v>43401</v>
      </c>
      <c r="U82" s="13" t="s">
        <v>248</v>
      </c>
      <c r="V82" t="s">
        <v>294</v>
      </c>
      <c r="W82" s="13" t="s">
        <v>297</v>
      </c>
    </row>
    <row r="83" spans="1:23" x14ac:dyDescent="0.2">
      <c r="A83" t="s">
        <v>191</v>
      </c>
      <c r="O83">
        <v>-8.5</v>
      </c>
      <c r="P83" s="42">
        <v>47.5</v>
      </c>
      <c r="R83">
        <v>25.4</v>
      </c>
      <c r="S83" s="1"/>
      <c r="T83" s="19">
        <v>43401</v>
      </c>
      <c r="U83" s="13" t="s">
        <v>248</v>
      </c>
      <c r="V83" s="41" t="s">
        <v>309</v>
      </c>
      <c r="W83" s="13" t="s">
        <v>281</v>
      </c>
    </row>
    <row r="84" spans="1:23" x14ac:dyDescent="0.2">
      <c r="A84" t="s">
        <v>191</v>
      </c>
      <c r="D84" t="s">
        <v>75</v>
      </c>
      <c r="O84">
        <v>-2.5</v>
      </c>
      <c r="P84" s="42">
        <v>40</v>
      </c>
      <c r="R84">
        <v>12.5</v>
      </c>
      <c r="S84" s="1"/>
      <c r="T84" s="19">
        <v>43401</v>
      </c>
      <c r="U84" s="13" t="s">
        <v>248</v>
      </c>
      <c r="V84" s="41" t="s">
        <v>256</v>
      </c>
      <c r="W84" s="13" t="s">
        <v>285</v>
      </c>
    </row>
    <row r="85" spans="1:23" x14ac:dyDescent="0.2">
      <c r="A85" t="s">
        <v>191</v>
      </c>
      <c r="B85" t="s">
        <v>427</v>
      </c>
      <c r="C85">
        <v>8.6999999999999993</v>
      </c>
      <c r="D85" t="s">
        <v>75</v>
      </c>
      <c r="F85" t="s">
        <v>110</v>
      </c>
      <c r="O85">
        <v>3</v>
      </c>
      <c r="P85" s="42">
        <v>47.5</v>
      </c>
      <c r="R85">
        <v>4.5999999999999996</v>
      </c>
      <c r="S85" s="1"/>
      <c r="T85" s="19">
        <v>43401</v>
      </c>
      <c r="U85" s="13" t="s">
        <v>248</v>
      </c>
      <c r="V85" s="41" t="s">
        <v>308</v>
      </c>
      <c r="W85" s="13" t="s">
        <v>299</v>
      </c>
    </row>
    <row r="86" spans="1:23" x14ac:dyDescent="0.2">
      <c r="A86" t="s">
        <v>191</v>
      </c>
      <c r="E86" t="s">
        <v>75</v>
      </c>
      <c r="F86" t="s">
        <v>109</v>
      </c>
      <c r="O86">
        <v>3.5</v>
      </c>
      <c r="P86" s="42">
        <v>55</v>
      </c>
      <c r="R86">
        <v>32.9</v>
      </c>
      <c r="S86" s="1"/>
      <c r="T86" s="19">
        <v>43401</v>
      </c>
      <c r="U86" s="13" t="s">
        <v>248</v>
      </c>
      <c r="V86" s="41" t="s">
        <v>284</v>
      </c>
      <c r="W86" s="13" t="s">
        <v>272</v>
      </c>
    </row>
    <row r="87" spans="1:23" x14ac:dyDescent="0.2">
      <c r="A87" t="s">
        <v>191</v>
      </c>
      <c r="F87" t="s">
        <v>110</v>
      </c>
      <c r="O87">
        <v>-1</v>
      </c>
      <c r="P87" s="42">
        <v>43</v>
      </c>
      <c r="R87">
        <v>6.1</v>
      </c>
      <c r="S87" s="1"/>
      <c r="T87" s="19">
        <v>43401</v>
      </c>
      <c r="U87" s="13" t="s">
        <v>248</v>
      </c>
      <c r="V87" s="18" t="s">
        <v>306</v>
      </c>
      <c r="W87" s="13" t="s">
        <v>296</v>
      </c>
    </row>
    <row r="88" spans="1:23" x14ac:dyDescent="0.2">
      <c r="A88" t="s">
        <v>191</v>
      </c>
      <c r="O88">
        <v>1.5</v>
      </c>
      <c r="P88" s="42">
        <v>46.5</v>
      </c>
      <c r="R88">
        <v>28.1</v>
      </c>
      <c r="S88" s="1"/>
      <c r="T88" s="19">
        <v>43408</v>
      </c>
      <c r="U88" s="13" t="s">
        <v>246</v>
      </c>
      <c r="V88" s="18" t="s">
        <v>295</v>
      </c>
      <c r="W88" s="13" t="s">
        <v>306</v>
      </c>
    </row>
    <row r="89" spans="1:23" x14ac:dyDescent="0.2">
      <c r="A89" t="s">
        <v>191</v>
      </c>
      <c r="F89" t="s">
        <v>109</v>
      </c>
      <c r="O89">
        <v>-1.5</v>
      </c>
      <c r="P89" s="42">
        <v>47</v>
      </c>
      <c r="R89">
        <v>12.8</v>
      </c>
      <c r="S89" s="1"/>
      <c r="T89" s="19">
        <v>43408</v>
      </c>
      <c r="U89" s="13" t="s">
        <v>246</v>
      </c>
      <c r="V89" s="18" t="s">
        <v>305</v>
      </c>
      <c r="W89" s="13" t="s">
        <v>309</v>
      </c>
    </row>
    <row r="90" spans="1:23" x14ac:dyDescent="0.2">
      <c r="A90" t="s">
        <v>191</v>
      </c>
      <c r="O90">
        <v>10.5</v>
      </c>
      <c r="P90" s="42">
        <v>38</v>
      </c>
      <c r="R90">
        <v>5.8</v>
      </c>
      <c r="S90" s="1"/>
      <c r="T90" s="19">
        <v>43408</v>
      </c>
      <c r="U90" s="13" t="s">
        <v>246</v>
      </c>
      <c r="V90" s="18" t="s">
        <v>276</v>
      </c>
      <c r="W90" s="13" t="s">
        <v>265</v>
      </c>
    </row>
    <row r="91" spans="1:23" x14ac:dyDescent="0.2">
      <c r="A91" t="s">
        <v>191</v>
      </c>
      <c r="D91" t="s">
        <v>75</v>
      </c>
      <c r="F91" t="s">
        <v>109</v>
      </c>
      <c r="O91">
        <v>-6</v>
      </c>
      <c r="P91" s="42">
        <v>55.5</v>
      </c>
      <c r="R91">
        <v>8.4</v>
      </c>
      <c r="S91" s="1"/>
      <c r="T91" s="19">
        <v>43408</v>
      </c>
      <c r="U91" s="13" t="s">
        <v>246</v>
      </c>
      <c r="V91" s="18" t="s">
        <v>301</v>
      </c>
      <c r="W91" s="13" t="s">
        <v>284</v>
      </c>
    </row>
    <row r="92" spans="1:23" x14ac:dyDescent="0.2">
      <c r="A92" t="s">
        <v>191</v>
      </c>
      <c r="O92">
        <v>-10.5</v>
      </c>
      <c r="P92" s="42">
        <v>38</v>
      </c>
      <c r="R92">
        <v>7.5</v>
      </c>
      <c r="S92" s="1"/>
      <c r="T92" s="19">
        <v>43408</v>
      </c>
      <c r="U92" s="13" t="s">
        <v>246</v>
      </c>
      <c r="V92" s="18" t="s">
        <v>265</v>
      </c>
      <c r="W92" s="13" t="s">
        <v>276</v>
      </c>
    </row>
    <row r="93" spans="1:23" x14ac:dyDescent="0.2">
      <c r="A93" t="s">
        <v>191</v>
      </c>
      <c r="B93" t="s">
        <v>52</v>
      </c>
      <c r="C93">
        <v>13.7</v>
      </c>
      <c r="O93">
        <v>7.5</v>
      </c>
      <c r="P93" s="42">
        <v>51</v>
      </c>
      <c r="R93">
        <v>11</v>
      </c>
      <c r="S93" s="1"/>
      <c r="T93" s="19">
        <v>43408</v>
      </c>
      <c r="U93" s="13" t="s">
        <v>246</v>
      </c>
      <c r="V93" s="41" t="s">
        <v>281</v>
      </c>
      <c r="W93" s="13" t="s">
        <v>288</v>
      </c>
    </row>
    <row r="94" spans="1:23" x14ac:dyDescent="0.2">
      <c r="A94" t="s">
        <v>191</v>
      </c>
      <c r="D94" t="s">
        <v>75</v>
      </c>
      <c r="F94" t="s">
        <v>110</v>
      </c>
      <c r="O94">
        <v>-4.5</v>
      </c>
      <c r="P94" s="42">
        <v>40</v>
      </c>
      <c r="R94">
        <v>16.8</v>
      </c>
      <c r="S94" s="1"/>
      <c r="T94" s="19">
        <v>43408</v>
      </c>
      <c r="U94" s="13" t="s">
        <v>246</v>
      </c>
      <c r="V94" s="17" t="s">
        <v>291</v>
      </c>
      <c r="W94" s="13" t="s">
        <v>310</v>
      </c>
    </row>
    <row r="95" spans="1:23" x14ac:dyDescent="0.2">
      <c r="A95" t="s">
        <v>191</v>
      </c>
      <c r="O95">
        <v>-1</v>
      </c>
      <c r="P95" s="42">
        <v>46.5</v>
      </c>
      <c r="R95">
        <v>10.7</v>
      </c>
      <c r="S95" s="1"/>
      <c r="T95" s="19">
        <v>43408</v>
      </c>
      <c r="U95" s="13" t="s">
        <v>246</v>
      </c>
      <c r="V95" s="41" t="s">
        <v>278</v>
      </c>
      <c r="W95" s="13" t="s">
        <v>311</v>
      </c>
    </row>
    <row r="96" spans="1:23" x14ac:dyDescent="0.2">
      <c r="A96" t="s">
        <v>191</v>
      </c>
      <c r="F96" t="s">
        <v>110</v>
      </c>
      <c r="O96">
        <v>4.5</v>
      </c>
      <c r="P96" s="42">
        <v>47</v>
      </c>
      <c r="R96">
        <v>8.4</v>
      </c>
      <c r="S96" s="1"/>
      <c r="T96" s="19">
        <v>43408</v>
      </c>
      <c r="U96" t="s">
        <v>246</v>
      </c>
      <c r="V96" t="s">
        <v>299</v>
      </c>
      <c r="W96" t="s">
        <v>312</v>
      </c>
    </row>
    <row r="97" spans="1:23" x14ac:dyDescent="0.2">
      <c r="A97" t="s">
        <v>191</v>
      </c>
      <c r="F97" t="s">
        <v>109</v>
      </c>
      <c r="O97">
        <v>5</v>
      </c>
      <c r="P97" s="42">
        <v>56</v>
      </c>
      <c r="R97">
        <v>16</v>
      </c>
      <c r="S97" s="1"/>
      <c r="T97" s="19">
        <v>43408</v>
      </c>
      <c r="U97" s="13" t="s">
        <v>246</v>
      </c>
      <c r="V97" s="41" t="s">
        <v>300</v>
      </c>
      <c r="W97" s="13" t="s">
        <v>302</v>
      </c>
    </row>
    <row r="98" spans="1:23" x14ac:dyDescent="0.2">
      <c r="A98" t="s">
        <v>191</v>
      </c>
      <c r="D98" t="s">
        <v>75</v>
      </c>
      <c r="O98">
        <v>1</v>
      </c>
      <c r="P98" s="42">
        <v>46.5</v>
      </c>
      <c r="R98">
        <v>29.5</v>
      </c>
      <c r="S98" s="1"/>
      <c r="T98" s="19">
        <v>43408</v>
      </c>
      <c r="U98" s="13" t="s">
        <v>246</v>
      </c>
      <c r="V98" t="s">
        <v>311</v>
      </c>
      <c r="W98" s="13" t="s">
        <v>278</v>
      </c>
    </row>
    <row r="99" spans="1:23" x14ac:dyDescent="0.2">
      <c r="A99" t="s">
        <v>191</v>
      </c>
      <c r="O99">
        <v>-7.5</v>
      </c>
      <c r="P99" s="42">
        <v>51</v>
      </c>
      <c r="R99">
        <v>12.5</v>
      </c>
      <c r="S99" s="1"/>
      <c r="T99" s="19">
        <v>43408</v>
      </c>
      <c r="U99" s="13" t="s">
        <v>246</v>
      </c>
      <c r="V99" s="41" t="s">
        <v>288</v>
      </c>
      <c r="W99" s="13" t="s">
        <v>281</v>
      </c>
    </row>
    <row r="100" spans="1:23" x14ac:dyDescent="0.2">
      <c r="A100" t="s">
        <v>191</v>
      </c>
      <c r="D100" t="s">
        <v>75</v>
      </c>
      <c r="O100">
        <v>-1.5</v>
      </c>
      <c r="P100" s="42">
        <v>44</v>
      </c>
      <c r="R100">
        <v>3.6</v>
      </c>
      <c r="S100" s="1"/>
      <c r="T100" s="19">
        <v>43408</v>
      </c>
      <c r="U100" s="13" t="s">
        <v>246</v>
      </c>
      <c r="V100" s="17" t="s">
        <v>303</v>
      </c>
      <c r="W100" s="13" t="s">
        <v>256</v>
      </c>
    </row>
    <row r="101" spans="1:23" x14ac:dyDescent="0.2">
      <c r="A101" t="s">
        <v>191</v>
      </c>
      <c r="D101" t="s">
        <v>75</v>
      </c>
      <c r="F101" t="s">
        <v>110</v>
      </c>
      <c r="O101">
        <v>1</v>
      </c>
      <c r="P101" s="42">
        <v>48.5</v>
      </c>
      <c r="R101">
        <v>24.2</v>
      </c>
      <c r="S101" s="1"/>
      <c r="T101" s="19">
        <v>43408</v>
      </c>
      <c r="U101" s="13" t="s">
        <v>246</v>
      </c>
      <c r="V101" s="17" t="s">
        <v>287</v>
      </c>
      <c r="W101" s="13" t="s">
        <v>308</v>
      </c>
    </row>
    <row r="102" spans="1:23" x14ac:dyDescent="0.2">
      <c r="A102" t="s">
        <v>191</v>
      </c>
      <c r="O102">
        <v>-2.5</v>
      </c>
      <c r="P102" s="42">
        <v>57.5</v>
      </c>
      <c r="R102">
        <v>26.4</v>
      </c>
      <c r="S102" s="1"/>
      <c r="T102" s="19">
        <v>43408</v>
      </c>
      <c r="U102" s="13" t="s">
        <v>246</v>
      </c>
      <c r="V102" s="41" t="s">
        <v>304</v>
      </c>
      <c r="W102" s="13" t="s">
        <v>307</v>
      </c>
    </row>
    <row r="103" spans="1:23" x14ac:dyDescent="0.2">
      <c r="A103" t="s">
        <v>191</v>
      </c>
      <c r="O103">
        <v>-3</v>
      </c>
      <c r="P103" s="42">
        <v>43.5</v>
      </c>
      <c r="R103">
        <v>9.6999999999999993</v>
      </c>
      <c r="S103" s="1"/>
      <c r="T103" s="19">
        <v>43408</v>
      </c>
      <c r="U103" s="13" t="s">
        <v>246</v>
      </c>
      <c r="V103" t="s">
        <v>293</v>
      </c>
      <c r="W103" s="13" t="s">
        <v>298</v>
      </c>
    </row>
    <row r="104" spans="1:23" x14ac:dyDescent="0.2">
      <c r="A104" t="s">
        <v>191</v>
      </c>
      <c r="D104" t="s">
        <v>75</v>
      </c>
      <c r="F104" t="s">
        <v>110</v>
      </c>
      <c r="O104">
        <v>-4.5</v>
      </c>
      <c r="P104" s="42">
        <v>47</v>
      </c>
      <c r="R104">
        <v>12.7</v>
      </c>
      <c r="S104" s="1"/>
      <c r="T104" s="19">
        <v>43408</v>
      </c>
      <c r="U104" s="13" t="s">
        <v>246</v>
      </c>
      <c r="V104" t="s">
        <v>312</v>
      </c>
      <c r="W104" s="13" t="s">
        <v>299</v>
      </c>
    </row>
    <row r="105" spans="1:23" x14ac:dyDescent="0.2">
      <c r="A105" t="s">
        <v>191</v>
      </c>
      <c r="D105" t="s">
        <v>75</v>
      </c>
      <c r="F105" t="s">
        <v>109</v>
      </c>
      <c r="O105">
        <v>-5</v>
      </c>
      <c r="P105" s="42">
        <v>56</v>
      </c>
      <c r="R105">
        <v>17.38</v>
      </c>
      <c r="S105" s="1"/>
      <c r="T105" s="19">
        <v>43408</v>
      </c>
      <c r="U105" s="13" t="s">
        <v>246</v>
      </c>
      <c r="V105" s="41" t="s">
        <v>302</v>
      </c>
      <c r="W105" s="13" t="s">
        <v>300</v>
      </c>
    </row>
    <row r="106" spans="1:23" x14ac:dyDescent="0.2">
      <c r="A106" t="s">
        <v>191</v>
      </c>
      <c r="D106" t="s">
        <v>75</v>
      </c>
      <c r="O106">
        <v>2.5</v>
      </c>
      <c r="P106" s="42">
        <v>57.5</v>
      </c>
      <c r="R106">
        <v>26.4</v>
      </c>
      <c r="S106" s="1"/>
      <c r="T106" s="19">
        <v>43408</v>
      </c>
      <c r="U106" s="13" t="s">
        <v>246</v>
      </c>
      <c r="V106" s="41" t="s">
        <v>307</v>
      </c>
      <c r="W106" s="13" t="s">
        <v>304</v>
      </c>
    </row>
    <row r="107" spans="1:23" x14ac:dyDescent="0.2">
      <c r="A107" t="s">
        <v>191</v>
      </c>
      <c r="B107" t="s">
        <v>27</v>
      </c>
      <c r="C107">
        <v>10.4</v>
      </c>
      <c r="O107">
        <v>3</v>
      </c>
      <c r="P107" s="42">
        <v>43.5</v>
      </c>
      <c r="R107">
        <v>7.2</v>
      </c>
      <c r="S107" s="1"/>
      <c r="T107" s="19">
        <v>43408</v>
      </c>
      <c r="U107" s="13" t="s">
        <v>246</v>
      </c>
      <c r="V107" t="s">
        <v>298</v>
      </c>
      <c r="W107" s="13" t="s">
        <v>293</v>
      </c>
    </row>
    <row r="108" spans="1:23" x14ac:dyDescent="0.2">
      <c r="A108" t="s">
        <v>191</v>
      </c>
      <c r="F108" t="s">
        <v>109</v>
      </c>
      <c r="O108">
        <v>1.5</v>
      </c>
      <c r="P108" s="42">
        <v>47</v>
      </c>
      <c r="R108">
        <v>15.2</v>
      </c>
      <c r="S108" s="1"/>
      <c r="T108" s="19">
        <v>43408</v>
      </c>
      <c r="U108" s="13" t="s">
        <v>246</v>
      </c>
      <c r="V108" s="41" t="s">
        <v>309</v>
      </c>
      <c r="W108" s="13" t="s">
        <v>305</v>
      </c>
    </row>
    <row r="109" spans="1:23" x14ac:dyDescent="0.2">
      <c r="A109" t="s">
        <v>191</v>
      </c>
      <c r="O109">
        <v>1.5</v>
      </c>
      <c r="P109" s="42">
        <v>44</v>
      </c>
      <c r="R109">
        <v>2.2999999999999998</v>
      </c>
      <c r="S109" s="1"/>
      <c r="T109" s="19">
        <v>43408</v>
      </c>
      <c r="U109" s="13" t="s">
        <v>246</v>
      </c>
      <c r="V109" s="41" t="s">
        <v>256</v>
      </c>
      <c r="W109" s="13" t="s">
        <v>303</v>
      </c>
    </row>
    <row r="110" spans="1:23" x14ac:dyDescent="0.2">
      <c r="A110" t="s">
        <v>191</v>
      </c>
      <c r="B110" t="s">
        <v>427</v>
      </c>
      <c r="C110">
        <v>10.8</v>
      </c>
      <c r="F110" t="s">
        <v>110</v>
      </c>
      <c r="O110">
        <v>-1</v>
      </c>
      <c r="P110" s="42">
        <v>48.5</v>
      </c>
      <c r="R110">
        <v>11.7</v>
      </c>
      <c r="S110" s="1"/>
      <c r="T110" s="19">
        <v>43408</v>
      </c>
      <c r="U110" s="13" t="s">
        <v>246</v>
      </c>
      <c r="V110" s="41" t="s">
        <v>308</v>
      </c>
      <c r="W110" s="13" t="s">
        <v>287</v>
      </c>
    </row>
    <row r="111" spans="1:23" x14ac:dyDescent="0.2">
      <c r="A111" t="s">
        <v>191</v>
      </c>
      <c r="B111" t="s">
        <v>53</v>
      </c>
      <c r="C111">
        <v>7.4</v>
      </c>
      <c r="F111" t="s">
        <v>109</v>
      </c>
      <c r="O111">
        <v>6</v>
      </c>
      <c r="P111" s="42">
        <v>55.5</v>
      </c>
      <c r="R111">
        <v>2.6</v>
      </c>
      <c r="S111" s="1"/>
      <c r="T111" s="19">
        <v>43408</v>
      </c>
      <c r="U111" s="13" t="s">
        <v>246</v>
      </c>
      <c r="V111" s="41" t="s">
        <v>284</v>
      </c>
      <c r="W111" s="13" t="s">
        <v>301</v>
      </c>
    </row>
    <row r="112" spans="1:23" x14ac:dyDescent="0.2">
      <c r="A112" t="s">
        <v>191</v>
      </c>
      <c r="F112" t="s">
        <v>110</v>
      </c>
      <c r="O112">
        <v>4.5</v>
      </c>
      <c r="P112" s="42">
        <v>40</v>
      </c>
      <c r="R112">
        <v>12</v>
      </c>
      <c r="S112" s="1"/>
      <c r="T112" s="19">
        <v>43408</v>
      </c>
      <c r="U112" s="13" t="s">
        <v>246</v>
      </c>
      <c r="V112" s="41" t="s">
        <v>310</v>
      </c>
      <c r="W112" s="13" t="s">
        <v>291</v>
      </c>
    </row>
    <row r="113" spans="1:23" x14ac:dyDescent="0.2">
      <c r="A113" t="s">
        <v>191</v>
      </c>
      <c r="D113" t="s">
        <v>75</v>
      </c>
      <c r="O113">
        <v>-1.5</v>
      </c>
      <c r="P113" s="42">
        <v>46.5</v>
      </c>
      <c r="R113">
        <v>12.1</v>
      </c>
      <c r="S113" s="1"/>
      <c r="T113" s="19">
        <v>43408</v>
      </c>
      <c r="U113" s="13" t="s">
        <v>246</v>
      </c>
      <c r="V113" s="18" t="s">
        <v>306</v>
      </c>
      <c r="W113" s="13" t="s">
        <v>295</v>
      </c>
    </row>
    <row r="114" spans="1:23" x14ac:dyDescent="0.2">
      <c r="A114" t="s">
        <v>191</v>
      </c>
      <c r="O114">
        <v>16.5</v>
      </c>
      <c r="P114" s="42">
        <v>49.5</v>
      </c>
      <c r="R114">
        <v>11</v>
      </c>
      <c r="S114" s="1"/>
      <c r="T114" s="19">
        <v>43415</v>
      </c>
      <c r="U114" s="13" t="s">
        <v>244</v>
      </c>
      <c r="V114" s="18" t="s">
        <v>285</v>
      </c>
      <c r="W114" s="13" t="s">
        <v>288</v>
      </c>
    </row>
    <row r="115" spans="1:23" x14ac:dyDescent="0.2">
      <c r="A115" t="s">
        <v>191</v>
      </c>
      <c r="O115">
        <v>-5.5</v>
      </c>
      <c r="P115" s="42">
        <v>49.5</v>
      </c>
      <c r="R115">
        <v>26.7</v>
      </c>
      <c r="S115" s="1"/>
      <c r="T115" s="19">
        <v>43415</v>
      </c>
      <c r="U115" s="13" t="s">
        <v>244</v>
      </c>
      <c r="V115" s="18" t="s">
        <v>295</v>
      </c>
      <c r="W115" s="13" t="s">
        <v>281</v>
      </c>
    </row>
    <row r="116" spans="1:23" x14ac:dyDescent="0.2">
      <c r="A116" t="s">
        <v>191</v>
      </c>
      <c r="O116">
        <v>6.5</v>
      </c>
      <c r="P116" s="42">
        <v>38</v>
      </c>
      <c r="R116">
        <v>23.3</v>
      </c>
      <c r="S116" s="1"/>
      <c r="T116" s="19">
        <v>43415</v>
      </c>
      <c r="U116" s="13" t="s">
        <v>244</v>
      </c>
      <c r="V116" s="18" t="s">
        <v>276</v>
      </c>
      <c r="W116" s="13" t="s">
        <v>298</v>
      </c>
    </row>
    <row r="117" spans="1:23" x14ac:dyDescent="0.2">
      <c r="A117" t="s">
        <v>191</v>
      </c>
      <c r="O117">
        <v>3.5</v>
      </c>
      <c r="P117" s="42">
        <v>51</v>
      </c>
      <c r="R117">
        <v>6.2</v>
      </c>
      <c r="S117" s="1"/>
      <c r="T117" s="19">
        <v>43415</v>
      </c>
      <c r="U117" s="13" t="s">
        <v>244</v>
      </c>
      <c r="V117" s="18" t="s">
        <v>301</v>
      </c>
      <c r="W117" s="13" t="s">
        <v>309</v>
      </c>
    </row>
    <row r="118" spans="1:23" x14ac:dyDescent="0.2">
      <c r="A118" t="s">
        <v>191</v>
      </c>
      <c r="D118" t="s">
        <v>75</v>
      </c>
      <c r="E118" t="s">
        <v>75</v>
      </c>
      <c r="O118">
        <v>-7.5</v>
      </c>
      <c r="P118" s="42">
        <v>44.5</v>
      </c>
      <c r="R118">
        <v>34.299999999999997</v>
      </c>
      <c r="S118" s="1"/>
      <c r="T118" s="19">
        <v>43415</v>
      </c>
      <c r="U118" s="13" t="s">
        <v>244</v>
      </c>
      <c r="V118" s="18" t="s">
        <v>265</v>
      </c>
      <c r="W118" s="13" t="s">
        <v>299</v>
      </c>
    </row>
    <row r="119" spans="1:23" x14ac:dyDescent="0.2">
      <c r="A119" t="s">
        <v>191</v>
      </c>
      <c r="F119" t="s">
        <v>109</v>
      </c>
      <c r="O119">
        <v>5.5</v>
      </c>
      <c r="P119" s="42">
        <v>53</v>
      </c>
      <c r="R119">
        <v>9.5</v>
      </c>
      <c r="S119" s="1"/>
      <c r="T119" s="19">
        <v>43415</v>
      </c>
      <c r="U119" s="13" t="s">
        <v>244</v>
      </c>
      <c r="V119" s="18" t="s">
        <v>272</v>
      </c>
      <c r="W119" s="13" t="s">
        <v>307</v>
      </c>
    </row>
    <row r="120" spans="1:23" x14ac:dyDescent="0.2">
      <c r="A120" t="s">
        <v>191</v>
      </c>
      <c r="D120" t="s">
        <v>75</v>
      </c>
      <c r="O120">
        <v>5.5</v>
      </c>
      <c r="P120" s="42">
        <v>49.5</v>
      </c>
      <c r="R120">
        <v>4.2</v>
      </c>
      <c r="S120" s="1"/>
      <c r="T120" s="19">
        <v>43415</v>
      </c>
      <c r="U120" s="13" t="s">
        <v>244</v>
      </c>
      <c r="V120" s="18" t="s">
        <v>281</v>
      </c>
      <c r="W120" s="13" t="s">
        <v>295</v>
      </c>
    </row>
    <row r="121" spans="1:23" x14ac:dyDescent="0.2">
      <c r="A121" t="s">
        <v>191</v>
      </c>
      <c r="O121">
        <v>7.5</v>
      </c>
      <c r="P121" s="42">
        <v>45.5</v>
      </c>
      <c r="R121">
        <v>13.5</v>
      </c>
      <c r="S121" s="1"/>
      <c r="T121" s="19">
        <v>43415</v>
      </c>
      <c r="U121" s="13" t="s">
        <v>244</v>
      </c>
      <c r="V121" s="16" t="s">
        <v>291</v>
      </c>
      <c r="W121" s="13" t="s">
        <v>294</v>
      </c>
    </row>
    <row r="122" spans="1:23" x14ac:dyDescent="0.2">
      <c r="A122" t="s">
        <v>191</v>
      </c>
      <c r="E122" s="20" t="s">
        <v>75</v>
      </c>
      <c r="O122">
        <v>7.5</v>
      </c>
      <c r="P122" s="42">
        <v>44.5</v>
      </c>
      <c r="R122">
        <v>19.8</v>
      </c>
      <c r="S122" s="1"/>
      <c r="T122" s="19">
        <v>43415</v>
      </c>
      <c r="U122" t="s">
        <v>244</v>
      </c>
      <c r="V122" s="18" t="s">
        <v>299</v>
      </c>
      <c r="W122" t="s">
        <v>265</v>
      </c>
    </row>
    <row r="123" spans="1:23" x14ac:dyDescent="0.2">
      <c r="A123" t="s">
        <v>191</v>
      </c>
      <c r="O123">
        <v>-13</v>
      </c>
      <c r="P123" s="42">
        <v>48.5</v>
      </c>
      <c r="R123">
        <v>21.7</v>
      </c>
      <c r="S123" s="1"/>
      <c r="T123" s="19">
        <v>43415</v>
      </c>
      <c r="U123" s="13" t="s">
        <v>244</v>
      </c>
      <c r="V123" s="41" t="s">
        <v>300</v>
      </c>
      <c r="W123" s="13" t="s">
        <v>293</v>
      </c>
    </row>
    <row r="124" spans="1:23" x14ac:dyDescent="0.2">
      <c r="A124" t="s">
        <v>191</v>
      </c>
      <c r="F124" t="s">
        <v>110</v>
      </c>
      <c r="O124">
        <v>-3</v>
      </c>
      <c r="P124" s="42">
        <v>48</v>
      </c>
      <c r="R124">
        <v>10.7</v>
      </c>
      <c r="S124" s="1"/>
      <c r="T124" s="19">
        <v>43415</v>
      </c>
      <c r="U124" s="13" t="s">
        <v>244</v>
      </c>
      <c r="V124" s="41" t="s">
        <v>289</v>
      </c>
      <c r="W124" s="13" t="s">
        <v>297</v>
      </c>
    </row>
    <row r="125" spans="1:23" x14ac:dyDescent="0.2">
      <c r="A125" t="s">
        <v>191</v>
      </c>
      <c r="B125" t="s">
        <v>72</v>
      </c>
      <c r="C125">
        <v>12.3</v>
      </c>
      <c r="D125" t="s">
        <v>75</v>
      </c>
      <c r="F125" t="s">
        <v>110</v>
      </c>
      <c r="O125">
        <v>3</v>
      </c>
      <c r="P125" s="42">
        <v>48</v>
      </c>
      <c r="R125">
        <v>18.8</v>
      </c>
      <c r="S125" s="1"/>
      <c r="T125" s="19">
        <v>43415</v>
      </c>
      <c r="U125" s="13" t="s">
        <v>244</v>
      </c>
      <c r="V125" s="17" t="s">
        <v>297</v>
      </c>
      <c r="W125" s="13" t="s">
        <v>289</v>
      </c>
    </row>
    <row r="126" spans="1:23" x14ac:dyDescent="0.2">
      <c r="A126" t="s">
        <v>191</v>
      </c>
      <c r="D126" t="s">
        <v>75</v>
      </c>
      <c r="O126">
        <v>-16.5</v>
      </c>
      <c r="P126" s="42">
        <v>49.5</v>
      </c>
      <c r="R126">
        <v>35.700000000000003</v>
      </c>
      <c r="S126" s="1"/>
      <c r="T126" s="19">
        <v>43415</v>
      </c>
      <c r="U126" s="13" t="s">
        <v>244</v>
      </c>
      <c r="V126" s="41" t="s">
        <v>288</v>
      </c>
      <c r="W126" s="13" t="s">
        <v>285</v>
      </c>
    </row>
    <row r="127" spans="1:23" x14ac:dyDescent="0.2">
      <c r="A127" t="s">
        <v>191</v>
      </c>
      <c r="F127" t="s">
        <v>110</v>
      </c>
      <c r="O127">
        <v>10.5</v>
      </c>
      <c r="P127" s="42">
        <v>50</v>
      </c>
      <c r="R127">
        <v>8.6999999999999993</v>
      </c>
      <c r="S127" s="1"/>
      <c r="T127" s="19">
        <v>43415</v>
      </c>
      <c r="U127" s="13" t="s">
        <v>244</v>
      </c>
      <c r="V127" s="17" t="s">
        <v>303</v>
      </c>
      <c r="W127" s="13" t="s">
        <v>287</v>
      </c>
    </row>
    <row r="128" spans="1:23" x14ac:dyDescent="0.2">
      <c r="A128" t="s">
        <v>191</v>
      </c>
      <c r="F128" t="s">
        <v>110</v>
      </c>
      <c r="O128">
        <v>-10.5</v>
      </c>
      <c r="P128" s="42">
        <v>50</v>
      </c>
      <c r="R128">
        <v>17.7</v>
      </c>
      <c r="S128" s="1"/>
      <c r="T128" s="19">
        <v>43415</v>
      </c>
      <c r="U128" s="13" t="s">
        <v>244</v>
      </c>
      <c r="V128" s="17" t="s">
        <v>287</v>
      </c>
      <c r="W128" s="13" t="s">
        <v>303</v>
      </c>
    </row>
    <row r="129" spans="1:23" x14ac:dyDescent="0.2">
      <c r="A129" t="s">
        <v>191</v>
      </c>
      <c r="D129" t="s">
        <v>75</v>
      </c>
      <c r="F129" t="s">
        <v>110</v>
      </c>
      <c r="O129">
        <v>-10</v>
      </c>
      <c r="P129" s="42">
        <v>51</v>
      </c>
      <c r="R129">
        <v>29.9</v>
      </c>
      <c r="S129" s="1"/>
      <c r="T129" s="19">
        <v>43415</v>
      </c>
      <c r="U129" s="13" t="s">
        <v>244</v>
      </c>
      <c r="V129" t="s">
        <v>304</v>
      </c>
      <c r="W129" s="13" t="s">
        <v>308</v>
      </c>
    </row>
    <row r="130" spans="1:23" x14ac:dyDescent="0.2">
      <c r="A130" t="s">
        <v>191</v>
      </c>
      <c r="D130" t="s">
        <v>75</v>
      </c>
      <c r="O130">
        <v>13</v>
      </c>
      <c r="P130" s="42">
        <v>48.5</v>
      </c>
      <c r="R130">
        <v>14.2</v>
      </c>
      <c r="S130" s="1"/>
      <c r="T130" s="19">
        <v>43415</v>
      </c>
      <c r="U130" s="13" t="s">
        <v>244</v>
      </c>
      <c r="V130" s="41" t="s">
        <v>293</v>
      </c>
      <c r="W130" s="13" t="s">
        <v>300</v>
      </c>
    </row>
    <row r="131" spans="1:23" x14ac:dyDescent="0.2">
      <c r="A131" t="s">
        <v>191</v>
      </c>
      <c r="D131" t="s">
        <v>75</v>
      </c>
      <c r="F131" t="s">
        <v>109</v>
      </c>
      <c r="O131">
        <v>-6</v>
      </c>
      <c r="P131" s="42">
        <v>47</v>
      </c>
      <c r="R131">
        <v>22.64</v>
      </c>
      <c r="S131" s="1"/>
      <c r="T131" s="19">
        <v>43415</v>
      </c>
      <c r="U131" s="13" t="s">
        <v>244</v>
      </c>
      <c r="V131" t="s">
        <v>302</v>
      </c>
      <c r="W131" s="13" t="s">
        <v>310</v>
      </c>
    </row>
    <row r="132" spans="1:23" x14ac:dyDescent="0.2">
      <c r="A132" t="s">
        <v>191</v>
      </c>
      <c r="F132" t="s">
        <v>109</v>
      </c>
      <c r="O132">
        <v>-5.5</v>
      </c>
      <c r="P132" s="42">
        <v>53</v>
      </c>
      <c r="R132">
        <v>27</v>
      </c>
      <c r="S132" s="1"/>
      <c r="T132" s="19">
        <v>43415</v>
      </c>
      <c r="U132" s="13" t="s">
        <v>244</v>
      </c>
      <c r="V132" s="41" t="s">
        <v>307</v>
      </c>
      <c r="W132" s="13" t="s">
        <v>272</v>
      </c>
    </row>
    <row r="133" spans="1:23" x14ac:dyDescent="0.2">
      <c r="A133" t="s">
        <v>191</v>
      </c>
      <c r="D133" t="s">
        <v>75</v>
      </c>
      <c r="O133">
        <v>3</v>
      </c>
      <c r="P133" s="42">
        <v>45</v>
      </c>
      <c r="R133">
        <v>23.3</v>
      </c>
      <c r="S133" s="1"/>
      <c r="T133" s="19">
        <v>43415</v>
      </c>
      <c r="U133" s="13" t="s">
        <v>244</v>
      </c>
      <c r="V133" t="s">
        <v>296</v>
      </c>
      <c r="W133" s="13" t="s">
        <v>256</v>
      </c>
    </row>
    <row r="134" spans="1:23" x14ac:dyDescent="0.2">
      <c r="A134" t="s">
        <v>191</v>
      </c>
      <c r="O134">
        <v>-6.5</v>
      </c>
      <c r="P134" s="42">
        <v>38</v>
      </c>
      <c r="R134">
        <v>5.8</v>
      </c>
      <c r="S134" s="1"/>
      <c r="T134" s="19">
        <v>43415</v>
      </c>
      <c r="U134" s="13" t="s">
        <v>244</v>
      </c>
      <c r="V134" s="41" t="s">
        <v>298</v>
      </c>
      <c r="W134" s="13" t="s">
        <v>276</v>
      </c>
    </row>
    <row r="135" spans="1:23" x14ac:dyDescent="0.2">
      <c r="A135" t="s">
        <v>191</v>
      </c>
      <c r="O135">
        <v>-7.5</v>
      </c>
      <c r="P135" s="42">
        <v>45.5</v>
      </c>
      <c r="R135">
        <v>8.8000000000000007</v>
      </c>
      <c r="S135" s="1"/>
      <c r="T135" s="19">
        <v>43415</v>
      </c>
      <c r="U135" s="13" t="s">
        <v>244</v>
      </c>
      <c r="V135" s="41" t="s">
        <v>294</v>
      </c>
      <c r="W135" s="13" t="s">
        <v>291</v>
      </c>
    </row>
    <row r="136" spans="1:23" x14ac:dyDescent="0.2">
      <c r="A136" t="s">
        <v>191</v>
      </c>
      <c r="O136">
        <v>-3.5</v>
      </c>
      <c r="P136" s="42">
        <v>51</v>
      </c>
      <c r="R136">
        <v>21.6</v>
      </c>
      <c r="S136" s="1"/>
      <c r="T136" s="19">
        <v>43415</v>
      </c>
      <c r="U136" s="13" t="s">
        <v>244</v>
      </c>
      <c r="V136" s="41" t="s">
        <v>309</v>
      </c>
      <c r="W136" s="13" t="s">
        <v>301</v>
      </c>
    </row>
    <row r="137" spans="1:23" x14ac:dyDescent="0.2">
      <c r="A137" t="s">
        <v>191</v>
      </c>
      <c r="B137" t="s">
        <v>430</v>
      </c>
      <c r="C137">
        <v>7.8</v>
      </c>
      <c r="O137">
        <v>-3</v>
      </c>
      <c r="P137" s="42">
        <v>45</v>
      </c>
      <c r="R137">
        <v>10.9</v>
      </c>
      <c r="S137" s="1"/>
      <c r="T137" s="19">
        <v>43415</v>
      </c>
      <c r="U137" s="13" t="s">
        <v>244</v>
      </c>
      <c r="V137" s="41" t="s">
        <v>256</v>
      </c>
      <c r="W137" s="13" t="s">
        <v>296</v>
      </c>
    </row>
    <row r="138" spans="1:23" x14ac:dyDescent="0.2">
      <c r="A138" t="s">
        <v>191</v>
      </c>
      <c r="D138" t="s">
        <v>75</v>
      </c>
      <c r="F138" t="s">
        <v>110</v>
      </c>
      <c r="O138">
        <v>10</v>
      </c>
      <c r="P138" s="42">
        <v>51</v>
      </c>
      <c r="R138">
        <v>8.9</v>
      </c>
      <c r="S138" s="1"/>
      <c r="T138" s="19">
        <v>43415</v>
      </c>
      <c r="U138" s="13" t="s">
        <v>244</v>
      </c>
      <c r="V138" t="s">
        <v>308</v>
      </c>
      <c r="W138" s="13" t="s">
        <v>304</v>
      </c>
    </row>
    <row r="139" spans="1:23" x14ac:dyDescent="0.2">
      <c r="A139" t="s">
        <v>191</v>
      </c>
      <c r="F139" t="s">
        <v>109</v>
      </c>
      <c r="O139">
        <v>-3.5</v>
      </c>
      <c r="P139" s="42">
        <v>51</v>
      </c>
      <c r="R139">
        <v>8.1</v>
      </c>
      <c r="S139" s="1"/>
      <c r="T139" s="19">
        <v>43415</v>
      </c>
      <c r="U139" s="13" t="s">
        <v>244</v>
      </c>
      <c r="V139" s="41" t="s">
        <v>284</v>
      </c>
      <c r="W139" s="13" t="s">
        <v>306</v>
      </c>
    </row>
    <row r="140" spans="1:23" x14ac:dyDescent="0.2">
      <c r="A140" t="s">
        <v>191</v>
      </c>
      <c r="B140" t="s">
        <v>53</v>
      </c>
      <c r="C140">
        <v>9.5</v>
      </c>
      <c r="F140" t="s">
        <v>109</v>
      </c>
      <c r="O140">
        <v>6</v>
      </c>
      <c r="P140" s="42">
        <v>47</v>
      </c>
      <c r="R140">
        <v>28.5</v>
      </c>
      <c r="S140" s="1"/>
      <c r="T140" s="19">
        <v>43415</v>
      </c>
      <c r="U140" s="13" t="s">
        <v>244</v>
      </c>
      <c r="V140" t="s">
        <v>310</v>
      </c>
      <c r="W140" s="13" t="s">
        <v>302</v>
      </c>
    </row>
    <row r="141" spans="1:23" x14ac:dyDescent="0.2">
      <c r="A141" t="s">
        <v>191</v>
      </c>
      <c r="D141" t="s">
        <v>75</v>
      </c>
      <c r="F141" t="s">
        <v>109</v>
      </c>
      <c r="O141">
        <v>3.5</v>
      </c>
      <c r="P141" s="42">
        <v>51</v>
      </c>
      <c r="R141">
        <v>14.6</v>
      </c>
      <c r="S141" s="1"/>
      <c r="T141" s="19">
        <v>43415</v>
      </c>
      <c r="U141" s="13" t="s">
        <v>244</v>
      </c>
      <c r="V141" t="s">
        <v>306</v>
      </c>
      <c r="W141" s="13" t="s">
        <v>284</v>
      </c>
    </row>
    <row r="142" spans="1:23" x14ac:dyDescent="0.2">
      <c r="A142" t="s">
        <v>191</v>
      </c>
      <c r="F142" t="s">
        <v>110</v>
      </c>
      <c r="O142">
        <v>4.5</v>
      </c>
      <c r="P142" s="42">
        <v>41</v>
      </c>
      <c r="R142">
        <v>16.3</v>
      </c>
      <c r="S142" s="1"/>
      <c r="T142" s="19">
        <v>43422</v>
      </c>
      <c r="U142" s="13" t="s">
        <v>259</v>
      </c>
      <c r="V142" s="41" t="s">
        <v>285</v>
      </c>
      <c r="W142" s="13" t="s">
        <v>303</v>
      </c>
    </row>
    <row r="143" spans="1:23" x14ac:dyDescent="0.2">
      <c r="A143" t="s">
        <v>191</v>
      </c>
      <c r="O143">
        <v>-3.5</v>
      </c>
      <c r="P143" s="42">
        <v>50</v>
      </c>
      <c r="R143">
        <v>26.8</v>
      </c>
      <c r="S143" s="1"/>
      <c r="T143" s="19">
        <v>43422</v>
      </c>
      <c r="U143" s="13" t="s">
        <v>259</v>
      </c>
      <c r="V143" s="41" t="s">
        <v>295</v>
      </c>
      <c r="W143" s="13" t="s">
        <v>291</v>
      </c>
    </row>
    <row r="144" spans="1:23" x14ac:dyDescent="0.2">
      <c r="A144" t="s">
        <v>191</v>
      </c>
      <c r="F144" t="s">
        <v>109</v>
      </c>
      <c r="O144">
        <v>-6.5</v>
      </c>
      <c r="P144" s="42">
        <v>44</v>
      </c>
      <c r="R144">
        <v>1.7</v>
      </c>
      <c r="S144" s="1"/>
      <c r="T144" s="19">
        <v>43422</v>
      </c>
      <c r="U144" s="13" t="s">
        <v>259</v>
      </c>
      <c r="V144" t="s">
        <v>305</v>
      </c>
      <c r="W144" s="13" t="s">
        <v>272</v>
      </c>
    </row>
    <row r="145" spans="1:23" x14ac:dyDescent="0.2">
      <c r="A145" t="s">
        <v>191</v>
      </c>
      <c r="D145" t="s">
        <v>75</v>
      </c>
      <c r="O145">
        <v>-4</v>
      </c>
      <c r="P145" s="42">
        <v>48</v>
      </c>
      <c r="R145">
        <v>5.9</v>
      </c>
      <c r="S145" s="1"/>
      <c r="T145" s="19">
        <v>43422</v>
      </c>
      <c r="U145" s="13" t="s">
        <v>259</v>
      </c>
      <c r="V145" t="s">
        <v>301</v>
      </c>
      <c r="W145" s="13" t="s">
        <v>299</v>
      </c>
    </row>
    <row r="146" spans="1:23" x14ac:dyDescent="0.2">
      <c r="A146" t="s">
        <v>191</v>
      </c>
      <c r="O146">
        <v>-2.5</v>
      </c>
      <c r="P146" s="42">
        <v>44</v>
      </c>
      <c r="R146">
        <v>6.9</v>
      </c>
      <c r="S146" s="1"/>
      <c r="T146" s="19">
        <v>43422</v>
      </c>
      <c r="U146" s="13" t="s">
        <v>259</v>
      </c>
      <c r="V146" t="s">
        <v>265</v>
      </c>
      <c r="W146" s="13" t="s">
        <v>312</v>
      </c>
    </row>
    <row r="147" spans="1:23" x14ac:dyDescent="0.2">
      <c r="A147" t="s">
        <v>191</v>
      </c>
      <c r="F147" t="s">
        <v>109</v>
      </c>
      <c r="O147">
        <v>6.5</v>
      </c>
      <c r="P147" s="42">
        <v>44</v>
      </c>
      <c r="R147">
        <v>10.7</v>
      </c>
      <c r="S147" s="1"/>
      <c r="T147" s="19">
        <v>43422</v>
      </c>
      <c r="U147" s="13" t="s">
        <v>259</v>
      </c>
      <c r="V147" t="s">
        <v>272</v>
      </c>
      <c r="W147" s="13" t="s">
        <v>305</v>
      </c>
    </row>
    <row r="148" spans="1:23" x14ac:dyDescent="0.2">
      <c r="A148" t="s">
        <v>191</v>
      </c>
      <c r="D148" t="s">
        <v>75</v>
      </c>
      <c r="O148">
        <v>3.5</v>
      </c>
      <c r="P148" s="42">
        <v>50</v>
      </c>
      <c r="R148">
        <v>6.6</v>
      </c>
      <c r="S148" s="1"/>
      <c r="T148" s="19">
        <v>43422</v>
      </c>
      <c r="U148" s="13" t="s">
        <v>259</v>
      </c>
      <c r="V148" s="17" t="s">
        <v>291</v>
      </c>
      <c r="W148" s="13" t="s">
        <v>295</v>
      </c>
    </row>
    <row r="149" spans="1:23" x14ac:dyDescent="0.2">
      <c r="A149" t="s">
        <v>191</v>
      </c>
      <c r="B149" t="s">
        <v>129</v>
      </c>
      <c r="C149">
        <v>9.4</v>
      </c>
      <c r="O149">
        <v>7.5</v>
      </c>
      <c r="P149" s="42">
        <v>47</v>
      </c>
      <c r="R149">
        <v>10.199999999999999</v>
      </c>
      <c r="S149" s="1"/>
      <c r="T149" s="19">
        <v>43422</v>
      </c>
      <c r="U149" s="13" t="s">
        <v>259</v>
      </c>
      <c r="V149" t="s">
        <v>278</v>
      </c>
      <c r="W149" s="13" t="s">
        <v>287</v>
      </c>
    </row>
    <row r="150" spans="1:23" x14ac:dyDescent="0.2">
      <c r="A150" t="s">
        <v>191</v>
      </c>
      <c r="O150">
        <v>4</v>
      </c>
      <c r="P150" s="42">
        <v>48</v>
      </c>
      <c r="R150">
        <v>28.3</v>
      </c>
      <c r="S150" s="1"/>
      <c r="T150" s="19">
        <v>43422</v>
      </c>
      <c r="U150" t="s">
        <v>259</v>
      </c>
      <c r="V150" t="s">
        <v>299</v>
      </c>
      <c r="W150" t="s">
        <v>301</v>
      </c>
    </row>
    <row r="151" spans="1:23" x14ac:dyDescent="0.2">
      <c r="A151" t="s">
        <v>191</v>
      </c>
      <c r="D151" t="s">
        <v>75</v>
      </c>
      <c r="O151">
        <v>3</v>
      </c>
      <c r="P151" s="42">
        <v>49</v>
      </c>
      <c r="R151">
        <v>29.6</v>
      </c>
      <c r="S151" s="1"/>
      <c r="T151" s="19">
        <v>43422</v>
      </c>
      <c r="U151" s="13" t="s">
        <v>259</v>
      </c>
      <c r="V151" s="41" t="s">
        <v>300</v>
      </c>
      <c r="W151" s="13" t="s">
        <v>308</v>
      </c>
    </row>
    <row r="152" spans="1:23" x14ac:dyDescent="0.2">
      <c r="A152" t="s">
        <v>191</v>
      </c>
      <c r="F152" t="s">
        <v>110</v>
      </c>
      <c r="O152">
        <v>-3</v>
      </c>
      <c r="P152" s="42">
        <v>40.5</v>
      </c>
      <c r="R152">
        <v>15.6</v>
      </c>
      <c r="S152" s="1"/>
      <c r="T152" s="19">
        <v>43422</v>
      </c>
      <c r="U152" s="13" t="s">
        <v>259</v>
      </c>
      <c r="V152" s="41" t="s">
        <v>311</v>
      </c>
      <c r="W152" s="13" t="s">
        <v>306</v>
      </c>
    </row>
    <row r="153" spans="1:23" x14ac:dyDescent="0.2">
      <c r="A153" t="s">
        <v>191</v>
      </c>
      <c r="B153" t="s">
        <v>431</v>
      </c>
      <c r="C153">
        <v>8.5</v>
      </c>
      <c r="D153" t="s">
        <v>75</v>
      </c>
      <c r="F153" t="s">
        <v>110</v>
      </c>
      <c r="O153">
        <v>-2</v>
      </c>
      <c r="P153" s="42">
        <v>50</v>
      </c>
      <c r="R153">
        <v>39.5</v>
      </c>
      <c r="S153" s="1"/>
      <c r="T153" s="19">
        <v>43422</v>
      </c>
      <c r="U153" s="13" t="s">
        <v>259</v>
      </c>
      <c r="V153" s="41" t="s">
        <v>289</v>
      </c>
      <c r="W153" s="13" t="s">
        <v>310</v>
      </c>
    </row>
    <row r="154" spans="1:23" x14ac:dyDescent="0.2">
      <c r="A154" t="s">
        <v>191</v>
      </c>
      <c r="O154">
        <v>4</v>
      </c>
      <c r="P154" s="42">
        <v>47</v>
      </c>
      <c r="R154">
        <v>2.1</v>
      </c>
      <c r="S154" s="1"/>
      <c r="T154" s="19">
        <v>43422</v>
      </c>
      <c r="U154" s="13" t="s">
        <v>259</v>
      </c>
      <c r="V154" s="17" t="s">
        <v>297</v>
      </c>
      <c r="W154" s="13" t="s">
        <v>309</v>
      </c>
    </row>
    <row r="155" spans="1:23" x14ac:dyDescent="0.2">
      <c r="A155" t="s">
        <v>191</v>
      </c>
      <c r="D155" t="s">
        <v>75</v>
      </c>
      <c r="O155">
        <v>3</v>
      </c>
      <c r="P155" s="42">
        <v>63.5</v>
      </c>
      <c r="R155">
        <v>46.5</v>
      </c>
      <c r="S155" s="1"/>
      <c r="T155" s="19">
        <v>43422</v>
      </c>
      <c r="U155" s="13" t="s">
        <v>259</v>
      </c>
      <c r="V155" t="s">
        <v>288</v>
      </c>
      <c r="W155" s="13" t="s">
        <v>304</v>
      </c>
    </row>
    <row r="156" spans="1:23" x14ac:dyDescent="0.2">
      <c r="A156" t="s">
        <v>191</v>
      </c>
      <c r="D156" t="s">
        <v>75</v>
      </c>
      <c r="F156" t="s">
        <v>110</v>
      </c>
      <c r="O156">
        <v>-4.5</v>
      </c>
      <c r="P156" s="42">
        <v>41</v>
      </c>
      <c r="R156">
        <v>10.9</v>
      </c>
      <c r="S156" s="1"/>
      <c r="T156" s="19">
        <v>43422</v>
      </c>
      <c r="U156" s="13" t="s">
        <v>259</v>
      </c>
      <c r="V156" s="17" t="s">
        <v>303</v>
      </c>
      <c r="W156" s="13" t="s">
        <v>285</v>
      </c>
    </row>
    <row r="157" spans="1:23" x14ac:dyDescent="0.2">
      <c r="A157" t="s">
        <v>191</v>
      </c>
      <c r="D157" t="s">
        <v>75</v>
      </c>
      <c r="O157">
        <v>-7.5</v>
      </c>
      <c r="P157" s="42">
        <v>47</v>
      </c>
      <c r="R157">
        <v>24</v>
      </c>
      <c r="S157" s="1"/>
      <c r="T157" s="19">
        <v>43422</v>
      </c>
      <c r="U157" s="13" t="s">
        <v>259</v>
      </c>
      <c r="V157" s="17" t="s">
        <v>287</v>
      </c>
      <c r="W157" s="13" t="s">
        <v>278</v>
      </c>
    </row>
    <row r="158" spans="1:23" x14ac:dyDescent="0.2">
      <c r="A158" t="s">
        <v>191</v>
      </c>
      <c r="O158">
        <v>-3</v>
      </c>
      <c r="P158" s="42">
        <v>63.5</v>
      </c>
      <c r="R158">
        <v>21.7</v>
      </c>
      <c r="S158" s="1"/>
      <c r="T158" s="19">
        <v>43422</v>
      </c>
      <c r="U158" s="13" t="s">
        <v>259</v>
      </c>
      <c r="V158" t="s">
        <v>304</v>
      </c>
      <c r="W158" s="13" t="s">
        <v>288</v>
      </c>
    </row>
    <row r="159" spans="1:23" x14ac:dyDescent="0.2">
      <c r="A159" t="s">
        <v>191</v>
      </c>
      <c r="O159">
        <v>2.5</v>
      </c>
      <c r="P159" s="42">
        <v>44</v>
      </c>
      <c r="R159">
        <v>15.6</v>
      </c>
      <c r="S159" s="1"/>
      <c r="T159" s="19">
        <v>43422</v>
      </c>
      <c r="U159" s="13" t="s">
        <v>259</v>
      </c>
      <c r="V159" s="41" t="s">
        <v>312</v>
      </c>
      <c r="W159" s="13" t="s">
        <v>265</v>
      </c>
    </row>
    <row r="160" spans="1:23" x14ac:dyDescent="0.2">
      <c r="A160" t="s">
        <v>191</v>
      </c>
      <c r="F160" t="s">
        <v>109</v>
      </c>
      <c r="O160">
        <v>-7</v>
      </c>
      <c r="P160" s="42">
        <v>56.5</v>
      </c>
      <c r="R160">
        <v>19.2</v>
      </c>
      <c r="S160" s="1"/>
      <c r="T160" s="19">
        <v>43422</v>
      </c>
      <c r="U160" s="13" t="s">
        <v>259</v>
      </c>
      <c r="V160" s="41" t="s">
        <v>307</v>
      </c>
      <c r="W160" s="13" t="s">
        <v>294</v>
      </c>
    </row>
    <row r="161" spans="1:23" x14ac:dyDescent="0.2">
      <c r="A161" t="s">
        <v>191</v>
      </c>
      <c r="D161" t="s">
        <v>75</v>
      </c>
      <c r="E161" s="20" t="s">
        <v>75</v>
      </c>
      <c r="F161" t="s">
        <v>109</v>
      </c>
      <c r="O161">
        <v>-3</v>
      </c>
      <c r="P161" s="42">
        <v>54.5</v>
      </c>
      <c r="R161">
        <v>18.5</v>
      </c>
      <c r="S161" s="1"/>
      <c r="T161" s="19">
        <v>43422</v>
      </c>
      <c r="U161" s="13" t="s">
        <v>259</v>
      </c>
      <c r="V161" s="41" t="s">
        <v>296</v>
      </c>
      <c r="W161" s="13" t="s">
        <v>284</v>
      </c>
    </row>
    <row r="162" spans="1:23" x14ac:dyDescent="0.2">
      <c r="A162" t="s">
        <v>191</v>
      </c>
      <c r="F162" t="s">
        <v>109</v>
      </c>
      <c r="O162">
        <v>7</v>
      </c>
      <c r="P162" s="42">
        <v>56.5</v>
      </c>
      <c r="R162">
        <v>7.3</v>
      </c>
      <c r="S162" s="1"/>
      <c r="T162" s="19">
        <v>43422</v>
      </c>
      <c r="U162" s="13" t="s">
        <v>259</v>
      </c>
      <c r="V162" s="41" t="s">
        <v>294</v>
      </c>
      <c r="W162" s="13" t="s">
        <v>307</v>
      </c>
    </row>
    <row r="163" spans="1:23" x14ac:dyDescent="0.2">
      <c r="A163" t="s">
        <v>191</v>
      </c>
      <c r="O163">
        <v>-4</v>
      </c>
      <c r="P163" s="42">
        <v>47</v>
      </c>
      <c r="R163">
        <v>25.7</v>
      </c>
      <c r="S163" s="1"/>
      <c r="T163" s="19">
        <v>43422</v>
      </c>
      <c r="U163" s="13" t="s">
        <v>259</v>
      </c>
      <c r="V163" s="18" t="s">
        <v>309</v>
      </c>
      <c r="W163" s="13" t="s">
        <v>297</v>
      </c>
    </row>
    <row r="164" spans="1:23" x14ac:dyDescent="0.2">
      <c r="A164" t="s">
        <v>191</v>
      </c>
      <c r="D164" t="s">
        <v>75</v>
      </c>
      <c r="O164">
        <v>-3</v>
      </c>
      <c r="P164" s="42">
        <v>49</v>
      </c>
      <c r="R164">
        <v>18.2</v>
      </c>
      <c r="S164" s="1"/>
      <c r="T164" s="19">
        <v>43422</v>
      </c>
      <c r="U164" s="13" t="s">
        <v>259</v>
      </c>
      <c r="V164" s="18" t="s">
        <v>308</v>
      </c>
      <c r="W164" s="13" t="s">
        <v>300</v>
      </c>
    </row>
    <row r="165" spans="1:23" x14ac:dyDescent="0.2">
      <c r="A165" t="s">
        <v>191</v>
      </c>
      <c r="E165" s="20" t="s">
        <v>75</v>
      </c>
      <c r="F165" t="s">
        <v>109</v>
      </c>
      <c r="O165">
        <v>3</v>
      </c>
      <c r="P165" s="42">
        <v>54.5</v>
      </c>
      <c r="R165">
        <v>33</v>
      </c>
      <c r="S165" s="1"/>
      <c r="T165" s="19">
        <v>43422</v>
      </c>
      <c r="U165" s="13" t="s">
        <v>259</v>
      </c>
      <c r="V165" s="18" t="s">
        <v>284</v>
      </c>
      <c r="W165" s="13" t="s">
        <v>296</v>
      </c>
    </row>
    <row r="166" spans="1:23" x14ac:dyDescent="0.2">
      <c r="A166" t="s">
        <v>191</v>
      </c>
      <c r="D166" t="s">
        <v>75</v>
      </c>
      <c r="F166" t="s">
        <v>110</v>
      </c>
      <c r="O166">
        <v>2</v>
      </c>
      <c r="P166" s="42">
        <v>50</v>
      </c>
      <c r="R166">
        <v>4.9000000000000004</v>
      </c>
      <c r="S166" s="1"/>
      <c r="T166" s="19">
        <v>43422</v>
      </c>
      <c r="U166" s="13" t="s">
        <v>259</v>
      </c>
      <c r="V166" s="18" t="s">
        <v>310</v>
      </c>
      <c r="W166" s="13" t="s">
        <v>289</v>
      </c>
    </row>
    <row r="167" spans="1:23" x14ac:dyDescent="0.2">
      <c r="A167" t="s">
        <v>191</v>
      </c>
      <c r="F167" t="s">
        <v>110</v>
      </c>
      <c r="O167">
        <v>3</v>
      </c>
      <c r="P167" s="42">
        <v>40.5</v>
      </c>
      <c r="R167">
        <v>6.2</v>
      </c>
      <c r="S167" s="1"/>
      <c r="T167" s="19">
        <v>43422</v>
      </c>
      <c r="U167" s="13" t="s">
        <v>259</v>
      </c>
      <c r="V167" s="18" t="s">
        <v>306</v>
      </c>
      <c r="W167" s="13" t="s">
        <v>311</v>
      </c>
    </row>
    <row r="168" spans="1:23" x14ac:dyDescent="0.2">
      <c r="A168" t="s">
        <v>191</v>
      </c>
      <c r="O168">
        <v>14</v>
      </c>
      <c r="P168" s="42">
        <v>43.5</v>
      </c>
      <c r="R168">
        <v>11</v>
      </c>
      <c r="S168" s="1"/>
      <c r="T168" s="19">
        <v>43429</v>
      </c>
      <c r="U168" s="13" t="s">
        <v>242</v>
      </c>
      <c r="V168" s="18" t="s">
        <v>285</v>
      </c>
      <c r="W168" s="13" t="s">
        <v>287</v>
      </c>
    </row>
    <row r="169" spans="1:23" x14ac:dyDescent="0.2">
      <c r="A169" t="s">
        <v>191</v>
      </c>
      <c r="O169">
        <v>11.5</v>
      </c>
      <c r="P169" s="42">
        <v>61</v>
      </c>
      <c r="R169">
        <v>27.8</v>
      </c>
      <c r="S169" s="1"/>
      <c r="T169" s="19">
        <v>43429</v>
      </c>
      <c r="U169" s="13" t="s">
        <v>242</v>
      </c>
      <c r="V169" s="18" t="s">
        <v>295</v>
      </c>
      <c r="W169" s="13" t="s">
        <v>307</v>
      </c>
    </row>
    <row r="170" spans="1:23" x14ac:dyDescent="0.2">
      <c r="A170" t="s">
        <v>191</v>
      </c>
      <c r="O170">
        <v>-13</v>
      </c>
      <c r="P170" s="42">
        <v>42</v>
      </c>
      <c r="R170">
        <v>11.1</v>
      </c>
      <c r="S170" s="1"/>
      <c r="T170" s="19">
        <v>43429</v>
      </c>
      <c r="U170" s="13" t="s">
        <v>242</v>
      </c>
      <c r="V170" s="18" t="s">
        <v>305</v>
      </c>
      <c r="W170" s="13" t="s">
        <v>303</v>
      </c>
    </row>
    <row r="171" spans="1:23" x14ac:dyDescent="0.2">
      <c r="A171" t="s">
        <v>191</v>
      </c>
      <c r="F171" t="s">
        <v>110</v>
      </c>
      <c r="O171">
        <v>3</v>
      </c>
      <c r="P171" s="42">
        <v>36.5</v>
      </c>
      <c r="R171">
        <v>0</v>
      </c>
      <c r="S171" s="1"/>
      <c r="T171" s="19">
        <v>43429</v>
      </c>
      <c r="U171" s="13" t="s">
        <v>242</v>
      </c>
      <c r="V171" s="18" t="s">
        <v>276</v>
      </c>
      <c r="W171" s="13" t="s">
        <v>297</v>
      </c>
    </row>
    <row r="172" spans="1:23" x14ac:dyDescent="0.2">
      <c r="A172" t="s">
        <v>191</v>
      </c>
      <c r="D172" t="s">
        <v>75</v>
      </c>
      <c r="F172" t="s">
        <v>110</v>
      </c>
      <c r="O172">
        <v>-3</v>
      </c>
      <c r="P172" s="42">
        <v>46.5</v>
      </c>
      <c r="R172">
        <v>17.8</v>
      </c>
      <c r="S172" s="1"/>
      <c r="T172" s="19">
        <v>43429</v>
      </c>
      <c r="U172" s="13" t="s">
        <v>242</v>
      </c>
      <c r="V172" s="18" t="s">
        <v>301</v>
      </c>
      <c r="W172" s="13" t="s">
        <v>308</v>
      </c>
    </row>
    <row r="173" spans="1:23" x14ac:dyDescent="0.2">
      <c r="A173" t="s">
        <v>191</v>
      </c>
      <c r="D173" t="s">
        <v>75</v>
      </c>
      <c r="E173" s="20" t="s">
        <v>75</v>
      </c>
      <c r="O173">
        <v>-3</v>
      </c>
      <c r="P173" s="42">
        <v>43</v>
      </c>
      <c r="R173">
        <v>5.7</v>
      </c>
      <c r="S173" s="1"/>
      <c r="T173" s="19">
        <v>43429</v>
      </c>
      <c r="U173" s="13" t="s">
        <v>242</v>
      </c>
      <c r="V173" s="41" t="s">
        <v>265</v>
      </c>
      <c r="W173" s="13" t="s">
        <v>299</v>
      </c>
    </row>
    <row r="174" spans="1:23" x14ac:dyDescent="0.2">
      <c r="A174" t="s">
        <v>191</v>
      </c>
      <c r="F174" t="s">
        <v>109</v>
      </c>
      <c r="O174">
        <v>1</v>
      </c>
      <c r="P174" s="42">
        <v>46.5</v>
      </c>
      <c r="R174">
        <v>21.5</v>
      </c>
      <c r="S174" s="1"/>
      <c r="T174" s="19">
        <v>43429</v>
      </c>
      <c r="U174" s="13" t="s">
        <v>242</v>
      </c>
      <c r="V174" s="41" t="s">
        <v>272</v>
      </c>
      <c r="W174" s="13" t="s">
        <v>281</v>
      </c>
    </row>
    <row r="175" spans="1:23" x14ac:dyDescent="0.2">
      <c r="A175" t="s">
        <v>191</v>
      </c>
      <c r="B175" t="s">
        <v>52</v>
      </c>
      <c r="C175">
        <v>8.8000000000000007</v>
      </c>
      <c r="F175" t="s">
        <v>109</v>
      </c>
      <c r="O175">
        <v>-1</v>
      </c>
      <c r="P175" s="42">
        <v>46.5</v>
      </c>
      <c r="R175">
        <v>6</v>
      </c>
      <c r="S175" s="1"/>
      <c r="T175" s="19">
        <v>43429</v>
      </c>
      <c r="U175" s="13" t="s">
        <v>242</v>
      </c>
      <c r="V175" s="41" t="s">
        <v>281</v>
      </c>
      <c r="W175" s="13" t="s">
        <v>272</v>
      </c>
    </row>
    <row r="176" spans="1:23" x14ac:dyDescent="0.2">
      <c r="A176" t="s">
        <v>191</v>
      </c>
      <c r="O176">
        <v>-7</v>
      </c>
      <c r="P176" s="42">
        <v>40</v>
      </c>
      <c r="R176">
        <v>41</v>
      </c>
      <c r="S176" s="1"/>
      <c r="T176" s="19">
        <v>43429</v>
      </c>
      <c r="U176" s="13" t="s">
        <v>242</v>
      </c>
      <c r="V176" s="17" t="s">
        <v>291</v>
      </c>
      <c r="W176" s="13" t="s">
        <v>306</v>
      </c>
    </row>
    <row r="177" spans="1:23" x14ac:dyDescent="0.2">
      <c r="A177" t="s">
        <v>191</v>
      </c>
      <c r="B177" t="s">
        <v>129</v>
      </c>
      <c r="C177">
        <v>10.3</v>
      </c>
      <c r="O177">
        <v>3</v>
      </c>
      <c r="P177" s="42">
        <v>47.5</v>
      </c>
      <c r="R177">
        <v>21.6</v>
      </c>
      <c r="S177" s="1"/>
      <c r="T177" s="19">
        <v>43429</v>
      </c>
      <c r="U177" s="13" t="s">
        <v>242</v>
      </c>
      <c r="V177" s="41" t="s">
        <v>278</v>
      </c>
      <c r="W177" s="13" t="s">
        <v>309</v>
      </c>
    </row>
    <row r="178" spans="1:23" x14ac:dyDescent="0.2">
      <c r="A178" t="s">
        <v>191</v>
      </c>
      <c r="E178" s="20" t="s">
        <v>75</v>
      </c>
      <c r="O178">
        <v>3</v>
      </c>
      <c r="P178" s="42">
        <v>43</v>
      </c>
      <c r="R178">
        <v>14</v>
      </c>
      <c r="S178" s="1"/>
      <c r="T178" s="19">
        <v>43429</v>
      </c>
      <c r="U178" t="s">
        <v>242</v>
      </c>
      <c r="V178" s="41" t="s">
        <v>299</v>
      </c>
      <c r="W178" t="s">
        <v>265</v>
      </c>
    </row>
    <row r="179" spans="1:23" x14ac:dyDescent="0.2">
      <c r="A179" t="s">
        <v>191</v>
      </c>
      <c r="O179">
        <v>4</v>
      </c>
      <c r="P179" s="42">
        <v>48.5</v>
      </c>
      <c r="R179">
        <v>17.899999999999999</v>
      </c>
      <c r="S179" s="1"/>
      <c r="T179" s="19">
        <v>43429</v>
      </c>
      <c r="U179" s="13" t="s">
        <v>242</v>
      </c>
      <c r="V179" s="41" t="s">
        <v>300</v>
      </c>
      <c r="W179" s="13" t="s">
        <v>312</v>
      </c>
    </row>
    <row r="180" spans="1:23" x14ac:dyDescent="0.2">
      <c r="A180" t="s">
        <v>191</v>
      </c>
      <c r="D180" t="s">
        <v>75</v>
      </c>
      <c r="O180">
        <v>-3.5</v>
      </c>
      <c r="P180" s="42">
        <v>42.5</v>
      </c>
      <c r="R180">
        <v>12.4</v>
      </c>
      <c r="S180" s="1"/>
      <c r="T180" s="19">
        <v>43429</v>
      </c>
      <c r="U180" s="13" t="s">
        <v>242</v>
      </c>
      <c r="V180" s="41" t="s">
        <v>311</v>
      </c>
      <c r="W180" s="13" t="s">
        <v>310</v>
      </c>
    </row>
    <row r="181" spans="1:23" x14ac:dyDescent="0.2">
      <c r="A181" t="s">
        <v>191</v>
      </c>
      <c r="E181" s="20" t="s">
        <v>75</v>
      </c>
      <c r="F181" t="s">
        <v>110</v>
      </c>
      <c r="O181">
        <v>-9</v>
      </c>
      <c r="P181" s="42">
        <v>52.5</v>
      </c>
      <c r="R181">
        <v>22.5</v>
      </c>
      <c r="S181" s="1"/>
      <c r="T181" s="19">
        <v>43429</v>
      </c>
      <c r="U181" s="13" t="s">
        <v>242</v>
      </c>
      <c r="V181" t="s">
        <v>289</v>
      </c>
      <c r="W181" s="13" t="s">
        <v>293</v>
      </c>
    </row>
    <row r="182" spans="1:23" x14ac:dyDescent="0.2">
      <c r="A182" t="s">
        <v>191</v>
      </c>
      <c r="F182" t="s">
        <v>110</v>
      </c>
      <c r="O182">
        <v>-3</v>
      </c>
      <c r="P182" s="42">
        <v>36.5</v>
      </c>
      <c r="R182">
        <v>3.9</v>
      </c>
      <c r="S182" s="1"/>
      <c r="T182" s="19">
        <v>43429</v>
      </c>
      <c r="U182" s="13" t="s">
        <v>242</v>
      </c>
      <c r="V182" s="17" t="s">
        <v>297</v>
      </c>
      <c r="W182" s="13" t="s">
        <v>276</v>
      </c>
    </row>
    <row r="183" spans="1:23" x14ac:dyDescent="0.2">
      <c r="A183" t="s">
        <v>191</v>
      </c>
      <c r="O183">
        <v>13</v>
      </c>
      <c r="P183" s="42">
        <v>42</v>
      </c>
      <c r="R183">
        <v>0</v>
      </c>
      <c r="S183" s="1"/>
      <c r="T183" s="19">
        <v>43429</v>
      </c>
      <c r="U183" s="13" t="s">
        <v>242</v>
      </c>
      <c r="V183" s="17" t="s">
        <v>303</v>
      </c>
      <c r="W183" s="13" t="s">
        <v>305</v>
      </c>
    </row>
    <row r="184" spans="1:23" x14ac:dyDescent="0.2">
      <c r="A184" t="s">
        <v>191</v>
      </c>
      <c r="D184" t="s">
        <v>75</v>
      </c>
      <c r="O184">
        <v>-14</v>
      </c>
      <c r="P184" s="42">
        <v>43.5</v>
      </c>
      <c r="R184">
        <v>20.2</v>
      </c>
      <c r="S184" s="1"/>
      <c r="T184" s="19">
        <v>43429</v>
      </c>
      <c r="U184" s="13" t="s">
        <v>242</v>
      </c>
      <c r="V184" s="17" t="s">
        <v>287</v>
      </c>
      <c r="W184" s="13" t="s">
        <v>285</v>
      </c>
    </row>
    <row r="185" spans="1:23" x14ac:dyDescent="0.2">
      <c r="A185" t="s">
        <v>191</v>
      </c>
      <c r="D185" t="s">
        <v>75</v>
      </c>
      <c r="E185" s="20" t="s">
        <v>75</v>
      </c>
      <c r="F185" t="s">
        <v>110</v>
      </c>
      <c r="O185">
        <v>9</v>
      </c>
      <c r="P185" s="42">
        <v>52.5</v>
      </c>
      <c r="R185">
        <v>1.6</v>
      </c>
      <c r="S185" s="1"/>
      <c r="T185" s="19">
        <v>43429</v>
      </c>
      <c r="U185" s="13" t="s">
        <v>242</v>
      </c>
      <c r="V185" t="s">
        <v>293</v>
      </c>
      <c r="W185" s="13" t="s">
        <v>289</v>
      </c>
    </row>
    <row r="186" spans="1:23" x14ac:dyDescent="0.2">
      <c r="A186" t="s">
        <v>191</v>
      </c>
      <c r="D186" t="s">
        <v>75</v>
      </c>
      <c r="O186">
        <v>-4</v>
      </c>
      <c r="P186" s="42">
        <v>48.5</v>
      </c>
      <c r="R186">
        <v>29.5</v>
      </c>
      <c r="S186" s="1"/>
      <c r="T186" s="19">
        <v>43429</v>
      </c>
      <c r="U186" s="13" t="s">
        <v>242</v>
      </c>
      <c r="V186" s="41" t="s">
        <v>312</v>
      </c>
      <c r="W186" s="13" t="s">
        <v>300</v>
      </c>
    </row>
    <row r="187" spans="1:23" x14ac:dyDescent="0.2">
      <c r="A187" t="s">
        <v>191</v>
      </c>
      <c r="O187">
        <v>-13</v>
      </c>
      <c r="P187" s="42">
        <v>46.5</v>
      </c>
      <c r="R187">
        <v>12</v>
      </c>
      <c r="S187" s="1"/>
      <c r="T187" s="19">
        <v>43429</v>
      </c>
      <c r="U187" s="13" t="s">
        <v>242</v>
      </c>
      <c r="V187" t="s">
        <v>302</v>
      </c>
      <c r="W187" s="13" t="s">
        <v>298</v>
      </c>
    </row>
    <row r="188" spans="1:23" x14ac:dyDescent="0.2">
      <c r="A188" t="s">
        <v>191</v>
      </c>
      <c r="D188" t="s">
        <v>75</v>
      </c>
      <c r="O188">
        <v>-11.5</v>
      </c>
      <c r="P188" s="42">
        <v>61</v>
      </c>
      <c r="R188">
        <v>7.8</v>
      </c>
      <c r="S188" s="1"/>
      <c r="T188" s="19">
        <v>43429</v>
      </c>
      <c r="U188" s="13" t="s">
        <v>242</v>
      </c>
      <c r="V188" s="41" t="s">
        <v>307</v>
      </c>
      <c r="W188" s="13" t="s">
        <v>295</v>
      </c>
    </row>
    <row r="189" spans="1:23" x14ac:dyDescent="0.2">
      <c r="A189" t="s">
        <v>191</v>
      </c>
      <c r="E189" s="20" t="s">
        <v>75</v>
      </c>
      <c r="O189">
        <v>4.5</v>
      </c>
      <c r="P189" s="42">
        <v>49</v>
      </c>
      <c r="R189">
        <v>13.5</v>
      </c>
      <c r="S189" s="1"/>
      <c r="T189" s="19">
        <v>43429</v>
      </c>
      <c r="U189" s="13" t="s">
        <v>242</v>
      </c>
      <c r="V189" t="s">
        <v>296</v>
      </c>
      <c r="W189" s="13" t="s">
        <v>294</v>
      </c>
    </row>
    <row r="190" spans="1:23" x14ac:dyDescent="0.2">
      <c r="A190" t="s">
        <v>191</v>
      </c>
      <c r="B190" t="s">
        <v>27</v>
      </c>
      <c r="C190">
        <v>8.1999999999999993</v>
      </c>
      <c r="O190">
        <v>13</v>
      </c>
      <c r="P190" s="42">
        <v>46.5</v>
      </c>
      <c r="R190">
        <v>11.3</v>
      </c>
      <c r="S190" s="1"/>
      <c r="T190" s="19">
        <v>43429</v>
      </c>
      <c r="U190" s="13" t="s">
        <v>242</v>
      </c>
      <c r="V190" t="s">
        <v>298</v>
      </c>
      <c r="W190" s="13" t="s">
        <v>302</v>
      </c>
    </row>
    <row r="191" spans="1:23" x14ac:dyDescent="0.2">
      <c r="A191" t="s">
        <v>191</v>
      </c>
      <c r="E191" s="20" t="s">
        <v>75</v>
      </c>
      <c r="O191">
        <v>-4.5</v>
      </c>
      <c r="P191" s="42">
        <v>49</v>
      </c>
      <c r="R191">
        <v>6.5</v>
      </c>
      <c r="S191" s="1"/>
      <c r="T191" s="19">
        <v>43429</v>
      </c>
      <c r="U191" s="13" t="s">
        <v>242</v>
      </c>
      <c r="V191" t="s">
        <v>294</v>
      </c>
      <c r="W191" s="13" t="s">
        <v>296</v>
      </c>
    </row>
    <row r="192" spans="1:23" x14ac:dyDescent="0.2">
      <c r="A192" t="s">
        <v>191</v>
      </c>
      <c r="O192">
        <v>-3</v>
      </c>
      <c r="P192" s="42">
        <v>47.5</v>
      </c>
      <c r="R192">
        <v>15.7</v>
      </c>
      <c r="S192" s="1"/>
      <c r="T192" s="19">
        <v>43429</v>
      </c>
      <c r="U192" s="13" t="s">
        <v>242</v>
      </c>
      <c r="V192" t="s">
        <v>309</v>
      </c>
      <c r="W192" s="13" t="s">
        <v>278</v>
      </c>
    </row>
    <row r="193" spans="1:23" x14ac:dyDescent="0.2">
      <c r="A193" t="s">
        <v>191</v>
      </c>
      <c r="D193" t="s">
        <v>75</v>
      </c>
      <c r="F193" t="s">
        <v>109</v>
      </c>
      <c r="O193">
        <v>1.5</v>
      </c>
      <c r="P193" s="42">
        <v>54.5</v>
      </c>
      <c r="R193">
        <v>17.7</v>
      </c>
      <c r="S193" s="1"/>
      <c r="T193" s="19">
        <v>43429</v>
      </c>
      <c r="U193" s="13" t="s">
        <v>242</v>
      </c>
      <c r="V193" s="41" t="s">
        <v>256</v>
      </c>
      <c r="W193" s="13" t="s">
        <v>284</v>
      </c>
    </row>
    <row r="194" spans="1:23" x14ac:dyDescent="0.2">
      <c r="A194" t="s">
        <v>191</v>
      </c>
      <c r="F194" t="s">
        <v>110</v>
      </c>
      <c r="O194">
        <v>3</v>
      </c>
      <c r="P194" s="42">
        <v>46.5</v>
      </c>
      <c r="R194">
        <v>8.9</v>
      </c>
      <c r="S194" s="1"/>
      <c r="T194" s="19">
        <v>43429</v>
      </c>
      <c r="U194" s="13" t="s">
        <v>242</v>
      </c>
      <c r="V194" s="41" t="s">
        <v>308</v>
      </c>
      <c r="W194" s="13" t="s">
        <v>301</v>
      </c>
    </row>
    <row r="195" spans="1:23" x14ac:dyDescent="0.2">
      <c r="A195" t="s">
        <v>191</v>
      </c>
      <c r="D195" t="s">
        <v>75</v>
      </c>
      <c r="F195" t="s">
        <v>109</v>
      </c>
      <c r="O195">
        <v>-1.5</v>
      </c>
      <c r="P195" s="42">
        <v>54.5</v>
      </c>
      <c r="R195">
        <v>20.6</v>
      </c>
      <c r="S195" s="1"/>
      <c r="T195" s="19">
        <v>43429</v>
      </c>
      <c r="U195" s="13" t="s">
        <v>242</v>
      </c>
      <c r="V195" t="s">
        <v>284</v>
      </c>
      <c r="W195" s="13" t="s">
        <v>256</v>
      </c>
    </row>
    <row r="196" spans="1:23" x14ac:dyDescent="0.2">
      <c r="A196" t="s">
        <v>191</v>
      </c>
      <c r="O196">
        <v>3.5</v>
      </c>
      <c r="P196" s="42">
        <v>42.5</v>
      </c>
      <c r="R196">
        <v>23.5</v>
      </c>
      <c r="S196" s="1"/>
      <c r="T196" s="19">
        <v>43429</v>
      </c>
      <c r="U196" s="13" t="s">
        <v>242</v>
      </c>
      <c r="V196" t="s">
        <v>310</v>
      </c>
      <c r="W196" s="13" t="s">
        <v>311</v>
      </c>
    </row>
    <row r="197" spans="1:23" x14ac:dyDescent="0.2">
      <c r="A197" t="s">
        <v>191</v>
      </c>
      <c r="O197">
        <v>7</v>
      </c>
      <c r="P197" s="42">
        <v>40</v>
      </c>
      <c r="R197">
        <v>12.6</v>
      </c>
      <c r="S197" s="1"/>
      <c r="T197" s="19">
        <v>43429</v>
      </c>
      <c r="U197" s="13" t="s">
        <v>242</v>
      </c>
      <c r="V197" s="41" t="s">
        <v>306</v>
      </c>
      <c r="W197" s="13" t="s">
        <v>291</v>
      </c>
    </row>
    <row r="198" spans="1:23" x14ac:dyDescent="0.2">
      <c r="A198" t="s">
        <v>191</v>
      </c>
      <c r="D198" t="s">
        <v>75</v>
      </c>
      <c r="O198">
        <v>13.5</v>
      </c>
      <c r="P198" s="42">
        <v>41</v>
      </c>
      <c r="R198">
        <v>7.8</v>
      </c>
      <c r="S198" s="1"/>
      <c r="T198" s="19">
        <v>43436</v>
      </c>
      <c r="U198" s="13" t="s">
        <v>241</v>
      </c>
      <c r="V198" s="41" t="s">
        <v>285</v>
      </c>
      <c r="W198" s="13" t="s">
        <v>300</v>
      </c>
    </row>
    <row r="199" spans="1:23" x14ac:dyDescent="0.2">
      <c r="A199" t="s">
        <v>191</v>
      </c>
      <c r="O199">
        <v>-2.5</v>
      </c>
      <c r="P199" s="42">
        <v>46.5</v>
      </c>
      <c r="R199">
        <v>3.8</v>
      </c>
      <c r="S199" s="1"/>
      <c r="T199" s="19">
        <v>43436</v>
      </c>
      <c r="U199" s="13" t="s">
        <v>241</v>
      </c>
      <c r="V199" t="s">
        <v>295</v>
      </c>
      <c r="W199" s="13" t="s">
        <v>305</v>
      </c>
    </row>
    <row r="200" spans="1:23" x14ac:dyDescent="0.2">
      <c r="A200" t="s">
        <v>191</v>
      </c>
      <c r="D200" t="s">
        <v>75</v>
      </c>
      <c r="O200">
        <v>2.5</v>
      </c>
      <c r="P200" s="42">
        <v>46.5</v>
      </c>
      <c r="R200">
        <v>6.6</v>
      </c>
      <c r="S200" s="1"/>
      <c r="T200" s="19">
        <v>43436</v>
      </c>
      <c r="U200" s="13" t="s">
        <v>241</v>
      </c>
      <c r="V200" t="s">
        <v>305</v>
      </c>
      <c r="W200" s="13" t="s">
        <v>295</v>
      </c>
    </row>
    <row r="201" spans="1:23" x14ac:dyDescent="0.2">
      <c r="A201" t="s">
        <v>191</v>
      </c>
      <c r="F201" t="s">
        <v>110</v>
      </c>
      <c r="O201">
        <v>3.5</v>
      </c>
      <c r="P201" s="42">
        <v>40</v>
      </c>
      <c r="R201">
        <v>24.7</v>
      </c>
      <c r="S201" s="1"/>
      <c r="T201" s="19">
        <v>43436</v>
      </c>
      <c r="U201" s="13" t="s">
        <v>241</v>
      </c>
      <c r="V201" s="41" t="s">
        <v>276</v>
      </c>
      <c r="W201" s="13" t="s">
        <v>293</v>
      </c>
    </row>
    <row r="202" spans="1:23" x14ac:dyDescent="0.2">
      <c r="A202" t="s">
        <v>191</v>
      </c>
      <c r="D202" t="s">
        <v>75</v>
      </c>
      <c r="F202" t="s">
        <v>109</v>
      </c>
      <c r="O202">
        <v>-3.5</v>
      </c>
      <c r="P202" s="42">
        <v>52</v>
      </c>
      <c r="R202">
        <v>10.5</v>
      </c>
      <c r="S202" s="1"/>
      <c r="T202" s="19">
        <v>43436</v>
      </c>
      <c r="U202" s="13" t="s">
        <v>241</v>
      </c>
      <c r="V202" s="41" t="s">
        <v>301</v>
      </c>
      <c r="W202" s="13" t="s">
        <v>284</v>
      </c>
    </row>
    <row r="203" spans="1:23" x14ac:dyDescent="0.2">
      <c r="A203" t="s">
        <v>191</v>
      </c>
      <c r="E203" s="20" t="s">
        <v>75</v>
      </c>
      <c r="O203">
        <v>-3</v>
      </c>
      <c r="P203" s="42">
        <v>43.5</v>
      </c>
      <c r="R203">
        <v>12.9</v>
      </c>
      <c r="S203" s="1"/>
      <c r="T203" s="19">
        <v>43436</v>
      </c>
      <c r="U203" s="13" t="s">
        <v>241</v>
      </c>
      <c r="V203" s="41" t="s">
        <v>265</v>
      </c>
      <c r="W203" s="13" t="s">
        <v>296</v>
      </c>
    </row>
    <row r="204" spans="1:23" x14ac:dyDescent="0.2">
      <c r="A204" t="s">
        <v>191</v>
      </c>
      <c r="F204" t="s">
        <v>109</v>
      </c>
      <c r="O204">
        <v>3.5</v>
      </c>
      <c r="P204" s="42">
        <v>45</v>
      </c>
      <c r="R204">
        <v>10</v>
      </c>
      <c r="S204" s="1"/>
      <c r="T204" s="19">
        <v>43436</v>
      </c>
      <c r="U204" s="13" t="s">
        <v>241</v>
      </c>
      <c r="V204" s="41" t="s">
        <v>272</v>
      </c>
      <c r="W204" s="13" t="s">
        <v>278</v>
      </c>
    </row>
    <row r="205" spans="1:23" x14ac:dyDescent="0.2">
      <c r="A205" t="s">
        <v>191</v>
      </c>
      <c r="F205" t="s">
        <v>110</v>
      </c>
      <c r="O205">
        <v>5</v>
      </c>
      <c r="P205" s="42">
        <v>47.5</v>
      </c>
      <c r="R205">
        <v>19.3</v>
      </c>
      <c r="S205" s="1"/>
      <c r="T205" s="19">
        <v>43436</v>
      </c>
      <c r="U205" s="13" t="s">
        <v>241</v>
      </c>
      <c r="V205" s="41" t="s">
        <v>281</v>
      </c>
      <c r="W205" s="13" t="s">
        <v>311</v>
      </c>
    </row>
    <row r="206" spans="1:23" x14ac:dyDescent="0.2">
      <c r="A206" t="s">
        <v>191</v>
      </c>
      <c r="F206" t="s">
        <v>110</v>
      </c>
      <c r="O206">
        <v>7</v>
      </c>
      <c r="P206" s="42">
        <v>51.5</v>
      </c>
      <c r="R206">
        <v>14.6</v>
      </c>
      <c r="S206" s="1"/>
      <c r="T206" s="19">
        <v>43436</v>
      </c>
      <c r="U206" s="13" t="s">
        <v>241</v>
      </c>
      <c r="V206" s="17" t="s">
        <v>291</v>
      </c>
      <c r="W206" s="13" t="s">
        <v>307</v>
      </c>
    </row>
    <row r="207" spans="1:23" x14ac:dyDescent="0.2">
      <c r="A207" t="s">
        <v>191</v>
      </c>
      <c r="B207" t="s">
        <v>129</v>
      </c>
      <c r="C207">
        <v>15.8</v>
      </c>
      <c r="F207" t="s">
        <v>109</v>
      </c>
      <c r="O207">
        <v>-3.5</v>
      </c>
      <c r="P207" s="42">
        <v>45</v>
      </c>
      <c r="R207">
        <v>5.9</v>
      </c>
      <c r="S207" s="1"/>
      <c r="T207" s="19">
        <v>43436</v>
      </c>
      <c r="U207" s="13" t="s">
        <v>241</v>
      </c>
      <c r="V207" s="41" t="s">
        <v>278</v>
      </c>
      <c r="W207" s="13" t="s">
        <v>272</v>
      </c>
    </row>
    <row r="208" spans="1:23" x14ac:dyDescent="0.2">
      <c r="A208" t="s">
        <v>191</v>
      </c>
      <c r="D208" t="s">
        <v>75</v>
      </c>
      <c r="O208">
        <v>10.5</v>
      </c>
      <c r="P208" s="42">
        <v>54</v>
      </c>
      <c r="R208">
        <v>8</v>
      </c>
      <c r="S208" s="1"/>
      <c r="T208" s="19">
        <v>43436</v>
      </c>
      <c r="U208" t="s">
        <v>241</v>
      </c>
      <c r="V208" t="s">
        <v>299</v>
      </c>
      <c r="W208" t="s">
        <v>304</v>
      </c>
    </row>
    <row r="209" spans="1:23" x14ac:dyDescent="0.2">
      <c r="A209" t="s">
        <v>191</v>
      </c>
      <c r="D209" t="s">
        <v>75</v>
      </c>
      <c r="O209">
        <v>-13.5</v>
      </c>
      <c r="P209" s="42">
        <v>41</v>
      </c>
      <c r="R209">
        <v>23.3</v>
      </c>
      <c r="S209" s="1"/>
      <c r="T209" s="19">
        <v>43436</v>
      </c>
      <c r="U209" s="13" t="s">
        <v>241</v>
      </c>
      <c r="V209" s="41" t="s">
        <v>300</v>
      </c>
      <c r="W209" s="13" t="s">
        <v>285</v>
      </c>
    </row>
    <row r="210" spans="1:23" x14ac:dyDescent="0.2">
      <c r="A210" t="s">
        <v>191</v>
      </c>
      <c r="F210" t="s">
        <v>110</v>
      </c>
      <c r="O210">
        <v>-5</v>
      </c>
      <c r="P210" s="42">
        <v>47.5</v>
      </c>
      <c r="R210">
        <v>16.100000000000001</v>
      </c>
      <c r="S210" s="1"/>
      <c r="T210" s="19">
        <v>43436</v>
      </c>
      <c r="U210" s="13" t="s">
        <v>241</v>
      </c>
      <c r="V210" s="41" t="s">
        <v>311</v>
      </c>
      <c r="W210" s="13" t="s">
        <v>281</v>
      </c>
    </row>
    <row r="211" spans="1:23" x14ac:dyDescent="0.2">
      <c r="A211" t="s">
        <v>191</v>
      </c>
      <c r="F211" t="s">
        <v>110</v>
      </c>
      <c r="O211">
        <v>-4</v>
      </c>
      <c r="P211" s="42">
        <v>45.5</v>
      </c>
      <c r="R211">
        <v>15.7</v>
      </c>
      <c r="S211" s="1"/>
      <c r="T211" s="19">
        <v>43436</v>
      </c>
      <c r="U211" s="13" t="s">
        <v>241</v>
      </c>
      <c r="V211" t="s">
        <v>289</v>
      </c>
      <c r="W211" s="13" t="s">
        <v>297</v>
      </c>
    </row>
    <row r="212" spans="1:23" x14ac:dyDescent="0.2">
      <c r="A212" t="s">
        <v>191</v>
      </c>
      <c r="D212" t="s">
        <v>75</v>
      </c>
      <c r="F212" t="s">
        <v>110</v>
      </c>
      <c r="O212">
        <v>4</v>
      </c>
      <c r="P212" s="42">
        <v>45.5</v>
      </c>
      <c r="R212">
        <v>7</v>
      </c>
      <c r="S212" s="1"/>
      <c r="T212" s="19">
        <v>43436</v>
      </c>
      <c r="U212" s="13" t="s">
        <v>241</v>
      </c>
      <c r="V212" s="17" t="s">
        <v>297</v>
      </c>
      <c r="W212" s="13" t="s">
        <v>289</v>
      </c>
    </row>
    <row r="213" spans="1:23" x14ac:dyDescent="0.2">
      <c r="A213" t="s">
        <v>191</v>
      </c>
      <c r="O213">
        <v>-14</v>
      </c>
      <c r="P213" s="42">
        <v>53.5</v>
      </c>
      <c r="R213">
        <v>6</v>
      </c>
      <c r="S213" s="1"/>
      <c r="T213" s="19">
        <v>43436</v>
      </c>
      <c r="U213" s="13" t="s">
        <v>241</v>
      </c>
      <c r="V213" s="41" t="s">
        <v>288</v>
      </c>
      <c r="W213" s="13" t="s">
        <v>303</v>
      </c>
    </row>
    <row r="214" spans="1:23" x14ac:dyDescent="0.2">
      <c r="A214" t="s">
        <v>191</v>
      </c>
      <c r="O214">
        <v>14</v>
      </c>
      <c r="P214" s="42">
        <v>53.5</v>
      </c>
      <c r="R214">
        <v>19.7</v>
      </c>
      <c r="S214" s="1"/>
      <c r="T214" s="19">
        <v>43436</v>
      </c>
      <c r="U214" s="13" t="s">
        <v>241</v>
      </c>
      <c r="V214" s="17" t="s">
        <v>303</v>
      </c>
      <c r="W214" s="13" t="s">
        <v>288</v>
      </c>
    </row>
    <row r="215" spans="1:23" x14ac:dyDescent="0.2">
      <c r="A215" t="s">
        <v>191</v>
      </c>
      <c r="O215">
        <v>3.5</v>
      </c>
      <c r="P215" s="42">
        <v>53.5</v>
      </c>
      <c r="R215">
        <v>39.799999999999997</v>
      </c>
      <c r="S215" s="1"/>
      <c r="T215" s="19">
        <v>43436</v>
      </c>
      <c r="U215" s="13" t="s">
        <v>241</v>
      </c>
      <c r="V215" s="17" t="s">
        <v>287</v>
      </c>
      <c r="W215" s="13" t="s">
        <v>309</v>
      </c>
    </row>
    <row r="216" spans="1:23" x14ac:dyDescent="0.2">
      <c r="A216" t="s">
        <v>191</v>
      </c>
      <c r="D216" t="s">
        <v>75</v>
      </c>
      <c r="O216">
        <v>-10.5</v>
      </c>
      <c r="P216" s="42">
        <v>54</v>
      </c>
      <c r="R216">
        <v>10.199999999999999</v>
      </c>
      <c r="S216" s="1"/>
      <c r="T216" s="19">
        <v>43436</v>
      </c>
      <c r="U216" s="13" t="s">
        <v>241</v>
      </c>
      <c r="V216" t="s">
        <v>304</v>
      </c>
      <c r="W216" s="13" t="s">
        <v>299</v>
      </c>
    </row>
    <row r="217" spans="1:23" x14ac:dyDescent="0.2">
      <c r="A217" t="s">
        <v>191</v>
      </c>
      <c r="F217" t="s">
        <v>110</v>
      </c>
      <c r="O217">
        <v>-3.5</v>
      </c>
      <c r="P217" s="42">
        <v>40</v>
      </c>
      <c r="R217">
        <v>13.7</v>
      </c>
      <c r="S217" s="1"/>
      <c r="T217" s="19">
        <v>43436</v>
      </c>
      <c r="U217" s="13" t="s">
        <v>241</v>
      </c>
      <c r="V217" t="s">
        <v>293</v>
      </c>
      <c r="W217" s="13" t="s">
        <v>276</v>
      </c>
    </row>
    <row r="218" spans="1:23" x14ac:dyDescent="0.2">
      <c r="A218" t="s">
        <v>191</v>
      </c>
      <c r="F218" t="s">
        <v>109</v>
      </c>
      <c r="O218">
        <v>6</v>
      </c>
      <c r="P218" s="42">
        <v>50</v>
      </c>
      <c r="R218">
        <v>13.8</v>
      </c>
      <c r="S218" s="1"/>
      <c r="T218" s="19">
        <v>43436</v>
      </c>
      <c r="U218" s="13" t="s">
        <v>241</v>
      </c>
      <c r="V218" s="41" t="s">
        <v>312</v>
      </c>
      <c r="W218" s="13" t="s">
        <v>302</v>
      </c>
    </row>
    <row r="219" spans="1:23" x14ac:dyDescent="0.2">
      <c r="A219" t="s">
        <v>191</v>
      </c>
      <c r="F219" t="s">
        <v>109</v>
      </c>
      <c r="O219">
        <v>-6</v>
      </c>
      <c r="P219" s="42">
        <v>50</v>
      </c>
      <c r="R219">
        <v>14.8</v>
      </c>
      <c r="S219" s="1"/>
      <c r="T219" s="19">
        <v>43436</v>
      </c>
      <c r="U219" s="13" t="s">
        <v>241</v>
      </c>
      <c r="V219" t="s">
        <v>302</v>
      </c>
      <c r="W219" s="13" t="s">
        <v>312</v>
      </c>
    </row>
    <row r="220" spans="1:23" x14ac:dyDescent="0.2">
      <c r="A220" t="s">
        <v>191</v>
      </c>
      <c r="F220" t="s">
        <v>110</v>
      </c>
      <c r="O220">
        <v>-7</v>
      </c>
      <c r="P220" s="42">
        <v>51.5</v>
      </c>
      <c r="R220">
        <v>9</v>
      </c>
      <c r="S220" s="1"/>
      <c r="T220" s="19">
        <v>43436</v>
      </c>
      <c r="U220" s="13" t="s">
        <v>241</v>
      </c>
      <c r="V220" s="41" t="s">
        <v>307</v>
      </c>
      <c r="W220" s="13" t="s">
        <v>291</v>
      </c>
    </row>
    <row r="221" spans="1:23" x14ac:dyDescent="0.2">
      <c r="A221" t="s">
        <v>191</v>
      </c>
      <c r="E221" s="20" t="s">
        <v>75</v>
      </c>
      <c r="O221">
        <v>3</v>
      </c>
      <c r="P221" s="42">
        <v>43.5</v>
      </c>
      <c r="R221">
        <v>18.46</v>
      </c>
      <c r="S221" s="1"/>
      <c r="T221" s="19">
        <v>43436</v>
      </c>
      <c r="U221" s="13" t="s">
        <v>241</v>
      </c>
      <c r="V221" t="s">
        <v>296</v>
      </c>
      <c r="W221" s="13" t="s">
        <v>265</v>
      </c>
    </row>
    <row r="222" spans="1:23" x14ac:dyDescent="0.2">
      <c r="A222" t="s">
        <v>191</v>
      </c>
      <c r="D222" t="s">
        <v>75</v>
      </c>
      <c r="O222">
        <v>10.5</v>
      </c>
      <c r="P222" s="42">
        <v>40.5</v>
      </c>
      <c r="R222">
        <v>8.8000000000000007</v>
      </c>
      <c r="S222" s="1"/>
      <c r="T222" s="19">
        <v>43436</v>
      </c>
      <c r="U222" s="13" t="s">
        <v>241</v>
      </c>
      <c r="V222" s="41" t="s">
        <v>298</v>
      </c>
      <c r="W222" s="13" t="s">
        <v>310</v>
      </c>
    </row>
    <row r="223" spans="1:23" x14ac:dyDescent="0.2">
      <c r="A223" t="s">
        <v>191</v>
      </c>
      <c r="O223">
        <v>-5.5</v>
      </c>
      <c r="P223" s="42">
        <v>45.5</v>
      </c>
      <c r="R223">
        <v>6.1</v>
      </c>
      <c r="S223" s="1"/>
      <c r="T223" s="19">
        <v>43436</v>
      </c>
      <c r="U223" s="13" t="s">
        <v>241</v>
      </c>
      <c r="V223" s="41" t="s">
        <v>294</v>
      </c>
      <c r="W223" s="13" t="s">
        <v>306</v>
      </c>
    </row>
    <row r="224" spans="1:23" x14ac:dyDescent="0.2">
      <c r="A224" t="s">
        <v>191</v>
      </c>
      <c r="O224">
        <v>-3.5</v>
      </c>
      <c r="P224" s="42">
        <v>53.5</v>
      </c>
      <c r="R224">
        <v>34.4</v>
      </c>
      <c r="S224" s="1"/>
      <c r="T224" s="19">
        <v>43436</v>
      </c>
      <c r="U224" s="13" t="s">
        <v>241</v>
      </c>
      <c r="V224" s="18" t="s">
        <v>309</v>
      </c>
      <c r="W224" s="13" t="s">
        <v>287</v>
      </c>
    </row>
    <row r="225" spans="1:23" x14ac:dyDescent="0.2">
      <c r="A225" t="s">
        <v>191</v>
      </c>
      <c r="D225" t="s">
        <v>75</v>
      </c>
      <c r="O225">
        <v>10</v>
      </c>
      <c r="P225" s="42">
        <v>45.5</v>
      </c>
      <c r="R225">
        <v>32.700000000000003</v>
      </c>
      <c r="S225" s="1"/>
      <c r="T225" s="19">
        <v>43436</v>
      </c>
      <c r="U225" s="13" t="s">
        <v>241</v>
      </c>
      <c r="V225" s="18" t="s">
        <v>256</v>
      </c>
      <c r="W225" s="13" t="s">
        <v>308</v>
      </c>
    </row>
    <row r="226" spans="1:23" x14ac:dyDescent="0.2">
      <c r="A226" t="s">
        <v>191</v>
      </c>
      <c r="D226" t="s">
        <v>75</v>
      </c>
      <c r="O226">
        <v>-10</v>
      </c>
      <c r="P226" s="42">
        <v>45.5</v>
      </c>
      <c r="R226">
        <v>10.199999999999999</v>
      </c>
      <c r="S226" s="1"/>
      <c r="T226" s="19">
        <v>43436</v>
      </c>
      <c r="U226" s="13" t="s">
        <v>241</v>
      </c>
      <c r="V226" s="18" t="s">
        <v>308</v>
      </c>
      <c r="W226" s="13" t="s">
        <v>256</v>
      </c>
    </row>
    <row r="227" spans="1:23" x14ac:dyDescent="0.2">
      <c r="A227" t="s">
        <v>191</v>
      </c>
      <c r="F227" t="s">
        <v>109</v>
      </c>
      <c r="O227">
        <v>3.5</v>
      </c>
      <c r="P227" s="42">
        <v>52</v>
      </c>
      <c r="R227">
        <v>8.8000000000000007</v>
      </c>
      <c r="S227" s="1"/>
      <c r="T227" s="19">
        <v>43436</v>
      </c>
      <c r="U227" s="13" t="s">
        <v>241</v>
      </c>
      <c r="V227" s="18" t="s">
        <v>284</v>
      </c>
      <c r="W227" s="13" t="s">
        <v>301</v>
      </c>
    </row>
    <row r="228" spans="1:23" x14ac:dyDescent="0.2">
      <c r="A228" t="s">
        <v>191</v>
      </c>
      <c r="O228">
        <v>-10.5</v>
      </c>
      <c r="P228" s="42">
        <v>40.5</v>
      </c>
      <c r="R228">
        <v>14.4</v>
      </c>
      <c r="S228" s="1"/>
      <c r="T228" s="19">
        <v>43436</v>
      </c>
      <c r="U228" s="13" t="s">
        <v>241</v>
      </c>
      <c r="V228" s="18" t="s">
        <v>310</v>
      </c>
      <c r="W228" s="13" t="s">
        <v>298</v>
      </c>
    </row>
    <row r="229" spans="1:23" x14ac:dyDescent="0.2">
      <c r="A229" t="s">
        <v>191</v>
      </c>
      <c r="O229">
        <v>5.5</v>
      </c>
      <c r="P229" s="42">
        <v>45.5</v>
      </c>
      <c r="R229">
        <v>8.1</v>
      </c>
      <c r="S229" s="1"/>
      <c r="T229" s="19">
        <v>43436</v>
      </c>
      <c r="U229" s="13" t="s">
        <v>241</v>
      </c>
      <c r="V229" s="18" t="s">
        <v>306</v>
      </c>
      <c r="W229" s="13" t="s">
        <v>294</v>
      </c>
    </row>
    <row r="230" spans="1:23" x14ac:dyDescent="0.2">
      <c r="A230" t="s">
        <v>191</v>
      </c>
      <c r="D230" t="s">
        <v>75</v>
      </c>
      <c r="F230" t="s">
        <v>110</v>
      </c>
      <c r="O230">
        <v>2.5</v>
      </c>
      <c r="P230" s="42">
        <v>40</v>
      </c>
      <c r="R230">
        <v>10.5</v>
      </c>
      <c r="S230" s="1"/>
      <c r="T230" s="19">
        <v>43443</v>
      </c>
      <c r="U230" t="s">
        <v>239</v>
      </c>
      <c r="V230" s="18" t="s">
        <v>285</v>
      </c>
      <c r="W230" t="s">
        <v>299</v>
      </c>
    </row>
    <row r="231" spans="1:23" x14ac:dyDescent="0.2">
      <c r="A231" t="s">
        <v>191</v>
      </c>
      <c r="D231" t="s">
        <v>75</v>
      </c>
      <c r="O231">
        <v>4</v>
      </c>
      <c r="P231" s="42">
        <v>51</v>
      </c>
      <c r="R231">
        <v>33.6</v>
      </c>
      <c r="S231" s="1"/>
      <c r="T231" s="19">
        <v>43443</v>
      </c>
      <c r="U231" t="s">
        <v>239</v>
      </c>
      <c r="V231" s="18" t="s">
        <v>295</v>
      </c>
      <c r="W231" t="s">
        <v>300</v>
      </c>
    </row>
    <row r="232" spans="1:23" x14ac:dyDescent="0.2">
      <c r="A232" t="s">
        <v>191</v>
      </c>
      <c r="F232" t="s">
        <v>109</v>
      </c>
      <c r="O232">
        <v>6.5</v>
      </c>
      <c r="P232" s="42">
        <v>48.5</v>
      </c>
      <c r="R232">
        <v>11.1</v>
      </c>
      <c r="S232" s="1"/>
      <c r="T232" s="19">
        <v>43443</v>
      </c>
      <c r="U232" t="s">
        <v>239</v>
      </c>
      <c r="V232" s="18" t="s">
        <v>305</v>
      </c>
      <c r="W232" t="s">
        <v>288</v>
      </c>
    </row>
    <row r="233" spans="1:23" x14ac:dyDescent="0.2">
      <c r="A233" t="s">
        <v>191</v>
      </c>
      <c r="O233">
        <v>-4.5</v>
      </c>
      <c r="P233" s="42">
        <v>37</v>
      </c>
      <c r="R233">
        <v>5.2</v>
      </c>
      <c r="S233" s="1"/>
      <c r="T233" s="19">
        <v>43443</v>
      </c>
      <c r="U233" t="s">
        <v>239</v>
      </c>
      <c r="V233" s="18" t="s">
        <v>276</v>
      </c>
      <c r="W233" t="s">
        <v>298</v>
      </c>
    </row>
    <row r="234" spans="1:23" x14ac:dyDescent="0.2">
      <c r="A234" t="s">
        <v>191</v>
      </c>
      <c r="O234">
        <v>-1</v>
      </c>
      <c r="P234" s="42">
        <v>48</v>
      </c>
      <c r="R234">
        <v>11.7</v>
      </c>
      <c r="S234" s="1"/>
      <c r="T234" s="19">
        <v>43443</v>
      </c>
      <c r="U234" t="s">
        <v>239</v>
      </c>
      <c r="V234" s="41" t="s">
        <v>301</v>
      </c>
      <c r="W234" t="s">
        <v>281</v>
      </c>
    </row>
    <row r="235" spans="1:23" x14ac:dyDescent="0.2">
      <c r="A235" t="s">
        <v>191</v>
      </c>
      <c r="B235" t="s">
        <v>56</v>
      </c>
      <c r="C235">
        <v>8.6999999999999993</v>
      </c>
      <c r="D235" t="s">
        <v>75</v>
      </c>
      <c r="O235">
        <v>3</v>
      </c>
      <c r="P235" s="42">
        <v>50.5</v>
      </c>
      <c r="R235">
        <v>9.1999999999999993</v>
      </c>
      <c r="S235" s="1"/>
      <c r="T235" s="19">
        <v>43443</v>
      </c>
      <c r="U235" t="s">
        <v>239</v>
      </c>
      <c r="V235" s="41" t="s">
        <v>265</v>
      </c>
      <c r="W235" t="s">
        <v>304</v>
      </c>
    </row>
    <row r="236" spans="1:23" x14ac:dyDescent="0.2">
      <c r="A236" t="s">
        <v>191</v>
      </c>
      <c r="F236" t="s">
        <v>109</v>
      </c>
      <c r="O236">
        <v>17</v>
      </c>
      <c r="P236" s="42">
        <v>48.5</v>
      </c>
      <c r="R236">
        <v>8.1999999999999993</v>
      </c>
      <c r="S236" s="1"/>
      <c r="T236" s="19">
        <v>43443</v>
      </c>
      <c r="U236" t="s">
        <v>239</v>
      </c>
      <c r="V236" s="41" t="s">
        <v>272</v>
      </c>
      <c r="W236" t="s">
        <v>287</v>
      </c>
    </row>
    <row r="237" spans="1:23" x14ac:dyDescent="0.2">
      <c r="A237" t="s">
        <v>191</v>
      </c>
      <c r="O237">
        <v>1</v>
      </c>
      <c r="P237" s="42">
        <v>48</v>
      </c>
      <c r="R237">
        <v>25.1</v>
      </c>
      <c r="S237" s="1"/>
      <c r="T237" s="19">
        <v>43443</v>
      </c>
      <c r="U237" t="s">
        <v>239</v>
      </c>
      <c r="V237" s="41" t="s">
        <v>281</v>
      </c>
      <c r="W237" t="s">
        <v>301</v>
      </c>
    </row>
    <row r="238" spans="1:23" x14ac:dyDescent="0.2">
      <c r="A238" t="s">
        <v>191</v>
      </c>
      <c r="O238">
        <v>-3</v>
      </c>
      <c r="P238" s="42">
        <v>45</v>
      </c>
      <c r="R238">
        <v>52.7</v>
      </c>
      <c r="S238" s="1"/>
      <c r="T238" s="19">
        <v>43443</v>
      </c>
      <c r="U238" t="s">
        <v>239</v>
      </c>
      <c r="V238" s="17" t="s">
        <v>291</v>
      </c>
      <c r="W238" t="s">
        <v>294</v>
      </c>
    </row>
    <row r="239" spans="1:23" x14ac:dyDescent="0.2">
      <c r="A239" t="s">
        <v>191</v>
      </c>
      <c r="D239" t="s">
        <v>75</v>
      </c>
      <c r="F239" t="s">
        <v>109</v>
      </c>
      <c r="O239">
        <v>-3</v>
      </c>
      <c r="P239" s="42">
        <v>45.5</v>
      </c>
      <c r="R239">
        <v>3.3</v>
      </c>
      <c r="S239" s="1"/>
      <c r="T239" s="19">
        <v>43443</v>
      </c>
      <c r="U239" t="s">
        <v>239</v>
      </c>
      <c r="V239" s="41" t="s">
        <v>278</v>
      </c>
      <c r="W239" t="s">
        <v>256</v>
      </c>
    </row>
    <row r="240" spans="1:23" x14ac:dyDescent="0.2">
      <c r="A240" t="s">
        <v>191</v>
      </c>
      <c r="D240" t="s">
        <v>75</v>
      </c>
      <c r="F240" t="s">
        <v>110</v>
      </c>
      <c r="O240">
        <v>-2.5</v>
      </c>
      <c r="P240" s="42">
        <v>40</v>
      </c>
      <c r="R240">
        <v>2.5</v>
      </c>
      <c r="S240" s="1"/>
      <c r="T240" s="19">
        <v>43443</v>
      </c>
      <c r="U240" t="s">
        <v>239</v>
      </c>
      <c r="V240" s="41" t="s">
        <v>299</v>
      </c>
      <c r="W240" t="s">
        <v>285</v>
      </c>
    </row>
    <row r="241" spans="1:23" x14ac:dyDescent="0.2">
      <c r="A241" t="s">
        <v>191</v>
      </c>
      <c r="D241" t="s">
        <v>75</v>
      </c>
      <c r="O241">
        <v>-4</v>
      </c>
      <c r="P241" s="42">
        <v>51</v>
      </c>
      <c r="R241">
        <v>21.1</v>
      </c>
      <c r="S241" s="1"/>
      <c r="T241" s="19">
        <v>43443</v>
      </c>
      <c r="U241" t="s">
        <v>239</v>
      </c>
      <c r="V241" s="41" t="s">
        <v>300</v>
      </c>
      <c r="W241" t="s">
        <v>295</v>
      </c>
    </row>
    <row r="242" spans="1:23" x14ac:dyDescent="0.2">
      <c r="A242" t="s">
        <v>191</v>
      </c>
      <c r="D242" t="s">
        <v>75</v>
      </c>
      <c r="F242" t="s">
        <v>110</v>
      </c>
      <c r="O242">
        <v>-4</v>
      </c>
      <c r="P242" s="42">
        <v>49.5</v>
      </c>
      <c r="R242">
        <v>13.6</v>
      </c>
      <c r="S242" s="1"/>
      <c r="T242" s="19">
        <v>43443</v>
      </c>
      <c r="U242" t="s">
        <v>239</v>
      </c>
      <c r="V242" t="s">
        <v>311</v>
      </c>
      <c r="W242" t="s">
        <v>289</v>
      </c>
    </row>
    <row r="243" spans="1:23" x14ac:dyDescent="0.2">
      <c r="A243" t="s">
        <v>191</v>
      </c>
      <c r="F243" t="s">
        <v>110</v>
      </c>
      <c r="O243">
        <v>4</v>
      </c>
      <c r="P243" s="42">
        <v>49.5</v>
      </c>
      <c r="R243">
        <v>31.9</v>
      </c>
      <c r="S243" s="1"/>
      <c r="T243" s="19">
        <v>43443</v>
      </c>
      <c r="U243" t="s">
        <v>239</v>
      </c>
      <c r="V243" t="s">
        <v>289</v>
      </c>
      <c r="W243" t="s">
        <v>311</v>
      </c>
    </row>
    <row r="244" spans="1:23" x14ac:dyDescent="0.2">
      <c r="A244" t="s">
        <v>191</v>
      </c>
      <c r="D244" t="s">
        <v>75</v>
      </c>
      <c r="O244">
        <v>5.5</v>
      </c>
      <c r="P244" s="42">
        <v>36.5</v>
      </c>
      <c r="R244">
        <v>9.6999999999999993</v>
      </c>
      <c r="S244" s="1"/>
      <c r="T244" s="19">
        <v>43443</v>
      </c>
      <c r="U244" t="s">
        <v>239</v>
      </c>
      <c r="V244" s="17" t="s">
        <v>297</v>
      </c>
      <c r="W244" t="s">
        <v>310</v>
      </c>
    </row>
    <row r="245" spans="1:23" x14ac:dyDescent="0.2">
      <c r="A245" t="s">
        <v>191</v>
      </c>
      <c r="F245" t="s">
        <v>109</v>
      </c>
      <c r="O245">
        <v>-6.5</v>
      </c>
      <c r="P245" s="42">
        <v>48.5</v>
      </c>
      <c r="R245">
        <v>25.5</v>
      </c>
      <c r="S245" s="1"/>
      <c r="T245" s="19">
        <v>43443</v>
      </c>
      <c r="U245" t="s">
        <v>239</v>
      </c>
      <c r="V245" s="41" t="s">
        <v>288</v>
      </c>
      <c r="W245" t="s">
        <v>305</v>
      </c>
    </row>
    <row r="246" spans="1:23" x14ac:dyDescent="0.2">
      <c r="A246" t="s">
        <v>191</v>
      </c>
      <c r="O246">
        <v>10.5</v>
      </c>
      <c r="P246" s="42">
        <v>51</v>
      </c>
      <c r="R246">
        <v>10.8</v>
      </c>
      <c r="S246" s="1"/>
      <c r="T246" s="19">
        <v>43443</v>
      </c>
      <c r="U246" t="s">
        <v>239</v>
      </c>
      <c r="V246" s="17" t="s">
        <v>303</v>
      </c>
      <c r="W246" t="s">
        <v>309</v>
      </c>
    </row>
    <row r="247" spans="1:23" x14ac:dyDescent="0.2">
      <c r="A247" t="s">
        <v>191</v>
      </c>
      <c r="F247" t="s">
        <v>109</v>
      </c>
      <c r="O247">
        <v>-17</v>
      </c>
      <c r="P247" s="42">
        <v>48.5</v>
      </c>
      <c r="R247">
        <v>18.8</v>
      </c>
      <c r="S247" s="1"/>
      <c r="T247" s="19">
        <v>43443</v>
      </c>
      <c r="U247" t="s">
        <v>239</v>
      </c>
      <c r="V247" s="17" t="s">
        <v>287</v>
      </c>
      <c r="W247" t="s">
        <v>272</v>
      </c>
    </row>
    <row r="248" spans="1:23" x14ac:dyDescent="0.2">
      <c r="A248" t="s">
        <v>191</v>
      </c>
      <c r="O248">
        <v>-3</v>
      </c>
      <c r="P248" s="42">
        <v>50.5</v>
      </c>
      <c r="R248">
        <v>5.2</v>
      </c>
      <c r="S248" s="1"/>
      <c r="T248" s="19">
        <v>43443</v>
      </c>
      <c r="U248" t="s">
        <v>239</v>
      </c>
      <c r="V248" t="s">
        <v>304</v>
      </c>
      <c r="W248" t="s">
        <v>265</v>
      </c>
    </row>
    <row r="249" spans="1:23" x14ac:dyDescent="0.2">
      <c r="A249" t="s">
        <v>191</v>
      </c>
      <c r="E249" s="20" t="s">
        <v>75</v>
      </c>
      <c r="O249">
        <v>8.5</v>
      </c>
      <c r="P249" s="42">
        <v>49.5</v>
      </c>
      <c r="R249">
        <v>30.5</v>
      </c>
      <c r="S249" s="1"/>
      <c r="T249" s="19">
        <v>43443</v>
      </c>
      <c r="U249" t="s">
        <v>239</v>
      </c>
      <c r="V249" t="s">
        <v>293</v>
      </c>
      <c r="W249" t="s">
        <v>302</v>
      </c>
    </row>
    <row r="250" spans="1:23" x14ac:dyDescent="0.2">
      <c r="A250" t="s">
        <v>191</v>
      </c>
      <c r="D250" t="s">
        <v>75</v>
      </c>
      <c r="O250">
        <v>3</v>
      </c>
      <c r="P250" s="42">
        <v>45.5</v>
      </c>
      <c r="R250">
        <v>12.8</v>
      </c>
      <c r="S250" s="1"/>
      <c r="T250" s="19">
        <v>43443</v>
      </c>
      <c r="U250" t="s">
        <v>239</v>
      </c>
      <c r="V250" t="s">
        <v>312</v>
      </c>
      <c r="W250" t="s">
        <v>308</v>
      </c>
    </row>
    <row r="251" spans="1:23" x14ac:dyDescent="0.2">
      <c r="A251" t="s">
        <v>191</v>
      </c>
      <c r="E251" s="20" t="s">
        <v>75</v>
      </c>
      <c r="O251">
        <v>-8.5</v>
      </c>
      <c r="P251" s="42">
        <v>49.5</v>
      </c>
      <c r="R251">
        <v>23.6</v>
      </c>
      <c r="S251" s="1"/>
      <c r="T251" s="19">
        <v>43443</v>
      </c>
      <c r="U251" t="s">
        <v>239</v>
      </c>
      <c r="V251" t="s">
        <v>302</v>
      </c>
      <c r="W251" t="s">
        <v>293</v>
      </c>
    </row>
    <row r="252" spans="1:23" x14ac:dyDescent="0.2">
      <c r="A252" t="s">
        <v>191</v>
      </c>
      <c r="D252" t="s">
        <v>75</v>
      </c>
      <c r="F252" t="s">
        <v>110</v>
      </c>
      <c r="O252" s="20">
        <v>-8.5</v>
      </c>
      <c r="P252" s="20">
        <v>55</v>
      </c>
      <c r="R252">
        <v>20.8</v>
      </c>
      <c r="S252" s="1"/>
      <c r="T252" s="19">
        <v>43443</v>
      </c>
      <c r="U252" t="s">
        <v>239</v>
      </c>
      <c r="V252" s="41" t="s">
        <v>307</v>
      </c>
      <c r="W252" t="s">
        <v>284</v>
      </c>
    </row>
    <row r="253" spans="1:23" x14ac:dyDescent="0.2">
      <c r="A253" t="s">
        <v>191</v>
      </c>
      <c r="O253">
        <v>-3</v>
      </c>
      <c r="P253" s="42">
        <v>40.5</v>
      </c>
      <c r="S253" s="1"/>
      <c r="T253" s="19">
        <v>43443</v>
      </c>
      <c r="U253" t="s">
        <v>239</v>
      </c>
      <c r="V253" t="s">
        <v>296</v>
      </c>
      <c r="W253" t="s">
        <v>306</v>
      </c>
    </row>
    <row r="254" spans="1:23" x14ac:dyDescent="0.2">
      <c r="A254" t="s">
        <v>191</v>
      </c>
      <c r="B254" t="s">
        <v>27</v>
      </c>
      <c r="C254">
        <v>7.6</v>
      </c>
      <c r="O254">
        <v>4.5</v>
      </c>
      <c r="P254" s="42">
        <v>37</v>
      </c>
      <c r="R254">
        <v>17.600000000000001</v>
      </c>
      <c r="S254" s="1"/>
      <c r="T254" s="19">
        <v>43443</v>
      </c>
      <c r="U254" t="s">
        <v>239</v>
      </c>
      <c r="V254" s="41" t="s">
        <v>298</v>
      </c>
      <c r="W254" t="s">
        <v>276</v>
      </c>
    </row>
    <row r="255" spans="1:23" x14ac:dyDescent="0.2">
      <c r="A255" t="s">
        <v>191</v>
      </c>
      <c r="O255">
        <v>3</v>
      </c>
      <c r="P255" s="42">
        <v>45</v>
      </c>
      <c r="R255">
        <v>17</v>
      </c>
      <c r="S255" s="1"/>
      <c r="T255" s="19">
        <v>43443</v>
      </c>
      <c r="U255" t="s">
        <v>239</v>
      </c>
      <c r="V255" s="41" t="s">
        <v>294</v>
      </c>
      <c r="W255" t="s">
        <v>291</v>
      </c>
    </row>
    <row r="256" spans="1:23" x14ac:dyDescent="0.2">
      <c r="A256" t="s">
        <v>191</v>
      </c>
      <c r="O256">
        <v>-10.5</v>
      </c>
      <c r="P256" s="42">
        <v>51</v>
      </c>
      <c r="R256">
        <v>8.5</v>
      </c>
      <c r="S256" s="1"/>
      <c r="T256" s="19">
        <v>43443</v>
      </c>
      <c r="U256" t="s">
        <v>239</v>
      </c>
      <c r="V256" s="41" t="s">
        <v>309</v>
      </c>
      <c r="W256" t="s">
        <v>303</v>
      </c>
    </row>
    <row r="257" spans="1:23" x14ac:dyDescent="0.2">
      <c r="A257" t="s">
        <v>191</v>
      </c>
      <c r="D257" t="s">
        <v>75</v>
      </c>
      <c r="F257" t="s">
        <v>109</v>
      </c>
      <c r="O257">
        <v>3</v>
      </c>
      <c r="P257" s="42">
        <v>45.5</v>
      </c>
      <c r="R257">
        <v>4</v>
      </c>
      <c r="S257" s="1"/>
      <c r="T257" s="19">
        <v>43443</v>
      </c>
      <c r="U257" t="s">
        <v>239</v>
      </c>
      <c r="V257" s="41" t="s">
        <v>256</v>
      </c>
      <c r="W257" t="s">
        <v>278</v>
      </c>
    </row>
    <row r="258" spans="1:23" x14ac:dyDescent="0.2">
      <c r="A258" t="s">
        <v>191</v>
      </c>
      <c r="O258">
        <v>-3</v>
      </c>
      <c r="P258" s="42">
        <v>45.5</v>
      </c>
      <c r="R258">
        <v>10.9</v>
      </c>
      <c r="S258" s="1"/>
      <c r="T258" s="19">
        <v>43443</v>
      </c>
      <c r="U258" t="s">
        <v>239</v>
      </c>
      <c r="V258" t="s">
        <v>308</v>
      </c>
      <c r="W258" t="s">
        <v>312</v>
      </c>
    </row>
    <row r="259" spans="1:23" x14ac:dyDescent="0.2">
      <c r="A259" t="s">
        <v>191</v>
      </c>
      <c r="F259" t="s">
        <v>110</v>
      </c>
      <c r="O259">
        <v>8.5</v>
      </c>
      <c r="P259" s="42">
        <v>55</v>
      </c>
      <c r="R259">
        <v>12</v>
      </c>
      <c r="S259" s="1"/>
      <c r="T259" s="19">
        <v>43443</v>
      </c>
      <c r="U259" t="s">
        <v>239</v>
      </c>
      <c r="V259" s="41" t="s">
        <v>284</v>
      </c>
      <c r="W259" t="s">
        <v>307</v>
      </c>
    </row>
    <row r="260" spans="1:23" x14ac:dyDescent="0.2">
      <c r="A260" t="s">
        <v>191</v>
      </c>
      <c r="O260">
        <v>-5.5</v>
      </c>
      <c r="P260" s="42">
        <v>36.5</v>
      </c>
      <c r="R260">
        <v>4.0999999999999996</v>
      </c>
      <c r="S260" s="1"/>
      <c r="T260" s="19">
        <v>43443</v>
      </c>
      <c r="U260" t="s">
        <v>239</v>
      </c>
      <c r="V260" t="s">
        <v>310</v>
      </c>
      <c r="W260" t="s">
        <v>297</v>
      </c>
    </row>
    <row r="261" spans="1:23" x14ac:dyDescent="0.2">
      <c r="A261" t="s">
        <v>191</v>
      </c>
      <c r="O261">
        <v>3</v>
      </c>
      <c r="P261" s="42">
        <v>40.5</v>
      </c>
      <c r="R261">
        <v>12.4</v>
      </c>
      <c r="S261" s="1"/>
      <c r="T261" s="19">
        <v>43443</v>
      </c>
      <c r="U261" t="s">
        <v>239</v>
      </c>
      <c r="V261" t="s">
        <v>306</v>
      </c>
      <c r="W261" t="s">
        <v>296</v>
      </c>
    </row>
    <row r="262" spans="1:23" x14ac:dyDescent="0.2">
      <c r="A262" t="s">
        <v>191</v>
      </c>
      <c r="D262" t="s">
        <v>75</v>
      </c>
      <c r="F262" t="s">
        <v>110</v>
      </c>
      <c r="O262">
        <v>10</v>
      </c>
      <c r="P262" s="42">
        <v>43.5</v>
      </c>
      <c r="R262">
        <v>15.2</v>
      </c>
      <c r="S262" s="1"/>
      <c r="T262" s="19">
        <v>43450</v>
      </c>
      <c r="U262" t="s">
        <v>237</v>
      </c>
      <c r="V262" t="s">
        <v>285</v>
      </c>
      <c r="W262" t="s">
        <v>295</v>
      </c>
    </row>
    <row r="263" spans="1:23" x14ac:dyDescent="0.2">
      <c r="A263" t="s">
        <v>191</v>
      </c>
      <c r="D263" t="s">
        <v>75</v>
      </c>
      <c r="F263" t="s">
        <v>110</v>
      </c>
      <c r="O263">
        <v>-10</v>
      </c>
      <c r="P263" s="42">
        <v>43.5</v>
      </c>
      <c r="R263">
        <v>20.2</v>
      </c>
      <c r="S263" s="1"/>
      <c r="T263" s="19">
        <v>43450</v>
      </c>
      <c r="U263" t="s">
        <v>237</v>
      </c>
      <c r="V263" s="41" t="s">
        <v>295</v>
      </c>
      <c r="W263" t="s">
        <v>285</v>
      </c>
    </row>
    <row r="264" spans="1:23" x14ac:dyDescent="0.2">
      <c r="A264" t="s">
        <v>191</v>
      </c>
      <c r="D264" t="s">
        <v>75</v>
      </c>
      <c r="O264">
        <v>-8.5</v>
      </c>
      <c r="P264" s="42">
        <v>44.5</v>
      </c>
      <c r="R264">
        <v>10.8</v>
      </c>
      <c r="S264" s="1"/>
      <c r="T264" s="19">
        <v>43450</v>
      </c>
      <c r="U264" t="s">
        <v>237</v>
      </c>
      <c r="V264" t="s">
        <v>305</v>
      </c>
      <c r="W264" t="s">
        <v>284</v>
      </c>
    </row>
    <row r="265" spans="1:23" x14ac:dyDescent="0.2">
      <c r="A265" t="s">
        <v>191</v>
      </c>
      <c r="D265" t="s">
        <v>75</v>
      </c>
      <c r="O265">
        <v>-2.5</v>
      </c>
      <c r="P265" s="42">
        <v>40</v>
      </c>
      <c r="R265">
        <v>2.1</v>
      </c>
      <c r="S265" s="1"/>
      <c r="T265" s="19">
        <v>43450</v>
      </c>
      <c r="U265" t="s">
        <v>237</v>
      </c>
      <c r="V265" t="s">
        <v>276</v>
      </c>
      <c r="W265" t="s">
        <v>299</v>
      </c>
    </row>
    <row r="266" spans="1:23" x14ac:dyDescent="0.2">
      <c r="A266" t="s">
        <v>191</v>
      </c>
      <c r="F266" t="s">
        <v>110</v>
      </c>
      <c r="O266">
        <v>6</v>
      </c>
      <c r="P266" s="42">
        <v>50.5</v>
      </c>
      <c r="R266">
        <v>4.4000000000000004</v>
      </c>
      <c r="S266" s="1"/>
      <c r="T266" s="19">
        <v>43450</v>
      </c>
      <c r="U266" t="s">
        <v>237</v>
      </c>
      <c r="V266" s="41" t="s">
        <v>301</v>
      </c>
      <c r="W266" t="s">
        <v>307</v>
      </c>
    </row>
    <row r="267" spans="1:23" x14ac:dyDescent="0.2">
      <c r="A267" t="s">
        <v>191</v>
      </c>
      <c r="D267" t="s">
        <v>75</v>
      </c>
      <c r="O267">
        <v>-6</v>
      </c>
      <c r="P267" s="42">
        <v>46.5</v>
      </c>
      <c r="R267">
        <v>8.4</v>
      </c>
      <c r="S267" s="1"/>
      <c r="T267" s="19">
        <v>43450</v>
      </c>
      <c r="U267" t="s">
        <v>237</v>
      </c>
      <c r="V267" s="41" t="s">
        <v>265</v>
      </c>
      <c r="W267" t="s">
        <v>300</v>
      </c>
    </row>
    <row r="268" spans="1:23" x14ac:dyDescent="0.2">
      <c r="A268" t="s">
        <v>191</v>
      </c>
      <c r="O268">
        <v>-3</v>
      </c>
      <c r="P268" s="42">
        <v>46</v>
      </c>
      <c r="R268">
        <v>13.8</v>
      </c>
      <c r="S268" s="1"/>
      <c r="T268" s="19">
        <v>43450</v>
      </c>
      <c r="U268" t="s">
        <v>237</v>
      </c>
      <c r="V268" s="41" t="s">
        <v>272</v>
      </c>
      <c r="W268" t="s">
        <v>303</v>
      </c>
    </row>
    <row r="269" spans="1:23" x14ac:dyDescent="0.2">
      <c r="A269" t="s">
        <v>191</v>
      </c>
      <c r="D269" t="s">
        <v>75</v>
      </c>
      <c r="O269">
        <v>1</v>
      </c>
      <c r="P269" s="42">
        <v>47</v>
      </c>
      <c r="R269">
        <v>6.7</v>
      </c>
      <c r="S269" s="1"/>
      <c r="T269" s="19">
        <v>43450</v>
      </c>
      <c r="U269" t="s">
        <v>237</v>
      </c>
      <c r="V269" t="s">
        <v>281</v>
      </c>
      <c r="W269" t="s">
        <v>278</v>
      </c>
    </row>
    <row r="270" spans="1:23" x14ac:dyDescent="0.2">
      <c r="A270" t="s">
        <v>191</v>
      </c>
      <c r="D270" t="s">
        <v>75</v>
      </c>
      <c r="F270" t="s">
        <v>109</v>
      </c>
      <c r="O270">
        <v>3</v>
      </c>
      <c r="P270" s="42">
        <v>47</v>
      </c>
      <c r="R270">
        <v>8.3000000000000007</v>
      </c>
      <c r="S270" s="1"/>
      <c r="T270" s="19">
        <v>43450</v>
      </c>
      <c r="U270" t="s">
        <v>237</v>
      </c>
      <c r="V270" s="17" t="s">
        <v>291</v>
      </c>
      <c r="W270" t="s">
        <v>289</v>
      </c>
    </row>
    <row r="271" spans="1:23" x14ac:dyDescent="0.2">
      <c r="A271" t="s">
        <v>191</v>
      </c>
      <c r="B271" t="s">
        <v>48</v>
      </c>
      <c r="C271">
        <v>8.5</v>
      </c>
      <c r="O271">
        <v>-1</v>
      </c>
      <c r="P271" s="42">
        <v>47</v>
      </c>
      <c r="R271">
        <v>11.6</v>
      </c>
      <c r="S271" s="1"/>
      <c r="T271" s="19">
        <v>43450</v>
      </c>
      <c r="U271" t="s">
        <v>237</v>
      </c>
      <c r="V271" t="s">
        <v>278</v>
      </c>
      <c r="W271" t="s">
        <v>281</v>
      </c>
    </row>
    <row r="272" spans="1:23" x14ac:dyDescent="0.2">
      <c r="A272" t="s">
        <v>191</v>
      </c>
      <c r="B272" t="s">
        <v>156</v>
      </c>
      <c r="C272">
        <v>10.3</v>
      </c>
      <c r="O272">
        <v>2.5</v>
      </c>
      <c r="P272" s="42">
        <v>40</v>
      </c>
      <c r="R272">
        <v>24.6</v>
      </c>
      <c r="S272" s="1"/>
      <c r="T272" s="19">
        <v>43450</v>
      </c>
      <c r="U272" t="s">
        <v>237</v>
      </c>
      <c r="V272" s="41" t="s">
        <v>299</v>
      </c>
      <c r="W272" t="s">
        <v>276</v>
      </c>
    </row>
    <row r="273" spans="1:23" x14ac:dyDescent="0.2">
      <c r="A273" t="s">
        <v>191</v>
      </c>
      <c r="O273">
        <v>6</v>
      </c>
      <c r="P273" s="42">
        <v>46.5</v>
      </c>
      <c r="R273">
        <v>24.9</v>
      </c>
      <c r="S273" s="1"/>
      <c r="T273" s="19">
        <v>43450</v>
      </c>
      <c r="U273" t="s">
        <v>237</v>
      </c>
      <c r="V273" s="41" t="s">
        <v>300</v>
      </c>
      <c r="W273" t="s">
        <v>265</v>
      </c>
    </row>
    <row r="274" spans="1:23" x14ac:dyDescent="0.2">
      <c r="A274" t="s">
        <v>191</v>
      </c>
      <c r="B274" t="s">
        <v>22</v>
      </c>
      <c r="C274">
        <v>14.3</v>
      </c>
      <c r="O274">
        <v>-7</v>
      </c>
      <c r="P274" s="42">
        <v>44</v>
      </c>
      <c r="R274">
        <v>42</v>
      </c>
      <c r="S274" s="1"/>
      <c r="T274" s="19">
        <v>43450</v>
      </c>
      <c r="U274" t="s">
        <v>237</v>
      </c>
      <c r="V274" t="s">
        <v>311</v>
      </c>
      <c r="W274" t="s">
        <v>298</v>
      </c>
    </row>
    <row r="275" spans="1:23" x14ac:dyDescent="0.2">
      <c r="A275" t="s">
        <v>191</v>
      </c>
      <c r="F275" t="s">
        <v>109</v>
      </c>
      <c r="O275">
        <v>-3</v>
      </c>
      <c r="P275" s="42">
        <v>47</v>
      </c>
      <c r="R275">
        <v>13.5</v>
      </c>
      <c r="S275" s="1"/>
      <c r="T275" s="19">
        <v>43450</v>
      </c>
      <c r="U275" t="s">
        <v>237</v>
      </c>
      <c r="V275" s="41" t="s">
        <v>289</v>
      </c>
      <c r="W275" t="s">
        <v>291</v>
      </c>
    </row>
    <row r="276" spans="1:23" x14ac:dyDescent="0.2">
      <c r="A276" t="s">
        <v>191</v>
      </c>
      <c r="O276">
        <v>-7.5</v>
      </c>
      <c r="P276" s="42">
        <v>36</v>
      </c>
      <c r="R276">
        <v>13.1</v>
      </c>
      <c r="S276" s="1"/>
      <c r="T276" s="19">
        <v>43450</v>
      </c>
      <c r="U276" t="s">
        <v>237</v>
      </c>
      <c r="V276" s="17" t="s">
        <v>297</v>
      </c>
      <c r="W276" t="s">
        <v>306</v>
      </c>
    </row>
    <row r="277" spans="1:23" x14ac:dyDescent="0.2">
      <c r="A277" t="s">
        <v>191</v>
      </c>
      <c r="B277" t="s">
        <v>168</v>
      </c>
      <c r="C277">
        <v>14</v>
      </c>
      <c r="F277" t="s">
        <v>109</v>
      </c>
      <c r="O277">
        <v>-3.5</v>
      </c>
      <c r="P277" s="42">
        <v>54.5</v>
      </c>
      <c r="R277">
        <v>8.1</v>
      </c>
      <c r="S277" s="1"/>
      <c r="T277" s="19">
        <v>43450</v>
      </c>
      <c r="U277" t="s">
        <v>237</v>
      </c>
      <c r="V277" t="s">
        <v>288</v>
      </c>
      <c r="W277" t="s">
        <v>287</v>
      </c>
    </row>
    <row r="278" spans="1:23" x14ac:dyDescent="0.2">
      <c r="A278" t="s">
        <v>191</v>
      </c>
      <c r="O278">
        <v>3</v>
      </c>
      <c r="P278" s="42">
        <v>46</v>
      </c>
      <c r="R278">
        <v>14.8</v>
      </c>
      <c r="S278" s="1"/>
      <c r="T278" s="19">
        <v>43450</v>
      </c>
      <c r="U278" t="s">
        <v>237</v>
      </c>
      <c r="V278" s="17" t="s">
        <v>303</v>
      </c>
      <c r="W278" t="s">
        <v>272</v>
      </c>
    </row>
    <row r="279" spans="1:23" x14ac:dyDescent="0.2">
      <c r="A279" t="s">
        <v>191</v>
      </c>
      <c r="F279" t="s">
        <v>109</v>
      </c>
      <c r="O279">
        <v>3.5</v>
      </c>
      <c r="P279" s="42">
        <v>54.5</v>
      </c>
      <c r="S279" s="1"/>
      <c r="T279" s="19">
        <v>43450</v>
      </c>
      <c r="U279" t="s">
        <v>237</v>
      </c>
      <c r="V279" s="17" t="s">
        <v>287</v>
      </c>
      <c r="W279" t="s">
        <v>288</v>
      </c>
    </row>
    <row r="280" spans="1:23" x14ac:dyDescent="0.2">
      <c r="A280" t="s">
        <v>191</v>
      </c>
      <c r="O280">
        <v>-13.5</v>
      </c>
      <c r="P280" s="42">
        <v>52.5</v>
      </c>
      <c r="R280">
        <v>16.3</v>
      </c>
      <c r="S280" s="1"/>
      <c r="T280" s="19">
        <v>43450</v>
      </c>
      <c r="U280" t="s">
        <v>237</v>
      </c>
      <c r="V280" s="41" t="s">
        <v>304</v>
      </c>
      <c r="W280" t="s">
        <v>294</v>
      </c>
    </row>
    <row r="281" spans="1:23" x14ac:dyDescent="0.2">
      <c r="A281" t="s">
        <v>191</v>
      </c>
      <c r="F281" t="s">
        <v>110</v>
      </c>
      <c r="O281">
        <v>7.5</v>
      </c>
      <c r="P281" s="42">
        <v>45</v>
      </c>
      <c r="R281">
        <v>2.7</v>
      </c>
      <c r="S281" s="1"/>
      <c r="T281" s="19">
        <v>43450</v>
      </c>
      <c r="U281" t="s">
        <v>237</v>
      </c>
      <c r="V281" t="s">
        <v>293</v>
      </c>
      <c r="W281" t="s">
        <v>312</v>
      </c>
    </row>
    <row r="282" spans="1:23" x14ac:dyDescent="0.2">
      <c r="A282" t="s">
        <v>191</v>
      </c>
      <c r="F282" t="s">
        <v>110</v>
      </c>
      <c r="O282">
        <v>-7.5</v>
      </c>
      <c r="P282" s="42">
        <v>45</v>
      </c>
      <c r="R282">
        <v>3.9</v>
      </c>
      <c r="S282" s="1"/>
      <c r="T282" s="19">
        <v>43450</v>
      </c>
      <c r="U282" t="s">
        <v>237</v>
      </c>
      <c r="V282" t="s">
        <v>312</v>
      </c>
      <c r="W282" t="s">
        <v>293</v>
      </c>
    </row>
    <row r="283" spans="1:23" x14ac:dyDescent="0.2">
      <c r="A283" t="s">
        <v>191</v>
      </c>
      <c r="F283" t="s">
        <v>109</v>
      </c>
      <c r="O283">
        <v>-2.5</v>
      </c>
      <c r="P283" s="42">
        <v>55</v>
      </c>
      <c r="R283">
        <v>16</v>
      </c>
      <c r="S283" s="1"/>
      <c r="T283" s="19">
        <v>43450</v>
      </c>
      <c r="U283" t="s">
        <v>237</v>
      </c>
      <c r="V283" s="41" t="s">
        <v>302</v>
      </c>
      <c r="W283" t="s">
        <v>309</v>
      </c>
    </row>
    <row r="284" spans="1:23" x14ac:dyDescent="0.2">
      <c r="A284" t="s">
        <v>191</v>
      </c>
      <c r="B284" t="s">
        <v>128</v>
      </c>
      <c r="C284">
        <v>13.5</v>
      </c>
      <c r="F284" t="s">
        <v>110</v>
      </c>
      <c r="O284">
        <v>-6</v>
      </c>
      <c r="P284" s="42">
        <v>50.5</v>
      </c>
      <c r="R284">
        <v>11.9</v>
      </c>
      <c r="S284" s="1"/>
      <c r="T284" s="19">
        <v>43450</v>
      </c>
      <c r="U284" t="s">
        <v>237</v>
      </c>
      <c r="V284" s="41" t="s">
        <v>307</v>
      </c>
      <c r="W284" t="s">
        <v>301</v>
      </c>
    </row>
    <row r="285" spans="1:23" x14ac:dyDescent="0.2">
      <c r="A285" t="s">
        <v>191</v>
      </c>
      <c r="D285" t="s">
        <v>75</v>
      </c>
      <c r="O285">
        <v>2.5</v>
      </c>
      <c r="P285" s="42">
        <v>42</v>
      </c>
      <c r="S285" s="1"/>
      <c r="T285" s="19">
        <v>43450</v>
      </c>
      <c r="U285" t="s">
        <v>237</v>
      </c>
      <c r="V285" s="41" t="s">
        <v>296</v>
      </c>
      <c r="W285" t="s">
        <v>310</v>
      </c>
    </row>
    <row r="286" spans="1:23" x14ac:dyDescent="0.2">
      <c r="A286" t="s">
        <v>191</v>
      </c>
      <c r="B286" t="s">
        <v>27</v>
      </c>
      <c r="C286">
        <v>10.6</v>
      </c>
      <c r="O286">
        <v>7</v>
      </c>
      <c r="P286" s="42">
        <v>44</v>
      </c>
      <c r="R286">
        <v>22.6</v>
      </c>
      <c r="S286" s="1"/>
      <c r="T286" s="19">
        <v>43450</v>
      </c>
      <c r="U286" t="s">
        <v>237</v>
      </c>
      <c r="V286" s="41" t="s">
        <v>298</v>
      </c>
      <c r="W286" t="s">
        <v>311</v>
      </c>
    </row>
    <row r="287" spans="1:23" x14ac:dyDescent="0.2">
      <c r="A287" t="s">
        <v>191</v>
      </c>
      <c r="D287" t="s">
        <v>75</v>
      </c>
      <c r="O287">
        <v>13.5</v>
      </c>
      <c r="P287" s="42">
        <v>52.5</v>
      </c>
      <c r="R287">
        <v>27</v>
      </c>
      <c r="S287" s="1"/>
      <c r="T287" s="19">
        <v>43450</v>
      </c>
      <c r="U287" t="s">
        <v>237</v>
      </c>
      <c r="V287" t="s">
        <v>294</v>
      </c>
      <c r="W287" t="s">
        <v>304</v>
      </c>
    </row>
    <row r="288" spans="1:23" x14ac:dyDescent="0.2">
      <c r="A288" t="s">
        <v>191</v>
      </c>
      <c r="F288" t="s">
        <v>109</v>
      </c>
      <c r="O288">
        <v>2.5</v>
      </c>
      <c r="P288" s="42">
        <v>55</v>
      </c>
      <c r="R288">
        <v>14.9</v>
      </c>
      <c r="S288" s="1"/>
      <c r="T288" s="19">
        <v>43450</v>
      </c>
      <c r="U288" t="s">
        <v>237</v>
      </c>
      <c r="V288" t="s">
        <v>309</v>
      </c>
      <c r="W288" t="s">
        <v>302</v>
      </c>
    </row>
    <row r="289" spans="1:23" x14ac:dyDescent="0.2">
      <c r="A289" t="s">
        <v>191</v>
      </c>
      <c r="D289" t="s">
        <v>75</v>
      </c>
      <c r="O289">
        <v>4</v>
      </c>
      <c r="P289" s="42">
        <v>44</v>
      </c>
      <c r="R289">
        <v>13.3</v>
      </c>
      <c r="S289" s="1"/>
      <c r="T289" s="19">
        <v>43450</v>
      </c>
      <c r="U289" t="s">
        <v>237</v>
      </c>
      <c r="V289" t="s">
        <v>256</v>
      </c>
      <c r="W289" t="s">
        <v>308</v>
      </c>
    </row>
    <row r="290" spans="1:23" x14ac:dyDescent="0.2">
      <c r="A290" t="s">
        <v>191</v>
      </c>
      <c r="B290" t="s">
        <v>427</v>
      </c>
      <c r="C290">
        <v>9.8000000000000007</v>
      </c>
      <c r="D290" t="s">
        <v>75</v>
      </c>
      <c r="O290">
        <v>-4</v>
      </c>
      <c r="P290" s="42">
        <v>44</v>
      </c>
      <c r="R290">
        <v>23.7</v>
      </c>
      <c r="S290" s="1"/>
      <c r="T290" s="19">
        <v>43450</v>
      </c>
      <c r="U290" t="s">
        <v>237</v>
      </c>
      <c r="V290" t="s">
        <v>308</v>
      </c>
      <c r="W290" t="s">
        <v>256</v>
      </c>
    </row>
    <row r="291" spans="1:23" x14ac:dyDescent="0.2">
      <c r="A291" t="s">
        <v>191</v>
      </c>
      <c r="O291">
        <v>8.5</v>
      </c>
      <c r="P291" s="42">
        <v>44.5</v>
      </c>
      <c r="R291">
        <v>19.100000000000001</v>
      </c>
      <c r="S291" s="1"/>
      <c r="T291" s="19">
        <v>43450</v>
      </c>
      <c r="U291" t="s">
        <v>237</v>
      </c>
      <c r="V291" t="s">
        <v>284</v>
      </c>
      <c r="W291" t="s">
        <v>305</v>
      </c>
    </row>
    <row r="292" spans="1:23" x14ac:dyDescent="0.2">
      <c r="A292" t="s">
        <v>191</v>
      </c>
      <c r="O292">
        <v>-2.5</v>
      </c>
      <c r="P292" s="42">
        <v>42</v>
      </c>
      <c r="R292">
        <v>6.3</v>
      </c>
      <c r="S292" s="1"/>
      <c r="T292" s="19">
        <v>43450</v>
      </c>
      <c r="U292" t="s">
        <v>237</v>
      </c>
      <c r="V292" t="s">
        <v>310</v>
      </c>
      <c r="W292" t="s">
        <v>296</v>
      </c>
    </row>
    <row r="293" spans="1:23" x14ac:dyDescent="0.2">
      <c r="A293" t="s">
        <v>191</v>
      </c>
      <c r="O293">
        <v>7.5</v>
      </c>
      <c r="P293" s="42">
        <v>36</v>
      </c>
      <c r="R293">
        <v>8.6</v>
      </c>
      <c r="S293" s="1"/>
      <c r="T293" s="19">
        <v>43450</v>
      </c>
      <c r="U293" t="s">
        <v>237</v>
      </c>
      <c r="V293" t="s">
        <v>306</v>
      </c>
      <c r="W293" t="s">
        <v>297</v>
      </c>
    </row>
    <row r="294" spans="1:23" x14ac:dyDescent="0.2">
      <c r="A294" t="s">
        <v>191</v>
      </c>
      <c r="D294" t="s">
        <v>75</v>
      </c>
      <c r="O294">
        <v>14.5</v>
      </c>
      <c r="P294" s="42">
        <v>43</v>
      </c>
      <c r="R294">
        <v>16.579999999999998</v>
      </c>
      <c r="S294" s="1"/>
      <c r="T294" s="19">
        <v>43457</v>
      </c>
      <c r="U294" t="s">
        <v>235</v>
      </c>
      <c r="V294" t="s">
        <v>285</v>
      </c>
      <c r="W294" t="s">
        <v>304</v>
      </c>
    </row>
    <row r="295" spans="1:23" x14ac:dyDescent="0.2">
      <c r="A295" t="s">
        <v>191</v>
      </c>
      <c r="O295">
        <v>-2.5</v>
      </c>
      <c r="P295" s="42">
        <v>46.5</v>
      </c>
      <c r="R295">
        <v>12.8</v>
      </c>
      <c r="S295" s="1"/>
      <c r="T295" s="19">
        <v>43457</v>
      </c>
      <c r="U295" t="s">
        <v>235</v>
      </c>
      <c r="V295" t="s">
        <v>295</v>
      </c>
      <c r="W295" t="s">
        <v>301</v>
      </c>
    </row>
    <row r="296" spans="1:23" x14ac:dyDescent="0.2">
      <c r="A296" t="s">
        <v>191</v>
      </c>
      <c r="F296" t="s">
        <v>109</v>
      </c>
      <c r="O296">
        <v>4</v>
      </c>
      <c r="P296" s="42">
        <v>42.5</v>
      </c>
      <c r="R296">
        <v>0</v>
      </c>
      <c r="S296" s="1"/>
      <c r="T296" s="19">
        <v>43457</v>
      </c>
      <c r="U296" t="s">
        <v>235</v>
      </c>
      <c r="V296" t="s">
        <v>305</v>
      </c>
      <c r="W296" t="s">
        <v>287</v>
      </c>
    </row>
    <row r="297" spans="1:23" x14ac:dyDescent="0.2">
      <c r="A297" t="s">
        <v>191</v>
      </c>
      <c r="B297" t="s">
        <v>435</v>
      </c>
      <c r="C297">
        <v>11.6</v>
      </c>
      <c r="O297">
        <v>14</v>
      </c>
      <c r="P297" s="42">
        <v>46</v>
      </c>
      <c r="R297">
        <v>17.7</v>
      </c>
      <c r="S297" s="1"/>
      <c r="T297" s="19">
        <v>43457</v>
      </c>
      <c r="U297" t="s">
        <v>235</v>
      </c>
      <c r="V297" t="s">
        <v>276</v>
      </c>
      <c r="W297" t="s">
        <v>302</v>
      </c>
    </row>
    <row r="298" spans="1:23" x14ac:dyDescent="0.2">
      <c r="A298" t="s">
        <v>191</v>
      </c>
      <c r="D298" t="s">
        <v>75</v>
      </c>
      <c r="O298">
        <v>2.5</v>
      </c>
      <c r="P298" s="42">
        <v>46.5</v>
      </c>
      <c r="R298">
        <v>4.3</v>
      </c>
      <c r="S298" s="1"/>
      <c r="T298" s="19">
        <v>43457</v>
      </c>
      <c r="U298" t="s">
        <v>235</v>
      </c>
      <c r="V298" t="s">
        <v>301</v>
      </c>
      <c r="W298" t="s">
        <v>295</v>
      </c>
    </row>
    <row r="299" spans="1:23" x14ac:dyDescent="0.2">
      <c r="A299" t="s">
        <v>191</v>
      </c>
      <c r="B299" t="s">
        <v>56</v>
      </c>
      <c r="C299">
        <v>10.6</v>
      </c>
      <c r="D299" t="s">
        <v>75</v>
      </c>
      <c r="F299" t="s">
        <v>109</v>
      </c>
      <c r="O299">
        <v>-3.5</v>
      </c>
      <c r="P299" s="42">
        <v>44</v>
      </c>
      <c r="R299">
        <v>14.4</v>
      </c>
      <c r="S299" s="1"/>
      <c r="T299" s="19">
        <v>43457</v>
      </c>
      <c r="U299" t="s">
        <v>235</v>
      </c>
      <c r="V299" t="s">
        <v>265</v>
      </c>
      <c r="W299" t="s">
        <v>256</v>
      </c>
    </row>
    <row r="300" spans="1:23" x14ac:dyDescent="0.2">
      <c r="A300" t="s">
        <v>191</v>
      </c>
      <c r="F300" t="s">
        <v>110</v>
      </c>
      <c r="O300">
        <v>10</v>
      </c>
      <c r="P300" s="42">
        <v>44</v>
      </c>
      <c r="R300">
        <v>8</v>
      </c>
      <c r="S300" s="1"/>
      <c r="T300" s="19">
        <v>43457</v>
      </c>
      <c r="U300" t="s">
        <v>235</v>
      </c>
      <c r="V300" t="s">
        <v>272</v>
      </c>
      <c r="W300" t="s">
        <v>281</v>
      </c>
    </row>
    <row r="301" spans="1:23" x14ac:dyDescent="0.2">
      <c r="A301" t="s">
        <v>191</v>
      </c>
      <c r="F301" t="s">
        <v>110</v>
      </c>
      <c r="O301">
        <v>-10</v>
      </c>
      <c r="P301" s="42">
        <v>44</v>
      </c>
      <c r="R301">
        <v>11.82</v>
      </c>
      <c r="S301" s="1"/>
      <c r="T301" s="19">
        <v>43457</v>
      </c>
      <c r="U301" t="s">
        <v>235</v>
      </c>
      <c r="V301" t="s">
        <v>281</v>
      </c>
      <c r="W301" t="s">
        <v>272</v>
      </c>
    </row>
    <row r="302" spans="1:23" x14ac:dyDescent="0.2">
      <c r="A302" t="s">
        <v>191</v>
      </c>
      <c r="D302" t="s">
        <v>75</v>
      </c>
      <c r="O302">
        <v>-7</v>
      </c>
      <c r="P302" s="42">
        <v>48</v>
      </c>
      <c r="R302">
        <v>6</v>
      </c>
      <c r="S302" s="1"/>
      <c r="T302" s="19">
        <v>43457</v>
      </c>
      <c r="U302" t="s">
        <v>235</v>
      </c>
      <c r="V302" s="17" t="s">
        <v>291</v>
      </c>
      <c r="W302" t="s">
        <v>284</v>
      </c>
    </row>
    <row r="303" spans="1:23" x14ac:dyDescent="0.2">
      <c r="A303" t="s">
        <v>191</v>
      </c>
      <c r="O303">
        <v>-2.5</v>
      </c>
      <c r="P303" s="42">
        <v>42.5</v>
      </c>
      <c r="R303">
        <v>16</v>
      </c>
      <c r="S303" s="1"/>
      <c r="T303" s="19">
        <v>43457</v>
      </c>
      <c r="U303" t="s">
        <v>235</v>
      </c>
      <c r="V303" s="41" t="s">
        <v>278</v>
      </c>
      <c r="W303" t="s">
        <v>303</v>
      </c>
    </row>
    <row r="304" spans="1:23" x14ac:dyDescent="0.2">
      <c r="A304" t="s">
        <v>191</v>
      </c>
      <c r="B304" t="s">
        <v>156</v>
      </c>
      <c r="C304">
        <v>11.1</v>
      </c>
      <c r="F304" t="s">
        <v>110</v>
      </c>
      <c r="O304">
        <v>6.5</v>
      </c>
      <c r="P304" s="42">
        <v>41.5</v>
      </c>
      <c r="R304">
        <v>11.8</v>
      </c>
      <c r="S304" s="1"/>
      <c r="T304" s="19">
        <v>43457</v>
      </c>
      <c r="U304" t="s">
        <v>235</v>
      </c>
      <c r="V304" t="s">
        <v>299</v>
      </c>
      <c r="W304" t="s">
        <v>312</v>
      </c>
    </row>
    <row r="305" spans="1:23" x14ac:dyDescent="0.2">
      <c r="A305" t="s">
        <v>191</v>
      </c>
      <c r="O305">
        <v>-3</v>
      </c>
      <c r="P305" s="42">
        <v>47</v>
      </c>
      <c r="R305">
        <v>24.1</v>
      </c>
      <c r="S305" s="1"/>
      <c r="T305" s="19">
        <v>43457</v>
      </c>
      <c r="U305" t="s">
        <v>235</v>
      </c>
      <c r="V305" s="41" t="s">
        <v>300</v>
      </c>
      <c r="W305" t="s">
        <v>298</v>
      </c>
    </row>
    <row r="306" spans="1:23" x14ac:dyDescent="0.2">
      <c r="A306" t="s">
        <v>191</v>
      </c>
      <c r="F306" t="s">
        <v>109</v>
      </c>
      <c r="O306">
        <v>1</v>
      </c>
      <c r="P306" s="42">
        <v>47</v>
      </c>
      <c r="R306">
        <v>22.4</v>
      </c>
      <c r="S306" s="1"/>
      <c r="T306" s="19">
        <v>43457</v>
      </c>
      <c r="U306" t="s">
        <v>235</v>
      </c>
      <c r="V306" t="s">
        <v>311</v>
      </c>
      <c r="W306" t="s">
        <v>294</v>
      </c>
    </row>
    <row r="307" spans="1:23" x14ac:dyDescent="0.2">
      <c r="A307" t="s">
        <v>191</v>
      </c>
      <c r="E307" s="20" t="s">
        <v>75</v>
      </c>
      <c r="O307">
        <v>-10</v>
      </c>
      <c r="P307" s="42">
        <v>48.5</v>
      </c>
      <c r="R307">
        <v>23.8</v>
      </c>
      <c r="S307" s="1"/>
      <c r="T307" s="19">
        <v>43457</v>
      </c>
      <c r="U307" t="s">
        <v>235</v>
      </c>
      <c r="V307" t="s">
        <v>289</v>
      </c>
      <c r="W307" t="s">
        <v>296</v>
      </c>
    </row>
    <row r="308" spans="1:23" x14ac:dyDescent="0.2">
      <c r="A308" t="s">
        <v>191</v>
      </c>
      <c r="O308">
        <v>3</v>
      </c>
      <c r="P308" s="42">
        <v>39.5</v>
      </c>
      <c r="R308">
        <v>12.4</v>
      </c>
      <c r="S308" s="1"/>
      <c r="T308" s="19">
        <v>43457</v>
      </c>
      <c r="U308" t="s">
        <v>235</v>
      </c>
      <c r="V308" s="17" t="s">
        <v>297</v>
      </c>
      <c r="W308" t="s">
        <v>293</v>
      </c>
    </row>
    <row r="309" spans="1:23" x14ac:dyDescent="0.2">
      <c r="A309" t="s">
        <v>191</v>
      </c>
      <c r="B309" t="s">
        <v>168</v>
      </c>
      <c r="C309">
        <v>12.3</v>
      </c>
      <c r="D309" t="s">
        <v>75</v>
      </c>
      <c r="O309">
        <v>-1</v>
      </c>
      <c r="P309" s="42">
        <v>54</v>
      </c>
      <c r="R309">
        <v>13.1</v>
      </c>
      <c r="S309" s="1"/>
      <c r="T309" s="19">
        <v>43457</v>
      </c>
      <c r="U309" t="s">
        <v>235</v>
      </c>
      <c r="V309" t="s">
        <v>288</v>
      </c>
      <c r="W309" t="s">
        <v>308</v>
      </c>
    </row>
    <row r="310" spans="1:23" x14ac:dyDescent="0.2">
      <c r="A310" t="s">
        <v>191</v>
      </c>
      <c r="D310" t="s">
        <v>75</v>
      </c>
      <c r="O310">
        <v>2.5</v>
      </c>
      <c r="P310" s="42">
        <v>42.5</v>
      </c>
      <c r="R310">
        <v>14.5</v>
      </c>
      <c r="S310" s="1"/>
      <c r="T310" s="19">
        <v>43457</v>
      </c>
      <c r="U310" t="s">
        <v>235</v>
      </c>
      <c r="V310" s="17" t="s">
        <v>303</v>
      </c>
      <c r="W310" t="s">
        <v>278</v>
      </c>
    </row>
    <row r="311" spans="1:23" x14ac:dyDescent="0.2">
      <c r="A311" t="s">
        <v>191</v>
      </c>
      <c r="F311" t="s">
        <v>109</v>
      </c>
      <c r="O311">
        <v>-4</v>
      </c>
      <c r="P311" s="42">
        <v>42.5</v>
      </c>
      <c r="R311">
        <v>10.8</v>
      </c>
      <c r="S311" s="1"/>
      <c r="T311" s="19">
        <v>43457</v>
      </c>
      <c r="U311" t="s">
        <v>235</v>
      </c>
      <c r="V311" s="17" t="s">
        <v>287</v>
      </c>
      <c r="W311" t="s">
        <v>305</v>
      </c>
    </row>
    <row r="312" spans="1:23" x14ac:dyDescent="0.2">
      <c r="A312" t="s">
        <v>191</v>
      </c>
      <c r="D312" t="s">
        <v>75</v>
      </c>
      <c r="O312">
        <v>-14.5</v>
      </c>
      <c r="P312" s="42">
        <v>43</v>
      </c>
      <c r="R312">
        <v>28.4</v>
      </c>
      <c r="S312" s="1"/>
      <c r="T312" s="19">
        <v>43457</v>
      </c>
      <c r="U312" t="s">
        <v>235</v>
      </c>
      <c r="V312" t="s">
        <v>304</v>
      </c>
      <c r="W312" t="s">
        <v>285</v>
      </c>
    </row>
    <row r="313" spans="1:23" x14ac:dyDescent="0.2">
      <c r="A313" t="s">
        <v>191</v>
      </c>
      <c r="O313">
        <v>-3</v>
      </c>
      <c r="P313" s="42">
        <v>39.5</v>
      </c>
      <c r="R313">
        <v>1.5</v>
      </c>
      <c r="S313" s="1"/>
      <c r="T313" s="19">
        <v>43457</v>
      </c>
      <c r="U313" t="s">
        <v>235</v>
      </c>
      <c r="V313" t="s">
        <v>293</v>
      </c>
      <c r="W313" t="s">
        <v>297</v>
      </c>
    </row>
    <row r="314" spans="1:23" x14ac:dyDescent="0.2">
      <c r="A314" t="s">
        <v>191</v>
      </c>
      <c r="B314" t="s">
        <v>45</v>
      </c>
      <c r="C314">
        <v>10.1</v>
      </c>
      <c r="D314" t="s">
        <v>75</v>
      </c>
      <c r="F314" t="s">
        <v>110</v>
      </c>
      <c r="O314">
        <v>-6.5</v>
      </c>
      <c r="P314" s="42">
        <v>41.5</v>
      </c>
      <c r="R314">
        <v>13.3</v>
      </c>
      <c r="S314" s="1"/>
      <c r="T314" s="19">
        <v>43457</v>
      </c>
      <c r="U314" t="s">
        <v>235</v>
      </c>
      <c r="V314" t="s">
        <v>312</v>
      </c>
      <c r="W314" t="s">
        <v>299</v>
      </c>
    </row>
    <row r="315" spans="1:23" x14ac:dyDescent="0.2">
      <c r="A315" t="s">
        <v>191</v>
      </c>
      <c r="O315">
        <v>-14</v>
      </c>
      <c r="P315" s="42">
        <v>46</v>
      </c>
      <c r="R315">
        <v>19</v>
      </c>
      <c r="S315" s="1"/>
      <c r="T315" s="19">
        <v>43457</v>
      </c>
      <c r="U315" t="s">
        <v>235</v>
      </c>
      <c r="V315" t="s">
        <v>302</v>
      </c>
      <c r="W315" t="s">
        <v>276</v>
      </c>
    </row>
    <row r="316" spans="1:23" x14ac:dyDescent="0.2">
      <c r="A316" t="s">
        <v>191</v>
      </c>
      <c r="F316" t="s">
        <v>110</v>
      </c>
      <c r="O316">
        <v>-6.5</v>
      </c>
      <c r="P316" s="42">
        <v>53</v>
      </c>
      <c r="R316">
        <v>30.9</v>
      </c>
      <c r="S316" s="1"/>
      <c r="T316" s="19">
        <v>43457</v>
      </c>
      <c r="U316" t="s">
        <v>235</v>
      </c>
      <c r="V316" s="41" t="s">
        <v>307</v>
      </c>
      <c r="W316" t="s">
        <v>309</v>
      </c>
    </row>
    <row r="317" spans="1:23" x14ac:dyDescent="0.2">
      <c r="A317" t="s">
        <v>191</v>
      </c>
      <c r="D317" t="s">
        <v>75</v>
      </c>
      <c r="E317" s="20" t="s">
        <v>75</v>
      </c>
      <c r="O317">
        <v>10</v>
      </c>
      <c r="P317" s="42">
        <v>48.5</v>
      </c>
      <c r="S317" s="1"/>
      <c r="T317" s="19">
        <v>43457</v>
      </c>
      <c r="U317" t="s">
        <v>235</v>
      </c>
      <c r="V317" t="s">
        <v>296</v>
      </c>
      <c r="W317" t="s">
        <v>289</v>
      </c>
    </row>
    <row r="318" spans="1:23" x14ac:dyDescent="0.2">
      <c r="A318" t="s">
        <v>191</v>
      </c>
      <c r="D318" t="s">
        <v>75</v>
      </c>
      <c r="O318">
        <v>3</v>
      </c>
      <c r="P318" s="42">
        <v>47</v>
      </c>
      <c r="R318">
        <v>32</v>
      </c>
      <c r="S318" s="1"/>
      <c r="T318" s="19">
        <v>43457</v>
      </c>
      <c r="U318" t="s">
        <v>235</v>
      </c>
      <c r="V318" s="41" t="s">
        <v>298</v>
      </c>
      <c r="W318" t="s">
        <v>300</v>
      </c>
    </row>
    <row r="319" spans="1:23" x14ac:dyDescent="0.2">
      <c r="A319" t="s">
        <v>191</v>
      </c>
      <c r="F319" t="s">
        <v>109</v>
      </c>
      <c r="O319">
        <v>-1</v>
      </c>
      <c r="P319" s="42">
        <v>47</v>
      </c>
      <c r="R319">
        <v>11.2</v>
      </c>
      <c r="S319" s="1"/>
      <c r="T319" s="19">
        <v>43457</v>
      </c>
      <c r="U319" t="s">
        <v>235</v>
      </c>
      <c r="V319" t="s">
        <v>294</v>
      </c>
      <c r="W319" t="s">
        <v>311</v>
      </c>
    </row>
    <row r="320" spans="1:23" x14ac:dyDescent="0.2">
      <c r="A320" t="s">
        <v>191</v>
      </c>
      <c r="F320" t="s">
        <v>110</v>
      </c>
      <c r="O320">
        <v>6.5</v>
      </c>
      <c r="P320" s="42">
        <v>53</v>
      </c>
      <c r="R320">
        <v>47.5</v>
      </c>
      <c r="S320" s="1"/>
      <c r="T320" s="19">
        <v>43457</v>
      </c>
      <c r="U320" t="s">
        <v>235</v>
      </c>
      <c r="V320" s="41" t="s">
        <v>309</v>
      </c>
      <c r="W320" t="s">
        <v>307</v>
      </c>
    </row>
    <row r="321" spans="1:23" x14ac:dyDescent="0.2">
      <c r="A321" t="s">
        <v>191</v>
      </c>
      <c r="F321" t="s">
        <v>109</v>
      </c>
      <c r="O321">
        <v>3.5</v>
      </c>
      <c r="P321" s="42">
        <v>44</v>
      </c>
      <c r="R321">
        <v>5.0999999999999996</v>
      </c>
      <c r="S321" s="1"/>
      <c r="T321" s="19">
        <v>43457</v>
      </c>
      <c r="U321" t="s">
        <v>235</v>
      </c>
      <c r="V321" t="s">
        <v>256</v>
      </c>
      <c r="W321" t="s">
        <v>265</v>
      </c>
    </row>
    <row r="322" spans="1:23" x14ac:dyDescent="0.2">
      <c r="A322" t="s">
        <v>191</v>
      </c>
      <c r="O322">
        <v>1</v>
      </c>
      <c r="P322" s="42">
        <v>54</v>
      </c>
      <c r="R322">
        <v>28.6</v>
      </c>
      <c r="S322" s="1"/>
      <c r="T322" s="19">
        <v>43457</v>
      </c>
      <c r="U322" t="s">
        <v>235</v>
      </c>
      <c r="V322" t="s">
        <v>308</v>
      </c>
      <c r="W322" t="s">
        <v>288</v>
      </c>
    </row>
    <row r="323" spans="1:23" x14ac:dyDescent="0.2">
      <c r="A323" t="s">
        <v>191</v>
      </c>
      <c r="O323">
        <v>7</v>
      </c>
      <c r="P323" s="42">
        <v>48</v>
      </c>
      <c r="R323">
        <v>21</v>
      </c>
      <c r="S323" s="1"/>
      <c r="T323" s="19">
        <v>43457</v>
      </c>
      <c r="U323" t="s">
        <v>235</v>
      </c>
      <c r="V323" s="41" t="s">
        <v>284</v>
      </c>
      <c r="W323" t="s">
        <v>291</v>
      </c>
    </row>
    <row r="324" spans="1:23" x14ac:dyDescent="0.2">
      <c r="A324" t="s">
        <v>191</v>
      </c>
      <c r="O324">
        <v>-12</v>
      </c>
      <c r="P324" s="42">
        <v>38</v>
      </c>
      <c r="R324">
        <v>7.6</v>
      </c>
      <c r="S324" s="1"/>
      <c r="T324" s="19">
        <v>43457</v>
      </c>
      <c r="U324" t="s">
        <v>235</v>
      </c>
      <c r="V324" t="s">
        <v>310</v>
      </c>
      <c r="W324" t="s">
        <v>306</v>
      </c>
    </row>
    <row r="325" spans="1:23" x14ac:dyDescent="0.2">
      <c r="A325" t="s">
        <v>191</v>
      </c>
      <c r="D325" t="s">
        <v>75</v>
      </c>
      <c r="O325">
        <v>12</v>
      </c>
      <c r="P325" s="42">
        <v>38</v>
      </c>
      <c r="R325">
        <v>12.8</v>
      </c>
      <c r="S325" s="1"/>
      <c r="T325" s="19">
        <v>43457</v>
      </c>
      <c r="U325" t="s">
        <v>235</v>
      </c>
      <c r="V325" t="s">
        <v>306</v>
      </c>
      <c r="W325" t="s">
        <v>310</v>
      </c>
    </row>
    <row r="326" spans="1:23" x14ac:dyDescent="0.2">
      <c r="A326" t="s">
        <v>191</v>
      </c>
      <c r="F326" t="s">
        <v>110</v>
      </c>
      <c r="O326">
        <v>3</v>
      </c>
      <c r="P326">
        <v>45.5</v>
      </c>
      <c r="R326">
        <v>28.3</v>
      </c>
      <c r="T326" s="39">
        <v>43716</v>
      </c>
      <c r="U326" s="25" t="s">
        <v>384</v>
      </c>
      <c r="V326" t="s">
        <v>285</v>
      </c>
      <c r="W326" s="24" t="s">
        <v>299</v>
      </c>
    </row>
    <row r="327" spans="1:23" x14ac:dyDescent="0.2">
      <c r="A327" t="s">
        <v>191</v>
      </c>
      <c r="O327">
        <v>3.5</v>
      </c>
      <c r="P327">
        <v>47</v>
      </c>
      <c r="R327">
        <v>15.1</v>
      </c>
      <c r="T327" s="39">
        <v>43716</v>
      </c>
      <c r="U327" s="25" t="s">
        <v>384</v>
      </c>
      <c r="V327" t="s">
        <v>295</v>
      </c>
      <c r="W327" s="24" t="s">
        <v>312</v>
      </c>
    </row>
    <row r="328" spans="1:23" x14ac:dyDescent="0.2">
      <c r="A328" t="s">
        <v>191</v>
      </c>
      <c r="E328" t="s">
        <v>75</v>
      </c>
      <c r="O328">
        <v>-7</v>
      </c>
      <c r="P328">
        <v>41</v>
      </c>
      <c r="R328">
        <v>33.700000000000003</v>
      </c>
      <c r="T328" s="39">
        <v>43716</v>
      </c>
      <c r="U328" s="25" t="s">
        <v>384</v>
      </c>
      <c r="V328" s="41" t="s">
        <v>305</v>
      </c>
      <c r="W328" s="24" t="s">
        <v>293</v>
      </c>
    </row>
    <row r="329" spans="1:23" x14ac:dyDescent="0.2">
      <c r="A329" t="s">
        <v>191</v>
      </c>
      <c r="B329" t="s">
        <v>126</v>
      </c>
      <c r="D329" t="s">
        <v>75</v>
      </c>
      <c r="O329">
        <v>2.5</v>
      </c>
      <c r="P329">
        <v>41</v>
      </c>
      <c r="Q329">
        <v>4.3</v>
      </c>
      <c r="R329">
        <v>28.3</v>
      </c>
      <c r="T329" s="39">
        <v>43716</v>
      </c>
      <c r="U329" s="25" t="s">
        <v>384</v>
      </c>
      <c r="V329" t="s">
        <v>276</v>
      </c>
      <c r="W329" s="24" t="s">
        <v>298</v>
      </c>
    </row>
    <row r="330" spans="1:23" x14ac:dyDescent="0.2">
      <c r="A330" t="s">
        <v>191</v>
      </c>
      <c r="F330" t="s">
        <v>109</v>
      </c>
      <c r="O330">
        <v>1.5</v>
      </c>
      <c r="P330">
        <v>49.5</v>
      </c>
      <c r="R330">
        <v>13.6</v>
      </c>
      <c r="T330" s="39">
        <v>43716</v>
      </c>
      <c r="U330" s="25" t="s">
        <v>384</v>
      </c>
      <c r="V330" t="s">
        <v>301</v>
      </c>
      <c r="W330" s="24" t="s">
        <v>304</v>
      </c>
    </row>
    <row r="331" spans="1:23" x14ac:dyDescent="0.2">
      <c r="A331" t="s">
        <v>191</v>
      </c>
      <c r="O331">
        <v>-3.5</v>
      </c>
      <c r="P331">
        <v>47</v>
      </c>
      <c r="R331">
        <v>20.2</v>
      </c>
      <c r="T331" s="39">
        <v>43716</v>
      </c>
      <c r="U331" s="25" t="s">
        <v>384</v>
      </c>
      <c r="V331" t="s">
        <v>265</v>
      </c>
      <c r="W331" s="24" t="s">
        <v>300</v>
      </c>
    </row>
    <row r="332" spans="1:23" x14ac:dyDescent="0.2">
      <c r="A332" t="s">
        <v>191</v>
      </c>
      <c r="O332">
        <v>9.5</v>
      </c>
      <c r="P332">
        <v>44</v>
      </c>
      <c r="R332">
        <v>14.3</v>
      </c>
      <c r="T332" s="39">
        <v>43716</v>
      </c>
      <c r="U332" s="25" t="s">
        <v>384</v>
      </c>
      <c r="V332" s="17" t="s">
        <v>272</v>
      </c>
      <c r="W332" s="24" t="s">
        <v>308</v>
      </c>
    </row>
    <row r="333" spans="1:23" x14ac:dyDescent="0.2">
      <c r="A333" t="s">
        <v>191</v>
      </c>
      <c r="F333" t="s">
        <v>110</v>
      </c>
      <c r="O333">
        <v>-5.5</v>
      </c>
      <c r="P333">
        <v>44</v>
      </c>
      <c r="R333">
        <v>14.1</v>
      </c>
      <c r="T333" s="39">
        <v>43716</v>
      </c>
      <c r="U333" s="25" t="s">
        <v>384</v>
      </c>
      <c r="V333" t="s">
        <v>281</v>
      </c>
      <c r="W333" s="24" t="s">
        <v>310</v>
      </c>
    </row>
    <row r="334" spans="1:23" x14ac:dyDescent="0.2">
      <c r="A334" t="s">
        <v>191</v>
      </c>
      <c r="B334" t="s">
        <v>116</v>
      </c>
      <c r="D334" t="s">
        <v>75</v>
      </c>
      <c r="O334">
        <v>-7</v>
      </c>
      <c r="P334">
        <v>44</v>
      </c>
      <c r="Q334">
        <v>7</v>
      </c>
      <c r="R334">
        <v>25.6</v>
      </c>
      <c r="T334" s="39">
        <v>43716</v>
      </c>
      <c r="U334" s="25" t="s">
        <v>384</v>
      </c>
      <c r="V334" t="s">
        <v>291</v>
      </c>
      <c r="W334" s="24" t="s">
        <v>296</v>
      </c>
    </row>
    <row r="335" spans="1:23" x14ac:dyDescent="0.2">
      <c r="A335" t="s">
        <v>191</v>
      </c>
      <c r="B335" t="s">
        <v>129</v>
      </c>
      <c r="D335" t="s">
        <v>75</v>
      </c>
      <c r="O335">
        <v>-3</v>
      </c>
      <c r="P335">
        <v>42.5</v>
      </c>
      <c r="Q335">
        <v>5.3</v>
      </c>
      <c r="R335">
        <v>22</v>
      </c>
      <c r="T335" s="39">
        <v>43716</v>
      </c>
      <c r="U335" t="s">
        <v>384</v>
      </c>
      <c r="V335" t="s">
        <v>278</v>
      </c>
      <c r="W335" t="s">
        <v>303</v>
      </c>
    </row>
    <row r="336" spans="1:23" x14ac:dyDescent="0.2">
      <c r="A336" t="s">
        <v>191</v>
      </c>
      <c r="F336" t="s">
        <v>110</v>
      </c>
      <c r="O336">
        <v>-3</v>
      </c>
      <c r="P336">
        <v>45.5</v>
      </c>
      <c r="R336">
        <v>14.2</v>
      </c>
      <c r="T336" s="39">
        <v>43716</v>
      </c>
      <c r="U336" s="25" t="s">
        <v>384</v>
      </c>
      <c r="V336" t="s">
        <v>299</v>
      </c>
      <c r="W336" s="24" t="s">
        <v>285</v>
      </c>
    </row>
    <row r="337" spans="1:23" x14ac:dyDescent="0.2">
      <c r="A337" t="s">
        <v>191</v>
      </c>
      <c r="O337">
        <v>3.5</v>
      </c>
      <c r="P337">
        <v>47</v>
      </c>
      <c r="R337">
        <v>7.6</v>
      </c>
      <c r="T337" s="39">
        <v>43716</v>
      </c>
      <c r="U337" s="25" t="s">
        <v>384</v>
      </c>
      <c r="V337" t="s">
        <v>300</v>
      </c>
      <c r="W337" s="24" t="s">
        <v>265</v>
      </c>
    </row>
    <row r="338" spans="1:23" x14ac:dyDescent="0.2">
      <c r="A338" t="s">
        <v>191</v>
      </c>
      <c r="O338">
        <v>6.5</v>
      </c>
      <c r="P338">
        <v>52</v>
      </c>
      <c r="R338">
        <v>34.1</v>
      </c>
      <c r="T338" s="39">
        <v>43716</v>
      </c>
      <c r="U338" s="25" t="s">
        <v>384</v>
      </c>
      <c r="V338" s="41" t="s">
        <v>311</v>
      </c>
      <c r="W338" s="24" t="s">
        <v>307</v>
      </c>
    </row>
    <row r="339" spans="1:23" x14ac:dyDescent="0.2">
      <c r="A339" t="s">
        <v>191</v>
      </c>
      <c r="E339" t="s">
        <v>75</v>
      </c>
      <c r="O339">
        <v>5.5</v>
      </c>
      <c r="P339">
        <v>45</v>
      </c>
      <c r="R339">
        <v>28.7</v>
      </c>
      <c r="T339" s="39">
        <v>43716</v>
      </c>
      <c r="U339" s="25" t="s">
        <v>384</v>
      </c>
      <c r="V339" t="s">
        <v>289</v>
      </c>
      <c r="W339" s="24" t="s">
        <v>287</v>
      </c>
    </row>
    <row r="340" spans="1:23" x14ac:dyDescent="0.2">
      <c r="A340" t="s">
        <v>191</v>
      </c>
      <c r="B340" t="s">
        <v>39</v>
      </c>
      <c r="D340" t="s">
        <v>75</v>
      </c>
      <c r="O340">
        <v>3.5</v>
      </c>
      <c r="P340">
        <v>49</v>
      </c>
      <c r="R340">
        <v>14.2</v>
      </c>
      <c r="T340" s="39">
        <v>43716</v>
      </c>
      <c r="U340" s="25" t="s">
        <v>384</v>
      </c>
      <c r="V340" t="s">
        <v>297</v>
      </c>
      <c r="W340" s="24" t="s">
        <v>288</v>
      </c>
    </row>
    <row r="341" spans="1:23" x14ac:dyDescent="0.2">
      <c r="A341" t="s">
        <v>191</v>
      </c>
      <c r="F341" t="s">
        <v>109</v>
      </c>
      <c r="O341">
        <v>-3.5</v>
      </c>
      <c r="P341">
        <v>49</v>
      </c>
      <c r="R341">
        <v>49.8</v>
      </c>
      <c r="T341" s="39">
        <v>43716</v>
      </c>
      <c r="U341" s="25" t="s">
        <v>384</v>
      </c>
      <c r="V341" t="s">
        <v>288</v>
      </c>
      <c r="W341" s="24" t="s">
        <v>297</v>
      </c>
    </row>
    <row r="342" spans="1:23" x14ac:dyDescent="0.2">
      <c r="A342" t="s">
        <v>191</v>
      </c>
      <c r="F342" t="s">
        <v>109</v>
      </c>
      <c r="O342">
        <v>3</v>
      </c>
      <c r="P342">
        <v>42.5</v>
      </c>
      <c r="R342">
        <v>25.5</v>
      </c>
      <c r="T342" s="39">
        <v>43716</v>
      </c>
      <c r="U342" s="25" t="s">
        <v>384</v>
      </c>
      <c r="V342" t="s">
        <v>303</v>
      </c>
      <c r="W342" s="24" t="s">
        <v>278</v>
      </c>
    </row>
    <row r="343" spans="1:23" x14ac:dyDescent="0.2">
      <c r="A343" t="s">
        <v>191</v>
      </c>
      <c r="E343" t="s">
        <v>75</v>
      </c>
      <c r="O343">
        <v>-5.5</v>
      </c>
      <c r="P343">
        <v>45</v>
      </c>
      <c r="R343">
        <v>29.3</v>
      </c>
      <c r="T343" s="39">
        <v>43716</v>
      </c>
      <c r="U343" s="25" t="s">
        <v>384</v>
      </c>
      <c r="V343" t="s">
        <v>287</v>
      </c>
      <c r="W343" s="24" t="s">
        <v>289</v>
      </c>
    </row>
    <row r="344" spans="1:23" x14ac:dyDescent="0.2">
      <c r="A344" t="s">
        <v>191</v>
      </c>
      <c r="F344" t="s">
        <v>109</v>
      </c>
      <c r="O344">
        <v>-1.5</v>
      </c>
      <c r="P344">
        <v>49.5</v>
      </c>
      <c r="R344" s="14">
        <v>11.6</v>
      </c>
      <c r="S344" s="14"/>
      <c r="T344" s="39">
        <v>43716</v>
      </c>
      <c r="U344" s="25" t="s">
        <v>384</v>
      </c>
      <c r="V344" t="s">
        <v>304</v>
      </c>
      <c r="W344" s="24" t="s">
        <v>301</v>
      </c>
    </row>
    <row r="345" spans="1:23" x14ac:dyDescent="0.2">
      <c r="A345" t="s">
        <v>191</v>
      </c>
      <c r="B345" t="s">
        <v>5</v>
      </c>
      <c r="D345" t="s">
        <v>75</v>
      </c>
      <c r="O345">
        <v>7</v>
      </c>
      <c r="P345">
        <v>41</v>
      </c>
      <c r="Q345">
        <v>3</v>
      </c>
      <c r="R345" s="14">
        <v>11.4</v>
      </c>
      <c r="S345" s="14"/>
      <c r="T345" s="39">
        <v>43716</v>
      </c>
      <c r="U345" s="25" t="s">
        <v>384</v>
      </c>
      <c r="V345" t="s">
        <v>293</v>
      </c>
      <c r="W345" s="24" t="s">
        <v>305</v>
      </c>
    </row>
    <row r="346" spans="1:23" x14ac:dyDescent="0.2">
      <c r="A346" t="s">
        <v>191</v>
      </c>
      <c r="B346" t="s">
        <v>45</v>
      </c>
      <c r="D346" t="s">
        <v>75</v>
      </c>
      <c r="O346">
        <v>-3.5</v>
      </c>
      <c r="P346">
        <v>47</v>
      </c>
      <c r="Q346">
        <v>6.8</v>
      </c>
      <c r="R346">
        <v>13.3</v>
      </c>
      <c r="T346" s="39">
        <v>43716</v>
      </c>
      <c r="U346" s="25" t="s">
        <v>384</v>
      </c>
      <c r="V346" s="41" t="s">
        <v>312</v>
      </c>
      <c r="W346" s="24" t="s">
        <v>295</v>
      </c>
    </row>
    <row r="347" spans="1:23" x14ac:dyDescent="0.2">
      <c r="A347" t="s">
        <v>191</v>
      </c>
      <c r="O347">
        <v>-5.5</v>
      </c>
      <c r="P347">
        <v>49</v>
      </c>
      <c r="R347">
        <v>16.38</v>
      </c>
      <c r="T347" s="39">
        <v>43716</v>
      </c>
      <c r="U347" s="25" t="s">
        <v>384</v>
      </c>
      <c r="V347" t="s">
        <v>302</v>
      </c>
      <c r="W347" s="24" t="s">
        <v>309</v>
      </c>
    </row>
    <row r="348" spans="1:23" x14ac:dyDescent="0.2">
      <c r="A348" t="s">
        <v>191</v>
      </c>
      <c r="B348" t="s">
        <v>128</v>
      </c>
      <c r="O348">
        <v>-6.5</v>
      </c>
      <c r="P348">
        <v>52</v>
      </c>
      <c r="Q348">
        <v>8</v>
      </c>
      <c r="R348">
        <v>25.3</v>
      </c>
      <c r="T348" s="39">
        <v>43716</v>
      </c>
      <c r="U348" s="25" t="s">
        <v>384</v>
      </c>
      <c r="V348" s="41" t="s">
        <v>307</v>
      </c>
      <c r="W348" s="24" t="s">
        <v>311</v>
      </c>
    </row>
    <row r="349" spans="1:23" x14ac:dyDescent="0.2">
      <c r="A349" t="s">
        <v>191</v>
      </c>
      <c r="E349" t="s">
        <v>75</v>
      </c>
      <c r="O349">
        <v>7</v>
      </c>
      <c r="P349">
        <v>44</v>
      </c>
      <c r="R349">
        <v>10.199999999999999</v>
      </c>
      <c r="T349" s="39">
        <v>43716</v>
      </c>
      <c r="U349" s="25" t="s">
        <v>384</v>
      </c>
      <c r="V349" t="s">
        <v>296</v>
      </c>
      <c r="W349" s="24" t="s">
        <v>291</v>
      </c>
    </row>
    <row r="350" spans="1:23" x14ac:dyDescent="0.2">
      <c r="A350" t="s">
        <v>191</v>
      </c>
      <c r="O350">
        <v>-2.5</v>
      </c>
      <c r="P350">
        <v>41</v>
      </c>
      <c r="R350">
        <v>24.3</v>
      </c>
      <c r="T350" s="39">
        <v>43716</v>
      </c>
      <c r="U350" s="25" t="s">
        <v>384</v>
      </c>
      <c r="V350" s="41" t="s">
        <v>298</v>
      </c>
      <c r="W350" s="24" t="s">
        <v>276</v>
      </c>
    </row>
    <row r="351" spans="1:23" x14ac:dyDescent="0.2">
      <c r="A351" t="s">
        <v>191</v>
      </c>
      <c r="B351" t="s">
        <v>125</v>
      </c>
      <c r="D351" t="s">
        <v>75</v>
      </c>
      <c r="O351">
        <v>-10.5</v>
      </c>
      <c r="P351">
        <v>44.5</v>
      </c>
      <c r="Q351">
        <v>5.9</v>
      </c>
      <c r="R351">
        <v>22.1</v>
      </c>
      <c r="T351" s="39">
        <v>43716</v>
      </c>
      <c r="U351" s="25" t="s">
        <v>384</v>
      </c>
      <c r="V351" s="41" t="s">
        <v>294</v>
      </c>
      <c r="W351" s="24" t="s">
        <v>306</v>
      </c>
    </row>
    <row r="352" spans="1:23" x14ac:dyDescent="0.2">
      <c r="A352" t="s">
        <v>191</v>
      </c>
      <c r="O352">
        <v>5.5</v>
      </c>
      <c r="P352">
        <v>49</v>
      </c>
      <c r="R352">
        <v>13.8</v>
      </c>
      <c r="T352" s="39">
        <v>43716</v>
      </c>
      <c r="U352" s="25" t="s">
        <v>384</v>
      </c>
      <c r="V352" s="41" t="s">
        <v>309</v>
      </c>
      <c r="W352" s="24" t="s">
        <v>302</v>
      </c>
    </row>
    <row r="353" spans="1:23" x14ac:dyDescent="0.2">
      <c r="A353" t="s">
        <v>191</v>
      </c>
      <c r="B353" t="s">
        <v>127</v>
      </c>
      <c r="D353" t="s">
        <v>75</v>
      </c>
      <c r="O353">
        <v>1</v>
      </c>
      <c r="P353">
        <v>51</v>
      </c>
      <c r="Q353">
        <v>4</v>
      </c>
      <c r="R353">
        <v>5.7</v>
      </c>
      <c r="T353" s="39">
        <v>43716</v>
      </c>
      <c r="U353" s="25" t="s">
        <v>384</v>
      </c>
      <c r="V353" s="40" t="s">
        <v>256</v>
      </c>
      <c r="W353" s="24" t="s">
        <v>284</v>
      </c>
    </row>
    <row r="354" spans="1:23" x14ac:dyDescent="0.2">
      <c r="A354" t="s">
        <v>191</v>
      </c>
      <c r="O354">
        <v>-9.5</v>
      </c>
      <c r="P354">
        <v>44</v>
      </c>
      <c r="R354">
        <v>11.4</v>
      </c>
      <c r="T354" s="39">
        <v>43716</v>
      </c>
      <c r="U354" s="25" t="s">
        <v>384</v>
      </c>
      <c r="V354" s="41" t="s">
        <v>308</v>
      </c>
      <c r="W354" s="24" t="s">
        <v>272</v>
      </c>
    </row>
    <row r="355" spans="1:23" x14ac:dyDescent="0.2">
      <c r="A355" t="s">
        <v>191</v>
      </c>
      <c r="F355" t="s">
        <v>109</v>
      </c>
      <c r="O355">
        <v>-1</v>
      </c>
      <c r="P355">
        <v>51</v>
      </c>
      <c r="R355">
        <v>4.8</v>
      </c>
      <c r="T355" s="39">
        <v>43716</v>
      </c>
      <c r="U355" s="25" t="s">
        <v>384</v>
      </c>
      <c r="V355" s="41" t="s">
        <v>284</v>
      </c>
      <c r="W355" s="24" t="s">
        <v>256</v>
      </c>
    </row>
    <row r="356" spans="1:23" x14ac:dyDescent="0.2">
      <c r="A356" t="s">
        <v>191</v>
      </c>
      <c r="F356" t="s">
        <v>110</v>
      </c>
      <c r="O356">
        <v>5.5</v>
      </c>
      <c r="P356">
        <v>44</v>
      </c>
      <c r="R356">
        <v>0</v>
      </c>
      <c r="T356" s="39">
        <v>43716</v>
      </c>
      <c r="U356" s="25" t="s">
        <v>384</v>
      </c>
      <c r="V356" s="41" t="s">
        <v>310</v>
      </c>
      <c r="W356" s="24" t="s">
        <v>281</v>
      </c>
    </row>
    <row r="357" spans="1:23" x14ac:dyDescent="0.2">
      <c r="A357" t="s">
        <v>191</v>
      </c>
      <c r="B357" t="s">
        <v>94</v>
      </c>
      <c r="D357" t="s">
        <v>75</v>
      </c>
      <c r="O357">
        <v>10.5</v>
      </c>
      <c r="P357">
        <v>44.5</v>
      </c>
      <c r="Q357">
        <v>3.3</v>
      </c>
      <c r="R357">
        <v>26.5</v>
      </c>
      <c r="T357" s="39">
        <v>43716</v>
      </c>
      <c r="U357" s="25" t="s">
        <v>384</v>
      </c>
      <c r="V357" s="41" t="s">
        <v>306</v>
      </c>
      <c r="W357" s="24" t="s">
        <v>294</v>
      </c>
    </row>
    <row r="358" spans="1:23" x14ac:dyDescent="0.2">
      <c r="A358" t="s">
        <v>191</v>
      </c>
      <c r="E358" t="s">
        <v>75</v>
      </c>
      <c r="F358" t="s">
        <v>109</v>
      </c>
      <c r="O358">
        <v>13</v>
      </c>
      <c r="P358">
        <v>46</v>
      </c>
      <c r="R358">
        <v>18.399999999999999</v>
      </c>
      <c r="T358" s="39">
        <v>43723</v>
      </c>
      <c r="U358" s="25" t="s">
        <v>383</v>
      </c>
      <c r="V358" s="41" t="s">
        <v>285</v>
      </c>
      <c r="W358" s="24" t="s">
        <v>305</v>
      </c>
    </row>
    <row r="359" spans="1:23" x14ac:dyDescent="0.2">
      <c r="A359" t="s">
        <v>191</v>
      </c>
      <c r="O359">
        <v>1</v>
      </c>
      <c r="P359">
        <v>53</v>
      </c>
      <c r="R359">
        <v>30.6</v>
      </c>
      <c r="T359" s="39">
        <v>43723</v>
      </c>
      <c r="U359" s="25" t="s">
        <v>383</v>
      </c>
      <c r="V359" s="41" t="s">
        <v>295</v>
      </c>
      <c r="W359" s="24" t="s">
        <v>294</v>
      </c>
    </row>
    <row r="360" spans="1:23" x14ac:dyDescent="0.2">
      <c r="A360" t="s">
        <v>191</v>
      </c>
      <c r="E360" t="s">
        <v>75</v>
      </c>
      <c r="F360" t="s">
        <v>109</v>
      </c>
      <c r="O360">
        <v>-13</v>
      </c>
      <c r="P360">
        <v>46</v>
      </c>
      <c r="R360">
        <v>16.600000000000001</v>
      </c>
      <c r="T360" s="39">
        <v>43723</v>
      </c>
      <c r="U360" s="25" t="s">
        <v>383</v>
      </c>
      <c r="V360" s="41" t="s">
        <v>305</v>
      </c>
      <c r="W360" s="24" t="s">
        <v>285</v>
      </c>
    </row>
    <row r="361" spans="1:23" x14ac:dyDescent="0.2">
      <c r="A361" t="s">
        <v>191</v>
      </c>
      <c r="O361">
        <v>-1</v>
      </c>
      <c r="P361">
        <v>44.5</v>
      </c>
      <c r="R361">
        <v>14.2</v>
      </c>
      <c r="T361" s="39">
        <v>43723</v>
      </c>
      <c r="U361" s="25" t="s">
        <v>383</v>
      </c>
      <c r="V361" s="41" t="s">
        <v>276</v>
      </c>
      <c r="W361" s="24" t="s">
        <v>296</v>
      </c>
    </row>
    <row r="362" spans="1:23" x14ac:dyDescent="0.2">
      <c r="A362" t="s">
        <v>191</v>
      </c>
      <c r="O362">
        <v>-6.5</v>
      </c>
      <c r="P362">
        <v>48</v>
      </c>
      <c r="R362">
        <v>17.899999999999999</v>
      </c>
      <c r="T362" s="39">
        <v>43723</v>
      </c>
      <c r="U362" s="25" t="s">
        <v>383</v>
      </c>
      <c r="V362" s="41" t="s">
        <v>301</v>
      </c>
      <c r="W362" s="24" t="s">
        <v>284</v>
      </c>
    </row>
    <row r="363" spans="1:23" x14ac:dyDescent="0.2">
      <c r="A363" t="s">
        <v>191</v>
      </c>
      <c r="O363">
        <v>-3</v>
      </c>
      <c r="P363">
        <v>41</v>
      </c>
      <c r="R363">
        <v>8.1</v>
      </c>
      <c r="T363" s="39">
        <v>43723</v>
      </c>
      <c r="U363" s="25" t="s">
        <v>383</v>
      </c>
      <c r="V363" s="41" t="s">
        <v>265</v>
      </c>
      <c r="W363" s="24" t="s">
        <v>278</v>
      </c>
    </row>
    <row r="364" spans="1:23" x14ac:dyDescent="0.2">
      <c r="A364" t="s">
        <v>191</v>
      </c>
      <c r="F364" t="s">
        <v>109</v>
      </c>
      <c r="O364">
        <v>-1</v>
      </c>
      <c r="P364">
        <v>46</v>
      </c>
      <c r="R364">
        <v>25.2</v>
      </c>
      <c r="T364" s="39">
        <v>43723</v>
      </c>
      <c r="U364" s="25" t="s">
        <v>383</v>
      </c>
      <c r="V364" s="17" t="s">
        <v>272</v>
      </c>
      <c r="W364" s="24" t="s">
        <v>256</v>
      </c>
    </row>
    <row r="365" spans="1:23" x14ac:dyDescent="0.2">
      <c r="A365" t="s">
        <v>191</v>
      </c>
      <c r="O365">
        <v>-6.5</v>
      </c>
      <c r="P365">
        <v>45.5</v>
      </c>
      <c r="R365">
        <v>31.1</v>
      </c>
      <c r="T365" s="39">
        <v>43723</v>
      </c>
      <c r="U365" s="25" t="s">
        <v>383</v>
      </c>
      <c r="V365" t="s">
        <v>281</v>
      </c>
      <c r="W365" s="24" t="s">
        <v>298</v>
      </c>
    </row>
    <row r="366" spans="1:23" x14ac:dyDescent="0.2">
      <c r="A366" t="s">
        <v>191</v>
      </c>
      <c r="E366" t="s">
        <v>75</v>
      </c>
      <c r="O366">
        <v>-6</v>
      </c>
      <c r="P366">
        <v>46.5</v>
      </c>
      <c r="R366">
        <v>14.4</v>
      </c>
      <c r="T366" s="39">
        <v>43723</v>
      </c>
      <c r="U366" s="25" t="s">
        <v>383</v>
      </c>
      <c r="V366" t="s">
        <v>291</v>
      </c>
      <c r="W366" s="24" t="s">
        <v>306</v>
      </c>
    </row>
    <row r="367" spans="1:23" x14ac:dyDescent="0.2">
      <c r="A367" t="s">
        <v>191</v>
      </c>
      <c r="O367">
        <v>3</v>
      </c>
      <c r="P367">
        <v>41</v>
      </c>
      <c r="R367">
        <v>8</v>
      </c>
      <c r="T367" s="39">
        <v>43723</v>
      </c>
      <c r="U367" t="s">
        <v>383</v>
      </c>
      <c r="V367" t="s">
        <v>278</v>
      </c>
      <c r="W367" t="s">
        <v>265</v>
      </c>
    </row>
    <row r="368" spans="1:23" x14ac:dyDescent="0.2">
      <c r="A368" t="s">
        <v>191</v>
      </c>
      <c r="F368" t="s">
        <v>110</v>
      </c>
      <c r="O368">
        <v>1</v>
      </c>
      <c r="P368">
        <v>47</v>
      </c>
      <c r="R368">
        <v>28.7</v>
      </c>
      <c r="T368" s="39">
        <v>43723</v>
      </c>
      <c r="U368" s="25" t="s">
        <v>383</v>
      </c>
      <c r="V368" t="s">
        <v>299</v>
      </c>
      <c r="W368" s="24" t="s">
        <v>287</v>
      </c>
    </row>
    <row r="369" spans="1:23" x14ac:dyDescent="0.2">
      <c r="A369" t="s">
        <v>191</v>
      </c>
      <c r="B369" t="s">
        <v>57</v>
      </c>
      <c r="C369">
        <v>10.5</v>
      </c>
      <c r="D369" t="s">
        <v>76</v>
      </c>
      <c r="E369" t="s">
        <v>76</v>
      </c>
      <c r="F369" t="s">
        <v>110</v>
      </c>
      <c r="O369">
        <v>-3</v>
      </c>
      <c r="P369">
        <v>43</v>
      </c>
      <c r="Q369">
        <v>7.7</v>
      </c>
      <c r="R369">
        <v>20.6</v>
      </c>
      <c r="T369" s="39">
        <v>43723</v>
      </c>
      <c r="U369" s="25" t="s">
        <v>383</v>
      </c>
      <c r="V369" t="s">
        <v>300</v>
      </c>
      <c r="W369" s="24" t="s">
        <v>312</v>
      </c>
    </row>
    <row r="370" spans="1:23" x14ac:dyDescent="0.2">
      <c r="A370" t="s">
        <v>191</v>
      </c>
      <c r="O370">
        <v>-7.5</v>
      </c>
      <c r="P370">
        <v>43</v>
      </c>
      <c r="R370">
        <v>9</v>
      </c>
      <c r="T370" s="39">
        <v>43723</v>
      </c>
      <c r="U370" s="25" t="s">
        <v>383</v>
      </c>
      <c r="V370" t="s">
        <v>311</v>
      </c>
      <c r="W370" s="24" t="s">
        <v>297</v>
      </c>
    </row>
    <row r="371" spans="1:23" x14ac:dyDescent="0.2">
      <c r="A371" t="s">
        <v>191</v>
      </c>
      <c r="F371" t="s">
        <v>110</v>
      </c>
      <c r="O371">
        <v>3</v>
      </c>
      <c r="P371">
        <v>43.5</v>
      </c>
      <c r="R371">
        <v>14.3</v>
      </c>
      <c r="T371" s="39">
        <v>43723</v>
      </c>
      <c r="U371" s="25" t="s">
        <v>383</v>
      </c>
      <c r="V371" t="s">
        <v>289</v>
      </c>
      <c r="W371" s="24" t="s">
        <v>310</v>
      </c>
    </row>
    <row r="372" spans="1:23" x14ac:dyDescent="0.2">
      <c r="A372" t="s">
        <v>191</v>
      </c>
      <c r="O372">
        <v>7.5</v>
      </c>
      <c r="P372">
        <v>43</v>
      </c>
      <c r="R372">
        <v>1.3</v>
      </c>
      <c r="T372" s="39">
        <v>43723</v>
      </c>
      <c r="U372" s="25" t="s">
        <v>383</v>
      </c>
      <c r="V372" t="s">
        <v>297</v>
      </c>
      <c r="W372" s="24" t="s">
        <v>311</v>
      </c>
    </row>
    <row r="373" spans="1:23" x14ac:dyDescent="0.2">
      <c r="A373" t="s">
        <v>191</v>
      </c>
      <c r="E373" t="s">
        <v>75</v>
      </c>
      <c r="O373">
        <v>-7</v>
      </c>
      <c r="P373">
        <v>53.5</v>
      </c>
      <c r="R373">
        <v>10.9</v>
      </c>
      <c r="T373" s="39">
        <v>43723</v>
      </c>
      <c r="U373" s="25" t="s">
        <v>383</v>
      </c>
      <c r="V373" t="s">
        <v>288</v>
      </c>
      <c r="W373" s="24" t="s">
        <v>303</v>
      </c>
    </row>
    <row r="374" spans="1:23" x14ac:dyDescent="0.2">
      <c r="A374" t="s">
        <v>191</v>
      </c>
      <c r="E374" t="s">
        <v>75</v>
      </c>
      <c r="O374">
        <v>7</v>
      </c>
      <c r="P374">
        <v>53.5</v>
      </c>
      <c r="R374">
        <v>15.6</v>
      </c>
      <c r="T374" s="39">
        <v>43723</v>
      </c>
      <c r="U374" s="25" t="s">
        <v>383</v>
      </c>
      <c r="V374" t="s">
        <v>303</v>
      </c>
      <c r="W374" s="24" t="s">
        <v>288</v>
      </c>
    </row>
    <row r="375" spans="1:23" x14ac:dyDescent="0.2">
      <c r="A375" t="s">
        <v>191</v>
      </c>
      <c r="B375" t="s">
        <v>62</v>
      </c>
      <c r="F375" t="s">
        <v>110</v>
      </c>
      <c r="J375" t="s">
        <v>76</v>
      </c>
      <c r="K375" t="s">
        <v>75</v>
      </c>
      <c r="L375" t="s">
        <v>76</v>
      </c>
      <c r="M375" t="s">
        <v>76</v>
      </c>
      <c r="N375" t="s">
        <v>134</v>
      </c>
      <c r="O375">
        <v>-1</v>
      </c>
      <c r="P375">
        <v>47</v>
      </c>
      <c r="Q375">
        <v>7.6</v>
      </c>
      <c r="R375">
        <v>17.8</v>
      </c>
      <c r="T375" s="39">
        <v>43723</v>
      </c>
      <c r="U375" s="25" t="s">
        <v>383</v>
      </c>
      <c r="V375" t="s">
        <v>287</v>
      </c>
      <c r="W375" s="24" t="s">
        <v>299</v>
      </c>
    </row>
    <row r="376" spans="1:23" x14ac:dyDescent="0.2">
      <c r="A376" t="s">
        <v>191</v>
      </c>
      <c r="F376" t="s">
        <v>109</v>
      </c>
      <c r="O376">
        <v>-2</v>
      </c>
      <c r="P376">
        <v>52.5</v>
      </c>
      <c r="R376" s="14">
        <v>20.6</v>
      </c>
      <c r="S376" s="14"/>
      <c r="T376" s="39">
        <v>43723</v>
      </c>
      <c r="U376" s="25" t="s">
        <v>383</v>
      </c>
      <c r="V376" t="s">
        <v>304</v>
      </c>
      <c r="W376" s="24" t="s">
        <v>307</v>
      </c>
    </row>
    <row r="377" spans="1:23" x14ac:dyDescent="0.2">
      <c r="A377" t="s">
        <v>191</v>
      </c>
      <c r="O377">
        <v>18</v>
      </c>
      <c r="P377">
        <v>48.5</v>
      </c>
      <c r="R377" s="14">
        <v>10.3</v>
      </c>
      <c r="S377" s="14"/>
      <c r="T377" s="39">
        <v>43723</v>
      </c>
      <c r="U377" s="25" t="s">
        <v>383</v>
      </c>
      <c r="V377" t="s">
        <v>293</v>
      </c>
      <c r="W377" s="24" t="s">
        <v>302</v>
      </c>
    </row>
    <row r="378" spans="1:23" x14ac:dyDescent="0.2">
      <c r="A378" t="s">
        <v>191</v>
      </c>
      <c r="F378" t="s">
        <v>110</v>
      </c>
      <c r="O378">
        <v>3</v>
      </c>
      <c r="P378">
        <v>43</v>
      </c>
      <c r="R378">
        <v>12.5</v>
      </c>
      <c r="T378" s="39">
        <v>43723</v>
      </c>
      <c r="U378" s="25" t="s">
        <v>383</v>
      </c>
      <c r="V378" t="s">
        <v>312</v>
      </c>
      <c r="W378" s="24" t="s">
        <v>300</v>
      </c>
    </row>
    <row r="379" spans="1:23" x14ac:dyDescent="0.2">
      <c r="A379" t="s">
        <v>191</v>
      </c>
      <c r="O379">
        <v>-18</v>
      </c>
      <c r="P379">
        <v>48.5</v>
      </c>
      <c r="R379">
        <v>16.100000000000001</v>
      </c>
      <c r="T379" s="39">
        <v>43723</v>
      </c>
      <c r="U379" s="25" t="s">
        <v>383</v>
      </c>
      <c r="V379" t="s">
        <v>302</v>
      </c>
      <c r="W379" s="24" t="s">
        <v>293</v>
      </c>
    </row>
    <row r="380" spans="1:23" x14ac:dyDescent="0.2">
      <c r="A380" t="s">
        <v>191</v>
      </c>
      <c r="F380" t="s">
        <v>109</v>
      </c>
      <c r="O380">
        <v>2</v>
      </c>
      <c r="P380">
        <v>52.5</v>
      </c>
      <c r="R380">
        <v>18.899999999999999</v>
      </c>
      <c r="T380" s="39">
        <v>43723</v>
      </c>
      <c r="U380" s="25" t="s">
        <v>383</v>
      </c>
      <c r="V380" t="s">
        <v>307</v>
      </c>
      <c r="W380" s="24" t="s">
        <v>304</v>
      </c>
    </row>
    <row r="381" spans="1:23" x14ac:dyDescent="0.2">
      <c r="A381" t="s">
        <v>191</v>
      </c>
      <c r="O381">
        <v>1</v>
      </c>
      <c r="P381">
        <v>44.5</v>
      </c>
      <c r="R381">
        <v>12.1</v>
      </c>
      <c r="T381" s="39">
        <v>43723</v>
      </c>
      <c r="U381" s="25" t="s">
        <v>383</v>
      </c>
      <c r="V381" t="s">
        <v>296</v>
      </c>
      <c r="W381" s="24" t="s">
        <v>276</v>
      </c>
    </row>
    <row r="382" spans="1:23" x14ac:dyDescent="0.2">
      <c r="A382" t="s">
        <v>191</v>
      </c>
      <c r="D382" s="3"/>
      <c r="E382" s="3"/>
      <c r="F382" s="3"/>
      <c r="O382">
        <v>6.5</v>
      </c>
      <c r="P382">
        <v>45.5</v>
      </c>
      <c r="R382" s="3">
        <v>8</v>
      </c>
      <c r="S382" s="3"/>
      <c r="T382" s="39">
        <v>43723</v>
      </c>
      <c r="U382" s="33" t="s">
        <v>383</v>
      </c>
      <c r="V382" t="s">
        <v>298</v>
      </c>
      <c r="W382" s="36" t="s">
        <v>281</v>
      </c>
    </row>
    <row r="383" spans="1:23" x14ac:dyDescent="0.2">
      <c r="A383" t="s">
        <v>191</v>
      </c>
      <c r="O383">
        <v>-1</v>
      </c>
      <c r="P383">
        <v>53</v>
      </c>
      <c r="R383">
        <v>27.7</v>
      </c>
      <c r="T383" s="39">
        <v>43723</v>
      </c>
      <c r="U383" s="25" t="s">
        <v>383</v>
      </c>
      <c r="V383" t="s">
        <v>294</v>
      </c>
      <c r="W383" s="24" t="s">
        <v>295</v>
      </c>
    </row>
    <row r="384" spans="1:23" x14ac:dyDescent="0.2">
      <c r="A384" t="s">
        <v>191</v>
      </c>
      <c r="O384">
        <v>-4</v>
      </c>
      <c r="P384">
        <v>47</v>
      </c>
      <c r="R384">
        <v>13.4</v>
      </c>
      <c r="T384" s="39">
        <v>43723</v>
      </c>
      <c r="U384" s="25" t="s">
        <v>383</v>
      </c>
      <c r="V384" s="41" t="s">
        <v>309</v>
      </c>
      <c r="W384" s="24" t="s">
        <v>308</v>
      </c>
    </row>
    <row r="385" spans="1:23" x14ac:dyDescent="0.2">
      <c r="A385" t="s">
        <v>191</v>
      </c>
      <c r="F385" t="s">
        <v>109</v>
      </c>
      <c r="O385">
        <v>1</v>
      </c>
      <c r="P385">
        <v>46</v>
      </c>
      <c r="R385">
        <v>20.399999999999999</v>
      </c>
      <c r="T385" s="39">
        <v>43723</v>
      </c>
      <c r="U385" s="25" t="s">
        <v>383</v>
      </c>
      <c r="V385" s="40" t="s">
        <v>256</v>
      </c>
      <c r="W385" s="24" t="s">
        <v>272</v>
      </c>
    </row>
    <row r="386" spans="1:23" x14ac:dyDescent="0.2">
      <c r="A386" t="s">
        <v>191</v>
      </c>
      <c r="O386">
        <v>4</v>
      </c>
      <c r="P386">
        <v>47</v>
      </c>
      <c r="R386">
        <v>17.899999999999999</v>
      </c>
      <c r="T386" s="39">
        <v>43723</v>
      </c>
      <c r="U386" s="25" t="s">
        <v>383</v>
      </c>
      <c r="V386" s="41" t="s">
        <v>308</v>
      </c>
      <c r="W386" s="24" t="s">
        <v>309</v>
      </c>
    </row>
    <row r="387" spans="1:23" x14ac:dyDescent="0.2">
      <c r="A387" t="s">
        <v>191</v>
      </c>
      <c r="B387" t="s">
        <v>20</v>
      </c>
      <c r="C387">
        <v>9.5</v>
      </c>
      <c r="D387" t="s">
        <v>76</v>
      </c>
      <c r="E387" t="s">
        <v>76</v>
      </c>
      <c r="O387">
        <v>6.5</v>
      </c>
      <c r="P387">
        <v>48</v>
      </c>
      <c r="Q387">
        <v>7</v>
      </c>
      <c r="R387">
        <v>10.1</v>
      </c>
      <c r="T387" s="39">
        <v>43723</v>
      </c>
      <c r="U387" s="25" t="s">
        <v>383</v>
      </c>
      <c r="V387" s="41" t="s">
        <v>284</v>
      </c>
      <c r="W387" s="24" t="s">
        <v>301</v>
      </c>
    </row>
    <row r="388" spans="1:23" x14ac:dyDescent="0.2">
      <c r="A388" t="s">
        <v>191</v>
      </c>
      <c r="B388" t="s">
        <v>53</v>
      </c>
      <c r="C388">
        <v>7.2</v>
      </c>
      <c r="D388" t="s">
        <v>76</v>
      </c>
      <c r="E388" t="s">
        <v>76</v>
      </c>
      <c r="F388" t="s">
        <v>110</v>
      </c>
      <c r="O388">
        <v>-3</v>
      </c>
      <c r="P388">
        <v>43.5</v>
      </c>
      <c r="Q388">
        <v>4.5</v>
      </c>
      <c r="R388">
        <v>6.8</v>
      </c>
      <c r="T388" s="39">
        <v>43723</v>
      </c>
      <c r="U388" s="25" t="s">
        <v>383</v>
      </c>
      <c r="V388" s="41" t="s">
        <v>310</v>
      </c>
      <c r="W388" s="24" t="s">
        <v>289</v>
      </c>
    </row>
    <row r="389" spans="1:23" x14ac:dyDescent="0.2">
      <c r="A389" t="s">
        <v>191</v>
      </c>
      <c r="E389" t="s">
        <v>75</v>
      </c>
      <c r="O389">
        <v>6</v>
      </c>
      <c r="P389">
        <v>46.5</v>
      </c>
      <c r="R389">
        <v>17.2</v>
      </c>
      <c r="T389" s="39">
        <v>43723</v>
      </c>
      <c r="U389" s="25" t="s">
        <v>383</v>
      </c>
      <c r="V389" s="41" t="s">
        <v>306</v>
      </c>
      <c r="W389" s="24" t="s">
        <v>291</v>
      </c>
    </row>
    <row r="390" spans="1:23" x14ac:dyDescent="0.2">
      <c r="A390" t="s">
        <v>191</v>
      </c>
      <c r="E390" t="s">
        <v>75</v>
      </c>
      <c r="O390">
        <v>-2.5</v>
      </c>
      <c r="P390">
        <v>46</v>
      </c>
      <c r="R390">
        <v>14.6</v>
      </c>
      <c r="T390" s="39">
        <v>43730</v>
      </c>
      <c r="U390" s="25" t="s">
        <v>382</v>
      </c>
      <c r="V390" s="41" t="s">
        <v>285</v>
      </c>
      <c r="W390" s="22" t="s">
        <v>301</v>
      </c>
    </row>
    <row r="391" spans="1:23" x14ac:dyDescent="0.2">
      <c r="A391" t="s">
        <v>191</v>
      </c>
      <c r="E391" t="s">
        <v>75</v>
      </c>
      <c r="O391">
        <v>1</v>
      </c>
      <c r="P391">
        <v>48</v>
      </c>
      <c r="R391">
        <v>29.8</v>
      </c>
      <c r="T391" s="39">
        <v>43730</v>
      </c>
      <c r="U391" s="25" t="s">
        <v>382</v>
      </c>
      <c r="V391" s="41" t="s">
        <v>295</v>
      </c>
      <c r="W391" s="34" t="s">
        <v>289</v>
      </c>
    </row>
    <row r="392" spans="1:23" x14ac:dyDescent="0.2">
      <c r="A392" t="s">
        <v>191</v>
      </c>
      <c r="E392" t="s">
        <v>75</v>
      </c>
      <c r="O392">
        <v>4.5</v>
      </c>
      <c r="P392">
        <v>52</v>
      </c>
      <c r="R392">
        <v>6.9</v>
      </c>
      <c r="T392" s="39">
        <v>43730</v>
      </c>
      <c r="U392" s="25" t="s">
        <v>382</v>
      </c>
      <c r="V392" s="41" t="s">
        <v>305</v>
      </c>
      <c r="W392" s="22" t="s">
        <v>288</v>
      </c>
    </row>
    <row r="393" spans="1:23" x14ac:dyDescent="0.2">
      <c r="A393" t="s">
        <v>191</v>
      </c>
      <c r="O393">
        <v>-5.5</v>
      </c>
      <c r="P393">
        <v>43.5</v>
      </c>
      <c r="R393">
        <v>9.5</v>
      </c>
      <c r="T393" s="39">
        <v>43730</v>
      </c>
      <c r="U393" s="25" t="s">
        <v>382</v>
      </c>
      <c r="V393" s="41" t="s">
        <v>276</v>
      </c>
      <c r="W393" s="22" t="s">
        <v>272</v>
      </c>
    </row>
    <row r="394" spans="1:23" x14ac:dyDescent="0.2">
      <c r="A394" t="s">
        <v>191</v>
      </c>
      <c r="O394">
        <v>2.5</v>
      </c>
      <c r="P394">
        <v>46</v>
      </c>
      <c r="R394">
        <v>13.4</v>
      </c>
      <c r="T394" s="39">
        <v>43730</v>
      </c>
      <c r="U394" s="25" t="s">
        <v>382</v>
      </c>
      <c r="V394" t="s">
        <v>301</v>
      </c>
      <c r="W394" s="22" t="s">
        <v>285</v>
      </c>
    </row>
    <row r="395" spans="1:23" x14ac:dyDescent="0.2">
      <c r="A395" t="s">
        <v>191</v>
      </c>
      <c r="O395">
        <v>5</v>
      </c>
      <c r="P395">
        <v>41</v>
      </c>
      <c r="R395">
        <v>12</v>
      </c>
      <c r="T395" s="39">
        <v>43730</v>
      </c>
      <c r="U395" s="25" t="s">
        <v>382</v>
      </c>
      <c r="V395" t="s">
        <v>265</v>
      </c>
      <c r="W395" s="22" t="s">
        <v>306</v>
      </c>
    </row>
    <row r="396" spans="1:23" x14ac:dyDescent="0.2">
      <c r="A396" t="s">
        <v>191</v>
      </c>
      <c r="O396">
        <v>5.5</v>
      </c>
      <c r="P396">
        <v>43.5</v>
      </c>
      <c r="R396">
        <v>12.7</v>
      </c>
      <c r="T396" s="39">
        <v>43730</v>
      </c>
      <c r="U396" s="25" t="s">
        <v>382</v>
      </c>
      <c r="V396" s="17" t="s">
        <v>272</v>
      </c>
      <c r="W396" s="22" t="s">
        <v>276</v>
      </c>
    </row>
    <row r="397" spans="1:23" x14ac:dyDescent="0.2">
      <c r="A397" t="s">
        <v>191</v>
      </c>
      <c r="O397">
        <v>4</v>
      </c>
      <c r="P397">
        <v>48</v>
      </c>
      <c r="R397">
        <v>11.6</v>
      </c>
      <c r="T397" s="39">
        <v>43730</v>
      </c>
      <c r="U397" s="25" t="s">
        <v>382</v>
      </c>
      <c r="V397" t="s">
        <v>281</v>
      </c>
      <c r="W397" s="22" t="s">
        <v>304</v>
      </c>
    </row>
    <row r="398" spans="1:23" x14ac:dyDescent="0.2">
      <c r="A398" t="s">
        <v>191</v>
      </c>
      <c r="B398" t="s">
        <v>116</v>
      </c>
      <c r="E398" t="s">
        <v>75</v>
      </c>
      <c r="J398" t="s">
        <v>75</v>
      </c>
      <c r="K398" t="s">
        <v>76</v>
      </c>
      <c r="L398" t="s">
        <v>76</v>
      </c>
      <c r="M398" t="s">
        <v>76</v>
      </c>
      <c r="N398" t="s">
        <v>132</v>
      </c>
      <c r="O398">
        <v>-22</v>
      </c>
      <c r="P398">
        <v>46.5</v>
      </c>
      <c r="Q398">
        <v>7.5</v>
      </c>
      <c r="R398">
        <v>26.8</v>
      </c>
      <c r="T398" s="39">
        <v>43730</v>
      </c>
      <c r="U398" s="25" t="s">
        <v>382</v>
      </c>
      <c r="V398" t="s">
        <v>291</v>
      </c>
      <c r="W398" s="22" t="s">
        <v>293</v>
      </c>
    </row>
    <row r="399" spans="1:23" x14ac:dyDescent="0.2">
      <c r="A399" t="s">
        <v>191</v>
      </c>
      <c r="O399">
        <v>7</v>
      </c>
      <c r="P399">
        <v>42</v>
      </c>
      <c r="R399">
        <v>13.7</v>
      </c>
      <c r="T399" s="39">
        <v>43730</v>
      </c>
      <c r="U399" t="s">
        <v>382</v>
      </c>
      <c r="V399" t="s">
        <v>278</v>
      </c>
      <c r="W399" t="s">
        <v>300</v>
      </c>
    </row>
    <row r="400" spans="1:23" x14ac:dyDescent="0.2">
      <c r="A400" t="s">
        <v>191</v>
      </c>
      <c r="O400">
        <v>4</v>
      </c>
      <c r="P400">
        <v>45</v>
      </c>
      <c r="R400">
        <v>3.7</v>
      </c>
      <c r="T400" s="39">
        <v>43730</v>
      </c>
      <c r="U400" s="25" t="s">
        <v>382</v>
      </c>
      <c r="V400" t="s">
        <v>299</v>
      </c>
      <c r="W400" s="22" t="s">
        <v>294</v>
      </c>
    </row>
    <row r="401" spans="1:23" x14ac:dyDescent="0.2">
      <c r="A401" t="s">
        <v>191</v>
      </c>
      <c r="O401">
        <v>-7</v>
      </c>
      <c r="P401">
        <v>42</v>
      </c>
      <c r="R401">
        <v>9.6</v>
      </c>
      <c r="T401" s="39">
        <v>43730</v>
      </c>
      <c r="U401" s="25" t="s">
        <v>382</v>
      </c>
      <c r="V401" t="s">
        <v>300</v>
      </c>
      <c r="W401" s="22" t="s">
        <v>278</v>
      </c>
    </row>
    <row r="402" spans="1:23" x14ac:dyDescent="0.2">
      <c r="A402" t="s">
        <v>191</v>
      </c>
      <c r="E402" t="s">
        <v>75</v>
      </c>
      <c r="O402">
        <v>3</v>
      </c>
      <c r="P402">
        <v>49</v>
      </c>
      <c r="R402">
        <v>12.7</v>
      </c>
      <c r="T402" s="39">
        <v>43730</v>
      </c>
      <c r="U402" s="25" t="s">
        <v>382</v>
      </c>
      <c r="V402" t="s">
        <v>311</v>
      </c>
      <c r="W402" s="22" t="s">
        <v>287</v>
      </c>
    </row>
    <row r="403" spans="1:23" x14ac:dyDescent="0.2">
      <c r="A403" t="s">
        <v>191</v>
      </c>
      <c r="E403" t="s">
        <v>75</v>
      </c>
      <c r="O403">
        <v>-1</v>
      </c>
      <c r="P403">
        <v>48</v>
      </c>
      <c r="R403">
        <v>20.5</v>
      </c>
      <c r="T403" s="39">
        <v>43730</v>
      </c>
      <c r="U403" s="25" t="s">
        <v>382</v>
      </c>
      <c r="V403" t="s">
        <v>289</v>
      </c>
      <c r="W403" s="22" t="s">
        <v>295</v>
      </c>
    </row>
    <row r="404" spans="1:23" x14ac:dyDescent="0.2">
      <c r="A404" t="s">
        <v>191</v>
      </c>
      <c r="O404">
        <v>1.5</v>
      </c>
      <c r="P404">
        <v>38</v>
      </c>
      <c r="R404">
        <v>10</v>
      </c>
      <c r="T404" s="39">
        <v>43730</v>
      </c>
      <c r="U404" s="25" t="s">
        <v>382</v>
      </c>
      <c r="V404" t="s">
        <v>297</v>
      </c>
      <c r="W404" s="22" t="s">
        <v>310</v>
      </c>
    </row>
    <row r="405" spans="1:23" x14ac:dyDescent="0.2">
      <c r="A405" t="s">
        <v>191</v>
      </c>
      <c r="O405">
        <v>-4.5</v>
      </c>
      <c r="P405">
        <v>52</v>
      </c>
      <c r="R405">
        <v>11.4</v>
      </c>
      <c r="T405" s="39">
        <v>43730</v>
      </c>
      <c r="U405" s="25" t="s">
        <v>382</v>
      </c>
      <c r="V405" t="s">
        <v>288</v>
      </c>
      <c r="W405" s="22" t="s">
        <v>305</v>
      </c>
    </row>
    <row r="406" spans="1:23" x14ac:dyDescent="0.2">
      <c r="A406" t="s">
        <v>191</v>
      </c>
      <c r="O406">
        <v>8.5</v>
      </c>
      <c r="P406">
        <v>43</v>
      </c>
      <c r="R406">
        <v>11.9</v>
      </c>
      <c r="T406" s="39">
        <v>43730</v>
      </c>
      <c r="U406" s="25" t="s">
        <v>382</v>
      </c>
      <c r="V406" t="s">
        <v>303</v>
      </c>
      <c r="W406" s="22" t="s">
        <v>312</v>
      </c>
    </row>
    <row r="407" spans="1:23" x14ac:dyDescent="0.2">
      <c r="A407" t="s">
        <v>191</v>
      </c>
      <c r="B407" t="s">
        <v>62</v>
      </c>
      <c r="E407" t="s">
        <v>75</v>
      </c>
      <c r="J407" t="s">
        <v>76</v>
      </c>
      <c r="K407" t="s">
        <v>75</v>
      </c>
      <c r="L407" t="s">
        <v>76</v>
      </c>
      <c r="M407" t="s">
        <v>75</v>
      </c>
      <c r="N407" t="s">
        <v>132</v>
      </c>
      <c r="O407">
        <v>-3</v>
      </c>
      <c r="P407">
        <v>49</v>
      </c>
      <c r="Q407">
        <v>7</v>
      </c>
      <c r="R407">
        <v>46.6</v>
      </c>
      <c r="T407" s="39">
        <v>43730</v>
      </c>
      <c r="U407" s="25" t="s">
        <v>382</v>
      </c>
      <c r="V407" t="s">
        <v>287</v>
      </c>
      <c r="W407" s="22" t="s">
        <v>311</v>
      </c>
    </row>
    <row r="408" spans="1:23" x14ac:dyDescent="0.2">
      <c r="A408" t="s">
        <v>191</v>
      </c>
      <c r="O408">
        <v>-4</v>
      </c>
      <c r="P408">
        <v>48</v>
      </c>
      <c r="R408" s="14">
        <v>36.200000000000003</v>
      </c>
      <c r="S408" s="14"/>
      <c r="T408" s="39">
        <v>43730</v>
      </c>
      <c r="U408" s="25" t="s">
        <v>382</v>
      </c>
      <c r="V408" t="s">
        <v>304</v>
      </c>
      <c r="W408" s="22" t="s">
        <v>281</v>
      </c>
    </row>
    <row r="409" spans="1:23" x14ac:dyDescent="0.2">
      <c r="A409" t="s">
        <v>191</v>
      </c>
      <c r="D409" s="3"/>
      <c r="E409" t="s">
        <v>75</v>
      </c>
      <c r="F409" s="3"/>
      <c r="O409" s="3">
        <v>22</v>
      </c>
      <c r="P409" s="3">
        <v>46.5</v>
      </c>
      <c r="R409" s="30">
        <v>10.8</v>
      </c>
      <c r="S409" s="30"/>
      <c r="T409" s="39">
        <v>43730</v>
      </c>
      <c r="U409" s="33" t="s">
        <v>382</v>
      </c>
      <c r="V409" t="s">
        <v>293</v>
      </c>
      <c r="W409" s="28" t="s">
        <v>291</v>
      </c>
    </row>
    <row r="410" spans="1:23" x14ac:dyDescent="0.2">
      <c r="A410" t="s">
        <v>191</v>
      </c>
      <c r="O410">
        <v>-8.5</v>
      </c>
      <c r="P410">
        <v>43</v>
      </c>
      <c r="R410">
        <v>20.6</v>
      </c>
      <c r="T410" s="39">
        <v>43730</v>
      </c>
      <c r="U410" s="25" t="s">
        <v>382</v>
      </c>
      <c r="V410" t="s">
        <v>312</v>
      </c>
      <c r="W410" s="22" t="s">
        <v>303</v>
      </c>
    </row>
    <row r="411" spans="1:23" x14ac:dyDescent="0.2">
      <c r="A411" t="s">
        <v>191</v>
      </c>
      <c r="O411" s="8">
        <v>-20.5</v>
      </c>
      <c r="P411" s="8">
        <v>43</v>
      </c>
      <c r="R411">
        <v>19.2</v>
      </c>
      <c r="T411" s="39">
        <v>43730</v>
      </c>
      <c r="U411" s="25" t="s">
        <v>382</v>
      </c>
      <c r="V411" t="s">
        <v>302</v>
      </c>
      <c r="W411" s="22" t="s">
        <v>298</v>
      </c>
    </row>
    <row r="412" spans="1:23" x14ac:dyDescent="0.2">
      <c r="A412" t="s">
        <v>191</v>
      </c>
      <c r="O412" s="8">
        <v>5</v>
      </c>
      <c r="P412" s="8">
        <v>44</v>
      </c>
      <c r="R412">
        <v>16.399999999999999</v>
      </c>
      <c r="T412" s="39">
        <v>43730</v>
      </c>
      <c r="U412" s="25" t="s">
        <v>382</v>
      </c>
      <c r="V412" t="s">
        <v>307</v>
      </c>
      <c r="W412" s="22" t="s">
        <v>308</v>
      </c>
    </row>
    <row r="413" spans="1:23" x14ac:dyDescent="0.2">
      <c r="A413" t="s">
        <v>191</v>
      </c>
      <c r="D413" t="s">
        <v>75</v>
      </c>
      <c r="E413" t="s">
        <v>75</v>
      </c>
      <c r="O413">
        <v>5</v>
      </c>
      <c r="P413">
        <v>48</v>
      </c>
      <c r="R413">
        <v>30.1</v>
      </c>
      <c r="T413" s="39">
        <v>43730</v>
      </c>
      <c r="U413" s="25" t="s">
        <v>382</v>
      </c>
      <c r="V413" t="s">
        <v>296</v>
      </c>
      <c r="W413" s="22" t="s">
        <v>284</v>
      </c>
    </row>
    <row r="414" spans="1:23" x14ac:dyDescent="0.2">
      <c r="A414" t="s">
        <v>191</v>
      </c>
      <c r="D414" s="3"/>
      <c r="E414" s="3"/>
      <c r="F414" s="3"/>
      <c r="O414" s="3">
        <v>20.5</v>
      </c>
      <c r="P414" s="3">
        <v>43</v>
      </c>
      <c r="R414" s="3">
        <v>4.5</v>
      </c>
      <c r="S414" s="3"/>
      <c r="T414" s="39">
        <v>43730</v>
      </c>
      <c r="U414" s="33" t="s">
        <v>382</v>
      </c>
      <c r="V414" t="s">
        <v>298</v>
      </c>
      <c r="W414" s="28" t="s">
        <v>302</v>
      </c>
    </row>
    <row r="415" spans="1:23" x14ac:dyDescent="0.2">
      <c r="A415" t="s">
        <v>191</v>
      </c>
      <c r="O415">
        <v>-4</v>
      </c>
      <c r="P415">
        <v>45</v>
      </c>
      <c r="R415">
        <v>24</v>
      </c>
      <c r="T415" s="39">
        <v>43730</v>
      </c>
      <c r="U415" s="25" t="s">
        <v>382</v>
      </c>
      <c r="V415" t="s">
        <v>294</v>
      </c>
      <c r="W415" s="22" t="s">
        <v>299</v>
      </c>
    </row>
    <row r="416" spans="1:23" x14ac:dyDescent="0.2">
      <c r="A416" t="s">
        <v>191</v>
      </c>
      <c r="O416">
        <v>6</v>
      </c>
      <c r="P416">
        <v>44.5</v>
      </c>
      <c r="R416">
        <v>17.100000000000001</v>
      </c>
      <c r="T416" s="39">
        <v>43730</v>
      </c>
      <c r="U416" s="25" t="s">
        <v>382</v>
      </c>
      <c r="V416" t="s">
        <v>309</v>
      </c>
      <c r="W416" s="22" t="s">
        <v>256</v>
      </c>
    </row>
    <row r="417" spans="1:23" x14ac:dyDescent="0.2">
      <c r="A417" t="s">
        <v>191</v>
      </c>
      <c r="O417">
        <v>-6</v>
      </c>
      <c r="P417">
        <v>44.5</v>
      </c>
      <c r="R417">
        <v>7.4</v>
      </c>
      <c r="T417" s="39">
        <v>43730</v>
      </c>
      <c r="U417" s="25" t="s">
        <v>382</v>
      </c>
      <c r="V417" s="22" t="s">
        <v>256</v>
      </c>
      <c r="W417" s="22" t="s">
        <v>309</v>
      </c>
    </row>
    <row r="418" spans="1:23" x14ac:dyDescent="0.2">
      <c r="A418" t="s">
        <v>191</v>
      </c>
      <c r="O418" s="8">
        <v>-5</v>
      </c>
      <c r="P418" s="8">
        <v>44</v>
      </c>
      <c r="R418">
        <v>35.4</v>
      </c>
      <c r="T418" s="39">
        <v>43730</v>
      </c>
      <c r="U418" s="25" t="s">
        <v>382</v>
      </c>
      <c r="V418" t="s">
        <v>308</v>
      </c>
      <c r="W418" s="22" t="s">
        <v>307</v>
      </c>
    </row>
    <row r="419" spans="1:23" x14ac:dyDescent="0.2">
      <c r="A419" t="s">
        <v>191</v>
      </c>
      <c r="B419" t="s">
        <v>20</v>
      </c>
      <c r="C419">
        <v>10.199999999999999</v>
      </c>
      <c r="D419" t="s">
        <v>75</v>
      </c>
      <c r="E419" t="s">
        <v>75</v>
      </c>
      <c r="O419">
        <v>-5</v>
      </c>
      <c r="P419">
        <v>48</v>
      </c>
      <c r="Q419">
        <v>6.6</v>
      </c>
      <c r="R419">
        <v>48</v>
      </c>
      <c r="T419" s="39">
        <v>43730</v>
      </c>
      <c r="U419" s="25" t="s">
        <v>382</v>
      </c>
      <c r="V419" t="s">
        <v>284</v>
      </c>
      <c r="W419" s="22" t="s">
        <v>296</v>
      </c>
    </row>
    <row r="420" spans="1:23" x14ac:dyDescent="0.2">
      <c r="A420" t="s">
        <v>191</v>
      </c>
      <c r="O420">
        <v>-1.5</v>
      </c>
      <c r="P420">
        <v>38</v>
      </c>
      <c r="R420">
        <v>7.4</v>
      </c>
      <c r="T420" s="39">
        <v>43730</v>
      </c>
      <c r="U420" s="25" t="s">
        <v>382</v>
      </c>
      <c r="V420" t="s">
        <v>310</v>
      </c>
      <c r="W420" s="22" t="s">
        <v>297</v>
      </c>
    </row>
    <row r="421" spans="1:23" x14ac:dyDescent="0.2">
      <c r="A421" t="s">
        <v>191</v>
      </c>
      <c r="O421">
        <v>5</v>
      </c>
      <c r="P421">
        <v>41</v>
      </c>
      <c r="R421">
        <v>19</v>
      </c>
      <c r="T421" s="39">
        <v>43730</v>
      </c>
      <c r="U421" s="25" t="s">
        <v>382</v>
      </c>
      <c r="V421" t="s">
        <v>306</v>
      </c>
      <c r="W421" s="22" t="s">
        <v>265</v>
      </c>
    </row>
    <row r="422" spans="1:23" x14ac:dyDescent="0.2">
      <c r="A422" t="s">
        <v>191</v>
      </c>
      <c r="F422" t="s">
        <v>109</v>
      </c>
      <c r="O422">
        <v>5.5</v>
      </c>
      <c r="P422">
        <v>49</v>
      </c>
      <c r="R422">
        <v>9.6999999999999993</v>
      </c>
      <c r="T422" s="39">
        <v>43737</v>
      </c>
      <c r="U422" s="26" t="s">
        <v>417</v>
      </c>
      <c r="V422" t="s">
        <v>285</v>
      </c>
      <c r="W422" s="26" t="s">
        <v>308</v>
      </c>
    </row>
    <row r="423" spans="1:23" x14ac:dyDescent="0.2">
      <c r="A423" t="s">
        <v>191</v>
      </c>
      <c r="O423">
        <v>-3.5</v>
      </c>
      <c r="P423">
        <v>46</v>
      </c>
      <c r="R423">
        <v>9.3000000000000007</v>
      </c>
      <c r="T423" s="39">
        <v>43737</v>
      </c>
      <c r="U423" s="26" t="s">
        <v>417</v>
      </c>
      <c r="V423" t="s">
        <v>295</v>
      </c>
      <c r="W423" s="27" t="s">
        <v>310</v>
      </c>
    </row>
    <row r="424" spans="1:23" x14ac:dyDescent="0.2">
      <c r="A424" t="s">
        <v>191</v>
      </c>
      <c r="F424" t="s">
        <v>110</v>
      </c>
      <c r="O424">
        <v>-7.5</v>
      </c>
      <c r="P424">
        <v>47</v>
      </c>
      <c r="R424">
        <v>6.2</v>
      </c>
      <c r="T424" s="39">
        <v>43737</v>
      </c>
      <c r="U424" s="26" t="s">
        <v>417</v>
      </c>
      <c r="V424" s="41" t="s">
        <v>305</v>
      </c>
      <c r="W424" s="27" t="s">
        <v>281</v>
      </c>
    </row>
    <row r="425" spans="1:23" x14ac:dyDescent="0.2">
      <c r="A425" t="s">
        <v>191</v>
      </c>
      <c r="O425">
        <v>7</v>
      </c>
      <c r="P425">
        <v>41.5</v>
      </c>
      <c r="R425">
        <v>11.9</v>
      </c>
      <c r="T425" s="39">
        <v>43737</v>
      </c>
      <c r="U425" s="26" t="s">
        <v>417</v>
      </c>
      <c r="V425" t="s">
        <v>276</v>
      </c>
      <c r="W425" s="27" t="s">
        <v>302</v>
      </c>
    </row>
    <row r="426" spans="1:23" x14ac:dyDescent="0.2">
      <c r="A426" t="s">
        <v>191</v>
      </c>
      <c r="F426" t="s">
        <v>109</v>
      </c>
      <c r="O426">
        <v>5.5</v>
      </c>
      <c r="P426">
        <v>47.5</v>
      </c>
      <c r="R426">
        <v>7.4</v>
      </c>
      <c r="T426" s="39">
        <v>43737</v>
      </c>
      <c r="U426" s="26" t="s">
        <v>417</v>
      </c>
      <c r="V426" t="s">
        <v>301</v>
      </c>
      <c r="W426" s="27" t="s">
        <v>311</v>
      </c>
    </row>
    <row r="427" spans="1:23" x14ac:dyDescent="0.2">
      <c r="A427" t="s">
        <v>191</v>
      </c>
      <c r="B427" t="s">
        <v>56</v>
      </c>
      <c r="C427">
        <v>12.9</v>
      </c>
      <c r="D427" t="s">
        <v>76</v>
      </c>
      <c r="E427" t="s">
        <v>76</v>
      </c>
      <c r="F427" t="s">
        <v>110</v>
      </c>
      <c r="O427">
        <v>1</v>
      </c>
      <c r="P427">
        <v>38</v>
      </c>
      <c r="Q427">
        <v>5.6</v>
      </c>
      <c r="R427">
        <v>14.7</v>
      </c>
      <c r="T427" s="39">
        <v>43737</v>
      </c>
      <c r="U427" s="26" t="s">
        <v>417</v>
      </c>
      <c r="V427" t="s">
        <v>265</v>
      </c>
      <c r="W427" s="27" t="s">
        <v>312</v>
      </c>
    </row>
    <row r="428" spans="1:23" x14ac:dyDescent="0.2">
      <c r="A428" t="s">
        <v>191</v>
      </c>
      <c r="O428">
        <v>3.5</v>
      </c>
      <c r="P428">
        <v>45.5</v>
      </c>
      <c r="R428">
        <v>6.3</v>
      </c>
      <c r="T428" s="39">
        <v>43737</v>
      </c>
      <c r="U428" s="26" t="s">
        <v>417</v>
      </c>
      <c r="V428" s="17" t="s">
        <v>272</v>
      </c>
      <c r="W428" s="27" t="s">
        <v>309</v>
      </c>
    </row>
    <row r="429" spans="1:23" x14ac:dyDescent="0.2">
      <c r="A429" t="s">
        <v>191</v>
      </c>
      <c r="F429" t="s">
        <v>110</v>
      </c>
      <c r="O429">
        <v>7.5</v>
      </c>
      <c r="P429">
        <v>47</v>
      </c>
      <c r="R429">
        <v>4</v>
      </c>
      <c r="T429" s="39">
        <v>43737</v>
      </c>
      <c r="U429" s="26" t="s">
        <v>417</v>
      </c>
      <c r="V429" t="s">
        <v>281</v>
      </c>
      <c r="W429" s="27" t="s">
        <v>305</v>
      </c>
    </row>
    <row r="430" spans="1:23" x14ac:dyDescent="0.2">
      <c r="A430" t="s">
        <v>191</v>
      </c>
      <c r="B430" t="s">
        <v>116</v>
      </c>
      <c r="J430" t="s">
        <v>75</v>
      </c>
      <c r="K430" t="s">
        <v>76</v>
      </c>
      <c r="L430" t="s">
        <v>76</v>
      </c>
      <c r="M430" t="s">
        <v>75</v>
      </c>
      <c r="N430" t="s">
        <v>134</v>
      </c>
      <c r="O430">
        <v>-2.5</v>
      </c>
      <c r="P430">
        <v>47</v>
      </c>
      <c r="Q430">
        <v>7.3</v>
      </c>
      <c r="R430">
        <v>9.8000000000000007</v>
      </c>
      <c r="T430" s="39">
        <v>43737</v>
      </c>
      <c r="U430" s="26" t="s">
        <v>417</v>
      </c>
      <c r="V430" t="s">
        <v>291</v>
      </c>
      <c r="W430" s="27" t="s">
        <v>307</v>
      </c>
    </row>
    <row r="431" spans="1:23" x14ac:dyDescent="0.2">
      <c r="A431" t="s">
        <v>191</v>
      </c>
      <c r="O431">
        <v>-2.5</v>
      </c>
      <c r="P431">
        <v>37</v>
      </c>
      <c r="R431">
        <v>24.2</v>
      </c>
      <c r="T431" s="39">
        <v>43737</v>
      </c>
      <c r="U431" t="s">
        <v>417</v>
      </c>
      <c r="V431" t="s">
        <v>278</v>
      </c>
      <c r="W431" t="s">
        <v>297</v>
      </c>
    </row>
    <row r="432" spans="1:23" x14ac:dyDescent="0.2">
      <c r="A432" t="s">
        <v>191</v>
      </c>
      <c r="O432">
        <v>7.5</v>
      </c>
      <c r="P432">
        <v>54.5</v>
      </c>
      <c r="R432">
        <v>23.7</v>
      </c>
      <c r="T432" s="39">
        <v>43737</v>
      </c>
      <c r="U432" s="26" t="s">
        <v>417</v>
      </c>
      <c r="V432" t="s">
        <v>299</v>
      </c>
      <c r="W432" s="27" t="s">
        <v>288</v>
      </c>
    </row>
    <row r="433" spans="1:23" x14ac:dyDescent="0.2">
      <c r="A433" t="s">
        <v>191</v>
      </c>
      <c r="B433" t="s">
        <v>57</v>
      </c>
      <c r="C433">
        <v>11.7</v>
      </c>
      <c r="D433" t="s">
        <v>75</v>
      </c>
      <c r="E433" t="s">
        <v>76</v>
      </c>
      <c r="O433">
        <v>-3.5</v>
      </c>
      <c r="P433">
        <v>46</v>
      </c>
      <c r="Q433">
        <v>7.5</v>
      </c>
      <c r="R433">
        <v>31</v>
      </c>
      <c r="T433" s="39">
        <v>43737</v>
      </c>
      <c r="U433" s="26" t="s">
        <v>417</v>
      </c>
      <c r="V433" t="s">
        <v>300</v>
      </c>
      <c r="W433" s="27" t="s">
        <v>294</v>
      </c>
    </row>
    <row r="434" spans="1:23" x14ac:dyDescent="0.2">
      <c r="A434" t="s">
        <v>191</v>
      </c>
      <c r="F434" t="s">
        <v>109</v>
      </c>
      <c r="O434">
        <v>-5.5</v>
      </c>
      <c r="P434">
        <v>47.5</v>
      </c>
      <c r="R434">
        <v>8.1</v>
      </c>
      <c r="T434" s="39">
        <v>43737</v>
      </c>
      <c r="U434" s="26" t="s">
        <v>417</v>
      </c>
      <c r="V434" s="41" t="s">
        <v>311</v>
      </c>
      <c r="W434" s="27" t="s">
        <v>301</v>
      </c>
    </row>
    <row r="435" spans="1:23" x14ac:dyDescent="0.2">
      <c r="A435" t="s">
        <v>191</v>
      </c>
      <c r="F435" t="s">
        <v>110</v>
      </c>
      <c r="O435">
        <v>-5</v>
      </c>
      <c r="P435">
        <v>46</v>
      </c>
      <c r="R435">
        <v>11.2</v>
      </c>
      <c r="T435" s="39">
        <v>43737</v>
      </c>
      <c r="U435" s="26" t="s">
        <v>417</v>
      </c>
      <c r="V435" s="18" t="s">
        <v>289</v>
      </c>
      <c r="W435" s="27" t="s">
        <v>303</v>
      </c>
    </row>
    <row r="436" spans="1:23" x14ac:dyDescent="0.2">
      <c r="A436" t="s">
        <v>191</v>
      </c>
      <c r="B436" t="s">
        <v>39</v>
      </c>
      <c r="C436">
        <v>8.6</v>
      </c>
      <c r="D436" t="s">
        <v>76</v>
      </c>
      <c r="E436" t="s">
        <v>76</v>
      </c>
      <c r="O436">
        <v>2.5</v>
      </c>
      <c r="P436">
        <v>37</v>
      </c>
      <c r="R436">
        <v>11.6</v>
      </c>
      <c r="T436" s="39">
        <v>43737</v>
      </c>
      <c r="U436" s="26" t="s">
        <v>417</v>
      </c>
      <c r="V436" s="18" t="s">
        <v>297</v>
      </c>
      <c r="W436" s="27" t="s">
        <v>278</v>
      </c>
    </row>
    <row r="437" spans="1:23" x14ac:dyDescent="0.2">
      <c r="A437" t="s">
        <v>191</v>
      </c>
      <c r="O437">
        <v>-7.5</v>
      </c>
      <c r="P437">
        <v>54.5</v>
      </c>
      <c r="R437">
        <v>7.4</v>
      </c>
      <c r="T437" s="39">
        <v>43737</v>
      </c>
      <c r="U437" s="26" t="s">
        <v>417</v>
      </c>
      <c r="V437" s="18" t="s">
        <v>288</v>
      </c>
      <c r="W437" s="27" t="s">
        <v>299</v>
      </c>
    </row>
    <row r="438" spans="1:23" x14ac:dyDescent="0.2">
      <c r="A438" t="s">
        <v>191</v>
      </c>
      <c r="F438" t="s">
        <v>110</v>
      </c>
      <c r="O438">
        <v>5</v>
      </c>
      <c r="P438">
        <v>46</v>
      </c>
      <c r="R438">
        <v>12.6</v>
      </c>
      <c r="T438" s="39">
        <v>43737</v>
      </c>
      <c r="U438" s="26" t="s">
        <v>417</v>
      </c>
      <c r="V438" s="18" t="s">
        <v>303</v>
      </c>
      <c r="W438" s="27" t="s">
        <v>289</v>
      </c>
    </row>
    <row r="439" spans="1:23" x14ac:dyDescent="0.2">
      <c r="A439" t="s">
        <v>191</v>
      </c>
      <c r="B439" t="s">
        <v>62</v>
      </c>
      <c r="E439" t="s">
        <v>75</v>
      </c>
      <c r="J439" t="s">
        <v>75</v>
      </c>
      <c r="K439" t="s">
        <v>75</v>
      </c>
      <c r="L439" t="s">
        <v>76</v>
      </c>
      <c r="M439" t="s">
        <v>75</v>
      </c>
      <c r="N439" t="s">
        <v>134</v>
      </c>
      <c r="O439" s="8">
        <v>-15</v>
      </c>
      <c r="P439" s="8">
        <v>43.5</v>
      </c>
      <c r="Q439">
        <v>7.6</v>
      </c>
      <c r="R439">
        <v>9.8000000000000007</v>
      </c>
      <c r="T439" s="39">
        <v>43737</v>
      </c>
      <c r="U439" s="26" t="s">
        <v>417</v>
      </c>
      <c r="V439" s="41" t="s">
        <v>287</v>
      </c>
      <c r="W439" s="26" t="s">
        <v>293</v>
      </c>
    </row>
    <row r="440" spans="1:23" x14ac:dyDescent="0.2">
      <c r="A440" t="s">
        <v>191</v>
      </c>
      <c r="F440" t="s">
        <v>109</v>
      </c>
      <c r="O440">
        <v>-9</v>
      </c>
      <c r="P440">
        <v>48.5</v>
      </c>
      <c r="R440" s="14">
        <v>29.9</v>
      </c>
      <c r="S440" s="14"/>
      <c r="T440" s="39">
        <v>43737</v>
      </c>
      <c r="U440" s="26" t="s">
        <v>417</v>
      </c>
      <c r="V440" s="41" t="s">
        <v>304</v>
      </c>
      <c r="W440" s="27" t="s">
        <v>284</v>
      </c>
    </row>
    <row r="441" spans="1:23" x14ac:dyDescent="0.2">
      <c r="A441" t="s">
        <v>191</v>
      </c>
      <c r="D441" s="3"/>
      <c r="E441" t="s">
        <v>75</v>
      </c>
      <c r="F441" s="3"/>
      <c r="O441" s="3">
        <v>15</v>
      </c>
      <c r="P441" s="3">
        <v>43.5</v>
      </c>
      <c r="R441" s="30">
        <v>8.6</v>
      </c>
      <c r="S441" s="30"/>
      <c r="T441" s="39">
        <v>43737</v>
      </c>
      <c r="U441" s="31" t="s">
        <v>417</v>
      </c>
      <c r="V441" s="41" t="s">
        <v>293</v>
      </c>
      <c r="W441" s="32" t="s">
        <v>287</v>
      </c>
    </row>
    <row r="442" spans="1:23" x14ac:dyDescent="0.2">
      <c r="A442" t="s">
        <v>191</v>
      </c>
      <c r="F442" t="s">
        <v>110</v>
      </c>
      <c r="O442">
        <v>-1</v>
      </c>
      <c r="P442">
        <v>38</v>
      </c>
      <c r="R442">
        <v>2.6</v>
      </c>
      <c r="T442" s="39">
        <v>43737</v>
      </c>
      <c r="U442" s="26" t="s">
        <v>417</v>
      </c>
      <c r="V442" s="41" t="s">
        <v>312</v>
      </c>
      <c r="W442" s="27" t="s">
        <v>265</v>
      </c>
    </row>
    <row r="443" spans="1:23" x14ac:dyDescent="0.2">
      <c r="A443" t="s">
        <v>191</v>
      </c>
      <c r="O443">
        <v>-7</v>
      </c>
      <c r="P443">
        <v>41.5</v>
      </c>
      <c r="R443">
        <v>7</v>
      </c>
      <c r="T443" s="39">
        <v>43737</v>
      </c>
      <c r="U443" s="26" t="s">
        <v>417</v>
      </c>
      <c r="V443" s="41" t="s">
        <v>302</v>
      </c>
      <c r="W443" s="27" t="s">
        <v>276</v>
      </c>
    </row>
    <row r="444" spans="1:23" x14ac:dyDescent="0.2">
      <c r="A444" t="s">
        <v>191</v>
      </c>
      <c r="O444">
        <v>2.5</v>
      </c>
      <c r="P444">
        <v>47</v>
      </c>
      <c r="R444">
        <v>18.5</v>
      </c>
      <c r="T444" s="39">
        <v>43737</v>
      </c>
      <c r="U444" s="26" t="s">
        <v>417</v>
      </c>
      <c r="V444" t="s">
        <v>307</v>
      </c>
      <c r="W444" s="27" t="s">
        <v>291</v>
      </c>
    </row>
    <row r="445" spans="1:23" x14ac:dyDescent="0.2">
      <c r="A445" t="s">
        <v>191</v>
      </c>
      <c r="O445">
        <v>-3</v>
      </c>
      <c r="P445">
        <v>48</v>
      </c>
      <c r="R445">
        <v>16.899999999999999</v>
      </c>
      <c r="T445" s="39">
        <v>43737</v>
      </c>
      <c r="U445" s="26" t="s">
        <v>417</v>
      </c>
      <c r="V445" t="s">
        <v>296</v>
      </c>
      <c r="W445" s="27" t="s">
        <v>306</v>
      </c>
    </row>
    <row r="446" spans="1:23" x14ac:dyDescent="0.2">
      <c r="A446" t="s">
        <v>191</v>
      </c>
      <c r="O446">
        <v>3.5</v>
      </c>
      <c r="P446">
        <v>46</v>
      </c>
      <c r="R446">
        <v>12.8</v>
      </c>
      <c r="T446" s="39">
        <v>43737</v>
      </c>
      <c r="U446" s="26" t="s">
        <v>417</v>
      </c>
      <c r="V446" t="s">
        <v>294</v>
      </c>
      <c r="W446" s="27" t="s">
        <v>300</v>
      </c>
    </row>
    <row r="447" spans="1:23" x14ac:dyDescent="0.2">
      <c r="A447" t="s">
        <v>191</v>
      </c>
      <c r="O447">
        <v>-3.5</v>
      </c>
      <c r="P447">
        <v>45.5</v>
      </c>
      <c r="R447">
        <v>4.5</v>
      </c>
      <c r="T447" s="39">
        <v>43737</v>
      </c>
      <c r="U447" s="26" t="s">
        <v>417</v>
      </c>
      <c r="V447" t="s">
        <v>309</v>
      </c>
      <c r="W447" s="27" t="s">
        <v>272</v>
      </c>
    </row>
    <row r="448" spans="1:23" x14ac:dyDescent="0.2">
      <c r="A448" t="s">
        <v>191</v>
      </c>
      <c r="F448" t="s">
        <v>109</v>
      </c>
      <c r="O448">
        <v>-5.5</v>
      </c>
      <c r="P448">
        <v>49</v>
      </c>
      <c r="R448">
        <v>9.1</v>
      </c>
      <c r="T448" s="39">
        <v>43737</v>
      </c>
      <c r="U448" s="26" t="s">
        <v>417</v>
      </c>
      <c r="V448" t="s">
        <v>308</v>
      </c>
      <c r="W448" s="27" t="s">
        <v>285</v>
      </c>
    </row>
    <row r="449" spans="1:23" x14ac:dyDescent="0.2">
      <c r="A449" t="s">
        <v>191</v>
      </c>
      <c r="F449" t="s">
        <v>109</v>
      </c>
      <c r="O449">
        <v>9</v>
      </c>
      <c r="P449">
        <v>48.5</v>
      </c>
      <c r="R449">
        <v>18.899999999999999</v>
      </c>
      <c r="T449" s="39">
        <v>43737</v>
      </c>
      <c r="U449" s="26" t="s">
        <v>417</v>
      </c>
      <c r="V449" t="s">
        <v>284</v>
      </c>
      <c r="W449" s="27" t="s">
        <v>304</v>
      </c>
    </row>
    <row r="450" spans="1:23" x14ac:dyDescent="0.2">
      <c r="A450" t="s">
        <v>191</v>
      </c>
      <c r="O450">
        <v>3.5</v>
      </c>
      <c r="P450">
        <v>46</v>
      </c>
      <c r="R450">
        <v>20.100000000000001</v>
      </c>
      <c r="T450" s="39">
        <v>43737</v>
      </c>
      <c r="U450" s="26" t="s">
        <v>417</v>
      </c>
      <c r="V450" t="s">
        <v>310</v>
      </c>
      <c r="W450" s="27" t="s">
        <v>295</v>
      </c>
    </row>
    <row r="451" spans="1:23" x14ac:dyDescent="0.2">
      <c r="A451" t="s">
        <v>191</v>
      </c>
      <c r="O451">
        <v>3</v>
      </c>
      <c r="P451">
        <v>48</v>
      </c>
      <c r="R451">
        <v>4.4000000000000004</v>
      </c>
      <c r="T451" s="39">
        <v>43737</v>
      </c>
      <c r="U451" s="26" t="s">
        <v>417</v>
      </c>
      <c r="V451" t="s">
        <v>306</v>
      </c>
      <c r="W451" s="27" t="s">
        <v>296</v>
      </c>
    </row>
    <row r="452" spans="1:23" x14ac:dyDescent="0.2">
      <c r="A452" t="s">
        <v>191</v>
      </c>
      <c r="B452" t="s">
        <v>17</v>
      </c>
      <c r="E452" t="s">
        <v>75</v>
      </c>
      <c r="F452" t="s">
        <v>109</v>
      </c>
      <c r="J452" t="s">
        <v>75</v>
      </c>
      <c r="K452" t="s">
        <v>76</v>
      </c>
      <c r="L452" t="s">
        <v>76</v>
      </c>
      <c r="M452" t="s">
        <v>76</v>
      </c>
      <c r="N452" t="s">
        <v>134</v>
      </c>
      <c r="O452">
        <v>3</v>
      </c>
      <c r="P452">
        <v>45</v>
      </c>
      <c r="Q452">
        <v>6</v>
      </c>
      <c r="R452">
        <v>11.8</v>
      </c>
      <c r="T452" s="39">
        <v>43744</v>
      </c>
      <c r="U452" s="22" t="s">
        <v>381</v>
      </c>
      <c r="V452" t="s">
        <v>285</v>
      </c>
      <c r="W452" s="22" t="s">
        <v>272</v>
      </c>
    </row>
    <row r="453" spans="1:23" x14ac:dyDescent="0.2">
      <c r="A453" t="s">
        <v>191</v>
      </c>
      <c r="D453" t="s">
        <v>75</v>
      </c>
      <c r="E453" t="s">
        <v>75</v>
      </c>
      <c r="F453" t="s">
        <v>109</v>
      </c>
      <c r="O453">
        <v>4</v>
      </c>
      <c r="P453">
        <v>49</v>
      </c>
      <c r="R453">
        <v>7.2</v>
      </c>
      <c r="T453" s="39">
        <v>43744</v>
      </c>
      <c r="U453" s="22" t="s">
        <v>381</v>
      </c>
      <c r="V453" t="s">
        <v>295</v>
      </c>
      <c r="W453" s="22" t="s">
        <v>311</v>
      </c>
    </row>
    <row r="454" spans="1:23" x14ac:dyDescent="0.2">
      <c r="A454" t="s">
        <v>191</v>
      </c>
      <c r="B454" t="s">
        <v>4</v>
      </c>
      <c r="C454">
        <v>12.4</v>
      </c>
      <c r="D454" t="s">
        <v>76</v>
      </c>
      <c r="E454" t="s">
        <v>76</v>
      </c>
      <c r="O454">
        <v>-3</v>
      </c>
      <c r="P454">
        <v>44</v>
      </c>
      <c r="Q454">
        <v>5.7</v>
      </c>
      <c r="R454">
        <v>11.2</v>
      </c>
      <c r="T454" s="39">
        <v>43744</v>
      </c>
      <c r="U454" s="22" t="s">
        <v>381</v>
      </c>
      <c r="V454" s="41" t="s">
        <v>305</v>
      </c>
      <c r="W454" s="22" t="s">
        <v>309</v>
      </c>
    </row>
    <row r="455" spans="1:23" x14ac:dyDescent="0.2">
      <c r="A455" t="s">
        <v>191</v>
      </c>
      <c r="O455">
        <v>3.5</v>
      </c>
      <c r="P455">
        <v>39.5</v>
      </c>
      <c r="R455">
        <v>12.5</v>
      </c>
      <c r="T455" s="39">
        <v>43744</v>
      </c>
      <c r="U455" s="22" t="s">
        <v>381</v>
      </c>
      <c r="V455" t="s">
        <v>276</v>
      </c>
      <c r="W455" s="22" t="s">
        <v>310</v>
      </c>
    </row>
    <row r="456" spans="1:23" x14ac:dyDescent="0.2">
      <c r="A456" t="s">
        <v>191</v>
      </c>
      <c r="O456">
        <v>-3</v>
      </c>
      <c r="P456">
        <v>41</v>
      </c>
      <c r="R456">
        <v>15.1</v>
      </c>
      <c r="T456" s="39">
        <v>43744</v>
      </c>
      <c r="U456" s="26" t="s">
        <v>381</v>
      </c>
      <c r="V456" t="s">
        <v>301</v>
      </c>
      <c r="W456" s="26" t="s">
        <v>297</v>
      </c>
    </row>
    <row r="457" spans="1:23" x14ac:dyDescent="0.2">
      <c r="A457" t="s">
        <v>191</v>
      </c>
      <c r="B457" t="s">
        <v>56</v>
      </c>
      <c r="J457" t="s">
        <v>75</v>
      </c>
      <c r="K457" t="s">
        <v>76</v>
      </c>
      <c r="L457" t="s">
        <v>76</v>
      </c>
      <c r="M457" t="s">
        <v>76</v>
      </c>
      <c r="N457" t="s">
        <v>134</v>
      </c>
      <c r="O457">
        <v>-6.5</v>
      </c>
      <c r="P457">
        <v>38.5</v>
      </c>
      <c r="Q457">
        <v>5.6</v>
      </c>
      <c r="R457">
        <v>28.7</v>
      </c>
      <c r="T457" s="39">
        <v>43744</v>
      </c>
      <c r="U457" s="22" t="s">
        <v>381</v>
      </c>
      <c r="V457" t="s">
        <v>265</v>
      </c>
      <c r="W457" s="22" t="s">
        <v>303</v>
      </c>
    </row>
    <row r="458" spans="1:23" x14ac:dyDescent="0.2">
      <c r="A458" t="s">
        <v>191</v>
      </c>
      <c r="E458" t="s">
        <v>75</v>
      </c>
      <c r="F458" t="s">
        <v>109</v>
      </c>
      <c r="O458">
        <v>-3</v>
      </c>
      <c r="P458">
        <v>45</v>
      </c>
      <c r="R458">
        <v>31.3</v>
      </c>
      <c r="T458" s="39">
        <v>43744</v>
      </c>
      <c r="U458" s="22" t="s">
        <v>381</v>
      </c>
      <c r="V458" s="17" t="s">
        <v>272</v>
      </c>
      <c r="W458" s="22" t="s">
        <v>285</v>
      </c>
    </row>
    <row r="459" spans="1:23" x14ac:dyDescent="0.2">
      <c r="A459" t="s">
        <v>191</v>
      </c>
      <c r="O459">
        <v>5</v>
      </c>
      <c r="P459">
        <v>47.5</v>
      </c>
      <c r="R459">
        <v>6</v>
      </c>
      <c r="T459" s="39">
        <v>43744</v>
      </c>
      <c r="U459" s="22" t="s">
        <v>381</v>
      </c>
      <c r="V459" t="s">
        <v>281</v>
      </c>
      <c r="W459" s="22" t="s">
        <v>256</v>
      </c>
    </row>
    <row r="460" spans="1:23" x14ac:dyDescent="0.2">
      <c r="A460" t="s">
        <v>191</v>
      </c>
      <c r="O460">
        <v>-3.5</v>
      </c>
      <c r="P460">
        <v>46.5</v>
      </c>
      <c r="R460">
        <v>42.6</v>
      </c>
      <c r="T460" s="39">
        <v>43744</v>
      </c>
      <c r="U460" s="22" t="s">
        <v>381</v>
      </c>
      <c r="V460" t="s">
        <v>291</v>
      </c>
      <c r="W460" s="22" t="s">
        <v>300</v>
      </c>
    </row>
    <row r="461" spans="1:23" x14ac:dyDescent="0.2">
      <c r="A461" t="s">
        <v>191</v>
      </c>
      <c r="F461" t="s">
        <v>110</v>
      </c>
      <c r="O461">
        <v>4</v>
      </c>
      <c r="P461">
        <v>46</v>
      </c>
      <c r="R461">
        <v>19.2</v>
      </c>
      <c r="T461" s="39">
        <v>43744</v>
      </c>
      <c r="U461" t="s">
        <v>381</v>
      </c>
      <c r="V461" t="s">
        <v>278</v>
      </c>
      <c r="W461" t="s">
        <v>287</v>
      </c>
    </row>
    <row r="462" spans="1:23" x14ac:dyDescent="0.2">
      <c r="A462" t="s">
        <v>191</v>
      </c>
      <c r="O462">
        <v>3.5</v>
      </c>
      <c r="P462">
        <v>46.5</v>
      </c>
      <c r="R462" s="3">
        <v>2.8</v>
      </c>
      <c r="S462" s="3"/>
      <c r="T462" s="39">
        <v>43744</v>
      </c>
      <c r="U462" s="22" t="s">
        <v>381</v>
      </c>
      <c r="V462" t="s">
        <v>300</v>
      </c>
      <c r="W462" s="22" t="s">
        <v>291</v>
      </c>
    </row>
    <row r="463" spans="1:23" x14ac:dyDescent="0.2">
      <c r="A463" t="s">
        <v>191</v>
      </c>
      <c r="B463" t="s">
        <v>22</v>
      </c>
      <c r="C463">
        <v>11</v>
      </c>
      <c r="D463" t="s">
        <v>75</v>
      </c>
      <c r="E463" t="s">
        <v>75</v>
      </c>
      <c r="F463" t="s">
        <v>109</v>
      </c>
      <c r="O463">
        <v>-4</v>
      </c>
      <c r="P463">
        <v>49</v>
      </c>
      <c r="Q463">
        <v>7.8</v>
      </c>
      <c r="R463">
        <v>15.8</v>
      </c>
      <c r="T463" s="39">
        <v>43744</v>
      </c>
      <c r="U463" s="22" t="s">
        <v>381</v>
      </c>
      <c r="V463" t="s">
        <v>311</v>
      </c>
      <c r="W463" s="22" t="s">
        <v>295</v>
      </c>
    </row>
    <row r="464" spans="1:23" x14ac:dyDescent="0.2">
      <c r="A464" t="s">
        <v>191</v>
      </c>
      <c r="E464" t="s">
        <v>75</v>
      </c>
      <c r="O464">
        <v>10.5</v>
      </c>
      <c r="P464">
        <v>55.5</v>
      </c>
      <c r="R464">
        <v>7.7</v>
      </c>
      <c r="T464" s="39">
        <v>43744</v>
      </c>
      <c r="U464" s="22" t="s">
        <v>381</v>
      </c>
      <c r="V464" t="s">
        <v>289</v>
      </c>
      <c r="W464" s="22" t="s">
        <v>288</v>
      </c>
    </row>
    <row r="465" spans="1:23" x14ac:dyDescent="0.2">
      <c r="A465" t="s">
        <v>191</v>
      </c>
      <c r="B465" t="s">
        <v>39</v>
      </c>
      <c r="C465">
        <v>8.6</v>
      </c>
      <c r="D465" t="s">
        <v>76</v>
      </c>
      <c r="E465" t="s">
        <v>76</v>
      </c>
      <c r="O465">
        <v>3</v>
      </c>
      <c r="P465">
        <v>41</v>
      </c>
      <c r="Q465">
        <v>5.3</v>
      </c>
      <c r="R465">
        <v>15.2</v>
      </c>
      <c r="T465" s="39">
        <v>43744</v>
      </c>
      <c r="U465" s="26" t="s">
        <v>381</v>
      </c>
      <c r="V465" t="s">
        <v>297</v>
      </c>
      <c r="W465" s="26" t="s">
        <v>301</v>
      </c>
    </row>
    <row r="466" spans="1:23" x14ac:dyDescent="0.2">
      <c r="A466" t="s">
        <v>191</v>
      </c>
      <c r="E466" t="s">
        <v>75</v>
      </c>
      <c r="O466">
        <v>-10.5</v>
      </c>
      <c r="P466">
        <v>55.5</v>
      </c>
      <c r="R466">
        <v>25.3</v>
      </c>
      <c r="T466" s="39">
        <v>43744</v>
      </c>
      <c r="U466" s="22" t="s">
        <v>381</v>
      </c>
      <c r="V466" t="s">
        <v>288</v>
      </c>
      <c r="W466" s="22" t="s">
        <v>289</v>
      </c>
    </row>
    <row r="467" spans="1:23" x14ac:dyDescent="0.2">
      <c r="A467" t="s">
        <v>191</v>
      </c>
      <c r="O467">
        <v>6.5</v>
      </c>
      <c r="P467">
        <v>38.5</v>
      </c>
      <c r="R467" s="3">
        <v>2.2000000000000002</v>
      </c>
      <c r="S467" s="3"/>
      <c r="T467" s="39">
        <v>43744</v>
      </c>
      <c r="U467" s="22" t="s">
        <v>381</v>
      </c>
      <c r="V467" t="s">
        <v>303</v>
      </c>
      <c r="W467" s="22" t="s">
        <v>265</v>
      </c>
    </row>
    <row r="468" spans="1:23" x14ac:dyDescent="0.2">
      <c r="A468" t="s">
        <v>191</v>
      </c>
      <c r="B468" t="s">
        <v>62</v>
      </c>
      <c r="F468" t="s">
        <v>110</v>
      </c>
      <c r="J468" t="s">
        <v>76</v>
      </c>
      <c r="K468" t="s">
        <v>75</v>
      </c>
      <c r="L468" t="s">
        <v>75</v>
      </c>
      <c r="M468" t="s">
        <v>75</v>
      </c>
      <c r="N468" t="s">
        <v>132</v>
      </c>
      <c r="O468">
        <v>-4</v>
      </c>
      <c r="P468">
        <v>46</v>
      </c>
      <c r="Q468">
        <v>7.3</v>
      </c>
      <c r="R468">
        <v>5.8</v>
      </c>
      <c r="T468" s="39">
        <v>43744</v>
      </c>
      <c r="U468" s="22" t="s">
        <v>381</v>
      </c>
      <c r="V468" t="s">
        <v>287</v>
      </c>
      <c r="W468" s="22" t="s">
        <v>278</v>
      </c>
    </row>
    <row r="469" spans="1:23" x14ac:dyDescent="0.2">
      <c r="A469" t="s">
        <v>191</v>
      </c>
      <c r="D469" s="35"/>
      <c r="E469" s="35"/>
      <c r="F469" s="35"/>
      <c r="O469">
        <v>1.5</v>
      </c>
      <c r="P469">
        <v>49</v>
      </c>
      <c r="R469" s="14">
        <v>29.7</v>
      </c>
      <c r="S469" s="14"/>
      <c r="T469" s="39">
        <v>43744</v>
      </c>
      <c r="U469" s="26" t="s">
        <v>381</v>
      </c>
      <c r="V469" t="s">
        <v>304</v>
      </c>
      <c r="W469" s="26" t="s">
        <v>308</v>
      </c>
    </row>
    <row r="470" spans="1:23" x14ac:dyDescent="0.2">
      <c r="A470" t="s">
        <v>191</v>
      </c>
      <c r="B470" t="s">
        <v>45</v>
      </c>
      <c r="C470">
        <v>12</v>
      </c>
      <c r="D470" t="s">
        <v>75</v>
      </c>
      <c r="E470" t="s">
        <v>76</v>
      </c>
      <c r="F470" t="s">
        <v>110</v>
      </c>
      <c r="O470" s="8">
        <v>-5.5</v>
      </c>
      <c r="P470" s="8">
        <v>44</v>
      </c>
      <c r="Q470">
        <v>6.7</v>
      </c>
      <c r="R470">
        <v>35</v>
      </c>
      <c r="T470" s="39">
        <v>43744</v>
      </c>
      <c r="U470" s="22" t="s">
        <v>381</v>
      </c>
      <c r="V470" t="s">
        <v>312</v>
      </c>
      <c r="W470" s="22" t="s">
        <v>296</v>
      </c>
    </row>
    <row r="471" spans="1:23" x14ac:dyDescent="0.2">
      <c r="A471" t="s">
        <v>191</v>
      </c>
      <c r="O471">
        <v>-15.5</v>
      </c>
      <c r="P471">
        <v>42</v>
      </c>
      <c r="R471">
        <v>28</v>
      </c>
      <c r="T471" s="39">
        <v>43744</v>
      </c>
      <c r="U471" s="22" t="s">
        <v>381</v>
      </c>
      <c r="V471" t="s">
        <v>302</v>
      </c>
      <c r="W471" s="22" t="s">
        <v>306</v>
      </c>
    </row>
    <row r="472" spans="1:23" x14ac:dyDescent="0.2">
      <c r="A472" t="s">
        <v>191</v>
      </c>
      <c r="O472">
        <v>-3</v>
      </c>
      <c r="P472">
        <v>46</v>
      </c>
      <c r="R472">
        <v>44.2</v>
      </c>
      <c r="T472" s="39">
        <v>43744</v>
      </c>
      <c r="U472" s="22" t="s">
        <v>381</v>
      </c>
      <c r="V472" t="s">
        <v>307</v>
      </c>
      <c r="W472" s="22" t="s">
        <v>284</v>
      </c>
    </row>
    <row r="473" spans="1:23" x14ac:dyDescent="0.2">
      <c r="A473" t="s">
        <v>191</v>
      </c>
      <c r="D473" s="3"/>
      <c r="E473" s="3"/>
      <c r="F473" t="s">
        <v>110</v>
      </c>
      <c r="O473" s="3">
        <v>5.5</v>
      </c>
      <c r="P473" s="3">
        <v>44</v>
      </c>
      <c r="R473" s="3">
        <v>9.6999999999999993</v>
      </c>
      <c r="S473" s="3"/>
      <c r="T473" s="39">
        <v>43744</v>
      </c>
      <c r="U473" s="28" t="s">
        <v>381</v>
      </c>
      <c r="V473" t="s">
        <v>296</v>
      </c>
      <c r="W473" s="28" t="s">
        <v>312</v>
      </c>
    </row>
    <row r="474" spans="1:23" x14ac:dyDescent="0.2">
      <c r="A474" t="s">
        <v>191</v>
      </c>
      <c r="D474" s="3"/>
      <c r="E474" t="s">
        <v>75</v>
      </c>
      <c r="F474" s="3"/>
      <c r="O474" s="3">
        <v>14</v>
      </c>
      <c r="P474" s="3">
        <v>43</v>
      </c>
      <c r="R474" s="3">
        <v>3</v>
      </c>
      <c r="S474" s="3"/>
      <c r="T474" s="39">
        <v>43744</v>
      </c>
      <c r="U474" s="28" t="s">
        <v>381</v>
      </c>
      <c r="V474" t="s">
        <v>298</v>
      </c>
      <c r="W474" s="28" t="s">
        <v>294</v>
      </c>
    </row>
    <row r="475" spans="1:23" x14ac:dyDescent="0.2">
      <c r="A475" t="s">
        <v>191</v>
      </c>
      <c r="E475" t="s">
        <v>75</v>
      </c>
      <c r="O475">
        <v>-14</v>
      </c>
      <c r="P475">
        <v>43</v>
      </c>
      <c r="R475">
        <v>11.2</v>
      </c>
      <c r="T475" s="39">
        <v>43744</v>
      </c>
      <c r="U475" s="22" t="s">
        <v>381</v>
      </c>
      <c r="V475" t="s">
        <v>294</v>
      </c>
      <c r="W475" s="22" t="s">
        <v>298</v>
      </c>
    </row>
    <row r="476" spans="1:23" x14ac:dyDescent="0.2">
      <c r="A476" t="s">
        <v>191</v>
      </c>
      <c r="O476">
        <v>3</v>
      </c>
      <c r="P476">
        <v>44</v>
      </c>
      <c r="R476">
        <v>19.5</v>
      </c>
      <c r="T476" s="39">
        <v>43744</v>
      </c>
      <c r="U476" s="22" t="s">
        <v>381</v>
      </c>
      <c r="V476" t="s">
        <v>309</v>
      </c>
      <c r="W476" s="22" t="s">
        <v>305</v>
      </c>
    </row>
    <row r="477" spans="1:23" x14ac:dyDescent="0.2">
      <c r="A477" t="s">
        <v>191</v>
      </c>
      <c r="O477">
        <v>-5</v>
      </c>
      <c r="P477">
        <v>47.5</v>
      </c>
      <c r="R477">
        <v>8.6</v>
      </c>
      <c r="T477" s="39">
        <v>43744</v>
      </c>
      <c r="U477" s="23" t="s">
        <v>381</v>
      </c>
      <c r="V477" s="22" t="s">
        <v>256</v>
      </c>
      <c r="W477" s="24" t="s">
        <v>281</v>
      </c>
    </row>
    <row r="478" spans="1:23" x14ac:dyDescent="0.2">
      <c r="A478" t="s">
        <v>191</v>
      </c>
      <c r="O478">
        <v>-1.5</v>
      </c>
      <c r="P478">
        <v>49</v>
      </c>
      <c r="R478">
        <v>14.3</v>
      </c>
      <c r="T478" s="39">
        <v>43744</v>
      </c>
      <c r="U478" s="26" t="s">
        <v>381</v>
      </c>
      <c r="V478" t="s">
        <v>308</v>
      </c>
      <c r="W478" s="26" t="s">
        <v>304</v>
      </c>
    </row>
    <row r="479" spans="1:23" x14ac:dyDescent="0.2">
      <c r="A479" t="s">
        <v>191</v>
      </c>
      <c r="O479">
        <v>3</v>
      </c>
      <c r="P479">
        <v>46</v>
      </c>
      <c r="R479">
        <v>0</v>
      </c>
      <c r="T479" s="39">
        <v>43744</v>
      </c>
      <c r="U479" s="22" t="s">
        <v>381</v>
      </c>
      <c r="V479" t="s">
        <v>284</v>
      </c>
      <c r="W479" s="22" t="s">
        <v>307</v>
      </c>
    </row>
    <row r="480" spans="1:23" x14ac:dyDescent="0.2">
      <c r="A480" t="s">
        <v>191</v>
      </c>
      <c r="O480">
        <v>-3.5</v>
      </c>
      <c r="P480">
        <v>39.5</v>
      </c>
      <c r="R480">
        <v>4.8</v>
      </c>
      <c r="T480" s="39">
        <v>43744</v>
      </c>
      <c r="U480" s="22" t="s">
        <v>381</v>
      </c>
      <c r="V480" t="s">
        <v>310</v>
      </c>
      <c r="W480" s="22" t="s">
        <v>276</v>
      </c>
    </row>
    <row r="481" spans="1:23" x14ac:dyDescent="0.2">
      <c r="A481" t="s">
        <v>191</v>
      </c>
      <c r="O481">
        <v>15.5</v>
      </c>
      <c r="P481">
        <v>42</v>
      </c>
      <c r="R481">
        <v>8.1</v>
      </c>
      <c r="T481" s="39">
        <v>43744</v>
      </c>
      <c r="U481" s="22" t="s">
        <v>381</v>
      </c>
      <c r="V481" t="s">
        <v>306</v>
      </c>
      <c r="W481" s="22" t="s">
        <v>302</v>
      </c>
    </row>
    <row r="482" spans="1:23" x14ac:dyDescent="0.2">
      <c r="A482" t="s">
        <v>191</v>
      </c>
      <c r="B482" t="s">
        <v>17</v>
      </c>
      <c r="F482" t="s">
        <v>109</v>
      </c>
      <c r="J482" t="s">
        <v>75</v>
      </c>
      <c r="K482" t="s">
        <v>76</v>
      </c>
      <c r="L482" t="s">
        <v>76</v>
      </c>
      <c r="M482" t="s">
        <v>76</v>
      </c>
      <c r="N482" t="s">
        <v>132</v>
      </c>
      <c r="O482">
        <v>3</v>
      </c>
      <c r="P482">
        <v>52.5</v>
      </c>
      <c r="Q482">
        <v>6.1</v>
      </c>
      <c r="R482">
        <v>12.9</v>
      </c>
      <c r="S482">
        <v>2.1</v>
      </c>
      <c r="T482" s="39">
        <v>43751</v>
      </c>
      <c r="U482" s="22" t="s">
        <v>252</v>
      </c>
      <c r="V482" t="s">
        <v>285</v>
      </c>
      <c r="W482" s="22" t="s">
        <v>295</v>
      </c>
    </row>
    <row r="483" spans="1:23" x14ac:dyDescent="0.2">
      <c r="A483" t="s">
        <v>191</v>
      </c>
      <c r="F483" t="s">
        <v>109</v>
      </c>
      <c r="O483">
        <v>-3</v>
      </c>
      <c r="P483">
        <v>52.5</v>
      </c>
      <c r="R483">
        <v>21.8</v>
      </c>
      <c r="T483" s="39">
        <v>43751</v>
      </c>
      <c r="U483" s="22" t="s">
        <v>252</v>
      </c>
      <c r="V483" t="s">
        <v>295</v>
      </c>
      <c r="W483" s="22" t="s">
        <v>285</v>
      </c>
    </row>
    <row r="484" spans="1:23" x14ac:dyDescent="0.2">
      <c r="A484" t="s">
        <v>191</v>
      </c>
      <c r="O484">
        <v>-10.5</v>
      </c>
      <c r="P484">
        <v>47</v>
      </c>
      <c r="T484" s="39">
        <v>43751</v>
      </c>
      <c r="U484" s="22" t="s">
        <v>252</v>
      </c>
      <c r="V484" s="41" t="s">
        <v>305</v>
      </c>
      <c r="W484" s="22" t="s">
        <v>272</v>
      </c>
    </row>
    <row r="485" spans="1:23" x14ac:dyDescent="0.2">
      <c r="A485" t="s">
        <v>191</v>
      </c>
      <c r="O485">
        <v>-2</v>
      </c>
      <c r="P485">
        <v>48.5</v>
      </c>
      <c r="R485">
        <v>15.6</v>
      </c>
      <c r="T485" s="39">
        <v>43751</v>
      </c>
      <c r="U485" s="22" t="s">
        <v>252</v>
      </c>
      <c r="V485" t="s">
        <v>301</v>
      </c>
      <c r="W485" s="22" t="s">
        <v>284</v>
      </c>
    </row>
    <row r="486" spans="1:23" x14ac:dyDescent="0.2">
      <c r="A486" t="s">
        <v>191</v>
      </c>
      <c r="O486">
        <v>10.5</v>
      </c>
      <c r="P486">
        <v>47</v>
      </c>
      <c r="R486">
        <v>4</v>
      </c>
      <c r="T486" s="39">
        <v>43751</v>
      </c>
      <c r="U486" s="22" t="s">
        <v>252</v>
      </c>
      <c r="V486" s="17" t="s">
        <v>272</v>
      </c>
      <c r="W486" s="22" t="s">
        <v>305</v>
      </c>
    </row>
    <row r="487" spans="1:23" x14ac:dyDescent="0.2">
      <c r="A487" t="s">
        <v>191</v>
      </c>
      <c r="B487" t="s">
        <v>51</v>
      </c>
      <c r="C487">
        <v>10.1</v>
      </c>
      <c r="D487" t="s">
        <v>76</v>
      </c>
      <c r="E487" t="s">
        <v>76</v>
      </c>
      <c r="F487" t="s">
        <v>110</v>
      </c>
      <c r="O487" s="22">
        <v>-1</v>
      </c>
      <c r="P487" s="22">
        <v>45.5</v>
      </c>
      <c r="Q487">
        <v>6.8</v>
      </c>
      <c r="R487">
        <v>19.100000000000001</v>
      </c>
      <c r="S487">
        <v>2.8</v>
      </c>
      <c r="T487" s="39">
        <v>43751</v>
      </c>
      <c r="U487" s="22" t="s">
        <v>252</v>
      </c>
      <c r="V487" t="s">
        <v>281</v>
      </c>
      <c r="W487" s="22" t="s">
        <v>308</v>
      </c>
    </row>
    <row r="488" spans="1:23" x14ac:dyDescent="0.2">
      <c r="A488" t="s">
        <v>191</v>
      </c>
      <c r="E488" t="s">
        <v>75</v>
      </c>
      <c r="O488">
        <v>-7</v>
      </c>
      <c r="P488">
        <v>43.5</v>
      </c>
      <c r="T488" s="39">
        <v>43751</v>
      </c>
      <c r="U488" s="22" t="s">
        <v>252</v>
      </c>
      <c r="V488" t="s">
        <v>291</v>
      </c>
      <c r="W488" s="22" t="s">
        <v>298</v>
      </c>
    </row>
    <row r="489" spans="1:23" x14ac:dyDescent="0.2">
      <c r="A489" t="s">
        <v>191</v>
      </c>
      <c r="O489">
        <v>-1</v>
      </c>
      <c r="P489">
        <v>41</v>
      </c>
      <c r="R489">
        <v>11.6</v>
      </c>
      <c r="T489" s="39">
        <v>43751</v>
      </c>
      <c r="U489" t="s">
        <v>252</v>
      </c>
      <c r="V489" t="s">
        <v>278</v>
      </c>
      <c r="W489" t="s">
        <v>310</v>
      </c>
    </row>
    <row r="490" spans="1:23" x14ac:dyDescent="0.2">
      <c r="A490" t="s">
        <v>191</v>
      </c>
      <c r="O490">
        <v>3.5</v>
      </c>
      <c r="P490">
        <v>47</v>
      </c>
      <c r="R490">
        <v>20.100000000000001</v>
      </c>
      <c r="T490" s="39">
        <v>43751</v>
      </c>
      <c r="U490" s="23" t="s">
        <v>252</v>
      </c>
      <c r="V490" t="s">
        <v>299</v>
      </c>
      <c r="W490" s="22" t="s">
        <v>300</v>
      </c>
    </row>
    <row r="491" spans="1:23" x14ac:dyDescent="0.2">
      <c r="A491" t="s">
        <v>191</v>
      </c>
      <c r="O491">
        <v>-3.5</v>
      </c>
      <c r="P491">
        <v>47</v>
      </c>
      <c r="R491" s="30">
        <v>7</v>
      </c>
      <c r="S491" s="30"/>
      <c r="T491" s="39">
        <v>43751</v>
      </c>
      <c r="U491" s="22" t="s">
        <v>252</v>
      </c>
      <c r="V491" t="s">
        <v>300</v>
      </c>
      <c r="W491" s="22" t="s">
        <v>299</v>
      </c>
    </row>
    <row r="492" spans="1:23" x14ac:dyDescent="0.2">
      <c r="A492" t="s">
        <v>191</v>
      </c>
      <c r="F492" t="s">
        <v>109</v>
      </c>
      <c r="O492">
        <v>3.5</v>
      </c>
      <c r="P492">
        <v>54.5</v>
      </c>
      <c r="R492">
        <v>16.5</v>
      </c>
      <c r="T492" s="39">
        <v>43751</v>
      </c>
      <c r="U492" s="22" t="s">
        <v>252</v>
      </c>
      <c r="V492" t="s">
        <v>311</v>
      </c>
      <c r="W492" s="22" t="s">
        <v>288</v>
      </c>
    </row>
    <row r="493" spans="1:23" x14ac:dyDescent="0.2">
      <c r="A493" t="s">
        <v>191</v>
      </c>
      <c r="F493" t="s">
        <v>110</v>
      </c>
      <c r="O493">
        <v>-2.5</v>
      </c>
      <c r="P493">
        <v>42.5</v>
      </c>
      <c r="R493">
        <v>8.3000000000000007</v>
      </c>
      <c r="T493" s="39">
        <v>43751</v>
      </c>
      <c r="U493" s="22" t="s">
        <v>252</v>
      </c>
      <c r="V493" t="s">
        <v>297</v>
      </c>
      <c r="W493" s="22" t="s">
        <v>307</v>
      </c>
    </row>
    <row r="494" spans="1:23" x14ac:dyDescent="0.2">
      <c r="A494" t="s">
        <v>191</v>
      </c>
      <c r="F494" t="s">
        <v>109</v>
      </c>
      <c r="O494">
        <v>-3.5</v>
      </c>
      <c r="P494">
        <v>54.5</v>
      </c>
      <c r="R494">
        <v>25</v>
      </c>
      <c r="T494" s="39">
        <v>43751</v>
      </c>
      <c r="U494" s="22" t="s">
        <v>252</v>
      </c>
      <c r="V494" t="s">
        <v>288</v>
      </c>
      <c r="W494" s="22" t="s">
        <v>311</v>
      </c>
    </row>
    <row r="495" spans="1:23" x14ac:dyDescent="0.2">
      <c r="A495" t="s">
        <v>191</v>
      </c>
      <c r="O495">
        <v>-6</v>
      </c>
      <c r="P495">
        <v>42.5</v>
      </c>
      <c r="R495">
        <v>5.3</v>
      </c>
      <c r="T495" s="39">
        <v>43751</v>
      </c>
      <c r="U495" s="22" t="s">
        <v>252</v>
      </c>
      <c r="V495" s="41" t="s">
        <v>287</v>
      </c>
      <c r="W495" s="22" t="s">
        <v>309</v>
      </c>
    </row>
    <row r="496" spans="1:23" x14ac:dyDescent="0.2">
      <c r="A496" t="s">
        <v>191</v>
      </c>
      <c r="F496" t="s">
        <v>109</v>
      </c>
      <c r="O496">
        <v>-3</v>
      </c>
      <c r="P496">
        <v>49.5</v>
      </c>
      <c r="R496" s="14">
        <v>5.7</v>
      </c>
      <c r="S496" s="14"/>
      <c r="T496" s="39">
        <v>43751</v>
      </c>
      <c r="U496" s="22" t="s">
        <v>252</v>
      </c>
      <c r="V496" s="41" t="s">
        <v>304</v>
      </c>
      <c r="W496" s="22" t="s">
        <v>256</v>
      </c>
    </row>
    <row r="497" spans="1:23" x14ac:dyDescent="0.2">
      <c r="A497" t="s">
        <v>191</v>
      </c>
      <c r="B497" t="s">
        <v>5</v>
      </c>
      <c r="C497">
        <v>12.6</v>
      </c>
      <c r="D497" t="s">
        <v>75</v>
      </c>
      <c r="E497" t="s">
        <v>75</v>
      </c>
      <c r="F497" s="3"/>
      <c r="O497" s="3">
        <v>6</v>
      </c>
      <c r="P497" s="3">
        <v>42</v>
      </c>
      <c r="Q497">
        <v>4.0999999999999996</v>
      </c>
      <c r="R497" s="30">
        <v>5.0999999999999996</v>
      </c>
      <c r="S497" s="30">
        <v>1.2</v>
      </c>
      <c r="T497" s="39">
        <v>43751</v>
      </c>
      <c r="U497" s="28" t="s">
        <v>252</v>
      </c>
      <c r="V497" s="41" t="s">
        <v>293</v>
      </c>
      <c r="W497" s="28" t="s">
        <v>306</v>
      </c>
    </row>
    <row r="498" spans="1:23" x14ac:dyDescent="0.2">
      <c r="A498" t="s">
        <v>191</v>
      </c>
      <c r="F498" t="s">
        <v>110</v>
      </c>
      <c r="O498">
        <v>-3.5</v>
      </c>
      <c r="P498">
        <v>44</v>
      </c>
      <c r="R498">
        <v>17.7</v>
      </c>
      <c r="T498" s="39">
        <v>43751</v>
      </c>
      <c r="U498" s="22" t="s">
        <v>252</v>
      </c>
      <c r="V498" s="41" t="s">
        <v>312</v>
      </c>
      <c r="W498" s="22" t="s">
        <v>294</v>
      </c>
    </row>
    <row r="499" spans="1:23" x14ac:dyDescent="0.2">
      <c r="A499" t="s">
        <v>191</v>
      </c>
      <c r="D499" t="s">
        <v>75</v>
      </c>
      <c r="O499">
        <v>-16.5</v>
      </c>
      <c r="P499">
        <v>43</v>
      </c>
      <c r="R499">
        <v>23.3</v>
      </c>
      <c r="T499" s="39">
        <v>43751</v>
      </c>
      <c r="U499" s="22" t="s">
        <v>252</v>
      </c>
      <c r="V499" s="41" t="s">
        <v>302</v>
      </c>
      <c r="W499" s="22" t="s">
        <v>296</v>
      </c>
    </row>
    <row r="500" spans="1:23" x14ac:dyDescent="0.2">
      <c r="A500" t="s">
        <v>191</v>
      </c>
      <c r="F500" t="s">
        <v>110</v>
      </c>
      <c r="O500">
        <v>2.5</v>
      </c>
      <c r="P500">
        <v>42.5</v>
      </c>
      <c r="R500">
        <v>16.899999999999999</v>
      </c>
      <c r="T500" s="39">
        <v>43751</v>
      </c>
      <c r="U500" s="22" t="s">
        <v>252</v>
      </c>
      <c r="V500" s="41" t="s">
        <v>307</v>
      </c>
      <c r="W500" s="22" t="s">
        <v>297</v>
      </c>
    </row>
    <row r="501" spans="1:23" x14ac:dyDescent="0.2">
      <c r="A501" t="s">
        <v>191</v>
      </c>
      <c r="D501" s="3"/>
      <c r="E501" s="3"/>
      <c r="F501" s="3"/>
      <c r="O501" s="3">
        <v>16.5</v>
      </c>
      <c r="P501" s="3">
        <v>43</v>
      </c>
      <c r="R501" s="3">
        <v>25.2</v>
      </c>
      <c r="S501" s="3"/>
      <c r="T501" s="39">
        <v>43751</v>
      </c>
      <c r="U501" s="28" t="s">
        <v>252</v>
      </c>
      <c r="V501" s="41" t="s">
        <v>296</v>
      </c>
      <c r="W501" s="28" t="s">
        <v>302</v>
      </c>
    </row>
    <row r="502" spans="1:23" x14ac:dyDescent="0.2">
      <c r="A502" t="s">
        <v>191</v>
      </c>
      <c r="E502" t="s">
        <v>75</v>
      </c>
      <c r="F502" t="s">
        <v>110</v>
      </c>
      <c r="O502">
        <v>7</v>
      </c>
      <c r="P502">
        <v>43.5</v>
      </c>
      <c r="R502">
        <v>15.8</v>
      </c>
      <c r="T502" s="39">
        <v>43751</v>
      </c>
      <c r="U502" s="22" t="s">
        <v>252</v>
      </c>
      <c r="V502" s="41" t="s">
        <v>298</v>
      </c>
      <c r="W502" s="22" t="s">
        <v>291</v>
      </c>
    </row>
    <row r="503" spans="1:23" x14ac:dyDescent="0.2">
      <c r="A503" t="s">
        <v>191</v>
      </c>
      <c r="O503">
        <v>3.5</v>
      </c>
      <c r="P503">
        <v>44</v>
      </c>
      <c r="R503">
        <v>23.6</v>
      </c>
      <c r="T503" s="39">
        <v>43751</v>
      </c>
      <c r="U503" s="22" t="s">
        <v>252</v>
      </c>
      <c r="V503" s="41" t="s">
        <v>294</v>
      </c>
      <c r="W503" s="22" t="s">
        <v>312</v>
      </c>
    </row>
    <row r="504" spans="1:23" x14ac:dyDescent="0.2">
      <c r="A504" t="s">
        <v>191</v>
      </c>
      <c r="O504">
        <v>6</v>
      </c>
      <c r="P504">
        <v>42.5</v>
      </c>
      <c r="R504">
        <v>1.7</v>
      </c>
      <c r="T504" s="39">
        <v>43751</v>
      </c>
      <c r="U504" s="22" t="s">
        <v>252</v>
      </c>
      <c r="V504" s="41" t="s">
        <v>309</v>
      </c>
      <c r="W504" s="22" t="s">
        <v>287</v>
      </c>
    </row>
    <row r="505" spans="1:23" x14ac:dyDescent="0.2">
      <c r="A505" t="s">
        <v>191</v>
      </c>
      <c r="F505" t="s">
        <v>109</v>
      </c>
      <c r="O505">
        <v>3</v>
      </c>
      <c r="P505">
        <v>49.5</v>
      </c>
      <c r="R505">
        <v>7.5</v>
      </c>
      <c r="T505" s="39">
        <v>43751</v>
      </c>
      <c r="U505" s="22" t="s">
        <v>252</v>
      </c>
      <c r="V505" s="22" t="s">
        <v>256</v>
      </c>
      <c r="W505" s="22" t="s">
        <v>304</v>
      </c>
    </row>
    <row r="506" spans="1:23" x14ac:dyDescent="0.2">
      <c r="A506" t="s">
        <v>191</v>
      </c>
      <c r="F506" t="s">
        <v>110</v>
      </c>
      <c r="O506" s="22">
        <v>1</v>
      </c>
      <c r="P506" s="22">
        <v>45.5</v>
      </c>
      <c r="R506">
        <v>12.8</v>
      </c>
      <c r="T506" s="39">
        <v>43751</v>
      </c>
      <c r="U506" s="22" t="s">
        <v>252</v>
      </c>
      <c r="V506" t="s">
        <v>308</v>
      </c>
      <c r="W506" s="22" t="s">
        <v>281</v>
      </c>
    </row>
    <row r="507" spans="1:23" x14ac:dyDescent="0.2">
      <c r="A507" t="s">
        <v>191</v>
      </c>
      <c r="O507">
        <v>2</v>
      </c>
      <c r="P507">
        <v>48.5</v>
      </c>
      <c r="R507">
        <v>20.6</v>
      </c>
      <c r="T507" s="39">
        <v>43751</v>
      </c>
      <c r="U507" s="22" t="s">
        <v>252</v>
      </c>
      <c r="V507" t="s">
        <v>284</v>
      </c>
      <c r="W507" s="22" t="s">
        <v>301</v>
      </c>
    </row>
    <row r="508" spans="1:23" x14ac:dyDescent="0.2">
      <c r="A508" t="s">
        <v>191</v>
      </c>
      <c r="O508">
        <v>1</v>
      </c>
      <c r="P508">
        <v>41</v>
      </c>
      <c r="R508">
        <v>6.6</v>
      </c>
      <c r="T508" s="39">
        <v>43751</v>
      </c>
      <c r="U508" s="22" t="s">
        <v>252</v>
      </c>
      <c r="V508" t="s">
        <v>310</v>
      </c>
      <c r="W508" s="22" t="s">
        <v>278</v>
      </c>
    </row>
    <row r="509" spans="1:23" x14ac:dyDescent="0.2">
      <c r="A509" t="s">
        <v>191</v>
      </c>
      <c r="D509" t="s">
        <v>75</v>
      </c>
      <c r="E509" t="s">
        <v>75</v>
      </c>
      <c r="O509">
        <v>-6</v>
      </c>
      <c r="P509">
        <v>42</v>
      </c>
      <c r="R509">
        <v>29</v>
      </c>
      <c r="T509" s="39">
        <v>43751</v>
      </c>
      <c r="U509" s="22" t="s">
        <v>252</v>
      </c>
      <c r="V509" t="s">
        <v>306</v>
      </c>
      <c r="W509" s="22" t="s">
        <v>293</v>
      </c>
    </row>
    <row r="510" spans="1:23" x14ac:dyDescent="0.2">
      <c r="A510" t="s">
        <v>191</v>
      </c>
      <c r="B510" t="s">
        <v>17</v>
      </c>
      <c r="D510" t="s">
        <v>75</v>
      </c>
      <c r="F510" t="s">
        <v>109</v>
      </c>
      <c r="J510" t="s">
        <v>75</v>
      </c>
      <c r="K510" t="s">
        <v>76</v>
      </c>
      <c r="L510" t="s">
        <v>76</v>
      </c>
      <c r="M510" t="s">
        <v>76</v>
      </c>
      <c r="N510" t="s">
        <v>134</v>
      </c>
      <c r="O510">
        <v>3.5</v>
      </c>
      <c r="P510">
        <v>49.5</v>
      </c>
      <c r="Q510">
        <v>6.1</v>
      </c>
      <c r="R510">
        <v>2.2000000000000002</v>
      </c>
      <c r="S510">
        <v>0.4</v>
      </c>
      <c r="T510" s="39">
        <v>43758</v>
      </c>
      <c r="U510" s="22" t="s">
        <v>250</v>
      </c>
      <c r="V510" t="s">
        <v>285</v>
      </c>
      <c r="W510" s="22" t="s">
        <v>296</v>
      </c>
    </row>
    <row r="511" spans="1:23" x14ac:dyDescent="0.2">
      <c r="A511" t="s">
        <v>191</v>
      </c>
      <c r="F511" t="s">
        <v>109</v>
      </c>
      <c r="O511">
        <v>3</v>
      </c>
      <c r="P511">
        <v>54.5</v>
      </c>
      <c r="R511">
        <v>15.3</v>
      </c>
      <c r="T511" s="39">
        <v>43758</v>
      </c>
      <c r="U511" s="22" t="s">
        <v>250</v>
      </c>
      <c r="V511" t="s">
        <v>295</v>
      </c>
      <c r="W511" s="22" t="s">
        <v>304</v>
      </c>
    </row>
    <row r="512" spans="1:23" x14ac:dyDescent="0.2">
      <c r="A512" t="s">
        <v>191</v>
      </c>
      <c r="O512">
        <v>3</v>
      </c>
      <c r="P512">
        <v>49</v>
      </c>
      <c r="T512" s="39">
        <v>43758</v>
      </c>
      <c r="U512" s="22" t="s">
        <v>250</v>
      </c>
      <c r="V512" s="41" t="s">
        <v>305</v>
      </c>
      <c r="W512" s="22" t="s">
        <v>308</v>
      </c>
    </row>
    <row r="513" spans="1:23" x14ac:dyDescent="0.2">
      <c r="A513" t="s">
        <v>191</v>
      </c>
      <c r="D513" t="s">
        <v>75</v>
      </c>
      <c r="O513">
        <v>-17</v>
      </c>
      <c r="P513">
        <v>42.5</v>
      </c>
      <c r="R513">
        <v>19.3</v>
      </c>
      <c r="T513" s="39">
        <v>43758</v>
      </c>
      <c r="U513" s="22" t="s">
        <v>250</v>
      </c>
      <c r="V513" s="41" t="s">
        <v>276</v>
      </c>
      <c r="W513" s="23" t="s">
        <v>293</v>
      </c>
    </row>
    <row r="514" spans="1:23" x14ac:dyDescent="0.2">
      <c r="A514" t="s">
        <v>191</v>
      </c>
      <c r="B514" t="s">
        <v>56</v>
      </c>
      <c r="F514" t="s">
        <v>110</v>
      </c>
      <c r="J514" t="s">
        <v>75</v>
      </c>
      <c r="K514" t="s">
        <v>76</v>
      </c>
      <c r="L514" t="s">
        <v>76</v>
      </c>
      <c r="M514" t="s">
        <v>75</v>
      </c>
      <c r="N514" t="s">
        <v>132</v>
      </c>
      <c r="O514">
        <v>-4</v>
      </c>
      <c r="P514">
        <v>37</v>
      </c>
      <c r="Q514">
        <v>5.5</v>
      </c>
      <c r="R514">
        <v>24.7</v>
      </c>
      <c r="S514">
        <v>4.5</v>
      </c>
      <c r="T514" s="39">
        <v>43758</v>
      </c>
      <c r="U514" s="22" t="s">
        <v>250</v>
      </c>
      <c r="V514" s="41" t="s">
        <v>265</v>
      </c>
      <c r="W514" s="23" t="s">
        <v>307</v>
      </c>
    </row>
    <row r="515" spans="1:23" x14ac:dyDescent="0.2">
      <c r="A515" t="s">
        <v>191</v>
      </c>
      <c r="O515">
        <v>4</v>
      </c>
      <c r="P515">
        <v>44.5</v>
      </c>
      <c r="R515">
        <v>9.5</v>
      </c>
      <c r="T515" s="39">
        <v>43758</v>
      </c>
      <c r="U515" s="22" t="s">
        <v>250</v>
      </c>
      <c r="V515" s="17" t="s">
        <v>272</v>
      </c>
      <c r="W515" s="22" t="s">
        <v>297</v>
      </c>
    </row>
    <row r="516" spans="1:23" x14ac:dyDescent="0.2">
      <c r="A516" t="s">
        <v>191</v>
      </c>
      <c r="O516">
        <v>-3</v>
      </c>
      <c r="P516">
        <v>50</v>
      </c>
      <c r="R516">
        <v>18.600000000000001</v>
      </c>
      <c r="T516" s="39">
        <v>43758</v>
      </c>
      <c r="U516" s="22" t="s">
        <v>250</v>
      </c>
      <c r="V516" s="41" t="s">
        <v>291</v>
      </c>
      <c r="W516" s="22" t="s">
        <v>294</v>
      </c>
    </row>
    <row r="517" spans="1:23" x14ac:dyDescent="0.2">
      <c r="A517" t="s">
        <v>191</v>
      </c>
      <c r="O517">
        <v>3</v>
      </c>
      <c r="P517">
        <v>49.5</v>
      </c>
      <c r="R517">
        <v>14.7</v>
      </c>
      <c r="T517" s="39">
        <v>43758</v>
      </c>
      <c r="U517" t="s">
        <v>250</v>
      </c>
      <c r="V517" s="41" t="s">
        <v>278</v>
      </c>
      <c r="W517" t="s">
        <v>288</v>
      </c>
    </row>
    <row r="518" spans="1:23" x14ac:dyDescent="0.2">
      <c r="A518" t="s">
        <v>191</v>
      </c>
      <c r="O518">
        <v>2.5</v>
      </c>
      <c r="P518">
        <v>43.5</v>
      </c>
      <c r="R518">
        <v>3.1</v>
      </c>
      <c r="T518" s="39">
        <v>43758</v>
      </c>
      <c r="U518" s="22" t="s">
        <v>250</v>
      </c>
      <c r="V518" s="41" t="s">
        <v>299</v>
      </c>
      <c r="W518" s="22" t="s">
        <v>312</v>
      </c>
    </row>
    <row r="519" spans="1:23" x14ac:dyDescent="0.2">
      <c r="A519" t="s">
        <v>191</v>
      </c>
      <c r="O519">
        <v>-5.5</v>
      </c>
      <c r="P519">
        <v>48</v>
      </c>
      <c r="R519" s="3">
        <v>24.3</v>
      </c>
      <c r="S519" s="3"/>
      <c r="T519" s="39">
        <v>43758</v>
      </c>
      <c r="U519" s="22" t="s">
        <v>250</v>
      </c>
      <c r="V519" s="41" t="s">
        <v>300</v>
      </c>
      <c r="W519" s="22" t="s">
        <v>303</v>
      </c>
    </row>
    <row r="520" spans="1:23" x14ac:dyDescent="0.2">
      <c r="A520" t="s">
        <v>191</v>
      </c>
      <c r="O520">
        <v>1.5</v>
      </c>
      <c r="P520">
        <v>46.5</v>
      </c>
      <c r="R520">
        <v>28.6</v>
      </c>
      <c r="T520" s="39">
        <v>43758</v>
      </c>
      <c r="U520" s="22" t="s">
        <v>250</v>
      </c>
      <c r="V520" s="41" t="s">
        <v>311</v>
      </c>
      <c r="W520" s="22" t="s">
        <v>289</v>
      </c>
    </row>
    <row r="521" spans="1:23" x14ac:dyDescent="0.2">
      <c r="A521" t="s">
        <v>191</v>
      </c>
      <c r="O521">
        <v>-1.5</v>
      </c>
      <c r="P521">
        <v>46.5</v>
      </c>
      <c r="R521">
        <v>19.399999999999999</v>
      </c>
      <c r="T521" s="39">
        <v>43758</v>
      </c>
      <c r="U521" s="22" t="s">
        <v>250</v>
      </c>
      <c r="V521" s="41" t="s">
        <v>289</v>
      </c>
      <c r="W521" s="22" t="s">
        <v>311</v>
      </c>
    </row>
    <row r="522" spans="1:23" x14ac:dyDescent="0.2">
      <c r="A522" t="s">
        <v>191</v>
      </c>
      <c r="O522">
        <v>-4</v>
      </c>
      <c r="P522">
        <v>44.5</v>
      </c>
      <c r="R522">
        <v>20.7</v>
      </c>
      <c r="T522" s="39">
        <v>43758</v>
      </c>
      <c r="U522" s="22" t="s">
        <v>250</v>
      </c>
      <c r="V522" t="s">
        <v>297</v>
      </c>
      <c r="W522" s="22" t="s">
        <v>272</v>
      </c>
    </row>
    <row r="523" spans="1:23" x14ac:dyDescent="0.2">
      <c r="A523" t="s">
        <v>191</v>
      </c>
      <c r="D523" s="3"/>
      <c r="E523" s="3"/>
      <c r="F523" s="3"/>
      <c r="O523">
        <v>-3</v>
      </c>
      <c r="P523">
        <v>49.5</v>
      </c>
      <c r="R523" s="3">
        <v>16.399999999999999</v>
      </c>
      <c r="S523" s="3"/>
      <c r="T523" s="39">
        <v>43758</v>
      </c>
      <c r="U523" s="28" t="s">
        <v>250</v>
      </c>
      <c r="V523" t="s">
        <v>288</v>
      </c>
      <c r="W523" s="28" t="s">
        <v>278</v>
      </c>
    </row>
    <row r="524" spans="1:23" x14ac:dyDescent="0.2">
      <c r="A524" t="s">
        <v>191</v>
      </c>
      <c r="O524">
        <v>5.5</v>
      </c>
      <c r="P524">
        <v>48</v>
      </c>
      <c r="R524" s="3">
        <v>8.4</v>
      </c>
      <c r="S524" s="3"/>
      <c r="T524" s="39">
        <v>43758</v>
      </c>
      <c r="U524" s="22" t="s">
        <v>250</v>
      </c>
      <c r="V524" t="s">
        <v>303</v>
      </c>
      <c r="W524" s="23" t="s">
        <v>300</v>
      </c>
    </row>
    <row r="525" spans="1:23" x14ac:dyDescent="0.2">
      <c r="A525" t="s">
        <v>191</v>
      </c>
      <c r="B525" t="s">
        <v>62</v>
      </c>
      <c r="C525">
        <v>8.1999999999999993</v>
      </c>
      <c r="D525" t="s">
        <v>76</v>
      </c>
      <c r="E525" t="s">
        <v>76</v>
      </c>
      <c r="F525" t="s">
        <v>110</v>
      </c>
      <c r="O525">
        <v>3</v>
      </c>
      <c r="P525">
        <v>42.5</v>
      </c>
      <c r="Q525">
        <v>6.7</v>
      </c>
      <c r="R525">
        <v>10.1</v>
      </c>
      <c r="S525">
        <v>1.5</v>
      </c>
      <c r="T525" s="39">
        <v>43758</v>
      </c>
      <c r="U525" s="22" t="s">
        <v>250</v>
      </c>
      <c r="V525" t="s">
        <v>287</v>
      </c>
      <c r="W525" s="22" t="s">
        <v>310</v>
      </c>
    </row>
    <row r="526" spans="1:23" x14ac:dyDescent="0.2">
      <c r="A526" t="s">
        <v>191</v>
      </c>
      <c r="F526" t="s">
        <v>109</v>
      </c>
      <c r="O526">
        <v>-3</v>
      </c>
      <c r="P526">
        <v>54.5</v>
      </c>
      <c r="R526" s="14">
        <v>11</v>
      </c>
      <c r="S526" s="14"/>
      <c r="T526" s="39">
        <v>43758</v>
      </c>
      <c r="U526" s="22" t="s">
        <v>250</v>
      </c>
      <c r="V526" t="s">
        <v>304</v>
      </c>
      <c r="W526" s="22" t="s">
        <v>295</v>
      </c>
    </row>
    <row r="527" spans="1:23" x14ac:dyDescent="0.2">
      <c r="A527" t="s">
        <v>191</v>
      </c>
      <c r="B527" t="s">
        <v>5</v>
      </c>
      <c r="C527">
        <v>8.9</v>
      </c>
      <c r="D527" t="s">
        <v>76</v>
      </c>
      <c r="E527" t="s">
        <v>76</v>
      </c>
      <c r="O527">
        <v>17</v>
      </c>
      <c r="P527">
        <v>42.5</v>
      </c>
      <c r="Q527">
        <v>3.9</v>
      </c>
      <c r="R527" s="14">
        <v>13.2</v>
      </c>
      <c r="S527" s="14">
        <v>3.4</v>
      </c>
      <c r="T527" s="39">
        <v>43758</v>
      </c>
      <c r="U527" s="22" t="s">
        <v>250</v>
      </c>
      <c r="V527" t="s">
        <v>293</v>
      </c>
      <c r="W527" s="22" t="s">
        <v>276</v>
      </c>
    </row>
    <row r="528" spans="1:23" x14ac:dyDescent="0.2">
      <c r="A528" t="s">
        <v>191</v>
      </c>
      <c r="O528">
        <v>-2.5</v>
      </c>
      <c r="P528">
        <v>43.5</v>
      </c>
      <c r="R528">
        <f>14+9.5</f>
        <v>23.5</v>
      </c>
      <c r="T528" s="39">
        <v>43758</v>
      </c>
      <c r="U528" s="22" t="s">
        <v>250</v>
      </c>
      <c r="V528" t="s">
        <v>312</v>
      </c>
      <c r="W528" s="22" t="s">
        <v>299</v>
      </c>
    </row>
    <row r="529" spans="1:23" x14ac:dyDescent="0.2">
      <c r="A529" t="s">
        <v>191</v>
      </c>
      <c r="O529">
        <v>-9.5</v>
      </c>
      <c r="P529">
        <v>43</v>
      </c>
      <c r="R529">
        <v>13.7</v>
      </c>
      <c r="T529" s="39">
        <v>43758</v>
      </c>
      <c r="U529" s="22" t="s">
        <v>250</v>
      </c>
      <c r="V529" t="s">
        <v>302</v>
      </c>
      <c r="W529" s="22" t="s">
        <v>298</v>
      </c>
    </row>
    <row r="530" spans="1:23" x14ac:dyDescent="0.2">
      <c r="A530" t="s">
        <v>191</v>
      </c>
      <c r="B530" t="s">
        <v>128</v>
      </c>
      <c r="F530" t="s">
        <v>110</v>
      </c>
      <c r="J530" t="s">
        <v>75</v>
      </c>
      <c r="K530" t="s">
        <v>75</v>
      </c>
      <c r="L530" t="s">
        <v>76</v>
      </c>
      <c r="M530" t="s">
        <v>75</v>
      </c>
      <c r="N530" t="s">
        <v>134</v>
      </c>
      <c r="O530">
        <v>4</v>
      </c>
      <c r="P530">
        <v>37</v>
      </c>
      <c r="Q530">
        <v>7.9</v>
      </c>
      <c r="R530">
        <v>25.1</v>
      </c>
      <c r="S530">
        <v>3.2</v>
      </c>
      <c r="T530" s="39">
        <v>43758</v>
      </c>
      <c r="U530" s="22" t="s">
        <v>250</v>
      </c>
      <c r="V530" t="s">
        <v>307</v>
      </c>
      <c r="W530" s="22" t="s">
        <v>265</v>
      </c>
    </row>
    <row r="531" spans="1:23" x14ac:dyDescent="0.2">
      <c r="A531" t="s">
        <v>191</v>
      </c>
      <c r="F531" t="s">
        <v>109</v>
      </c>
      <c r="O531">
        <v>-3.5</v>
      </c>
      <c r="P531">
        <v>49.5</v>
      </c>
      <c r="R531">
        <v>14</v>
      </c>
      <c r="T531" s="39">
        <v>43758</v>
      </c>
      <c r="U531" s="22" t="s">
        <v>250</v>
      </c>
      <c r="V531" t="s">
        <v>296</v>
      </c>
      <c r="W531" s="22" t="s">
        <v>285</v>
      </c>
    </row>
    <row r="532" spans="1:23" x14ac:dyDescent="0.2">
      <c r="A532" t="s">
        <v>191</v>
      </c>
      <c r="B532" t="s">
        <v>26</v>
      </c>
      <c r="C532">
        <v>10.199999999999999</v>
      </c>
      <c r="D532" t="s">
        <v>76</v>
      </c>
      <c r="E532" t="s">
        <v>76</v>
      </c>
      <c r="O532">
        <v>9.5</v>
      </c>
      <c r="P532">
        <v>43</v>
      </c>
      <c r="Q532">
        <v>4</v>
      </c>
      <c r="R532">
        <v>6.6</v>
      </c>
      <c r="S532">
        <v>1.7</v>
      </c>
      <c r="T532" s="39">
        <v>43758</v>
      </c>
      <c r="U532" s="22" t="s">
        <v>250</v>
      </c>
      <c r="V532" t="s">
        <v>298</v>
      </c>
      <c r="W532" s="22" t="s">
        <v>302</v>
      </c>
    </row>
    <row r="533" spans="1:23" x14ac:dyDescent="0.2">
      <c r="A533" t="s">
        <v>191</v>
      </c>
      <c r="O533">
        <v>3</v>
      </c>
      <c r="P533">
        <v>50</v>
      </c>
      <c r="R533">
        <v>5.8</v>
      </c>
      <c r="T533" s="39">
        <v>43758</v>
      </c>
      <c r="U533" s="22" t="s">
        <v>250</v>
      </c>
      <c r="V533" t="s">
        <v>294</v>
      </c>
      <c r="W533" s="22" t="s">
        <v>291</v>
      </c>
    </row>
    <row r="534" spans="1:23" x14ac:dyDescent="0.2">
      <c r="A534" t="s">
        <v>191</v>
      </c>
      <c r="F534" t="s">
        <v>110</v>
      </c>
      <c r="O534">
        <v>-10</v>
      </c>
      <c r="P534">
        <v>39</v>
      </c>
      <c r="R534">
        <v>9.9</v>
      </c>
      <c r="T534" s="39">
        <v>43758</v>
      </c>
      <c r="U534" s="22" t="s">
        <v>250</v>
      </c>
      <c r="V534" s="22" t="s">
        <v>256</v>
      </c>
      <c r="W534" s="22" t="s">
        <v>306</v>
      </c>
    </row>
    <row r="535" spans="1:23" x14ac:dyDescent="0.2">
      <c r="A535" t="s">
        <v>191</v>
      </c>
      <c r="O535">
        <v>-3</v>
      </c>
      <c r="P535">
        <v>49</v>
      </c>
      <c r="R535">
        <v>16.8</v>
      </c>
      <c r="T535" s="39">
        <v>43758</v>
      </c>
      <c r="U535" s="22" t="s">
        <v>250</v>
      </c>
      <c r="V535" t="s">
        <v>308</v>
      </c>
      <c r="W535" s="22" t="s">
        <v>305</v>
      </c>
    </row>
    <row r="536" spans="1:23" x14ac:dyDescent="0.2">
      <c r="A536" t="s">
        <v>191</v>
      </c>
      <c r="F536" t="s">
        <v>110</v>
      </c>
      <c r="O536">
        <v>-3</v>
      </c>
      <c r="P536">
        <v>42.5</v>
      </c>
      <c r="R536">
        <v>20</v>
      </c>
      <c r="T536" s="39">
        <v>43758</v>
      </c>
      <c r="U536" s="22" t="s">
        <v>250</v>
      </c>
      <c r="V536" s="18" t="s">
        <v>310</v>
      </c>
      <c r="W536" s="22" t="s">
        <v>287</v>
      </c>
    </row>
    <row r="537" spans="1:23" x14ac:dyDescent="0.2">
      <c r="A537" t="s">
        <v>191</v>
      </c>
      <c r="F537" t="s">
        <v>110</v>
      </c>
      <c r="O537">
        <v>10</v>
      </c>
      <c r="P537">
        <v>39</v>
      </c>
      <c r="R537">
        <v>2.1</v>
      </c>
      <c r="T537" s="39">
        <v>43758</v>
      </c>
      <c r="U537" s="22" t="s">
        <v>250</v>
      </c>
      <c r="V537" s="18" t="s">
        <v>306</v>
      </c>
      <c r="W537" s="22" t="s">
        <v>256</v>
      </c>
    </row>
    <row r="538" spans="1:23" x14ac:dyDescent="0.2">
      <c r="A538" t="s">
        <v>191</v>
      </c>
      <c r="B538" t="s">
        <v>17</v>
      </c>
      <c r="C538">
        <v>9.6</v>
      </c>
      <c r="D538" t="s">
        <v>76</v>
      </c>
      <c r="E538" t="s">
        <v>76</v>
      </c>
      <c r="F538" t="s">
        <v>110</v>
      </c>
      <c r="O538">
        <v>12.5</v>
      </c>
      <c r="P538">
        <v>47.5</v>
      </c>
      <c r="Q538">
        <v>5.4</v>
      </c>
      <c r="R538">
        <v>2.8</v>
      </c>
      <c r="S538" s="1">
        <f>R538/Q538</f>
        <v>0.51851851851851849</v>
      </c>
      <c r="T538" s="39">
        <v>43765</v>
      </c>
      <c r="U538" s="22" t="s">
        <v>248</v>
      </c>
      <c r="V538" s="18" t="s">
        <v>285</v>
      </c>
      <c r="W538" s="22" t="s">
        <v>307</v>
      </c>
    </row>
    <row r="539" spans="1:23" x14ac:dyDescent="0.2">
      <c r="A539" t="s">
        <v>191</v>
      </c>
      <c r="O539">
        <v>7.5</v>
      </c>
      <c r="P539">
        <v>48.5</v>
      </c>
      <c r="R539">
        <v>28.2</v>
      </c>
      <c r="T539" s="39">
        <v>43765</v>
      </c>
      <c r="U539" s="22" t="s">
        <v>248</v>
      </c>
      <c r="V539" s="18" t="s">
        <v>295</v>
      </c>
      <c r="W539" s="22" t="s">
        <v>308</v>
      </c>
    </row>
    <row r="540" spans="1:23" x14ac:dyDescent="0.2">
      <c r="A540" t="s">
        <v>191</v>
      </c>
      <c r="O540">
        <v>-1</v>
      </c>
      <c r="P540">
        <v>39.5</v>
      </c>
      <c r="R540">
        <v>10.4</v>
      </c>
      <c r="T540" s="39">
        <v>43765</v>
      </c>
      <c r="U540" s="22" t="s">
        <v>248</v>
      </c>
      <c r="V540" s="41" t="s">
        <v>276</v>
      </c>
      <c r="W540" s="22" t="s">
        <v>294</v>
      </c>
    </row>
    <row r="541" spans="1:23" x14ac:dyDescent="0.2">
      <c r="A541" t="s">
        <v>191</v>
      </c>
      <c r="F541" t="s">
        <v>110</v>
      </c>
      <c r="O541">
        <v>4.5</v>
      </c>
      <c r="P541">
        <v>41</v>
      </c>
      <c r="R541">
        <v>8.8000000000000007</v>
      </c>
      <c r="T541" s="39">
        <v>43765</v>
      </c>
      <c r="U541" s="22" t="s">
        <v>248</v>
      </c>
      <c r="V541" s="41" t="s">
        <v>301</v>
      </c>
      <c r="W541" s="22" t="s">
        <v>256</v>
      </c>
    </row>
    <row r="542" spans="1:23" x14ac:dyDescent="0.2">
      <c r="A542" t="s">
        <v>191</v>
      </c>
      <c r="B542" t="s">
        <v>56</v>
      </c>
      <c r="F542" t="s">
        <v>110</v>
      </c>
      <c r="J542" t="s">
        <v>75</v>
      </c>
      <c r="K542" t="s">
        <v>76</v>
      </c>
      <c r="L542" t="s">
        <v>76</v>
      </c>
      <c r="M542" t="s">
        <v>76</v>
      </c>
      <c r="N542" t="s">
        <v>132</v>
      </c>
      <c r="O542">
        <v>-3.5</v>
      </c>
      <c r="P542">
        <v>41</v>
      </c>
      <c r="Q542">
        <v>6</v>
      </c>
      <c r="R542">
        <v>11.2</v>
      </c>
      <c r="S542">
        <v>1.9</v>
      </c>
      <c r="T542" s="39">
        <v>43765</v>
      </c>
      <c r="U542" s="22" t="s">
        <v>248</v>
      </c>
      <c r="V542" s="41" t="s">
        <v>265</v>
      </c>
      <c r="W542" s="22" t="s">
        <v>287</v>
      </c>
    </row>
    <row r="543" spans="1:23" x14ac:dyDescent="0.2">
      <c r="A543" t="s">
        <v>191</v>
      </c>
      <c r="F543" t="s">
        <v>109</v>
      </c>
      <c r="O543">
        <v>12</v>
      </c>
      <c r="P543">
        <v>48.5</v>
      </c>
      <c r="R543">
        <v>12.8</v>
      </c>
      <c r="T543" s="39">
        <v>43765</v>
      </c>
      <c r="U543" s="22" t="s">
        <v>248</v>
      </c>
      <c r="V543" s="17" t="s">
        <v>272</v>
      </c>
      <c r="W543" s="22" t="s">
        <v>304</v>
      </c>
    </row>
    <row r="544" spans="1:23" x14ac:dyDescent="0.2">
      <c r="A544" t="s">
        <v>191</v>
      </c>
      <c r="B544" t="s">
        <v>51</v>
      </c>
      <c r="C544">
        <v>11.8</v>
      </c>
      <c r="O544">
        <v>9.5</v>
      </c>
      <c r="P544">
        <v>43</v>
      </c>
      <c r="Q544">
        <v>6.5</v>
      </c>
      <c r="R544">
        <v>10.199999999999999</v>
      </c>
      <c r="S544">
        <v>1.6</v>
      </c>
      <c r="T544" s="39">
        <v>43765</v>
      </c>
      <c r="U544" s="22" t="s">
        <v>248</v>
      </c>
      <c r="V544" t="s">
        <v>281</v>
      </c>
      <c r="W544" s="23" t="s">
        <v>302</v>
      </c>
    </row>
    <row r="545" spans="1:23" x14ac:dyDescent="0.2">
      <c r="A545" t="s">
        <v>191</v>
      </c>
      <c r="B545" t="s">
        <v>48</v>
      </c>
      <c r="J545" t="s">
        <v>75</v>
      </c>
      <c r="K545" t="s">
        <v>76</v>
      </c>
      <c r="L545" t="s">
        <v>76</v>
      </c>
      <c r="M545" t="s">
        <v>75</v>
      </c>
      <c r="N545" t="s">
        <v>134</v>
      </c>
      <c r="O545">
        <v>6</v>
      </c>
      <c r="P545">
        <v>41</v>
      </c>
      <c r="Q545">
        <v>5.3</v>
      </c>
      <c r="R545">
        <v>10.199999999999999</v>
      </c>
      <c r="S545">
        <v>1.9</v>
      </c>
      <c r="T545" s="39">
        <v>43765</v>
      </c>
      <c r="U545" t="s">
        <v>248</v>
      </c>
      <c r="V545" t="s">
        <v>278</v>
      </c>
      <c r="W545" t="s">
        <v>289</v>
      </c>
    </row>
    <row r="546" spans="1:23" x14ac:dyDescent="0.2">
      <c r="A546" t="s">
        <v>191</v>
      </c>
      <c r="D546" t="s">
        <v>75</v>
      </c>
      <c r="E546" t="s">
        <v>75</v>
      </c>
      <c r="F546" t="s">
        <v>109</v>
      </c>
      <c r="O546">
        <v>-6.5</v>
      </c>
      <c r="P546">
        <v>49</v>
      </c>
      <c r="R546">
        <v>32.299999999999997</v>
      </c>
      <c r="T546" s="39">
        <v>43765</v>
      </c>
      <c r="U546" s="22" t="s">
        <v>248</v>
      </c>
      <c r="V546" t="s">
        <v>299</v>
      </c>
      <c r="W546" s="22" t="s">
        <v>296</v>
      </c>
    </row>
    <row r="547" spans="1:23" x14ac:dyDescent="0.2">
      <c r="A547" t="s">
        <v>191</v>
      </c>
      <c r="O547">
        <v>-5</v>
      </c>
      <c r="P547">
        <v>48</v>
      </c>
      <c r="R547" s="3">
        <v>1.4</v>
      </c>
      <c r="S547" s="3"/>
      <c r="T547" s="39">
        <v>43765</v>
      </c>
      <c r="U547" s="22" t="s">
        <v>248</v>
      </c>
      <c r="V547" t="s">
        <v>300</v>
      </c>
      <c r="W547" s="22" t="s">
        <v>288</v>
      </c>
    </row>
    <row r="548" spans="1:23" x14ac:dyDescent="0.2">
      <c r="A548" t="s">
        <v>191</v>
      </c>
      <c r="E548" t="s">
        <v>75</v>
      </c>
      <c r="F548" t="s">
        <v>109</v>
      </c>
      <c r="O548">
        <v>-5</v>
      </c>
      <c r="P548">
        <v>52</v>
      </c>
      <c r="R548">
        <v>24.9</v>
      </c>
      <c r="T548" s="39">
        <v>43765</v>
      </c>
      <c r="U548" s="22" t="s">
        <v>248</v>
      </c>
      <c r="V548" t="s">
        <v>311</v>
      </c>
      <c r="W548" s="22" t="s">
        <v>303</v>
      </c>
    </row>
    <row r="549" spans="1:23" x14ac:dyDescent="0.2">
      <c r="A549" t="s">
        <v>191</v>
      </c>
      <c r="O549">
        <v>-6</v>
      </c>
      <c r="P549">
        <v>41</v>
      </c>
      <c r="R549">
        <v>7.4</v>
      </c>
      <c r="T549" s="39">
        <v>43765</v>
      </c>
      <c r="U549" s="22" t="s">
        <v>248</v>
      </c>
      <c r="V549" t="s">
        <v>289</v>
      </c>
      <c r="W549" s="22" t="s">
        <v>278</v>
      </c>
    </row>
    <row r="550" spans="1:23" x14ac:dyDescent="0.2">
      <c r="A550" t="s">
        <v>191</v>
      </c>
      <c r="O550">
        <v>-7</v>
      </c>
      <c r="P550">
        <v>39.5</v>
      </c>
      <c r="R550">
        <v>19.899999999999999</v>
      </c>
      <c r="T550" s="39">
        <v>43765</v>
      </c>
      <c r="U550" s="22" t="s">
        <v>248</v>
      </c>
      <c r="V550" t="s">
        <v>297</v>
      </c>
      <c r="W550" s="22" t="s">
        <v>298</v>
      </c>
    </row>
    <row r="551" spans="1:23" x14ac:dyDescent="0.2">
      <c r="A551" t="s">
        <v>191</v>
      </c>
      <c r="D551" s="3"/>
      <c r="E551" s="3"/>
      <c r="F551" s="3"/>
      <c r="O551" s="3">
        <v>5</v>
      </c>
      <c r="P551" s="3">
        <v>48</v>
      </c>
      <c r="R551" s="3">
        <v>14.1</v>
      </c>
      <c r="S551" s="3"/>
      <c r="T551" s="39">
        <v>43765</v>
      </c>
      <c r="U551" s="28" t="s">
        <v>248</v>
      </c>
      <c r="V551" t="s">
        <v>288</v>
      </c>
      <c r="W551" s="28" t="s">
        <v>300</v>
      </c>
    </row>
    <row r="552" spans="1:23" x14ac:dyDescent="0.2">
      <c r="A552" t="s">
        <v>191</v>
      </c>
      <c r="E552" t="s">
        <v>75</v>
      </c>
      <c r="F552" t="s">
        <v>109</v>
      </c>
      <c r="O552">
        <v>5</v>
      </c>
      <c r="P552">
        <v>52</v>
      </c>
      <c r="R552">
        <v>18.100000000000001</v>
      </c>
      <c r="T552" s="39">
        <v>43765</v>
      </c>
      <c r="U552" s="22" t="s">
        <v>248</v>
      </c>
      <c r="V552" t="s">
        <v>303</v>
      </c>
      <c r="W552" s="22" t="s">
        <v>311</v>
      </c>
    </row>
    <row r="553" spans="1:23" x14ac:dyDescent="0.2">
      <c r="A553" t="s">
        <v>191</v>
      </c>
      <c r="B553" t="s">
        <v>62</v>
      </c>
      <c r="C553">
        <v>9.1999999999999993</v>
      </c>
      <c r="D553" t="s">
        <v>76</v>
      </c>
      <c r="E553" t="s">
        <v>76</v>
      </c>
      <c r="F553" t="s">
        <v>110</v>
      </c>
      <c r="O553">
        <v>3.5</v>
      </c>
      <c r="P553">
        <v>41</v>
      </c>
      <c r="Q553">
        <v>6.4</v>
      </c>
      <c r="R553">
        <v>12.3</v>
      </c>
      <c r="S553">
        <v>1.9</v>
      </c>
      <c r="T553" s="39">
        <v>43765</v>
      </c>
      <c r="U553" s="22" t="s">
        <v>248</v>
      </c>
      <c r="V553" t="s">
        <v>287</v>
      </c>
      <c r="W553" s="22" t="s">
        <v>265</v>
      </c>
    </row>
    <row r="554" spans="1:23" x14ac:dyDescent="0.2">
      <c r="A554" t="s">
        <v>191</v>
      </c>
      <c r="F554" t="s">
        <v>109</v>
      </c>
      <c r="O554">
        <v>-12</v>
      </c>
      <c r="P554">
        <v>48.5</v>
      </c>
      <c r="R554" s="14">
        <v>38</v>
      </c>
      <c r="S554" s="14"/>
      <c r="T554" s="39">
        <v>43765</v>
      </c>
      <c r="U554" s="22" t="s">
        <v>248</v>
      </c>
      <c r="V554" t="s">
        <v>304</v>
      </c>
      <c r="W554" s="22" t="s">
        <v>272</v>
      </c>
    </row>
    <row r="555" spans="1:23" x14ac:dyDescent="0.2">
      <c r="A555" t="s">
        <v>191</v>
      </c>
      <c r="B555" t="s">
        <v>5</v>
      </c>
      <c r="C555">
        <v>10.4</v>
      </c>
      <c r="O555">
        <v>14</v>
      </c>
      <c r="P555">
        <v>44</v>
      </c>
      <c r="Q555">
        <v>4</v>
      </c>
      <c r="R555" s="14">
        <v>8.1999999999999993</v>
      </c>
      <c r="S555" s="14">
        <v>2.1</v>
      </c>
      <c r="T555" s="39">
        <v>43765</v>
      </c>
      <c r="U555" s="22" t="s">
        <v>248</v>
      </c>
      <c r="V555" t="s">
        <v>293</v>
      </c>
      <c r="W555" s="22" t="s">
        <v>309</v>
      </c>
    </row>
    <row r="556" spans="1:23" x14ac:dyDescent="0.2">
      <c r="A556" t="s">
        <v>191</v>
      </c>
      <c r="O556">
        <v>-16.5</v>
      </c>
      <c r="P556">
        <v>42</v>
      </c>
      <c r="R556" s="3">
        <v>23.3</v>
      </c>
      <c r="S556" s="3"/>
      <c r="T556" s="39">
        <v>43765</v>
      </c>
      <c r="U556" s="22" t="s">
        <v>248</v>
      </c>
      <c r="V556" t="s">
        <v>312</v>
      </c>
      <c r="W556" s="22" t="s">
        <v>306</v>
      </c>
    </row>
    <row r="557" spans="1:23" x14ac:dyDescent="0.2">
      <c r="A557" t="s">
        <v>191</v>
      </c>
      <c r="O557">
        <v>-9.5</v>
      </c>
      <c r="P557">
        <v>43</v>
      </c>
      <c r="R557">
        <v>27.5</v>
      </c>
      <c r="T557" s="39">
        <v>43765</v>
      </c>
      <c r="U557" s="22" t="s">
        <v>248</v>
      </c>
      <c r="V557" t="s">
        <v>302</v>
      </c>
      <c r="W557" s="22" t="s">
        <v>281</v>
      </c>
    </row>
    <row r="558" spans="1:23" x14ac:dyDescent="0.2">
      <c r="A558" t="s">
        <v>191</v>
      </c>
      <c r="F558" t="s">
        <v>110</v>
      </c>
      <c r="O558">
        <v>-12.5</v>
      </c>
      <c r="P558">
        <v>47.5</v>
      </c>
      <c r="R558">
        <v>30.3</v>
      </c>
      <c r="T558" s="39">
        <v>43765</v>
      </c>
      <c r="U558" s="22" t="s">
        <v>248</v>
      </c>
      <c r="V558" t="s">
        <v>307</v>
      </c>
      <c r="W558" s="22" t="s">
        <v>285</v>
      </c>
    </row>
    <row r="559" spans="1:23" x14ac:dyDescent="0.2">
      <c r="A559" t="s">
        <v>191</v>
      </c>
      <c r="E559" t="s">
        <v>75</v>
      </c>
      <c r="F559" t="s">
        <v>109</v>
      </c>
      <c r="O559">
        <v>6.5</v>
      </c>
      <c r="P559">
        <v>49</v>
      </c>
      <c r="R559">
        <v>16.5</v>
      </c>
      <c r="T559" s="39">
        <v>43765</v>
      </c>
      <c r="U559" s="22" t="s">
        <v>248</v>
      </c>
      <c r="V559" t="s">
        <v>296</v>
      </c>
      <c r="W559" s="22" t="s">
        <v>299</v>
      </c>
    </row>
    <row r="560" spans="1:23" x14ac:dyDescent="0.2">
      <c r="A560" t="s">
        <v>191</v>
      </c>
      <c r="B560" t="s">
        <v>26</v>
      </c>
      <c r="C560">
        <v>9.1</v>
      </c>
      <c r="O560">
        <v>7</v>
      </c>
      <c r="P560">
        <v>39.5</v>
      </c>
      <c r="Q560">
        <v>4.8</v>
      </c>
      <c r="R560">
        <v>5.4</v>
      </c>
      <c r="S560">
        <v>1.1000000000000001</v>
      </c>
      <c r="T560" s="39">
        <v>43765</v>
      </c>
      <c r="U560" s="22" t="s">
        <v>248</v>
      </c>
      <c r="V560" t="s">
        <v>298</v>
      </c>
      <c r="W560" s="22" t="s">
        <v>297</v>
      </c>
    </row>
    <row r="561" spans="1:23" x14ac:dyDescent="0.2">
      <c r="A561" t="s">
        <v>191</v>
      </c>
      <c r="O561">
        <v>1</v>
      </c>
      <c r="P561">
        <v>39.5</v>
      </c>
      <c r="R561">
        <v>10.4</v>
      </c>
      <c r="T561" s="39">
        <v>43765</v>
      </c>
      <c r="U561" s="22" t="s">
        <v>248</v>
      </c>
      <c r="V561" t="s">
        <v>294</v>
      </c>
      <c r="W561" s="22" t="s">
        <v>276</v>
      </c>
    </row>
    <row r="562" spans="1:23" x14ac:dyDescent="0.2">
      <c r="A562" t="s">
        <v>191</v>
      </c>
      <c r="D562" t="s">
        <v>75</v>
      </c>
      <c r="O562">
        <v>-14</v>
      </c>
      <c r="P562">
        <v>44</v>
      </c>
      <c r="R562">
        <v>24.3</v>
      </c>
      <c r="T562" s="39">
        <v>43765</v>
      </c>
      <c r="U562" s="22" t="s">
        <v>248</v>
      </c>
      <c r="V562" t="s">
        <v>309</v>
      </c>
      <c r="W562" s="22" t="s">
        <v>293</v>
      </c>
    </row>
    <row r="563" spans="1:23" x14ac:dyDescent="0.2">
      <c r="A563" t="s">
        <v>191</v>
      </c>
      <c r="F563" t="s">
        <v>110</v>
      </c>
      <c r="O563">
        <v>-4.5</v>
      </c>
      <c r="P563">
        <v>41</v>
      </c>
      <c r="R563">
        <v>12.5</v>
      </c>
      <c r="T563" s="39">
        <v>43765</v>
      </c>
      <c r="U563" s="22" t="s">
        <v>248</v>
      </c>
      <c r="V563" s="22" t="s">
        <v>256</v>
      </c>
      <c r="W563" s="22" t="s">
        <v>301</v>
      </c>
    </row>
    <row r="564" spans="1:23" x14ac:dyDescent="0.2">
      <c r="A564" t="s">
        <v>191</v>
      </c>
      <c r="O564">
        <v>-7.5</v>
      </c>
      <c r="P564">
        <v>48.5</v>
      </c>
      <c r="R564">
        <v>19</v>
      </c>
      <c r="T564" s="39">
        <v>43765</v>
      </c>
      <c r="U564" s="22" t="s">
        <v>248</v>
      </c>
      <c r="V564" t="s">
        <v>308</v>
      </c>
      <c r="W564" s="22" t="s">
        <v>295</v>
      </c>
    </row>
    <row r="565" spans="1:23" x14ac:dyDescent="0.2">
      <c r="A565" t="s">
        <v>191</v>
      </c>
      <c r="B565" t="s">
        <v>20</v>
      </c>
      <c r="C565">
        <v>11.3</v>
      </c>
      <c r="O565">
        <v>2</v>
      </c>
      <c r="P565">
        <v>45.5</v>
      </c>
      <c r="Q565">
        <v>6.6</v>
      </c>
      <c r="R565">
        <v>45.8</v>
      </c>
      <c r="S565">
        <v>6.9</v>
      </c>
      <c r="T565" s="39">
        <v>43765</v>
      </c>
      <c r="U565" s="22" t="s">
        <v>248</v>
      </c>
      <c r="V565" t="s">
        <v>284</v>
      </c>
      <c r="W565" s="23" t="s">
        <v>310</v>
      </c>
    </row>
    <row r="566" spans="1:23" x14ac:dyDescent="0.2">
      <c r="A566" t="s">
        <v>191</v>
      </c>
      <c r="O566">
        <v>-2</v>
      </c>
      <c r="P566">
        <v>45.5</v>
      </c>
      <c r="R566">
        <v>2.9</v>
      </c>
      <c r="T566" s="39">
        <v>43765</v>
      </c>
      <c r="U566" s="22" t="s">
        <v>248</v>
      </c>
      <c r="V566" t="s">
        <v>310</v>
      </c>
      <c r="W566" s="22" t="s">
        <v>284</v>
      </c>
    </row>
    <row r="567" spans="1:23" x14ac:dyDescent="0.2">
      <c r="A567" t="s">
        <v>191</v>
      </c>
      <c r="O567">
        <v>16.5</v>
      </c>
      <c r="P567">
        <v>42</v>
      </c>
      <c r="R567">
        <v>7.9</v>
      </c>
      <c r="T567" s="39">
        <v>43765</v>
      </c>
      <c r="U567" s="22" t="s">
        <v>248</v>
      </c>
      <c r="V567" t="s">
        <v>306</v>
      </c>
      <c r="W567" s="22" t="s">
        <v>312</v>
      </c>
    </row>
    <row r="568" spans="1:23" x14ac:dyDescent="0.2">
      <c r="A568" t="s">
        <v>191</v>
      </c>
      <c r="O568">
        <v>10.5</v>
      </c>
      <c r="P568">
        <v>43.5</v>
      </c>
      <c r="R568">
        <v>7.8</v>
      </c>
      <c r="T568" s="39">
        <v>43772</v>
      </c>
      <c r="U568" s="22" t="s">
        <v>246</v>
      </c>
      <c r="V568" t="s">
        <v>285</v>
      </c>
      <c r="W568" s="22" t="s">
        <v>256</v>
      </c>
    </row>
    <row r="569" spans="1:23" x14ac:dyDescent="0.2">
      <c r="A569" t="s">
        <v>191</v>
      </c>
      <c r="O569">
        <v>3</v>
      </c>
      <c r="P569">
        <v>44.5</v>
      </c>
      <c r="R569">
        <v>7.8</v>
      </c>
      <c r="T569" s="39">
        <v>43772</v>
      </c>
      <c r="U569" s="22" t="s">
        <v>246</v>
      </c>
      <c r="V569" s="41" t="s">
        <v>305</v>
      </c>
      <c r="W569" s="22" t="s">
        <v>302</v>
      </c>
    </row>
    <row r="570" spans="1:23" x14ac:dyDescent="0.2">
      <c r="A570" t="s">
        <v>191</v>
      </c>
      <c r="O570">
        <v>-10.5</v>
      </c>
      <c r="P570">
        <v>37</v>
      </c>
      <c r="R570">
        <v>11.6</v>
      </c>
      <c r="T570" s="39">
        <v>43772</v>
      </c>
      <c r="U570" s="22" t="s">
        <v>246</v>
      </c>
      <c r="V570" t="s">
        <v>276</v>
      </c>
      <c r="W570" s="22" t="s">
        <v>306</v>
      </c>
    </row>
    <row r="571" spans="1:23" x14ac:dyDescent="0.2">
      <c r="A571" t="s">
        <v>191</v>
      </c>
      <c r="B571" t="s">
        <v>85</v>
      </c>
      <c r="C571">
        <v>12.7</v>
      </c>
      <c r="D571" t="s">
        <v>76</v>
      </c>
      <c r="E571" t="s">
        <v>76</v>
      </c>
      <c r="O571">
        <v>-3.5</v>
      </c>
      <c r="P571">
        <v>43</v>
      </c>
      <c r="Q571">
        <v>4.8</v>
      </c>
      <c r="R571">
        <v>20.100000000000001</v>
      </c>
      <c r="S571">
        <v>4.2</v>
      </c>
      <c r="T571" s="39">
        <v>43772</v>
      </c>
      <c r="U571" s="22" t="s">
        <v>246</v>
      </c>
      <c r="V571" t="s">
        <v>301</v>
      </c>
      <c r="W571" s="22" t="s">
        <v>310</v>
      </c>
    </row>
    <row r="572" spans="1:23" x14ac:dyDescent="0.2">
      <c r="A572" t="s">
        <v>191</v>
      </c>
      <c r="O572">
        <v>5</v>
      </c>
      <c r="P572">
        <v>41</v>
      </c>
      <c r="R572">
        <v>1.6</v>
      </c>
      <c r="T572" s="39">
        <v>43772</v>
      </c>
      <c r="U572" s="22" t="s">
        <v>246</v>
      </c>
      <c r="V572" t="s">
        <v>265</v>
      </c>
      <c r="W572" s="22" t="s">
        <v>294</v>
      </c>
    </row>
    <row r="573" spans="1:23" x14ac:dyDescent="0.2">
      <c r="A573" t="s">
        <v>191</v>
      </c>
      <c r="D573" t="s">
        <v>75</v>
      </c>
      <c r="F573" t="s">
        <v>110</v>
      </c>
      <c r="O573">
        <v>-4</v>
      </c>
      <c r="P573">
        <v>39</v>
      </c>
      <c r="R573">
        <v>13.2</v>
      </c>
      <c r="T573" s="39">
        <v>43772</v>
      </c>
      <c r="U573" s="22" t="s">
        <v>246</v>
      </c>
      <c r="V573" t="s">
        <v>281</v>
      </c>
      <c r="W573" s="22" t="s">
        <v>278</v>
      </c>
    </row>
    <row r="574" spans="1:23" x14ac:dyDescent="0.2">
      <c r="A574" t="s">
        <v>191</v>
      </c>
      <c r="F574" t="s">
        <v>109</v>
      </c>
      <c r="O574">
        <v>-6.5</v>
      </c>
      <c r="P574">
        <v>48.5</v>
      </c>
      <c r="R574">
        <v>18</v>
      </c>
      <c r="T574" s="39">
        <v>43772</v>
      </c>
      <c r="U574" s="22" t="s">
        <v>246</v>
      </c>
      <c r="V574" t="s">
        <v>291</v>
      </c>
      <c r="W574" s="22" t="s">
        <v>296</v>
      </c>
    </row>
    <row r="575" spans="1:23" x14ac:dyDescent="0.2">
      <c r="A575" t="s">
        <v>191</v>
      </c>
      <c r="B575" t="s">
        <v>48</v>
      </c>
      <c r="C575">
        <v>12.4</v>
      </c>
      <c r="D575" t="s">
        <v>75</v>
      </c>
      <c r="E575" t="s">
        <v>76</v>
      </c>
      <c r="F575" t="s">
        <v>110</v>
      </c>
      <c r="J575" t="s">
        <v>75</v>
      </c>
      <c r="K575" t="s">
        <v>76</v>
      </c>
      <c r="L575" t="s">
        <v>76</v>
      </c>
      <c r="M575" t="s">
        <v>75</v>
      </c>
      <c r="N575" t="s">
        <v>132</v>
      </c>
      <c r="O575">
        <v>4</v>
      </c>
      <c r="P575">
        <v>39</v>
      </c>
      <c r="Q575">
        <v>5.8</v>
      </c>
      <c r="R575">
        <v>17.3</v>
      </c>
      <c r="S575">
        <v>3</v>
      </c>
      <c r="T575" s="39">
        <v>43772</v>
      </c>
      <c r="U575" t="s">
        <v>246</v>
      </c>
      <c r="V575" t="s">
        <v>278</v>
      </c>
      <c r="W575" t="s">
        <v>281</v>
      </c>
    </row>
    <row r="576" spans="1:23" x14ac:dyDescent="0.2">
      <c r="A576" t="s">
        <v>191</v>
      </c>
      <c r="E576" t="s">
        <v>75</v>
      </c>
      <c r="O576">
        <v>2.5</v>
      </c>
      <c r="P576">
        <v>51.5</v>
      </c>
      <c r="R576">
        <v>26.2</v>
      </c>
      <c r="T576" s="39">
        <v>43772</v>
      </c>
      <c r="U576" s="22" t="s">
        <v>246</v>
      </c>
      <c r="V576" t="s">
        <v>299</v>
      </c>
      <c r="W576" s="22" t="s">
        <v>303</v>
      </c>
    </row>
    <row r="577" spans="1:23" x14ac:dyDescent="0.2">
      <c r="A577" t="s">
        <v>191</v>
      </c>
      <c r="E577" t="s">
        <v>75</v>
      </c>
      <c r="F577" t="s">
        <v>110</v>
      </c>
      <c r="O577">
        <v>-4</v>
      </c>
      <c r="P577">
        <v>50</v>
      </c>
      <c r="R577">
        <v>11.1</v>
      </c>
      <c r="T577" s="39">
        <v>43772</v>
      </c>
      <c r="U577" s="22" t="s">
        <v>246</v>
      </c>
      <c r="V577" t="s">
        <v>300</v>
      </c>
      <c r="W577" s="22" t="s">
        <v>287</v>
      </c>
    </row>
    <row r="578" spans="1:23" x14ac:dyDescent="0.2">
      <c r="A578" t="s">
        <v>191</v>
      </c>
      <c r="F578" t="s">
        <v>109</v>
      </c>
      <c r="O578">
        <v>1</v>
      </c>
      <c r="P578">
        <v>46</v>
      </c>
      <c r="R578">
        <v>19.399999999999999</v>
      </c>
      <c r="T578" s="39">
        <v>43772</v>
      </c>
      <c r="U578" s="22" t="s">
        <v>246</v>
      </c>
      <c r="V578" t="s">
        <v>311</v>
      </c>
      <c r="W578" s="22" t="s">
        <v>297</v>
      </c>
    </row>
    <row r="579" spans="1:23" x14ac:dyDescent="0.2">
      <c r="A579" t="s">
        <v>191</v>
      </c>
      <c r="D579" s="3"/>
      <c r="E579" s="3"/>
      <c r="F579" s="3" t="s">
        <v>110</v>
      </c>
      <c r="O579" s="3">
        <v>1</v>
      </c>
      <c r="P579" s="3">
        <v>39.5</v>
      </c>
      <c r="R579" s="3">
        <v>18.600000000000001</v>
      </c>
      <c r="S579" s="3"/>
      <c r="T579" s="39">
        <v>43772</v>
      </c>
      <c r="U579" s="28" t="s">
        <v>246</v>
      </c>
      <c r="V579" s="41" t="s">
        <v>289</v>
      </c>
      <c r="W579" s="28" t="s">
        <v>309</v>
      </c>
    </row>
    <row r="580" spans="1:23" x14ac:dyDescent="0.2">
      <c r="A580" t="s">
        <v>191</v>
      </c>
      <c r="F580" t="s">
        <v>109</v>
      </c>
      <c r="O580">
        <v>-1</v>
      </c>
      <c r="P580">
        <v>46</v>
      </c>
      <c r="R580">
        <v>7.2</v>
      </c>
      <c r="T580" s="39">
        <v>43772</v>
      </c>
      <c r="U580" s="22" t="s">
        <v>246</v>
      </c>
      <c r="V580" s="41" t="s">
        <v>297</v>
      </c>
      <c r="W580" s="22" t="s">
        <v>311</v>
      </c>
    </row>
    <row r="581" spans="1:23" x14ac:dyDescent="0.2">
      <c r="A581" t="s">
        <v>191</v>
      </c>
      <c r="D581" s="3"/>
      <c r="E581" s="3"/>
      <c r="F581" s="3"/>
      <c r="O581" s="3">
        <v>5.5</v>
      </c>
      <c r="P581" s="3">
        <v>46</v>
      </c>
      <c r="R581" s="3">
        <v>29.5</v>
      </c>
      <c r="S581" s="3"/>
      <c r="T581" s="39">
        <v>43772</v>
      </c>
      <c r="U581" s="28" t="s">
        <v>246</v>
      </c>
      <c r="V581" s="41" t="s">
        <v>288</v>
      </c>
      <c r="W581" s="28" t="s">
        <v>312</v>
      </c>
    </row>
    <row r="582" spans="1:23" x14ac:dyDescent="0.2">
      <c r="A582" t="s">
        <v>191</v>
      </c>
      <c r="E582" t="s">
        <v>75</v>
      </c>
      <c r="O582">
        <v>-2.5</v>
      </c>
      <c r="P582">
        <v>51.5</v>
      </c>
      <c r="R582">
        <v>7.8</v>
      </c>
      <c r="T582" s="39">
        <v>43772</v>
      </c>
      <c r="U582" s="22" t="s">
        <v>246</v>
      </c>
      <c r="V582" s="41" t="s">
        <v>303</v>
      </c>
      <c r="W582" s="22" t="s">
        <v>299</v>
      </c>
    </row>
    <row r="583" spans="1:23" x14ac:dyDescent="0.2">
      <c r="A583" t="s">
        <v>191</v>
      </c>
      <c r="B583" t="s">
        <v>62</v>
      </c>
      <c r="C583">
        <v>11.1</v>
      </c>
      <c r="D583" t="s">
        <v>76</v>
      </c>
      <c r="E583" t="s">
        <v>75</v>
      </c>
      <c r="F583" t="s">
        <v>110</v>
      </c>
      <c r="O583" s="3">
        <v>4</v>
      </c>
      <c r="P583" s="3">
        <v>50</v>
      </c>
      <c r="Q583">
        <v>6.4</v>
      </c>
      <c r="R583">
        <v>7</v>
      </c>
      <c r="S583">
        <v>1.1000000000000001</v>
      </c>
      <c r="T583" s="39">
        <v>43772</v>
      </c>
      <c r="U583" s="22" t="s">
        <v>246</v>
      </c>
      <c r="V583" s="41" t="s">
        <v>287</v>
      </c>
      <c r="W583" s="22" t="s">
        <v>300</v>
      </c>
    </row>
    <row r="584" spans="1:23" x14ac:dyDescent="0.2">
      <c r="A584" t="s">
        <v>191</v>
      </c>
      <c r="B584" t="s">
        <v>5</v>
      </c>
      <c r="C584">
        <v>10.199999999999999</v>
      </c>
      <c r="D584" t="s">
        <v>75</v>
      </c>
      <c r="E584" t="s">
        <v>75</v>
      </c>
      <c r="O584">
        <v>3.5</v>
      </c>
      <c r="P584">
        <v>42.5</v>
      </c>
      <c r="Q584">
        <v>4.2</v>
      </c>
      <c r="R584" s="14">
        <v>24.2</v>
      </c>
      <c r="S584" s="14">
        <v>5.8</v>
      </c>
      <c r="T584" s="39">
        <v>43772</v>
      </c>
      <c r="U584" s="22" t="s">
        <v>246</v>
      </c>
      <c r="V584" s="41" t="s">
        <v>293</v>
      </c>
      <c r="W584" s="22" t="s">
        <v>298</v>
      </c>
    </row>
    <row r="585" spans="1:23" x14ac:dyDescent="0.2">
      <c r="A585" t="s">
        <v>191</v>
      </c>
      <c r="O585">
        <v>-5.5</v>
      </c>
      <c r="P585">
        <v>46</v>
      </c>
      <c r="R585" s="3">
        <v>2.6</v>
      </c>
      <c r="S585" s="3"/>
      <c r="T585" s="39">
        <v>43772</v>
      </c>
      <c r="U585" s="22" t="s">
        <v>246</v>
      </c>
      <c r="V585" s="41" t="s">
        <v>312</v>
      </c>
      <c r="W585" s="22" t="s">
        <v>288</v>
      </c>
    </row>
    <row r="586" spans="1:23" x14ac:dyDescent="0.2">
      <c r="A586" t="s">
        <v>191</v>
      </c>
      <c r="O586">
        <v>-3</v>
      </c>
      <c r="P586">
        <v>44.5</v>
      </c>
      <c r="R586">
        <v>17.899999999999999</v>
      </c>
      <c r="T586" s="39">
        <v>43772</v>
      </c>
      <c r="U586" s="22" t="s">
        <v>246</v>
      </c>
      <c r="V586" s="41" t="s">
        <v>302</v>
      </c>
      <c r="W586" s="22" t="s">
        <v>305</v>
      </c>
    </row>
    <row r="587" spans="1:23" x14ac:dyDescent="0.2">
      <c r="A587" t="s">
        <v>191</v>
      </c>
      <c r="F587" t="s">
        <v>109</v>
      </c>
      <c r="O587">
        <v>6.5</v>
      </c>
      <c r="P587">
        <v>48.5</v>
      </c>
      <c r="R587">
        <v>11.8</v>
      </c>
      <c r="T587" s="39">
        <v>43772</v>
      </c>
      <c r="U587" s="22" t="s">
        <v>246</v>
      </c>
      <c r="V587" s="41" t="s">
        <v>296</v>
      </c>
      <c r="W587" s="22" t="s">
        <v>291</v>
      </c>
    </row>
    <row r="588" spans="1:23" x14ac:dyDescent="0.2">
      <c r="A588" t="s">
        <v>191</v>
      </c>
      <c r="B588" t="s">
        <v>26</v>
      </c>
      <c r="C588">
        <v>10.4</v>
      </c>
      <c r="D588" t="s">
        <v>75</v>
      </c>
      <c r="E588" t="s">
        <v>75</v>
      </c>
      <c r="O588">
        <v>-3.5</v>
      </c>
      <c r="P588">
        <v>42.5</v>
      </c>
      <c r="Q588">
        <v>5.3</v>
      </c>
      <c r="R588">
        <v>22.3</v>
      </c>
      <c r="S588">
        <v>4.2</v>
      </c>
      <c r="T588" s="39">
        <v>43772</v>
      </c>
      <c r="U588" s="22" t="s">
        <v>246</v>
      </c>
      <c r="V588" s="41" t="s">
        <v>298</v>
      </c>
      <c r="W588" s="22" t="s">
        <v>293</v>
      </c>
    </row>
    <row r="589" spans="1:23" x14ac:dyDescent="0.2">
      <c r="A589" t="s">
        <v>191</v>
      </c>
      <c r="O589">
        <v>-5</v>
      </c>
      <c r="P589">
        <v>41</v>
      </c>
      <c r="R589">
        <v>7.6</v>
      </c>
      <c r="T589" s="39">
        <v>43772</v>
      </c>
      <c r="U589" s="22" t="s">
        <v>246</v>
      </c>
      <c r="V589" t="s">
        <v>294</v>
      </c>
      <c r="W589" s="22" t="s">
        <v>265</v>
      </c>
    </row>
    <row r="590" spans="1:23" x14ac:dyDescent="0.2">
      <c r="A590" t="s">
        <v>191</v>
      </c>
      <c r="F590" t="s">
        <v>110</v>
      </c>
      <c r="O590">
        <v>-1</v>
      </c>
      <c r="P590">
        <v>39.5</v>
      </c>
      <c r="R590">
        <v>4.5999999999999996</v>
      </c>
      <c r="T590" s="39">
        <v>43772</v>
      </c>
      <c r="U590" s="22" t="s">
        <v>246</v>
      </c>
      <c r="V590" t="s">
        <v>309</v>
      </c>
      <c r="W590" s="22" t="s">
        <v>289</v>
      </c>
    </row>
    <row r="591" spans="1:23" x14ac:dyDescent="0.2">
      <c r="A591" t="s">
        <v>191</v>
      </c>
      <c r="O591">
        <v>-10.5</v>
      </c>
      <c r="P591">
        <v>43.5</v>
      </c>
      <c r="R591">
        <v>27.2</v>
      </c>
      <c r="T591" s="39">
        <v>43772</v>
      </c>
      <c r="U591" s="22" t="s">
        <v>246</v>
      </c>
      <c r="V591" s="22" t="s">
        <v>256</v>
      </c>
      <c r="W591" s="22" t="s">
        <v>285</v>
      </c>
    </row>
    <row r="592" spans="1:23" x14ac:dyDescent="0.2">
      <c r="A592" t="s">
        <v>191</v>
      </c>
      <c r="E592" t="s">
        <v>75</v>
      </c>
      <c r="F592" t="s">
        <v>109</v>
      </c>
      <c r="O592">
        <v>-4</v>
      </c>
      <c r="P592">
        <v>50.5</v>
      </c>
      <c r="R592">
        <v>43.2</v>
      </c>
      <c r="T592" s="39">
        <v>43772</v>
      </c>
      <c r="U592" s="22" t="s">
        <v>246</v>
      </c>
      <c r="V592" t="s">
        <v>308</v>
      </c>
      <c r="W592" s="22" t="s">
        <v>284</v>
      </c>
    </row>
    <row r="593" spans="1:23" x14ac:dyDescent="0.2">
      <c r="A593" t="s">
        <v>191</v>
      </c>
      <c r="E593" t="s">
        <v>75</v>
      </c>
      <c r="F593" t="s">
        <v>109</v>
      </c>
      <c r="O593">
        <v>4</v>
      </c>
      <c r="P593">
        <v>50.5</v>
      </c>
      <c r="R593">
        <v>39</v>
      </c>
      <c r="T593" s="39">
        <v>43772</v>
      </c>
      <c r="U593" s="22" t="s">
        <v>246</v>
      </c>
      <c r="V593" t="s">
        <v>284</v>
      </c>
      <c r="W593" s="22" t="s">
        <v>308</v>
      </c>
    </row>
    <row r="594" spans="1:23" x14ac:dyDescent="0.2">
      <c r="A594" t="s">
        <v>191</v>
      </c>
      <c r="O594">
        <v>3.5</v>
      </c>
      <c r="P594">
        <v>43</v>
      </c>
      <c r="R594">
        <v>8.8000000000000007</v>
      </c>
      <c r="T594" s="39">
        <v>43772</v>
      </c>
      <c r="U594" s="22" t="s">
        <v>246</v>
      </c>
      <c r="V594" t="s">
        <v>310</v>
      </c>
      <c r="W594" s="22" t="s">
        <v>301</v>
      </c>
    </row>
    <row r="595" spans="1:23" x14ac:dyDescent="0.2">
      <c r="A595" t="s">
        <v>191</v>
      </c>
      <c r="O595">
        <v>10.5</v>
      </c>
      <c r="P595">
        <v>37</v>
      </c>
      <c r="R595">
        <v>7.9</v>
      </c>
      <c r="T595" s="39">
        <v>43772</v>
      </c>
      <c r="U595" s="22" t="s">
        <v>246</v>
      </c>
      <c r="V595" t="s">
        <v>306</v>
      </c>
      <c r="W595" s="22" t="s">
        <v>276</v>
      </c>
    </row>
    <row r="596" spans="1:23" x14ac:dyDescent="0.2">
      <c r="A596" t="s">
        <v>191</v>
      </c>
      <c r="E596" t="s">
        <v>75</v>
      </c>
      <c r="F596" t="s">
        <v>109</v>
      </c>
      <c r="O596">
        <v>5.5</v>
      </c>
      <c r="P596">
        <v>51</v>
      </c>
      <c r="R596">
        <v>15.1</v>
      </c>
      <c r="T596" s="39">
        <v>43779</v>
      </c>
      <c r="U596" s="22" t="s">
        <v>244</v>
      </c>
      <c r="V596" t="s">
        <v>285</v>
      </c>
      <c r="W596" s="22" t="s">
        <v>284</v>
      </c>
    </row>
    <row r="597" spans="1:23" x14ac:dyDescent="0.2">
      <c r="A597" t="s">
        <v>191</v>
      </c>
      <c r="F597" t="s">
        <v>109</v>
      </c>
      <c r="O597">
        <v>14</v>
      </c>
      <c r="P597">
        <v>51.5</v>
      </c>
      <c r="R597">
        <v>10.9</v>
      </c>
      <c r="T597" s="39">
        <v>43779</v>
      </c>
      <c r="U597" s="22" t="s">
        <v>244</v>
      </c>
      <c r="V597" t="s">
        <v>295</v>
      </c>
      <c r="W597" s="22" t="s">
        <v>307</v>
      </c>
    </row>
    <row r="598" spans="1:23" x14ac:dyDescent="0.2">
      <c r="A598" t="s">
        <v>191</v>
      </c>
      <c r="O598">
        <v>-10.5</v>
      </c>
      <c r="P598">
        <v>44</v>
      </c>
      <c r="R598">
        <v>18</v>
      </c>
      <c r="T598" s="39">
        <v>43779</v>
      </c>
      <c r="U598" s="22" t="s">
        <v>244</v>
      </c>
      <c r="V598" s="41" t="s">
        <v>305</v>
      </c>
      <c r="W598" s="22" t="s">
        <v>272</v>
      </c>
    </row>
    <row r="599" spans="1:23" x14ac:dyDescent="0.2">
      <c r="A599" t="s">
        <v>191</v>
      </c>
      <c r="F599" t="s">
        <v>110</v>
      </c>
      <c r="O599">
        <v>3</v>
      </c>
      <c r="P599">
        <v>42</v>
      </c>
      <c r="R599">
        <v>12.7</v>
      </c>
      <c r="T599" s="39">
        <v>43779</v>
      </c>
      <c r="U599" s="22" t="s">
        <v>244</v>
      </c>
      <c r="V599" s="41" t="s">
        <v>276</v>
      </c>
      <c r="W599" s="22" t="s">
        <v>281</v>
      </c>
    </row>
    <row r="600" spans="1:23" x14ac:dyDescent="0.2">
      <c r="A600" t="s">
        <v>191</v>
      </c>
      <c r="B600" t="s">
        <v>85</v>
      </c>
      <c r="C600">
        <v>13.6</v>
      </c>
      <c r="D600" t="s">
        <v>75</v>
      </c>
      <c r="E600" t="s">
        <v>76</v>
      </c>
      <c r="O600">
        <v>5</v>
      </c>
      <c r="P600">
        <v>49</v>
      </c>
      <c r="Q600">
        <v>5.2</v>
      </c>
      <c r="R600">
        <v>24</v>
      </c>
      <c r="S600">
        <v>4.5999999999999996</v>
      </c>
      <c r="T600" s="39">
        <v>43779</v>
      </c>
      <c r="U600" s="22" t="s">
        <v>244</v>
      </c>
      <c r="V600" t="s">
        <v>301</v>
      </c>
      <c r="W600" s="22" t="s">
        <v>300</v>
      </c>
    </row>
    <row r="601" spans="1:23" x14ac:dyDescent="0.2">
      <c r="A601" t="s">
        <v>191</v>
      </c>
      <c r="O601">
        <v>-6</v>
      </c>
      <c r="P601">
        <v>38</v>
      </c>
      <c r="R601">
        <v>14.6</v>
      </c>
      <c r="T601" s="39">
        <v>43779</v>
      </c>
      <c r="U601" s="22" t="s">
        <v>244</v>
      </c>
      <c r="V601" s="41" t="s">
        <v>265</v>
      </c>
      <c r="W601" s="22" t="s">
        <v>299</v>
      </c>
    </row>
    <row r="602" spans="1:23" x14ac:dyDescent="0.2">
      <c r="A602" t="s">
        <v>191</v>
      </c>
      <c r="B602" t="s">
        <v>91</v>
      </c>
      <c r="C602">
        <v>13</v>
      </c>
      <c r="D602" t="s">
        <v>75</v>
      </c>
      <c r="E602" t="s">
        <v>76</v>
      </c>
      <c r="F602" s="3"/>
      <c r="O602" s="3">
        <v>10.5</v>
      </c>
      <c r="P602" s="3">
        <v>44</v>
      </c>
      <c r="Q602">
        <v>4.7</v>
      </c>
      <c r="R602" s="3">
        <v>12.2</v>
      </c>
      <c r="S602" s="3">
        <v>2.6</v>
      </c>
      <c r="T602" s="39">
        <v>43779</v>
      </c>
      <c r="U602" s="28" t="s">
        <v>244</v>
      </c>
      <c r="V602" s="17" t="s">
        <v>272</v>
      </c>
      <c r="W602" s="28" t="s">
        <v>305</v>
      </c>
    </row>
    <row r="603" spans="1:23" x14ac:dyDescent="0.2">
      <c r="A603" t="s">
        <v>191</v>
      </c>
      <c r="F603" t="s">
        <v>110</v>
      </c>
      <c r="O603">
        <v>-3</v>
      </c>
      <c r="P603">
        <v>42</v>
      </c>
      <c r="R603">
        <v>10.7</v>
      </c>
      <c r="T603" s="39">
        <v>43779</v>
      </c>
      <c r="U603" s="22" t="s">
        <v>244</v>
      </c>
      <c r="V603" t="s">
        <v>281</v>
      </c>
      <c r="W603" s="22" t="s">
        <v>276</v>
      </c>
    </row>
    <row r="604" spans="1:23" x14ac:dyDescent="0.2">
      <c r="A604" t="s">
        <v>191</v>
      </c>
      <c r="O604">
        <v>-3.5</v>
      </c>
      <c r="P604">
        <v>48.5</v>
      </c>
      <c r="R604">
        <v>34.700000000000003</v>
      </c>
      <c r="T604" s="39">
        <v>43779</v>
      </c>
      <c r="U604" s="22" t="s">
        <v>244</v>
      </c>
      <c r="V604" t="s">
        <v>291</v>
      </c>
      <c r="W604" s="22" t="s">
        <v>312</v>
      </c>
    </row>
    <row r="605" spans="1:23" x14ac:dyDescent="0.2">
      <c r="A605" t="s">
        <v>191</v>
      </c>
      <c r="O605">
        <v>6</v>
      </c>
      <c r="P605">
        <v>38</v>
      </c>
      <c r="R605">
        <v>14.7</v>
      </c>
      <c r="T605" s="39">
        <v>43779</v>
      </c>
      <c r="U605" s="22" t="s">
        <v>244</v>
      </c>
      <c r="V605" t="s">
        <v>299</v>
      </c>
      <c r="W605" s="22" t="s">
        <v>265</v>
      </c>
    </row>
    <row r="606" spans="1:23" x14ac:dyDescent="0.2">
      <c r="A606" t="s">
        <v>191</v>
      </c>
      <c r="B606" t="s">
        <v>57</v>
      </c>
      <c r="C606">
        <v>12.6</v>
      </c>
      <c r="D606" t="s">
        <v>76</v>
      </c>
      <c r="E606" t="s">
        <v>76</v>
      </c>
      <c r="O606">
        <v>-5</v>
      </c>
      <c r="P606">
        <v>49</v>
      </c>
      <c r="Q606">
        <v>6.9</v>
      </c>
      <c r="R606">
        <v>21.8</v>
      </c>
      <c r="S606">
        <v>3.2</v>
      </c>
      <c r="T606" s="39">
        <v>43779</v>
      </c>
      <c r="U606" s="22" t="s">
        <v>244</v>
      </c>
      <c r="V606" t="s">
        <v>300</v>
      </c>
      <c r="W606" s="22" t="s">
        <v>301</v>
      </c>
    </row>
    <row r="607" spans="1:23" x14ac:dyDescent="0.2">
      <c r="A607" t="s">
        <v>191</v>
      </c>
      <c r="D607" s="3" t="s">
        <v>75</v>
      </c>
      <c r="E607" s="3"/>
      <c r="F607" t="s">
        <v>110</v>
      </c>
      <c r="O607">
        <v>-11</v>
      </c>
      <c r="P607">
        <v>44.5</v>
      </c>
      <c r="R607" s="3"/>
      <c r="S607" s="3"/>
      <c r="T607" s="39">
        <v>43779</v>
      </c>
      <c r="U607" s="28" t="s">
        <v>244</v>
      </c>
      <c r="V607" t="s">
        <v>289</v>
      </c>
      <c r="W607" s="28" t="s">
        <v>293</v>
      </c>
    </row>
    <row r="608" spans="1:23" x14ac:dyDescent="0.2">
      <c r="A608" t="s">
        <v>191</v>
      </c>
      <c r="O608">
        <v>-5</v>
      </c>
      <c r="P608">
        <v>49</v>
      </c>
      <c r="R608">
        <v>36</v>
      </c>
      <c r="T608" s="39">
        <v>43779</v>
      </c>
      <c r="U608" s="22" t="s">
        <v>244</v>
      </c>
      <c r="V608" t="s">
        <v>288</v>
      </c>
      <c r="W608" s="22" t="s">
        <v>310</v>
      </c>
    </row>
    <row r="609" spans="1:23" x14ac:dyDescent="0.2">
      <c r="A609" t="s">
        <v>191</v>
      </c>
      <c r="O609">
        <v>1</v>
      </c>
      <c r="P609">
        <v>49</v>
      </c>
      <c r="R609">
        <v>5.5</v>
      </c>
      <c r="T609" s="39">
        <v>43779</v>
      </c>
      <c r="U609" s="22" t="s">
        <v>244</v>
      </c>
      <c r="V609" t="s">
        <v>303</v>
      </c>
      <c r="W609" s="22" t="s">
        <v>287</v>
      </c>
    </row>
    <row r="610" spans="1:23" x14ac:dyDescent="0.2">
      <c r="A610" t="s">
        <v>191</v>
      </c>
      <c r="B610" t="s">
        <v>62</v>
      </c>
      <c r="C610">
        <v>11.7</v>
      </c>
      <c r="D610" t="s">
        <v>75</v>
      </c>
      <c r="E610" t="s">
        <v>76</v>
      </c>
      <c r="O610">
        <v>-1</v>
      </c>
      <c r="P610">
        <v>49</v>
      </c>
      <c r="Q610">
        <v>6.1</v>
      </c>
      <c r="R610">
        <v>16.600000000000001</v>
      </c>
      <c r="S610">
        <v>2.7</v>
      </c>
      <c r="T610" s="39">
        <v>43779</v>
      </c>
      <c r="U610" s="22" t="s">
        <v>244</v>
      </c>
      <c r="V610" t="s">
        <v>287</v>
      </c>
      <c r="W610" s="22" t="s">
        <v>303</v>
      </c>
    </row>
    <row r="611" spans="1:23" x14ac:dyDescent="0.2">
      <c r="A611" t="s">
        <v>191</v>
      </c>
      <c r="F611" t="s">
        <v>110</v>
      </c>
      <c r="O611">
        <v>-4</v>
      </c>
      <c r="P611">
        <v>43</v>
      </c>
      <c r="R611" s="14">
        <v>0</v>
      </c>
      <c r="S611" s="14"/>
      <c r="T611" s="39">
        <v>43779</v>
      </c>
      <c r="U611" s="22" t="s">
        <v>244</v>
      </c>
      <c r="V611" t="s">
        <v>304</v>
      </c>
      <c r="W611" s="22" t="s">
        <v>309</v>
      </c>
    </row>
    <row r="612" spans="1:23" x14ac:dyDescent="0.2">
      <c r="A612" t="s">
        <v>191</v>
      </c>
      <c r="F612" t="s">
        <v>110</v>
      </c>
      <c r="O612">
        <v>11</v>
      </c>
      <c r="P612">
        <v>44.5</v>
      </c>
      <c r="R612">
        <v>11.9</v>
      </c>
      <c r="T612" s="39">
        <v>43779</v>
      </c>
      <c r="U612" s="22" t="s">
        <v>244</v>
      </c>
      <c r="V612" t="s">
        <v>293</v>
      </c>
      <c r="W612" s="22" t="s">
        <v>289</v>
      </c>
    </row>
    <row r="613" spans="1:23" x14ac:dyDescent="0.2">
      <c r="A613" t="s">
        <v>191</v>
      </c>
      <c r="O613">
        <v>3.5</v>
      </c>
      <c r="P613">
        <v>48.5</v>
      </c>
      <c r="R613" s="3">
        <v>7.9</v>
      </c>
      <c r="S613" s="3"/>
      <c r="T613" s="39">
        <v>43779</v>
      </c>
      <c r="U613" s="22" t="s">
        <v>244</v>
      </c>
      <c r="V613" t="s">
        <v>312</v>
      </c>
      <c r="W613" s="22" t="s">
        <v>291</v>
      </c>
    </row>
    <row r="614" spans="1:23" x14ac:dyDescent="0.2">
      <c r="A614" t="s">
        <v>191</v>
      </c>
      <c r="F614" t="s">
        <v>109</v>
      </c>
      <c r="O614">
        <v>-14</v>
      </c>
      <c r="P614">
        <v>51.5</v>
      </c>
      <c r="R614">
        <v>31.2</v>
      </c>
      <c r="T614" s="39">
        <v>43779</v>
      </c>
      <c r="U614" s="22" t="s">
        <v>244</v>
      </c>
      <c r="V614" t="s">
        <v>307</v>
      </c>
      <c r="W614" s="22" t="s">
        <v>295</v>
      </c>
    </row>
    <row r="615" spans="1:23" x14ac:dyDescent="0.2">
      <c r="A615" t="s">
        <v>191</v>
      </c>
      <c r="D615" t="s">
        <v>75</v>
      </c>
      <c r="F615" t="s">
        <v>109</v>
      </c>
      <c r="O615">
        <v>-3</v>
      </c>
      <c r="P615">
        <v>43</v>
      </c>
      <c r="R615">
        <v>24.5</v>
      </c>
      <c r="T615" s="39">
        <v>43779</v>
      </c>
      <c r="U615" s="22" t="s">
        <v>244</v>
      </c>
      <c r="V615" t="s">
        <v>296</v>
      </c>
      <c r="W615" s="22" t="s">
        <v>298</v>
      </c>
    </row>
    <row r="616" spans="1:23" x14ac:dyDescent="0.2">
      <c r="A616" t="s">
        <v>191</v>
      </c>
      <c r="D616" t="s">
        <v>75</v>
      </c>
      <c r="F616" t="s">
        <v>109</v>
      </c>
      <c r="O616">
        <v>3</v>
      </c>
      <c r="P616">
        <v>43</v>
      </c>
      <c r="R616">
        <v>19.100000000000001</v>
      </c>
      <c r="T616" s="39">
        <v>43779</v>
      </c>
      <c r="U616" s="22" t="s">
        <v>244</v>
      </c>
      <c r="V616" t="s">
        <v>298</v>
      </c>
      <c r="W616" s="22" t="s">
        <v>296</v>
      </c>
    </row>
    <row r="617" spans="1:23" x14ac:dyDescent="0.2">
      <c r="A617" t="s">
        <v>191</v>
      </c>
      <c r="F617" t="s">
        <v>110</v>
      </c>
      <c r="O617">
        <v>4</v>
      </c>
      <c r="P617">
        <v>43</v>
      </c>
      <c r="R617">
        <v>7.4</v>
      </c>
      <c r="T617" s="39">
        <v>43779</v>
      </c>
      <c r="U617" s="22" t="s">
        <v>244</v>
      </c>
      <c r="V617" t="s">
        <v>309</v>
      </c>
      <c r="W617" s="22" t="s">
        <v>304</v>
      </c>
    </row>
    <row r="618" spans="1:23" x14ac:dyDescent="0.2">
      <c r="A618" t="s">
        <v>191</v>
      </c>
      <c r="O618">
        <v>-6.5</v>
      </c>
      <c r="P618">
        <v>47</v>
      </c>
      <c r="R618">
        <v>22.2</v>
      </c>
      <c r="T618" s="39">
        <v>43779</v>
      </c>
      <c r="U618" s="22" t="s">
        <v>244</v>
      </c>
      <c r="V618" s="40" t="s">
        <v>256</v>
      </c>
      <c r="W618" s="22" t="s">
        <v>308</v>
      </c>
    </row>
    <row r="619" spans="1:23" x14ac:dyDescent="0.2">
      <c r="A619" t="s">
        <v>191</v>
      </c>
      <c r="O619">
        <v>6.5</v>
      </c>
      <c r="P619">
        <v>47</v>
      </c>
      <c r="R619">
        <v>5.9</v>
      </c>
      <c r="T619" s="39">
        <v>43779</v>
      </c>
      <c r="U619" s="22" t="s">
        <v>244</v>
      </c>
      <c r="V619" t="s">
        <v>308</v>
      </c>
      <c r="W619" s="22" t="s">
        <v>256</v>
      </c>
    </row>
    <row r="620" spans="1:23" x14ac:dyDescent="0.2">
      <c r="A620" t="s">
        <v>191</v>
      </c>
      <c r="E620" t="s">
        <v>75</v>
      </c>
      <c r="F620" t="s">
        <v>109</v>
      </c>
      <c r="O620">
        <v>-5.5</v>
      </c>
      <c r="P620">
        <v>51</v>
      </c>
      <c r="R620">
        <v>12.2</v>
      </c>
      <c r="T620" s="39">
        <v>43779</v>
      </c>
      <c r="U620" s="22" t="s">
        <v>244</v>
      </c>
      <c r="V620" t="s">
        <v>284</v>
      </c>
      <c r="W620" s="22" t="s">
        <v>285</v>
      </c>
    </row>
    <row r="621" spans="1:23" x14ac:dyDescent="0.2">
      <c r="A621" t="s">
        <v>191</v>
      </c>
      <c r="O621">
        <v>5</v>
      </c>
      <c r="P621">
        <v>49</v>
      </c>
      <c r="R621">
        <v>2.7</v>
      </c>
      <c r="T621" s="39">
        <v>43779</v>
      </c>
      <c r="U621" s="22" t="s">
        <v>244</v>
      </c>
      <c r="V621" t="s">
        <v>310</v>
      </c>
      <c r="W621" s="22" t="s">
        <v>288</v>
      </c>
    </row>
    <row r="622" spans="1:23" x14ac:dyDescent="0.2">
      <c r="A622" t="s">
        <v>191</v>
      </c>
      <c r="O622">
        <v>10</v>
      </c>
      <c r="P622">
        <v>44</v>
      </c>
      <c r="R622">
        <v>13.7</v>
      </c>
      <c r="T622" s="39">
        <v>43786</v>
      </c>
      <c r="U622" s="22" t="s">
        <v>259</v>
      </c>
      <c r="V622" t="s">
        <v>285</v>
      </c>
      <c r="W622" s="22" t="s">
        <v>256</v>
      </c>
    </row>
    <row r="623" spans="1:23" x14ac:dyDescent="0.2">
      <c r="A623" t="s">
        <v>191</v>
      </c>
      <c r="B623" t="s">
        <v>95</v>
      </c>
      <c r="E623" t="s">
        <v>75</v>
      </c>
      <c r="F623" t="s">
        <v>109</v>
      </c>
      <c r="J623" t="s">
        <v>75</v>
      </c>
      <c r="K623" t="s">
        <v>76</v>
      </c>
      <c r="L623" t="s">
        <v>75</v>
      </c>
      <c r="M623" t="s">
        <v>75</v>
      </c>
      <c r="N623" t="s">
        <v>134</v>
      </c>
      <c r="O623">
        <v>3.5</v>
      </c>
      <c r="P623">
        <v>49</v>
      </c>
      <c r="Q623">
        <v>7.5</v>
      </c>
      <c r="R623">
        <v>14.7</v>
      </c>
      <c r="S623">
        <v>2</v>
      </c>
      <c r="T623" s="39">
        <v>43786</v>
      </c>
      <c r="U623" s="22" t="s">
        <v>259</v>
      </c>
      <c r="V623" t="s">
        <v>295</v>
      </c>
      <c r="W623" s="22" t="s">
        <v>301</v>
      </c>
    </row>
    <row r="624" spans="1:23" x14ac:dyDescent="0.2">
      <c r="A624" t="s">
        <v>191</v>
      </c>
      <c r="O624">
        <v>-4</v>
      </c>
      <c r="P624">
        <v>51</v>
      </c>
      <c r="R624">
        <v>4.3</v>
      </c>
      <c r="T624" s="39">
        <v>43786</v>
      </c>
      <c r="U624" s="22" t="s">
        <v>259</v>
      </c>
      <c r="V624" s="41" t="s">
        <v>305</v>
      </c>
      <c r="W624" s="22" t="s">
        <v>311</v>
      </c>
    </row>
    <row r="625" spans="1:23" x14ac:dyDescent="0.2">
      <c r="A625" t="s">
        <v>191</v>
      </c>
      <c r="D625" t="s">
        <v>75</v>
      </c>
      <c r="F625" t="s">
        <v>110</v>
      </c>
      <c r="O625">
        <v>-7</v>
      </c>
      <c r="P625">
        <v>41.5</v>
      </c>
      <c r="R625">
        <v>37.700000000000003</v>
      </c>
      <c r="T625" s="39">
        <v>43786</v>
      </c>
      <c r="U625" s="22" t="s">
        <v>259</v>
      </c>
      <c r="V625" t="s">
        <v>276</v>
      </c>
      <c r="W625" s="22" t="s">
        <v>293</v>
      </c>
    </row>
    <row r="626" spans="1:23" x14ac:dyDescent="0.2">
      <c r="A626" t="s">
        <v>191</v>
      </c>
      <c r="E626" t="s">
        <v>75</v>
      </c>
      <c r="F626" t="s">
        <v>109</v>
      </c>
      <c r="O626">
        <v>-3.5</v>
      </c>
      <c r="P626">
        <v>49</v>
      </c>
      <c r="R626">
        <v>17.5</v>
      </c>
      <c r="T626" s="39">
        <v>43786</v>
      </c>
      <c r="U626" s="22" t="s">
        <v>259</v>
      </c>
      <c r="V626" t="s">
        <v>301</v>
      </c>
      <c r="W626" s="22" t="s">
        <v>295</v>
      </c>
    </row>
    <row r="627" spans="1:23" x14ac:dyDescent="0.2">
      <c r="A627" t="s">
        <v>191</v>
      </c>
      <c r="B627" t="s">
        <v>56</v>
      </c>
      <c r="C627">
        <v>10.1</v>
      </c>
      <c r="D627" t="s">
        <v>76</v>
      </c>
      <c r="E627" t="s">
        <v>76</v>
      </c>
      <c r="O627">
        <v>5</v>
      </c>
      <c r="P627">
        <v>40</v>
      </c>
      <c r="Q627">
        <v>6</v>
      </c>
      <c r="R627">
        <v>5.5</v>
      </c>
      <c r="S627">
        <v>0.9</v>
      </c>
      <c r="T627" s="39">
        <v>43786</v>
      </c>
      <c r="U627" s="22" t="s">
        <v>259</v>
      </c>
      <c r="V627" t="s">
        <v>265</v>
      </c>
      <c r="W627" s="22" t="s">
        <v>304</v>
      </c>
    </row>
    <row r="628" spans="1:23" x14ac:dyDescent="0.2">
      <c r="A628" t="s">
        <v>191</v>
      </c>
      <c r="D628" s="3"/>
      <c r="E628" t="s">
        <v>75</v>
      </c>
      <c r="F628" t="s">
        <v>110</v>
      </c>
      <c r="O628" s="3">
        <v>13</v>
      </c>
      <c r="P628" s="3">
        <v>48</v>
      </c>
      <c r="R628" s="3">
        <v>2</v>
      </c>
      <c r="S628" s="3"/>
      <c r="T628" s="39">
        <v>43786</v>
      </c>
      <c r="U628" s="28" t="s">
        <v>259</v>
      </c>
      <c r="V628" s="17" t="s">
        <v>272</v>
      </c>
      <c r="W628" s="28" t="s">
        <v>303</v>
      </c>
    </row>
    <row r="629" spans="1:23" x14ac:dyDescent="0.2">
      <c r="A629" t="s">
        <v>191</v>
      </c>
      <c r="B629" t="s">
        <v>51</v>
      </c>
      <c r="C629">
        <v>12.3</v>
      </c>
      <c r="D629" t="s">
        <v>76</v>
      </c>
      <c r="E629" t="s">
        <v>76</v>
      </c>
      <c r="O629">
        <v>-3</v>
      </c>
      <c r="P629">
        <v>41.5</v>
      </c>
      <c r="Q629">
        <v>6.4</v>
      </c>
      <c r="R629">
        <v>10</v>
      </c>
      <c r="S629">
        <v>1.6</v>
      </c>
      <c r="T629" s="39">
        <v>43786</v>
      </c>
      <c r="U629" s="22" t="s">
        <v>259</v>
      </c>
      <c r="V629" s="41" t="s">
        <v>281</v>
      </c>
      <c r="W629" s="22" t="s">
        <v>309</v>
      </c>
    </row>
    <row r="630" spans="1:23" x14ac:dyDescent="0.2">
      <c r="A630" t="s">
        <v>191</v>
      </c>
      <c r="F630" t="s">
        <v>109</v>
      </c>
      <c r="O630">
        <v>-7.5</v>
      </c>
      <c r="P630">
        <v>46.5</v>
      </c>
      <c r="R630">
        <v>6.8</v>
      </c>
      <c r="T630" s="39">
        <v>43786</v>
      </c>
      <c r="U630" s="22" t="s">
        <v>259</v>
      </c>
      <c r="V630" s="41" t="s">
        <v>291</v>
      </c>
      <c r="W630" s="22" t="s">
        <v>299</v>
      </c>
    </row>
    <row r="631" spans="1:23" x14ac:dyDescent="0.2">
      <c r="A631" t="s">
        <v>191</v>
      </c>
      <c r="B631" t="s">
        <v>48</v>
      </c>
      <c r="J631" t="s">
        <v>75</v>
      </c>
      <c r="K631" t="s">
        <v>76</v>
      </c>
      <c r="L631" t="s">
        <v>76</v>
      </c>
      <c r="M631" t="s">
        <v>76</v>
      </c>
      <c r="N631" t="s">
        <v>134</v>
      </c>
      <c r="O631">
        <v>10</v>
      </c>
      <c r="P631">
        <v>40.5</v>
      </c>
      <c r="Q631">
        <v>6</v>
      </c>
      <c r="R631">
        <v>21.82</v>
      </c>
      <c r="S631">
        <v>3.6</v>
      </c>
      <c r="T631" s="39">
        <v>43786</v>
      </c>
      <c r="U631" t="s">
        <v>259</v>
      </c>
      <c r="V631" s="41" t="s">
        <v>278</v>
      </c>
      <c r="W631" t="s">
        <v>312</v>
      </c>
    </row>
    <row r="632" spans="1:23" x14ac:dyDescent="0.2">
      <c r="A632" t="s">
        <v>191</v>
      </c>
      <c r="F632" t="s">
        <v>109</v>
      </c>
      <c r="O632">
        <v>7.5</v>
      </c>
      <c r="P632">
        <v>46.5</v>
      </c>
      <c r="R632">
        <v>4.4000000000000004</v>
      </c>
      <c r="T632" s="39">
        <v>43786</v>
      </c>
      <c r="U632" s="22" t="s">
        <v>259</v>
      </c>
      <c r="V632" s="41" t="s">
        <v>299</v>
      </c>
      <c r="W632" s="22" t="s">
        <v>291</v>
      </c>
    </row>
    <row r="633" spans="1:23" x14ac:dyDescent="0.2">
      <c r="A633" t="s">
        <v>191</v>
      </c>
      <c r="O633">
        <v>4</v>
      </c>
      <c r="P633">
        <v>51</v>
      </c>
      <c r="R633">
        <v>15</v>
      </c>
      <c r="T633" s="39">
        <v>43786</v>
      </c>
      <c r="U633" s="22" t="s">
        <v>259</v>
      </c>
      <c r="V633" s="41" t="s">
        <v>311</v>
      </c>
      <c r="W633" s="22" t="s">
        <v>305</v>
      </c>
    </row>
    <row r="634" spans="1:23" x14ac:dyDescent="0.2">
      <c r="A634" t="s">
        <v>191</v>
      </c>
      <c r="F634" t="s">
        <v>110</v>
      </c>
      <c r="O634">
        <v>-2.5</v>
      </c>
      <c r="P634">
        <v>41.5</v>
      </c>
      <c r="R634" s="3">
        <v>3.7</v>
      </c>
      <c r="S634" s="3"/>
      <c r="T634" s="39">
        <v>43786</v>
      </c>
      <c r="U634" s="22" t="s">
        <v>259</v>
      </c>
      <c r="V634" s="41" t="s">
        <v>289</v>
      </c>
      <c r="W634" s="22" t="s">
        <v>297</v>
      </c>
    </row>
    <row r="635" spans="1:23" x14ac:dyDescent="0.2">
      <c r="A635" t="s">
        <v>191</v>
      </c>
      <c r="F635" t="s">
        <v>110</v>
      </c>
      <c r="O635">
        <v>2.5</v>
      </c>
      <c r="P635">
        <v>41.5</v>
      </c>
      <c r="R635">
        <v>7.2</v>
      </c>
      <c r="T635" s="39">
        <v>43786</v>
      </c>
      <c r="U635" s="22" t="s">
        <v>259</v>
      </c>
      <c r="V635" s="41" t="s">
        <v>297</v>
      </c>
      <c r="W635" s="22" t="s">
        <v>289</v>
      </c>
    </row>
    <row r="636" spans="1:23" x14ac:dyDescent="0.2">
      <c r="A636" t="s">
        <v>191</v>
      </c>
      <c r="O636">
        <v>-5.5</v>
      </c>
      <c r="P636">
        <v>52.5</v>
      </c>
      <c r="R636">
        <v>4.5999999999999996</v>
      </c>
      <c r="T636" s="39">
        <v>43786</v>
      </c>
      <c r="U636" s="22" t="s">
        <v>259</v>
      </c>
      <c r="V636" s="41" t="s">
        <v>288</v>
      </c>
      <c r="W636" s="22" t="s">
        <v>287</v>
      </c>
    </row>
    <row r="637" spans="1:23" x14ac:dyDescent="0.2">
      <c r="A637" t="s">
        <v>191</v>
      </c>
      <c r="E637" t="s">
        <v>75</v>
      </c>
      <c r="F637" t="s">
        <v>110</v>
      </c>
      <c r="O637">
        <v>-13</v>
      </c>
      <c r="P637">
        <v>48</v>
      </c>
      <c r="R637">
        <v>12.2</v>
      </c>
      <c r="T637" s="39">
        <v>43786</v>
      </c>
      <c r="U637" s="22" t="s">
        <v>259</v>
      </c>
      <c r="V637" s="41" t="s">
        <v>303</v>
      </c>
      <c r="W637" s="22" t="s">
        <v>272</v>
      </c>
    </row>
    <row r="638" spans="1:23" x14ac:dyDescent="0.2">
      <c r="A638" t="s">
        <v>191</v>
      </c>
      <c r="B638" t="s">
        <v>62</v>
      </c>
      <c r="C638">
        <v>12.1</v>
      </c>
      <c r="D638" t="s">
        <v>76</v>
      </c>
      <c r="E638" t="s">
        <v>76</v>
      </c>
      <c r="O638">
        <v>5.5</v>
      </c>
      <c r="P638">
        <v>52.5</v>
      </c>
      <c r="Q638">
        <v>6.3</v>
      </c>
      <c r="R638">
        <v>21.1</v>
      </c>
      <c r="S638">
        <v>3.3</v>
      </c>
      <c r="T638" s="39">
        <v>43786</v>
      </c>
      <c r="U638" s="22" t="s">
        <v>259</v>
      </c>
      <c r="V638" s="41" t="s">
        <v>287</v>
      </c>
      <c r="W638" s="22" t="s">
        <v>288</v>
      </c>
    </row>
    <row r="639" spans="1:23" x14ac:dyDescent="0.2">
      <c r="A639" t="s">
        <v>191</v>
      </c>
      <c r="B639" t="s">
        <v>146</v>
      </c>
      <c r="J639" t="s">
        <v>76</v>
      </c>
      <c r="K639" t="s">
        <v>75</v>
      </c>
      <c r="L639" t="s">
        <v>76</v>
      </c>
      <c r="M639" t="s">
        <v>75</v>
      </c>
      <c r="N639" t="s">
        <v>132</v>
      </c>
      <c r="O639">
        <v>-5</v>
      </c>
      <c r="P639">
        <v>40</v>
      </c>
      <c r="Q639">
        <v>7</v>
      </c>
      <c r="R639" s="14">
        <v>8.3000000000000007</v>
      </c>
      <c r="S639" s="14">
        <v>1.2</v>
      </c>
      <c r="T639" s="39">
        <v>43786</v>
      </c>
      <c r="U639" s="22" t="s">
        <v>259</v>
      </c>
      <c r="V639" t="s">
        <v>304</v>
      </c>
      <c r="W639" s="22" t="s">
        <v>265</v>
      </c>
    </row>
    <row r="640" spans="1:23" x14ac:dyDescent="0.2">
      <c r="A640" t="s">
        <v>191</v>
      </c>
      <c r="F640" t="s">
        <v>110</v>
      </c>
      <c r="O640">
        <v>7</v>
      </c>
      <c r="P640">
        <v>41.5</v>
      </c>
      <c r="R640">
        <v>23.5</v>
      </c>
      <c r="T640" s="39">
        <v>43786</v>
      </c>
      <c r="U640" s="22" t="s">
        <v>259</v>
      </c>
      <c r="V640" t="s">
        <v>293</v>
      </c>
      <c r="W640" s="22" t="s">
        <v>276</v>
      </c>
    </row>
    <row r="641" spans="1:23" x14ac:dyDescent="0.2">
      <c r="A641" t="s">
        <v>191</v>
      </c>
      <c r="O641">
        <v>-10</v>
      </c>
      <c r="P641">
        <v>40.5</v>
      </c>
      <c r="R641" s="3">
        <v>26.1</v>
      </c>
      <c r="S641" s="3"/>
      <c r="T641" s="39">
        <v>43786</v>
      </c>
      <c r="U641" s="22" t="s">
        <v>259</v>
      </c>
      <c r="V641" t="s">
        <v>312</v>
      </c>
      <c r="W641" s="22" t="s">
        <v>278</v>
      </c>
    </row>
    <row r="642" spans="1:23" x14ac:dyDescent="0.2">
      <c r="A642" t="s">
        <v>191</v>
      </c>
      <c r="O642">
        <v>-4.5</v>
      </c>
      <c r="P642">
        <v>45</v>
      </c>
      <c r="R642">
        <v>14.9</v>
      </c>
      <c r="T642" s="39">
        <v>43786</v>
      </c>
      <c r="U642" s="22" t="s">
        <v>259</v>
      </c>
      <c r="V642" t="s">
        <v>302</v>
      </c>
      <c r="W642" s="22" t="s">
        <v>294</v>
      </c>
    </row>
    <row r="643" spans="1:23" x14ac:dyDescent="0.2">
      <c r="A643" t="s">
        <v>191</v>
      </c>
      <c r="F643" t="s">
        <v>109</v>
      </c>
      <c r="O643">
        <v>-5</v>
      </c>
      <c r="P643">
        <v>50.5</v>
      </c>
      <c r="R643">
        <v>28.4</v>
      </c>
      <c r="T643" s="39">
        <v>43786</v>
      </c>
      <c r="U643" s="22" t="s">
        <v>259</v>
      </c>
      <c r="V643" t="s">
        <v>307</v>
      </c>
      <c r="W643" s="22" t="s">
        <v>284</v>
      </c>
    </row>
    <row r="644" spans="1:23" x14ac:dyDescent="0.2">
      <c r="A644" t="s">
        <v>191</v>
      </c>
      <c r="O644">
        <v>1</v>
      </c>
      <c r="P644">
        <v>37.5</v>
      </c>
      <c r="R644">
        <v>18.600000000000001</v>
      </c>
      <c r="T644" s="39">
        <v>43786</v>
      </c>
      <c r="U644" s="22" t="s">
        <v>259</v>
      </c>
      <c r="V644" t="s">
        <v>298</v>
      </c>
      <c r="W644" s="22" t="s">
        <v>306</v>
      </c>
    </row>
    <row r="645" spans="1:23" x14ac:dyDescent="0.2">
      <c r="A645" t="s">
        <v>191</v>
      </c>
      <c r="O645">
        <v>4.5</v>
      </c>
      <c r="P645">
        <v>45</v>
      </c>
      <c r="R645">
        <v>8</v>
      </c>
      <c r="T645" s="39">
        <v>43786</v>
      </c>
      <c r="U645" s="22" t="s">
        <v>259</v>
      </c>
      <c r="V645" t="s">
        <v>294</v>
      </c>
      <c r="W645" s="22" t="s">
        <v>302</v>
      </c>
    </row>
    <row r="646" spans="1:23" x14ac:dyDescent="0.2">
      <c r="A646" t="s">
        <v>191</v>
      </c>
      <c r="O646">
        <v>3</v>
      </c>
      <c r="P646">
        <v>41.5</v>
      </c>
      <c r="T646" s="39">
        <v>43786</v>
      </c>
      <c r="U646" s="22" t="s">
        <v>259</v>
      </c>
      <c r="V646" t="s">
        <v>309</v>
      </c>
      <c r="W646" s="22" t="s">
        <v>281</v>
      </c>
    </row>
    <row r="647" spans="1:23" x14ac:dyDescent="0.2">
      <c r="A647" t="s">
        <v>191</v>
      </c>
      <c r="O647">
        <v>-10</v>
      </c>
      <c r="P647">
        <v>44</v>
      </c>
      <c r="R647">
        <v>24.4</v>
      </c>
      <c r="T647" s="39">
        <v>43786</v>
      </c>
      <c r="U647" s="22" t="s">
        <v>259</v>
      </c>
      <c r="V647" s="22" t="s">
        <v>256</v>
      </c>
      <c r="W647" s="22" t="s">
        <v>285</v>
      </c>
    </row>
    <row r="648" spans="1:23" x14ac:dyDescent="0.2">
      <c r="A648" t="s">
        <v>191</v>
      </c>
      <c r="F648" t="s">
        <v>109</v>
      </c>
      <c r="O648">
        <v>5</v>
      </c>
      <c r="P648">
        <v>50.5</v>
      </c>
      <c r="R648">
        <v>10.9</v>
      </c>
      <c r="T648" s="39">
        <v>43786</v>
      </c>
      <c r="U648" s="22" t="s">
        <v>259</v>
      </c>
      <c r="V648" t="s">
        <v>284</v>
      </c>
      <c r="W648" s="22" t="s">
        <v>307</v>
      </c>
    </row>
    <row r="649" spans="1:23" x14ac:dyDescent="0.2">
      <c r="A649" t="s">
        <v>191</v>
      </c>
      <c r="B649" t="s">
        <v>94</v>
      </c>
      <c r="C649">
        <v>9.1999999999999993</v>
      </c>
      <c r="D649" t="s">
        <v>75</v>
      </c>
      <c r="E649" t="s">
        <v>76</v>
      </c>
      <c r="O649">
        <v>-1</v>
      </c>
      <c r="P649">
        <v>37.5</v>
      </c>
      <c r="Q649">
        <v>5.6</v>
      </c>
      <c r="R649">
        <v>9.9</v>
      </c>
      <c r="S649">
        <v>1.8</v>
      </c>
      <c r="T649" s="39">
        <v>43786</v>
      </c>
      <c r="U649" s="22" t="s">
        <v>259</v>
      </c>
      <c r="V649" t="s">
        <v>306</v>
      </c>
      <c r="W649" s="22" t="s">
        <v>298</v>
      </c>
    </row>
    <row r="650" spans="1:23" x14ac:dyDescent="0.2">
      <c r="A650" t="s">
        <v>191</v>
      </c>
      <c r="B650" t="s">
        <v>95</v>
      </c>
      <c r="C650">
        <v>13.5</v>
      </c>
      <c r="D650" t="s">
        <v>75</v>
      </c>
      <c r="E650" t="s">
        <v>75</v>
      </c>
      <c r="F650" t="s">
        <v>109</v>
      </c>
      <c r="J650" t="s">
        <v>75</v>
      </c>
      <c r="K650" t="s">
        <v>76</v>
      </c>
      <c r="L650" t="s">
        <v>75</v>
      </c>
      <c r="M650" t="s">
        <v>75</v>
      </c>
      <c r="N650" t="s">
        <v>132</v>
      </c>
      <c r="O650">
        <v>-3.5</v>
      </c>
      <c r="P650">
        <v>51.5</v>
      </c>
      <c r="Q650">
        <v>8</v>
      </c>
      <c r="R650">
        <v>11.8</v>
      </c>
      <c r="S650" s="1">
        <f>R650/Q650</f>
        <v>1.4750000000000001</v>
      </c>
      <c r="T650" s="39">
        <v>43793</v>
      </c>
      <c r="U650" s="22" t="s">
        <v>242</v>
      </c>
      <c r="V650" t="s">
        <v>295</v>
      </c>
      <c r="W650" s="22" t="s">
        <v>284</v>
      </c>
    </row>
    <row r="651" spans="1:23" x14ac:dyDescent="0.2">
      <c r="A651" t="s">
        <v>191</v>
      </c>
      <c r="O651">
        <v>-3.5</v>
      </c>
      <c r="P651">
        <v>47</v>
      </c>
      <c r="R651">
        <v>21.2</v>
      </c>
      <c r="T651" s="39">
        <v>43793</v>
      </c>
      <c r="U651" s="22" t="s">
        <v>242</v>
      </c>
      <c r="V651" s="41" t="s">
        <v>305</v>
      </c>
      <c r="W651" s="22" t="s">
        <v>304</v>
      </c>
    </row>
    <row r="652" spans="1:23" x14ac:dyDescent="0.2">
      <c r="A652" t="s">
        <v>191</v>
      </c>
      <c r="F652" t="s">
        <v>110</v>
      </c>
      <c r="O652">
        <v>-3.5</v>
      </c>
      <c r="P652">
        <v>37</v>
      </c>
      <c r="R652">
        <v>11.9</v>
      </c>
      <c r="T652" s="39">
        <v>43793</v>
      </c>
      <c r="U652" s="22" t="s">
        <v>242</v>
      </c>
      <c r="V652" t="s">
        <v>276</v>
      </c>
      <c r="W652" s="22" t="s">
        <v>278</v>
      </c>
    </row>
    <row r="653" spans="1:23" x14ac:dyDescent="0.2">
      <c r="A653" t="s">
        <v>191</v>
      </c>
      <c r="O653">
        <v>10</v>
      </c>
      <c r="P653">
        <v>46</v>
      </c>
      <c r="R653">
        <v>34.4</v>
      </c>
      <c r="T653" s="39">
        <v>43793</v>
      </c>
      <c r="U653" s="22" t="s">
        <v>242</v>
      </c>
      <c r="V653" t="s">
        <v>301</v>
      </c>
      <c r="W653" s="22" t="s">
        <v>307</v>
      </c>
    </row>
    <row r="654" spans="1:23" x14ac:dyDescent="0.2">
      <c r="A654" t="s">
        <v>191</v>
      </c>
      <c r="B654" t="s">
        <v>56</v>
      </c>
      <c r="C654">
        <v>8.6999999999999993</v>
      </c>
      <c r="D654" t="s">
        <v>75</v>
      </c>
      <c r="E654" t="s">
        <v>76</v>
      </c>
      <c r="O654">
        <v>-6</v>
      </c>
      <c r="P654">
        <v>41</v>
      </c>
      <c r="Q654">
        <v>6.5</v>
      </c>
      <c r="R654">
        <v>28.1</v>
      </c>
      <c r="S654">
        <v>4.3</v>
      </c>
      <c r="T654" s="39">
        <v>43793</v>
      </c>
      <c r="U654" s="22" t="s">
        <v>242</v>
      </c>
      <c r="V654" t="s">
        <v>265</v>
      </c>
      <c r="W654" s="22" t="s">
        <v>296</v>
      </c>
    </row>
    <row r="655" spans="1:23" x14ac:dyDescent="0.2">
      <c r="A655" t="s">
        <v>191</v>
      </c>
      <c r="B655" t="s">
        <v>91</v>
      </c>
      <c r="C655">
        <v>8.1</v>
      </c>
      <c r="D655" t="s">
        <v>76</v>
      </c>
      <c r="E655" t="s">
        <v>76</v>
      </c>
      <c r="F655" s="3"/>
      <c r="O655" s="3">
        <v>5.5</v>
      </c>
      <c r="P655" s="3">
        <v>37.5</v>
      </c>
      <c r="Q655">
        <v>5</v>
      </c>
      <c r="R655" s="3">
        <v>23.1</v>
      </c>
      <c r="S655" s="3">
        <v>4.5999999999999996</v>
      </c>
      <c r="T655" s="39">
        <v>43793</v>
      </c>
      <c r="U655" s="28" t="s">
        <v>242</v>
      </c>
      <c r="V655" s="17" t="s">
        <v>272</v>
      </c>
      <c r="W655" s="28" t="s">
        <v>309</v>
      </c>
    </row>
    <row r="656" spans="1:23" x14ac:dyDescent="0.2">
      <c r="A656" t="s">
        <v>191</v>
      </c>
      <c r="B656" t="s">
        <v>51</v>
      </c>
      <c r="C656">
        <v>13.2</v>
      </c>
      <c r="D656" t="s">
        <v>75</v>
      </c>
      <c r="E656" t="s">
        <v>76</v>
      </c>
      <c r="F656" t="s">
        <v>109</v>
      </c>
      <c r="O656">
        <v>-11</v>
      </c>
      <c r="P656">
        <v>45.5</v>
      </c>
      <c r="Q656">
        <v>7</v>
      </c>
      <c r="R656">
        <v>20.399999999999999</v>
      </c>
      <c r="S656">
        <v>2.9</v>
      </c>
      <c r="T656" s="39">
        <v>43793</v>
      </c>
      <c r="U656" s="22" t="s">
        <v>242</v>
      </c>
      <c r="V656" t="s">
        <v>281</v>
      </c>
      <c r="W656" s="22" t="s">
        <v>293</v>
      </c>
    </row>
    <row r="657" spans="1:23" x14ac:dyDescent="0.2">
      <c r="A657" t="s">
        <v>191</v>
      </c>
      <c r="F657" t="s">
        <v>109</v>
      </c>
      <c r="O657">
        <v>5.5</v>
      </c>
      <c r="P657">
        <v>44.5</v>
      </c>
      <c r="R657">
        <v>0</v>
      </c>
      <c r="T657" s="39">
        <v>43793</v>
      </c>
      <c r="U657" s="22" t="s">
        <v>242</v>
      </c>
      <c r="V657" t="s">
        <v>291</v>
      </c>
      <c r="W657" s="22" t="s">
        <v>302</v>
      </c>
    </row>
    <row r="658" spans="1:23" x14ac:dyDescent="0.2">
      <c r="A658" t="s">
        <v>191</v>
      </c>
      <c r="B658" t="s">
        <v>48</v>
      </c>
      <c r="F658" t="s">
        <v>110</v>
      </c>
      <c r="J658" t="s">
        <v>75</v>
      </c>
      <c r="K658" t="s">
        <v>76</v>
      </c>
      <c r="L658" t="s">
        <v>76</v>
      </c>
      <c r="M658" t="s">
        <v>75</v>
      </c>
      <c r="N658" t="s">
        <v>134</v>
      </c>
      <c r="O658">
        <v>3.5</v>
      </c>
      <c r="P658">
        <v>37</v>
      </c>
      <c r="Q658">
        <v>6.2</v>
      </c>
      <c r="R658">
        <v>3.7</v>
      </c>
      <c r="S658">
        <v>0.6</v>
      </c>
      <c r="T658" s="39">
        <v>43793</v>
      </c>
      <c r="U658" t="s">
        <v>242</v>
      </c>
      <c r="V658" t="s">
        <v>278</v>
      </c>
      <c r="W658" t="s">
        <v>276</v>
      </c>
    </row>
    <row r="659" spans="1:23" x14ac:dyDescent="0.2">
      <c r="A659" t="s">
        <v>191</v>
      </c>
      <c r="F659" t="s">
        <v>110</v>
      </c>
      <c r="O659">
        <v>-4</v>
      </c>
      <c r="P659">
        <v>39</v>
      </c>
      <c r="R659">
        <v>10.1</v>
      </c>
      <c r="T659" s="39">
        <v>43793</v>
      </c>
      <c r="U659" s="22" t="s">
        <v>242</v>
      </c>
      <c r="V659" t="s">
        <v>299</v>
      </c>
      <c r="W659" s="22" t="s">
        <v>306</v>
      </c>
    </row>
    <row r="660" spans="1:23" x14ac:dyDescent="0.2">
      <c r="A660" t="s">
        <v>191</v>
      </c>
      <c r="B660" t="s">
        <v>57</v>
      </c>
      <c r="C660">
        <v>15.4</v>
      </c>
      <c r="D660" t="s">
        <v>76</v>
      </c>
      <c r="E660" t="s">
        <v>76</v>
      </c>
      <c r="O660">
        <v>3</v>
      </c>
      <c r="P660">
        <v>48</v>
      </c>
      <c r="Q660">
        <v>6.5</v>
      </c>
      <c r="R660">
        <v>19.3</v>
      </c>
      <c r="S660">
        <v>3</v>
      </c>
      <c r="T660" s="39">
        <v>43793</v>
      </c>
      <c r="U660" s="22" t="s">
        <v>242</v>
      </c>
      <c r="V660" t="s">
        <v>300</v>
      </c>
      <c r="W660" s="22" t="s">
        <v>256</v>
      </c>
    </row>
    <row r="661" spans="1:23" x14ac:dyDescent="0.2">
      <c r="A661" t="s">
        <v>191</v>
      </c>
      <c r="O661">
        <v>3.5</v>
      </c>
      <c r="P661">
        <v>46</v>
      </c>
      <c r="R661">
        <v>27.4</v>
      </c>
      <c r="T661" s="39">
        <v>43793</v>
      </c>
      <c r="U661" s="22" t="s">
        <v>242</v>
      </c>
      <c r="V661" t="s">
        <v>311</v>
      </c>
      <c r="W661" s="22" t="s">
        <v>289</v>
      </c>
    </row>
    <row r="662" spans="1:23" x14ac:dyDescent="0.2">
      <c r="A662" t="s">
        <v>191</v>
      </c>
      <c r="O662">
        <v>-3.5</v>
      </c>
      <c r="P662">
        <v>46</v>
      </c>
      <c r="R662">
        <v>4.8</v>
      </c>
      <c r="T662" s="39">
        <v>43793</v>
      </c>
      <c r="U662" s="22" t="s">
        <v>242</v>
      </c>
      <c r="V662" t="s">
        <v>289</v>
      </c>
      <c r="W662" s="22" t="s">
        <v>311</v>
      </c>
    </row>
    <row r="663" spans="1:23" x14ac:dyDescent="0.2">
      <c r="A663" t="s">
        <v>191</v>
      </c>
      <c r="E663" t="s">
        <v>75</v>
      </c>
      <c r="F663" t="s">
        <v>110</v>
      </c>
      <c r="O663">
        <v>4.5</v>
      </c>
      <c r="P663">
        <v>42</v>
      </c>
      <c r="R663">
        <v>10.8</v>
      </c>
      <c r="T663" s="39">
        <v>43793</v>
      </c>
      <c r="U663" s="22" t="s">
        <v>242</v>
      </c>
      <c r="V663" t="s">
        <v>297</v>
      </c>
      <c r="W663" s="22" t="s">
        <v>310</v>
      </c>
    </row>
    <row r="664" spans="1:23" x14ac:dyDescent="0.2">
      <c r="A664" t="s">
        <v>191</v>
      </c>
      <c r="E664" t="s">
        <v>75</v>
      </c>
      <c r="O664">
        <v>-3.5</v>
      </c>
      <c r="P664">
        <v>45</v>
      </c>
      <c r="R664">
        <v>3.8</v>
      </c>
      <c r="T664" s="39">
        <v>43793</v>
      </c>
      <c r="U664" s="22" t="s">
        <v>242</v>
      </c>
      <c r="V664" t="s">
        <v>303</v>
      </c>
      <c r="W664" s="22" t="s">
        <v>298</v>
      </c>
    </row>
    <row r="665" spans="1:23" x14ac:dyDescent="0.2">
      <c r="A665" t="s">
        <v>191</v>
      </c>
      <c r="O665">
        <v>3.5</v>
      </c>
      <c r="P665">
        <v>47</v>
      </c>
      <c r="R665" s="14">
        <v>9.5</v>
      </c>
      <c r="S665" s="14"/>
      <c r="T665" s="39">
        <v>43793</v>
      </c>
      <c r="U665" s="22" t="s">
        <v>242</v>
      </c>
      <c r="V665" t="s">
        <v>304</v>
      </c>
      <c r="W665" s="22" t="s">
        <v>305</v>
      </c>
    </row>
    <row r="666" spans="1:23" x14ac:dyDescent="0.2">
      <c r="A666" t="s">
        <v>191</v>
      </c>
      <c r="F666" s="20" t="s">
        <v>109</v>
      </c>
      <c r="O666">
        <v>11</v>
      </c>
      <c r="P666">
        <v>45.5</v>
      </c>
      <c r="R666">
        <v>15.1</v>
      </c>
      <c r="T666" s="39">
        <v>43793</v>
      </c>
      <c r="U666" s="22" t="s">
        <v>242</v>
      </c>
      <c r="V666" t="s">
        <v>293</v>
      </c>
      <c r="W666" s="22" t="s">
        <v>281</v>
      </c>
    </row>
    <row r="667" spans="1:23" x14ac:dyDescent="0.2">
      <c r="A667" t="s">
        <v>191</v>
      </c>
      <c r="F667" t="s">
        <v>109</v>
      </c>
      <c r="O667">
        <v>-5.5</v>
      </c>
      <c r="P667">
        <v>44.5</v>
      </c>
      <c r="R667">
        <v>17.3</v>
      </c>
      <c r="T667" s="39">
        <v>43793</v>
      </c>
      <c r="U667" s="22" t="s">
        <v>242</v>
      </c>
      <c r="V667" t="s">
        <v>302</v>
      </c>
      <c r="W667" s="22" t="s">
        <v>291</v>
      </c>
    </row>
    <row r="668" spans="1:23" x14ac:dyDescent="0.2">
      <c r="A668" t="s">
        <v>191</v>
      </c>
      <c r="O668">
        <v>-10</v>
      </c>
      <c r="P668">
        <v>46</v>
      </c>
      <c r="R668">
        <v>29.1</v>
      </c>
      <c r="T668" s="39">
        <v>43793</v>
      </c>
      <c r="U668" s="22" t="s">
        <v>242</v>
      </c>
      <c r="V668" t="s">
        <v>307</v>
      </c>
      <c r="W668" s="22" t="s">
        <v>301</v>
      </c>
    </row>
    <row r="669" spans="1:23" x14ac:dyDescent="0.2">
      <c r="A669" t="s">
        <v>191</v>
      </c>
      <c r="B669" t="s">
        <v>102</v>
      </c>
      <c r="J669" t="s">
        <v>75</v>
      </c>
      <c r="K669" t="s">
        <v>75</v>
      </c>
      <c r="L669" t="s">
        <v>76</v>
      </c>
      <c r="M669" t="s">
        <v>75</v>
      </c>
      <c r="N669" t="s">
        <v>134</v>
      </c>
      <c r="O669">
        <v>6</v>
      </c>
      <c r="P669">
        <v>41</v>
      </c>
      <c r="Q669">
        <v>4.9000000000000004</v>
      </c>
      <c r="R669">
        <v>8.6999999999999993</v>
      </c>
      <c r="S669">
        <v>1.8</v>
      </c>
      <c r="T669" s="39">
        <v>43793</v>
      </c>
      <c r="U669" s="22" t="s">
        <v>242</v>
      </c>
      <c r="V669" t="s">
        <v>296</v>
      </c>
      <c r="W669" s="22" t="s">
        <v>265</v>
      </c>
    </row>
    <row r="670" spans="1:23" x14ac:dyDescent="0.2">
      <c r="A670" t="s">
        <v>191</v>
      </c>
      <c r="E670" t="s">
        <v>75</v>
      </c>
      <c r="O670">
        <v>3.5</v>
      </c>
      <c r="P670">
        <v>45</v>
      </c>
      <c r="R670">
        <v>3.8</v>
      </c>
      <c r="T670" s="39">
        <v>43793</v>
      </c>
      <c r="U670" s="22" t="s">
        <v>242</v>
      </c>
      <c r="V670" t="s">
        <v>298</v>
      </c>
      <c r="W670" s="22" t="s">
        <v>303</v>
      </c>
    </row>
    <row r="671" spans="1:23" x14ac:dyDescent="0.2">
      <c r="A671" t="s">
        <v>191</v>
      </c>
      <c r="O671">
        <v>1</v>
      </c>
      <c r="P671">
        <v>45.5</v>
      </c>
      <c r="T671" s="39">
        <v>43793</v>
      </c>
      <c r="U671" s="22" t="s">
        <v>242</v>
      </c>
      <c r="V671" t="s">
        <v>294</v>
      </c>
      <c r="W671" s="22" t="s">
        <v>308</v>
      </c>
    </row>
    <row r="672" spans="1:23" x14ac:dyDescent="0.2">
      <c r="A672" t="s">
        <v>191</v>
      </c>
      <c r="O672" s="8">
        <v>-5.5</v>
      </c>
      <c r="P672" s="8">
        <v>37.5</v>
      </c>
      <c r="R672">
        <v>18.8</v>
      </c>
      <c r="T672" s="39">
        <v>43793</v>
      </c>
      <c r="U672" s="22" t="s">
        <v>242</v>
      </c>
      <c r="V672" t="s">
        <v>309</v>
      </c>
      <c r="W672" s="22" t="s">
        <v>272</v>
      </c>
    </row>
    <row r="673" spans="1:23" x14ac:dyDescent="0.2">
      <c r="A673" t="s">
        <v>191</v>
      </c>
      <c r="O673">
        <v>-3</v>
      </c>
      <c r="P673">
        <v>48</v>
      </c>
      <c r="R673">
        <v>2.5</v>
      </c>
      <c r="T673" s="39">
        <v>43793</v>
      </c>
      <c r="U673" s="22" t="s">
        <v>242</v>
      </c>
      <c r="V673" s="22" t="s">
        <v>256</v>
      </c>
      <c r="W673" s="22" t="s">
        <v>300</v>
      </c>
    </row>
    <row r="674" spans="1:23" x14ac:dyDescent="0.2">
      <c r="A674" t="s">
        <v>191</v>
      </c>
      <c r="O674">
        <v>-1</v>
      </c>
      <c r="P674">
        <v>45.5</v>
      </c>
      <c r="R674">
        <v>4.8</v>
      </c>
      <c r="T674" s="39">
        <v>43793</v>
      </c>
      <c r="U674" s="22" t="s">
        <v>242</v>
      </c>
      <c r="V674" t="s">
        <v>308</v>
      </c>
      <c r="W674" s="22" t="s">
        <v>294</v>
      </c>
    </row>
    <row r="675" spans="1:23" x14ac:dyDescent="0.2">
      <c r="A675" t="s">
        <v>191</v>
      </c>
      <c r="E675" t="s">
        <v>75</v>
      </c>
      <c r="F675" s="20" t="s">
        <v>109</v>
      </c>
      <c r="O675">
        <v>3.5</v>
      </c>
      <c r="P675">
        <v>51.5</v>
      </c>
      <c r="R675">
        <v>9</v>
      </c>
      <c r="T675" s="39">
        <v>43793</v>
      </c>
      <c r="U675" s="22" t="s">
        <v>242</v>
      </c>
      <c r="V675" t="s">
        <v>284</v>
      </c>
      <c r="W675" s="22" t="s">
        <v>295</v>
      </c>
    </row>
    <row r="676" spans="1:23" x14ac:dyDescent="0.2">
      <c r="A676" t="s">
        <v>191</v>
      </c>
      <c r="E676" t="s">
        <v>75</v>
      </c>
      <c r="F676" t="s">
        <v>110</v>
      </c>
      <c r="O676">
        <v>-4.5</v>
      </c>
      <c r="P676">
        <v>42</v>
      </c>
      <c r="R676">
        <v>26.5</v>
      </c>
      <c r="T676" s="39">
        <v>43793</v>
      </c>
      <c r="U676" s="22" t="s">
        <v>242</v>
      </c>
      <c r="V676" t="s">
        <v>310</v>
      </c>
      <c r="W676" s="22" t="s">
        <v>297</v>
      </c>
    </row>
    <row r="677" spans="1:23" x14ac:dyDescent="0.2">
      <c r="A677" t="s">
        <v>191</v>
      </c>
      <c r="F677" t="s">
        <v>110</v>
      </c>
      <c r="O677">
        <v>4</v>
      </c>
      <c r="P677">
        <v>39</v>
      </c>
      <c r="R677">
        <v>12.2</v>
      </c>
      <c r="T677" s="39">
        <v>43793</v>
      </c>
      <c r="U677" s="22" t="s">
        <v>242</v>
      </c>
      <c r="V677" t="s">
        <v>306</v>
      </c>
      <c r="W677" s="22" t="s">
        <v>299</v>
      </c>
    </row>
    <row r="678" spans="1:23" x14ac:dyDescent="0.2">
      <c r="A678" t="s">
        <v>191</v>
      </c>
      <c r="F678" t="s">
        <v>109</v>
      </c>
      <c r="O678">
        <v>2.5</v>
      </c>
      <c r="P678">
        <v>47</v>
      </c>
      <c r="R678">
        <v>11.6</v>
      </c>
      <c r="T678" s="39">
        <v>43800</v>
      </c>
      <c r="U678" s="22" t="s">
        <v>241</v>
      </c>
      <c r="V678" t="s">
        <v>285</v>
      </c>
      <c r="W678" s="22" t="s">
        <v>304</v>
      </c>
    </row>
    <row r="679" spans="1:23" x14ac:dyDescent="0.2">
      <c r="A679" t="s">
        <v>191</v>
      </c>
      <c r="O679">
        <v>7</v>
      </c>
      <c r="P679">
        <v>48</v>
      </c>
      <c r="R679">
        <v>17.100000000000001</v>
      </c>
      <c r="T679" s="39">
        <v>43800</v>
      </c>
      <c r="U679" s="22" t="s">
        <v>241</v>
      </c>
      <c r="V679" t="s">
        <v>295</v>
      </c>
      <c r="W679" s="22" t="s">
        <v>307</v>
      </c>
    </row>
    <row r="680" spans="1:23" x14ac:dyDescent="0.2">
      <c r="A680" t="s">
        <v>191</v>
      </c>
      <c r="F680" t="s">
        <v>110</v>
      </c>
      <c r="O680">
        <v>-5.5</v>
      </c>
      <c r="P680">
        <v>45</v>
      </c>
      <c r="R680">
        <v>1.1000000000000001</v>
      </c>
      <c r="T680" s="39">
        <v>43800</v>
      </c>
      <c r="U680" s="22" t="s">
        <v>241</v>
      </c>
      <c r="V680" s="41" t="s">
        <v>305</v>
      </c>
      <c r="W680" s="22" t="s">
        <v>256</v>
      </c>
    </row>
    <row r="681" spans="1:23" x14ac:dyDescent="0.2">
      <c r="A681" t="s">
        <v>191</v>
      </c>
      <c r="O681">
        <v>6.5</v>
      </c>
      <c r="P681">
        <v>46.5</v>
      </c>
      <c r="R681">
        <v>10.72</v>
      </c>
      <c r="T681" s="39">
        <v>43800</v>
      </c>
      <c r="U681" s="22" t="s">
        <v>241</v>
      </c>
      <c r="V681" t="s">
        <v>276</v>
      </c>
      <c r="W681" s="22" t="s">
        <v>291</v>
      </c>
    </row>
    <row r="682" spans="1:23" x14ac:dyDescent="0.2">
      <c r="A682" t="s">
        <v>191</v>
      </c>
      <c r="F682" t="s">
        <v>110</v>
      </c>
      <c r="O682">
        <v>10.5</v>
      </c>
      <c r="P682">
        <v>38.5</v>
      </c>
      <c r="R682">
        <v>19.2</v>
      </c>
      <c r="T682" s="39">
        <v>43800</v>
      </c>
      <c r="U682" s="22" t="s">
        <v>241</v>
      </c>
      <c r="V682" t="s">
        <v>301</v>
      </c>
      <c r="W682" s="22" t="s">
        <v>306</v>
      </c>
    </row>
    <row r="683" spans="1:23" x14ac:dyDescent="0.2">
      <c r="A683" t="s">
        <v>191</v>
      </c>
      <c r="B683" t="s">
        <v>56</v>
      </c>
      <c r="J683" t="s">
        <v>75</v>
      </c>
      <c r="K683" t="s">
        <v>76</v>
      </c>
      <c r="L683" s="1" t="s">
        <v>75</v>
      </c>
      <c r="M683" s="1" t="s">
        <v>75</v>
      </c>
      <c r="N683" s="1" t="s">
        <v>134</v>
      </c>
      <c r="O683">
        <v>-5.5</v>
      </c>
      <c r="P683">
        <v>37.5</v>
      </c>
      <c r="Q683">
        <v>6.7</v>
      </c>
      <c r="R683">
        <v>22.6</v>
      </c>
      <c r="S683">
        <v>3.4</v>
      </c>
      <c r="T683" s="39">
        <v>43800</v>
      </c>
      <c r="U683" s="22" t="s">
        <v>241</v>
      </c>
      <c r="V683" t="s">
        <v>265</v>
      </c>
      <c r="W683" s="22" t="s">
        <v>299</v>
      </c>
    </row>
    <row r="684" spans="1:23" x14ac:dyDescent="0.2">
      <c r="A684" t="s">
        <v>191</v>
      </c>
      <c r="D684" t="s">
        <v>75</v>
      </c>
      <c r="F684" t="s">
        <v>109</v>
      </c>
      <c r="O684">
        <v>2.5</v>
      </c>
      <c r="P684">
        <v>43</v>
      </c>
      <c r="R684">
        <v>16.899999999999999</v>
      </c>
      <c r="T684" s="39">
        <v>43800</v>
      </c>
      <c r="U684" s="22" t="s">
        <v>241</v>
      </c>
      <c r="V684" s="17" t="s">
        <v>272</v>
      </c>
      <c r="W684" s="22" t="s">
        <v>298</v>
      </c>
    </row>
    <row r="685" spans="1:23" x14ac:dyDescent="0.2">
      <c r="A685" t="s">
        <v>191</v>
      </c>
      <c r="B685" t="s">
        <v>51</v>
      </c>
      <c r="C685">
        <v>13.9</v>
      </c>
      <c r="D685" t="s">
        <v>76</v>
      </c>
      <c r="E685" t="s">
        <v>76</v>
      </c>
      <c r="O685">
        <v>-1</v>
      </c>
      <c r="P685">
        <v>40</v>
      </c>
      <c r="Q685">
        <v>6.7</v>
      </c>
      <c r="R685">
        <v>5.9</v>
      </c>
      <c r="S685">
        <v>0.9</v>
      </c>
      <c r="T685" s="39">
        <v>43800</v>
      </c>
      <c r="U685" s="22" t="s">
        <v>241</v>
      </c>
      <c r="V685" t="s">
        <v>281</v>
      </c>
      <c r="W685" s="22" t="s">
        <v>309</v>
      </c>
    </row>
    <row r="686" spans="1:23" x14ac:dyDescent="0.2">
      <c r="A686" t="s">
        <v>191</v>
      </c>
      <c r="O686">
        <v>-6.5</v>
      </c>
      <c r="P686">
        <v>46.5</v>
      </c>
      <c r="R686">
        <v>16.5</v>
      </c>
      <c r="T686" s="39">
        <v>43800</v>
      </c>
      <c r="U686" s="22" t="s">
        <v>241</v>
      </c>
      <c r="V686" t="s">
        <v>291</v>
      </c>
      <c r="W686" s="22" t="s">
        <v>276</v>
      </c>
    </row>
    <row r="687" spans="1:23" x14ac:dyDescent="0.2">
      <c r="A687" t="s">
        <v>191</v>
      </c>
      <c r="B687" t="s">
        <v>48</v>
      </c>
      <c r="C687">
        <v>10.9</v>
      </c>
      <c r="D687" t="s">
        <v>76</v>
      </c>
      <c r="E687" t="s">
        <v>76</v>
      </c>
      <c r="F687" t="s">
        <v>110</v>
      </c>
      <c r="O687">
        <v>4.5</v>
      </c>
      <c r="P687">
        <v>39</v>
      </c>
      <c r="Q687">
        <v>5.8</v>
      </c>
      <c r="R687">
        <v>23.4</v>
      </c>
      <c r="S687">
        <v>4</v>
      </c>
      <c r="T687" s="39">
        <v>43800</v>
      </c>
      <c r="U687" t="s">
        <v>241</v>
      </c>
      <c r="V687" t="s">
        <v>278</v>
      </c>
      <c r="W687" t="s">
        <v>287</v>
      </c>
    </row>
    <row r="688" spans="1:23" x14ac:dyDescent="0.2">
      <c r="A688" t="s">
        <v>191</v>
      </c>
      <c r="D688" t="s">
        <v>75</v>
      </c>
      <c r="O688">
        <v>5.5</v>
      </c>
      <c r="P688">
        <v>37.5</v>
      </c>
      <c r="R688">
        <v>28.8</v>
      </c>
      <c r="T688" s="39">
        <v>43800</v>
      </c>
      <c r="U688" s="22" t="s">
        <v>241</v>
      </c>
      <c r="V688" t="s">
        <v>299</v>
      </c>
      <c r="W688" s="22" t="s">
        <v>265</v>
      </c>
    </row>
    <row r="689" spans="1:23" x14ac:dyDescent="0.2">
      <c r="A689" t="s">
        <v>191</v>
      </c>
      <c r="O689">
        <v>-6.5</v>
      </c>
      <c r="P689">
        <v>43.5</v>
      </c>
      <c r="R689">
        <v>24.4</v>
      </c>
      <c r="T689" s="39">
        <v>43800</v>
      </c>
      <c r="U689" s="22" t="s">
        <v>241</v>
      </c>
      <c r="V689" t="s">
        <v>300</v>
      </c>
      <c r="W689" s="22" t="s">
        <v>296</v>
      </c>
    </row>
    <row r="690" spans="1:23" x14ac:dyDescent="0.2">
      <c r="A690" t="s">
        <v>191</v>
      </c>
      <c r="O690">
        <v>3.5</v>
      </c>
      <c r="P690">
        <v>47</v>
      </c>
      <c r="R690">
        <v>15.64</v>
      </c>
      <c r="T690" s="39">
        <v>43800</v>
      </c>
      <c r="U690" s="22" t="s">
        <v>241</v>
      </c>
      <c r="V690" t="s">
        <v>311</v>
      </c>
      <c r="W690" s="22" t="s">
        <v>302</v>
      </c>
    </row>
    <row r="691" spans="1:23" x14ac:dyDescent="0.2">
      <c r="A691" t="s">
        <v>191</v>
      </c>
      <c r="O691">
        <v>1</v>
      </c>
      <c r="P691">
        <v>41.5</v>
      </c>
      <c r="R691" s="3">
        <v>20.9</v>
      </c>
      <c r="S691" s="3"/>
      <c r="T691" s="39">
        <v>43800</v>
      </c>
      <c r="U691" s="22" t="s">
        <v>241</v>
      </c>
      <c r="V691" t="s">
        <v>289</v>
      </c>
      <c r="W691" s="22" t="s">
        <v>310</v>
      </c>
    </row>
    <row r="692" spans="1:23" x14ac:dyDescent="0.2">
      <c r="A692" t="s">
        <v>191</v>
      </c>
      <c r="F692" t="s">
        <v>109</v>
      </c>
      <c r="O692">
        <v>3</v>
      </c>
      <c r="P692">
        <v>46.5</v>
      </c>
      <c r="R692">
        <v>6.7</v>
      </c>
      <c r="T692" s="39">
        <v>43800</v>
      </c>
      <c r="U692" s="22" t="s">
        <v>241</v>
      </c>
      <c r="V692" t="s">
        <v>297</v>
      </c>
      <c r="W692" s="22" t="s">
        <v>284</v>
      </c>
    </row>
    <row r="693" spans="1:23" x14ac:dyDescent="0.2">
      <c r="A693" t="s">
        <v>191</v>
      </c>
      <c r="O693">
        <v>-11.5</v>
      </c>
      <c r="P693">
        <v>49.5</v>
      </c>
      <c r="R693">
        <v>10.1</v>
      </c>
      <c r="T693" s="39">
        <v>43800</v>
      </c>
      <c r="U693" s="22" t="s">
        <v>241</v>
      </c>
      <c r="V693" t="s">
        <v>288</v>
      </c>
      <c r="W693" s="22" t="s">
        <v>303</v>
      </c>
    </row>
    <row r="694" spans="1:23" x14ac:dyDescent="0.2">
      <c r="A694" t="s">
        <v>191</v>
      </c>
      <c r="O694">
        <v>11.5</v>
      </c>
      <c r="P694">
        <v>49.5</v>
      </c>
      <c r="R694">
        <v>1.9</v>
      </c>
      <c r="T694" s="39">
        <v>43800</v>
      </c>
      <c r="U694" s="22" t="s">
        <v>241</v>
      </c>
      <c r="V694" t="s">
        <v>303</v>
      </c>
      <c r="W694" s="22" t="s">
        <v>288</v>
      </c>
    </row>
    <row r="695" spans="1:23" x14ac:dyDescent="0.2">
      <c r="A695" t="s">
        <v>191</v>
      </c>
      <c r="F695" t="s">
        <v>110</v>
      </c>
      <c r="O695">
        <v>-4.5</v>
      </c>
      <c r="P695">
        <v>39</v>
      </c>
      <c r="R695">
        <v>18.8</v>
      </c>
      <c r="T695" s="39">
        <v>43800</v>
      </c>
      <c r="U695" s="22" t="s">
        <v>241</v>
      </c>
      <c r="V695" t="s">
        <v>287</v>
      </c>
      <c r="W695" s="22" t="s">
        <v>278</v>
      </c>
    </row>
    <row r="696" spans="1:23" x14ac:dyDescent="0.2">
      <c r="A696" t="s">
        <v>191</v>
      </c>
      <c r="F696" t="s">
        <v>109</v>
      </c>
      <c r="O696">
        <v>-2.5</v>
      </c>
      <c r="P696">
        <v>47</v>
      </c>
      <c r="R696" s="14">
        <v>18.5</v>
      </c>
      <c r="S696" s="14"/>
      <c r="T696" s="39">
        <v>43800</v>
      </c>
      <c r="U696" s="22" t="s">
        <v>241</v>
      </c>
      <c r="V696" t="s">
        <v>304</v>
      </c>
      <c r="W696" s="22" t="s">
        <v>285</v>
      </c>
    </row>
    <row r="697" spans="1:23" x14ac:dyDescent="0.2">
      <c r="A697" t="s">
        <v>191</v>
      </c>
      <c r="O697">
        <v>10.5</v>
      </c>
      <c r="P697">
        <v>45</v>
      </c>
      <c r="R697">
        <v>37.9</v>
      </c>
      <c r="T697" s="39">
        <v>43800</v>
      </c>
      <c r="U697" s="22" t="s">
        <v>241</v>
      </c>
      <c r="V697" t="s">
        <v>293</v>
      </c>
      <c r="W697" s="22" t="s">
        <v>294</v>
      </c>
    </row>
    <row r="698" spans="1:23" x14ac:dyDescent="0.2">
      <c r="A698" t="s">
        <v>191</v>
      </c>
      <c r="O698">
        <v>2.5</v>
      </c>
      <c r="P698">
        <v>48</v>
      </c>
      <c r="R698" s="3">
        <v>9.1999999999999993</v>
      </c>
      <c r="S698" s="3"/>
      <c r="T698" s="39">
        <v>43800</v>
      </c>
      <c r="U698" s="22" t="s">
        <v>241</v>
      </c>
      <c r="V698" t="s">
        <v>312</v>
      </c>
      <c r="W698" s="22" t="s">
        <v>308</v>
      </c>
    </row>
    <row r="699" spans="1:23" x14ac:dyDescent="0.2">
      <c r="A699" t="s">
        <v>191</v>
      </c>
      <c r="O699">
        <v>-3.5</v>
      </c>
      <c r="P699">
        <v>47</v>
      </c>
      <c r="R699">
        <v>24.9</v>
      </c>
      <c r="T699" s="39">
        <v>43800</v>
      </c>
      <c r="U699" s="22" t="s">
        <v>241</v>
      </c>
      <c r="V699" t="s">
        <v>302</v>
      </c>
      <c r="W699" s="22" t="s">
        <v>311</v>
      </c>
    </row>
    <row r="700" spans="1:23" x14ac:dyDescent="0.2">
      <c r="A700" t="s">
        <v>191</v>
      </c>
      <c r="O700">
        <v>-7</v>
      </c>
      <c r="P700">
        <v>48</v>
      </c>
      <c r="R700">
        <v>10.8</v>
      </c>
      <c r="T700" s="39">
        <v>43800</v>
      </c>
      <c r="U700" s="22" t="s">
        <v>241</v>
      </c>
      <c r="V700" t="s">
        <v>307</v>
      </c>
      <c r="W700" s="22" t="s">
        <v>295</v>
      </c>
    </row>
    <row r="701" spans="1:23" x14ac:dyDescent="0.2">
      <c r="A701" t="s">
        <v>191</v>
      </c>
      <c r="B701" t="s">
        <v>102</v>
      </c>
      <c r="C701">
        <v>8.4</v>
      </c>
      <c r="D701" t="s">
        <v>76</v>
      </c>
      <c r="E701" t="s">
        <v>75</v>
      </c>
      <c r="J701" t="s">
        <v>75</v>
      </c>
      <c r="K701" t="s">
        <v>75</v>
      </c>
      <c r="L701" t="s">
        <v>76</v>
      </c>
      <c r="M701" t="s">
        <v>75</v>
      </c>
      <c r="N701" t="s">
        <v>132</v>
      </c>
      <c r="O701">
        <v>6.5</v>
      </c>
      <c r="P701">
        <v>43.5</v>
      </c>
      <c r="Q701">
        <v>4.9000000000000004</v>
      </c>
      <c r="R701">
        <v>13</v>
      </c>
      <c r="S701">
        <v>2.7</v>
      </c>
      <c r="T701" s="39">
        <v>43800</v>
      </c>
      <c r="U701" s="22" t="s">
        <v>241</v>
      </c>
      <c r="V701" t="s">
        <v>296</v>
      </c>
      <c r="W701" s="22" t="s">
        <v>300</v>
      </c>
    </row>
    <row r="702" spans="1:23" x14ac:dyDescent="0.2">
      <c r="A702" t="s">
        <v>191</v>
      </c>
      <c r="F702" t="s">
        <v>109</v>
      </c>
      <c r="O702">
        <v>-2.5</v>
      </c>
      <c r="P702">
        <v>43</v>
      </c>
      <c r="R702">
        <v>2.8</v>
      </c>
      <c r="T702" s="39">
        <v>43800</v>
      </c>
      <c r="U702" s="22" t="s">
        <v>241</v>
      </c>
      <c r="V702" t="s">
        <v>298</v>
      </c>
      <c r="W702" s="22" t="s">
        <v>272</v>
      </c>
    </row>
    <row r="703" spans="1:23" x14ac:dyDescent="0.2">
      <c r="A703" t="s">
        <v>191</v>
      </c>
      <c r="D703" t="s">
        <v>75</v>
      </c>
      <c r="O703">
        <v>-10.5</v>
      </c>
      <c r="P703">
        <v>45</v>
      </c>
      <c r="R703">
        <v>31.7</v>
      </c>
      <c r="T703" s="39">
        <v>43800</v>
      </c>
      <c r="U703" s="22" t="s">
        <v>241</v>
      </c>
      <c r="V703" t="s">
        <v>294</v>
      </c>
      <c r="W703" s="22" t="s">
        <v>293</v>
      </c>
    </row>
    <row r="704" spans="1:23" x14ac:dyDescent="0.2">
      <c r="A704" t="s">
        <v>191</v>
      </c>
      <c r="O704">
        <v>1</v>
      </c>
      <c r="P704">
        <v>40</v>
      </c>
      <c r="R704">
        <v>24.1</v>
      </c>
      <c r="T704" s="39">
        <v>43800</v>
      </c>
      <c r="U704" s="22" t="s">
        <v>241</v>
      </c>
      <c r="V704" t="s">
        <v>309</v>
      </c>
      <c r="W704" s="22" t="s">
        <v>281</v>
      </c>
    </row>
    <row r="705" spans="1:23" x14ac:dyDescent="0.2">
      <c r="A705" t="s">
        <v>191</v>
      </c>
      <c r="F705" t="s">
        <v>110</v>
      </c>
      <c r="O705">
        <v>5.5</v>
      </c>
      <c r="P705">
        <v>45</v>
      </c>
      <c r="R705">
        <v>8.1</v>
      </c>
      <c r="T705" s="39">
        <v>43800</v>
      </c>
      <c r="U705" s="22" t="s">
        <v>241</v>
      </c>
      <c r="V705" s="22" t="s">
        <v>256</v>
      </c>
      <c r="W705" s="22" t="s">
        <v>305</v>
      </c>
    </row>
    <row r="706" spans="1:23" x14ac:dyDescent="0.2">
      <c r="A706" t="s">
        <v>191</v>
      </c>
      <c r="O706">
        <v>-2.5</v>
      </c>
      <c r="P706">
        <v>48</v>
      </c>
      <c r="R706">
        <v>0</v>
      </c>
      <c r="T706" s="39">
        <v>43800</v>
      </c>
      <c r="U706" s="22" t="s">
        <v>241</v>
      </c>
      <c r="V706" s="41" t="s">
        <v>308</v>
      </c>
      <c r="W706" s="22" t="s">
        <v>312</v>
      </c>
    </row>
    <row r="707" spans="1:23" x14ac:dyDescent="0.2">
      <c r="A707" t="s">
        <v>191</v>
      </c>
      <c r="F707" t="s">
        <v>109</v>
      </c>
      <c r="O707">
        <v>-3</v>
      </c>
      <c r="P707">
        <v>46.5</v>
      </c>
      <c r="R707">
        <v>9.3000000000000007</v>
      </c>
      <c r="T707" s="39">
        <v>43800</v>
      </c>
      <c r="U707" s="22" t="s">
        <v>241</v>
      </c>
      <c r="V707" s="41" t="s">
        <v>284</v>
      </c>
      <c r="W707" s="22" t="s">
        <v>297</v>
      </c>
    </row>
    <row r="708" spans="1:23" x14ac:dyDescent="0.2">
      <c r="A708" t="s">
        <v>191</v>
      </c>
      <c r="O708">
        <v>-1</v>
      </c>
      <c r="P708">
        <v>41.5</v>
      </c>
      <c r="R708">
        <v>7.5</v>
      </c>
      <c r="T708" s="39">
        <v>43800</v>
      </c>
      <c r="U708" s="22" t="s">
        <v>241</v>
      </c>
      <c r="V708" s="41" t="s">
        <v>310</v>
      </c>
      <c r="W708" s="22" t="s">
        <v>289</v>
      </c>
    </row>
    <row r="709" spans="1:23" x14ac:dyDescent="0.2">
      <c r="A709" t="s">
        <v>191</v>
      </c>
      <c r="F709" t="s">
        <v>110</v>
      </c>
      <c r="O709">
        <v>-10.5</v>
      </c>
      <c r="P709">
        <v>38.5</v>
      </c>
      <c r="R709">
        <v>2.8</v>
      </c>
      <c r="T709" s="39">
        <v>43800</v>
      </c>
      <c r="U709" s="22" t="s">
        <v>241</v>
      </c>
      <c r="V709" s="41" t="s">
        <v>306</v>
      </c>
      <c r="W709" s="22" t="s">
        <v>301</v>
      </c>
    </row>
    <row r="710" spans="1:23" x14ac:dyDescent="0.2">
      <c r="A710" t="s">
        <v>191</v>
      </c>
      <c r="B710" t="s">
        <v>51</v>
      </c>
      <c r="C710">
        <v>12.4</v>
      </c>
      <c r="D710" t="s">
        <v>75</v>
      </c>
      <c r="E710" t="s">
        <v>76</v>
      </c>
      <c r="J710" t="s">
        <v>76</v>
      </c>
      <c r="K710" t="s">
        <v>76</v>
      </c>
      <c r="L710" t="s">
        <v>75</v>
      </c>
      <c r="M710" t="s">
        <v>75</v>
      </c>
      <c r="N710" t="s">
        <v>132</v>
      </c>
      <c r="O710">
        <v>-6.5</v>
      </c>
      <c r="P710">
        <v>43</v>
      </c>
      <c r="Q710">
        <v>6.3</v>
      </c>
      <c r="R710">
        <v>5.9</v>
      </c>
      <c r="S710" s="1">
        <f t="shared" ref="S710:S717" si="0">R710/Q710</f>
        <v>0.93650793650793662</v>
      </c>
      <c r="T710" s="39">
        <v>43807</v>
      </c>
      <c r="U710" s="22" t="s">
        <v>239</v>
      </c>
      <c r="V710" s="43" t="s">
        <v>281</v>
      </c>
      <c r="W710" s="22" t="s">
        <v>272</v>
      </c>
    </row>
    <row r="711" spans="1:23" x14ac:dyDescent="0.2">
      <c r="A711" t="s">
        <v>191</v>
      </c>
      <c r="B711" t="s">
        <v>20</v>
      </c>
      <c r="C711">
        <v>11.2</v>
      </c>
      <c r="D711" t="s">
        <v>76</v>
      </c>
      <c r="E711" t="s">
        <v>76</v>
      </c>
      <c r="F711" t="s">
        <v>110</v>
      </c>
      <c r="J711" t="s">
        <v>76</v>
      </c>
      <c r="K711" t="s">
        <v>76</v>
      </c>
      <c r="L711" t="s">
        <v>76</v>
      </c>
      <c r="M711" t="s">
        <v>76</v>
      </c>
      <c r="N711" t="s">
        <v>132</v>
      </c>
      <c r="O711">
        <v>-3</v>
      </c>
      <c r="P711">
        <v>46.5</v>
      </c>
      <c r="Q711">
        <v>7.2</v>
      </c>
      <c r="R711">
        <v>13.1</v>
      </c>
      <c r="S711" s="1">
        <f t="shared" si="0"/>
        <v>1.8194444444444444</v>
      </c>
      <c r="T711" s="39">
        <v>43807</v>
      </c>
      <c r="U711" s="22" t="s">
        <v>239</v>
      </c>
      <c r="V711" s="43" t="s">
        <v>284</v>
      </c>
      <c r="W711" s="22" t="s">
        <v>289</v>
      </c>
    </row>
    <row r="712" spans="1:23" x14ac:dyDescent="0.2">
      <c r="A712" t="s">
        <v>191</v>
      </c>
      <c r="B712" t="s">
        <v>50</v>
      </c>
      <c r="C712">
        <v>9.6999999999999993</v>
      </c>
      <c r="D712" t="s">
        <v>76</v>
      </c>
      <c r="E712" t="s">
        <v>76</v>
      </c>
      <c r="J712" t="s">
        <v>76</v>
      </c>
      <c r="K712" t="s">
        <v>76</v>
      </c>
      <c r="L712" t="s">
        <v>76</v>
      </c>
      <c r="M712" t="s">
        <v>76</v>
      </c>
      <c r="N712" t="s">
        <v>132</v>
      </c>
      <c r="O712">
        <v>2.5</v>
      </c>
      <c r="P712">
        <v>43.5</v>
      </c>
      <c r="Q712">
        <v>5.2</v>
      </c>
      <c r="R712">
        <v>16.899999999999999</v>
      </c>
      <c r="S712" s="1">
        <f t="shared" si="0"/>
        <v>3.2499999999999996</v>
      </c>
      <c r="T712" s="39">
        <v>43807</v>
      </c>
      <c r="U712" s="22" t="s">
        <v>239</v>
      </c>
      <c r="V712" s="43" t="s">
        <v>285</v>
      </c>
      <c r="W712" s="22" t="s">
        <v>309</v>
      </c>
    </row>
    <row r="713" spans="1:23" x14ac:dyDescent="0.2">
      <c r="A713" t="s">
        <v>191</v>
      </c>
      <c r="B713" t="s">
        <v>116</v>
      </c>
      <c r="C713">
        <v>9.5</v>
      </c>
      <c r="D713" t="s">
        <v>76</v>
      </c>
      <c r="E713" t="s">
        <v>76</v>
      </c>
      <c r="J713" t="s">
        <v>76</v>
      </c>
      <c r="K713" t="s">
        <v>76</v>
      </c>
      <c r="L713" t="s">
        <v>76</v>
      </c>
      <c r="M713" t="s">
        <v>75</v>
      </c>
      <c r="N713" t="s">
        <v>134</v>
      </c>
      <c r="O713">
        <v>-3</v>
      </c>
      <c r="P713">
        <v>43</v>
      </c>
      <c r="Q713">
        <v>6.2</v>
      </c>
      <c r="R713">
        <v>20.3</v>
      </c>
      <c r="S713" s="1">
        <f t="shared" si="0"/>
        <v>3.274193548387097</v>
      </c>
      <c r="T713" s="39">
        <v>43807</v>
      </c>
      <c r="U713" s="22" t="s">
        <v>239</v>
      </c>
      <c r="V713" s="43" t="s">
        <v>291</v>
      </c>
      <c r="W713" s="22" t="s">
        <v>265</v>
      </c>
    </row>
    <row r="714" spans="1:23" x14ac:dyDescent="0.2">
      <c r="A714" t="s">
        <v>191</v>
      </c>
      <c r="B714" t="s">
        <v>94</v>
      </c>
      <c r="C714">
        <v>9.1999999999999993</v>
      </c>
      <c r="D714" t="s">
        <v>76</v>
      </c>
      <c r="E714" t="s">
        <v>76</v>
      </c>
      <c r="F714" t="s">
        <v>110</v>
      </c>
      <c r="J714" t="s">
        <v>75</v>
      </c>
      <c r="K714" t="s">
        <v>76</v>
      </c>
      <c r="L714" t="s">
        <v>76</v>
      </c>
      <c r="M714" t="s">
        <v>75</v>
      </c>
      <c r="N714" t="s">
        <v>134</v>
      </c>
      <c r="O714">
        <v>13</v>
      </c>
      <c r="P714">
        <v>42.5</v>
      </c>
      <c r="Q714">
        <v>5.0999999999999996</v>
      </c>
      <c r="R714">
        <v>15.7</v>
      </c>
      <c r="S714" s="1">
        <f t="shared" si="0"/>
        <v>3.0784313725490198</v>
      </c>
      <c r="T714" s="39">
        <v>43807</v>
      </c>
      <c r="U714" s="22" t="s">
        <v>239</v>
      </c>
      <c r="V714" s="43" t="s">
        <v>306</v>
      </c>
      <c r="W714" t="s">
        <v>300</v>
      </c>
    </row>
    <row r="715" spans="1:23" x14ac:dyDescent="0.2">
      <c r="A715" t="s">
        <v>191</v>
      </c>
      <c r="B715" t="s">
        <v>26</v>
      </c>
      <c r="C715">
        <v>8.6</v>
      </c>
      <c r="D715" t="s">
        <v>75</v>
      </c>
      <c r="E715" t="s">
        <v>76</v>
      </c>
      <c r="F715" t="s">
        <v>109</v>
      </c>
      <c r="J715" t="s">
        <v>76</v>
      </c>
      <c r="K715" t="s">
        <v>76</v>
      </c>
      <c r="L715" t="s">
        <v>75</v>
      </c>
      <c r="M715" t="s">
        <v>75</v>
      </c>
      <c r="N715" t="s">
        <v>132</v>
      </c>
      <c r="O715">
        <v>-5</v>
      </c>
      <c r="P715">
        <v>47</v>
      </c>
      <c r="Q715">
        <v>5.3</v>
      </c>
      <c r="R715">
        <v>6</v>
      </c>
      <c r="S715" s="1">
        <f t="shared" si="0"/>
        <v>1.1320754716981132</v>
      </c>
      <c r="T715" s="39">
        <v>43807</v>
      </c>
      <c r="U715" s="22" t="s">
        <v>239</v>
      </c>
      <c r="V715" s="43" t="s">
        <v>298</v>
      </c>
      <c r="W715" t="s">
        <v>293</v>
      </c>
    </row>
    <row r="716" spans="1:23" x14ac:dyDescent="0.2">
      <c r="A716" t="s">
        <v>191</v>
      </c>
      <c r="B716" t="s">
        <v>56</v>
      </c>
      <c r="J716" t="s">
        <v>75</v>
      </c>
      <c r="K716" t="s">
        <v>76</v>
      </c>
      <c r="L716" t="s">
        <v>76</v>
      </c>
      <c r="M716" t="s">
        <v>75</v>
      </c>
      <c r="N716" t="s">
        <v>132</v>
      </c>
      <c r="O716">
        <v>3</v>
      </c>
      <c r="P716">
        <v>43</v>
      </c>
      <c r="Q716">
        <v>6.5</v>
      </c>
      <c r="R716">
        <v>21.8</v>
      </c>
      <c r="S716" s="1">
        <f t="shared" si="0"/>
        <v>3.3538461538461539</v>
      </c>
      <c r="T716" s="39">
        <v>43807</v>
      </c>
      <c r="U716" s="22" t="s">
        <v>239</v>
      </c>
      <c r="V716" s="43" t="s">
        <v>265</v>
      </c>
      <c r="W716" t="s">
        <v>291</v>
      </c>
    </row>
    <row r="717" spans="1:23" x14ac:dyDescent="0.2">
      <c r="A717" t="s">
        <v>191</v>
      </c>
      <c r="B717" t="s">
        <v>102</v>
      </c>
      <c r="J717" t="s">
        <v>75</v>
      </c>
      <c r="K717" t="s">
        <v>76</v>
      </c>
      <c r="L717" s="1" t="s">
        <v>75</v>
      </c>
      <c r="M717" s="1" t="s">
        <v>75</v>
      </c>
      <c r="N717" s="1" t="s">
        <v>134</v>
      </c>
      <c r="O717">
        <v>9.5</v>
      </c>
      <c r="P717">
        <v>45.5</v>
      </c>
      <c r="Q717">
        <v>5.0999999999999996</v>
      </c>
      <c r="R717">
        <v>7.6</v>
      </c>
      <c r="S717" s="1">
        <f t="shared" si="0"/>
        <v>1.4901960784313726</v>
      </c>
      <c r="T717" s="39">
        <v>43807</v>
      </c>
      <c r="U717" s="22" t="s">
        <v>239</v>
      </c>
      <c r="V717" s="43" t="s">
        <v>296</v>
      </c>
      <c r="W717" t="s">
        <v>294</v>
      </c>
    </row>
  </sheetData>
  <autoFilter ref="A1:W20" xr:uid="{FE64CC99-464E-BE49-A2D2-CCFB2EB7901C}"/>
  <phoneticPr fontId="10" type="noConversion"/>
  <conditionalFormatting sqref="V224:V233 V87:V92 V435:V438 V536:V539">
    <cfRule type="cellIs" dxfId="207" priority="5" operator="between">
      <formula>21</formula>
      <formula>26</formula>
    </cfRule>
    <cfRule type="cellIs" dxfId="206" priority="6" operator="between">
      <formula>27</formula>
      <formula>32</formula>
    </cfRule>
    <cfRule type="cellIs" dxfId="205" priority="7" operator="between">
      <formula>7</formula>
      <formula>12</formula>
    </cfRule>
    <cfRule type="cellIs" dxfId="204" priority="8" operator="between">
      <formula>1</formula>
      <formula>6</formula>
    </cfRule>
  </conditionalFormatting>
  <conditionalFormatting sqref="V113:V122">
    <cfRule type="cellIs" dxfId="203" priority="13" operator="between">
      <formula>21</formula>
      <formula>26</formula>
    </cfRule>
    <cfRule type="cellIs" dxfId="202" priority="14" operator="between">
      <formula>27</formula>
      <formula>32</formula>
    </cfRule>
    <cfRule type="cellIs" dxfId="201" priority="15" operator="between">
      <formula>7</formula>
      <formula>12</formula>
    </cfRule>
    <cfRule type="cellIs" dxfId="200" priority="16" operator="between">
      <formula>1</formula>
      <formula>6</formula>
    </cfRule>
  </conditionalFormatting>
  <conditionalFormatting sqref="V163:V172">
    <cfRule type="cellIs" dxfId="199" priority="9" operator="between">
      <formula>21</formula>
      <formula>26</formula>
    </cfRule>
    <cfRule type="cellIs" dxfId="198" priority="10" operator="between">
      <formula>27</formula>
      <formula>32</formula>
    </cfRule>
    <cfRule type="cellIs" dxfId="197" priority="11" operator="between">
      <formula>7</formula>
      <formula>12</formula>
    </cfRule>
    <cfRule type="cellIs" dxfId="196" priority="12" operator="between">
      <formula>1</formula>
      <formula>6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E770-6A23-8842-95CA-280856A557E0}">
  <sheetPr codeName="Sheet6"/>
  <dimension ref="A1:BW728"/>
  <sheetViews>
    <sheetView workbookViewId="0">
      <pane ySplit="1" topLeftCell="A2" activePane="bottomLeft" state="frozen"/>
      <selection pane="bottomLeft" activeCell="V16" sqref="V16"/>
    </sheetView>
  </sheetViews>
  <sheetFormatPr baseColWidth="10" defaultRowHeight="16" x14ac:dyDescent="0.2"/>
  <cols>
    <col min="2" max="2" width="17.1640625" bestFit="1" customWidth="1"/>
    <col min="3" max="3" width="5.1640625" bestFit="1" customWidth="1"/>
    <col min="4" max="4" width="10.5" bestFit="1" customWidth="1"/>
    <col min="5" max="5" width="8.1640625" bestFit="1" customWidth="1"/>
    <col min="6" max="6" width="8.1640625" customWidth="1"/>
    <col min="7" max="8" width="9.1640625" customWidth="1"/>
    <col min="9" max="9" width="9.83203125" bestFit="1" customWidth="1"/>
    <col min="10" max="11" width="9.83203125" customWidth="1"/>
    <col min="12" max="12" width="3.6640625" bestFit="1" customWidth="1"/>
    <col min="13" max="13" width="4.83203125" bestFit="1" customWidth="1"/>
    <col min="14" max="14" width="8" bestFit="1" customWidth="1"/>
    <col min="15" max="15" width="6.83203125" bestFit="1" customWidth="1"/>
    <col min="16" max="16" width="5.1640625" bestFit="1" customWidth="1"/>
    <col min="19" max="20" width="10.83203125" style="1"/>
    <col min="22" max="23" width="19" bestFit="1" customWidth="1"/>
    <col min="24" max="24" width="12.33203125" bestFit="1" customWidth="1"/>
    <col min="26" max="26" width="12" bestFit="1" customWidth="1"/>
    <col min="27" max="27" width="15" bestFit="1" customWidth="1"/>
    <col min="29" max="29" width="12.33203125" bestFit="1" customWidth="1"/>
    <col min="31" max="31" width="12" bestFit="1" customWidth="1"/>
    <col min="32" max="32" width="15" bestFit="1" customWidth="1"/>
    <col min="34" max="34" width="12.33203125" bestFit="1" customWidth="1"/>
    <col min="36" max="36" width="12" bestFit="1" customWidth="1"/>
    <col min="37" max="37" width="15" bestFit="1" customWidth="1"/>
    <col min="39" max="39" width="12.33203125" bestFit="1" customWidth="1"/>
    <col min="41" max="41" width="12" bestFit="1" customWidth="1"/>
    <col min="42" max="42" width="15" bestFit="1" customWidth="1"/>
    <col min="44" max="44" width="12.33203125" bestFit="1" customWidth="1"/>
    <col min="46" max="46" width="12" bestFit="1" customWidth="1"/>
    <col min="47" max="47" width="15" bestFit="1" customWidth="1"/>
    <col min="49" max="49" width="12.33203125" bestFit="1" customWidth="1"/>
    <col min="51" max="51" width="12" bestFit="1" customWidth="1"/>
    <col min="52" max="52" width="15" bestFit="1" customWidth="1"/>
    <col min="54" max="54" width="12.33203125" bestFit="1" customWidth="1"/>
  </cols>
  <sheetData>
    <row r="1" spans="1:75" x14ac:dyDescent="0.2">
      <c r="A1" t="s">
        <v>420</v>
      </c>
      <c r="B1" t="s">
        <v>1</v>
      </c>
      <c r="C1" t="s">
        <v>77</v>
      </c>
      <c r="D1" t="s">
        <v>65</v>
      </c>
      <c r="E1" t="s">
        <v>66</v>
      </c>
      <c r="F1" t="s">
        <v>108</v>
      </c>
      <c r="G1" t="s">
        <v>120</v>
      </c>
      <c r="H1" t="s">
        <v>121</v>
      </c>
      <c r="I1" t="s">
        <v>131</v>
      </c>
      <c r="J1" t="s">
        <v>119</v>
      </c>
      <c r="K1" t="s">
        <v>133</v>
      </c>
      <c r="L1" t="s">
        <v>122</v>
      </c>
      <c r="M1" t="s">
        <v>123</v>
      </c>
      <c r="N1" t="s">
        <v>124</v>
      </c>
      <c r="O1" t="s">
        <v>9</v>
      </c>
      <c r="P1" t="s">
        <v>13</v>
      </c>
      <c r="Q1" t="s">
        <v>2</v>
      </c>
      <c r="R1" t="s">
        <v>3</v>
      </c>
      <c r="S1" s="1" t="s">
        <v>6</v>
      </c>
      <c r="T1" s="1" t="s">
        <v>226</v>
      </c>
      <c r="U1" t="s">
        <v>0</v>
      </c>
      <c r="V1" t="s">
        <v>254</v>
      </c>
      <c r="W1" t="s">
        <v>227</v>
      </c>
      <c r="X1" s="1"/>
      <c r="Y1" s="1"/>
      <c r="Z1" s="1"/>
      <c r="AA1" s="8"/>
      <c r="AB1" s="8"/>
      <c r="AC1" s="9"/>
      <c r="AD1" s="9"/>
      <c r="AE1" s="9"/>
      <c r="AF1" s="8"/>
      <c r="AG1" s="8"/>
      <c r="AH1" s="9"/>
      <c r="AI1" s="9"/>
      <c r="AJ1" s="9"/>
      <c r="AK1" s="5"/>
      <c r="AL1" s="6"/>
      <c r="AM1" s="6"/>
      <c r="AN1" s="6"/>
      <c r="AO1" s="6"/>
      <c r="AP1" s="5"/>
      <c r="AQ1" s="5"/>
      <c r="AR1" s="6"/>
      <c r="AS1" s="6"/>
      <c r="AT1" s="6"/>
      <c r="AU1" s="5"/>
      <c r="AV1" s="5"/>
      <c r="AW1" s="6"/>
      <c r="AX1" s="6"/>
      <c r="AY1" s="6"/>
      <c r="AZ1" s="6"/>
      <c r="BA1" s="6"/>
      <c r="BB1" s="6"/>
      <c r="BC1" s="6"/>
      <c r="BD1" s="6"/>
      <c r="BE1" s="3"/>
      <c r="BF1" s="4"/>
      <c r="BG1" s="4"/>
      <c r="BH1" s="4"/>
      <c r="BI1" s="4"/>
      <c r="BK1" s="9"/>
      <c r="BL1" s="9"/>
      <c r="BM1" s="9"/>
      <c r="BN1" s="9"/>
    </row>
    <row r="2" spans="1:75" x14ac:dyDescent="0.2">
      <c r="A2" t="s">
        <v>192</v>
      </c>
      <c r="O2">
        <v>10</v>
      </c>
      <c r="P2" s="42">
        <v>43.5</v>
      </c>
      <c r="R2">
        <v>13.7</v>
      </c>
      <c r="T2" s="19">
        <v>43387</v>
      </c>
      <c r="U2" s="13" t="s">
        <v>252</v>
      </c>
      <c r="V2" t="s">
        <v>285</v>
      </c>
      <c r="W2" s="13" t="s">
        <v>312</v>
      </c>
      <c r="X2" s="1"/>
      <c r="Y2" s="1"/>
      <c r="Z2" s="8"/>
      <c r="AA2" s="9"/>
      <c r="AB2" s="9"/>
      <c r="AC2" s="9"/>
      <c r="AD2" s="9"/>
      <c r="AE2" s="8"/>
      <c r="AF2" s="9"/>
      <c r="AG2" s="9"/>
      <c r="AH2" s="9"/>
      <c r="AI2" s="9"/>
      <c r="AJ2" s="5"/>
      <c r="AK2" s="6"/>
      <c r="AL2" s="6"/>
      <c r="AM2" s="6"/>
      <c r="AN2" s="6"/>
      <c r="AO2" s="5"/>
      <c r="AP2" s="6"/>
      <c r="AQ2" s="6"/>
      <c r="AR2" s="6"/>
      <c r="AS2" s="6"/>
      <c r="AT2" s="5"/>
      <c r="AU2" s="6"/>
      <c r="AV2" s="6"/>
      <c r="AW2" s="6"/>
      <c r="AX2" s="6"/>
      <c r="AY2" s="5"/>
      <c r="AZ2" s="6"/>
      <c r="BA2" s="6"/>
      <c r="BB2" s="6"/>
      <c r="BC2" s="6"/>
      <c r="BD2" s="3"/>
      <c r="BE2" s="4"/>
      <c r="BF2" s="4"/>
      <c r="BG2" s="4"/>
      <c r="BH2" s="4"/>
      <c r="BI2" s="3"/>
      <c r="BJ2" s="4"/>
      <c r="BK2" s="4"/>
      <c r="BL2" s="4"/>
      <c r="BM2" s="4"/>
      <c r="BN2" s="3"/>
      <c r="BO2" s="4"/>
      <c r="BP2" s="4"/>
      <c r="BQ2" s="4"/>
      <c r="BR2" s="4"/>
      <c r="BT2" s="1"/>
      <c r="BU2" s="1"/>
      <c r="BV2" s="1"/>
      <c r="BW2" s="1"/>
    </row>
    <row r="3" spans="1:75" x14ac:dyDescent="0.2">
      <c r="A3" t="s">
        <v>192</v>
      </c>
      <c r="D3" t="s">
        <v>75</v>
      </c>
      <c r="E3" t="s">
        <v>75</v>
      </c>
      <c r="F3" t="s">
        <v>109</v>
      </c>
      <c r="O3">
        <v>-3</v>
      </c>
      <c r="P3" s="42">
        <v>57.5</v>
      </c>
      <c r="R3">
        <v>7.7</v>
      </c>
      <c r="T3" s="19">
        <v>43387</v>
      </c>
      <c r="U3" s="13" t="s">
        <v>252</v>
      </c>
      <c r="V3" s="41" t="s">
        <v>295</v>
      </c>
      <c r="W3" s="13" t="s">
        <v>284</v>
      </c>
      <c r="X3" s="1"/>
      <c r="Y3" s="1"/>
      <c r="Z3" s="8"/>
      <c r="AA3" s="9"/>
      <c r="AB3" s="9"/>
      <c r="AC3" s="9"/>
      <c r="AD3" s="9"/>
      <c r="AE3" s="8"/>
      <c r="AF3" s="9"/>
      <c r="AG3" s="9"/>
      <c r="AH3" s="9"/>
      <c r="AI3" s="9"/>
      <c r="AJ3" s="5"/>
      <c r="AK3" s="6"/>
      <c r="AL3" s="6"/>
      <c r="AM3" s="6"/>
      <c r="AN3" s="6"/>
      <c r="AO3" s="5"/>
      <c r="AP3" s="6"/>
      <c r="AQ3" s="6"/>
      <c r="AR3" s="6"/>
      <c r="AS3" s="6"/>
      <c r="AT3" s="5"/>
      <c r="AU3" s="6"/>
      <c r="AV3" s="6"/>
      <c r="AW3" s="6"/>
      <c r="AX3" s="6"/>
      <c r="AY3" s="5"/>
      <c r="AZ3" s="6"/>
      <c r="BA3" s="6"/>
      <c r="BB3" s="6"/>
      <c r="BC3" s="6"/>
      <c r="BD3" s="3"/>
      <c r="BE3" s="4"/>
      <c r="BF3" s="4"/>
      <c r="BG3" s="4"/>
      <c r="BH3" s="4"/>
      <c r="BI3" s="3"/>
      <c r="BJ3" s="4"/>
      <c r="BK3" s="4"/>
      <c r="BL3" s="4"/>
      <c r="BM3" s="4"/>
      <c r="BN3" s="3"/>
      <c r="BO3" s="4"/>
      <c r="BP3" s="4"/>
      <c r="BQ3" s="4"/>
      <c r="BR3" s="4"/>
      <c r="BT3" s="1"/>
      <c r="BU3" s="1"/>
      <c r="BV3" s="1"/>
      <c r="BW3" s="1"/>
    </row>
    <row r="4" spans="1:75" x14ac:dyDescent="0.2">
      <c r="A4" t="s">
        <v>192</v>
      </c>
      <c r="D4" t="s">
        <v>75</v>
      </c>
      <c r="O4">
        <v>-2.5</v>
      </c>
      <c r="P4" s="42">
        <v>43.5</v>
      </c>
      <c r="R4">
        <v>13</v>
      </c>
      <c r="T4" s="19">
        <v>43387</v>
      </c>
      <c r="U4" s="13" t="s">
        <v>252</v>
      </c>
      <c r="V4" t="s">
        <v>305</v>
      </c>
      <c r="W4" s="13" t="s">
        <v>310</v>
      </c>
      <c r="X4" s="1"/>
      <c r="Y4" s="1"/>
      <c r="Z4" s="8"/>
      <c r="AA4" s="8"/>
      <c r="AB4" s="9"/>
      <c r="AC4" s="9"/>
      <c r="AD4" s="9"/>
      <c r="AE4" s="8"/>
      <c r="AF4" s="8"/>
      <c r="AG4" s="9"/>
      <c r="AH4" s="9"/>
      <c r="AI4" s="9"/>
      <c r="AJ4" s="5"/>
      <c r="AK4" s="5"/>
      <c r="AL4" s="6"/>
      <c r="AM4" s="6"/>
      <c r="AN4" s="6"/>
      <c r="AO4" s="5"/>
      <c r="AP4" s="5"/>
      <c r="AQ4" s="6"/>
      <c r="AR4" s="6"/>
      <c r="AS4" s="6"/>
      <c r="AT4" s="5"/>
      <c r="AU4" s="5"/>
      <c r="AV4" s="6"/>
      <c r="AW4" s="6"/>
      <c r="AX4" s="6"/>
      <c r="AY4" s="5"/>
      <c r="AZ4" s="5"/>
      <c r="BA4" s="6"/>
      <c r="BB4" s="6"/>
      <c r="BC4" s="6"/>
      <c r="BD4" s="3"/>
      <c r="BE4" s="3"/>
      <c r="BF4" s="4"/>
      <c r="BG4" s="4"/>
      <c r="BH4" s="4"/>
      <c r="BI4" s="3"/>
      <c r="BJ4" s="3"/>
      <c r="BK4" s="4"/>
      <c r="BL4" s="4"/>
      <c r="BM4" s="4"/>
      <c r="BN4" s="3"/>
      <c r="BO4" s="3"/>
      <c r="BP4" s="4"/>
      <c r="BQ4" s="4"/>
      <c r="BR4" s="4"/>
      <c r="BU4" s="1"/>
      <c r="BV4" s="1"/>
      <c r="BW4" s="1"/>
    </row>
    <row r="5" spans="1:75" x14ac:dyDescent="0.2">
      <c r="A5" t="s">
        <v>192</v>
      </c>
      <c r="O5">
        <v>10.5</v>
      </c>
      <c r="P5" s="42">
        <v>40.5</v>
      </c>
      <c r="R5">
        <v>0.2</v>
      </c>
      <c r="T5" s="19">
        <v>43387</v>
      </c>
      <c r="U5" s="13" t="s">
        <v>252</v>
      </c>
      <c r="V5" t="s">
        <v>276</v>
      </c>
      <c r="W5" s="13" t="s">
        <v>311</v>
      </c>
      <c r="X5" s="1"/>
      <c r="Y5" s="1"/>
      <c r="Z5" s="8"/>
      <c r="AA5" s="9"/>
      <c r="AB5" s="9"/>
      <c r="AC5" s="9"/>
      <c r="AD5" s="9"/>
      <c r="AE5" s="8"/>
      <c r="AF5" s="9"/>
      <c r="AG5" s="9"/>
      <c r="AH5" s="9"/>
      <c r="AI5" s="9"/>
      <c r="AJ5" s="5"/>
      <c r="AK5" s="6"/>
      <c r="AL5" s="6"/>
      <c r="AM5" s="6"/>
      <c r="AN5" s="6"/>
      <c r="AO5" s="5"/>
      <c r="AP5" s="6"/>
      <c r="AQ5" s="6"/>
      <c r="AR5" s="6"/>
      <c r="AS5" s="6"/>
      <c r="AT5" s="5"/>
      <c r="AU5" s="6"/>
      <c r="AV5" s="6"/>
      <c r="AW5" s="6"/>
      <c r="AX5" s="6"/>
      <c r="AY5" s="5"/>
      <c r="AZ5" s="6"/>
      <c r="BA5" s="6"/>
      <c r="BB5" s="6"/>
      <c r="BC5" s="6"/>
      <c r="BD5" s="3"/>
      <c r="BE5" s="4"/>
      <c r="BF5" s="4"/>
      <c r="BG5" s="4"/>
      <c r="BH5" s="4"/>
      <c r="BI5" s="3"/>
      <c r="BJ5" s="4"/>
      <c r="BK5" s="4"/>
      <c r="BL5" s="4"/>
      <c r="BM5" s="4"/>
      <c r="BN5" s="3"/>
      <c r="BO5" s="4"/>
      <c r="BP5" s="4"/>
      <c r="BQ5" s="4"/>
      <c r="BR5" s="4"/>
      <c r="BT5" s="1"/>
      <c r="BU5" s="1"/>
      <c r="BV5" s="1"/>
      <c r="BW5" s="1"/>
    </row>
    <row r="6" spans="1:75" x14ac:dyDescent="0.2">
      <c r="A6" t="s">
        <v>192</v>
      </c>
      <c r="F6" t="s">
        <v>110</v>
      </c>
      <c r="O6">
        <v>-1</v>
      </c>
      <c r="P6" s="42">
        <v>44.5</v>
      </c>
      <c r="R6">
        <v>9.6999999999999993</v>
      </c>
      <c r="T6" s="19">
        <v>43387</v>
      </c>
      <c r="U6" s="13" t="s">
        <v>252</v>
      </c>
      <c r="V6" s="41" t="s">
        <v>301</v>
      </c>
      <c r="W6" s="13" t="s">
        <v>306</v>
      </c>
      <c r="X6" s="1"/>
      <c r="Y6" s="1"/>
      <c r="Z6" s="8"/>
      <c r="AA6" s="9"/>
      <c r="AB6" s="9"/>
      <c r="AC6" s="9"/>
      <c r="AD6" s="9"/>
      <c r="AE6" s="8"/>
      <c r="AF6" s="9"/>
      <c r="AG6" s="9"/>
      <c r="AH6" s="9"/>
      <c r="AI6" s="9"/>
      <c r="AJ6" s="5"/>
      <c r="AK6" s="6"/>
      <c r="AL6" s="6"/>
      <c r="AM6" s="6"/>
      <c r="AN6" s="6"/>
      <c r="AO6" s="5"/>
      <c r="AP6" s="6"/>
      <c r="AQ6" s="6"/>
      <c r="AR6" s="6"/>
      <c r="AS6" s="6"/>
      <c r="AT6" s="5"/>
      <c r="AU6" s="6"/>
      <c r="AV6" s="6"/>
      <c r="AW6" s="6"/>
      <c r="AX6" s="6"/>
      <c r="AY6" s="5"/>
      <c r="AZ6" s="6"/>
      <c r="BA6" s="6"/>
      <c r="BB6" s="6"/>
      <c r="BC6" s="6"/>
      <c r="BD6" s="3"/>
      <c r="BE6" s="4"/>
      <c r="BF6" s="4"/>
      <c r="BG6" s="4"/>
      <c r="BH6" s="4"/>
      <c r="BI6" s="3"/>
      <c r="BJ6" s="4"/>
      <c r="BK6" s="4"/>
      <c r="BL6" s="4"/>
      <c r="BM6" s="4"/>
      <c r="BN6" s="3"/>
      <c r="BO6" s="4"/>
      <c r="BP6" s="4"/>
      <c r="BQ6" s="4"/>
      <c r="BR6" s="4"/>
      <c r="BT6" s="1"/>
      <c r="BU6" s="1"/>
      <c r="BV6" s="1"/>
      <c r="BW6" s="1"/>
    </row>
    <row r="7" spans="1:75" x14ac:dyDescent="0.2">
      <c r="A7" t="s">
        <v>192</v>
      </c>
      <c r="E7" t="s">
        <v>75</v>
      </c>
      <c r="F7" t="s">
        <v>110</v>
      </c>
      <c r="O7">
        <v>-7</v>
      </c>
      <c r="P7" s="42">
        <v>41</v>
      </c>
      <c r="R7">
        <v>19.899999999999999</v>
      </c>
      <c r="T7" s="19">
        <v>43387</v>
      </c>
      <c r="U7" s="13" t="s">
        <v>252</v>
      </c>
      <c r="V7" t="s">
        <v>265</v>
      </c>
      <c r="W7" s="13" t="s">
        <v>293</v>
      </c>
      <c r="X7" s="1"/>
      <c r="Y7" s="1"/>
      <c r="Z7" s="8"/>
      <c r="AA7" s="8"/>
      <c r="AB7" s="9"/>
      <c r="AC7" s="9"/>
      <c r="AD7" s="9"/>
      <c r="AE7" s="8"/>
      <c r="AF7" s="8"/>
      <c r="AG7" s="9"/>
      <c r="AH7" s="9"/>
      <c r="AI7" s="9"/>
      <c r="AJ7" s="5"/>
      <c r="AK7" s="5"/>
      <c r="AL7" s="6"/>
      <c r="AM7" s="6"/>
      <c r="AN7" s="6"/>
      <c r="AO7" s="5"/>
      <c r="AP7" s="5"/>
      <c r="AQ7" s="6"/>
      <c r="AR7" s="6"/>
      <c r="AS7" s="6"/>
      <c r="AT7" s="5"/>
      <c r="AU7" s="5"/>
      <c r="AV7" s="6"/>
      <c r="AW7" s="6"/>
      <c r="AX7" s="6"/>
      <c r="AY7" s="5"/>
      <c r="AZ7" s="5"/>
      <c r="BA7" s="6"/>
      <c r="BB7" s="6"/>
      <c r="BC7" s="6"/>
      <c r="BD7" s="3"/>
      <c r="BE7" s="3"/>
      <c r="BF7" s="4"/>
      <c r="BG7" s="4"/>
      <c r="BH7" s="4"/>
      <c r="BI7" s="3"/>
      <c r="BJ7" s="3"/>
      <c r="BK7" s="4"/>
      <c r="BL7" s="4"/>
      <c r="BM7" s="4"/>
      <c r="BN7" s="3"/>
      <c r="BO7" s="3"/>
      <c r="BP7" s="4"/>
      <c r="BQ7" s="4"/>
      <c r="BR7" s="4"/>
      <c r="BU7" s="1"/>
      <c r="BV7" s="1"/>
      <c r="BW7" s="1"/>
    </row>
    <row r="8" spans="1:75" x14ac:dyDescent="0.2">
      <c r="A8" t="s">
        <v>192</v>
      </c>
      <c r="F8" t="s">
        <v>109</v>
      </c>
      <c r="O8">
        <v>-1</v>
      </c>
      <c r="P8" s="42">
        <v>49.5</v>
      </c>
      <c r="R8">
        <v>25.2</v>
      </c>
      <c r="T8" s="19">
        <v>43387</v>
      </c>
      <c r="U8" s="13" t="s">
        <v>252</v>
      </c>
      <c r="V8" t="s">
        <v>272</v>
      </c>
      <c r="W8" s="13" t="s">
        <v>309</v>
      </c>
      <c r="X8" s="1"/>
      <c r="Y8" s="1"/>
      <c r="Z8" s="8"/>
      <c r="AA8" s="9"/>
      <c r="AB8" s="9"/>
      <c r="AC8" s="9"/>
      <c r="AD8" s="9"/>
      <c r="AE8" s="8"/>
      <c r="AF8" s="9"/>
      <c r="AG8" s="9"/>
      <c r="AH8" s="9"/>
      <c r="AI8" s="9"/>
      <c r="AJ8" s="5"/>
      <c r="AK8" s="6"/>
      <c r="AL8" s="6"/>
      <c r="AM8" s="6"/>
      <c r="AN8" s="6"/>
      <c r="AO8" s="5"/>
      <c r="AP8" s="6"/>
      <c r="AQ8" s="6"/>
      <c r="AR8" s="6"/>
      <c r="AS8" s="6"/>
      <c r="AT8" s="5"/>
      <c r="AU8" s="6"/>
      <c r="AV8" s="6"/>
      <c r="AW8" s="6"/>
      <c r="AX8" s="6"/>
      <c r="AY8" s="5"/>
      <c r="AZ8" s="6"/>
      <c r="BA8" s="6"/>
      <c r="BB8" s="6"/>
      <c r="BC8" s="6"/>
      <c r="BD8" s="3"/>
      <c r="BE8" s="4"/>
      <c r="BF8" s="4"/>
      <c r="BG8" s="4"/>
      <c r="BH8" s="4"/>
      <c r="BI8" s="3"/>
      <c r="BJ8" s="4"/>
      <c r="BK8" s="4"/>
      <c r="BL8" s="4"/>
      <c r="BM8" s="4"/>
      <c r="BN8" s="3"/>
      <c r="BO8" s="4"/>
      <c r="BP8" s="4"/>
      <c r="BQ8" s="4"/>
      <c r="BR8" s="4"/>
      <c r="BT8" s="1"/>
      <c r="BU8" s="1"/>
      <c r="BV8" s="1"/>
      <c r="BW8" s="1"/>
    </row>
    <row r="9" spans="1:75" x14ac:dyDescent="0.2">
      <c r="A9" t="s">
        <v>192</v>
      </c>
      <c r="O9">
        <v>-1</v>
      </c>
      <c r="P9" s="42">
        <v>47</v>
      </c>
      <c r="R9">
        <v>4.9000000000000004</v>
      </c>
      <c r="T9" s="19">
        <v>43387</v>
      </c>
      <c r="U9" s="13" t="s">
        <v>252</v>
      </c>
      <c r="V9" t="s">
        <v>281</v>
      </c>
      <c r="W9" s="13" t="s">
        <v>287</v>
      </c>
      <c r="X9" s="1"/>
      <c r="Y9" s="1"/>
      <c r="Z9" s="8"/>
      <c r="AA9" s="9"/>
      <c r="AB9" s="9"/>
      <c r="AC9" s="9"/>
      <c r="AD9" s="9"/>
      <c r="AE9" s="8"/>
      <c r="AF9" s="9"/>
      <c r="AG9" s="9"/>
      <c r="AH9" s="9"/>
      <c r="AI9" s="9"/>
      <c r="AJ9" s="5"/>
      <c r="AK9" s="6"/>
      <c r="AL9" s="6"/>
      <c r="AM9" s="6"/>
      <c r="AN9" s="6"/>
      <c r="AO9" s="5"/>
      <c r="AP9" s="6"/>
      <c r="AQ9" s="6"/>
      <c r="AR9" s="6"/>
      <c r="AS9" s="6"/>
      <c r="AT9" s="5"/>
      <c r="AU9" s="6"/>
      <c r="AV9" s="6"/>
      <c r="AW9" s="6"/>
      <c r="AX9" s="6"/>
      <c r="AY9" s="5"/>
      <c r="AZ9" s="6"/>
      <c r="BA9" s="6"/>
      <c r="BB9" s="6"/>
      <c r="BC9" s="6"/>
      <c r="BD9" s="3"/>
      <c r="BE9" s="4"/>
      <c r="BF9" s="4"/>
      <c r="BG9" s="4"/>
      <c r="BH9" s="4"/>
      <c r="BI9" s="3"/>
      <c r="BJ9" s="4"/>
      <c r="BK9" s="4"/>
      <c r="BL9" s="4"/>
      <c r="BM9" s="4"/>
      <c r="BN9" s="3"/>
      <c r="BO9" s="4"/>
      <c r="BP9" s="4"/>
      <c r="BQ9" s="4"/>
      <c r="BR9" s="4"/>
      <c r="BT9" s="1"/>
      <c r="BU9" s="1"/>
      <c r="BV9" s="1"/>
      <c r="BW9" s="1"/>
    </row>
    <row r="10" spans="1:75" x14ac:dyDescent="0.2">
      <c r="A10" t="s">
        <v>192</v>
      </c>
      <c r="O10">
        <v>3</v>
      </c>
      <c r="P10" s="42">
        <v>39.5</v>
      </c>
      <c r="R10">
        <v>3.7</v>
      </c>
      <c r="T10" s="19">
        <v>43387</v>
      </c>
      <c r="U10" s="13" t="s">
        <v>252</v>
      </c>
      <c r="V10" s="17" t="s">
        <v>291</v>
      </c>
      <c r="W10" s="13" t="s">
        <v>297</v>
      </c>
      <c r="X10" s="1"/>
      <c r="Y10" s="1"/>
      <c r="Z10" s="8"/>
      <c r="AA10" s="8"/>
      <c r="AB10" s="9"/>
      <c r="AC10" s="9"/>
      <c r="AD10" s="9"/>
      <c r="AE10" s="8"/>
      <c r="AF10" s="8"/>
      <c r="AG10" s="9"/>
      <c r="AH10" s="9"/>
      <c r="AI10" s="9"/>
      <c r="AJ10" s="5"/>
      <c r="AK10" s="5"/>
      <c r="AL10" s="6"/>
      <c r="AM10" s="6"/>
      <c r="AN10" s="6"/>
      <c r="AO10" s="5"/>
      <c r="AP10" s="5"/>
      <c r="AQ10" s="6"/>
      <c r="AR10" s="6"/>
      <c r="AS10" s="6"/>
      <c r="AT10" s="5"/>
      <c r="AU10" s="5"/>
      <c r="AV10" s="6"/>
      <c r="AW10" s="6"/>
      <c r="AX10" s="6"/>
      <c r="AY10" s="5"/>
      <c r="AZ10" s="5"/>
      <c r="BA10" s="6"/>
      <c r="BB10" s="6"/>
      <c r="BC10" s="6"/>
      <c r="BD10" s="3"/>
      <c r="BE10" s="3"/>
      <c r="BF10" s="4"/>
      <c r="BG10" s="4"/>
      <c r="BH10" s="4"/>
      <c r="BI10" s="3"/>
      <c r="BJ10" s="3"/>
      <c r="BK10" s="4"/>
      <c r="BL10" s="4"/>
      <c r="BM10" s="4"/>
      <c r="BN10" s="3"/>
      <c r="BO10" s="3"/>
      <c r="BP10" s="4"/>
      <c r="BQ10" s="4"/>
      <c r="BR10" s="4"/>
      <c r="BU10" s="1"/>
      <c r="BV10" s="1"/>
      <c r="BW10" s="1"/>
    </row>
    <row r="11" spans="1:75" x14ac:dyDescent="0.2">
      <c r="A11" t="s">
        <v>192</v>
      </c>
      <c r="D11" t="s">
        <v>75</v>
      </c>
      <c r="O11">
        <v>7</v>
      </c>
      <c r="P11" s="42">
        <v>50</v>
      </c>
      <c r="R11">
        <v>18.5</v>
      </c>
      <c r="T11" s="19">
        <v>43387</v>
      </c>
      <c r="U11" s="13" t="s">
        <v>252</v>
      </c>
      <c r="V11" t="s">
        <v>278</v>
      </c>
      <c r="W11" s="13" t="s">
        <v>304</v>
      </c>
      <c r="X11" s="1"/>
      <c r="Y11" s="1"/>
      <c r="Z11" s="8"/>
      <c r="AA11" s="9"/>
      <c r="AB11" s="9"/>
      <c r="AC11" s="9"/>
      <c r="AD11" s="9"/>
      <c r="AE11" s="8"/>
      <c r="AF11" s="9"/>
      <c r="AG11" s="9"/>
      <c r="AH11" s="9"/>
      <c r="AI11" s="9"/>
      <c r="AJ11" s="5"/>
      <c r="AK11" s="6"/>
      <c r="AL11" s="6"/>
      <c r="AM11" s="6"/>
      <c r="AN11" s="6"/>
      <c r="AO11" s="5"/>
      <c r="AP11" s="6"/>
      <c r="AQ11" s="6"/>
      <c r="AR11" s="6"/>
      <c r="AS11" s="6"/>
      <c r="AT11" s="5"/>
      <c r="AU11" s="6"/>
      <c r="AV11" s="6"/>
      <c r="AW11" s="6"/>
      <c r="AX11" s="6"/>
      <c r="AY11" s="5"/>
      <c r="AZ11" s="6"/>
      <c r="BA11" s="6"/>
      <c r="BB11" s="6"/>
      <c r="BC11" s="6"/>
      <c r="BD11" s="3"/>
      <c r="BE11" s="4"/>
      <c r="BF11" s="4"/>
      <c r="BG11" s="4"/>
      <c r="BH11" s="4"/>
      <c r="BI11" s="3"/>
      <c r="BJ11" s="4"/>
      <c r="BK11" s="4"/>
      <c r="BL11" s="4"/>
      <c r="BM11" s="4"/>
      <c r="BN11" s="3"/>
      <c r="BO11" s="4"/>
      <c r="BP11" s="4"/>
      <c r="BQ11" s="4"/>
      <c r="BR11" s="4"/>
      <c r="BT11" s="1"/>
      <c r="BU11" s="1"/>
      <c r="BV11" s="1"/>
      <c r="BW11" s="1"/>
    </row>
    <row r="12" spans="1:75" x14ac:dyDescent="0.2">
      <c r="A12" t="s">
        <v>192</v>
      </c>
      <c r="B12" t="s">
        <v>84</v>
      </c>
      <c r="C12">
        <v>11</v>
      </c>
      <c r="D12" t="s">
        <v>75</v>
      </c>
      <c r="O12">
        <v>-9</v>
      </c>
      <c r="P12" s="42">
        <v>46.5</v>
      </c>
      <c r="R12">
        <v>16.3</v>
      </c>
      <c r="T12" s="19">
        <v>43387</v>
      </c>
      <c r="U12" s="13" t="s">
        <v>252</v>
      </c>
      <c r="V12" s="41" t="s">
        <v>300</v>
      </c>
      <c r="W12" s="13" t="s">
        <v>256</v>
      </c>
      <c r="X12" s="1"/>
      <c r="Y12" s="1"/>
      <c r="Z12" s="8"/>
      <c r="AA12" s="9"/>
      <c r="AB12" s="9"/>
      <c r="AC12" s="9"/>
      <c r="AD12" s="9"/>
      <c r="AE12" s="8"/>
      <c r="AF12" s="9"/>
      <c r="AG12" s="9"/>
      <c r="AH12" s="9"/>
      <c r="AI12" s="9"/>
      <c r="AJ12" s="5"/>
      <c r="AK12" s="6"/>
      <c r="AL12" s="6"/>
      <c r="AM12" s="6"/>
      <c r="AN12" s="6"/>
      <c r="AO12" s="5"/>
      <c r="AP12" s="6"/>
      <c r="AQ12" s="6"/>
      <c r="AR12" s="6"/>
      <c r="AS12" s="6"/>
      <c r="AT12" s="5"/>
      <c r="AU12" s="6"/>
      <c r="AV12" s="6"/>
      <c r="AW12" s="6"/>
      <c r="AX12" s="6"/>
      <c r="AY12" s="5"/>
      <c r="AZ12" s="6"/>
      <c r="BA12" s="6"/>
      <c r="BB12" s="6"/>
      <c r="BC12" s="6"/>
      <c r="BD12" s="3"/>
      <c r="BE12" s="4"/>
      <c r="BF12" s="4"/>
      <c r="BG12" s="4"/>
      <c r="BH12" s="4"/>
      <c r="BI12" s="3"/>
      <c r="BJ12" s="4"/>
      <c r="BK12" s="4"/>
      <c r="BL12" s="4"/>
      <c r="BM12" s="4"/>
      <c r="BN12" s="3"/>
      <c r="BO12" s="4"/>
      <c r="BP12" s="4"/>
      <c r="BQ12" s="4"/>
      <c r="BR12" s="4"/>
      <c r="BT12" s="1"/>
      <c r="BU12" s="1"/>
      <c r="BV12" s="1"/>
      <c r="BW12" s="1"/>
    </row>
    <row r="13" spans="1:75" x14ac:dyDescent="0.2">
      <c r="A13" t="s">
        <v>192</v>
      </c>
      <c r="O13">
        <v>-10.5</v>
      </c>
      <c r="P13" s="42">
        <v>40.5</v>
      </c>
      <c r="R13">
        <v>5.3</v>
      </c>
      <c r="T13" s="19">
        <v>43387</v>
      </c>
      <c r="U13" s="13" t="s">
        <v>252</v>
      </c>
      <c r="V13" t="s">
        <v>311</v>
      </c>
      <c r="W13" s="13" t="s">
        <v>276</v>
      </c>
      <c r="X13" s="1"/>
      <c r="Y13" s="1"/>
      <c r="Z13" s="8"/>
      <c r="AA13" s="8"/>
      <c r="AB13" s="9"/>
      <c r="AC13" s="9"/>
      <c r="AD13" s="9"/>
      <c r="AE13" s="8"/>
      <c r="AF13" s="8"/>
      <c r="AG13" s="9"/>
      <c r="AH13" s="9"/>
      <c r="AI13" s="9"/>
      <c r="AJ13" s="5"/>
      <c r="AK13" s="5"/>
      <c r="AL13" s="6"/>
      <c r="AM13" s="6"/>
      <c r="AN13" s="6"/>
      <c r="AO13" s="5"/>
      <c r="AP13" s="5"/>
      <c r="AQ13" s="6"/>
      <c r="AR13" s="6"/>
      <c r="AS13" s="6"/>
      <c r="AT13" s="5"/>
      <c r="AU13" s="5"/>
      <c r="AV13" s="6"/>
      <c r="AW13" s="6"/>
      <c r="AX13" s="6"/>
      <c r="AY13" s="5"/>
      <c r="AZ13" s="5"/>
      <c r="BA13" s="6"/>
      <c r="BB13" s="6"/>
      <c r="BC13" s="6"/>
      <c r="BD13" s="3"/>
      <c r="BE13" s="3"/>
      <c r="BF13" s="4"/>
      <c r="BG13" s="4"/>
      <c r="BH13" s="4"/>
      <c r="BI13" s="3"/>
      <c r="BJ13" s="3"/>
      <c r="BK13" s="4"/>
      <c r="BL13" s="4"/>
      <c r="BM13" s="4"/>
      <c r="BN13" s="3"/>
      <c r="BO13" s="3"/>
      <c r="BP13" s="4"/>
      <c r="BQ13" s="4"/>
      <c r="BR13" s="4"/>
      <c r="BU13" s="1"/>
      <c r="BV13" s="1"/>
      <c r="BW13" s="1"/>
    </row>
    <row r="14" spans="1:75" x14ac:dyDescent="0.2">
      <c r="A14" t="s">
        <v>192</v>
      </c>
      <c r="O14">
        <v>2.5</v>
      </c>
      <c r="P14" s="42">
        <v>47.5</v>
      </c>
      <c r="R14">
        <v>9.3000000000000007</v>
      </c>
      <c r="T14" s="19">
        <v>43387</v>
      </c>
      <c r="U14" s="13" t="s">
        <v>252</v>
      </c>
      <c r="V14" t="s">
        <v>289</v>
      </c>
      <c r="W14" s="13" t="s">
        <v>298</v>
      </c>
      <c r="X14" s="1"/>
      <c r="Y14" s="1"/>
      <c r="Z14" s="8"/>
      <c r="AA14" s="9"/>
      <c r="AB14" s="9"/>
      <c r="AC14" s="9"/>
      <c r="AD14" s="9"/>
      <c r="AE14" s="8"/>
      <c r="AF14" s="9"/>
      <c r="AG14" s="9"/>
      <c r="AH14" s="9"/>
      <c r="AI14" s="9"/>
      <c r="AJ14" s="5"/>
      <c r="AK14" s="6"/>
      <c r="AL14" s="6"/>
      <c r="AM14" s="6"/>
      <c r="AN14" s="6"/>
      <c r="AO14" s="5"/>
      <c r="AP14" s="6"/>
      <c r="AQ14" s="6"/>
      <c r="AR14" s="6"/>
      <c r="AS14" s="6"/>
      <c r="AT14" s="5"/>
      <c r="AU14" s="6"/>
      <c r="AV14" s="6"/>
      <c r="AW14" s="6"/>
      <c r="AX14" s="6"/>
      <c r="AY14" s="5"/>
      <c r="AZ14" s="6"/>
      <c r="BA14" s="6"/>
      <c r="BB14" s="6"/>
      <c r="BC14" s="6"/>
      <c r="BD14" s="3"/>
      <c r="BE14" s="4"/>
      <c r="BF14" s="4"/>
      <c r="BG14" s="4"/>
      <c r="BH14" s="4"/>
      <c r="BI14" s="3"/>
      <c r="BJ14" s="4"/>
      <c r="BK14" s="4"/>
      <c r="BL14" s="4"/>
      <c r="BM14" s="4"/>
      <c r="BN14" s="3"/>
      <c r="BO14" s="4"/>
      <c r="BP14" s="4"/>
      <c r="BQ14" s="4"/>
      <c r="BR14" s="4"/>
      <c r="BT14" s="1"/>
      <c r="BU14" s="1"/>
      <c r="BV14" s="1"/>
      <c r="BW14" s="1"/>
    </row>
    <row r="15" spans="1:75" x14ac:dyDescent="0.2">
      <c r="A15" t="s">
        <v>192</v>
      </c>
      <c r="O15">
        <v>-3</v>
      </c>
      <c r="P15" s="42">
        <v>39.5</v>
      </c>
      <c r="R15">
        <v>7.1</v>
      </c>
      <c r="T15" s="19">
        <v>43387</v>
      </c>
      <c r="U15" s="13" t="s">
        <v>252</v>
      </c>
      <c r="V15" s="17" t="s">
        <v>297</v>
      </c>
      <c r="W15" s="13" t="s">
        <v>291</v>
      </c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</row>
    <row r="16" spans="1:75" x14ac:dyDescent="0.2">
      <c r="A16" t="s">
        <v>192</v>
      </c>
      <c r="O16">
        <v>4</v>
      </c>
      <c r="P16" s="42">
        <v>59.5</v>
      </c>
      <c r="R16">
        <v>3.7</v>
      </c>
      <c r="T16" s="19">
        <v>43387</v>
      </c>
      <c r="U16" s="13" t="s">
        <v>252</v>
      </c>
      <c r="V16" t="s">
        <v>288</v>
      </c>
      <c r="W16" s="13" t="s">
        <v>302</v>
      </c>
      <c r="X16" s="1"/>
      <c r="Y16" s="1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5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3"/>
      <c r="BE16" s="4"/>
      <c r="BF16" s="4"/>
      <c r="BG16" s="4"/>
      <c r="BH16" s="4"/>
      <c r="BI16" s="3"/>
      <c r="BJ16" s="4"/>
      <c r="BK16" s="4"/>
      <c r="BL16" s="4"/>
      <c r="BM16" s="4"/>
      <c r="BN16" s="3"/>
      <c r="BO16" s="4"/>
      <c r="BP16" s="4"/>
      <c r="BQ16" s="4"/>
      <c r="BR16" s="4"/>
      <c r="BT16" s="1"/>
      <c r="BU16" s="1"/>
      <c r="BV16" s="1"/>
      <c r="BW16" s="1"/>
    </row>
    <row r="17" spans="1:75" x14ac:dyDescent="0.2">
      <c r="A17" t="s">
        <v>192</v>
      </c>
      <c r="D17" t="s">
        <v>75</v>
      </c>
      <c r="F17" t="s">
        <v>110</v>
      </c>
      <c r="O17">
        <v>3</v>
      </c>
      <c r="P17" s="42">
        <v>47.5</v>
      </c>
      <c r="R17">
        <v>8.1</v>
      </c>
      <c r="T17" s="19">
        <v>43387</v>
      </c>
      <c r="U17" s="13" t="s">
        <v>252</v>
      </c>
      <c r="V17" s="17" t="s">
        <v>303</v>
      </c>
      <c r="W17" s="13" t="s">
        <v>308</v>
      </c>
      <c r="X17" s="1"/>
      <c r="Y17" s="1"/>
      <c r="Z17" s="8"/>
      <c r="AA17" s="9"/>
      <c r="AB17" s="9"/>
      <c r="AC17" s="9"/>
      <c r="AD17" s="9"/>
      <c r="AE17" s="8"/>
      <c r="AF17" s="9"/>
      <c r="AG17" s="9"/>
      <c r="AH17" s="9"/>
      <c r="AI17" s="9"/>
      <c r="AJ17" s="5"/>
      <c r="AK17" s="6"/>
      <c r="AL17" s="6"/>
      <c r="AM17" s="6"/>
      <c r="AN17" s="6"/>
      <c r="AO17" s="5"/>
      <c r="AP17" s="6"/>
      <c r="AQ17" s="6"/>
      <c r="AR17" s="6"/>
      <c r="AS17" s="6"/>
      <c r="AT17" s="5"/>
      <c r="AU17" s="6"/>
      <c r="AV17" s="6"/>
      <c r="AW17" s="6"/>
      <c r="AX17" s="6"/>
      <c r="AY17" s="5"/>
      <c r="AZ17" s="6"/>
      <c r="BA17" s="6"/>
      <c r="BB17" s="6"/>
      <c r="BC17" s="6"/>
      <c r="BD17" s="3"/>
      <c r="BE17" s="4"/>
      <c r="BF17" s="4"/>
      <c r="BG17" s="4"/>
      <c r="BH17" s="4"/>
      <c r="BI17" s="3"/>
      <c r="BJ17" s="4"/>
      <c r="BK17" s="4"/>
      <c r="BL17" s="4"/>
      <c r="BM17" s="4"/>
      <c r="BN17" s="3"/>
      <c r="BO17" s="4"/>
      <c r="BP17" s="4"/>
      <c r="BQ17" s="4"/>
      <c r="BR17" s="4"/>
      <c r="BT17" s="1"/>
      <c r="BU17" s="1"/>
      <c r="BV17" s="1"/>
      <c r="BW17" s="1"/>
    </row>
    <row r="18" spans="1:75" x14ac:dyDescent="0.2">
      <c r="A18" t="s">
        <v>192</v>
      </c>
      <c r="O18">
        <v>1</v>
      </c>
      <c r="P18" s="42">
        <v>47</v>
      </c>
      <c r="R18">
        <v>25.9</v>
      </c>
      <c r="T18" s="19">
        <v>43387</v>
      </c>
      <c r="U18" s="13" t="s">
        <v>252</v>
      </c>
      <c r="V18" s="17" t="s">
        <v>287</v>
      </c>
      <c r="W18" s="13" t="s">
        <v>281</v>
      </c>
      <c r="X18" s="1"/>
      <c r="Y18" s="1"/>
      <c r="Z18" s="8"/>
      <c r="AA18" s="9"/>
      <c r="AB18" s="9"/>
      <c r="AC18" s="9"/>
      <c r="AD18" s="9"/>
      <c r="AE18" s="8"/>
      <c r="AF18" s="9"/>
      <c r="AG18" s="9"/>
      <c r="AH18" s="9"/>
      <c r="AI18" s="9"/>
      <c r="AJ18" s="5"/>
      <c r="AK18" s="6"/>
      <c r="AL18" s="6"/>
      <c r="AM18" s="6"/>
      <c r="AN18" s="6"/>
      <c r="AO18" s="5"/>
      <c r="AP18" s="6"/>
      <c r="AQ18" s="6"/>
      <c r="AR18" s="6"/>
      <c r="AS18" s="6"/>
      <c r="AT18" s="5"/>
      <c r="AU18" s="6"/>
      <c r="AV18" s="6"/>
      <c r="AW18" s="6"/>
      <c r="AX18" s="6"/>
      <c r="AY18" s="5"/>
      <c r="AZ18" s="6"/>
      <c r="BA18" s="6"/>
      <c r="BB18" s="6"/>
      <c r="BC18" s="6"/>
      <c r="BD18" s="3"/>
      <c r="BE18" s="4"/>
      <c r="BF18" s="4"/>
      <c r="BG18" s="4"/>
      <c r="BH18" s="4"/>
      <c r="BI18" s="3"/>
      <c r="BJ18" s="4"/>
      <c r="BK18" s="4"/>
      <c r="BL18" s="4"/>
      <c r="BM18" s="4"/>
      <c r="BN18" s="3"/>
      <c r="BO18" s="4"/>
      <c r="BP18" s="4"/>
      <c r="BQ18" s="4"/>
      <c r="BR18" s="4"/>
      <c r="BT18" s="1"/>
      <c r="BU18" s="1"/>
      <c r="BV18" s="1"/>
      <c r="BW18" s="1"/>
    </row>
    <row r="19" spans="1:75" x14ac:dyDescent="0.2">
      <c r="A19" t="s">
        <v>192</v>
      </c>
      <c r="D19" t="s">
        <v>75</v>
      </c>
      <c r="O19">
        <v>-7</v>
      </c>
      <c r="P19" s="42">
        <v>50</v>
      </c>
      <c r="R19">
        <v>7.3</v>
      </c>
      <c r="T19" s="19">
        <v>43387</v>
      </c>
      <c r="U19" s="13" t="s">
        <v>252</v>
      </c>
      <c r="V19" t="s">
        <v>304</v>
      </c>
      <c r="W19" s="13" t="s">
        <v>278</v>
      </c>
      <c r="X19" s="1"/>
      <c r="Y19" s="1"/>
      <c r="Z19" s="8"/>
      <c r="AA19" s="8"/>
      <c r="AB19" s="9"/>
      <c r="AC19" s="9"/>
      <c r="AD19" s="9"/>
      <c r="AE19" s="8"/>
      <c r="AF19" s="8"/>
      <c r="AG19" s="9"/>
      <c r="AH19" s="9"/>
      <c r="AI19" s="9"/>
      <c r="AJ19" s="7"/>
      <c r="AK19" s="6"/>
      <c r="AL19" s="6"/>
      <c r="AM19" s="6"/>
      <c r="AN19" s="6"/>
      <c r="AO19" s="5"/>
      <c r="AP19" s="5"/>
      <c r="AQ19" s="6"/>
      <c r="AR19" s="6"/>
      <c r="AS19" s="6"/>
      <c r="AT19" s="5"/>
      <c r="AU19" s="5"/>
      <c r="AV19" s="6"/>
      <c r="AW19" s="6"/>
      <c r="AX19" s="6"/>
      <c r="AY19" s="5"/>
      <c r="AZ19" s="5"/>
      <c r="BA19" s="6"/>
      <c r="BB19" s="6"/>
      <c r="BC19" s="6"/>
      <c r="BD19" s="3"/>
      <c r="BE19" s="3"/>
      <c r="BF19" s="4"/>
      <c r="BG19" s="4"/>
      <c r="BH19" s="4"/>
      <c r="BI19" s="3"/>
      <c r="BJ19" s="3"/>
      <c r="BK19" s="4"/>
      <c r="BL19" s="4"/>
      <c r="BM19" s="4"/>
      <c r="BN19" s="3"/>
      <c r="BO19" s="3"/>
      <c r="BP19" s="4"/>
      <c r="BQ19" s="4"/>
      <c r="BR19" s="4"/>
      <c r="BS19" s="2"/>
      <c r="BT19" s="1"/>
      <c r="BU19" s="1"/>
      <c r="BV19" s="1"/>
      <c r="BW19" s="1"/>
    </row>
    <row r="20" spans="1:75" x14ac:dyDescent="0.2">
      <c r="A20" t="s">
        <v>192</v>
      </c>
      <c r="E20" t="s">
        <v>75</v>
      </c>
      <c r="F20" t="s">
        <v>110</v>
      </c>
      <c r="O20">
        <v>7</v>
      </c>
      <c r="P20" s="42">
        <v>41</v>
      </c>
      <c r="R20">
        <v>6.5</v>
      </c>
      <c r="T20" s="19">
        <v>43387</v>
      </c>
      <c r="U20" s="13" t="s">
        <v>252</v>
      </c>
      <c r="V20" s="41" t="s">
        <v>293</v>
      </c>
      <c r="W20" s="13" t="s">
        <v>265</v>
      </c>
      <c r="X20" s="1"/>
      <c r="Y20" s="1"/>
      <c r="Z20" s="8"/>
      <c r="AA20" s="9"/>
      <c r="AB20" s="9"/>
      <c r="AC20" s="9"/>
      <c r="AD20" s="9"/>
      <c r="AE20" s="8"/>
      <c r="AF20" s="9"/>
      <c r="AG20" s="9"/>
      <c r="AH20" s="9"/>
      <c r="AI20" s="9"/>
      <c r="AJ20" s="5"/>
      <c r="AK20" s="6"/>
      <c r="AL20" s="6"/>
      <c r="AM20" s="6"/>
      <c r="AN20" s="6"/>
      <c r="AO20" s="5"/>
      <c r="AP20" s="6"/>
      <c r="AQ20" s="6"/>
      <c r="AR20" s="6"/>
      <c r="AS20" s="6"/>
      <c r="AT20" s="5"/>
      <c r="AU20" s="6"/>
      <c r="AV20" s="6"/>
      <c r="AW20" s="6"/>
      <c r="AX20" s="6"/>
      <c r="AY20" s="5"/>
      <c r="AZ20" s="6"/>
      <c r="BA20" s="6"/>
      <c r="BB20" s="6"/>
      <c r="BC20" s="6"/>
      <c r="BD20" s="3"/>
      <c r="BE20" s="4"/>
      <c r="BF20" s="4"/>
      <c r="BG20" s="4"/>
      <c r="BH20" s="4"/>
      <c r="BI20" s="3"/>
      <c r="BJ20" s="4"/>
      <c r="BK20" s="4"/>
      <c r="BL20" s="4"/>
      <c r="BM20" s="4"/>
      <c r="BN20" s="3"/>
      <c r="BO20" s="4"/>
      <c r="BP20" s="4"/>
      <c r="BQ20" s="4"/>
      <c r="BR20" s="4"/>
      <c r="BT20" s="1"/>
      <c r="BU20" s="1"/>
      <c r="BV20" s="1"/>
      <c r="BW20" s="1"/>
    </row>
    <row r="21" spans="1:75" x14ac:dyDescent="0.2">
      <c r="A21" t="s">
        <v>192</v>
      </c>
      <c r="D21" t="s">
        <v>75</v>
      </c>
      <c r="O21">
        <v>-10</v>
      </c>
      <c r="P21" s="42">
        <v>43.5</v>
      </c>
      <c r="R21">
        <v>7.2</v>
      </c>
      <c r="T21" s="19">
        <v>43387</v>
      </c>
      <c r="U21" s="13" t="s">
        <v>252</v>
      </c>
      <c r="V21" t="s">
        <v>312</v>
      </c>
      <c r="W21" s="13" t="s">
        <v>285</v>
      </c>
      <c r="X21" s="1"/>
      <c r="Y21" s="1"/>
      <c r="Z21" s="8"/>
      <c r="AA21" s="9"/>
      <c r="AB21" s="9"/>
      <c r="AC21" s="9"/>
      <c r="AD21" s="9"/>
      <c r="AE21" s="8"/>
      <c r="AF21" s="9"/>
      <c r="AG21" s="9"/>
      <c r="AH21" s="9"/>
      <c r="AI21" s="9"/>
      <c r="AJ21" s="5"/>
      <c r="AK21" s="6"/>
      <c r="AL21" s="6"/>
      <c r="AM21" s="6"/>
      <c r="AN21" s="6"/>
      <c r="AO21" s="5"/>
      <c r="AP21" s="6"/>
      <c r="AQ21" s="6"/>
      <c r="AR21" s="6"/>
      <c r="AS21" s="6"/>
      <c r="AT21" s="5"/>
      <c r="AU21" s="6"/>
      <c r="AV21" s="6"/>
      <c r="AW21" s="6"/>
      <c r="AX21" s="6"/>
      <c r="AY21" s="5"/>
      <c r="AZ21" s="6"/>
      <c r="BA21" s="6"/>
      <c r="BB21" s="6"/>
      <c r="BC21" s="6"/>
      <c r="BD21" s="3"/>
      <c r="BE21" s="4"/>
      <c r="BF21" s="4"/>
      <c r="BG21" s="4"/>
      <c r="BH21" s="4"/>
      <c r="BI21" s="3"/>
      <c r="BJ21" s="4"/>
      <c r="BK21" s="4"/>
      <c r="BL21" s="4"/>
      <c r="BM21" s="4"/>
      <c r="BN21" s="3"/>
      <c r="BO21" s="4"/>
      <c r="BP21" s="4"/>
      <c r="BQ21" s="4"/>
      <c r="BR21" s="4"/>
      <c r="BT21" s="1"/>
      <c r="BU21" s="1"/>
      <c r="BV21" s="1"/>
      <c r="BW21" s="1"/>
    </row>
    <row r="22" spans="1:75" x14ac:dyDescent="0.2">
      <c r="A22" t="s">
        <v>192</v>
      </c>
      <c r="O22">
        <v>-4</v>
      </c>
      <c r="P22" s="42">
        <v>59.5</v>
      </c>
      <c r="R22">
        <v>9.1999999999999993</v>
      </c>
      <c r="T22" s="19">
        <v>43387</v>
      </c>
      <c r="U22" s="13" t="s">
        <v>252</v>
      </c>
      <c r="V22" s="41" t="s">
        <v>302</v>
      </c>
      <c r="W22" s="13" t="s">
        <v>288</v>
      </c>
      <c r="X22" s="1"/>
      <c r="Y22" s="1"/>
      <c r="Z22" s="8"/>
      <c r="AA22" s="8"/>
      <c r="AB22" s="9"/>
      <c r="AC22" s="9"/>
      <c r="AD22" s="9"/>
      <c r="AE22" s="8"/>
      <c r="AF22" s="8"/>
      <c r="AG22" s="9"/>
      <c r="AH22" s="9"/>
      <c r="AI22" s="9"/>
      <c r="AJ22" s="5"/>
      <c r="AK22" s="6"/>
      <c r="AL22" s="6"/>
      <c r="AM22" s="6"/>
      <c r="AN22" s="6"/>
      <c r="AO22" s="5"/>
      <c r="AP22" s="5"/>
      <c r="AQ22" s="6"/>
      <c r="AR22" s="6"/>
      <c r="AS22" s="6"/>
      <c r="AT22" s="5"/>
      <c r="AU22" s="5"/>
      <c r="AV22" s="6"/>
      <c r="AW22" s="6"/>
      <c r="AX22" s="6"/>
      <c r="AY22" s="5"/>
      <c r="AZ22" s="5"/>
      <c r="BA22" s="6"/>
      <c r="BB22" s="6"/>
      <c r="BC22" s="6"/>
      <c r="BD22" s="3"/>
      <c r="BE22" s="3"/>
      <c r="BF22" s="4"/>
      <c r="BG22" s="4"/>
      <c r="BH22" s="4"/>
      <c r="BI22" s="3"/>
      <c r="BJ22" s="3"/>
      <c r="BK22" s="4"/>
      <c r="BL22" s="4"/>
      <c r="BM22" s="4"/>
      <c r="BN22" s="3"/>
      <c r="BO22" s="3"/>
      <c r="BP22" s="4"/>
      <c r="BQ22" s="4"/>
      <c r="BR22" s="4"/>
      <c r="BT22" s="1"/>
      <c r="BU22" s="1"/>
      <c r="BV22" s="1"/>
      <c r="BW22" s="1"/>
    </row>
    <row r="23" spans="1:75" x14ac:dyDescent="0.2">
      <c r="A23" t="s">
        <v>192</v>
      </c>
      <c r="E23" t="s">
        <v>75</v>
      </c>
      <c r="O23">
        <v>1.5</v>
      </c>
      <c r="P23" s="42">
        <v>45.5</v>
      </c>
      <c r="R23">
        <v>6.7</v>
      </c>
      <c r="T23" s="19">
        <v>43387</v>
      </c>
      <c r="U23" s="13" t="s">
        <v>252</v>
      </c>
      <c r="V23" s="41" t="s">
        <v>296</v>
      </c>
      <c r="W23" s="13" t="s">
        <v>294</v>
      </c>
      <c r="X23" s="1"/>
      <c r="Y23" s="1"/>
      <c r="Z23" s="8"/>
      <c r="AA23" s="9"/>
      <c r="AB23" s="9"/>
      <c r="AC23" s="9"/>
      <c r="AD23" s="9"/>
      <c r="AE23" s="8"/>
      <c r="AF23" s="9"/>
      <c r="AG23" s="9"/>
      <c r="AH23" s="9"/>
      <c r="AI23" s="9"/>
      <c r="AJ23" s="5"/>
      <c r="AK23" s="6"/>
      <c r="AL23" s="6"/>
      <c r="AM23" s="6"/>
      <c r="AN23" s="6"/>
      <c r="AO23" s="5"/>
      <c r="AP23" s="6"/>
      <c r="AQ23" s="6"/>
      <c r="AR23" s="6"/>
      <c r="AS23" s="6"/>
      <c r="AT23" s="5"/>
      <c r="AU23" s="6"/>
      <c r="AV23" s="6"/>
      <c r="AW23" s="6"/>
      <c r="AX23" s="6"/>
      <c r="AY23" s="5"/>
      <c r="AZ23" s="6"/>
      <c r="BA23" s="6"/>
      <c r="BB23" s="6"/>
      <c r="BC23" s="6"/>
      <c r="BD23" s="3"/>
      <c r="BE23" s="4"/>
      <c r="BF23" s="4"/>
      <c r="BG23" s="4"/>
      <c r="BH23" s="4"/>
      <c r="BI23" s="3"/>
      <c r="BJ23" s="4"/>
      <c r="BK23" s="4"/>
      <c r="BL23" s="4"/>
      <c r="BM23" s="4"/>
      <c r="BN23" s="3"/>
      <c r="BO23" s="4"/>
      <c r="BP23" s="4"/>
      <c r="BQ23" s="4"/>
      <c r="BR23" s="4"/>
      <c r="BT23" s="1"/>
      <c r="BU23" s="1"/>
      <c r="BV23" s="1"/>
      <c r="BW23" s="1"/>
    </row>
    <row r="24" spans="1:75" x14ac:dyDescent="0.2">
      <c r="A24" t="s">
        <v>192</v>
      </c>
      <c r="D24" t="s">
        <v>75</v>
      </c>
      <c r="O24">
        <v>-2.5</v>
      </c>
      <c r="P24" s="42">
        <v>47.5</v>
      </c>
      <c r="R24">
        <v>6.9</v>
      </c>
      <c r="T24" s="19">
        <v>43387</v>
      </c>
      <c r="U24" s="13" t="s">
        <v>252</v>
      </c>
      <c r="V24" s="41" t="s">
        <v>298</v>
      </c>
      <c r="W24" s="13" t="s">
        <v>289</v>
      </c>
      <c r="X24" s="1"/>
      <c r="Y24" s="1"/>
      <c r="Z24" s="8"/>
      <c r="AA24" s="9"/>
      <c r="AB24" s="9"/>
      <c r="AC24" s="9"/>
      <c r="AD24" s="9"/>
      <c r="AE24" s="8"/>
      <c r="AF24" s="9"/>
      <c r="AG24" s="9"/>
      <c r="AH24" s="9"/>
      <c r="AI24" s="9"/>
      <c r="AJ24" s="5"/>
      <c r="AK24" s="6"/>
      <c r="AL24" s="6"/>
      <c r="AM24" s="6"/>
      <c r="AN24" s="6"/>
      <c r="AO24" s="5"/>
      <c r="AP24" s="6"/>
      <c r="AQ24" s="6"/>
      <c r="AR24" s="6"/>
      <c r="AS24" s="6"/>
      <c r="AT24" s="5"/>
      <c r="AU24" s="6"/>
      <c r="AV24" s="6"/>
      <c r="AW24" s="6"/>
      <c r="AX24" s="6"/>
      <c r="AY24" s="5"/>
      <c r="AZ24" s="6"/>
      <c r="BA24" s="6"/>
      <c r="BB24" s="6"/>
      <c r="BC24" s="6"/>
      <c r="BD24" s="3"/>
      <c r="BE24" s="4"/>
      <c r="BF24" s="4"/>
      <c r="BG24" s="4"/>
      <c r="BH24" s="4"/>
      <c r="BI24" s="3"/>
      <c r="BJ24" s="4"/>
      <c r="BK24" s="4"/>
      <c r="BL24" s="4"/>
      <c r="BM24" s="4"/>
      <c r="BN24" s="3"/>
      <c r="BO24" s="4"/>
      <c r="BP24" s="4"/>
      <c r="BQ24" s="4"/>
      <c r="BR24" s="4"/>
      <c r="BT24" s="1"/>
      <c r="BU24" s="1"/>
      <c r="BV24" s="1"/>
      <c r="BW24" s="1"/>
    </row>
    <row r="25" spans="1:75" x14ac:dyDescent="0.2">
      <c r="A25" t="s">
        <v>192</v>
      </c>
      <c r="E25" t="s">
        <v>75</v>
      </c>
      <c r="O25">
        <v>-1.5</v>
      </c>
      <c r="P25" s="42">
        <v>45.5</v>
      </c>
      <c r="R25">
        <v>12.1</v>
      </c>
      <c r="T25" s="19">
        <v>43387</v>
      </c>
      <c r="U25" s="13" t="s">
        <v>252</v>
      </c>
      <c r="V25" s="41" t="s">
        <v>294</v>
      </c>
      <c r="W25" s="13" t="s">
        <v>296</v>
      </c>
      <c r="X25" s="1"/>
      <c r="Y25" s="1"/>
      <c r="Z25" s="8"/>
      <c r="AA25" s="8"/>
      <c r="AB25" s="9"/>
      <c r="AC25" s="9"/>
      <c r="AD25" s="9"/>
      <c r="AE25" s="8"/>
      <c r="AF25" s="8"/>
      <c r="AG25" s="9"/>
      <c r="AH25" s="9"/>
      <c r="AI25" s="9"/>
      <c r="AJ25" s="5"/>
      <c r="AK25" s="6"/>
      <c r="AL25" s="6"/>
      <c r="AM25" s="6"/>
      <c r="AN25" s="6"/>
      <c r="AO25" s="5"/>
      <c r="AP25" s="5"/>
      <c r="AQ25" s="6"/>
      <c r="AR25" s="6"/>
      <c r="AS25" s="6"/>
      <c r="AT25" s="5"/>
      <c r="AU25" s="5"/>
      <c r="AV25" s="6"/>
      <c r="AW25" s="6"/>
      <c r="AX25" s="6"/>
      <c r="AY25" s="5"/>
      <c r="AZ25" s="5"/>
      <c r="BA25" s="6"/>
      <c r="BB25" s="6"/>
      <c r="BC25" s="6"/>
      <c r="BD25" s="3"/>
      <c r="BE25" s="3"/>
      <c r="BF25" s="4"/>
      <c r="BG25" s="4"/>
      <c r="BH25" s="4"/>
      <c r="BI25" s="3"/>
      <c r="BJ25" s="3"/>
      <c r="BK25" s="4"/>
      <c r="BL25" s="4"/>
      <c r="BM25" s="4"/>
      <c r="BN25" s="3"/>
      <c r="BO25" s="3"/>
      <c r="BP25" s="4"/>
      <c r="BQ25" s="4"/>
      <c r="BR25" s="4"/>
      <c r="BT25" s="1"/>
      <c r="BU25" s="1"/>
      <c r="BV25" s="1"/>
      <c r="BW25" s="1"/>
    </row>
    <row r="26" spans="1:75" x14ac:dyDescent="0.2">
      <c r="A26" t="s">
        <v>192</v>
      </c>
      <c r="F26" t="s">
        <v>109</v>
      </c>
      <c r="O26">
        <v>1</v>
      </c>
      <c r="P26" s="42">
        <v>49.5</v>
      </c>
      <c r="R26">
        <v>23.1</v>
      </c>
      <c r="T26" s="19">
        <v>43387</v>
      </c>
      <c r="U26" s="13" t="s">
        <v>252</v>
      </c>
      <c r="V26" t="s">
        <v>309</v>
      </c>
      <c r="W26" s="13" t="s">
        <v>272</v>
      </c>
      <c r="X26" s="1"/>
      <c r="Y26" s="1"/>
      <c r="Z26" s="8"/>
      <c r="AA26" s="9"/>
      <c r="AB26" s="9"/>
      <c r="AC26" s="9"/>
      <c r="AD26" s="9"/>
      <c r="AE26" s="8"/>
      <c r="AF26" s="9"/>
      <c r="AG26" s="9"/>
      <c r="AH26" s="9"/>
      <c r="AI26" s="9"/>
      <c r="AJ26" s="5"/>
      <c r="AK26" s="6"/>
      <c r="AL26" s="6"/>
      <c r="AM26" s="6"/>
      <c r="AN26" s="6"/>
      <c r="AO26" s="5"/>
      <c r="AP26" s="6"/>
      <c r="AQ26" s="6"/>
      <c r="AR26" s="6"/>
      <c r="AS26" s="6"/>
      <c r="AT26" s="5"/>
      <c r="AU26" s="6"/>
      <c r="AV26" s="6"/>
      <c r="AW26" s="6"/>
      <c r="AX26" s="6"/>
      <c r="AY26" s="5"/>
      <c r="AZ26" s="6"/>
      <c r="BA26" s="6"/>
      <c r="BB26" s="6"/>
      <c r="BC26" s="6"/>
      <c r="BD26" s="3"/>
      <c r="BE26" s="4"/>
      <c r="BF26" s="4"/>
      <c r="BG26" s="4"/>
      <c r="BH26" s="4"/>
      <c r="BI26" s="3"/>
      <c r="BJ26" s="4"/>
      <c r="BK26" s="4"/>
      <c r="BL26" s="4"/>
      <c r="BM26" s="4"/>
      <c r="BN26" s="3"/>
      <c r="BO26" s="4"/>
      <c r="BP26" s="4"/>
      <c r="BQ26" s="4"/>
      <c r="BR26" s="4"/>
      <c r="BT26" s="1"/>
      <c r="BU26" s="1"/>
      <c r="BV26" s="1"/>
      <c r="BW26" s="1"/>
    </row>
    <row r="27" spans="1:75" x14ac:dyDescent="0.2">
      <c r="A27" t="s">
        <v>192</v>
      </c>
      <c r="B27" t="s">
        <v>424</v>
      </c>
      <c r="C27">
        <v>10</v>
      </c>
      <c r="D27" t="s">
        <v>75</v>
      </c>
      <c r="O27">
        <v>9</v>
      </c>
      <c r="P27" s="42">
        <v>46.5</v>
      </c>
      <c r="R27">
        <v>7.7</v>
      </c>
      <c r="T27" s="19">
        <v>43387</v>
      </c>
      <c r="U27" s="13" t="s">
        <v>252</v>
      </c>
      <c r="V27" s="41" t="s">
        <v>256</v>
      </c>
      <c r="W27" s="13" t="s">
        <v>300</v>
      </c>
      <c r="X27" s="1"/>
      <c r="Y27" s="1"/>
      <c r="Z27" s="8"/>
      <c r="AA27" s="9"/>
      <c r="AB27" s="9"/>
      <c r="AC27" s="9"/>
      <c r="AD27" s="9"/>
      <c r="AE27" s="8"/>
      <c r="AF27" s="9"/>
      <c r="AG27" s="9"/>
      <c r="AH27" s="9"/>
      <c r="AI27" s="9"/>
      <c r="AJ27" s="5"/>
      <c r="AK27" s="6"/>
      <c r="AL27" s="6"/>
      <c r="AM27" s="6"/>
      <c r="AN27" s="6"/>
      <c r="AO27" s="5"/>
      <c r="AP27" s="6"/>
      <c r="AQ27" s="6"/>
      <c r="AR27" s="6"/>
      <c r="AS27" s="6"/>
      <c r="AT27" s="5"/>
      <c r="AU27" s="6"/>
      <c r="AV27" s="6"/>
      <c r="AW27" s="6"/>
      <c r="AX27" s="6"/>
      <c r="AY27" s="5"/>
      <c r="AZ27" s="6"/>
      <c r="BA27" s="6"/>
      <c r="BB27" s="6"/>
      <c r="BC27" s="6"/>
      <c r="BD27" s="3"/>
      <c r="BE27" s="4"/>
      <c r="BF27" s="4"/>
      <c r="BG27" s="4"/>
      <c r="BH27" s="4"/>
      <c r="BI27" s="3"/>
      <c r="BJ27" s="4"/>
      <c r="BK27" s="4"/>
      <c r="BL27" s="4"/>
      <c r="BM27" s="4"/>
      <c r="BN27" s="3"/>
      <c r="BO27" s="4"/>
      <c r="BP27" s="4"/>
      <c r="BQ27" s="4"/>
      <c r="BR27" s="4"/>
      <c r="BT27" s="1"/>
      <c r="BU27" s="1"/>
      <c r="BV27" s="1"/>
      <c r="BW27" s="1"/>
    </row>
    <row r="28" spans="1:75" x14ac:dyDescent="0.2">
      <c r="A28" t="s">
        <v>192</v>
      </c>
      <c r="F28" t="s">
        <v>110</v>
      </c>
      <c r="O28">
        <v>-3</v>
      </c>
      <c r="P28" s="42">
        <v>47.5</v>
      </c>
      <c r="R28">
        <v>11</v>
      </c>
      <c r="T28" s="19">
        <v>43387</v>
      </c>
      <c r="U28" s="13" t="s">
        <v>252</v>
      </c>
      <c r="V28" s="41" t="s">
        <v>308</v>
      </c>
      <c r="W28" s="13" t="s">
        <v>303</v>
      </c>
      <c r="X28" s="1"/>
      <c r="Y28" s="1"/>
      <c r="Z28" s="8"/>
      <c r="AA28" s="8"/>
      <c r="AB28" s="9"/>
      <c r="AC28" s="9"/>
      <c r="AD28" s="9"/>
      <c r="AE28" s="8"/>
      <c r="AF28" s="8"/>
      <c r="AG28" s="9"/>
      <c r="AH28" s="9"/>
      <c r="AI28" s="9"/>
      <c r="AJ28" s="5"/>
      <c r="AK28" s="6"/>
      <c r="AL28" s="6"/>
      <c r="AM28" s="6"/>
      <c r="AN28" s="6"/>
      <c r="AO28" s="5"/>
      <c r="AP28" s="5"/>
      <c r="AQ28" s="6"/>
      <c r="AR28" s="6"/>
      <c r="AS28" s="6"/>
      <c r="AT28" s="5"/>
      <c r="AU28" s="5"/>
      <c r="AV28" s="6"/>
      <c r="AW28" s="6"/>
      <c r="AX28" s="6"/>
      <c r="AY28" s="5"/>
      <c r="AZ28" s="5"/>
      <c r="BA28" s="6"/>
      <c r="BB28" s="6"/>
      <c r="BC28" s="6"/>
      <c r="BD28" s="3"/>
      <c r="BE28" s="3"/>
      <c r="BF28" s="4"/>
      <c r="BG28" s="4"/>
      <c r="BH28" s="4"/>
      <c r="BI28" s="3"/>
      <c r="BJ28" s="3"/>
      <c r="BK28" s="4"/>
      <c r="BL28" s="4"/>
      <c r="BM28" s="4"/>
      <c r="BN28" s="3"/>
      <c r="BO28" s="3"/>
      <c r="BP28" s="4"/>
      <c r="BQ28" s="4"/>
      <c r="BR28" s="4"/>
      <c r="BT28" s="1"/>
      <c r="BU28" s="1"/>
      <c r="BV28" s="1"/>
      <c r="BW28" s="1"/>
    </row>
    <row r="29" spans="1:75" x14ac:dyDescent="0.2">
      <c r="A29" t="s">
        <v>192</v>
      </c>
      <c r="D29" t="s">
        <v>75</v>
      </c>
      <c r="E29" t="s">
        <v>75</v>
      </c>
      <c r="F29" t="s">
        <v>109</v>
      </c>
      <c r="O29">
        <v>3</v>
      </c>
      <c r="P29" s="42">
        <v>57.5</v>
      </c>
      <c r="R29">
        <v>17.600000000000001</v>
      </c>
      <c r="T29" s="19">
        <v>43387</v>
      </c>
      <c r="U29" s="13" t="s">
        <v>252</v>
      </c>
      <c r="V29" t="s">
        <v>284</v>
      </c>
      <c r="W29" s="13" t="s">
        <v>295</v>
      </c>
      <c r="X29" s="1"/>
      <c r="Y29" s="1"/>
      <c r="Z29" s="8"/>
      <c r="AA29" s="9"/>
      <c r="AB29" s="9"/>
      <c r="AC29" s="9"/>
      <c r="AD29" s="9"/>
      <c r="AE29" s="8"/>
      <c r="AF29" s="9"/>
      <c r="AG29" s="9"/>
      <c r="AH29" s="9"/>
      <c r="AI29" s="9"/>
      <c r="AJ29" s="5"/>
      <c r="AK29" s="6"/>
      <c r="AL29" s="6"/>
      <c r="AM29" s="6"/>
      <c r="AN29" s="6"/>
      <c r="AO29" s="5"/>
      <c r="AP29" s="6"/>
      <c r="AQ29" s="6"/>
      <c r="AR29" s="6"/>
      <c r="AS29" s="6"/>
      <c r="AT29" s="5"/>
      <c r="AU29" s="6"/>
      <c r="AV29" s="6"/>
      <c r="AW29" s="6"/>
      <c r="AX29" s="6"/>
      <c r="AY29" s="5"/>
      <c r="AZ29" s="6"/>
      <c r="BA29" s="6"/>
      <c r="BB29" s="6"/>
      <c r="BC29" s="6"/>
      <c r="BD29" s="3"/>
      <c r="BE29" s="4"/>
      <c r="BF29" s="4"/>
      <c r="BG29" s="4"/>
      <c r="BH29" s="4"/>
      <c r="BI29" s="3"/>
      <c r="BJ29" s="4"/>
      <c r="BK29" s="4"/>
      <c r="BL29" s="4"/>
      <c r="BM29" s="4"/>
      <c r="BN29" s="3"/>
      <c r="BO29" s="4"/>
      <c r="BP29" s="4"/>
      <c r="BQ29" s="4"/>
      <c r="BR29" s="4"/>
      <c r="BT29" s="1"/>
      <c r="BU29" s="1"/>
      <c r="BV29" s="1"/>
      <c r="BW29" s="1"/>
    </row>
    <row r="30" spans="1:75" x14ac:dyDescent="0.2">
      <c r="A30" t="s">
        <v>192</v>
      </c>
      <c r="O30">
        <v>2.5</v>
      </c>
      <c r="P30" s="42">
        <v>43.5</v>
      </c>
      <c r="R30">
        <v>5.3</v>
      </c>
      <c r="T30" s="19">
        <v>43387</v>
      </c>
      <c r="U30" s="13" t="s">
        <v>252</v>
      </c>
      <c r="V30" t="s">
        <v>310</v>
      </c>
      <c r="W30" s="13" t="s">
        <v>305</v>
      </c>
      <c r="X30" s="1"/>
      <c r="Y30" s="1"/>
      <c r="Z30" s="8"/>
      <c r="AA30" s="8"/>
      <c r="AB30" s="8"/>
      <c r="AC30" s="8"/>
      <c r="AD30" s="8"/>
      <c r="AE30" s="9"/>
      <c r="AF30" s="8"/>
      <c r="AG30" s="9"/>
      <c r="AH30" s="9"/>
      <c r="AI30" s="9"/>
      <c r="AJ30" s="5"/>
      <c r="AK30" s="6"/>
      <c r="AL30" s="6"/>
      <c r="AM30" s="6"/>
      <c r="AN30" s="6"/>
      <c r="AO30" s="5"/>
      <c r="AP30" s="5"/>
      <c r="AQ30" s="5"/>
      <c r="AR30" s="5"/>
      <c r="AS30" s="5"/>
      <c r="AT30" s="6"/>
      <c r="AU30" s="5"/>
      <c r="AV30" s="6"/>
      <c r="AW30" s="6"/>
      <c r="AX30" s="6"/>
      <c r="AY30" s="5"/>
      <c r="AZ30" s="6"/>
      <c r="BA30" s="6"/>
      <c r="BB30" s="6"/>
      <c r="BC30" s="6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</row>
    <row r="31" spans="1:75" x14ac:dyDescent="0.2">
      <c r="A31" t="s">
        <v>192</v>
      </c>
      <c r="B31" t="s">
        <v>423</v>
      </c>
      <c r="C31">
        <v>11</v>
      </c>
      <c r="F31" t="s">
        <v>110</v>
      </c>
      <c r="O31">
        <v>1</v>
      </c>
      <c r="P31" s="42">
        <v>44.5</v>
      </c>
      <c r="R31">
        <v>5</v>
      </c>
      <c r="T31" s="19">
        <v>43387</v>
      </c>
      <c r="U31" s="13" t="s">
        <v>252</v>
      </c>
      <c r="V31" t="s">
        <v>306</v>
      </c>
      <c r="W31" s="13" t="s">
        <v>301</v>
      </c>
      <c r="X31" s="1"/>
      <c r="Y31" s="1"/>
      <c r="Z31" s="8"/>
      <c r="AA31" s="8"/>
      <c r="AB31" s="9"/>
      <c r="AC31" s="9"/>
      <c r="AD31" s="9"/>
      <c r="AE31" s="9"/>
      <c r="AF31" s="8"/>
      <c r="AG31" s="9"/>
      <c r="AH31" s="9"/>
      <c r="AI31" s="9"/>
      <c r="AJ31" s="5"/>
      <c r="AK31" s="6"/>
      <c r="AL31" s="6"/>
      <c r="AM31" s="6"/>
      <c r="AN31" s="6"/>
      <c r="AO31" s="5"/>
      <c r="AP31" s="5"/>
      <c r="AQ31" s="6"/>
      <c r="AR31" s="6"/>
      <c r="AS31" s="6"/>
      <c r="AT31" s="6"/>
      <c r="AU31" s="5"/>
      <c r="AV31" s="6"/>
      <c r="AW31" s="6"/>
      <c r="AX31" s="6"/>
      <c r="AY31" s="6"/>
      <c r="AZ31" s="6"/>
      <c r="BA31" s="6"/>
      <c r="BB31" s="6"/>
      <c r="BC31" s="6"/>
      <c r="BD31" s="3"/>
      <c r="BE31" s="4"/>
      <c r="BF31" s="4"/>
      <c r="BG31" s="4"/>
      <c r="BH31" s="4"/>
      <c r="BI31" s="3"/>
      <c r="BJ31" s="4"/>
      <c r="BK31" s="4"/>
      <c r="BL31" s="4"/>
      <c r="BM31" s="4"/>
      <c r="BN31" s="3"/>
      <c r="BO31" s="4"/>
      <c r="BP31" s="4"/>
      <c r="BQ31" s="4"/>
      <c r="BR31" s="4"/>
    </row>
    <row r="32" spans="1:75" x14ac:dyDescent="0.2">
      <c r="A32" t="s">
        <v>192</v>
      </c>
      <c r="D32" t="s">
        <v>75</v>
      </c>
      <c r="O32">
        <v>1</v>
      </c>
      <c r="P32" s="42">
        <v>42.5</v>
      </c>
      <c r="R32">
        <v>8.6999999999999993</v>
      </c>
      <c r="T32" s="19">
        <v>43394</v>
      </c>
      <c r="U32" s="13" t="s">
        <v>250</v>
      </c>
      <c r="V32" t="s">
        <v>285</v>
      </c>
      <c r="W32" s="13" t="s">
        <v>278</v>
      </c>
      <c r="X32" s="1"/>
      <c r="Y32" s="1"/>
      <c r="Z32" s="8"/>
      <c r="AA32" s="9"/>
      <c r="AB32" s="9"/>
      <c r="AC32" s="9"/>
      <c r="AD32" s="9"/>
      <c r="AE32" s="8"/>
      <c r="AF32" s="9"/>
      <c r="AG32" s="9"/>
      <c r="AH32" s="9"/>
      <c r="AI32" s="9"/>
      <c r="AJ32" s="5"/>
      <c r="AK32" s="6"/>
      <c r="AL32" s="6"/>
      <c r="AM32" s="6"/>
      <c r="AN32" s="6"/>
      <c r="AO32" s="5"/>
      <c r="AP32" s="6"/>
      <c r="AQ32" s="6"/>
      <c r="AR32" s="6"/>
      <c r="AS32" s="6"/>
      <c r="AT32" s="5"/>
      <c r="AU32" s="6"/>
      <c r="AV32" s="6"/>
      <c r="AW32" s="6"/>
      <c r="AX32" s="6"/>
      <c r="AY32" s="5"/>
      <c r="AZ32" s="6"/>
      <c r="BA32" s="6"/>
      <c r="BB32" s="6"/>
      <c r="BC32" s="6"/>
      <c r="BD32" s="3"/>
      <c r="BE32" s="4"/>
      <c r="BF32" s="4"/>
      <c r="BG32" s="4"/>
      <c r="BH32" s="4"/>
      <c r="BI32" s="3"/>
      <c r="BJ32" s="4"/>
      <c r="BK32" s="4"/>
      <c r="BL32" s="4"/>
      <c r="BM32" s="4"/>
      <c r="BN32" s="3"/>
      <c r="BO32" s="4"/>
      <c r="BP32" s="4"/>
      <c r="BQ32" s="4"/>
      <c r="BR32" s="4"/>
    </row>
    <row r="33" spans="1:70" x14ac:dyDescent="0.2">
      <c r="A33" t="s">
        <v>192</v>
      </c>
      <c r="E33" t="s">
        <v>75</v>
      </c>
      <c r="O33">
        <v>-4.5</v>
      </c>
      <c r="P33" s="42">
        <v>52</v>
      </c>
      <c r="R33">
        <v>9.3000000000000007</v>
      </c>
      <c r="T33" s="19">
        <v>43394</v>
      </c>
      <c r="U33" s="13" t="s">
        <v>250</v>
      </c>
      <c r="V33" t="s">
        <v>295</v>
      </c>
      <c r="W33" s="13" t="s">
        <v>296</v>
      </c>
      <c r="X33" s="1"/>
      <c r="Y33" s="1"/>
      <c r="Z33" s="8"/>
      <c r="AA33" s="9"/>
      <c r="AB33" s="9"/>
      <c r="AC33" s="9"/>
      <c r="AD33" s="9"/>
      <c r="AE33" s="8"/>
      <c r="AF33" s="9"/>
      <c r="AG33" s="9"/>
      <c r="AH33" s="9"/>
      <c r="AI33" s="9"/>
      <c r="AJ33" s="5"/>
      <c r="AK33" s="6"/>
      <c r="AL33" s="6"/>
      <c r="AM33" s="6"/>
      <c r="AN33" s="6"/>
      <c r="AO33" s="5"/>
      <c r="AP33" s="6"/>
      <c r="AQ33" s="6"/>
      <c r="AR33" s="6"/>
      <c r="AS33" s="6"/>
      <c r="AT33" s="5"/>
      <c r="AU33" s="6"/>
      <c r="AV33" s="6"/>
      <c r="AW33" s="6"/>
      <c r="AX33" s="6"/>
      <c r="AY33" s="5"/>
      <c r="AZ33" s="6"/>
      <c r="BA33" s="6"/>
      <c r="BB33" s="6"/>
      <c r="BC33" s="6"/>
      <c r="BD33" s="3"/>
      <c r="BE33" s="4"/>
      <c r="BF33" s="4"/>
      <c r="BG33" s="4"/>
      <c r="BH33" s="4"/>
      <c r="BI33" s="3"/>
      <c r="BJ33" s="4"/>
      <c r="BK33" s="4"/>
      <c r="BL33" s="4"/>
      <c r="BM33" s="4"/>
      <c r="BN33" s="3"/>
      <c r="BO33" s="4"/>
      <c r="BP33" s="4"/>
      <c r="BQ33" s="4"/>
      <c r="BR33" s="4"/>
    </row>
    <row r="34" spans="1:70" x14ac:dyDescent="0.2">
      <c r="A34" t="s">
        <v>192</v>
      </c>
      <c r="O34">
        <v>-2.5</v>
      </c>
      <c r="P34" s="42">
        <v>49</v>
      </c>
      <c r="R34">
        <v>6.6</v>
      </c>
      <c r="T34" s="19">
        <v>43394</v>
      </c>
      <c r="U34" s="13" t="s">
        <v>250</v>
      </c>
      <c r="V34" t="s">
        <v>305</v>
      </c>
      <c r="W34" s="13" t="s">
        <v>307</v>
      </c>
      <c r="X34" s="1"/>
      <c r="Y34" s="1"/>
      <c r="Z34" s="8"/>
      <c r="AA34" s="8"/>
      <c r="AB34" s="9"/>
      <c r="AC34" s="9"/>
      <c r="AD34" s="9"/>
      <c r="AE34" s="8"/>
      <c r="AF34" s="8"/>
      <c r="AG34" s="9"/>
      <c r="AH34" s="9"/>
      <c r="AI34" s="9"/>
      <c r="AJ34" s="5"/>
      <c r="AK34" s="6"/>
      <c r="AL34" s="6"/>
      <c r="AM34" s="6"/>
      <c r="AN34" s="6"/>
      <c r="AO34" s="5"/>
      <c r="AP34" s="5"/>
      <c r="AQ34" s="6"/>
      <c r="AR34" s="6"/>
      <c r="AS34" s="6"/>
      <c r="AT34" s="5"/>
      <c r="AU34" s="5"/>
      <c r="AV34" s="6"/>
      <c r="AW34" s="6"/>
      <c r="AX34" s="6"/>
      <c r="AY34" s="5"/>
      <c r="AZ34" s="5"/>
      <c r="BA34" s="6"/>
      <c r="BB34" s="6"/>
      <c r="BC34" s="6"/>
      <c r="BD34" s="3"/>
      <c r="BE34" s="3"/>
      <c r="BF34" s="4"/>
      <c r="BG34" s="4"/>
      <c r="BH34" s="4"/>
      <c r="BI34" s="3"/>
      <c r="BJ34" s="3"/>
      <c r="BK34" s="4"/>
      <c r="BL34" s="4"/>
      <c r="BM34" s="4"/>
      <c r="BN34" s="3"/>
      <c r="BO34" s="3"/>
      <c r="BP34" s="4"/>
      <c r="BQ34" s="4"/>
      <c r="BR34" s="4"/>
    </row>
    <row r="35" spans="1:70" x14ac:dyDescent="0.2">
      <c r="A35" t="s">
        <v>192</v>
      </c>
      <c r="D35" t="s">
        <v>75</v>
      </c>
      <c r="O35">
        <v>7</v>
      </c>
      <c r="P35" s="42">
        <v>43.5</v>
      </c>
      <c r="R35">
        <v>0</v>
      </c>
      <c r="T35" s="19">
        <v>43394</v>
      </c>
      <c r="U35" s="13" t="s">
        <v>250</v>
      </c>
      <c r="V35" t="s">
        <v>276</v>
      </c>
      <c r="W35" s="13" t="s">
        <v>289</v>
      </c>
      <c r="X35" s="1"/>
      <c r="Y35" s="1"/>
      <c r="Z35" s="8"/>
      <c r="AA35" s="9"/>
      <c r="AB35" s="9"/>
      <c r="AC35" s="9"/>
      <c r="AD35" s="9"/>
      <c r="AE35" s="8"/>
      <c r="AF35" s="9"/>
      <c r="AG35" s="9"/>
      <c r="AH35" s="9"/>
      <c r="AI35" s="9"/>
      <c r="AJ35" s="5"/>
      <c r="AK35" s="6"/>
      <c r="AL35" s="6"/>
      <c r="AM35" s="6"/>
      <c r="AN35" s="6"/>
      <c r="AO35" s="5"/>
      <c r="AP35" s="6"/>
      <c r="AQ35" s="6"/>
      <c r="AR35" s="6"/>
      <c r="AS35" s="6"/>
      <c r="AT35" s="5"/>
      <c r="AU35" s="6"/>
      <c r="AV35" s="6"/>
      <c r="AW35" s="6"/>
      <c r="AX35" s="6"/>
      <c r="AY35" s="5"/>
      <c r="AZ35" s="6"/>
      <c r="BA35" s="6"/>
      <c r="BB35" s="6"/>
      <c r="BC35" s="6"/>
      <c r="BD35" s="3"/>
      <c r="BE35" s="4"/>
      <c r="BF35" s="4"/>
      <c r="BG35" s="4"/>
      <c r="BH35" s="4"/>
      <c r="BI35" s="3"/>
      <c r="BJ35" s="4"/>
      <c r="BK35" s="4"/>
      <c r="BL35" s="4"/>
      <c r="BM35" s="4"/>
      <c r="BN35" s="3"/>
      <c r="BO35" s="4"/>
      <c r="BP35" s="4"/>
      <c r="BQ35" s="4"/>
      <c r="BR35" s="4"/>
    </row>
    <row r="36" spans="1:70" x14ac:dyDescent="0.2">
      <c r="A36" t="s">
        <v>192</v>
      </c>
      <c r="O36">
        <v>5</v>
      </c>
      <c r="P36" s="42">
        <v>45</v>
      </c>
      <c r="R36">
        <v>9.5</v>
      </c>
      <c r="T36" s="19">
        <v>43394</v>
      </c>
      <c r="U36" s="13" t="s">
        <v>250</v>
      </c>
      <c r="V36" t="s">
        <v>301</v>
      </c>
      <c r="W36" s="13" t="s">
        <v>294</v>
      </c>
      <c r="X36" s="1"/>
      <c r="Y36" s="1"/>
      <c r="Z36" s="8"/>
      <c r="AA36" s="9"/>
      <c r="AB36" s="9"/>
      <c r="AC36" s="9"/>
      <c r="AD36" s="9"/>
      <c r="AE36" s="8"/>
      <c r="AF36" s="9"/>
      <c r="AG36" s="9"/>
      <c r="AH36" s="9"/>
      <c r="AI36" s="9"/>
      <c r="AJ36" s="5"/>
      <c r="AK36" s="6"/>
      <c r="AL36" s="6"/>
      <c r="AM36" s="6"/>
      <c r="AN36" s="6"/>
      <c r="AO36" s="5"/>
      <c r="AP36" s="6"/>
      <c r="AQ36" s="6"/>
      <c r="AR36" s="6"/>
      <c r="AS36" s="6"/>
      <c r="AT36" s="5"/>
      <c r="AU36" s="6"/>
      <c r="AV36" s="6"/>
      <c r="AW36" s="6"/>
      <c r="AX36" s="6"/>
      <c r="AY36" s="5"/>
      <c r="AZ36" s="6"/>
      <c r="BA36" s="6"/>
      <c r="BB36" s="6"/>
      <c r="BC36" s="6"/>
      <c r="BD36" s="3"/>
      <c r="BE36" s="4"/>
      <c r="BF36" s="4"/>
      <c r="BG36" s="4"/>
      <c r="BH36" s="4"/>
      <c r="BI36" s="3"/>
      <c r="BJ36" s="4"/>
      <c r="BK36" s="4"/>
      <c r="BL36" s="4"/>
      <c r="BM36" s="4"/>
      <c r="BN36" s="3"/>
      <c r="BO36" s="4"/>
      <c r="BP36" s="4"/>
      <c r="BQ36" s="4"/>
      <c r="BR36" s="4"/>
    </row>
    <row r="37" spans="1:70" x14ac:dyDescent="0.2">
      <c r="A37" t="s">
        <v>192</v>
      </c>
      <c r="E37" t="s">
        <v>75</v>
      </c>
      <c r="O37">
        <v>1</v>
      </c>
      <c r="P37" s="42">
        <v>49</v>
      </c>
      <c r="R37">
        <v>5.6</v>
      </c>
      <c r="T37" s="19">
        <v>43394</v>
      </c>
      <c r="U37" s="13" t="s">
        <v>250</v>
      </c>
      <c r="V37" t="s">
        <v>265</v>
      </c>
      <c r="W37" s="13" t="s">
        <v>302</v>
      </c>
      <c r="X37" s="1"/>
      <c r="Y37" s="1"/>
      <c r="Z37" s="8"/>
      <c r="AA37" s="8"/>
      <c r="AB37" s="9"/>
      <c r="AC37" s="9"/>
      <c r="AD37" s="9"/>
      <c r="AE37" s="8"/>
      <c r="AF37" s="8"/>
      <c r="AG37" s="9"/>
      <c r="AH37" s="9"/>
      <c r="AI37" s="9"/>
      <c r="AJ37" s="5"/>
      <c r="AK37" s="6"/>
      <c r="AL37" s="6"/>
      <c r="AM37" s="6"/>
      <c r="AN37" s="6"/>
      <c r="AO37" s="5"/>
      <c r="AP37" s="5"/>
      <c r="AQ37" s="6"/>
      <c r="AR37" s="6"/>
      <c r="AS37" s="6"/>
      <c r="AT37" s="5"/>
      <c r="AU37" s="5"/>
      <c r="AV37" s="6"/>
      <c r="AW37" s="6"/>
      <c r="AX37" s="6"/>
      <c r="AY37" s="5"/>
      <c r="AZ37" s="5"/>
      <c r="BA37" s="6"/>
      <c r="BB37" s="6"/>
      <c r="BC37" s="6"/>
      <c r="BD37" s="3"/>
      <c r="BE37" s="3"/>
      <c r="BF37" s="4"/>
      <c r="BG37" s="4"/>
      <c r="BH37" s="4"/>
      <c r="BI37" s="3"/>
      <c r="BJ37" s="3"/>
      <c r="BK37" s="4"/>
      <c r="BL37" s="4"/>
      <c r="BM37" s="4"/>
      <c r="BN37" s="3"/>
      <c r="BO37" s="3"/>
      <c r="BP37" s="4"/>
      <c r="BQ37" s="4"/>
      <c r="BR37" s="4"/>
    </row>
    <row r="38" spans="1:70" x14ac:dyDescent="0.2">
      <c r="A38" t="s">
        <v>192</v>
      </c>
      <c r="O38">
        <v>6.5</v>
      </c>
      <c r="P38" s="42">
        <v>56</v>
      </c>
      <c r="R38">
        <v>5.7</v>
      </c>
      <c r="T38" s="19">
        <v>43394</v>
      </c>
      <c r="U38" s="13" t="s">
        <v>250</v>
      </c>
      <c r="V38" t="s">
        <v>272</v>
      </c>
      <c r="W38" s="13" t="s">
        <v>288</v>
      </c>
      <c r="X38" s="1"/>
      <c r="Y38" s="1"/>
      <c r="Z38" s="8"/>
      <c r="AA38" s="9"/>
      <c r="AB38" s="9"/>
      <c r="AC38" s="9"/>
      <c r="AD38" s="9"/>
      <c r="AE38" s="8"/>
      <c r="AF38" s="9"/>
      <c r="AG38" s="9"/>
      <c r="AH38" s="9"/>
      <c r="AI38" s="9"/>
      <c r="AJ38" s="5"/>
      <c r="AK38" s="6"/>
      <c r="AL38" s="6"/>
      <c r="AM38" s="6"/>
      <c r="AN38" s="6"/>
      <c r="AO38" s="5"/>
      <c r="AP38" s="6"/>
      <c r="AQ38" s="6"/>
      <c r="AR38" s="6"/>
      <c r="AS38" s="6"/>
      <c r="AT38" s="5"/>
      <c r="AU38" s="6"/>
      <c r="AV38" s="6"/>
      <c r="AW38" s="6"/>
      <c r="AX38" s="6"/>
      <c r="AY38" s="5"/>
      <c r="AZ38" s="6"/>
      <c r="BA38" s="6"/>
      <c r="BB38" s="6"/>
      <c r="BC38" s="6"/>
      <c r="BD38" s="3"/>
      <c r="BE38" s="4"/>
      <c r="BF38" s="4"/>
      <c r="BG38" s="4"/>
      <c r="BH38" s="4"/>
      <c r="BI38" s="3"/>
      <c r="BJ38" s="4"/>
      <c r="BK38" s="4"/>
      <c r="BL38" s="4"/>
      <c r="BM38" s="4"/>
      <c r="BN38" s="3"/>
      <c r="BO38" s="4"/>
      <c r="BP38" s="4"/>
      <c r="BQ38" s="4"/>
      <c r="BR38" s="4"/>
    </row>
    <row r="39" spans="1:70" x14ac:dyDescent="0.2">
      <c r="A39" t="s">
        <v>192</v>
      </c>
      <c r="D39" t="s">
        <v>75</v>
      </c>
      <c r="F39" t="s">
        <v>109</v>
      </c>
      <c r="O39">
        <v>3.5</v>
      </c>
      <c r="P39" s="42">
        <v>52</v>
      </c>
      <c r="R39">
        <v>2.4</v>
      </c>
      <c r="T39" s="19">
        <v>43394</v>
      </c>
      <c r="U39" s="13" t="s">
        <v>250</v>
      </c>
      <c r="V39" t="s">
        <v>281</v>
      </c>
      <c r="W39" s="13" t="s">
        <v>284</v>
      </c>
      <c r="X39" s="1"/>
      <c r="Y39" s="1"/>
      <c r="Z39" s="8"/>
      <c r="AA39" s="9"/>
      <c r="AB39" s="9"/>
      <c r="AC39" s="9"/>
      <c r="AD39" s="9"/>
      <c r="AE39" s="8"/>
      <c r="AF39" s="9"/>
      <c r="AG39" s="9"/>
      <c r="AH39" s="9"/>
      <c r="AI39" s="9"/>
      <c r="AJ39" s="5"/>
      <c r="AK39" s="6"/>
      <c r="AL39" s="6"/>
      <c r="AM39" s="6"/>
      <c r="AN39" s="6"/>
      <c r="AO39" s="5"/>
      <c r="AP39" s="6"/>
      <c r="AQ39" s="6"/>
      <c r="AR39" s="6"/>
      <c r="AS39" s="6"/>
      <c r="AT39" s="5"/>
      <c r="AU39" s="6"/>
      <c r="AV39" s="6"/>
      <c r="AW39" s="6"/>
      <c r="AX39" s="6"/>
      <c r="AY39" s="5"/>
      <c r="AZ39" s="6"/>
      <c r="BA39" s="6"/>
      <c r="BB39" s="6"/>
      <c r="BC39" s="6"/>
      <c r="BD39" s="3"/>
      <c r="BE39" s="4"/>
      <c r="BF39" s="4"/>
      <c r="BG39" s="4"/>
      <c r="BH39" s="4"/>
      <c r="BI39" s="3"/>
      <c r="BJ39" s="4"/>
      <c r="BK39" s="4"/>
      <c r="BL39" s="4"/>
      <c r="BM39" s="4"/>
      <c r="BN39" s="3"/>
      <c r="BO39" s="4"/>
      <c r="BP39" s="4"/>
      <c r="BQ39" s="4"/>
      <c r="BR39" s="4"/>
    </row>
    <row r="40" spans="1:70" x14ac:dyDescent="0.2">
      <c r="A40" t="s">
        <v>192</v>
      </c>
      <c r="F40" t="s">
        <v>110</v>
      </c>
      <c r="O40">
        <v>-1.5</v>
      </c>
      <c r="P40" s="42">
        <v>40.5</v>
      </c>
      <c r="R40">
        <v>17.100000000000001</v>
      </c>
      <c r="T40" s="19">
        <v>43394</v>
      </c>
      <c r="U40" s="13" t="s">
        <v>250</v>
      </c>
      <c r="V40" s="17" t="s">
        <v>291</v>
      </c>
      <c r="W40" s="13" t="s">
        <v>306</v>
      </c>
      <c r="X40" s="1"/>
      <c r="Y40" s="1"/>
      <c r="Z40" s="8"/>
      <c r="AA40" s="8"/>
      <c r="AB40" s="9"/>
      <c r="AC40" s="9"/>
      <c r="AD40" s="9"/>
      <c r="AE40" s="8"/>
      <c r="AF40" s="8"/>
      <c r="AG40" s="9"/>
      <c r="AH40" s="9"/>
      <c r="AI40" s="9"/>
      <c r="AJ40" s="5"/>
      <c r="AK40" s="6"/>
      <c r="AL40" s="6"/>
      <c r="AM40" s="6"/>
      <c r="AN40" s="6"/>
      <c r="AO40" s="5"/>
      <c r="AP40" s="5"/>
      <c r="AQ40" s="6"/>
      <c r="AR40" s="6"/>
      <c r="AS40" s="6"/>
      <c r="AT40" s="5"/>
      <c r="AU40" s="5"/>
      <c r="AV40" s="6"/>
      <c r="AW40" s="6"/>
      <c r="AX40" s="6"/>
      <c r="AY40" s="5"/>
      <c r="AZ40" s="5"/>
      <c r="BA40" s="6"/>
      <c r="BB40" s="6"/>
      <c r="BC40" s="6"/>
      <c r="BD40" s="3"/>
      <c r="BE40" s="3"/>
      <c r="BF40" s="4"/>
      <c r="BG40" s="4"/>
      <c r="BH40" s="4"/>
      <c r="BI40" s="3"/>
      <c r="BJ40" s="3"/>
      <c r="BK40" s="4"/>
      <c r="BL40" s="4"/>
      <c r="BM40" s="4"/>
      <c r="BN40" s="3"/>
      <c r="BO40" s="3"/>
      <c r="BP40" s="4"/>
      <c r="BQ40" s="4"/>
      <c r="BR40" s="4"/>
    </row>
    <row r="41" spans="1:70" x14ac:dyDescent="0.2">
      <c r="A41" t="s">
        <v>192</v>
      </c>
      <c r="D41" t="s">
        <v>75</v>
      </c>
      <c r="O41">
        <v>-1</v>
      </c>
      <c r="P41" s="42">
        <v>42.5</v>
      </c>
      <c r="R41">
        <v>9.8000000000000007</v>
      </c>
      <c r="T41" s="19">
        <v>43394</v>
      </c>
      <c r="U41" s="13" t="s">
        <v>250</v>
      </c>
      <c r="V41" t="s">
        <v>278</v>
      </c>
      <c r="W41" s="13" t="s">
        <v>285</v>
      </c>
      <c r="X41" s="1"/>
      <c r="Y41" s="1"/>
      <c r="Z41" s="8"/>
      <c r="AA41" s="9"/>
      <c r="AB41" s="9"/>
      <c r="AC41" s="9"/>
      <c r="AD41" s="9"/>
      <c r="AE41" s="8"/>
      <c r="AF41" s="9"/>
      <c r="AG41" s="9"/>
      <c r="AH41" s="9"/>
      <c r="AI41" s="9"/>
      <c r="AJ41" s="5"/>
      <c r="AK41" s="6"/>
      <c r="AL41" s="6"/>
      <c r="AM41" s="6"/>
      <c r="AN41" s="6"/>
      <c r="AO41" s="5"/>
      <c r="AP41" s="6"/>
      <c r="AQ41" s="6"/>
      <c r="AR41" s="6"/>
      <c r="AS41" s="6"/>
      <c r="AT41" s="5"/>
      <c r="AU41" s="6"/>
      <c r="AV41" s="6"/>
      <c r="AW41" s="6"/>
      <c r="AX41" s="6"/>
      <c r="AY41" s="5"/>
      <c r="AZ41" s="6"/>
      <c r="BA41" s="6"/>
      <c r="BB41" s="6"/>
      <c r="BC41" s="6"/>
      <c r="BD41" s="3"/>
      <c r="BE41" s="4"/>
      <c r="BF41" s="4"/>
      <c r="BG41" s="4"/>
      <c r="BH41" s="4"/>
      <c r="BI41" s="3"/>
      <c r="BJ41" s="4"/>
      <c r="BK41" s="4"/>
      <c r="BL41" s="4"/>
      <c r="BM41" s="4"/>
      <c r="BN41" s="3"/>
      <c r="BO41" s="4"/>
      <c r="BP41" s="4"/>
      <c r="BQ41" s="4"/>
      <c r="BR41" s="4"/>
    </row>
    <row r="42" spans="1:70" x14ac:dyDescent="0.2">
      <c r="A42" t="s">
        <v>192</v>
      </c>
      <c r="E42" t="s">
        <v>75</v>
      </c>
      <c r="F42" t="s">
        <v>110</v>
      </c>
      <c r="O42">
        <v>-3</v>
      </c>
      <c r="P42" s="42">
        <v>47</v>
      </c>
      <c r="R42">
        <v>5.9</v>
      </c>
      <c r="T42" s="19">
        <v>43394</v>
      </c>
      <c r="U42" t="s">
        <v>250</v>
      </c>
      <c r="V42" t="s">
        <v>299</v>
      </c>
      <c r="W42" t="s">
        <v>293</v>
      </c>
      <c r="X42" s="1"/>
      <c r="Y42" s="1"/>
      <c r="Z42" s="8"/>
      <c r="AA42" s="9"/>
      <c r="AB42" s="9"/>
      <c r="AC42" s="9"/>
      <c r="AD42" s="9"/>
      <c r="AE42" s="8"/>
      <c r="AF42" s="9"/>
      <c r="AG42" s="9"/>
      <c r="AH42" s="9"/>
      <c r="AI42" s="9"/>
      <c r="AJ42" s="5"/>
      <c r="AK42" s="6"/>
      <c r="AL42" s="6"/>
      <c r="AM42" s="6"/>
      <c r="AN42" s="6"/>
      <c r="AO42" s="5"/>
      <c r="AP42" s="6"/>
      <c r="AQ42" s="6"/>
      <c r="AR42" s="6"/>
      <c r="AS42" s="6"/>
      <c r="AT42" s="5"/>
      <c r="AU42" s="6"/>
      <c r="AV42" s="6"/>
      <c r="AW42" s="6"/>
      <c r="AX42" s="6"/>
      <c r="AY42" s="5"/>
      <c r="AZ42" s="6"/>
      <c r="BA42" s="6"/>
      <c r="BB42" s="6"/>
      <c r="BC42" s="6"/>
      <c r="BD42" s="3"/>
      <c r="BE42" s="4"/>
      <c r="BF42" s="4"/>
      <c r="BG42" s="4"/>
      <c r="BH42" s="4"/>
      <c r="BI42" s="3"/>
      <c r="BJ42" s="4"/>
      <c r="BK42" s="4"/>
      <c r="BL42" s="4"/>
      <c r="BM42" s="4"/>
      <c r="BN42" s="3"/>
      <c r="BO42" s="4"/>
      <c r="BP42" s="4"/>
      <c r="BQ42" s="4"/>
      <c r="BR42" s="4"/>
    </row>
    <row r="43" spans="1:70" x14ac:dyDescent="0.2">
      <c r="A43" t="s">
        <v>192</v>
      </c>
      <c r="F43" t="s">
        <v>109</v>
      </c>
      <c r="O43">
        <v>4</v>
      </c>
      <c r="P43" s="42">
        <v>43</v>
      </c>
      <c r="R43">
        <v>12.8</v>
      </c>
      <c r="T43" s="19">
        <v>43394</v>
      </c>
      <c r="U43" s="13" t="s">
        <v>250</v>
      </c>
      <c r="V43" t="s">
        <v>311</v>
      </c>
      <c r="W43" s="13" t="s">
        <v>297</v>
      </c>
      <c r="X43" s="1"/>
      <c r="Y43" s="1"/>
      <c r="Z43" s="8"/>
      <c r="AA43" s="8"/>
      <c r="AB43" s="9"/>
      <c r="AC43" s="9"/>
      <c r="AD43" s="9"/>
      <c r="AE43" s="8"/>
      <c r="AF43" s="8"/>
      <c r="AG43" s="9"/>
      <c r="AH43" s="9"/>
      <c r="AI43" s="9"/>
      <c r="AJ43" s="5"/>
      <c r="AK43" s="6"/>
      <c r="AL43" s="6"/>
      <c r="AM43" s="6"/>
      <c r="AN43" s="6"/>
      <c r="AO43" s="5"/>
      <c r="AP43" s="5"/>
      <c r="AQ43" s="6"/>
      <c r="AR43" s="6"/>
      <c r="AS43" s="6"/>
      <c r="AT43" s="5"/>
      <c r="AU43" s="5"/>
      <c r="AV43" s="6"/>
      <c r="AW43" s="6"/>
      <c r="AX43" s="6"/>
      <c r="AY43" s="5"/>
      <c r="AZ43" s="5"/>
      <c r="BA43" s="6"/>
      <c r="BB43" s="6"/>
      <c r="BC43" s="6"/>
      <c r="BD43" s="3"/>
      <c r="BE43" s="3"/>
      <c r="BF43" s="4"/>
      <c r="BG43" s="4"/>
      <c r="BH43" s="4"/>
      <c r="BI43" s="3"/>
      <c r="BJ43" s="3"/>
      <c r="BK43" s="4"/>
      <c r="BL43" s="4"/>
      <c r="BM43" s="4"/>
      <c r="BN43" s="3"/>
      <c r="BO43" s="3"/>
      <c r="BP43" s="4"/>
      <c r="BQ43" s="4"/>
      <c r="BR43" s="4"/>
    </row>
    <row r="44" spans="1:70" x14ac:dyDescent="0.2">
      <c r="A44" t="s">
        <v>192</v>
      </c>
      <c r="O44">
        <v>-7</v>
      </c>
      <c r="P44" s="42">
        <v>43.5</v>
      </c>
      <c r="R44">
        <v>8</v>
      </c>
      <c r="T44" s="19">
        <v>43394</v>
      </c>
      <c r="U44" s="13" t="s">
        <v>250</v>
      </c>
      <c r="V44" t="s">
        <v>289</v>
      </c>
      <c r="W44" s="13" t="s">
        <v>276</v>
      </c>
      <c r="X44" s="1"/>
      <c r="Y44" s="1"/>
      <c r="Z44" s="8"/>
      <c r="AA44" s="9"/>
      <c r="AB44" s="9"/>
      <c r="AC44" s="9"/>
      <c r="AD44" s="9"/>
      <c r="AE44" s="8"/>
      <c r="AF44" s="9"/>
      <c r="AG44" s="9"/>
      <c r="AH44" s="9"/>
      <c r="AI44" s="9"/>
      <c r="AJ44" s="5"/>
      <c r="AK44" s="6"/>
      <c r="AL44" s="6"/>
      <c r="AM44" s="6"/>
      <c r="AN44" s="6"/>
      <c r="AO44" s="5"/>
      <c r="AP44" s="6"/>
      <c r="AQ44" s="6"/>
      <c r="AR44" s="6"/>
      <c r="AS44" s="6"/>
      <c r="AT44" s="5"/>
      <c r="AU44" s="6"/>
      <c r="AV44" s="6"/>
      <c r="AW44" s="6"/>
      <c r="AX44" s="6"/>
      <c r="AY44" s="5"/>
      <c r="AZ44" s="6"/>
      <c r="BA44" s="6"/>
      <c r="BB44" s="6"/>
      <c r="BC44" s="6"/>
      <c r="BD44" s="3"/>
      <c r="BE44" s="4"/>
      <c r="BF44" s="4"/>
      <c r="BG44" s="4"/>
      <c r="BH44" s="4"/>
      <c r="BI44" s="3"/>
      <c r="BJ44" s="4"/>
      <c r="BK44" s="4"/>
      <c r="BL44" s="4"/>
      <c r="BM44" s="4"/>
      <c r="BN44" s="3"/>
      <c r="BO44" s="4"/>
      <c r="BP44" s="4"/>
      <c r="BQ44" s="4"/>
      <c r="BR44" s="4"/>
    </row>
    <row r="45" spans="1:70" x14ac:dyDescent="0.2">
      <c r="A45" t="s">
        <v>192</v>
      </c>
      <c r="F45" t="s">
        <v>109</v>
      </c>
      <c r="O45">
        <v>-4</v>
      </c>
      <c r="P45" s="42">
        <v>43</v>
      </c>
      <c r="R45">
        <v>4.0999999999999996</v>
      </c>
      <c r="T45" s="19">
        <v>43394</v>
      </c>
      <c r="U45" s="13" t="s">
        <v>250</v>
      </c>
      <c r="V45" s="17" t="s">
        <v>297</v>
      </c>
      <c r="W45" s="13" t="s">
        <v>311</v>
      </c>
      <c r="X45" s="1"/>
      <c r="Y45" s="1"/>
      <c r="Z45" s="8"/>
      <c r="AA45" s="9"/>
      <c r="AB45" s="9"/>
      <c r="AC45" s="9"/>
      <c r="AD45" s="9"/>
      <c r="AE45" s="9"/>
      <c r="AF45" s="8"/>
      <c r="AG45" s="9"/>
      <c r="AH45" s="9"/>
      <c r="AI45" s="9"/>
      <c r="AJ45" s="5"/>
      <c r="AK45" s="6"/>
      <c r="AL45" s="6"/>
      <c r="AM45" s="6"/>
      <c r="AN45" s="6"/>
      <c r="AO45" s="5"/>
      <c r="AP45" s="6"/>
      <c r="AQ45" s="6"/>
      <c r="AR45" s="6"/>
      <c r="AS45" s="6"/>
      <c r="AT45" s="6"/>
      <c r="AU45" s="5"/>
      <c r="AV45" s="6"/>
      <c r="AW45" s="6"/>
      <c r="AX45" s="6"/>
      <c r="AY45" s="5"/>
      <c r="AZ45" s="6"/>
      <c r="BA45" s="6"/>
      <c r="BB45" s="6"/>
      <c r="BC45" s="6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</row>
    <row r="46" spans="1:70" x14ac:dyDescent="0.2">
      <c r="A46" t="s">
        <v>192</v>
      </c>
      <c r="O46">
        <v>-6.5</v>
      </c>
      <c r="P46" s="42">
        <v>56</v>
      </c>
      <c r="R46">
        <v>11.4</v>
      </c>
      <c r="T46" s="19">
        <v>43394</v>
      </c>
      <c r="U46" s="13" t="s">
        <v>250</v>
      </c>
      <c r="V46" t="s">
        <v>288</v>
      </c>
      <c r="W46" s="13" t="s">
        <v>272</v>
      </c>
      <c r="X46" s="1"/>
      <c r="Y46" s="1"/>
      <c r="Z46" s="8"/>
      <c r="AA46" s="9"/>
      <c r="AB46" s="9"/>
      <c r="AC46" s="9"/>
      <c r="AD46" s="9"/>
      <c r="AE46" s="8"/>
      <c r="AF46" s="8"/>
      <c r="AG46" s="9"/>
      <c r="AH46" s="9"/>
      <c r="AI46" s="9"/>
      <c r="AJ46" s="5"/>
      <c r="AK46" s="6"/>
      <c r="AL46" s="6"/>
      <c r="AM46" s="6"/>
      <c r="AN46" s="6"/>
      <c r="AO46" s="5"/>
      <c r="AP46" s="6"/>
      <c r="AQ46" s="6"/>
      <c r="AR46" s="6"/>
      <c r="AS46" s="6"/>
      <c r="AT46" s="5"/>
      <c r="AU46" s="5"/>
      <c r="AV46" s="6"/>
      <c r="AW46" s="6"/>
      <c r="AX46" s="6"/>
      <c r="AY46" s="5"/>
      <c r="AZ46" s="6"/>
      <c r="BA46" s="6"/>
      <c r="BB46" s="6"/>
      <c r="BC46" s="6"/>
      <c r="BD46" s="3"/>
      <c r="BE46" s="4"/>
      <c r="BF46" s="4"/>
      <c r="BG46" s="4"/>
      <c r="BH46" s="4"/>
    </row>
    <row r="47" spans="1:70" x14ac:dyDescent="0.2">
      <c r="A47" t="s">
        <v>192</v>
      </c>
      <c r="D47" t="s">
        <v>75</v>
      </c>
      <c r="F47" t="s">
        <v>110</v>
      </c>
      <c r="O47">
        <v>-6.5</v>
      </c>
      <c r="P47" s="42">
        <v>46</v>
      </c>
      <c r="R47">
        <v>12.8</v>
      </c>
      <c r="T47" s="19">
        <v>43394</v>
      </c>
      <c r="U47" s="13" t="s">
        <v>250</v>
      </c>
      <c r="V47" s="17" t="s">
        <v>287</v>
      </c>
      <c r="W47" s="13" t="s">
        <v>310</v>
      </c>
      <c r="X47" s="1"/>
      <c r="Y47" s="1"/>
      <c r="Z47" s="8"/>
      <c r="AA47" s="9"/>
      <c r="AB47" s="9"/>
      <c r="AC47" s="9"/>
      <c r="AD47" s="9"/>
      <c r="AE47" s="8"/>
      <c r="AF47" s="9"/>
      <c r="AG47" s="9"/>
      <c r="AH47" s="9"/>
      <c r="AI47" s="9"/>
      <c r="AJ47" s="5"/>
      <c r="AK47" s="6"/>
      <c r="AL47" s="6"/>
      <c r="AM47" s="6"/>
      <c r="AN47" s="6"/>
      <c r="AO47" s="5"/>
      <c r="AP47" s="6"/>
      <c r="AQ47" s="6"/>
      <c r="AR47" s="6"/>
      <c r="AS47" s="6"/>
      <c r="AT47" s="5"/>
      <c r="AU47" s="6"/>
      <c r="AV47" s="6"/>
      <c r="AW47" s="6"/>
      <c r="AX47" s="6"/>
      <c r="AY47" s="5"/>
      <c r="AZ47" s="6"/>
      <c r="BA47" s="6"/>
      <c r="BB47" s="6"/>
      <c r="BC47" s="6"/>
      <c r="BD47" s="3"/>
      <c r="BE47" s="4"/>
      <c r="BF47" s="4"/>
      <c r="BG47" s="4"/>
      <c r="BH47" s="4"/>
    </row>
    <row r="48" spans="1:70" x14ac:dyDescent="0.2">
      <c r="A48" t="s">
        <v>192</v>
      </c>
      <c r="D48" t="s">
        <v>75</v>
      </c>
      <c r="F48" t="s">
        <v>109</v>
      </c>
      <c r="O48">
        <v>-8</v>
      </c>
      <c r="P48" s="42">
        <v>52</v>
      </c>
      <c r="R48">
        <v>17.100000000000001</v>
      </c>
      <c r="T48" s="19">
        <v>43394</v>
      </c>
      <c r="U48" s="13" t="s">
        <v>250</v>
      </c>
      <c r="V48" t="s">
        <v>304</v>
      </c>
      <c r="W48" s="13" t="s">
        <v>256</v>
      </c>
      <c r="X48" s="1"/>
      <c r="Y48" s="1"/>
      <c r="Z48" s="8"/>
      <c r="AA48" s="9"/>
      <c r="AB48" s="9"/>
      <c r="AC48" s="9"/>
      <c r="AD48" s="9"/>
      <c r="AE48" s="8"/>
      <c r="AF48" s="9"/>
      <c r="AG48" s="9"/>
      <c r="AH48" s="9"/>
      <c r="AI48" s="9"/>
      <c r="AJ48" s="5"/>
      <c r="AK48" s="6"/>
      <c r="AL48" s="6"/>
      <c r="AM48" s="6"/>
      <c r="AN48" s="6"/>
      <c r="AO48" s="5"/>
      <c r="AP48" s="6"/>
      <c r="AQ48" s="6"/>
      <c r="AR48" s="6"/>
      <c r="AS48" s="6"/>
      <c r="AT48" s="5"/>
      <c r="AU48" s="6"/>
      <c r="AV48" s="6"/>
      <c r="AW48" s="6"/>
      <c r="AX48" s="6"/>
      <c r="AY48" s="5"/>
      <c r="AZ48" s="6"/>
      <c r="BA48" s="6"/>
      <c r="BB48" s="6"/>
      <c r="BC48" s="6"/>
      <c r="BD48" s="3"/>
      <c r="BE48" s="4"/>
      <c r="BF48" s="4"/>
      <c r="BG48" s="4"/>
      <c r="BH48" s="4"/>
    </row>
    <row r="49" spans="1:60" x14ac:dyDescent="0.2">
      <c r="A49" t="s">
        <v>192</v>
      </c>
      <c r="D49" t="s">
        <v>75</v>
      </c>
      <c r="E49" t="s">
        <v>75</v>
      </c>
      <c r="F49" t="s">
        <v>110</v>
      </c>
      <c r="O49">
        <v>3</v>
      </c>
      <c r="P49" s="42">
        <v>47</v>
      </c>
      <c r="R49">
        <v>7.5</v>
      </c>
      <c r="T49" s="19">
        <v>43394</v>
      </c>
      <c r="U49" s="13" t="s">
        <v>250</v>
      </c>
      <c r="V49" t="s">
        <v>293</v>
      </c>
      <c r="W49" s="13" t="s">
        <v>299</v>
      </c>
      <c r="X49" s="1"/>
      <c r="Y49" s="1"/>
      <c r="Z49" s="8"/>
      <c r="AA49" s="9"/>
      <c r="AB49" s="9"/>
      <c r="AC49" s="9"/>
      <c r="AD49" s="9"/>
      <c r="AE49" s="8"/>
      <c r="AF49" s="8"/>
      <c r="AG49" s="9"/>
      <c r="AH49" s="9"/>
      <c r="AI49" s="9"/>
      <c r="AJ49" s="5"/>
      <c r="AK49" s="6"/>
      <c r="AL49" s="6"/>
      <c r="AM49" s="6"/>
      <c r="AN49" s="6"/>
      <c r="AO49" s="5"/>
      <c r="AP49" s="6"/>
      <c r="AQ49" s="6"/>
      <c r="AR49" s="6"/>
      <c r="AS49" s="6"/>
      <c r="AT49" s="5"/>
      <c r="AU49" s="5"/>
      <c r="AV49" s="6"/>
      <c r="AW49" s="6"/>
      <c r="AX49" s="6"/>
      <c r="AY49" s="5"/>
      <c r="AZ49" s="6"/>
      <c r="BA49" s="6"/>
      <c r="BB49" s="6"/>
      <c r="BC49" s="6"/>
      <c r="BD49" s="3"/>
      <c r="BE49" s="3"/>
      <c r="BF49" s="4"/>
      <c r="BG49" s="4"/>
      <c r="BH49" s="4"/>
    </row>
    <row r="50" spans="1:60" x14ac:dyDescent="0.2">
      <c r="A50" t="s">
        <v>192</v>
      </c>
      <c r="O50">
        <v>-3.5</v>
      </c>
      <c r="P50" s="42">
        <v>45</v>
      </c>
      <c r="R50">
        <v>10.6</v>
      </c>
      <c r="T50" s="19">
        <v>43394</v>
      </c>
      <c r="U50" s="13" t="s">
        <v>250</v>
      </c>
      <c r="V50" t="s">
        <v>312</v>
      </c>
      <c r="W50" s="13" t="s">
        <v>298</v>
      </c>
      <c r="X50" s="1"/>
      <c r="Y50" s="1"/>
      <c r="Z50" s="8"/>
      <c r="AA50" s="9"/>
      <c r="AB50" s="9"/>
      <c r="AC50" s="9"/>
      <c r="AD50" s="9"/>
      <c r="AE50" s="8"/>
      <c r="AF50" s="9"/>
      <c r="AG50" s="9"/>
      <c r="AH50" s="9"/>
      <c r="AI50" s="9"/>
      <c r="AJ50" s="5"/>
      <c r="AK50" s="6"/>
      <c r="AL50" s="6"/>
      <c r="AM50" s="6"/>
      <c r="AN50" s="6"/>
      <c r="AO50" s="5"/>
      <c r="AP50" s="6"/>
      <c r="AQ50" s="6"/>
      <c r="AR50" s="6"/>
      <c r="AS50" s="6"/>
      <c r="AT50" s="5"/>
      <c r="AU50" s="6"/>
      <c r="AV50" s="6"/>
      <c r="AW50" s="6"/>
      <c r="AX50" s="6"/>
      <c r="AY50" s="5"/>
      <c r="AZ50" s="6"/>
      <c r="BA50" s="6"/>
      <c r="BB50" s="6"/>
      <c r="BC50" s="6"/>
      <c r="BD50" s="3"/>
      <c r="BE50" s="4"/>
      <c r="BF50" s="4"/>
      <c r="BG50" s="4"/>
      <c r="BH50" s="4"/>
    </row>
    <row r="51" spans="1:60" x14ac:dyDescent="0.2">
      <c r="A51" t="s">
        <v>192</v>
      </c>
      <c r="E51" t="s">
        <v>75</v>
      </c>
      <c r="O51">
        <v>-1</v>
      </c>
      <c r="P51" s="42">
        <v>49</v>
      </c>
      <c r="R51">
        <v>17</v>
      </c>
      <c r="T51" s="19">
        <v>43394</v>
      </c>
      <c r="U51" s="13" t="s">
        <v>250</v>
      </c>
      <c r="V51" t="s">
        <v>302</v>
      </c>
      <c r="W51" s="13" t="s">
        <v>265</v>
      </c>
      <c r="X51" s="1"/>
      <c r="Y51" s="1"/>
      <c r="Z51" s="8"/>
      <c r="AA51" s="9"/>
      <c r="AB51" s="9"/>
      <c r="AC51" s="9"/>
      <c r="AD51" s="9"/>
      <c r="AE51" s="8"/>
      <c r="AF51" s="9"/>
      <c r="AG51" s="9"/>
      <c r="AH51" s="9"/>
      <c r="AI51" s="9"/>
      <c r="AJ51" s="5"/>
      <c r="AK51" s="6"/>
      <c r="AL51" s="6"/>
      <c r="AM51" s="6"/>
      <c r="AN51" s="6"/>
      <c r="AO51" s="5"/>
      <c r="AP51" s="6"/>
      <c r="AQ51" s="6"/>
      <c r="AR51" s="6"/>
      <c r="AS51" s="6"/>
      <c r="AT51" s="5"/>
      <c r="AU51" s="6"/>
      <c r="AV51" s="6"/>
      <c r="AW51" s="6"/>
      <c r="AX51" s="6"/>
      <c r="AY51" s="5"/>
      <c r="AZ51" s="6"/>
      <c r="BA51" s="6"/>
      <c r="BB51" s="6"/>
      <c r="BC51" s="6"/>
      <c r="BD51" s="3"/>
      <c r="BE51" s="4"/>
      <c r="BF51" s="4"/>
      <c r="BG51" s="4"/>
      <c r="BH51" s="4"/>
    </row>
    <row r="52" spans="1:60" x14ac:dyDescent="0.2">
      <c r="A52" t="s">
        <v>192</v>
      </c>
      <c r="O52">
        <v>2.5</v>
      </c>
      <c r="P52" s="42">
        <v>49</v>
      </c>
      <c r="R52">
        <v>7.4</v>
      </c>
      <c r="T52" s="19">
        <v>43394</v>
      </c>
      <c r="U52" s="13" t="s">
        <v>250</v>
      </c>
      <c r="V52" t="s">
        <v>307</v>
      </c>
      <c r="W52" s="13" t="s">
        <v>305</v>
      </c>
      <c r="X52" s="1"/>
      <c r="Y52" s="1"/>
      <c r="Z52" s="8"/>
      <c r="AA52" s="9"/>
      <c r="AB52" s="9"/>
      <c r="AC52" s="9"/>
      <c r="AD52" s="9"/>
      <c r="AE52" s="8"/>
      <c r="AF52" s="8"/>
      <c r="AG52" s="9"/>
      <c r="AH52" s="9"/>
      <c r="AI52" s="9"/>
      <c r="AJ52" s="5"/>
      <c r="AK52" s="6"/>
      <c r="AL52" s="6"/>
      <c r="AM52" s="6"/>
      <c r="AN52" s="6"/>
      <c r="AO52" s="5"/>
      <c r="AP52" s="6"/>
      <c r="AQ52" s="6"/>
      <c r="AR52" s="6"/>
      <c r="AS52" s="6"/>
      <c r="AT52" s="5"/>
      <c r="AU52" s="5"/>
      <c r="AV52" s="6"/>
      <c r="AW52" s="6"/>
      <c r="AX52" s="6"/>
      <c r="AY52" s="5"/>
      <c r="AZ52" s="6"/>
      <c r="BA52" s="6"/>
      <c r="BB52" s="6"/>
      <c r="BC52" s="6"/>
      <c r="BD52" s="3"/>
      <c r="BE52" s="3"/>
      <c r="BF52" s="4"/>
      <c r="BG52" s="4"/>
      <c r="BH52" s="4"/>
    </row>
    <row r="53" spans="1:60" x14ac:dyDescent="0.2">
      <c r="A53" t="s">
        <v>192</v>
      </c>
      <c r="D53" t="s">
        <v>75</v>
      </c>
      <c r="E53" t="s">
        <v>75</v>
      </c>
      <c r="O53">
        <v>4.5</v>
      </c>
      <c r="P53" s="42">
        <v>52</v>
      </c>
      <c r="R53">
        <v>24.7</v>
      </c>
      <c r="T53" s="19">
        <v>43394</v>
      </c>
      <c r="U53" s="13" t="s">
        <v>250</v>
      </c>
      <c r="V53" t="s">
        <v>296</v>
      </c>
      <c r="W53" s="13" t="s">
        <v>295</v>
      </c>
      <c r="X53" s="1"/>
      <c r="Y53" s="1"/>
      <c r="Z53" s="8"/>
      <c r="AA53" s="9"/>
      <c r="AB53" s="9"/>
      <c r="AC53" s="9"/>
      <c r="AD53" s="9"/>
      <c r="AE53" s="8"/>
      <c r="AF53" s="9"/>
      <c r="AG53" s="9"/>
      <c r="AH53" s="9"/>
      <c r="AI53" s="9"/>
      <c r="AJ53" s="5"/>
      <c r="AK53" s="6"/>
      <c r="AL53" s="6"/>
      <c r="AM53" s="6"/>
      <c r="AN53" s="6"/>
      <c r="AO53" s="5"/>
      <c r="AP53" s="6"/>
      <c r="AQ53" s="6"/>
      <c r="AR53" s="6"/>
      <c r="AS53" s="6"/>
      <c r="AT53" s="5"/>
      <c r="AU53" s="6"/>
      <c r="AV53" s="6"/>
      <c r="AW53" s="6"/>
      <c r="AX53" s="6"/>
      <c r="AY53" s="5"/>
      <c r="AZ53" s="6"/>
      <c r="BA53" s="6"/>
      <c r="BB53" s="6"/>
      <c r="BC53" s="6"/>
      <c r="BD53" s="3"/>
      <c r="BE53" s="4"/>
      <c r="BF53" s="4"/>
      <c r="BG53" s="4"/>
      <c r="BH53" s="4"/>
    </row>
    <row r="54" spans="1:60" x14ac:dyDescent="0.2">
      <c r="A54" t="s">
        <v>192</v>
      </c>
      <c r="O54">
        <v>3.5</v>
      </c>
      <c r="P54" s="42">
        <v>45</v>
      </c>
      <c r="R54">
        <v>0</v>
      </c>
      <c r="T54" s="19">
        <v>43394</v>
      </c>
      <c r="U54" s="13" t="s">
        <v>250</v>
      </c>
      <c r="V54" t="s">
        <v>298</v>
      </c>
      <c r="W54" s="13" t="s">
        <v>312</v>
      </c>
      <c r="X54" s="1"/>
      <c r="Y54" s="1"/>
      <c r="Z54" s="8"/>
      <c r="AA54" s="9"/>
      <c r="AB54" s="9"/>
      <c r="AC54" s="9"/>
      <c r="AD54" s="9"/>
      <c r="AE54" s="8"/>
      <c r="AF54" s="9"/>
      <c r="AG54" s="9"/>
      <c r="AH54" s="9"/>
      <c r="AI54" s="9"/>
      <c r="AJ54" s="5"/>
      <c r="AK54" s="6"/>
      <c r="AL54" s="6"/>
      <c r="AM54" s="6"/>
      <c r="AN54" s="6"/>
      <c r="AO54" s="5"/>
      <c r="AP54" s="6"/>
      <c r="AQ54" s="6"/>
      <c r="AR54" s="6"/>
      <c r="AS54" s="6"/>
      <c r="AT54" s="5"/>
      <c r="AU54" s="6"/>
      <c r="AV54" s="6"/>
      <c r="AW54" s="6"/>
      <c r="AX54" s="6"/>
      <c r="AY54" s="5"/>
      <c r="AZ54" s="6"/>
      <c r="BA54" s="6"/>
      <c r="BB54" s="6"/>
      <c r="BC54" s="6"/>
      <c r="BD54" s="3"/>
      <c r="BE54" s="4"/>
      <c r="BF54" s="4"/>
      <c r="BG54" s="4"/>
      <c r="BH54" s="4"/>
    </row>
    <row r="55" spans="1:60" x14ac:dyDescent="0.2">
      <c r="A55" t="s">
        <v>192</v>
      </c>
      <c r="B55" t="s">
        <v>10</v>
      </c>
      <c r="C55">
        <v>10.1</v>
      </c>
      <c r="O55">
        <v>-5</v>
      </c>
      <c r="P55" s="42">
        <v>45</v>
      </c>
      <c r="R55">
        <v>8</v>
      </c>
      <c r="T55" s="19">
        <v>43394</v>
      </c>
      <c r="U55" s="13" t="s">
        <v>250</v>
      </c>
      <c r="V55" t="s">
        <v>294</v>
      </c>
      <c r="W55" s="13" t="s">
        <v>301</v>
      </c>
      <c r="X55" s="1"/>
      <c r="Y55" s="1"/>
      <c r="Z55" s="8"/>
      <c r="AA55" s="9"/>
      <c r="AB55" s="9"/>
      <c r="AC55" s="9"/>
      <c r="AD55" s="9"/>
      <c r="AE55" s="8"/>
      <c r="AF55" s="8"/>
      <c r="AG55" s="9"/>
      <c r="AH55" s="9"/>
      <c r="AI55" s="9"/>
      <c r="AJ55" s="5"/>
      <c r="AK55" s="6"/>
      <c r="AL55" s="6"/>
      <c r="AM55" s="6"/>
      <c r="AN55" s="6"/>
      <c r="AO55" s="5"/>
      <c r="AP55" s="6"/>
      <c r="AQ55" s="6"/>
      <c r="AR55" s="6"/>
      <c r="AS55" s="6"/>
      <c r="AT55" s="5"/>
      <c r="AU55" s="5"/>
      <c r="AV55" s="6"/>
      <c r="AW55" s="6"/>
      <c r="AX55" s="6"/>
      <c r="AY55" s="5"/>
      <c r="AZ55" s="6"/>
      <c r="BA55" s="6"/>
      <c r="BB55" s="6"/>
      <c r="BC55" s="6"/>
      <c r="BD55" s="3"/>
      <c r="BE55" s="3"/>
      <c r="BF55" s="4"/>
      <c r="BG55" s="4"/>
      <c r="BH55" s="4"/>
    </row>
    <row r="56" spans="1:60" x14ac:dyDescent="0.2">
      <c r="A56" t="s">
        <v>192</v>
      </c>
      <c r="B56" t="s">
        <v>424</v>
      </c>
      <c r="C56">
        <v>10.8</v>
      </c>
      <c r="D56" t="s">
        <v>75</v>
      </c>
      <c r="F56" t="s">
        <v>109</v>
      </c>
      <c r="O56">
        <v>8</v>
      </c>
      <c r="P56" s="42">
        <v>52</v>
      </c>
      <c r="R56">
        <v>1.5</v>
      </c>
      <c r="T56" s="19">
        <v>43394</v>
      </c>
      <c r="U56" s="13" t="s">
        <v>250</v>
      </c>
      <c r="V56" t="s">
        <v>256</v>
      </c>
      <c r="W56" s="13" t="s">
        <v>304</v>
      </c>
      <c r="X56" s="1"/>
      <c r="Y56" s="1"/>
      <c r="Z56" s="8"/>
      <c r="AA56" s="9"/>
      <c r="AB56" s="9"/>
      <c r="AC56" s="9"/>
      <c r="AD56" s="9"/>
      <c r="AE56" s="8"/>
      <c r="AF56" s="9"/>
      <c r="AG56" s="9"/>
      <c r="AH56" s="9"/>
      <c r="AI56" s="9"/>
      <c r="AJ56" s="5"/>
      <c r="AK56" s="6"/>
      <c r="AL56" s="6"/>
      <c r="AM56" s="6"/>
      <c r="AN56" s="6"/>
      <c r="AO56" s="5"/>
      <c r="AP56" s="6"/>
      <c r="AQ56" s="6"/>
      <c r="AR56" s="6"/>
      <c r="AS56" s="6"/>
      <c r="AT56" s="5"/>
      <c r="AU56" s="6"/>
      <c r="AV56" s="6"/>
      <c r="AW56" s="6"/>
      <c r="AX56" s="6"/>
      <c r="AY56" s="5"/>
      <c r="AZ56" s="6"/>
      <c r="BA56" s="6"/>
      <c r="BB56" s="6"/>
      <c r="BC56" s="6"/>
      <c r="BD56" s="3"/>
      <c r="BE56" s="4"/>
      <c r="BF56" s="4"/>
      <c r="BG56" s="4"/>
      <c r="BH56" s="4"/>
    </row>
    <row r="57" spans="1:60" x14ac:dyDescent="0.2">
      <c r="A57" t="s">
        <v>192</v>
      </c>
      <c r="F57" t="s">
        <v>109</v>
      </c>
      <c r="O57">
        <v>-3.5</v>
      </c>
      <c r="P57" s="42">
        <v>52</v>
      </c>
      <c r="R57">
        <v>10.9</v>
      </c>
      <c r="T57" s="19">
        <v>43394</v>
      </c>
      <c r="U57" s="13" t="s">
        <v>250</v>
      </c>
      <c r="V57" t="s">
        <v>284</v>
      </c>
      <c r="W57" s="13" t="s">
        <v>281</v>
      </c>
      <c r="X57" s="1"/>
      <c r="Y57" s="1"/>
      <c r="Z57" s="8"/>
      <c r="AA57" s="9"/>
      <c r="AB57" s="9"/>
      <c r="AC57" s="9"/>
      <c r="AD57" s="9"/>
      <c r="AE57" s="8"/>
      <c r="AF57" s="9"/>
      <c r="AG57" s="9"/>
      <c r="AH57" s="9"/>
      <c r="AI57" s="9"/>
      <c r="AJ57" s="5"/>
      <c r="AK57" s="6"/>
      <c r="AL57" s="6"/>
      <c r="AM57" s="6"/>
      <c r="AN57" s="6"/>
      <c r="AO57" s="5"/>
      <c r="AP57" s="6"/>
      <c r="AQ57" s="6"/>
      <c r="AR57" s="6"/>
      <c r="AS57" s="6"/>
      <c r="AT57" s="5"/>
      <c r="AU57" s="6"/>
      <c r="AV57" s="6"/>
      <c r="AW57" s="6"/>
      <c r="AX57" s="6"/>
      <c r="AY57" s="5"/>
      <c r="AZ57" s="6"/>
      <c r="BA57" s="6"/>
      <c r="BB57" s="6"/>
      <c r="BC57" s="6"/>
      <c r="BD57" s="3"/>
      <c r="BE57" s="4"/>
      <c r="BF57" s="4"/>
      <c r="BG57" s="4"/>
      <c r="BH57" s="4"/>
    </row>
    <row r="58" spans="1:60" x14ac:dyDescent="0.2">
      <c r="A58" t="s">
        <v>192</v>
      </c>
      <c r="F58" t="s">
        <v>110</v>
      </c>
      <c r="O58">
        <v>6.5</v>
      </c>
      <c r="P58" s="42">
        <v>46</v>
      </c>
      <c r="R58">
        <v>20.100000000000001</v>
      </c>
      <c r="T58" s="19">
        <v>43394</v>
      </c>
      <c r="U58" s="13" t="s">
        <v>250</v>
      </c>
      <c r="V58" t="s">
        <v>310</v>
      </c>
      <c r="W58" s="13" t="s">
        <v>287</v>
      </c>
      <c r="X58" s="1"/>
      <c r="Y58" s="1"/>
      <c r="Z58" s="8"/>
      <c r="AA58" s="9"/>
      <c r="AB58" s="9"/>
      <c r="AC58" s="9"/>
      <c r="AD58" s="9"/>
      <c r="AE58" s="8"/>
      <c r="AF58" s="8"/>
      <c r="AG58" s="9"/>
      <c r="AH58" s="9"/>
      <c r="AI58" s="9"/>
      <c r="AJ58" s="5"/>
      <c r="AK58" s="6"/>
      <c r="AL58" s="6"/>
      <c r="AM58" s="6"/>
      <c r="AN58" s="6"/>
      <c r="AO58" s="5"/>
      <c r="AP58" s="6"/>
      <c r="AQ58" s="6"/>
      <c r="AR58" s="6"/>
      <c r="AS58" s="6"/>
      <c r="AT58" s="5"/>
      <c r="AU58" s="5"/>
      <c r="AV58" s="6"/>
      <c r="AW58" s="6"/>
      <c r="AX58" s="6"/>
      <c r="AY58" s="5"/>
      <c r="AZ58" s="6"/>
      <c r="BA58" s="6"/>
      <c r="BB58" s="6"/>
      <c r="BC58" s="6"/>
      <c r="BD58" s="3"/>
      <c r="BE58" s="3"/>
      <c r="BF58" s="4"/>
      <c r="BG58" s="4"/>
      <c r="BH58" s="4"/>
    </row>
    <row r="59" spans="1:60" x14ac:dyDescent="0.2">
      <c r="A59" t="s">
        <v>192</v>
      </c>
      <c r="F59" t="s">
        <v>110</v>
      </c>
      <c r="O59">
        <v>1.5</v>
      </c>
      <c r="P59" s="42">
        <v>40</v>
      </c>
      <c r="R59">
        <v>3</v>
      </c>
      <c r="T59" s="19">
        <v>43394</v>
      </c>
      <c r="U59" s="13" t="s">
        <v>250</v>
      </c>
      <c r="V59" s="41" t="s">
        <v>306</v>
      </c>
      <c r="W59" s="13" t="s">
        <v>291</v>
      </c>
      <c r="X59" s="1"/>
      <c r="Y59" s="1"/>
      <c r="Z59" s="8"/>
      <c r="AA59" s="9"/>
      <c r="AB59" s="9"/>
      <c r="AC59" s="9"/>
      <c r="AD59" s="9"/>
      <c r="AE59" s="8"/>
      <c r="AF59" s="9"/>
      <c r="AG59" s="9"/>
      <c r="AH59" s="9"/>
      <c r="AI59" s="9"/>
      <c r="AJ59" s="5"/>
      <c r="AK59" s="6"/>
      <c r="AL59" s="6"/>
      <c r="AM59" s="6"/>
      <c r="AN59" s="6"/>
      <c r="AO59" s="5"/>
      <c r="AP59" s="6"/>
      <c r="AQ59" s="6"/>
      <c r="AR59" s="6"/>
      <c r="AS59" s="6"/>
      <c r="AT59" s="5"/>
      <c r="AU59" s="6"/>
      <c r="AV59" s="6"/>
      <c r="AW59" s="6"/>
      <c r="AX59" s="6"/>
      <c r="AY59" s="5"/>
      <c r="AZ59" s="6"/>
      <c r="BA59" s="6"/>
      <c r="BB59" s="6"/>
      <c r="BC59" s="6"/>
      <c r="BD59" s="3"/>
      <c r="BE59" s="4"/>
      <c r="BF59" s="4"/>
      <c r="BG59" s="4"/>
      <c r="BH59" s="4"/>
    </row>
    <row r="60" spans="1:60" x14ac:dyDescent="0.2">
      <c r="A60" t="s">
        <v>192</v>
      </c>
      <c r="D60" t="s">
        <v>75</v>
      </c>
      <c r="O60">
        <v>2.5</v>
      </c>
      <c r="P60" s="42">
        <v>40</v>
      </c>
      <c r="R60">
        <v>13.2</v>
      </c>
      <c r="T60" s="19">
        <v>43401</v>
      </c>
      <c r="U60" s="13" t="s">
        <v>248</v>
      </c>
      <c r="V60" s="41" t="s">
        <v>285</v>
      </c>
      <c r="W60" s="13" t="s">
        <v>256</v>
      </c>
      <c r="X60" s="1"/>
      <c r="Y60" s="1"/>
      <c r="Z60" s="8"/>
      <c r="AA60" s="9"/>
      <c r="AB60" s="9"/>
      <c r="AC60" s="9"/>
      <c r="AD60" s="9"/>
      <c r="AE60" s="9"/>
      <c r="AF60" s="8"/>
      <c r="AG60" s="9"/>
      <c r="AH60" s="9"/>
      <c r="AI60" s="9"/>
      <c r="AJ60" s="5"/>
      <c r="AK60" s="6"/>
      <c r="AL60" s="6"/>
      <c r="AM60" s="6"/>
      <c r="AN60" s="6"/>
      <c r="AO60" s="5"/>
      <c r="AP60" s="6"/>
      <c r="AQ60" s="6"/>
      <c r="AR60" s="6"/>
      <c r="AS60" s="6"/>
      <c r="AT60" s="6"/>
      <c r="AU60" s="5"/>
      <c r="AV60" s="6"/>
      <c r="AW60" s="6"/>
      <c r="AX60" s="6"/>
      <c r="AY60" s="5"/>
      <c r="AZ60" s="6"/>
      <c r="BA60" s="6"/>
      <c r="BB60" s="6"/>
      <c r="BC60" s="6"/>
      <c r="BD60" s="3"/>
      <c r="BE60" s="3"/>
      <c r="BF60" s="3"/>
      <c r="BG60" s="3"/>
      <c r="BH60" s="3"/>
    </row>
    <row r="61" spans="1:60" x14ac:dyDescent="0.2">
      <c r="A61" t="s">
        <v>192</v>
      </c>
      <c r="B61" t="s">
        <v>147</v>
      </c>
      <c r="C61">
        <v>10.4</v>
      </c>
      <c r="O61">
        <v>-2.5</v>
      </c>
      <c r="P61" s="42">
        <v>44</v>
      </c>
      <c r="R61">
        <v>10.4</v>
      </c>
      <c r="T61" s="19">
        <v>43401</v>
      </c>
      <c r="U61" s="13" t="s">
        <v>248</v>
      </c>
      <c r="V61" t="s">
        <v>305</v>
      </c>
      <c r="W61" s="13" t="s">
        <v>301</v>
      </c>
      <c r="X61" s="1"/>
      <c r="Y61" s="1"/>
      <c r="Z61" s="8"/>
      <c r="AA61" s="9"/>
      <c r="AB61" s="9"/>
      <c r="AC61" s="9"/>
      <c r="AD61" s="9"/>
      <c r="AE61" s="9"/>
      <c r="AF61" s="8"/>
      <c r="AG61" s="9"/>
      <c r="AH61" s="9"/>
      <c r="AI61" s="9"/>
      <c r="AJ61" s="5"/>
      <c r="AK61" s="6"/>
      <c r="AL61" s="6"/>
      <c r="AM61" s="6"/>
      <c r="AN61" s="6"/>
      <c r="AO61" s="5"/>
      <c r="AP61" s="6"/>
      <c r="AQ61" s="6"/>
      <c r="AR61" s="6"/>
      <c r="AS61" s="6"/>
      <c r="AT61" s="6"/>
      <c r="AU61" s="5"/>
      <c r="AV61" s="6"/>
      <c r="AW61" s="6"/>
      <c r="AX61" s="6"/>
      <c r="AY61" s="5"/>
      <c r="AZ61" s="6"/>
      <c r="BA61" s="6"/>
      <c r="BB61" s="6"/>
      <c r="BC61" s="6"/>
    </row>
    <row r="62" spans="1:60" x14ac:dyDescent="0.2">
      <c r="A62" t="s">
        <v>192</v>
      </c>
      <c r="O62">
        <v>13.5</v>
      </c>
      <c r="P62" s="42">
        <v>44</v>
      </c>
      <c r="R62">
        <v>2.6</v>
      </c>
      <c r="T62" s="19">
        <v>43401</v>
      </c>
      <c r="U62" s="13" t="s">
        <v>248</v>
      </c>
      <c r="V62" t="s">
        <v>276</v>
      </c>
      <c r="W62" s="13" t="s">
        <v>302</v>
      </c>
      <c r="X62" s="1"/>
      <c r="Y62" s="1"/>
      <c r="Z62" s="8"/>
      <c r="AA62" s="9"/>
      <c r="AB62" s="9"/>
      <c r="AC62" s="9"/>
      <c r="AD62" s="9"/>
      <c r="AE62" s="9"/>
      <c r="AF62" s="8"/>
      <c r="AG62" s="9"/>
      <c r="AH62" s="9"/>
      <c r="AI62" s="9"/>
      <c r="AJ62" s="5"/>
      <c r="AK62" s="6"/>
      <c r="AL62" s="6"/>
      <c r="AM62" s="6"/>
      <c r="AN62" s="6"/>
      <c r="AO62" s="5"/>
      <c r="AP62" s="6"/>
      <c r="AQ62" s="6"/>
      <c r="AR62" s="6"/>
      <c r="AS62" s="6"/>
      <c r="AT62" s="6"/>
      <c r="AU62" s="5"/>
      <c r="AV62" s="6"/>
      <c r="AW62" s="6"/>
      <c r="AX62" s="6"/>
      <c r="AY62" s="5"/>
      <c r="AZ62" s="6"/>
      <c r="BA62" s="6"/>
      <c r="BB62" s="6"/>
      <c r="BC62" s="6"/>
    </row>
    <row r="63" spans="1:60" x14ac:dyDescent="0.2">
      <c r="A63" t="s">
        <v>192</v>
      </c>
      <c r="O63">
        <v>2.5</v>
      </c>
      <c r="P63" s="42">
        <v>44</v>
      </c>
      <c r="R63">
        <v>17.899999999999999</v>
      </c>
      <c r="T63" s="19">
        <v>43401</v>
      </c>
      <c r="U63" s="13" t="s">
        <v>248</v>
      </c>
      <c r="V63" t="s">
        <v>301</v>
      </c>
      <c r="W63" s="13" t="s">
        <v>305</v>
      </c>
      <c r="X63" s="1"/>
      <c r="Y63" s="1"/>
      <c r="Z63" s="8"/>
      <c r="AA63" s="9"/>
      <c r="AB63" s="9"/>
      <c r="AC63" s="9"/>
      <c r="AD63" s="9"/>
      <c r="AE63" s="9"/>
      <c r="AF63" s="8"/>
      <c r="AG63" s="9"/>
      <c r="AH63" s="9"/>
      <c r="AI63" s="9"/>
      <c r="AJ63" s="5"/>
      <c r="AK63" s="6"/>
      <c r="AL63" s="6"/>
      <c r="AM63" s="6"/>
      <c r="AN63" s="6"/>
      <c r="AO63" s="5"/>
      <c r="AP63" s="6"/>
      <c r="AQ63" s="6"/>
      <c r="AR63" s="6"/>
      <c r="AS63" s="6"/>
      <c r="AT63" s="6"/>
      <c r="AU63" s="5"/>
      <c r="AV63" s="6"/>
      <c r="AW63" s="6"/>
      <c r="AX63" s="6"/>
      <c r="AY63" s="5"/>
      <c r="AZ63" s="6"/>
      <c r="BA63" s="6"/>
      <c r="BB63" s="6"/>
      <c r="BC63" s="6"/>
    </row>
    <row r="64" spans="1:60" x14ac:dyDescent="0.2">
      <c r="A64" t="s">
        <v>192</v>
      </c>
      <c r="B64" t="s">
        <v>60</v>
      </c>
      <c r="C64">
        <v>8</v>
      </c>
      <c r="O64">
        <v>-8.5</v>
      </c>
      <c r="P64" s="42">
        <v>42.5</v>
      </c>
      <c r="R64">
        <v>13.4</v>
      </c>
      <c r="T64" s="19">
        <v>43401</v>
      </c>
      <c r="U64" s="13" t="s">
        <v>248</v>
      </c>
      <c r="V64" t="s">
        <v>265</v>
      </c>
      <c r="W64" s="13" t="s">
        <v>298</v>
      </c>
      <c r="X64" s="1"/>
      <c r="Y64" s="1"/>
      <c r="Z64" s="8"/>
      <c r="AA64" s="9"/>
      <c r="AB64" s="9"/>
      <c r="AC64" s="9"/>
      <c r="AD64" s="9"/>
      <c r="AE64" s="9"/>
      <c r="AF64" s="8"/>
      <c r="AG64" s="9"/>
      <c r="AH64" s="9"/>
      <c r="AI64" s="9"/>
      <c r="AJ64" s="5"/>
      <c r="AK64" s="6"/>
      <c r="AL64" s="6"/>
      <c r="AM64" s="6"/>
      <c r="AN64" s="6"/>
      <c r="AO64" s="5"/>
      <c r="AP64" s="6"/>
      <c r="AQ64" s="6"/>
      <c r="AR64" s="6"/>
      <c r="AS64" s="6"/>
      <c r="AT64" s="6"/>
      <c r="AU64" s="5"/>
      <c r="AV64" s="6"/>
      <c r="AW64" s="6"/>
      <c r="AX64" s="6"/>
      <c r="AY64" s="5"/>
      <c r="AZ64" s="6"/>
      <c r="BA64" s="6"/>
      <c r="BB64" s="6"/>
      <c r="BC64" s="6"/>
    </row>
    <row r="65" spans="1:55" x14ac:dyDescent="0.2">
      <c r="A65" t="s">
        <v>192</v>
      </c>
      <c r="D65" t="s">
        <v>75</v>
      </c>
      <c r="E65" t="s">
        <v>75</v>
      </c>
      <c r="F65" t="s">
        <v>109</v>
      </c>
      <c r="O65">
        <v>-3.5</v>
      </c>
      <c r="P65" s="42">
        <v>55</v>
      </c>
      <c r="R65">
        <v>31.6</v>
      </c>
      <c r="T65" s="19">
        <v>43401</v>
      </c>
      <c r="U65" s="13" t="s">
        <v>248</v>
      </c>
      <c r="V65" s="41" t="s">
        <v>272</v>
      </c>
      <c r="W65" s="13" t="s">
        <v>284</v>
      </c>
      <c r="X65" s="1"/>
      <c r="Y65" s="1"/>
      <c r="Z65" s="8"/>
      <c r="AA65" s="9"/>
      <c r="AB65" s="9"/>
      <c r="AC65" s="9"/>
      <c r="AD65" s="9"/>
      <c r="AE65" s="9"/>
      <c r="AF65" s="8"/>
      <c r="AG65" s="9"/>
      <c r="AH65" s="9"/>
      <c r="AI65" s="9"/>
      <c r="AJ65" s="5"/>
      <c r="AK65" s="6"/>
      <c r="AL65" s="6"/>
      <c r="AM65" s="6"/>
      <c r="AN65" s="6"/>
      <c r="AO65" s="5"/>
      <c r="AP65" s="6"/>
      <c r="AQ65" s="6"/>
      <c r="AR65" s="6"/>
      <c r="AS65" s="6"/>
      <c r="AT65" s="6"/>
      <c r="AU65" s="5"/>
      <c r="AV65" s="6"/>
      <c r="AW65" s="6"/>
      <c r="AX65" s="6"/>
      <c r="AY65" s="5"/>
      <c r="AZ65" s="6"/>
      <c r="BA65" s="6"/>
      <c r="BB65" s="6"/>
      <c r="BC65" s="6"/>
    </row>
    <row r="66" spans="1:55" x14ac:dyDescent="0.2">
      <c r="A66" t="s">
        <v>192</v>
      </c>
      <c r="O66">
        <v>8.5</v>
      </c>
      <c r="P66" s="42">
        <v>47.5</v>
      </c>
      <c r="R66">
        <v>14.6</v>
      </c>
      <c r="T66" s="19">
        <v>43401</v>
      </c>
      <c r="U66" s="13" t="s">
        <v>248</v>
      </c>
      <c r="V66" t="s">
        <v>281</v>
      </c>
      <c r="W66" s="13" t="s">
        <v>309</v>
      </c>
      <c r="X66" s="1"/>
      <c r="Y66" s="1"/>
      <c r="Z66" s="8"/>
      <c r="AA66" s="9"/>
      <c r="AB66" s="9"/>
      <c r="AC66" s="9"/>
      <c r="AD66" s="9"/>
      <c r="AE66" s="9"/>
      <c r="AF66" s="8"/>
      <c r="AG66" s="9"/>
      <c r="AH66" s="9"/>
      <c r="AI66" s="9"/>
      <c r="AJ66" s="5"/>
      <c r="AK66" s="6"/>
      <c r="AL66" s="6"/>
      <c r="AM66" s="6"/>
      <c r="AN66" s="6"/>
      <c r="AO66" s="5"/>
      <c r="AP66" s="6"/>
      <c r="AQ66" s="6"/>
      <c r="AR66" s="6"/>
      <c r="AS66" s="6"/>
      <c r="AT66" s="6"/>
      <c r="AU66" s="5"/>
      <c r="AV66" s="6"/>
      <c r="AW66" s="6"/>
      <c r="AX66" s="6"/>
      <c r="AY66" s="5"/>
      <c r="AZ66" s="6"/>
      <c r="BA66" s="6"/>
      <c r="BB66" s="6"/>
      <c r="BC66" s="6"/>
    </row>
    <row r="67" spans="1:55" x14ac:dyDescent="0.2">
      <c r="A67" t="s">
        <v>192</v>
      </c>
      <c r="F67" t="s">
        <v>109</v>
      </c>
      <c r="O67">
        <v>8.5</v>
      </c>
      <c r="P67" s="42">
        <v>53</v>
      </c>
      <c r="R67">
        <v>10.8</v>
      </c>
      <c r="T67" s="19">
        <v>43401</v>
      </c>
      <c r="U67" s="13" t="s">
        <v>248</v>
      </c>
      <c r="V67" t="s">
        <v>278</v>
      </c>
      <c r="W67" s="13" t="s">
        <v>288</v>
      </c>
      <c r="X67" s="1"/>
      <c r="Y67" s="1"/>
      <c r="Z67" s="8"/>
      <c r="AA67" s="9"/>
      <c r="AB67" s="9"/>
      <c r="AC67" s="9"/>
      <c r="AD67" s="9"/>
      <c r="AE67" s="9"/>
      <c r="AF67" s="8"/>
      <c r="AG67" s="9"/>
      <c r="AH67" s="9"/>
      <c r="AI67" s="9"/>
      <c r="AJ67" s="5"/>
      <c r="AK67" s="6"/>
      <c r="AL67" s="6"/>
      <c r="AM67" s="6"/>
      <c r="AN67" s="6"/>
      <c r="AO67" s="5"/>
      <c r="AP67" s="6"/>
      <c r="AQ67" s="6"/>
      <c r="AR67" s="6"/>
      <c r="AS67" s="6"/>
      <c r="AT67" s="6"/>
      <c r="AU67" s="5"/>
      <c r="AV67" s="6"/>
      <c r="AW67" s="6"/>
      <c r="AX67" s="6"/>
      <c r="AY67" s="5"/>
      <c r="AZ67" s="6"/>
      <c r="BA67" s="6"/>
      <c r="BB67" s="6"/>
      <c r="BC67" s="6"/>
    </row>
    <row r="68" spans="1:55" x14ac:dyDescent="0.2">
      <c r="A68" t="s">
        <v>192</v>
      </c>
      <c r="D68" t="s">
        <v>75</v>
      </c>
      <c r="F68" t="s">
        <v>110</v>
      </c>
      <c r="O68">
        <v>-3</v>
      </c>
      <c r="P68" s="42">
        <v>47.5</v>
      </c>
      <c r="R68">
        <v>2.2000000000000002</v>
      </c>
      <c r="T68" s="19">
        <v>43401</v>
      </c>
      <c r="U68" t="s">
        <v>248</v>
      </c>
      <c r="V68" s="41" t="s">
        <v>299</v>
      </c>
      <c r="W68" t="s">
        <v>308</v>
      </c>
      <c r="X68" s="1"/>
      <c r="Y68" s="1"/>
      <c r="Z68" s="8"/>
      <c r="AA68" s="9"/>
      <c r="AB68" s="9"/>
      <c r="AC68" s="9"/>
      <c r="AD68" s="9"/>
      <c r="AE68" s="9"/>
      <c r="AF68" s="8"/>
      <c r="AG68" s="9"/>
      <c r="AH68" s="9"/>
      <c r="AI68" s="9"/>
      <c r="AJ68" s="5"/>
      <c r="AK68" s="6"/>
      <c r="AL68" s="6"/>
      <c r="AM68" s="6"/>
      <c r="AN68" s="6"/>
      <c r="AO68" s="5"/>
      <c r="AP68" s="6"/>
      <c r="AQ68" s="6"/>
      <c r="AR68" s="6"/>
      <c r="AS68" s="6"/>
      <c r="AT68" s="6"/>
      <c r="AU68" s="5"/>
      <c r="AV68" s="6"/>
      <c r="AW68" s="6"/>
      <c r="AX68" s="6"/>
      <c r="AY68" s="5"/>
      <c r="AZ68" s="6"/>
      <c r="BA68" s="6"/>
      <c r="BB68" s="6"/>
      <c r="BC68" s="6"/>
    </row>
    <row r="69" spans="1:55" x14ac:dyDescent="0.2">
      <c r="A69" t="s">
        <v>192</v>
      </c>
      <c r="D69" t="s">
        <v>75</v>
      </c>
      <c r="O69">
        <v>7.5</v>
      </c>
      <c r="P69" s="42">
        <v>57</v>
      </c>
      <c r="R69">
        <v>12.5</v>
      </c>
      <c r="T69" s="19">
        <v>43401</v>
      </c>
      <c r="U69" s="13" t="s">
        <v>248</v>
      </c>
      <c r="V69" s="41" t="s">
        <v>300</v>
      </c>
      <c r="W69" s="13" t="s">
        <v>304</v>
      </c>
      <c r="X69" s="1"/>
      <c r="Y69" s="1"/>
      <c r="Z69" s="8"/>
      <c r="AA69" s="9"/>
      <c r="AB69" s="9"/>
      <c r="AC69" s="9"/>
      <c r="AD69" s="9"/>
      <c r="AE69" s="9"/>
      <c r="AF69" s="8"/>
      <c r="AG69" s="9"/>
      <c r="AH69" s="9"/>
      <c r="AI69" s="9"/>
      <c r="AJ69" s="5"/>
      <c r="AK69" s="6"/>
      <c r="AL69" s="6"/>
      <c r="AM69" s="6"/>
      <c r="AN69" s="6"/>
      <c r="AO69" s="5"/>
      <c r="AP69" s="6"/>
      <c r="AQ69" s="6"/>
      <c r="AR69" s="6"/>
      <c r="AS69" s="6"/>
      <c r="AT69" s="6"/>
      <c r="AU69" s="5"/>
      <c r="AV69" s="6"/>
      <c r="AW69" s="6"/>
      <c r="AX69" s="6"/>
      <c r="AY69" s="5"/>
      <c r="AZ69" s="6"/>
      <c r="BA69" s="6"/>
      <c r="BB69" s="6"/>
      <c r="BC69" s="6"/>
    </row>
    <row r="70" spans="1:55" x14ac:dyDescent="0.2">
      <c r="A70" t="s">
        <v>192</v>
      </c>
      <c r="B70" t="s">
        <v>23</v>
      </c>
      <c r="C70">
        <v>8.1</v>
      </c>
      <c r="O70">
        <v>-7.5</v>
      </c>
      <c r="P70" s="42">
        <v>45</v>
      </c>
      <c r="R70">
        <v>26.4</v>
      </c>
      <c r="T70" s="19">
        <v>43401</v>
      </c>
      <c r="U70" s="13" t="s">
        <v>248</v>
      </c>
      <c r="V70" s="41" t="s">
        <v>311</v>
      </c>
      <c r="W70" s="13" t="s">
        <v>293</v>
      </c>
      <c r="X70" s="1"/>
      <c r="Y70" s="1"/>
      <c r="Z70" s="8"/>
      <c r="AA70" s="9"/>
      <c r="AB70" s="9"/>
      <c r="AC70" s="9"/>
      <c r="AD70" s="9"/>
      <c r="AE70" s="9"/>
      <c r="AF70" s="8"/>
      <c r="AG70" s="9"/>
      <c r="AH70" s="9"/>
      <c r="AI70" s="9"/>
      <c r="AJ70" s="5"/>
      <c r="AK70" s="6"/>
      <c r="AL70" s="6"/>
      <c r="AM70" s="6"/>
      <c r="AN70" s="6"/>
      <c r="AO70" s="5"/>
      <c r="AP70" s="6"/>
      <c r="AQ70" s="6"/>
      <c r="AR70" s="6"/>
      <c r="AS70" s="6"/>
      <c r="AT70" s="6"/>
      <c r="AU70" s="5"/>
      <c r="AV70" s="6"/>
      <c r="AW70" s="6"/>
      <c r="AX70" s="6"/>
      <c r="AY70" s="5"/>
      <c r="AZ70" s="6"/>
      <c r="BA70" s="6"/>
      <c r="BB70" s="6"/>
      <c r="BC70" s="6"/>
    </row>
    <row r="71" spans="1:55" x14ac:dyDescent="0.2">
      <c r="A71" t="s">
        <v>192</v>
      </c>
      <c r="F71" t="s">
        <v>110</v>
      </c>
      <c r="O71">
        <v>-3.5</v>
      </c>
      <c r="P71" s="42">
        <v>51</v>
      </c>
      <c r="R71">
        <v>11.2</v>
      </c>
      <c r="T71" s="19">
        <v>43401</v>
      </c>
      <c r="U71" s="13" t="s">
        <v>248</v>
      </c>
      <c r="V71" s="41" t="s">
        <v>289</v>
      </c>
      <c r="W71" s="13" t="s">
        <v>303</v>
      </c>
      <c r="X71" s="1"/>
      <c r="Y71" s="1"/>
      <c r="Z71" s="8"/>
      <c r="AA71" s="9"/>
      <c r="AB71" s="9"/>
      <c r="AC71" s="9"/>
      <c r="AD71" s="9"/>
      <c r="AE71" s="9"/>
      <c r="AF71" s="8"/>
      <c r="AG71" s="9"/>
      <c r="AH71" s="9"/>
      <c r="AI71" s="9"/>
      <c r="AJ71" s="5"/>
      <c r="AK71" s="6"/>
      <c r="AL71" s="6"/>
      <c r="AM71" s="6"/>
      <c r="AN71" s="6"/>
      <c r="AO71" s="5"/>
      <c r="AP71" s="6"/>
      <c r="AQ71" s="6"/>
      <c r="AR71" s="6"/>
      <c r="AS71" s="6"/>
      <c r="AT71" s="6"/>
      <c r="AU71" s="5"/>
      <c r="AV71" s="6"/>
      <c r="AW71" s="6"/>
      <c r="AX71" s="6"/>
      <c r="AY71" s="5"/>
      <c r="AZ71" s="6"/>
      <c r="BA71" s="6"/>
      <c r="BB71" s="6"/>
      <c r="BC71" s="6"/>
    </row>
    <row r="72" spans="1:55" x14ac:dyDescent="0.2">
      <c r="A72" t="s">
        <v>192</v>
      </c>
      <c r="O72">
        <v>4</v>
      </c>
      <c r="P72" s="42">
        <v>44.5</v>
      </c>
      <c r="R72">
        <v>12</v>
      </c>
      <c r="T72" s="19">
        <v>43401</v>
      </c>
      <c r="U72" s="13" t="s">
        <v>248</v>
      </c>
      <c r="V72" s="17" t="s">
        <v>297</v>
      </c>
      <c r="W72" s="13" t="s">
        <v>294</v>
      </c>
      <c r="X72" s="1"/>
      <c r="Y72" s="1"/>
      <c r="Z72" s="8"/>
      <c r="AA72" s="9"/>
      <c r="AB72" s="9"/>
      <c r="AC72" s="9"/>
      <c r="AD72" s="9"/>
      <c r="AE72" s="9"/>
      <c r="AF72" s="8"/>
      <c r="AG72" s="9"/>
      <c r="AH72" s="9"/>
      <c r="AI72" s="9"/>
      <c r="AJ72" s="5"/>
      <c r="AK72" s="6"/>
      <c r="AL72" s="6"/>
      <c r="AM72" s="6"/>
      <c r="AN72" s="6"/>
      <c r="AO72" s="5"/>
      <c r="AP72" s="6"/>
      <c r="AQ72" s="6"/>
      <c r="AR72" s="6"/>
      <c r="AS72" s="6"/>
      <c r="AT72" s="6"/>
      <c r="AU72" s="5"/>
      <c r="AV72" s="6"/>
      <c r="AW72" s="6"/>
      <c r="AX72" s="6"/>
      <c r="AY72" s="5"/>
      <c r="AZ72" s="6"/>
      <c r="BA72" s="6"/>
      <c r="BB72" s="6"/>
      <c r="BC72" s="6"/>
    </row>
    <row r="73" spans="1:55" x14ac:dyDescent="0.2">
      <c r="A73" t="s">
        <v>192</v>
      </c>
      <c r="B73" t="s">
        <v>18</v>
      </c>
      <c r="C73">
        <v>9.8000000000000007</v>
      </c>
      <c r="D73" t="s">
        <v>75</v>
      </c>
      <c r="F73" t="s">
        <v>109</v>
      </c>
      <c r="O73">
        <v>-8.5</v>
      </c>
      <c r="P73" s="42">
        <v>53</v>
      </c>
      <c r="R73">
        <v>33.700000000000003</v>
      </c>
      <c r="T73" s="19">
        <v>43401</v>
      </c>
      <c r="U73" s="13" t="s">
        <v>248</v>
      </c>
      <c r="V73" t="s">
        <v>288</v>
      </c>
      <c r="W73" s="13" t="s">
        <v>278</v>
      </c>
      <c r="X73" s="1"/>
      <c r="Y73" s="1"/>
      <c r="Z73" s="8"/>
      <c r="AA73" s="9"/>
      <c r="AB73" s="9"/>
      <c r="AC73" s="9"/>
      <c r="AD73" s="9"/>
      <c r="AE73" s="9"/>
      <c r="AF73" s="8"/>
      <c r="AG73" s="9"/>
      <c r="AH73" s="9"/>
      <c r="AI73" s="9"/>
      <c r="AJ73" s="5"/>
      <c r="AK73" s="6"/>
      <c r="AL73" s="6"/>
      <c r="AM73" s="6"/>
      <c r="AN73" s="6"/>
      <c r="AO73" s="5"/>
      <c r="AP73" s="6"/>
      <c r="AQ73" s="6"/>
      <c r="AR73" s="6"/>
      <c r="AS73" s="6"/>
      <c r="AT73" s="6"/>
      <c r="AU73" s="5"/>
      <c r="AV73" s="6"/>
      <c r="AW73" s="6"/>
      <c r="AX73" s="6"/>
      <c r="AY73" s="5"/>
      <c r="AZ73" s="6"/>
      <c r="BA73" s="6"/>
      <c r="BB73" s="6"/>
      <c r="BC73" s="6"/>
    </row>
    <row r="74" spans="1:55" x14ac:dyDescent="0.2">
      <c r="A74" t="s">
        <v>192</v>
      </c>
      <c r="D74" t="s">
        <v>75</v>
      </c>
      <c r="F74" t="s">
        <v>110</v>
      </c>
      <c r="O74">
        <v>3.5</v>
      </c>
      <c r="P74" s="42">
        <v>51</v>
      </c>
      <c r="R74">
        <v>12.9</v>
      </c>
      <c r="T74" s="19">
        <v>43401</v>
      </c>
      <c r="U74" s="13" t="s">
        <v>248</v>
      </c>
      <c r="V74" s="17" t="s">
        <v>303</v>
      </c>
      <c r="W74" s="13" t="s">
        <v>289</v>
      </c>
      <c r="X74" s="1"/>
      <c r="Y74" s="1"/>
      <c r="Z74" s="8"/>
      <c r="AA74" s="9"/>
      <c r="AB74" s="9"/>
      <c r="AC74" s="9"/>
      <c r="AD74" s="9"/>
      <c r="AE74" s="9"/>
      <c r="AF74" s="8"/>
      <c r="AG74" s="9"/>
      <c r="AH74" s="9"/>
      <c r="AI74" s="9"/>
      <c r="AJ74" s="5"/>
      <c r="AK74" s="6"/>
      <c r="AL74" s="6"/>
      <c r="AM74" s="6"/>
      <c r="AN74" s="6"/>
      <c r="AO74" s="5"/>
      <c r="AP74" s="6"/>
      <c r="AQ74" s="6"/>
      <c r="AR74" s="6"/>
      <c r="AS74" s="6"/>
      <c r="AT74" s="6"/>
      <c r="AU74" s="5"/>
      <c r="AV74" s="6"/>
      <c r="AW74" s="6"/>
      <c r="AX74" s="6"/>
      <c r="AY74" s="5"/>
      <c r="AZ74" s="6"/>
      <c r="BA74" s="6"/>
      <c r="BB74" s="6"/>
      <c r="BC74" s="6"/>
    </row>
    <row r="75" spans="1:55" x14ac:dyDescent="0.2">
      <c r="A75" t="s">
        <v>192</v>
      </c>
      <c r="D75" t="s">
        <v>75</v>
      </c>
      <c r="O75">
        <v>-7.5</v>
      </c>
      <c r="P75" s="42">
        <v>57</v>
      </c>
      <c r="R75">
        <v>15.5</v>
      </c>
      <c r="T75" s="19">
        <v>43401</v>
      </c>
      <c r="U75" s="13" t="s">
        <v>248</v>
      </c>
      <c r="V75" s="41" t="s">
        <v>304</v>
      </c>
      <c r="W75" s="13" t="s">
        <v>300</v>
      </c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</row>
    <row r="76" spans="1:55" x14ac:dyDescent="0.2">
      <c r="A76" t="s">
        <v>192</v>
      </c>
      <c r="O76">
        <v>7.5</v>
      </c>
      <c r="P76" s="42">
        <v>45</v>
      </c>
      <c r="R76">
        <v>14.42</v>
      </c>
      <c r="T76" s="19">
        <v>43401</v>
      </c>
      <c r="U76" s="13" t="s">
        <v>248</v>
      </c>
      <c r="V76" t="s">
        <v>293</v>
      </c>
      <c r="W76" s="13" t="s">
        <v>311</v>
      </c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</row>
    <row r="77" spans="1:55" x14ac:dyDescent="0.2">
      <c r="A77" t="s">
        <v>192</v>
      </c>
      <c r="O77">
        <v>2.5</v>
      </c>
      <c r="P77" s="42">
        <v>53.5</v>
      </c>
      <c r="R77">
        <v>30.9</v>
      </c>
      <c r="T77" s="19">
        <v>43401</v>
      </c>
      <c r="U77" s="13" t="s">
        <v>248</v>
      </c>
      <c r="V77" s="41" t="s">
        <v>312</v>
      </c>
      <c r="W77" s="13" t="s">
        <v>307</v>
      </c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</row>
    <row r="78" spans="1:55" x14ac:dyDescent="0.2">
      <c r="A78" t="s">
        <v>192</v>
      </c>
      <c r="O78">
        <v>-13.5</v>
      </c>
      <c r="P78" s="42">
        <v>44</v>
      </c>
      <c r="R78">
        <v>8.1999999999999993</v>
      </c>
      <c r="T78" s="19">
        <v>43401</v>
      </c>
      <c r="U78" s="13" t="s">
        <v>248</v>
      </c>
      <c r="V78" t="s">
        <v>302</v>
      </c>
      <c r="W78" s="13" t="s">
        <v>276</v>
      </c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</row>
    <row r="79" spans="1:55" x14ac:dyDescent="0.2">
      <c r="A79" t="s">
        <v>192</v>
      </c>
      <c r="O79">
        <v>-2.5</v>
      </c>
      <c r="P79" s="42">
        <v>53.5</v>
      </c>
      <c r="R79">
        <v>4.8</v>
      </c>
      <c r="T79" s="19">
        <v>43401</v>
      </c>
      <c r="U79" s="13" t="s">
        <v>248</v>
      </c>
      <c r="V79" s="41" t="s">
        <v>307</v>
      </c>
      <c r="W79" s="13" t="s">
        <v>312</v>
      </c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</row>
    <row r="80" spans="1:55" x14ac:dyDescent="0.2">
      <c r="A80" t="s">
        <v>192</v>
      </c>
      <c r="F80" t="s">
        <v>110</v>
      </c>
      <c r="O80">
        <v>1</v>
      </c>
      <c r="P80" s="42">
        <v>43</v>
      </c>
      <c r="R80">
        <v>7.4</v>
      </c>
      <c r="T80" s="19">
        <v>43401</v>
      </c>
      <c r="U80" s="13" t="s">
        <v>248</v>
      </c>
      <c r="V80" s="41" t="s">
        <v>296</v>
      </c>
      <c r="W80" s="13" t="s">
        <v>306</v>
      </c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</row>
    <row r="81" spans="1:55" x14ac:dyDescent="0.2">
      <c r="A81" t="s">
        <v>192</v>
      </c>
      <c r="O81">
        <v>8.5</v>
      </c>
      <c r="P81" s="42">
        <v>42.5</v>
      </c>
      <c r="R81">
        <v>10.1</v>
      </c>
      <c r="T81" s="19">
        <v>43401</v>
      </c>
      <c r="U81" s="13" t="s">
        <v>248</v>
      </c>
      <c r="V81" t="s">
        <v>298</v>
      </c>
      <c r="W81" s="13" t="s">
        <v>265</v>
      </c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</row>
    <row r="82" spans="1:55" x14ac:dyDescent="0.2">
      <c r="A82" t="s">
        <v>192</v>
      </c>
      <c r="O82">
        <v>-4</v>
      </c>
      <c r="P82" s="42">
        <v>44.5</v>
      </c>
      <c r="R82">
        <v>13.3</v>
      </c>
      <c r="T82" s="19">
        <v>43401</v>
      </c>
      <c r="U82" s="13" t="s">
        <v>248</v>
      </c>
      <c r="V82" t="s">
        <v>294</v>
      </c>
      <c r="W82" s="13" t="s">
        <v>297</v>
      </c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</row>
    <row r="83" spans="1:55" x14ac:dyDescent="0.2">
      <c r="A83" t="s">
        <v>192</v>
      </c>
      <c r="O83">
        <v>-8.5</v>
      </c>
      <c r="P83" s="42">
        <v>47.5</v>
      </c>
      <c r="R83">
        <v>7.3</v>
      </c>
      <c r="T83" s="19">
        <v>43401</v>
      </c>
      <c r="U83" s="13" t="s">
        <v>248</v>
      </c>
      <c r="V83" s="41" t="s">
        <v>309</v>
      </c>
      <c r="W83" s="13" t="s">
        <v>281</v>
      </c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</row>
    <row r="84" spans="1:55" x14ac:dyDescent="0.2">
      <c r="A84" t="s">
        <v>192</v>
      </c>
      <c r="D84" t="s">
        <v>75</v>
      </c>
      <c r="O84">
        <v>-2.5</v>
      </c>
      <c r="P84" s="42">
        <v>40</v>
      </c>
      <c r="R84">
        <v>12.5</v>
      </c>
      <c r="T84" s="19">
        <v>43401</v>
      </c>
      <c r="U84" s="13" t="s">
        <v>248</v>
      </c>
      <c r="V84" s="41" t="s">
        <v>256</v>
      </c>
      <c r="W84" s="13" t="s">
        <v>285</v>
      </c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</row>
    <row r="85" spans="1:55" x14ac:dyDescent="0.2">
      <c r="A85" t="s">
        <v>192</v>
      </c>
      <c r="D85" t="s">
        <v>75</v>
      </c>
      <c r="F85" t="s">
        <v>110</v>
      </c>
      <c r="O85">
        <v>3</v>
      </c>
      <c r="P85" s="42">
        <v>47.5</v>
      </c>
      <c r="R85">
        <v>12.7</v>
      </c>
      <c r="T85" s="19">
        <v>43401</v>
      </c>
      <c r="U85" s="13" t="s">
        <v>248</v>
      </c>
      <c r="V85" s="41" t="s">
        <v>308</v>
      </c>
      <c r="W85" s="13" t="s">
        <v>299</v>
      </c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</row>
    <row r="86" spans="1:55" x14ac:dyDescent="0.2">
      <c r="A86" t="s">
        <v>192</v>
      </c>
      <c r="B86" t="s">
        <v>426</v>
      </c>
      <c r="C86">
        <v>8.8000000000000007</v>
      </c>
      <c r="E86" t="s">
        <v>75</v>
      </c>
      <c r="F86" t="s">
        <v>109</v>
      </c>
      <c r="O86">
        <v>3.5</v>
      </c>
      <c r="P86" s="42">
        <v>55</v>
      </c>
      <c r="R86">
        <v>15.3</v>
      </c>
      <c r="T86" s="19">
        <v>43401</v>
      </c>
      <c r="U86" s="13" t="s">
        <v>248</v>
      </c>
      <c r="V86" s="41" t="s">
        <v>284</v>
      </c>
      <c r="W86" s="13" t="s">
        <v>272</v>
      </c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</row>
    <row r="87" spans="1:55" x14ac:dyDescent="0.2">
      <c r="A87" t="s">
        <v>192</v>
      </c>
      <c r="F87" t="s">
        <v>110</v>
      </c>
      <c r="O87">
        <v>-1</v>
      </c>
      <c r="P87" s="42">
        <v>43</v>
      </c>
      <c r="R87">
        <v>9.9</v>
      </c>
      <c r="T87" s="19">
        <v>43401</v>
      </c>
      <c r="U87" s="13" t="s">
        <v>248</v>
      </c>
      <c r="V87" s="41" t="s">
        <v>306</v>
      </c>
      <c r="W87" s="13" t="s">
        <v>296</v>
      </c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</row>
    <row r="88" spans="1:55" x14ac:dyDescent="0.2">
      <c r="A88" t="s">
        <v>192</v>
      </c>
      <c r="O88">
        <v>1.5</v>
      </c>
      <c r="P88" s="42">
        <v>46.5</v>
      </c>
      <c r="R88">
        <v>19.7</v>
      </c>
      <c r="T88" s="19">
        <v>43408</v>
      </c>
      <c r="U88" s="13" t="s">
        <v>246</v>
      </c>
      <c r="V88" s="41" t="s">
        <v>295</v>
      </c>
      <c r="W88" s="13" t="s">
        <v>306</v>
      </c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</row>
    <row r="89" spans="1:55" x14ac:dyDescent="0.2">
      <c r="A89" t="s">
        <v>192</v>
      </c>
      <c r="F89" t="s">
        <v>109</v>
      </c>
      <c r="O89">
        <v>-1.5</v>
      </c>
      <c r="P89" s="42">
        <v>47</v>
      </c>
      <c r="R89">
        <v>6.2</v>
      </c>
      <c r="T89" s="19">
        <v>43408</v>
      </c>
      <c r="U89" s="13" t="s">
        <v>246</v>
      </c>
      <c r="V89" s="41" t="s">
        <v>305</v>
      </c>
      <c r="W89" s="13" t="s">
        <v>309</v>
      </c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</row>
    <row r="90" spans="1:55" x14ac:dyDescent="0.2">
      <c r="A90" t="s">
        <v>192</v>
      </c>
      <c r="O90">
        <v>10.5</v>
      </c>
      <c r="P90" s="42">
        <v>38</v>
      </c>
      <c r="R90">
        <v>3.6</v>
      </c>
      <c r="T90" s="19">
        <v>43408</v>
      </c>
      <c r="U90" s="13" t="s">
        <v>246</v>
      </c>
      <c r="V90" s="41" t="s">
        <v>276</v>
      </c>
      <c r="W90" s="13" t="s">
        <v>265</v>
      </c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</row>
    <row r="91" spans="1:55" x14ac:dyDescent="0.2">
      <c r="A91" t="s">
        <v>192</v>
      </c>
      <c r="D91" t="s">
        <v>75</v>
      </c>
      <c r="F91" t="s">
        <v>109</v>
      </c>
      <c r="O91">
        <v>-6</v>
      </c>
      <c r="P91" s="42">
        <v>55.5</v>
      </c>
      <c r="R91">
        <f>(19.8+5.8/2)</f>
        <v>22.7</v>
      </c>
      <c r="T91" s="19">
        <v>43408</v>
      </c>
      <c r="U91" s="13" t="s">
        <v>246</v>
      </c>
      <c r="V91" s="41" t="s">
        <v>301</v>
      </c>
      <c r="W91" s="13" t="s">
        <v>284</v>
      </c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</row>
    <row r="92" spans="1:55" x14ac:dyDescent="0.2">
      <c r="A92" t="s">
        <v>192</v>
      </c>
      <c r="O92">
        <v>-10.5</v>
      </c>
      <c r="P92" s="42">
        <v>38</v>
      </c>
      <c r="R92">
        <v>10.8</v>
      </c>
      <c r="T92" s="19">
        <v>43408</v>
      </c>
      <c r="U92" s="13" t="s">
        <v>246</v>
      </c>
      <c r="V92" s="41" t="s">
        <v>265</v>
      </c>
      <c r="W92" s="13" t="s">
        <v>276</v>
      </c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</row>
    <row r="93" spans="1:55" x14ac:dyDescent="0.2">
      <c r="A93" t="s">
        <v>192</v>
      </c>
      <c r="O93">
        <v>7.5</v>
      </c>
      <c r="P93" s="42">
        <v>51</v>
      </c>
      <c r="R93">
        <v>8.1</v>
      </c>
      <c r="T93" s="19">
        <v>43408</v>
      </c>
      <c r="U93" s="13" t="s">
        <v>246</v>
      </c>
      <c r="V93" s="41" t="s">
        <v>281</v>
      </c>
      <c r="W93" s="13" t="s">
        <v>288</v>
      </c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</row>
    <row r="94" spans="1:55" x14ac:dyDescent="0.2">
      <c r="A94" t="s">
        <v>192</v>
      </c>
      <c r="D94" t="s">
        <v>75</v>
      </c>
      <c r="F94" t="s">
        <v>110</v>
      </c>
      <c r="O94">
        <v>-4.5</v>
      </c>
      <c r="P94" s="42">
        <v>40</v>
      </c>
      <c r="R94">
        <v>4.5999999999999996</v>
      </c>
      <c r="T94" s="19">
        <v>43408</v>
      </c>
      <c r="U94" s="13" t="s">
        <v>246</v>
      </c>
      <c r="V94" s="17" t="s">
        <v>291</v>
      </c>
      <c r="W94" s="13" t="s">
        <v>310</v>
      </c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</row>
    <row r="95" spans="1:55" x14ac:dyDescent="0.2">
      <c r="A95" t="s">
        <v>192</v>
      </c>
      <c r="O95">
        <v>-1</v>
      </c>
      <c r="P95" s="42">
        <v>46.5</v>
      </c>
      <c r="R95">
        <v>8.6999999999999993</v>
      </c>
      <c r="T95" s="19">
        <v>43408</v>
      </c>
      <c r="U95" s="13" t="s">
        <v>246</v>
      </c>
      <c r="V95" s="41" t="s">
        <v>278</v>
      </c>
      <c r="W95" s="13" t="s">
        <v>311</v>
      </c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</row>
    <row r="96" spans="1:55" x14ac:dyDescent="0.2">
      <c r="A96" t="s">
        <v>192</v>
      </c>
      <c r="B96" t="s">
        <v>139</v>
      </c>
      <c r="C96">
        <v>10.1</v>
      </c>
      <c r="F96" t="s">
        <v>110</v>
      </c>
      <c r="O96">
        <v>4.5</v>
      </c>
      <c r="P96" s="42">
        <v>47</v>
      </c>
      <c r="R96">
        <v>12.6</v>
      </c>
      <c r="T96" s="19">
        <v>43408</v>
      </c>
      <c r="U96" t="s">
        <v>246</v>
      </c>
      <c r="V96" t="s">
        <v>299</v>
      </c>
      <c r="W96" t="s">
        <v>312</v>
      </c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</row>
    <row r="97" spans="1:55" x14ac:dyDescent="0.2">
      <c r="A97" t="s">
        <v>192</v>
      </c>
      <c r="F97" t="s">
        <v>109</v>
      </c>
      <c r="O97">
        <v>5</v>
      </c>
      <c r="P97" s="42">
        <v>56</v>
      </c>
      <c r="R97">
        <v>16.100000000000001</v>
      </c>
      <c r="T97" s="19">
        <v>43408</v>
      </c>
      <c r="U97" s="13" t="s">
        <v>246</v>
      </c>
      <c r="V97" s="41" t="s">
        <v>300</v>
      </c>
      <c r="W97" s="13" t="s">
        <v>302</v>
      </c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</row>
    <row r="98" spans="1:55" x14ac:dyDescent="0.2">
      <c r="A98" t="s">
        <v>192</v>
      </c>
      <c r="D98" t="s">
        <v>75</v>
      </c>
      <c r="O98">
        <v>1</v>
      </c>
      <c r="P98" s="42">
        <v>46.5</v>
      </c>
      <c r="R98">
        <v>9.1</v>
      </c>
      <c r="T98" s="19">
        <v>43408</v>
      </c>
      <c r="U98" s="13" t="s">
        <v>246</v>
      </c>
      <c r="V98" t="s">
        <v>311</v>
      </c>
      <c r="W98" s="13" t="s">
        <v>278</v>
      </c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</row>
    <row r="99" spans="1:55" x14ac:dyDescent="0.2">
      <c r="A99" t="s">
        <v>192</v>
      </c>
      <c r="O99">
        <v>-7.5</v>
      </c>
      <c r="P99" s="42">
        <v>51</v>
      </c>
      <c r="R99">
        <v>11.4</v>
      </c>
      <c r="T99" s="19">
        <v>43408</v>
      </c>
      <c r="U99" s="13" t="s">
        <v>246</v>
      </c>
      <c r="V99" s="41" t="s">
        <v>288</v>
      </c>
      <c r="W99" s="13" t="s">
        <v>281</v>
      </c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</row>
    <row r="100" spans="1:55" x14ac:dyDescent="0.2">
      <c r="A100" t="s">
        <v>192</v>
      </c>
      <c r="D100" t="s">
        <v>75</v>
      </c>
      <c r="O100">
        <v>-1.5</v>
      </c>
      <c r="P100" s="42">
        <v>44</v>
      </c>
      <c r="R100">
        <v>6.6</v>
      </c>
      <c r="T100" s="19">
        <v>43408</v>
      </c>
      <c r="U100" s="13" t="s">
        <v>246</v>
      </c>
      <c r="V100" s="17" t="s">
        <v>303</v>
      </c>
      <c r="W100" s="13" t="s">
        <v>256</v>
      </c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</row>
    <row r="101" spans="1:55" x14ac:dyDescent="0.2">
      <c r="A101" t="s">
        <v>192</v>
      </c>
      <c r="D101" t="s">
        <v>75</v>
      </c>
      <c r="F101" t="s">
        <v>110</v>
      </c>
      <c r="O101">
        <v>1</v>
      </c>
      <c r="P101" s="42">
        <v>48.5</v>
      </c>
      <c r="R101">
        <v>10.3</v>
      </c>
      <c r="T101" s="19">
        <v>43408</v>
      </c>
      <c r="U101" s="13" t="s">
        <v>246</v>
      </c>
      <c r="V101" s="17" t="s">
        <v>287</v>
      </c>
      <c r="W101" s="13" t="s">
        <v>308</v>
      </c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</row>
    <row r="102" spans="1:55" x14ac:dyDescent="0.2">
      <c r="A102" t="s">
        <v>192</v>
      </c>
      <c r="O102">
        <v>-2.5</v>
      </c>
      <c r="P102" s="42">
        <v>57.5</v>
      </c>
      <c r="R102">
        <v>16</v>
      </c>
      <c r="T102" s="19">
        <v>43408</v>
      </c>
      <c r="U102" s="13" t="s">
        <v>246</v>
      </c>
      <c r="V102" s="41" t="s">
        <v>304</v>
      </c>
      <c r="W102" s="13" t="s">
        <v>307</v>
      </c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</row>
    <row r="103" spans="1:55" x14ac:dyDescent="0.2">
      <c r="A103" t="s">
        <v>192</v>
      </c>
      <c r="O103">
        <v>-3</v>
      </c>
      <c r="P103" s="42">
        <v>43.5</v>
      </c>
      <c r="R103">
        <v>2.9</v>
      </c>
      <c r="T103" s="19">
        <v>43408</v>
      </c>
      <c r="U103" s="13" t="s">
        <v>246</v>
      </c>
      <c r="V103" t="s">
        <v>293</v>
      </c>
      <c r="W103" s="13" t="s">
        <v>298</v>
      </c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</row>
    <row r="104" spans="1:55" x14ac:dyDescent="0.2">
      <c r="A104" t="s">
        <v>192</v>
      </c>
      <c r="D104" t="s">
        <v>75</v>
      </c>
      <c r="F104" t="s">
        <v>110</v>
      </c>
      <c r="O104">
        <v>-4.5</v>
      </c>
      <c r="P104" s="42">
        <v>47</v>
      </c>
      <c r="R104">
        <v>5.7</v>
      </c>
      <c r="T104" s="19">
        <v>43408</v>
      </c>
      <c r="U104" s="13" t="s">
        <v>246</v>
      </c>
      <c r="V104" t="s">
        <v>312</v>
      </c>
      <c r="W104" s="13" t="s">
        <v>299</v>
      </c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</row>
    <row r="105" spans="1:55" x14ac:dyDescent="0.2">
      <c r="A105" t="s">
        <v>192</v>
      </c>
      <c r="B105" t="s">
        <v>428</v>
      </c>
      <c r="C105">
        <v>10.8</v>
      </c>
      <c r="D105" t="s">
        <v>75</v>
      </c>
      <c r="F105" t="s">
        <v>109</v>
      </c>
      <c r="O105">
        <v>-5</v>
      </c>
      <c r="P105" s="42">
        <v>56</v>
      </c>
      <c r="R105">
        <v>27</v>
      </c>
      <c r="T105" s="19">
        <v>43408</v>
      </c>
      <c r="U105" s="13" t="s">
        <v>246</v>
      </c>
      <c r="V105" s="41" t="s">
        <v>302</v>
      </c>
      <c r="W105" s="13" t="s">
        <v>300</v>
      </c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</row>
    <row r="106" spans="1:55" x14ac:dyDescent="0.2">
      <c r="A106" t="s">
        <v>192</v>
      </c>
      <c r="D106" t="s">
        <v>75</v>
      </c>
      <c r="O106">
        <v>2.5</v>
      </c>
      <c r="P106" s="42">
        <v>57.5</v>
      </c>
      <c r="R106">
        <v>15.5</v>
      </c>
      <c r="T106" s="19">
        <v>43408</v>
      </c>
      <c r="U106" s="13" t="s">
        <v>246</v>
      </c>
      <c r="V106" s="41" t="s">
        <v>307</v>
      </c>
      <c r="W106" s="13" t="s">
        <v>304</v>
      </c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</row>
    <row r="107" spans="1:55" x14ac:dyDescent="0.2">
      <c r="A107" t="s">
        <v>192</v>
      </c>
      <c r="O107">
        <v>3</v>
      </c>
      <c r="P107" s="42">
        <v>43.5</v>
      </c>
      <c r="R107">
        <v>7.3</v>
      </c>
      <c r="T107" s="19">
        <v>43408</v>
      </c>
      <c r="U107" s="13" t="s">
        <v>246</v>
      </c>
      <c r="V107" t="s">
        <v>298</v>
      </c>
      <c r="W107" s="13" t="s">
        <v>293</v>
      </c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</row>
    <row r="108" spans="1:55" x14ac:dyDescent="0.2">
      <c r="A108" t="s">
        <v>192</v>
      </c>
      <c r="F108" t="s">
        <v>109</v>
      </c>
      <c r="O108">
        <v>1.5</v>
      </c>
      <c r="P108" s="42">
        <v>47</v>
      </c>
      <c r="R108">
        <v>14.8</v>
      </c>
      <c r="T108" s="19">
        <v>43408</v>
      </c>
      <c r="U108" s="13" t="s">
        <v>246</v>
      </c>
      <c r="V108" s="41" t="s">
        <v>309</v>
      </c>
      <c r="W108" s="13" t="s">
        <v>305</v>
      </c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</row>
    <row r="109" spans="1:55" x14ac:dyDescent="0.2">
      <c r="A109" t="s">
        <v>192</v>
      </c>
      <c r="O109">
        <v>1.5</v>
      </c>
      <c r="P109" s="42">
        <v>44</v>
      </c>
      <c r="R109">
        <v>14.6</v>
      </c>
      <c r="T109" s="19">
        <v>43408</v>
      </c>
      <c r="U109" s="13" t="s">
        <v>246</v>
      </c>
      <c r="V109" s="41" t="s">
        <v>256</v>
      </c>
      <c r="W109" s="13" t="s">
        <v>303</v>
      </c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</row>
    <row r="110" spans="1:55" x14ac:dyDescent="0.2">
      <c r="A110" t="s">
        <v>192</v>
      </c>
      <c r="F110" t="s">
        <v>110</v>
      </c>
      <c r="O110">
        <v>-1</v>
      </c>
      <c r="P110" s="42">
        <v>48.5</v>
      </c>
      <c r="R110">
        <v>5.2</v>
      </c>
      <c r="T110" s="19">
        <v>43408</v>
      </c>
      <c r="U110" s="13" t="s">
        <v>246</v>
      </c>
      <c r="V110" t="s">
        <v>308</v>
      </c>
      <c r="W110" s="13" t="s">
        <v>287</v>
      </c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</row>
    <row r="111" spans="1:55" x14ac:dyDescent="0.2">
      <c r="A111" t="s">
        <v>192</v>
      </c>
      <c r="F111" t="s">
        <v>109</v>
      </c>
      <c r="O111">
        <v>6</v>
      </c>
      <c r="P111" s="42">
        <v>55.5</v>
      </c>
      <c r="R111">
        <f>(28.9+6)/2</f>
        <v>17.45</v>
      </c>
      <c r="T111" s="19">
        <v>43408</v>
      </c>
      <c r="U111" s="13" t="s">
        <v>246</v>
      </c>
      <c r="V111" s="41" t="s">
        <v>284</v>
      </c>
      <c r="W111" s="13" t="s">
        <v>301</v>
      </c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</row>
    <row r="112" spans="1:55" x14ac:dyDescent="0.2">
      <c r="A112" t="s">
        <v>192</v>
      </c>
      <c r="F112" t="s">
        <v>110</v>
      </c>
      <c r="O112">
        <v>4.5</v>
      </c>
      <c r="P112" s="42">
        <v>40</v>
      </c>
      <c r="R112">
        <v>1</v>
      </c>
      <c r="T112" s="19">
        <v>43408</v>
      </c>
      <c r="U112" s="13" t="s">
        <v>246</v>
      </c>
      <c r="V112" s="41" t="s">
        <v>310</v>
      </c>
      <c r="W112" s="13" t="s">
        <v>291</v>
      </c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</row>
    <row r="113" spans="1:55" x14ac:dyDescent="0.2">
      <c r="A113" t="s">
        <v>192</v>
      </c>
      <c r="D113" t="s">
        <v>75</v>
      </c>
      <c r="O113">
        <v>-1.5</v>
      </c>
      <c r="P113" s="42">
        <v>46.5</v>
      </c>
      <c r="R113">
        <v>25.4</v>
      </c>
      <c r="T113" s="19">
        <v>43408</v>
      </c>
      <c r="U113" s="13" t="s">
        <v>246</v>
      </c>
      <c r="V113" s="41" t="s">
        <v>306</v>
      </c>
      <c r="W113" s="13" t="s">
        <v>295</v>
      </c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</row>
    <row r="114" spans="1:55" x14ac:dyDescent="0.2">
      <c r="A114" t="s">
        <v>192</v>
      </c>
      <c r="O114">
        <v>16.5</v>
      </c>
      <c r="P114" s="42">
        <v>49.5</v>
      </c>
      <c r="R114">
        <v>2.8</v>
      </c>
      <c r="T114" s="19">
        <v>43415</v>
      </c>
      <c r="U114" s="13" t="s">
        <v>244</v>
      </c>
      <c r="V114" s="41" t="s">
        <v>285</v>
      </c>
      <c r="W114" s="13" t="s">
        <v>288</v>
      </c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</row>
    <row r="115" spans="1:55" x14ac:dyDescent="0.2">
      <c r="A115" t="s">
        <v>192</v>
      </c>
      <c r="O115">
        <v>-5.5</v>
      </c>
      <c r="P115" s="42">
        <v>49.5</v>
      </c>
      <c r="R115">
        <v>7</v>
      </c>
      <c r="T115" s="19">
        <v>43415</v>
      </c>
      <c r="U115" s="13" t="s">
        <v>244</v>
      </c>
      <c r="V115" s="41" t="s">
        <v>295</v>
      </c>
      <c r="W115" s="13" t="s">
        <v>281</v>
      </c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</row>
    <row r="116" spans="1:55" x14ac:dyDescent="0.2">
      <c r="A116" t="s">
        <v>192</v>
      </c>
      <c r="O116">
        <v>6.5</v>
      </c>
      <c r="P116" s="42">
        <v>38</v>
      </c>
      <c r="R116">
        <v>16.5</v>
      </c>
      <c r="T116" s="19">
        <v>43415</v>
      </c>
      <c r="U116" s="13" t="s">
        <v>244</v>
      </c>
      <c r="V116" s="41" t="s">
        <v>276</v>
      </c>
      <c r="W116" s="13" t="s">
        <v>298</v>
      </c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</row>
    <row r="117" spans="1:55" x14ac:dyDescent="0.2">
      <c r="A117" t="s">
        <v>192</v>
      </c>
      <c r="O117">
        <v>3.5</v>
      </c>
      <c r="P117" s="42">
        <v>51</v>
      </c>
      <c r="R117">
        <v>6.5</v>
      </c>
      <c r="T117" s="19">
        <v>43415</v>
      </c>
      <c r="U117" s="13" t="s">
        <v>244</v>
      </c>
      <c r="V117" s="41" t="s">
        <v>301</v>
      </c>
      <c r="W117" s="13" t="s">
        <v>309</v>
      </c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</row>
    <row r="118" spans="1:55" x14ac:dyDescent="0.2">
      <c r="A118" t="s">
        <v>192</v>
      </c>
      <c r="B118" t="s">
        <v>60</v>
      </c>
      <c r="C118">
        <v>9.6</v>
      </c>
      <c r="D118" t="s">
        <v>75</v>
      </c>
      <c r="E118" t="s">
        <v>75</v>
      </c>
      <c r="O118">
        <v>-7.5</v>
      </c>
      <c r="P118" s="42">
        <v>44.5</v>
      </c>
      <c r="R118">
        <v>26.2</v>
      </c>
      <c r="T118" s="19">
        <v>43415</v>
      </c>
      <c r="U118" s="13" t="s">
        <v>244</v>
      </c>
      <c r="V118" s="41" t="s">
        <v>265</v>
      </c>
      <c r="W118" s="13" t="s">
        <v>299</v>
      </c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</row>
    <row r="119" spans="1:55" x14ac:dyDescent="0.2">
      <c r="A119" t="s">
        <v>192</v>
      </c>
      <c r="F119" t="s">
        <v>109</v>
      </c>
      <c r="O119">
        <v>5.5</v>
      </c>
      <c r="P119" s="42">
        <v>53</v>
      </c>
      <c r="R119">
        <v>11.9</v>
      </c>
      <c r="T119" s="19">
        <v>43415</v>
      </c>
      <c r="U119" s="13" t="s">
        <v>244</v>
      </c>
      <c r="V119" s="41" t="s">
        <v>272</v>
      </c>
      <c r="W119" s="13" t="s">
        <v>307</v>
      </c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</row>
    <row r="120" spans="1:55" x14ac:dyDescent="0.2">
      <c r="A120" t="s">
        <v>192</v>
      </c>
      <c r="D120" t="s">
        <v>75</v>
      </c>
      <c r="O120">
        <v>5.5</v>
      </c>
      <c r="P120" s="42">
        <v>49.5</v>
      </c>
      <c r="R120">
        <v>5.9</v>
      </c>
      <c r="T120" s="19">
        <v>43415</v>
      </c>
      <c r="U120" s="13" t="s">
        <v>244</v>
      </c>
      <c r="V120" s="41" t="s">
        <v>281</v>
      </c>
      <c r="W120" s="13" t="s">
        <v>295</v>
      </c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</row>
    <row r="121" spans="1:55" x14ac:dyDescent="0.2">
      <c r="A121" t="s">
        <v>192</v>
      </c>
      <c r="O121">
        <v>7.5</v>
      </c>
      <c r="P121" s="42">
        <v>45.5</v>
      </c>
      <c r="R121">
        <v>7.7</v>
      </c>
      <c r="T121" s="19">
        <v>43415</v>
      </c>
      <c r="U121" s="13" t="s">
        <v>244</v>
      </c>
      <c r="V121" s="17" t="s">
        <v>291</v>
      </c>
      <c r="W121" s="13" t="s">
        <v>294</v>
      </c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</row>
    <row r="122" spans="1:55" x14ac:dyDescent="0.2">
      <c r="A122" t="s">
        <v>192</v>
      </c>
      <c r="E122" s="20" t="s">
        <v>75</v>
      </c>
      <c r="O122">
        <v>7.5</v>
      </c>
      <c r="P122" s="42">
        <v>44.5</v>
      </c>
      <c r="R122">
        <v>8.5</v>
      </c>
      <c r="T122" s="19">
        <v>43415</v>
      </c>
      <c r="U122" t="s">
        <v>244</v>
      </c>
      <c r="V122" s="41" t="s">
        <v>299</v>
      </c>
      <c r="W122" t="s">
        <v>265</v>
      </c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</row>
    <row r="123" spans="1:55" x14ac:dyDescent="0.2">
      <c r="A123" t="s">
        <v>192</v>
      </c>
      <c r="O123">
        <v>-13</v>
      </c>
      <c r="P123" s="42">
        <v>48.5</v>
      </c>
      <c r="R123">
        <v>10.4</v>
      </c>
      <c r="T123" s="19">
        <v>43415</v>
      </c>
      <c r="U123" s="13" t="s">
        <v>244</v>
      </c>
      <c r="V123" s="41" t="s">
        <v>300</v>
      </c>
      <c r="W123" s="13" t="s">
        <v>293</v>
      </c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</row>
    <row r="124" spans="1:55" x14ac:dyDescent="0.2">
      <c r="A124" t="s">
        <v>192</v>
      </c>
      <c r="F124" t="s">
        <v>110</v>
      </c>
      <c r="O124">
        <v>-3</v>
      </c>
      <c r="P124" s="42">
        <v>48</v>
      </c>
      <c r="R124">
        <v>8.1</v>
      </c>
      <c r="T124" s="19">
        <v>43415</v>
      </c>
      <c r="U124" s="13" t="s">
        <v>244</v>
      </c>
      <c r="V124" s="41" t="s">
        <v>289</v>
      </c>
      <c r="W124" s="13" t="s">
        <v>297</v>
      </c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</row>
    <row r="125" spans="1:55" x14ac:dyDescent="0.2">
      <c r="A125" t="s">
        <v>192</v>
      </c>
      <c r="D125" t="s">
        <v>75</v>
      </c>
      <c r="F125" t="s">
        <v>110</v>
      </c>
      <c r="O125">
        <v>3</v>
      </c>
      <c r="P125" s="42">
        <v>48</v>
      </c>
      <c r="R125">
        <v>9.3000000000000007</v>
      </c>
      <c r="T125" s="19">
        <v>43415</v>
      </c>
      <c r="U125" s="13" t="s">
        <v>244</v>
      </c>
      <c r="V125" s="17" t="s">
        <v>297</v>
      </c>
      <c r="W125" s="13" t="s">
        <v>289</v>
      </c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</row>
    <row r="126" spans="1:55" x14ac:dyDescent="0.2">
      <c r="A126" t="s">
        <v>192</v>
      </c>
      <c r="D126" t="s">
        <v>75</v>
      </c>
      <c r="O126">
        <v>-16.5</v>
      </c>
      <c r="P126" s="42">
        <v>49.5</v>
      </c>
      <c r="R126">
        <v>3.2</v>
      </c>
      <c r="T126" s="19">
        <v>43415</v>
      </c>
      <c r="U126" s="13" t="s">
        <v>244</v>
      </c>
      <c r="V126" s="41" t="s">
        <v>288</v>
      </c>
      <c r="W126" s="13" t="s">
        <v>285</v>
      </c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</row>
    <row r="127" spans="1:55" x14ac:dyDescent="0.2">
      <c r="A127" t="s">
        <v>192</v>
      </c>
      <c r="F127" t="s">
        <v>110</v>
      </c>
      <c r="O127">
        <v>10.5</v>
      </c>
      <c r="P127" s="42">
        <v>50</v>
      </c>
      <c r="R127">
        <v>6.9</v>
      </c>
      <c r="T127" s="19">
        <v>43415</v>
      </c>
      <c r="U127" s="13" t="s">
        <v>244</v>
      </c>
      <c r="V127" s="17" t="s">
        <v>303</v>
      </c>
      <c r="W127" s="13" t="s">
        <v>287</v>
      </c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</row>
    <row r="128" spans="1:55" x14ac:dyDescent="0.2">
      <c r="A128" t="s">
        <v>192</v>
      </c>
      <c r="F128" t="s">
        <v>110</v>
      </c>
      <c r="O128">
        <v>-10.5</v>
      </c>
      <c r="P128" s="42">
        <v>50</v>
      </c>
      <c r="R128">
        <v>8.6</v>
      </c>
      <c r="T128" s="19">
        <v>43415</v>
      </c>
      <c r="U128" s="13" t="s">
        <v>244</v>
      </c>
      <c r="V128" s="17" t="s">
        <v>287</v>
      </c>
      <c r="W128" s="13" t="s">
        <v>303</v>
      </c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</row>
    <row r="129" spans="1:55" x14ac:dyDescent="0.2">
      <c r="A129" t="s">
        <v>192</v>
      </c>
      <c r="D129" t="s">
        <v>75</v>
      </c>
      <c r="F129" t="s">
        <v>110</v>
      </c>
      <c r="O129">
        <v>-10</v>
      </c>
      <c r="P129" s="42">
        <v>51</v>
      </c>
      <c r="R129">
        <v>14.6</v>
      </c>
      <c r="T129" s="19">
        <v>43415</v>
      </c>
      <c r="U129" s="13" t="s">
        <v>244</v>
      </c>
      <c r="V129" t="s">
        <v>304</v>
      </c>
      <c r="W129" s="13" t="s">
        <v>308</v>
      </c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</row>
    <row r="130" spans="1:55" x14ac:dyDescent="0.2">
      <c r="A130" t="s">
        <v>192</v>
      </c>
      <c r="B130" t="s">
        <v>24</v>
      </c>
      <c r="C130">
        <v>11.1</v>
      </c>
      <c r="D130" t="s">
        <v>75</v>
      </c>
      <c r="O130">
        <v>13</v>
      </c>
      <c r="P130" s="42">
        <v>48.5</v>
      </c>
      <c r="R130">
        <v>9.3000000000000007</v>
      </c>
      <c r="T130" s="19">
        <v>43415</v>
      </c>
      <c r="U130" s="13" t="s">
        <v>244</v>
      </c>
      <c r="V130" s="41" t="s">
        <v>293</v>
      </c>
      <c r="W130" s="13" t="s">
        <v>300</v>
      </c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</row>
    <row r="131" spans="1:55" x14ac:dyDescent="0.2">
      <c r="A131" t="s">
        <v>192</v>
      </c>
      <c r="D131" t="s">
        <v>75</v>
      </c>
      <c r="F131" t="s">
        <v>109</v>
      </c>
      <c r="O131">
        <v>-6</v>
      </c>
      <c r="P131" s="42">
        <v>47</v>
      </c>
      <c r="R131">
        <v>12.1</v>
      </c>
      <c r="T131" s="19">
        <v>43415</v>
      </c>
      <c r="U131" s="13" t="s">
        <v>244</v>
      </c>
      <c r="V131" t="s">
        <v>302</v>
      </c>
      <c r="W131" s="13" t="s">
        <v>310</v>
      </c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</row>
    <row r="132" spans="1:55" x14ac:dyDescent="0.2">
      <c r="A132" t="s">
        <v>192</v>
      </c>
      <c r="F132" t="s">
        <v>109</v>
      </c>
      <c r="O132">
        <v>-5.5</v>
      </c>
      <c r="P132" s="42">
        <v>53</v>
      </c>
      <c r="R132">
        <v>0</v>
      </c>
      <c r="T132" s="19">
        <v>43415</v>
      </c>
      <c r="U132" s="13" t="s">
        <v>244</v>
      </c>
      <c r="V132" s="41" t="s">
        <v>307</v>
      </c>
      <c r="W132" s="13" t="s">
        <v>272</v>
      </c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</row>
    <row r="133" spans="1:55" x14ac:dyDescent="0.2">
      <c r="A133" t="s">
        <v>192</v>
      </c>
      <c r="D133" t="s">
        <v>75</v>
      </c>
      <c r="O133">
        <v>3</v>
      </c>
      <c r="P133" s="42">
        <v>45</v>
      </c>
      <c r="R133">
        <v>11.6</v>
      </c>
      <c r="T133" s="19">
        <v>43415</v>
      </c>
      <c r="U133" s="13" t="s">
        <v>244</v>
      </c>
      <c r="V133" t="s">
        <v>296</v>
      </c>
      <c r="W133" s="13" t="s">
        <v>256</v>
      </c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</row>
    <row r="134" spans="1:55" x14ac:dyDescent="0.2">
      <c r="A134" t="s">
        <v>192</v>
      </c>
      <c r="O134">
        <v>-6.5</v>
      </c>
      <c r="P134" s="42">
        <v>38</v>
      </c>
      <c r="R134">
        <v>3.6</v>
      </c>
      <c r="T134" s="19">
        <v>43415</v>
      </c>
      <c r="U134" s="13" t="s">
        <v>244</v>
      </c>
      <c r="V134" s="41" t="s">
        <v>298</v>
      </c>
      <c r="W134" s="13" t="s">
        <v>276</v>
      </c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</row>
    <row r="135" spans="1:55" x14ac:dyDescent="0.2">
      <c r="A135" t="s">
        <v>192</v>
      </c>
      <c r="O135">
        <v>-7.5</v>
      </c>
      <c r="P135" s="42">
        <v>45.5</v>
      </c>
      <c r="R135">
        <v>13.3</v>
      </c>
      <c r="T135" s="19">
        <v>43415</v>
      </c>
      <c r="U135" s="13" t="s">
        <v>244</v>
      </c>
      <c r="V135" s="41" t="s">
        <v>294</v>
      </c>
      <c r="W135" s="13" t="s">
        <v>291</v>
      </c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</row>
    <row r="136" spans="1:55" x14ac:dyDescent="0.2">
      <c r="A136" t="s">
        <v>192</v>
      </c>
      <c r="O136">
        <v>-3.5</v>
      </c>
      <c r="P136" s="42">
        <v>51</v>
      </c>
      <c r="R136">
        <v>19.3</v>
      </c>
      <c r="T136" s="19">
        <v>43415</v>
      </c>
      <c r="U136" s="13" t="s">
        <v>244</v>
      </c>
      <c r="V136" s="41" t="s">
        <v>309</v>
      </c>
      <c r="W136" s="13" t="s">
        <v>301</v>
      </c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</row>
    <row r="137" spans="1:55" x14ac:dyDescent="0.2">
      <c r="A137" t="s">
        <v>192</v>
      </c>
      <c r="O137">
        <v>-3</v>
      </c>
      <c r="P137" s="42">
        <v>45</v>
      </c>
      <c r="R137">
        <v>5.2</v>
      </c>
      <c r="T137" s="19">
        <v>43415</v>
      </c>
      <c r="U137" s="13" t="s">
        <v>244</v>
      </c>
      <c r="V137" s="41" t="s">
        <v>256</v>
      </c>
      <c r="W137" s="13" t="s">
        <v>296</v>
      </c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</row>
    <row r="138" spans="1:55" x14ac:dyDescent="0.2">
      <c r="A138" t="s">
        <v>192</v>
      </c>
      <c r="D138" t="s">
        <v>75</v>
      </c>
      <c r="F138" t="s">
        <v>110</v>
      </c>
      <c r="O138">
        <v>10</v>
      </c>
      <c r="P138" s="42">
        <v>51</v>
      </c>
      <c r="R138">
        <v>19.5</v>
      </c>
      <c r="T138" s="19">
        <v>43415</v>
      </c>
      <c r="U138" s="13" t="s">
        <v>244</v>
      </c>
      <c r="V138" t="s">
        <v>308</v>
      </c>
      <c r="W138" s="13" t="s">
        <v>304</v>
      </c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</row>
    <row r="139" spans="1:55" x14ac:dyDescent="0.2">
      <c r="A139" t="s">
        <v>192</v>
      </c>
      <c r="F139" t="s">
        <v>109</v>
      </c>
      <c r="O139">
        <v>-3.5</v>
      </c>
      <c r="P139" s="42">
        <v>51</v>
      </c>
      <c r="R139">
        <v>20.3</v>
      </c>
      <c r="T139" s="19">
        <v>43415</v>
      </c>
      <c r="U139" s="13" t="s">
        <v>244</v>
      </c>
      <c r="V139" s="41" t="s">
        <v>284</v>
      </c>
      <c r="W139" s="13" t="s">
        <v>306</v>
      </c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</row>
    <row r="140" spans="1:55" x14ac:dyDescent="0.2">
      <c r="A140" t="s">
        <v>192</v>
      </c>
      <c r="F140" t="s">
        <v>109</v>
      </c>
      <c r="O140">
        <v>6</v>
      </c>
      <c r="P140" s="42">
        <v>47</v>
      </c>
      <c r="R140">
        <v>0</v>
      </c>
      <c r="T140" s="19">
        <v>43415</v>
      </c>
      <c r="U140" s="13" t="s">
        <v>244</v>
      </c>
      <c r="V140" t="s">
        <v>310</v>
      </c>
      <c r="W140" s="13" t="s">
        <v>302</v>
      </c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</row>
    <row r="141" spans="1:55" x14ac:dyDescent="0.2">
      <c r="A141" t="s">
        <v>192</v>
      </c>
      <c r="D141" t="s">
        <v>75</v>
      </c>
      <c r="F141" t="s">
        <v>109</v>
      </c>
      <c r="O141">
        <v>3.5</v>
      </c>
      <c r="P141" s="42">
        <v>51</v>
      </c>
      <c r="R141">
        <v>10.6</v>
      </c>
      <c r="T141" s="19">
        <v>43415</v>
      </c>
      <c r="U141" s="13" t="s">
        <v>244</v>
      </c>
      <c r="V141" t="s">
        <v>306</v>
      </c>
      <c r="W141" s="13" t="s">
        <v>284</v>
      </c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</row>
    <row r="142" spans="1:55" x14ac:dyDescent="0.2">
      <c r="A142" t="s">
        <v>192</v>
      </c>
      <c r="F142" t="s">
        <v>110</v>
      </c>
      <c r="O142">
        <v>4.5</v>
      </c>
      <c r="P142" s="42">
        <v>41</v>
      </c>
      <c r="R142">
        <v>16.7</v>
      </c>
      <c r="T142" s="19">
        <v>43422</v>
      </c>
      <c r="U142" s="13" t="s">
        <v>259</v>
      </c>
      <c r="V142" s="41" t="s">
        <v>285</v>
      </c>
      <c r="W142" s="13" t="s">
        <v>303</v>
      </c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</row>
    <row r="143" spans="1:55" x14ac:dyDescent="0.2">
      <c r="A143" t="s">
        <v>192</v>
      </c>
      <c r="O143">
        <v>-3.5</v>
      </c>
      <c r="P143" s="42">
        <v>50</v>
      </c>
      <c r="R143">
        <v>6.7</v>
      </c>
      <c r="T143" s="19">
        <v>43422</v>
      </c>
      <c r="U143" s="13" t="s">
        <v>259</v>
      </c>
      <c r="V143" s="41" t="s">
        <v>295</v>
      </c>
      <c r="W143" s="13" t="s">
        <v>291</v>
      </c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</row>
    <row r="144" spans="1:55" x14ac:dyDescent="0.2">
      <c r="A144" t="s">
        <v>192</v>
      </c>
      <c r="F144" t="s">
        <v>109</v>
      </c>
      <c r="O144">
        <v>-6.5</v>
      </c>
      <c r="P144" s="42">
        <v>44</v>
      </c>
      <c r="R144">
        <v>10.1</v>
      </c>
      <c r="T144" s="19">
        <v>43422</v>
      </c>
      <c r="U144" s="13" t="s">
        <v>259</v>
      </c>
      <c r="V144" t="s">
        <v>305</v>
      </c>
      <c r="W144" s="13" t="s">
        <v>272</v>
      </c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</row>
    <row r="145" spans="1:55" x14ac:dyDescent="0.2">
      <c r="A145" t="s">
        <v>192</v>
      </c>
      <c r="D145" t="s">
        <v>75</v>
      </c>
      <c r="O145">
        <v>-4</v>
      </c>
      <c r="P145" s="42">
        <v>48</v>
      </c>
      <c r="R145">
        <v>31.7</v>
      </c>
      <c r="T145" s="19">
        <v>43422</v>
      </c>
      <c r="U145" s="13" t="s">
        <v>259</v>
      </c>
      <c r="V145" t="s">
        <v>301</v>
      </c>
      <c r="W145" s="13" t="s">
        <v>299</v>
      </c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</row>
    <row r="146" spans="1:55" x14ac:dyDescent="0.2">
      <c r="A146" t="s">
        <v>192</v>
      </c>
      <c r="O146">
        <v>-2.5</v>
      </c>
      <c r="P146" s="42">
        <v>44</v>
      </c>
      <c r="R146">
        <v>13.9</v>
      </c>
      <c r="T146" s="19">
        <v>43422</v>
      </c>
      <c r="U146" s="13" t="s">
        <v>259</v>
      </c>
      <c r="V146" t="s">
        <v>265</v>
      </c>
      <c r="W146" s="13" t="s">
        <v>312</v>
      </c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</row>
    <row r="147" spans="1:55" x14ac:dyDescent="0.2">
      <c r="A147" t="s">
        <v>192</v>
      </c>
      <c r="F147" t="s">
        <v>109</v>
      </c>
      <c r="O147">
        <v>6.5</v>
      </c>
      <c r="P147" s="42">
        <v>44</v>
      </c>
      <c r="R147">
        <v>11.1</v>
      </c>
      <c r="T147" s="19">
        <v>43422</v>
      </c>
      <c r="U147" s="13" t="s">
        <v>259</v>
      </c>
      <c r="V147" t="s">
        <v>272</v>
      </c>
      <c r="W147" s="13" t="s">
        <v>305</v>
      </c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</row>
    <row r="148" spans="1:55" x14ac:dyDescent="0.2">
      <c r="A148" t="s">
        <v>192</v>
      </c>
      <c r="B148" t="s">
        <v>14</v>
      </c>
      <c r="C148">
        <v>7.4</v>
      </c>
      <c r="D148" t="s">
        <v>75</v>
      </c>
      <c r="O148">
        <v>3.5</v>
      </c>
      <c r="P148" s="42">
        <v>50</v>
      </c>
      <c r="R148">
        <v>2</v>
      </c>
      <c r="T148" s="19">
        <v>43422</v>
      </c>
      <c r="U148" s="13" t="s">
        <v>259</v>
      </c>
      <c r="V148" s="17" t="s">
        <v>291</v>
      </c>
      <c r="W148" s="13" t="s">
        <v>295</v>
      </c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</row>
    <row r="149" spans="1:55" x14ac:dyDescent="0.2">
      <c r="A149" t="s">
        <v>192</v>
      </c>
      <c r="O149">
        <v>7.5</v>
      </c>
      <c r="P149" s="42">
        <v>47</v>
      </c>
      <c r="R149">
        <v>10.8</v>
      </c>
      <c r="T149" s="19">
        <v>43422</v>
      </c>
      <c r="U149" s="13" t="s">
        <v>259</v>
      </c>
      <c r="V149" t="s">
        <v>278</v>
      </c>
      <c r="W149" s="13" t="s">
        <v>287</v>
      </c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</row>
    <row r="150" spans="1:55" x14ac:dyDescent="0.2">
      <c r="A150" t="s">
        <v>192</v>
      </c>
      <c r="O150">
        <v>4</v>
      </c>
      <c r="P150" s="42">
        <v>48</v>
      </c>
      <c r="R150">
        <v>11.2</v>
      </c>
      <c r="T150" s="19">
        <v>43422</v>
      </c>
      <c r="U150" t="s">
        <v>259</v>
      </c>
      <c r="V150" t="s">
        <v>299</v>
      </c>
      <c r="W150" t="s">
        <v>301</v>
      </c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</row>
    <row r="151" spans="1:55" x14ac:dyDescent="0.2">
      <c r="A151" t="s">
        <v>192</v>
      </c>
      <c r="D151" t="s">
        <v>75</v>
      </c>
      <c r="O151">
        <v>3</v>
      </c>
      <c r="P151" s="42">
        <v>49</v>
      </c>
      <c r="R151">
        <v>1.8</v>
      </c>
      <c r="T151" s="19">
        <v>43422</v>
      </c>
      <c r="U151" s="13" t="s">
        <v>259</v>
      </c>
      <c r="V151" s="41" t="s">
        <v>300</v>
      </c>
      <c r="W151" s="13" t="s">
        <v>308</v>
      </c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</row>
    <row r="152" spans="1:55" x14ac:dyDescent="0.2">
      <c r="A152" t="s">
        <v>192</v>
      </c>
      <c r="F152" t="s">
        <v>110</v>
      </c>
      <c r="O152">
        <v>-3</v>
      </c>
      <c r="P152" s="42">
        <v>40.5</v>
      </c>
      <c r="R152">
        <v>0</v>
      </c>
      <c r="T152" s="19">
        <v>43422</v>
      </c>
      <c r="U152" s="13" t="s">
        <v>259</v>
      </c>
      <c r="V152" s="41" t="s">
        <v>311</v>
      </c>
      <c r="W152" s="13" t="s">
        <v>306</v>
      </c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</row>
    <row r="153" spans="1:55" x14ac:dyDescent="0.2">
      <c r="A153" t="s">
        <v>192</v>
      </c>
      <c r="D153" t="s">
        <v>75</v>
      </c>
      <c r="F153" t="s">
        <v>110</v>
      </c>
      <c r="O153">
        <v>-2</v>
      </c>
      <c r="P153" s="42">
        <v>50</v>
      </c>
      <c r="R153">
        <v>13.4</v>
      </c>
      <c r="T153" s="19">
        <v>43422</v>
      </c>
      <c r="U153" s="13" t="s">
        <v>259</v>
      </c>
      <c r="V153" s="41" t="s">
        <v>289</v>
      </c>
      <c r="W153" s="13" t="s">
        <v>310</v>
      </c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</row>
    <row r="154" spans="1:55" x14ac:dyDescent="0.2">
      <c r="A154" t="s">
        <v>192</v>
      </c>
      <c r="O154">
        <v>4</v>
      </c>
      <c r="P154" s="42">
        <v>47</v>
      </c>
      <c r="R154">
        <v>3.9</v>
      </c>
      <c r="T154" s="19">
        <v>43422</v>
      </c>
      <c r="U154" s="13" t="s">
        <v>259</v>
      </c>
      <c r="V154" s="17" t="s">
        <v>297</v>
      </c>
      <c r="W154" s="13" t="s">
        <v>309</v>
      </c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</row>
    <row r="155" spans="1:55" x14ac:dyDescent="0.2">
      <c r="A155" t="s">
        <v>192</v>
      </c>
      <c r="D155" t="s">
        <v>75</v>
      </c>
      <c r="O155">
        <v>3</v>
      </c>
      <c r="P155" s="42">
        <v>63.5</v>
      </c>
      <c r="R155">
        <v>26.4</v>
      </c>
      <c r="T155" s="19">
        <v>43422</v>
      </c>
      <c r="U155" s="13" t="s">
        <v>259</v>
      </c>
      <c r="V155" t="s">
        <v>288</v>
      </c>
      <c r="W155" s="13" t="s">
        <v>304</v>
      </c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</row>
    <row r="156" spans="1:55" x14ac:dyDescent="0.2">
      <c r="A156" t="s">
        <v>192</v>
      </c>
      <c r="D156" t="s">
        <v>75</v>
      </c>
      <c r="F156" t="s">
        <v>110</v>
      </c>
      <c r="O156">
        <v>-4.5</v>
      </c>
      <c r="P156" s="42">
        <v>41</v>
      </c>
      <c r="R156">
        <v>7.8</v>
      </c>
      <c r="T156" s="19">
        <v>43422</v>
      </c>
      <c r="U156" s="13" t="s">
        <v>259</v>
      </c>
      <c r="V156" s="17" t="s">
        <v>303</v>
      </c>
      <c r="W156" s="13" t="s">
        <v>285</v>
      </c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</row>
    <row r="157" spans="1:55" x14ac:dyDescent="0.2">
      <c r="A157" t="s">
        <v>192</v>
      </c>
      <c r="D157" t="s">
        <v>75</v>
      </c>
      <c r="O157">
        <v>-7.5</v>
      </c>
      <c r="P157" s="42">
        <v>47</v>
      </c>
      <c r="R157">
        <v>7.6</v>
      </c>
      <c r="T157" s="19">
        <v>43422</v>
      </c>
      <c r="U157" s="13" t="s">
        <v>259</v>
      </c>
      <c r="V157" s="17" t="s">
        <v>287</v>
      </c>
      <c r="W157" s="13" t="s">
        <v>278</v>
      </c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</row>
    <row r="158" spans="1:55" x14ac:dyDescent="0.2">
      <c r="A158" t="s">
        <v>192</v>
      </c>
      <c r="O158">
        <v>-3</v>
      </c>
      <c r="P158" s="42">
        <v>63.5</v>
      </c>
      <c r="R158">
        <v>17.2</v>
      </c>
      <c r="T158" s="19">
        <v>43422</v>
      </c>
      <c r="U158" s="13" t="s">
        <v>259</v>
      </c>
      <c r="V158" t="s">
        <v>304</v>
      </c>
      <c r="W158" s="13" t="s">
        <v>288</v>
      </c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</row>
    <row r="159" spans="1:55" x14ac:dyDescent="0.2">
      <c r="A159" t="s">
        <v>192</v>
      </c>
      <c r="O159">
        <v>2.5</v>
      </c>
      <c r="P159" s="42">
        <v>44</v>
      </c>
      <c r="R159">
        <v>34.6</v>
      </c>
      <c r="T159" s="19">
        <v>43422</v>
      </c>
      <c r="U159" s="13" t="s">
        <v>259</v>
      </c>
      <c r="V159" s="41" t="s">
        <v>312</v>
      </c>
      <c r="W159" s="13" t="s">
        <v>265</v>
      </c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</row>
    <row r="160" spans="1:55" x14ac:dyDescent="0.2">
      <c r="A160" t="s">
        <v>192</v>
      </c>
      <c r="F160" t="s">
        <v>109</v>
      </c>
      <c r="O160">
        <v>-7</v>
      </c>
      <c r="P160" s="42">
        <v>56.5</v>
      </c>
      <c r="R160">
        <v>34.700000000000003</v>
      </c>
      <c r="T160" s="19">
        <v>43422</v>
      </c>
      <c r="U160" s="13" t="s">
        <v>259</v>
      </c>
      <c r="V160" s="41" t="s">
        <v>307</v>
      </c>
      <c r="W160" s="13" t="s">
        <v>294</v>
      </c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</row>
    <row r="161" spans="1:55" x14ac:dyDescent="0.2">
      <c r="A161" t="s">
        <v>192</v>
      </c>
      <c r="D161" t="s">
        <v>75</v>
      </c>
      <c r="E161" s="20" t="s">
        <v>75</v>
      </c>
      <c r="F161" t="s">
        <v>109</v>
      </c>
      <c r="O161">
        <v>-3</v>
      </c>
      <c r="P161" s="42">
        <v>54.5</v>
      </c>
      <c r="R161">
        <v>4.2</v>
      </c>
      <c r="T161" s="19">
        <v>43422</v>
      </c>
      <c r="U161" s="13" t="s">
        <v>259</v>
      </c>
      <c r="V161" s="41" t="s">
        <v>296</v>
      </c>
      <c r="W161" s="13" t="s">
        <v>284</v>
      </c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</row>
    <row r="162" spans="1:55" x14ac:dyDescent="0.2">
      <c r="A162" t="s">
        <v>192</v>
      </c>
      <c r="F162" t="s">
        <v>109</v>
      </c>
      <c r="O162">
        <v>7</v>
      </c>
      <c r="P162" s="42">
        <v>56.5</v>
      </c>
      <c r="R162">
        <v>9</v>
      </c>
      <c r="T162" s="19">
        <v>43422</v>
      </c>
      <c r="U162" s="13" t="s">
        <v>259</v>
      </c>
      <c r="V162" s="41" t="s">
        <v>294</v>
      </c>
      <c r="W162" s="13" t="s">
        <v>307</v>
      </c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</row>
    <row r="163" spans="1:55" x14ac:dyDescent="0.2">
      <c r="A163" t="s">
        <v>192</v>
      </c>
      <c r="O163">
        <v>-4</v>
      </c>
      <c r="P163" s="42">
        <v>47</v>
      </c>
      <c r="R163">
        <v>21.4</v>
      </c>
      <c r="T163" s="19">
        <v>43422</v>
      </c>
      <c r="U163" s="13" t="s">
        <v>259</v>
      </c>
      <c r="V163" s="41" t="s">
        <v>309</v>
      </c>
      <c r="W163" s="13" t="s">
        <v>297</v>
      </c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</row>
    <row r="164" spans="1:55" x14ac:dyDescent="0.2">
      <c r="A164" t="s">
        <v>192</v>
      </c>
      <c r="D164" t="s">
        <v>75</v>
      </c>
      <c r="O164">
        <v>-3</v>
      </c>
      <c r="P164" s="42">
        <v>49</v>
      </c>
      <c r="R164">
        <v>12.2</v>
      </c>
      <c r="T164" s="19">
        <v>43422</v>
      </c>
      <c r="U164" s="13" t="s">
        <v>259</v>
      </c>
      <c r="V164" s="41" t="s">
        <v>308</v>
      </c>
      <c r="W164" s="13" t="s">
        <v>300</v>
      </c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</row>
    <row r="165" spans="1:55" x14ac:dyDescent="0.2">
      <c r="A165" t="s">
        <v>192</v>
      </c>
      <c r="E165" s="20" t="s">
        <v>75</v>
      </c>
      <c r="F165" t="s">
        <v>109</v>
      </c>
      <c r="O165">
        <v>3</v>
      </c>
      <c r="P165" s="42">
        <v>54.5</v>
      </c>
      <c r="R165">
        <v>11</v>
      </c>
      <c r="T165" s="19">
        <v>43422</v>
      </c>
      <c r="U165" s="13" t="s">
        <v>259</v>
      </c>
      <c r="V165" s="18" t="s">
        <v>284</v>
      </c>
      <c r="W165" s="13" t="s">
        <v>296</v>
      </c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</row>
    <row r="166" spans="1:55" x14ac:dyDescent="0.2">
      <c r="A166" t="s">
        <v>192</v>
      </c>
      <c r="D166" t="s">
        <v>75</v>
      </c>
      <c r="F166" t="s">
        <v>110</v>
      </c>
      <c r="O166">
        <v>2</v>
      </c>
      <c r="P166" s="42">
        <v>50</v>
      </c>
      <c r="R166">
        <v>14.7</v>
      </c>
      <c r="T166" s="19">
        <v>43422</v>
      </c>
      <c r="U166" s="13" t="s">
        <v>259</v>
      </c>
      <c r="V166" s="18" t="s">
        <v>310</v>
      </c>
      <c r="W166" s="13" t="s">
        <v>289</v>
      </c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</row>
    <row r="167" spans="1:55" x14ac:dyDescent="0.2">
      <c r="A167" t="s">
        <v>192</v>
      </c>
      <c r="F167" t="s">
        <v>110</v>
      </c>
      <c r="O167">
        <v>3</v>
      </c>
      <c r="P167" s="42">
        <v>40.5</v>
      </c>
      <c r="R167">
        <v>8.9</v>
      </c>
      <c r="T167" s="19">
        <v>43422</v>
      </c>
      <c r="U167" s="13" t="s">
        <v>259</v>
      </c>
      <c r="V167" s="18" t="s">
        <v>306</v>
      </c>
      <c r="W167" s="13" t="s">
        <v>311</v>
      </c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</row>
    <row r="168" spans="1:55" x14ac:dyDescent="0.2">
      <c r="A168" t="s">
        <v>192</v>
      </c>
      <c r="O168">
        <v>14</v>
      </c>
      <c r="P168" s="42">
        <v>43.5</v>
      </c>
      <c r="R168">
        <v>8.1</v>
      </c>
      <c r="T168" s="19">
        <v>43429</v>
      </c>
      <c r="U168" s="13" t="s">
        <v>242</v>
      </c>
      <c r="V168" s="18" t="s">
        <v>285</v>
      </c>
      <c r="W168" s="13" t="s">
        <v>287</v>
      </c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</row>
    <row r="169" spans="1:55" x14ac:dyDescent="0.2">
      <c r="A169" t="s">
        <v>192</v>
      </c>
      <c r="O169">
        <v>11.5</v>
      </c>
      <c r="P169" s="42">
        <v>61</v>
      </c>
      <c r="R169">
        <v>22.3</v>
      </c>
      <c r="T169" s="19">
        <v>43429</v>
      </c>
      <c r="U169" s="13" t="s">
        <v>242</v>
      </c>
      <c r="V169" s="18" t="s">
        <v>295</v>
      </c>
      <c r="W169" s="13" t="s">
        <v>307</v>
      </c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</row>
    <row r="170" spans="1:55" x14ac:dyDescent="0.2">
      <c r="A170" t="s">
        <v>192</v>
      </c>
      <c r="O170">
        <v>-13</v>
      </c>
      <c r="P170" s="42">
        <v>42</v>
      </c>
      <c r="R170">
        <v>3.5</v>
      </c>
      <c r="T170" s="19">
        <v>43429</v>
      </c>
      <c r="U170" s="13" t="s">
        <v>242</v>
      </c>
      <c r="V170" s="18" t="s">
        <v>305</v>
      </c>
      <c r="W170" s="13" t="s">
        <v>303</v>
      </c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</row>
    <row r="171" spans="1:55" x14ac:dyDescent="0.2">
      <c r="A171" t="s">
        <v>192</v>
      </c>
      <c r="F171" t="s">
        <v>110</v>
      </c>
      <c r="O171">
        <v>3</v>
      </c>
      <c r="P171" s="42">
        <v>36.5</v>
      </c>
      <c r="R171">
        <v>17.399999999999999</v>
      </c>
      <c r="T171" s="19">
        <v>43429</v>
      </c>
      <c r="U171" s="13" t="s">
        <v>242</v>
      </c>
      <c r="V171" s="18" t="s">
        <v>276</v>
      </c>
      <c r="W171" s="13" t="s">
        <v>297</v>
      </c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</row>
    <row r="172" spans="1:55" x14ac:dyDescent="0.2">
      <c r="A172" t="s">
        <v>192</v>
      </c>
      <c r="D172" t="s">
        <v>75</v>
      </c>
      <c r="F172" t="s">
        <v>110</v>
      </c>
      <c r="O172">
        <v>-3</v>
      </c>
      <c r="P172" s="42">
        <v>46.5</v>
      </c>
      <c r="R172">
        <v>12.2</v>
      </c>
      <c r="T172" s="19">
        <v>43429</v>
      </c>
      <c r="U172" s="13" t="s">
        <v>242</v>
      </c>
      <c r="V172" s="18" t="s">
        <v>301</v>
      </c>
      <c r="W172" s="13" t="s">
        <v>308</v>
      </c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</row>
    <row r="173" spans="1:55" x14ac:dyDescent="0.2">
      <c r="A173" t="s">
        <v>192</v>
      </c>
      <c r="D173" t="s">
        <v>75</v>
      </c>
      <c r="E173" s="20" t="s">
        <v>75</v>
      </c>
      <c r="O173">
        <v>-3</v>
      </c>
      <c r="P173" s="42">
        <v>43</v>
      </c>
      <c r="R173">
        <v>11.9</v>
      </c>
      <c r="T173" s="19">
        <v>43429</v>
      </c>
      <c r="U173" s="13" t="s">
        <v>242</v>
      </c>
      <c r="V173" s="18" t="s">
        <v>265</v>
      </c>
      <c r="W173" s="13" t="s">
        <v>299</v>
      </c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</row>
    <row r="174" spans="1:55" x14ac:dyDescent="0.2">
      <c r="A174" t="s">
        <v>192</v>
      </c>
      <c r="B174" t="s">
        <v>91</v>
      </c>
      <c r="C174">
        <v>11.7</v>
      </c>
      <c r="F174" t="s">
        <v>109</v>
      </c>
      <c r="O174">
        <v>1</v>
      </c>
      <c r="P174" s="42">
        <v>46.5</v>
      </c>
      <c r="R174">
        <v>12.1</v>
      </c>
      <c r="T174" s="19">
        <v>43429</v>
      </c>
      <c r="U174" s="13" t="s">
        <v>242</v>
      </c>
      <c r="V174" s="18" t="s">
        <v>272</v>
      </c>
      <c r="W174" s="13" t="s">
        <v>281</v>
      </c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</row>
    <row r="175" spans="1:55" x14ac:dyDescent="0.2">
      <c r="A175" t="s">
        <v>192</v>
      </c>
      <c r="F175" t="s">
        <v>109</v>
      </c>
      <c r="O175">
        <v>-1</v>
      </c>
      <c r="P175" s="42">
        <v>46.5</v>
      </c>
      <c r="R175">
        <v>16.2</v>
      </c>
      <c r="T175" s="19">
        <v>43429</v>
      </c>
      <c r="U175" s="13" t="s">
        <v>242</v>
      </c>
      <c r="V175" s="18" t="s">
        <v>281</v>
      </c>
      <c r="W175" s="13" t="s">
        <v>272</v>
      </c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</row>
    <row r="176" spans="1:55" x14ac:dyDescent="0.2">
      <c r="A176" t="s">
        <v>192</v>
      </c>
      <c r="O176">
        <v>-7</v>
      </c>
      <c r="P176" s="42">
        <v>40</v>
      </c>
      <c r="R176">
        <v>3.9</v>
      </c>
      <c r="T176" s="19">
        <v>43429</v>
      </c>
      <c r="U176" s="13" t="s">
        <v>242</v>
      </c>
      <c r="V176" s="16" t="s">
        <v>291</v>
      </c>
      <c r="W176" s="13" t="s">
        <v>306</v>
      </c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</row>
    <row r="177" spans="1:55" x14ac:dyDescent="0.2">
      <c r="A177" t="s">
        <v>192</v>
      </c>
      <c r="B177" t="s">
        <v>48</v>
      </c>
      <c r="C177">
        <v>9.9</v>
      </c>
      <c r="O177">
        <v>3</v>
      </c>
      <c r="P177" s="42">
        <v>47.5</v>
      </c>
      <c r="R177">
        <v>2.4</v>
      </c>
      <c r="T177" s="19">
        <v>43429</v>
      </c>
      <c r="U177" s="13" t="s">
        <v>242</v>
      </c>
      <c r="V177" s="41" t="s">
        <v>278</v>
      </c>
      <c r="W177" s="13" t="s">
        <v>309</v>
      </c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</row>
    <row r="178" spans="1:55" x14ac:dyDescent="0.2">
      <c r="A178" t="s">
        <v>192</v>
      </c>
      <c r="E178" s="20" t="s">
        <v>75</v>
      </c>
      <c r="O178">
        <v>3</v>
      </c>
      <c r="P178" s="42">
        <v>43</v>
      </c>
      <c r="R178">
        <v>9</v>
      </c>
      <c r="T178" s="19">
        <v>43429</v>
      </c>
      <c r="U178" t="s">
        <v>242</v>
      </c>
      <c r="V178" s="41" t="s">
        <v>299</v>
      </c>
      <c r="W178" t="s">
        <v>265</v>
      </c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</row>
    <row r="179" spans="1:55" x14ac:dyDescent="0.2">
      <c r="A179" t="s">
        <v>192</v>
      </c>
      <c r="O179">
        <v>4</v>
      </c>
      <c r="P179" s="42">
        <v>48.5</v>
      </c>
      <c r="R179">
        <v>1.3</v>
      </c>
      <c r="T179" s="19">
        <v>43429</v>
      </c>
      <c r="U179" s="13" t="s">
        <v>242</v>
      </c>
      <c r="V179" s="41" t="s">
        <v>300</v>
      </c>
      <c r="W179" s="13" t="s">
        <v>312</v>
      </c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</row>
    <row r="180" spans="1:55" x14ac:dyDescent="0.2">
      <c r="A180" t="s">
        <v>192</v>
      </c>
      <c r="D180" t="s">
        <v>75</v>
      </c>
      <c r="O180">
        <v>-3.5</v>
      </c>
      <c r="P180" s="42">
        <v>42.5</v>
      </c>
      <c r="R180">
        <v>19.8</v>
      </c>
      <c r="T180" s="19">
        <v>43429</v>
      </c>
      <c r="U180" s="13" t="s">
        <v>242</v>
      </c>
      <c r="V180" s="41" t="s">
        <v>311</v>
      </c>
      <c r="W180" s="13" t="s">
        <v>310</v>
      </c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</row>
    <row r="181" spans="1:55" x14ac:dyDescent="0.2">
      <c r="A181" t="s">
        <v>192</v>
      </c>
      <c r="E181" s="20" t="s">
        <v>75</v>
      </c>
      <c r="F181" t="s">
        <v>110</v>
      </c>
      <c r="O181">
        <v>-9</v>
      </c>
      <c r="P181" s="42">
        <v>52.5</v>
      </c>
      <c r="R181">
        <v>7</v>
      </c>
      <c r="T181" s="19">
        <v>43429</v>
      </c>
      <c r="U181" s="13" t="s">
        <v>242</v>
      </c>
      <c r="V181" t="s">
        <v>289</v>
      </c>
      <c r="W181" s="13" t="s">
        <v>293</v>
      </c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</row>
    <row r="182" spans="1:55" x14ac:dyDescent="0.2">
      <c r="A182" t="s">
        <v>192</v>
      </c>
      <c r="F182" t="s">
        <v>110</v>
      </c>
      <c r="O182">
        <v>-3</v>
      </c>
      <c r="P182" s="42">
        <v>36.5</v>
      </c>
      <c r="R182">
        <v>17.7</v>
      </c>
      <c r="T182" s="19">
        <v>43429</v>
      </c>
      <c r="U182" s="13" t="s">
        <v>242</v>
      </c>
      <c r="V182" s="17" t="s">
        <v>297</v>
      </c>
      <c r="W182" s="13" t="s">
        <v>276</v>
      </c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</row>
    <row r="183" spans="1:55" x14ac:dyDescent="0.2">
      <c r="A183" t="s">
        <v>192</v>
      </c>
      <c r="O183">
        <v>13</v>
      </c>
      <c r="P183" s="42">
        <v>42</v>
      </c>
      <c r="R183">
        <v>8.5</v>
      </c>
      <c r="T183" s="19">
        <v>43429</v>
      </c>
      <c r="U183" s="13" t="s">
        <v>242</v>
      </c>
      <c r="V183" s="17" t="s">
        <v>303</v>
      </c>
      <c r="W183" s="13" t="s">
        <v>305</v>
      </c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</row>
    <row r="184" spans="1:55" x14ac:dyDescent="0.2">
      <c r="A184" t="s">
        <v>192</v>
      </c>
      <c r="D184" t="s">
        <v>75</v>
      </c>
      <c r="O184">
        <v>-14</v>
      </c>
      <c r="P184" s="42">
        <v>43.5</v>
      </c>
      <c r="R184">
        <v>18.5</v>
      </c>
      <c r="T184" s="19">
        <v>43429</v>
      </c>
      <c r="U184" s="13" t="s">
        <v>242</v>
      </c>
      <c r="V184" s="17" t="s">
        <v>287</v>
      </c>
      <c r="W184" s="13" t="s">
        <v>285</v>
      </c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</row>
    <row r="185" spans="1:55" x14ac:dyDescent="0.2">
      <c r="A185" t="s">
        <v>192</v>
      </c>
      <c r="D185" t="s">
        <v>75</v>
      </c>
      <c r="E185" s="20" t="s">
        <v>75</v>
      </c>
      <c r="F185" t="s">
        <v>110</v>
      </c>
      <c r="O185">
        <v>9</v>
      </c>
      <c r="P185" s="42">
        <v>52.5</v>
      </c>
      <c r="R185">
        <v>4</v>
      </c>
      <c r="T185" s="19">
        <v>43429</v>
      </c>
      <c r="U185" s="13" t="s">
        <v>242</v>
      </c>
      <c r="V185" t="s">
        <v>293</v>
      </c>
      <c r="W185" s="13" t="s">
        <v>289</v>
      </c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</row>
    <row r="186" spans="1:55" x14ac:dyDescent="0.2">
      <c r="A186" t="s">
        <v>192</v>
      </c>
      <c r="D186" t="s">
        <v>75</v>
      </c>
      <c r="O186">
        <v>-4</v>
      </c>
      <c r="P186" s="42">
        <v>48.5</v>
      </c>
      <c r="R186">
        <v>22.9</v>
      </c>
      <c r="T186" s="19">
        <v>43429</v>
      </c>
      <c r="U186" s="13" t="s">
        <v>242</v>
      </c>
      <c r="V186" s="41" t="s">
        <v>312</v>
      </c>
      <c r="W186" s="13" t="s">
        <v>300</v>
      </c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</row>
    <row r="187" spans="1:55" x14ac:dyDescent="0.2">
      <c r="A187" t="s">
        <v>192</v>
      </c>
      <c r="O187">
        <v>-13</v>
      </c>
      <c r="P187" s="42">
        <v>46.5</v>
      </c>
      <c r="R187">
        <v>18.399999999999999</v>
      </c>
      <c r="T187" s="19">
        <v>43429</v>
      </c>
      <c r="U187" s="13" t="s">
        <v>242</v>
      </c>
      <c r="V187" t="s">
        <v>302</v>
      </c>
      <c r="W187" s="13" t="s">
        <v>298</v>
      </c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</row>
    <row r="188" spans="1:55" x14ac:dyDescent="0.2">
      <c r="A188" t="s">
        <v>192</v>
      </c>
      <c r="D188" t="s">
        <v>75</v>
      </c>
      <c r="O188">
        <v>-11.5</v>
      </c>
      <c r="P188" s="42">
        <v>61</v>
      </c>
      <c r="R188">
        <v>7.5</v>
      </c>
      <c r="T188" s="19">
        <v>43429</v>
      </c>
      <c r="U188" s="13" t="s">
        <v>242</v>
      </c>
      <c r="V188" s="41" t="s">
        <v>307</v>
      </c>
      <c r="W188" s="13" t="s">
        <v>295</v>
      </c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</row>
    <row r="189" spans="1:55" x14ac:dyDescent="0.2">
      <c r="A189" t="s">
        <v>192</v>
      </c>
      <c r="E189" s="20" t="s">
        <v>75</v>
      </c>
      <c r="O189">
        <v>4.5</v>
      </c>
      <c r="P189" s="42">
        <v>49</v>
      </c>
      <c r="R189">
        <v>7.7</v>
      </c>
      <c r="T189" s="19">
        <v>43429</v>
      </c>
      <c r="U189" s="13" t="s">
        <v>242</v>
      </c>
      <c r="V189" t="s">
        <v>296</v>
      </c>
      <c r="W189" s="13" t="s">
        <v>294</v>
      </c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</row>
    <row r="190" spans="1:55" x14ac:dyDescent="0.2">
      <c r="A190" t="s">
        <v>192</v>
      </c>
      <c r="O190">
        <v>13</v>
      </c>
      <c r="P190" s="42">
        <v>46.5</v>
      </c>
      <c r="R190">
        <v>18.600000000000001</v>
      </c>
      <c r="T190" s="19">
        <v>43429</v>
      </c>
      <c r="U190" s="13" t="s">
        <v>242</v>
      </c>
      <c r="V190" t="s">
        <v>298</v>
      </c>
      <c r="W190" s="13" t="s">
        <v>302</v>
      </c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</row>
    <row r="191" spans="1:55" x14ac:dyDescent="0.2">
      <c r="A191" t="s">
        <v>192</v>
      </c>
      <c r="E191" s="20" t="s">
        <v>75</v>
      </c>
      <c r="O191">
        <v>-4.5</v>
      </c>
      <c r="P191" s="42">
        <v>49</v>
      </c>
      <c r="R191">
        <v>7</v>
      </c>
      <c r="T191" s="19">
        <v>43429</v>
      </c>
      <c r="U191" s="13" t="s">
        <v>242</v>
      </c>
      <c r="V191" t="s">
        <v>294</v>
      </c>
      <c r="W191" s="13" t="s">
        <v>296</v>
      </c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</row>
    <row r="192" spans="1:55" x14ac:dyDescent="0.2">
      <c r="A192" t="s">
        <v>192</v>
      </c>
      <c r="O192">
        <v>-3</v>
      </c>
      <c r="P192" s="42">
        <v>47.5</v>
      </c>
      <c r="R192">
        <v>40.9</v>
      </c>
      <c r="T192" s="19">
        <v>43429</v>
      </c>
      <c r="U192" s="13" t="s">
        <v>242</v>
      </c>
      <c r="V192" t="s">
        <v>309</v>
      </c>
      <c r="W192" s="13" t="s">
        <v>278</v>
      </c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</row>
    <row r="193" spans="1:55" x14ac:dyDescent="0.2">
      <c r="A193" t="s">
        <v>192</v>
      </c>
      <c r="D193" t="s">
        <v>75</v>
      </c>
      <c r="F193" t="s">
        <v>109</v>
      </c>
      <c r="O193">
        <v>1.5</v>
      </c>
      <c r="P193" s="42">
        <v>54.5</v>
      </c>
      <c r="R193">
        <v>4.7</v>
      </c>
      <c r="T193" s="19">
        <v>43429</v>
      </c>
      <c r="U193" s="13" t="s">
        <v>242</v>
      </c>
      <c r="V193" s="41" t="s">
        <v>256</v>
      </c>
      <c r="W193" s="13" t="s">
        <v>284</v>
      </c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</row>
    <row r="194" spans="1:55" x14ac:dyDescent="0.2">
      <c r="A194" t="s">
        <v>192</v>
      </c>
      <c r="F194" t="s">
        <v>110</v>
      </c>
      <c r="O194">
        <v>3</v>
      </c>
      <c r="P194" s="42">
        <v>46.5</v>
      </c>
      <c r="R194">
        <v>24.5</v>
      </c>
      <c r="T194" s="19">
        <v>43429</v>
      </c>
      <c r="U194" s="13" t="s">
        <v>242</v>
      </c>
      <c r="V194" s="41" t="s">
        <v>308</v>
      </c>
      <c r="W194" s="13" t="s">
        <v>301</v>
      </c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</row>
    <row r="195" spans="1:55" x14ac:dyDescent="0.2">
      <c r="A195" t="s">
        <v>192</v>
      </c>
      <c r="B195" t="s">
        <v>426</v>
      </c>
      <c r="C195">
        <v>9.3000000000000007</v>
      </c>
      <c r="D195" t="s">
        <v>75</v>
      </c>
      <c r="F195" t="s">
        <v>109</v>
      </c>
      <c r="O195">
        <v>-1.5</v>
      </c>
      <c r="P195" s="42">
        <v>54.5</v>
      </c>
      <c r="R195">
        <v>4.9000000000000004</v>
      </c>
      <c r="T195" s="19">
        <v>43429</v>
      </c>
      <c r="U195" s="13" t="s">
        <v>242</v>
      </c>
      <c r="V195" t="s">
        <v>284</v>
      </c>
      <c r="W195" s="13" t="s">
        <v>256</v>
      </c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</row>
    <row r="196" spans="1:55" x14ac:dyDescent="0.2">
      <c r="A196" t="s">
        <v>192</v>
      </c>
      <c r="O196">
        <v>3.5</v>
      </c>
      <c r="P196" s="42">
        <v>42.5</v>
      </c>
      <c r="R196">
        <v>0</v>
      </c>
      <c r="T196" s="19">
        <v>43429</v>
      </c>
      <c r="U196" s="13" t="s">
        <v>242</v>
      </c>
      <c r="V196" t="s">
        <v>310</v>
      </c>
      <c r="W196" s="13" t="s">
        <v>311</v>
      </c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</row>
    <row r="197" spans="1:55" x14ac:dyDescent="0.2">
      <c r="A197" t="s">
        <v>192</v>
      </c>
      <c r="O197">
        <v>7</v>
      </c>
      <c r="P197" s="42">
        <v>40</v>
      </c>
      <c r="R197">
        <v>13.6</v>
      </c>
      <c r="T197" s="19">
        <v>43429</v>
      </c>
      <c r="U197" s="13" t="s">
        <v>242</v>
      </c>
      <c r="V197" s="41" t="s">
        <v>306</v>
      </c>
      <c r="W197" s="13" t="s">
        <v>291</v>
      </c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</row>
    <row r="198" spans="1:55" x14ac:dyDescent="0.2">
      <c r="A198" t="s">
        <v>192</v>
      </c>
      <c r="D198" t="s">
        <v>75</v>
      </c>
      <c r="O198">
        <v>13.5</v>
      </c>
      <c r="P198" s="42">
        <v>41</v>
      </c>
      <c r="R198">
        <v>10.7</v>
      </c>
      <c r="T198" s="19">
        <v>43436</v>
      </c>
      <c r="U198" s="13" t="s">
        <v>241</v>
      </c>
      <c r="V198" s="41" t="s">
        <v>285</v>
      </c>
      <c r="W198" s="13" t="s">
        <v>300</v>
      </c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</row>
    <row r="199" spans="1:55" x14ac:dyDescent="0.2">
      <c r="A199" t="s">
        <v>192</v>
      </c>
      <c r="O199">
        <v>-2.5</v>
      </c>
      <c r="P199" s="42">
        <v>46.5</v>
      </c>
      <c r="R199">
        <v>5.2</v>
      </c>
      <c r="T199" s="19">
        <v>43436</v>
      </c>
      <c r="U199" s="13" t="s">
        <v>241</v>
      </c>
      <c r="V199" t="s">
        <v>295</v>
      </c>
      <c r="W199" s="13" t="s">
        <v>305</v>
      </c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</row>
    <row r="200" spans="1:55" x14ac:dyDescent="0.2">
      <c r="A200" t="s">
        <v>192</v>
      </c>
      <c r="D200" t="s">
        <v>75</v>
      </c>
      <c r="O200">
        <v>2.5</v>
      </c>
      <c r="P200" s="42">
        <v>46.5</v>
      </c>
      <c r="R200">
        <v>1.8</v>
      </c>
      <c r="T200" s="19">
        <v>43436</v>
      </c>
      <c r="U200" s="13" t="s">
        <v>241</v>
      </c>
      <c r="V200" t="s">
        <v>305</v>
      </c>
      <c r="W200" s="13" t="s">
        <v>295</v>
      </c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</row>
    <row r="201" spans="1:55" x14ac:dyDescent="0.2">
      <c r="A201" t="s">
        <v>192</v>
      </c>
      <c r="F201" t="s">
        <v>110</v>
      </c>
      <c r="O201">
        <v>3.5</v>
      </c>
      <c r="P201" s="42">
        <v>40</v>
      </c>
      <c r="R201">
        <v>7.6</v>
      </c>
      <c r="T201" s="19">
        <v>43436</v>
      </c>
      <c r="U201" s="13" t="s">
        <v>241</v>
      </c>
      <c r="V201" s="41" t="s">
        <v>276</v>
      </c>
      <c r="W201" s="13" t="s">
        <v>293</v>
      </c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</row>
    <row r="202" spans="1:55" x14ac:dyDescent="0.2">
      <c r="A202" t="s">
        <v>192</v>
      </c>
      <c r="D202" t="s">
        <v>75</v>
      </c>
      <c r="F202" t="s">
        <v>109</v>
      </c>
      <c r="O202">
        <v>-3.5</v>
      </c>
      <c r="P202" s="42">
        <v>52</v>
      </c>
      <c r="R202">
        <v>15.6</v>
      </c>
      <c r="T202" s="19">
        <v>43436</v>
      </c>
      <c r="U202" s="13" t="s">
        <v>241</v>
      </c>
      <c r="V202" s="41" t="s">
        <v>301</v>
      </c>
      <c r="W202" s="13" t="s">
        <v>284</v>
      </c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</row>
    <row r="203" spans="1:55" x14ac:dyDescent="0.2">
      <c r="A203" t="s">
        <v>192</v>
      </c>
      <c r="E203" s="20" t="s">
        <v>75</v>
      </c>
      <c r="O203">
        <v>-3</v>
      </c>
      <c r="P203" s="42">
        <v>43.5</v>
      </c>
      <c r="R203">
        <v>7.1</v>
      </c>
      <c r="T203" s="19">
        <v>43436</v>
      </c>
      <c r="U203" s="13" t="s">
        <v>241</v>
      </c>
      <c r="V203" s="41" t="s">
        <v>265</v>
      </c>
      <c r="W203" s="13" t="s">
        <v>296</v>
      </c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</row>
    <row r="204" spans="1:55" x14ac:dyDescent="0.2">
      <c r="A204" t="s">
        <v>192</v>
      </c>
      <c r="F204" t="s">
        <v>109</v>
      </c>
      <c r="O204">
        <v>3.5</v>
      </c>
      <c r="P204" s="42">
        <v>45</v>
      </c>
      <c r="R204">
        <v>15.7</v>
      </c>
      <c r="T204" s="19">
        <v>43436</v>
      </c>
      <c r="U204" s="13" t="s">
        <v>241</v>
      </c>
      <c r="V204" s="41" t="s">
        <v>272</v>
      </c>
      <c r="W204" s="13" t="s">
        <v>278</v>
      </c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</row>
    <row r="205" spans="1:55" x14ac:dyDescent="0.2">
      <c r="A205" t="s">
        <v>192</v>
      </c>
      <c r="F205" t="s">
        <v>110</v>
      </c>
      <c r="O205">
        <v>5</v>
      </c>
      <c r="P205" s="42">
        <v>47.5</v>
      </c>
      <c r="R205">
        <v>10.4</v>
      </c>
      <c r="T205" s="19">
        <v>43436</v>
      </c>
      <c r="U205" s="13" t="s">
        <v>241</v>
      </c>
      <c r="V205" s="41" t="s">
        <v>281</v>
      </c>
      <c r="W205" s="13" t="s">
        <v>311</v>
      </c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</row>
    <row r="206" spans="1:55" x14ac:dyDescent="0.2">
      <c r="A206" t="s">
        <v>192</v>
      </c>
      <c r="F206" t="s">
        <v>110</v>
      </c>
      <c r="O206">
        <v>7</v>
      </c>
      <c r="P206" s="42">
        <v>51.5</v>
      </c>
      <c r="R206">
        <v>12.6</v>
      </c>
      <c r="T206" s="19">
        <v>43436</v>
      </c>
      <c r="U206" s="13" t="s">
        <v>241</v>
      </c>
      <c r="V206" s="17" t="s">
        <v>291</v>
      </c>
      <c r="W206" s="13" t="s">
        <v>307</v>
      </c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</row>
    <row r="207" spans="1:55" x14ac:dyDescent="0.2">
      <c r="A207" t="s">
        <v>192</v>
      </c>
      <c r="B207" t="s">
        <v>48</v>
      </c>
      <c r="C207">
        <v>7</v>
      </c>
      <c r="F207" t="s">
        <v>109</v>
      </c>
      <c r="O207">
        <v>-3.5</v>
      </c>
      <c r="P207" s="42">
        <v>45</v>
      </c>
      <c r="R207">
        <v>18.5</v>
      </c>
      <c r="T207" s="19">
        <v>43436</v>
      </c>
      <c r="U207" s="13" t="s">
        <v>241</v>
      </c>
      <c r="V207" s="41" t="s">
        <v>278</v>
      </c>
      <c r="W207" s="13" t="s">
        <v>272</v>
      </c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</row>
    <row r="208" spans="1:55" x14ac:dyDescent="0.2">
      <c r="A208" t="s">
        <v>192</v>
      </c>
      <c r="D208" t="s">
        <v>75</v>
      </c>
      <c r="O208">
        <v>10.5</v>
      </c>
      <c r="P208" s="42">
        <v>54</v>
      </c>
      <c r="R208">
        <v>10.5</v>
      </c>
      <c r="T208" s="19">
        <v>43436</v>
      </c>
      <c r="U208" t="s">
        <v>241</v>
      </c>
      <c r="V208" t="s">
        <v>299</v>
      </c>
      <c r="W208" t="s">
        <v>304</v>
      </c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</row>
    <row r="209" spans="1:55" x14ac:dyDescent="0.2">
      <c r="A209" t="s">
        <v>192</v>
      </c>
      <c r="D209" t="s">
        <v>75</v>
      </c>
      <c r="O209">
        <v>-13.5</v>
      </c>
      <c r="P209" s="42">
        <v>41</v>
      </c>
      <c r="R209">
        <v>6.8</v>
      </c>
      <c r="T209" s="19">
        <v>43436</v>
      </c>
      <c r="U209" s="13" t="s">
        <v>241</v>
      </c>
      <c r="V209" s="41" t="s">
        <v>300</v>
      </c>
      <c r="W209" s="13" t="s">
        <v>285</v>
      </c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</row>
    <row r="210" spans="1:55" x14ac:dyDescent="0.2">
      <c r="A210" t="s">
        <v>192</v>
      </c>
      <c r="F210" t="s">
        <v>110</v>
      </c>
      <c r="O210">
        <v>-5</v>
      </c>
      <c r="P210" s="42">
        <v>47.5</v>
      </c>
      <c r="R210">
        <v>6.2</v>
      </c>
      <c r="T210" s="19">
        <v>43436</v>
      </c>
      <c r="U210" s="13" t="s">
        <v>241</v>
      </c>
      <c r="V210" s="41" t="s">
        <v>311</v>
      </c>
      <c r="W210" s="13" t="s">
        <v>281</v>
      </c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</row>
    <row r="211" spans="1:55" x14ac:dyDescent="0.2">
      <c r="A211" t="s">
        <v>192</v>
      </c>
      <c r="F211" t="s">
        <v>110</v>
      </c>
      <c r="O211">
        <v>-4</v>
      </c>
      <c r="P211" s="42">
        <v>45.5</v>
      </c>
      <c r="R211">
        <v>3.4</v>
      </c>
      <c r="T211" s="19">
        <v>43436</v>
      </c>
      <c r="U211" s="13" t="s">
        <v>241</v>
      </c>
      <c r="V211" t="s">
        <v>289</v>
      </c>
      <c r="W211" s="13" t="s">
        <v>297</v>
      </c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</row>
    <row r="212" spans="1:55" x14ac:dyDescent="0.2">
      <c r="A212" t="s">
        <v>192</v>
      </c>
      <c r="D212" t="s">
        <v>75</v>
      </c>
      <c r="F212" t="s">
        <v>110</v>
      </c>
      <c r="O212">
        <v>4</v>
      </c>
      <c r="P212" s="42">
        <v>45.5</v>
      </c>
      <c r="R212">
        <v>5.4</v>
      </c>
      <c r="T212" s="19">
        <v>43436</v>
      </c>
      <c r="U212" s="13" t="s">
        <v>241</v>
      </c>
      <c r="V212" s="17" t="s">
        <v>297</v>
      </c>
      <c r="W212" s="13" t="s">
        <v>289</v>
      </c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</row>
    <row r="213" spans="1:55" x14ac:dyDescent="0.2">
      <c r="A213" t="s">
        <v>192</v>
      </c>
      <c r="O213">
        <v>-14</v>
      </c>
      <c r="P213" s="42">
        <v>53.5</v>
      </c>
      <c r="R213">
        <v>11.5</v>
      </c>
      <c r="T213" s="19">
        <v>43436</v>
      </c>
      <c r="U213" s="13" t="s">
        <v>241</v>
      </c>
      <c r="V213" s="41" t="s">
        <v>288</v>
      </c>
      <c r="W213" s="13" t="s">
        <v>303</v>
      </c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</row>
    <row r="214" spans="1:55" x14ac:dyDescent="0.2">
      <c r="A214" t="s">
        <v>192</v>
      </c>
      <c r="O214">
        <v>14</v>
      </c>
      <c r="P214" s="42">
        <v>53.5</v>
      </c>
      <c r="R214">
        <v>5.5</v>
      </c>
      <c r="T214" s="19">
        <v>43436</v>
      </c>
      <c r="U214" s="13" t="s">
        <v>241</v>
      </c>
      <c r="V214" s="17" t="s">
        <v>303</v>
      </c>
      <c r="W214" s="13" t="s">
        <v>288</v>
      </c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</row>
    <row r="215" spans="1:55" x14ac:dyDescent="0.2">
      <c r="A215" t="s">
        <v>192</v>
      </c>
      <c r="O215">
        <v>3.5</v>
      </c>
      <c r="P215" s="42">
        <v>53.5</v>
      </c>
      <c r="R215">
        <v>8.1999999999999993</v>
      </c>
      <c r="T215" s="19">
        <v>43436</v>
      </c>
      <c r="U215" s="13" t="s">
        <v>241</v>
      </c>
      <c r="V215" s="17" t="s">
        <v>287</v>
      </c>
      <c r="W215" s="13" t="s">
        <v>309</v>
      </c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</row>
    <row r="216" spans="1:55" x14ac:dyDescent="0.2">
      <c r="A216" t="s">
        <v>192</v>
      </c>
      <c r="D216" t="s">
        <v>75</v>
      </c>
      <c r="O216">
        <v>-10.5</v>
      </c>
      <c r="P216" s="42">
        <v>54</v>
      </c>
      <c r="R216">
        <v>18.8</v>
      </c>
      <c r="T216" s="19">
        <v>43436</v>
      </c>
      <c r="U216" s="13" t="s">
        <v>241</v>
      </c>
      <c r="V216" t="s">
        <v>304</v>
      </c>
      <c r="W216" s="13" t="s">
        <v>299</v>
      </c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</row>
    <row r="217" spans="1:55" x14ac:dyDescent="0.2">
      <c r="A217" t="s">
        <v>192</v>
      </c>
      <c r="B217" t="s">
        <v>24</v>
      </c>
      <c r="C217">
        <v>7.9</v>
      </c>
      <c r="F217" t="s">
        <v>110</v>
      </c>
      <c r="I217" t="s">
        <v>75</v>
      </c>
      <c r="O217">
        <v>-3.5</v>
      </c>
      <c r="P217" s="42">
        <v>40</v>
      </c>
      <c r="R217">
        <v>14.3</v>
      </c>
      <c r="T217" s="19">
        <v>43436</v>
      </c>
      <c r="U217" s="13" t="s">
        <v>241</v>
      </c>
      <c r="V217" t="s">
        <v>293</v>
      </c>
      <c r="W217" s="13" t="s">
        <v>276</v>
      </c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</row>
    <row r="218" spans="1:55" x14ac:dyDescent="0.2">
      <c r="A218" t="s">
        <v>192</v>
      </c>
      <c r="F218" t="s">
        <v>109</v>
      </c>
      <c r="O218">
        <v>6</v>
      </c>
      <c r="P218" s="42">
        <v>50</v>
      </c>
      <c r="R218">
        <v>9.9</v>
      </c>
      <c r="T218" s="19">
        <v>43436</v>
      </c>
      <c r="U218" s="13" t="s">
        <v>241</v>
      </c>
      <c r="V218" s="41" t="s">
        <v>312</v>
      </c>
      <c r="W218" s="13" t="s">
        <v>302</v>
      </c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</row>
    <row r="219" spans="1:55" x14ac:dyDescent="0.2">
      <c r="A219" t="s">
        <v>192</v>
      </c>
      <c r="B219" t="s">
        <v>428</v>
      </c>
      <c r="C219">
        <v>12.5</v>
      </c>
      <c r="F219" t="s">
        <v>109</v>
      </c>
      <c r="O219">
        <v>-6</v>
      </c>
      <c r="P219" s="42">
        <v>50</v>
      </c>
      <c r="R219">
        <v>9</v>
      </c>
      <c r="T219" s="19">
        <v>43436</v>
      </c>
      <c r="U219" s="13" t="s">
        <v>241</v>
      </c>
      <c r="V219" t="s">
        <v>302</v>
      </c>
      <c r="W219" s="13" t="s">
        <v>312</v>
      </c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</row>
    <row r="220" spans="1:55" x14ac:dyDescent="0.2">
      <c r="A220" t="s">
        <v>192</v>
      </c>
      <c r="F220" t="s">
        <v>110</v>
      </c>
      <c r="O220">
        <v>-7</v>
      </c>
      <c r="P220" s="42">
        <v>51.5</v>
      </c>
      <c r="R220">
        <v>0</v>
      </c>
      <c r="T220" s="19">
        <v>43436</v>
      </c>
      <c r="U220" s="13" t="s">
        <v>241</v>
      </c>
      <c r="V220" s="41" t="s">
        <v>307</v>
      </c>
      <c r="W220" s="13" t="s">
        <v>291</v>
      </c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</row>
    <row r="221" spans="1:55" x14ac:dyDescent="0.2">
      <c r="A221" t="s">
        <v>192</v>
      </c>
      <c r="E221" s="20" t="s">
        <v>75</v>
      </c>
      <c r="O221">
        <v>3</v>
      </c>
      <c r="P221" s="42">
        <v>43.5</v>
      </c>
      <c r="R221">
        <v>6.8</v>
      </c>
      <c r="T221" s="19">
        <v>43436</v>
      </c>
      <c r="U221" s="13" t="s">
        <v>241</v>
      </c>
      <c r="V221" t="s">
        <v>296</v>
      </c>
      <c r="W221" s="13" t="s">
        <v>265</v>
      </c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</row>
    <row r="222" spans="1:55" x14ac:dyDescent="0.2">
      <c r="A222" t="s">
        <v>192</v>
      </c>
      <c r="D222" t="s">
        <v>75</v>
      </c>
      <c r="O222">
        <v>10.5</v>
      </c>
      <c r="P222" s="42">
        <v>40.5</v>
      </c>
      <c r="R222">
        <v>2.9</v>
      </c>
      <c r="T222" s="19">
        <v>43436</v>
      </c>
      <c r="U222" s="13" t="s">
        <v>241</v>
      </c>
      <c r="V222" s="41" t="s">
        <v>298</v>
      </c>
      <c r="W222" s="13" t="s">
        <v>310</v>
      </c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</row>
    <row r="223" spans="1:55" x14ac:dyDescent="0.2">
      <c r="A223" t="s">
        <v>192</v>
      </c>
      <c r="O223">
        <v>-5.5</v>
      </c>
      <c r="P223" s="42">
        <v>45.5</v>
      </c>
      <c r="R223">
        <v>23.5</v>
      </c>
      <c r="T223" s="19">
        <v>43436</v>
      </c>
      <c r="U223" s="13" t="s">
        <v>241</v>
      </c>
      <c r="V223" s="41" t="s">
        <v>294</v>
      </c>
      <c r="W223" s="13" t="s">
        <v>306</v>
      </c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</row>
    <row r="224" spans="1:55" x14ac:dyDescent="0.2">
      <c r="A224" t="s">
        <v>192</v>
      </c>
      <c r="O224">
        <v>-3.5</v>
      </c>
      <c r="P224" s="42">
        <v>53.5</v>
      </c>
      <c r="R224">
        <v>10.9</v>
      </c>
      <c r="T224" s="19">
        <v>43436</v>
      </c>
      <c r="U224" s="13" t="s">
        <v>241</v>
      </c>
      <c r="V224" s="41" t="s">
        <v>309</v>
      </c>
      <c r="W224" s="13" t="s">
        <v>287</v>
      </c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</row>
    <row r="225" spans="1:55" x14ac:dyDescent="0.2">
      <c r="A225" t="s">
        <v>192</v>
      </c>
      <c r="D225" t="s">
        <v>75</v>
      </c>
      <c r="O225">
        <v>10</v>
      </c>
      <c r="P225" s="42">
        <v>45.5</v>
      </c>
      <c r="R225">
        <v>10</v>
      </c>
      <c r="T225" s="19">
        <v>43436</v>
      </c>
      <c r="U225" s="13" t="s">
        <v>241</v>
      </c>
      <c r="V225" s="41" t="s">
        <v>256</v>
      </c>
      <c r="W225" s="13" t="s">
        <v>308</v>
      </c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</row>
    <row r="226" spans="1:55" x14ac:dyDescent="0.2">
      <c r="A226" t="s">
        <v>192</v>
      </c>
      <c r="D226" t="s">
        <v>75</v>
      </c>
      <c r="O226">
        <v>-10</v>
      </c>
      <c r="P226" s="42">
        <v>45.5</v>
      </c>
      <c r="R226">
        <v>13.2</v>
      </c>
      <c r="T226" s="19">
        <v>43436</v>
      </c>
      <c r="U226" s="13" t="s">
        <v>241</v>
      </c>
      <c r="V226" s="41" t="s">
        <v>308</v>
      </c>
      <c r="W226" s="13" t="s">
        <v>256</v>
      </c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</row>
    <row r="227" spans="1:55" x14ac:dyDescent="0.2">
      <c r="A227" t="s">
        <v>192</v>
      </c>
      <c r="F227" t="s">
        <v>109</v>
      </c>
      <c r="O227">
        <v>3.5</v>
      </c>
      <c r="P227" s="42">
        <v>52</v>
      </c>
      <c r="R227">
        <v>24.1</v>
      </c>
      <c r="T227" s="19">
        <v>43436</v>
      </c>
      <c r="U227" s="13" t="s">
        <v>241</v>
      </c>
      <c r="V227" s="41" t="s">
        <v>284</v>
      </c>
      <c r="W227" s="13" t="s">
        <v>301</v>
      </c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</row>
    <row r="228" spans="1:55" x14ac:dyDescent="0.2">
      <c r="A228" t="s">
        <v>192</v>
      </c>
      <c r="O228">
        <v>-10.5</v>
      </c>
      <c r="P228" s="42">
        <v>40.5</v>
      </c>
      <c r="R228">
        <v>16.399999999999999</v>
      </c>
      <c r="T228" s="19">
        <v>43436</v>
      </c>
      <c r="U228" s="13" t="s">
        <v>241</v>
      </c>
      <c r="V228" s="41" t="s">
        <v>310</v>
      </c>
      <c r="W228" s="13" t="s">
        <v>298</v>
      </c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</row>
    <row r="229" spans="1:55" x14ac:dyDescent="0.2">
      <c r="A229" t="s">
        <v>192</v>
      </c>
      <c r="O229">
        <v>5.5</v>
      </c>
      <c r="P229" s="42">
        <v>45.5</v>
      </c>
      <c r="R229">
        <v>7.1</v>
      </c>
      <c r="T229" s="19">
        <v>43436</v>
      </c>
      <c r="U229" s="13" t="s">
        <v>241</v>
      </c>
      <c r="V229" s="41" t="s">
        <v>306</v>
      </c>
      <c r="W229" s="13" t="s">
        <v>294</v>
      </c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</row>
    <row r="230" spans="1:55" x14ac:dyDescent="0.2">
      <c r="A230" t="s">
        <v>192</v>
      </c>
      <c r="B230" t="s">
        <v>432</v>
      </c>
      <c r="C230">
        <v>11.3</v>
      </c>
      <c r="D230" t="s">
        <v>75</v>
      </c>
      <c r="F230" t="s">
        <v>110</v>
      </c>
      <c r="O230">
        <v>2.5</v>
      </c>
      <c r="P230" s="42">
        <v>40</v>
      </c>
      <c r="R230">
        <v>9</v>
      </c>
      <c r="T230" s="19">
        <v>43443</v>
      </c>
      <c r="U230" t="s">
        <v>239</v>
      </c>
      <c r="V230" s="41" t="s">
        <v>285</v>
      </c>
      <c r="W230" t="s">
        <v>299</v>
      </c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</row>
    <row r="231" spans="1:55" x14ac:dyDescent="0.2">
      <c r="A231" t="s">
        <v>192</v>
      </c>
      <c r="D231" t="s">
        <v>75</v>
      </c>
      <c r="O231">
        <v>4</v>
      </c>
      <c r="P231" s="42">
        <v>51</v>
      </c>
      <c r="R231">
        <v>2</v>
      </c>
      <c r="T231" s="19">
        <v>43443</v>
      </c>
      <c r="U231" t="s">
        <v>239</v>
      </c>
      <c r="V231" s="41" t="s">
        <v>295</v>
      </c>
      <c r="W231" t="s">
        <v>300</v>
      </c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</row>
    <row r="232" spans="1:55" x14ac:dyDescent="0.2">
      <c r="A232" t="s">
        <v>192</v>
      </c>
      <c r="F232" t="s">
        <v>109</v>
      </c>
      <c r="O232">
        <v>6.5</v>
      </c>
      <c r="P232" s="42">
        <v>48.5</v>
      </c>
      <c r="R232">
        <v>10.3</v>
      </c>
      <c r="T232" s="19">
        <v>43443</v>
      </c>
      <c r="U232" t="s">
        <v>239</v>
      </c>
      <c r="V232" s="41" t="s">
        <v>305</v>
      </c>
      <c r="W232" t="s">
        <v>288</v>
      </c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</row>
    <row r="233" spans="1:55" x14ac:dyDescent="0.2">
      <c r="A233" t="s">
        <v>192</v>
      </c>
      <c r="O233">
        <v>-4.5</v>
      </c>
      <c r="P233" s="42">
        <v>37</v>
      </c>
      <c r="R233">
        <v>20.399999999999999</v>
      </c>
      <c r="T233" s="19">
        <v>43443</v>
      </c>
      <c r="U233" t="s">
        <v>239</v>
      </c>
      <c r="V233" s="41" t="s">
        <v>276</v>
      </c>
      <c r="W233" t="s">
        <v>298</v>
      </c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</row>
    <row r="234" spans="1:55" x14ac:dyDescent="0.2">
      <c r="A234" t="s">
        <v>192</v>
      </c>
      <c r="O234">
        <v>-1</v>
      </c>
      <c r="P234" s="42">
        <v>48</v>
      </c>
      <c r="R234">
        <v>12</v>
      </c>
      <c r="T234" s="19">
        <v>43443</v>
      </c>
      <c r="U234" t="s">
        <v>239</v>
      </c>
      <c r="V234" s="41" t="s">
        <v>301</v>
      </c>
      <c r="W234" t="s">
        <v>281</v>
      </c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</row>
    <row r="235" spans="1:55" x14ac:dyDescent="0.2">
      <c r="A235" t="s">
        <v>192</v>
      </c>
      <c r="D235" t="s">
        <v>75</v>
      </c>
      <c r="O235">
        <v>3</v>
      </c>
      <c r="P235" s="42">
        <v>50.5</v>
      </c>
      <c r="R235">
        <v>5.2</v>
      </c>
      <c r="T235" s="19">
        <v>43443</v>
      </c>
      <c r="U235" t="s">
        <v>239</v>
      </c>
      <c r="V235" s="41" t="s">
        <v>265</v>
      </c>
      <c r="W235" t="s">
        <v>304</v>
      </c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</row>
    <row r="236" spans="1:55" x14ac:dyDescent="0.2">
      <c r="A236" t="s">
        <v>192</v>
      </c>
      <c r="F236" t="s">
        <v>109</v>
      </c>
      <c r="O236">
        <v>17</v>
      </c>
      <c r="P236" s="42">
        <v>48.5</v>
      </c>
      <c r="R236">
        <v>9.1</v>
      </c>
      <c r="T236" s="19">
        <v>43443</v>
      </c>
      <c r="U236" t="s">
        <v>239</v>
      </c>
      <c r="V236" s="41" t="s">
        <v>272</v>
      </c>
      <c r="W236" t="s">
        <v>287</v>
      </c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</row>
    <row r="237" spans="1:55" x14ac:dyDescent="0.2">
      <c r="A237" t="s">
        <v>192</v>
      </c>
      <c r="O237">
        <v>1</v>
      </c>
      <c r="P237" s="42">
        <v>48</v>
      </c>
      <c r="R237">
        <v>2.9</v>
      </c>
      <c r="T237" s="19">
        <v>43443</v>
      </c>
      <c r="U237" t="s">
        <v>239</v>
      </c>
      <c r="V237" s="41" t="s">
        <v>281</v>
      </c>
      <c r="W237" t="s">
        <v>301</v>
      </c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</row>
    <row r="238" spans="1:55" x14ac:dyDescent="0.2">
      <c r="A238" t="s">
        <v>192</v>
      </c>
      <c r="O238">
        <v>-3</v>
      </c>
      <c r="P238" s="42">
        <v>45</v>
      </c>
      <c r="R238">
        <v>6.4</v>
      </c>
      <c r="T238" s="19">
        <v>43443</v>
      </c>
      <c r="U238" t="s">
        <v>239</v>
      </c>
      <c r="V238" s="17" t="s">
        <v>291</v>
      </c>
      <c r="W238" t="s">
        <v>294</v>
      </c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</row>
    <row r="239" spans="1:55" x14ac:dyDescent="0.2">
      <c r="A239" t="s">
        <v>192</v>
      </c>
      <c r="D239" t="s">
        <v>75</v>
      </c>
      <c r="F239" t="s">
        <v>109</v>
      </c>
      <c r="O239">
        <v>-3</v>
      </c>
      <c r="P239" s="42">
        <v>45.5</v>
      </c>
      <c r="R239">
        <v>17.7</v>
      </c>
      <c r="T239" s="19">
        <v>43443</v>
      </c>
      <c r="U239" t="s">
        <v>239</v>
      </c>
      <c r="V239" s="41" t="s">
        <v>278</v>
      </c>
      <c r="W239" t="s">
        <v>256</v>
      </c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</row>
    <row r="240" spans="1:55" x14ac:dyDescent="0.2">
      <c r="A240" t="s">
        <v>192</v>
      </c>
      <c r="D240" t="s">
        <v>75</v>
      </c>
      <c r="F240" t="s">
        <v>110</v>
      </c>
      <c r="O240">
        <v>-2.5</v>
      </c>
      <c r="P240" s="42">
        <v>40</v>
      </c>
      <c r="R240">
        <v>5.7</v>
      </c>
      <c r="T240" s="19">
        <v>43443</v>
      </c>
      <c r="U240" t="s">
        <v>239</v>
      </c>
      <c r="V240" s="41" t="s">
        <v>299</v>
      </c>
      <c r="W240" t="s">
        <v>285</v>
      </c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</row>
    <row r="241" spans="1:55" x14ac:dyDescent="0.2">
      <c r="A241" t="s">
        <v>192</v>
      </c>
      <c r="D241" t="s">
        <v>75</v>
      </c>
      <c r="O241">
        <v>-4</v>
      </c>
      <c r="P241" s="42">
        <v>51</v>
      </c>
      <c r="R241">
        <v>15.3</v>
      </c>
      <c r="T241" s="19">
        <v>43443</v>
      </c>
      <c r="U241" t="s">
        <v>239</v>
      </c>
      <c r="V241" s="41" t="s">
        <v>300</v>
      </c>
      <c r="W241" t="s">
        <v>295</v>
      </c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</row>
    <row r="242" spans="1:55" x14ac:dyDescent="0.2">
      <c r="A242" t="s">
        <v>192</v>
      </c>
      <c r="D242" t="s">
        <v>75</v>
      </c>
      <c r="F242" t="s">
        <v>110</v>
      </c>
      <c r="O242">
        <v>-4</v>
      </c>
      <c r="P242" s="42">
        <v>49.5</v>
      </c>
      <c r="R242">
        <v>8.8000000000000007</v>
      </c>
      <c r="T242" s="19">
        <v>43443</v>
      </c>
      <c r="U242" t="s">
        <v>239</v>
      </c>
      <c r="V242" t="s">
        <v>311</v>
      </c>
      <c r="W242" t="s">
        <v>289</v>
      </c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</row>
    <row r="243" spans="1:55" x14ac:dyDescent="0.2">
      <c r="A243" t="s">
        <v>192</v>
      </c>
      <c r="F243" t="s">
        <v>110</v>
      </c>
      <c r="O243">
        <v>4</v>
      </c>
      <c r="P243" s="42">
        <v>49.5</v>
      </c>
      <c r="R243">
        <v>8.6</v>
      </c>
      <c r="T243" s="19">
        <v>43443</v>
      </c>
      <c r="U243" t="s">
        <v>239</v>
      </c>
      <c r="V243" t="s">
        <v>289</v>
      </c>
      <c r="W243" t="s">
        <v>311</v>
      </c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</row>
    <row r="244" spans="1:55" x14ac:dyDescent="0.2">
      <c r="A244" t="s">
        <v>192</v>
      </c>
      <c r="B244" t="s">
        <v>39</v>
      </c>
      <c r="C244">
        <v>9.9</v>
      </c>
      <c r="D244" t="s">
        <v>75</v>
      </c>
      <c r="O244">
        <v>5.5</v>
      </c>
      <c r="P244" s="42">
        <v>36.5</v>
      </c>
      <c r="R244">
        <v>21.8</v>
      </c>
      <c r="T244" s="19">
        <v>43443</v>
      </c>
      <c r="U244" t="s">
        <v>239</v>
      </c>
      <c r="V244" s="17" t="s">
        <v>297</v>
      </c>
      <c r="W244" t="s">
        <v>310</v>
      </c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</row>
    <row r="245" spans="1:55" x14ac:dyDescent="0.2">
      <c r="A245" t="s">
        <v>192</v>
      </c>
      <c r="F245" t="s">
        <v>109</v>
      </c>
      <c r="O245">
        <v>-6.5</v>
      </c>
      <c r="P245" s="42">
        <v>48.5</v>
      </c>
      <c r="R245">
        <v>3.3</v>
      </c>
      <c r="T245" s="19">
        <v>43443</v>
      </c>
      <c r="U245" t="s">
        <v>239</v>
      </c>
      <c r="V245" s="41" t="s">
        <v>288</v>
      </c>
      <c r="W245" t="s">
        <v>305</v>
      </c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</row>
    <row r="246" spans="1:55" x14ac:dyDescent="0.2">
      <c r="A246" t="s">
        <v>192</v>
      </c>
      <c r="O246">
        <v>10.5</v>
      </c>
      <c r="P246" s="42">
        <v>51</v>
      </c>
      <c r="R246">
        <v>12.6</v>
      </c>
      <c r="T246" s="19">
        <v>43443</v>
      </c>
      <c r="U246" t="s">
        <v>239</v>
      </c>
      <c r="V246" s="17" t="s">
        <v>303</v>
      </c>
      <c r="W246" t="s">
        <v>309</v>
      </c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</row>
    <row r="247" spans="1:55" x14ac:dyDescent="0.2">
      <c r="A247" t="s">
        <v>192</v>
      </c>
      <c r="F247" t="s">
        <v>109</v>
      </c>
      <c r="O247">
        <v>-17</v>
      </c>
      <c r="P247" s="42">
        <v>48.5</v>
      </c>
      <c r="R247">
        <v>7.5</v>
      </c>
      <c r="T247" s="19">
        <v>43443</v>
      </c>
      <c r="U247" t="s">
        <v>239</v>
      </c>
      <c r="V247" s="17" t="s">
        <v>287</v>
      </c>
      <c r="W247" t="s">
        <v>272</v>
      </c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</row>
    <row r="248" spans="1:55" x14ac:dyDescent="0.2">
      <c r="A248" t="s">
        <v>192</v>
      </c>
      <c r="O248">
        <v>-3</v>
      </c>
      <c r="P248" s="42">
        <v>50.5</v>
      </c>
      <c r="R248">
        <v>13.1</v>
      </c>
      <c r="T248" s="19">
        <v>43443</v>
      </c>
      <c r="U248" t="s">
        <v>239</v>
      </c>
      <c r="V248" t="s">
        <v>304</v>
      </c>
      <c r="W248" t="s">
        <v>265</v>
      </c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</row>
    <row r="249" spans="1:55" x14ac:dyDescent="0.2">
      <c r="A249" t="s">
        <v>192</v>
      </c>
      <c r="E249" s="20" t="s">
        <v>75</v>
      </c>
      <c r="O249">
        <v>8.5</v>
      </c>
      <c r="P249" s="42">
        <v>49.5</v>
      </c>
      <c r="R249">
        <v>2.8</v>
      </c>
      <c r="T249" s="19">
        <v>43443</v>
      </c>
      <c r="U249" t="s">
        <v>239</v>
      </c>
      <c r="V249" t="s">
        <v>293</v>
      </c>
      <c r="W249" t="s">
        <v>302</v>
      </c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</row>
    <row r="250" spans="1:55" x14ac:dyDescent="0.2">
      <c r="A250" t="s">
        <v>192</v>
      </c>
      <c r="D250" t="s">
        <v>75</v>
      </c>
      <c r="O250">
        <v>3</v>
      </c>
      <c r="P250" s="42">
        <v>45.5</v>
      </c>
      <c r="R250">
        <v>12.1</v>
      </c>
      <c r="T250" s="19">
        <v>43443</v>
      </c>
      <c r="U250" t="s">
        <v>239</v>
      </c>
      <c r="V250" t="s">
        <v>312</v>
      </c>
      <c r="W250" t="s">
        <v>308</v>
      </c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</row>
    <row r="251" spans="1:55" x14ac:dyDescent="0.2">
      <c r="A251" t="s">
        <v>192</v>
      </c>
      <c r="E251" s="20" t="s">
        <v>75</v>
      </c>
      <c r="O251">
        <v>-8.5</v>
      </c>
      <c r="P251" s="42">
        <v>49.5</v>
      </c>
      <c r="R251">
        <v>14.6</v>
      </c>
      <c r="T251" s="19">
        <v>43443</v>
      </c>
      <c r="U251" t="s">
        <v>239</v>
      </c>
      <c r="V251" t="s">
        <v>302</v>
      </c>
      <c r="W251" t="s">
        <v>293</v>
      </c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</row>
    <row r="252" spans="1:55" x14ac:dyDescent="0.2">
      <c r="A252" t="s">
        <v>192</v>
      </c>
      <c r="D252" t="s">
        <v>75</v>
      </c>
      <c r="F252" t="s">
        <v>110</v>
      </c>
      <c r="O252" s="20">
        <v>-8.5</v>
      </c>
      <c r="P252" s="20">
        <v>55</v>
      </c>
      <c r="R252">
        <v>0</v>
      </c>
      <c r="T252" s="19">
        <v>43443</v>
      </c>
      <c r="U252" t="s">
        <v>239</v>
      </c>
      <c r="V252" s="41" t="s">
        <v>307</v>
      </c>
      <c r="W252" t="s">
        <v>284</v>
      </c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</row>
    <row r="253" spans="1:55" x14ac:dyDescent="0.2">
      <c r="A253" t="s">
        <v>192</v>
      </c>
      <c r="O253">
        <v>-3</v>
      </c>
      <c r="P253" s="42">
        <v>40.5</v>
      </c>
      <c r="R253">
        <v>8.1</v>
      </c>
      <c r="T253" s="19">
        <v>43443</v>
      </c>
      <c r="U253" t="s">
        <v>239</v>
      </c>
      <c r="V253" t="s">
        <v>296</v>
      </c>
      <c r="W253" t="s">
        <v>306</v>
      </c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</row>
    <row r="254" spans="1:55" x14ac:dyDescent="0.2">
      <c r="A254" t="s">
        <v>192</v>
      </c>
      <c r="O254">
        <v>4.5</v>
      </c>
      <c r="P254" s="42">
        <v>37</v>
      </c>
      <c r="R254">
        <v>5.2</v>
      </c>
      <c r="T254" s="19">
        <v>43443</v>
      </c>
      <c r="U254" t="s">
        <v>239</v>
      </c>
      <c r="V254" s="41" t="s">
        <v>298</v>
      </c>
      <c r="W254" t="s">
        <v>276</v>
      </c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</row>
    <row r="255" spans="1:55" x14ac:dyDescent="0.2">
      <c r="A255" t="s">
        <v>192</v>
      </c>
      <c r="O255">
        <v>3</v>
      </c>
      <c r="P255" s="42">
        <v>45</v>
      </c>
      <c r="R255">
        <v>1.7</v>
      </c>
      <c r="T255" s="19">
        <v>43443</v>
      </c>
      <c r="U255" t="s">
        <v>239</v>
      </c>
      <c r="V255" s="41" t="s">
        <v>294</v>
      </c>
      <c r="W255" t="s">
        <v>291</v>
      </c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</row>
    <row r="256" spans="1:55" x14ac:dyDescent="0.2">
      <c r="A256" t="s">
        <v>192</v>
      </c>
      <c r="O256">
        <v>-10.5</v>
      </c>
      <c r="P256" s="42">
        <v>51</v>
      </c>
      <c r="R256">
        <v>36</v>
      </c>
      <c r="T256" s="19">
        <v>43443</v>
      </c>
      <c r="U256" t="s">
        <v>239</v>
      </c>
      <c r="V256" s="41" t="s">
        <v>309</v>
      </c>
      <c r="W256" t="s">
        <v>303</v>
      </c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</row>
    <row r="257" spans="1:55" x14ac:dyDescent="0.2">
      <c r="A257" t="s">
        <v>192</v>
      </c>
      <c r="D257" t="s">
        <v>75</v>
      </c>
      <c r="F257" t="s">
        <v>109</v>
      </c>
      <c r="O257">
        <v>3</v>
      </c>
      <c r="P257" s="42">
        <v>45.5</v>
      </c>
      <c r="R257">
        <v>13.9</v>
      </c>
      <c r="T257" s="19">
        <v>43443</v>
      </c>
      <c r="U257" t="s">
        <v>239</v>
      </c>
      <c r="V257" s="41" t="s">
        <v>256</v>
      </c>
      <c r="W257" t="s">
        <v>278</v>
      </c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</row>
    <row r="258" spans="1:55" x14ac:dyDescent="0.2">
      <c r="A258" t="s">
        <v>192</v>
      </c>
      <c r="O258">
        <v>-3</v>
      </c>
      <c r="P258" s="42">
        <v>45.5</v>
      </c>
      <c r="R258">
        <v>1</v>
      </c>
      <c r="T258" s="19">
        <v>43443</v>
      </c>
      <c r="U258" t="s">
        <v>239</v>
      </c>
      <c r="V258" t="s">
        <v>308</v>
      </c>
      <c r="W258" t="s">
        <v>312</v>
      </c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</row>
    <row r="259" spans="1:55" x14ac:dyDescent="0.2">
      <c r="A259" t="s">
        <v>192</v>
      </c>
      <c r="F259" t="s">
        <v>110</v>
      </c>
      <c r="O259">
        <v>8.5</v>
      </c>
      <c r="P259" s="42">
        <v>55</v>
      </c>
      <c r="R259">
        <v>5</v>
      </c>
      <c r="T259" s="19">
        <v>43443</v>
      </c>
      <c r="U259" t="s">
        <v>239</v>
      </c>
      <c r="V259" s="41" t="s">
        <v>284</v>
      </c>
      <c r="W259" t="s">
        <v>307</v>
      </c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</row>
    <row r="260" spans="1:55" x14ac:dyDescent="0.2">
      <c r="A260" t="s">
        <v>192</v>
      </c>
      <c r="O260">
        <v>-5.5</v>
      </c>
      <c r="P260" s="42">
        <v>36.5</v>
      </c>
      <c r="R260">
        <v>11.9</v>
      </c>
      <c r="T260" s="19">
        <v>43443</v>
      </c>
      <c r="U260" t="s">
        <v>239</v>
      </c>
      <c r="V260" t="s">
        <v>310</v>
      </c>
      <c r="W260" t="s">
        <v>297</v>
      </c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</row>
    <row r="261" spans="1:55" x14ac:dyDescent="0.2">
      <c r="A261" t="s">
        <v>192</v>
      </c>
      <c r="B261" t="s">
        <v>434</v>
      </c>
      <c r="C261">
        <v>9.6999999999999993</v>
      </c>
      <c r="O261">
        <v>3</v>
      </c>
      <c r="P261" s="42">
        <v>40.5</v>
      </c>
      <c r="R261">
        <v>16.7</v>
      </c>
      <c r="T261" s="19">
        <v>43443</v>
      </c>
      <c r="U261" t="s">
        <v>239</v>
      </c>
      <c r="V261" t="s">
        <v>306</v>
      </c>
      <c r="W261" t="s">
        <v>296</v>
      </c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</row>
    <row r="262" spans="1:55" x14ac:dyDescent="0.2">
      <c r="A262" t="s">
        <v>192</v>
      </c>
      <c r="D262" t="s">
        <v>75</v>
      </c>
      <c r="F262" t="s">
        <v>110</v>
      </c>
      <c r="O262">
        <v>10</v>
      </c>
      <c r="P262" s="42">
        <v>43.5</v>
      </c>
      <c r="R262">
        <v>10.5</v>
      </c>
      <c r="T262" s="19">
        <v>43450</v>
      </c>
      <c r="U262" t="s">
        <v>237</v>
      </c>
      <c r="V262" t="s">
        <v>285</v>
      </c>
      <c r="W262" t="s">
        <v>295</v>
      </c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</row>
    <row r="263" spans="1:55" x14ac:dyDescent="0.2">
      <c r="A263" t="s">
        <v>192</v>
      </c>
      <c r="B263" t="s">
        <v>93</v>
      </c>
      <c r="C263">
        <v>10.3</v>
      </c>
      <c r="D263" t="s">
        <v>75</v>
      </c>
      <c r="F263" t="s">
        <v>110</v>
      </c>
      <c r="O263">
        <v>-10</v>
      </c>
      <c r="P263" s="42">
        <v>43.5</v>
      </c>
      <c r="R263">
        <v>9.1999999999999993</v>
      </c>
      <c r="T263" s="19">
        <v>43450</v>
      </c>
      <c r="U263" t="s">
        <v>237</v>
      </c>
      <c r="V263" s="41" t="s">
        <v>295</v>
      </c>
      <c r="W263" t="s">
        <v>285</v>
      </c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</row>
    <row r="264" spans="1:55" x14ac:dyDescent="0.2">
      <c r="A264" t="s">
        <v>192</v>
      </c>
      <c r="D264" t="s">
        <v>75</v>
      </c>
      <c r="O264">
        <v>-8.5</v>
      </c>
      <c r="P264" s="42">
        <v>44.5</v>
      </c>
      <c r="R264">
        <v>0</v>
      </c>
      <c r="T264" s="19">
        <v>43450</v>
      </c>
      <c r="U264" t="s">
        <v>237</v>
      </c>
      <c r="V264" t="s">
        <v>305</v>
      </c>
      <c r="W264" t="s">
        <v>284</v>
      </c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</row>
    <row r="265" spans="1:55" x14ac:dyDescent="0.2">
      <c r="A265" t="s">
        <v>192</v>
      </c>
      <c r="D265" t="s">
        <v>75</v>
      </c>
      <c r="O265">
        <v>-2.5</v>
      </c>
      <c r="P265" s="42">
        <v>40</v>
      </c>
      <c r="R265">
        <v>23.8</v>
      </c>
      <c r="T265" s="19">
        <v>43450</v>
      </c>
      <c r="U265" t="s">
        <v>237</v>
      </c>
      <c r="V265" t="s">
        <v>276</v>
      </c>
      <c r="W265" t="s">
        <v>299</v>
      </c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</row>
    <row r="266" spans="1:55" x14ac:dyDescent="0.2">
      <c r="A266" t="s">
        <v>192</v>
      </c>
      <c r="F266" t="s">
        <v>110</v>
      </c>
      <c r="O266">
        <v>6</v>
      </c>
      <c r="P266" s="42">
        <v>50.5</v>
      </c>
      <c r="R266">
        <v>3.5</v>
      </c>
      <c r="T266" s="19">
        <v>43450</v>
      </c>
      <c r="U266" t="s">
        <v>237</v>
      </c>
      <c r="V266" s="41" t="s">
        <v>301</v>
      </c>
      <c r="W266" t="s">
        <v>307</v>
      </c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</row>
    <row r="267" spans="1:55" x14ac:dyDescent="0.2">
      <c r="A267" t="s">
        <v>192</v>
      </c>
      <c r="D267" t="s">
        <v>75</v>
      </c>
      <c r="O267">
        <v>-6</v>
      </c>
      <c r="P267" s="42">
        <v>46.5</v>
      </c>
      <c r="R267">
        <v>6.3</v>
      </c>
      <c r="T267" s="19">
        <v>43450</v>
      </c>
      <c r="U267" t="s">
        <v>237</v>
      </c>
      <c r="V267" s="41" t="s">
        <v>265</v>
      </c>
      <c r="W267" t="s">
        <v>300</v>
      </c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</row>
    <row r="268" spans="1:55" x14ac:dyDescent="0.2">
      <c r="A268" t="s">
        <v>192</v>
      </c>
      <c r="O268">
        <v>-3</v>
      </c>
      <c r="P268" s="42">
        <v>46</v>
      </c>
      <c r="R268">
        <v>1.9</v>
      </c>
      <c r="T268" s="19">
        <v>43450</v>
      </c>
      <c r="U268" t="s">
        <v>237</v>
      </c>
      <c r="V268" s="41" t="s">
        <v>272</v>
      </c>
      <c r="W268" t="s">
        <v>303</v>
      </c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</row>
    <row r="269" spans="1:55" x14ac:dyDescent="0.2">
      <c r="A269" t="s">
        <v>192</v>
      </c>
      <c r="D269" t="s">
        <v>75</v>
      </c>
      <c r="O269">
        <v>1</v>
      </c>
      <c r="P269" s="42">
        <v>47</v>
      </c>
      <c r="R269">
        <v>14.5</v>
      </c>
      <c r="T269" s="19">
        <v>43450</v>
      </c>
      <c r="U269" t="s">
        <v>237</v>
      </c>
      <c r="V269" t="s">
        <v>281</v>
      </c>
      <c r="W269" t="s">
        <v>278</v>
      </c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</row>
    <row r="270" spans="1:55" x14ac:dyDescent="0.2">
      <c r="A270" t="s">
        <v>192</v>
      </c>
      <c r="D270" t="s">
        <v>75</v>
      </c>
      <c r="F270" t="s">
        <v>109</v>
      </c>
      <c r="O270">
        <v>3</v>
      </c>
      <c r="P270" s="42">
        <v>47</v>
      </c>
      <c r="R270">
        <v>8.1999999999999993</v>
      </c>
      <c r="T270" s="19">
        <v>43450</v>
      </c>
      <c r="U270" t="s">
        <v>237</v>
      </c>
      <c r="V270" s="17" t="s">
        <v>291</v>
      </c>
      <c r="W270" t="s">
        <v>289</v>
      </c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</row>
    <row r="271" spans="1:55" x14ac:dyDescent="0.2">
      <c r="A271" t="s">
        <v>192</v>
      </c>
      <c r="O271">
        <v>-1</v>
      </c>
      <c r="P271" s="42">
        <v>47</v>
      </c>
      <c r="R271">
        <v>9.1999999999999993</v>
      </c>
      <c r="T271" s="19">
        <v>43450</v>
      </c>
      <c r="U271" t="s">
        <v>237</v>
      </c>
      <c r="V271" t="s">
        <v>278</v>
      </c>
      <c r="W271" t="s">
        <v>281</v>
      </c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</row>
    <row r="272" spans="1:55" x14ac:dyDescent="0.2">
      <c r="A272" t="s">
        <v>192</v>
      </c>
      <c r="O272">
        <v>2.5</v>
      </c>
      <c r="P272" s="42">
        <v>40</v>
      </c>
      <c r="R272">
        <v>1.5</v>
      </c>
      <c r="T272" s="19">
        <v>43450</v>
      </c>
      <c r="U272" t="s">
        <v>237</v>
      </c>
      <c r="V272" s="41" t="s">
        <v>299</v>
      </c>
      <c r="W272" t="s">
        <v>276</v>
      </c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</row>
    <row r="273" spans="1:55" x14ac:dyDescent="0.2">
      <c r="A273" t="s">
        <v>192</v>
      </c>
      <c r="O273">
        <v>6</v>
      </c>
      <c r="P273" s="42">
        <v>46.5</v>
      </c>
      <c r="R273">
        <v>6</v>
      </c>
      <c r="T273" s="19">
        <v>43450</v>
      </c>
      <c r="U273" t="s">
        <v>237</v>
      </c>
      <c r="V273" s="41" t="s">
        <v>300</v>
      </c>
      <c r="W273" t="s">
        <v>265</v>
      </c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</row>
    <row r="274" spans="1:55" x14ac:dyDescent="0.2">
      <c r="A274" t="s">
        <v>192</v>
      </c>
      <c r="O274">
        <v>-7</v>
      </c>
      <c r="P274" s="42">
        <v>44</v>
      </c>
      <c r="R274">
        <v>11.9</v>
      </c>
      <c r="T274" s="19">
        <v>43450</v>
      </c>
      <c r="U274" t="s">
        <v>237</v>
      </c>
      <c r="V274" t="s">
        <v>311</v>
      </c>
      <c r="W274" t="s">
        <v>298</v>
      </c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</row>
    <row r="275" spans="1:55" x14ac:dyDescent="0.2">
      <c r="A275" t="s">
        <v>192</v>
      </c>
      <c r="F275" t="s">
        <v>109</v>
      </c>
      <c r="O275">
        <v>-3</v>
      </c>
      <c r="P275" s="42">
        <v>47</v>
      </c>
      <c r="R275">
        <v>2</v>
      </c>
      <c r="T275" s="19">
        <v>43450</v>
      </c>
      <c r="U275" t="s">
        <v>237</v>
      </c>
      <c r="V275" s="41" t="s">
        <v>289</v>
      </c>
      <c r="W275" t="s">
        <v>291</v>
      </c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</row>
    <row r="276" spans="1:55" x14ac:dyDescent="0.2">
      <c r="A276" t="s">
        <v>192</v>
      </c>
      <c r="O276">
        <v>-7.5</v>
      </c>
      <c r="P276" s="42">
        <v>36</v>
      </c>
      <c r="R276">
        <v>0</v>
      </c>
      <c r="T276" s="19">
        <v>43450</v>
      </c>
      <c r="U276" t="s">
        <v>237</v>
      </c>
      <c r="V276" s="17" t="s">
        <v>297</v>
      </c>
      <c r="W276" t="s">
        <v>306</v>
      </c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</row>
    <row r="277" spans="1:55" x14ac:dyDescent="0.2">
      <c r="A277" t="s">
        <v>192</v>
      </c>
      <c r="F277" t="s">
        <v>109</v>
      </c>
      <c r="O277">
        <v>-3.5</v>
      </c>
      <c r="P277" s="42">
        <v>54.5</v>
      </c>
      <c r="R277">
        <v>3.9</v>
      </c>
      <c r="T277" s="19">
        <v>43450</v>
      </c>
      <c r="U277" t="s">
        <v>237</v>
      </c>
      <c r="V277" t="s">
        <v>288</v>
      </c>
      <c r="W277" t="s">
        <v>287</v>
      </c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</row>
    <row r="278" spans="1:55" x14ac:dyDescent="0.2">
      <c r="A278" t="s">
        <v>192</v>
      </c>
      <c r="O278">
        <v>3</v>
      </c>
      <c r="P278" s="42">
        <v>46</v>
      </c>
      <c r="R278">
        <v>5.7</v>
      </c>
      <c r="T278" s="19">
        <v>43450</v>
      </c>
      <c r="U278" t="s">
        <v>237</v>
      </c>
      <c r="V278" s="17" t="s">
        <v>303</v>
      </c>
      <c r="W278" t="s">
        <v>272</v>
      </c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</row>
    <row r="279" spans="1:55" x14ac:dyDescent="0.2">
      <c r="A279" t="s">
        <v>192</v>
      </c>
      <c r="F279" t="s">
        <v>109</v>
      </c>
      <c r="O279">
        <v>3.5</v>
      </c>
      <c r="P279" s="42">
        <v>54.5</v>
      </c>
      <c r="R279">
        <v>36.5</v>
      </c>
      <c r="T279" s="19">
        <v>43450</v>
      </c>
      <c r="U279" t="s">
        <v>237</v>
      </c>
      <c r="V279" s="17" t="s">
        <v>287</v>
      </c>
      <c r="W279" t="s">
        <v>288</v>
      </c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</row>
    <row r="280" spans="1:55" x14ac:dyDescent="0.2">
      <c r="A280" t="s">
        <v>192</v>
      </c>
      <c r="B280" t="s">
        <v>71</v>
      </c>
      <c r="C280">
        <v>9</v>
      </c>
      <c r="O280">
        <v>-13.5</v>
      </c>
      <c r="P280" s="42">
        <v>52.5</v>
      </c>
      <c r="R280">
        <v>11.9</v>
      </c>
      <c r="T280" s="19">
        <v>43450</v>
      </c>
      <c r="U280" t="s">
        <v>237</v>
      </c>
      <c r="V280" s="41" t="s">
        <v>304</v>
      </c>
      <c r="W280" t="s">
        <v>294</v>
      </c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</row>
    <row r="281" spans="1:55" x14ac:dyDescent="0.2">
      <c r="A281" t="s">
        <v>192</v>
      </c>
      <c r="F281" t="s">
        <v>110</v>
      </c>
      <c r="O281">
        <v>7.5</v>
      </c>
      <c r="P281" s="42">
        <v>45</v>
      </c>
      <c r="R281">
        <v>6</v>
      </c>
      <c r="T281" s="19">
        <v>43450</v>
      </c>
      <c r="U281" t="s">
        <v>237</v>
      </c>
      <c r="V281" t="s">
        <v>293</v>
      </c>
      <c r="W281" t="s">
        <v>312</v>
      </c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</row>
    <row r="282" spans="1:55" x14ac:dyDescent="0.2">
      <c r="A282" t="s">
        <v>192</v>
      </c>
      <c r="F282" t="s">
        <v>110</v>
      </c>
      <c r="O282">
        <v>-7.5</v>
      </c>
      <c r="P282" s="42">
        <v>45</v>
      </c>
      <c r="R282">
        <v>15.8</v>
      </c>
      <c r="T282" s="19">
        <v>43450</v>
      </c>
      <c r="U282" t="s">
        <v>237</v>
      </c>
      <c r="V282" t="s">
        <v>312</v>
      </c>
      <c r="W282" t="s">
        <v>293</v>
      </c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</row>
    <row r="283" spans="1:55" x14ac:dyDescent="0.2">
      <c r="A283" t="s">
        <v>192</v>
      </c>
      <c r="F283" t="s">
        <v>109</v>
      </c>
      <c r="O283">
        <v>-2.5</v>
      </c>
      <c r="P283" s="42">
        <v>55</v>
      </c>
      <c r="R283">
        <v>2.9</v>
      </c>
      <c r="T283" s="19">
        <v>43450</v>
      </c>
      <c r="U283" t="s">
        <v>237</v>
      </c>
      <c r="V283" s="41" t="s">
        <v>302</v>
      </c>
      <c r="W283" t="s">
        <v>309</v>
      </c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</row>
    <row r="284" spans="1:55" x14ac:dyDescent="0.2">
      <c r="A284" t="s">
        <v>192</v>
      </c>
      <c r="F284" t="s">
        <v>110</v>
      </c>
      <c r="O284">
        <v>-6</v>
      </c>
      <c r="P284" s="42">
        <v>50.5</v>
      </c>
      <c r="R284">
        <v>3.5</v>
      </c>
      <c r="T284" s="19">
        <v>43450</v>
      </c>
      <c r="U284" t="s">
        <v>237</v>
      </c>
      <c r="V284" s="41" t="s">
        <v>307</v>
      </c>
      <c r="W284" t="s">
        <v>301</v>
      </c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</row>
    <row r="285" spans="1:55" x14ac:dyDescent="0.2">
      <c r="A285" t="s">
        <v>192</v>
      </c>
      <c r="D285" t="s">
        <v>75</v>
      </c>
      <c r="O285">
        <v>2.5</v>
      </c>
      <c r="P285" s="42">
        <v>42</v>
      </c>
      <c r="R285">
        <v>4.8</v>
      </c>
      <c r="T285" s="19">
        <v>43450</v>
      </c>
      <c r="U285" t="s">
        <v>237</v>
      </c>
      <c r="V285" s="41" t="s">
        <v>296</v>
      </c>
      <c r="W285" t="s">
        <v>310</v>
      </c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</row>
    <row r="286" spans="1:55" x14ac:dyDescent="0.2">
      <c r="A286" t="s">
        <v>192</v>
      </c>
      <c r="O286">
        <v>7</v>
      </c>
      <c r="P286" s="42">
        <v>44</v>
      </c>
      <c r="R286">
        <v>2.9</v>
      </c>
      <c r="T286" s="19">
        <v>43450</v>
      </c>
      <c r="U286" t="s">
        <v>237</v>
      </c>
      <c r="V286" s="41" t="s">
        <v>298</v>
      </c>
      <c r="W286" t="s">
        <v>311</v>
      </c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</row>
    <row r="287" spans="1:55" x14ac:dyDescent="0.2">
      <c r="A287" t="s">
        <v>192</v>
      </c>
      <c r="D287" t="s">
        <v>75</v>
      </c>
      <c r="O287">
        <v>13.5</v>
      </c>
      <c r="P287" s="42">
        <v>52.5</v>
      </c>
      <c r="R287">
        <v>9.3000000000000007</v>
      </c>
      <c r="T287" s="19">
        <v>43450</v>
      </c>
      <c r="U287" t="s">
        <v>237</v>
      </c>
      <c r="V287" t="s">
        <v>294</v>
      </c>
      <c r="W287" t="s">
        <v>304</v>
      </c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</row>
    <row r="288" spans="1:55" x14ac:dyDescent="0.2">
      <c r="A288" t="s">
        <v>192</v>
      </c>
      <c r="F288" t="s">
        <v>109</v>
      </c>
      <c r="O288">
        <v>2.5</v>
      </c>
      <c r="P288" s="42">
        <v>55</v>
      </c>
      <c r="R288">
        <v>8</v>
      </c>
      <c r="T288" s="19">
        <v>43450</v>
      </c>
      <c r="U288" t="s">
        <v>237</v>
      </c>
      <c r="V288" t="s">
        <v>309</v>
      </c>
      <c r="W288" t="s">
        <v>302</v>
      </c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</row>
    <row r="289" spans="1:55" x14ac:dyDescent="0.2">
      <c r="A289" t="s">
        <v>192</v>
      </c>
      <c r="D289" t="s">
        <v>75</v>
      </c>
      <c r="O289">
        <v>4</v>
      </c>
      <c r="P289" s="42">
        <v>44</v>
      </c>
      <c r="R289">
        <v>1.7</v>
      </c>
      <c r="T289" s="19">
        <v>43450</v>
      </c>
      <c r="U289" t="s">
        <v>237</v>
      </c>
      <c r="V289" t="s">
        <v>256</v>
      </c>
      <c r="W289" t="s">
        <v>308</v>
      </c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</row>
    <row r="290" spans="1:55" x14ac:dyDescent="0.2">
      <c r="A290" t="s">
        <v>192</v>
      </c>
      <c r="D290" t="s">
        <v>75</v>
      </c>
      <c r="O290">
        <v>-4</v>
      </c>
      <c r="P290" s="42">
        <v>44</v>
      </c>
      <c r="R290">
        <v>7.6</v>
      </c>
      <c r="T290" s="19">
        <v>43450</v>
      </c>
      <c r="U290" t="s">
        <v>237</v>
      </c>
      <c r="V290" t="s">
        <v>308</v>
      </c>
      <c r="W290" t="s">
        <v>256</v>
      </c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</row>
    <row r="291" spans="1:55" x14ac:dyDescent="0.2">
      <c r="A291" t="s">
        <v>192</v>
      </c>
      <c r="O291">
        <v>8.5</v>
      </c>
      <c r="P291" s="42">
        <v>44.5</v>
      </c>
      <c r="R291">
        <v>3.15</v>
      </c>
      <c r="T291" s="19">
        <v>43450</v>
      </c>
      <c r="U291" t="s">
        <v>237</v>
      </c>
      <c r="V291" t="s">
        <v>284</v>
      </c>
      <c r="W291" t="s">
        <v>305</v>
      </c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</row>
    <row r="292" spans="1:55" x14ac:dyDescent="0.2">
      <c r="A292" t="s">
        <v>192</v>
      </c>
      <c r="O292">
        <v>-2.5</v>
      </c>
      <c r="P292" s="42">
        <v>42</v>
      </c>
      <c r="R292">
        <v>2.5</v>
      </c>
      <c r="T292" s="19">
        <v>43450</v>
      </c>
      <c r="U292" t="s">
        <v>237</v>
      </c>
      <c r="V292" t="s">
        <v>310</v>
      </c>
      <c r="W292" t="s">
        <v>296</v>
      </c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</row>
    <row r="293" spans="1:55" x14ac:dyDescent="0.2">
      <c r="A293" t="s">
        <v>192</v>
      </c>
      <c r="O293">
        <v>7.5</v>
      </c>
      <c r="P293" s="42">
        <v>36</v>
      </c>
      <c r="R293">
        <v>0</v>
      </c>
      <c r="T293" s="19">
        <v>43450</v>
      </c>
      <c r="U293" t="s">
        <v>237</v>
      </c>
      <c r="V293" t="s">
        <v>306</v>
      </c>
      <c r="W293" t="s">
        <v>297</v>
      </c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</row>
    <row r="294" spans="1:55" x14ac:dyDescent="0.2">
      <c r="A294" t="s">
        <v>192</v>
      </c>
      <c r="D294" t="s">
        <v>75</v>
      </c>
      <c r="O294">
        <v>14.5</v>
      </c>
      <c r="P294" s="42">
        <v>43</v>
      </c>
      <c r="R294">
        <v>12.2</v>
      </c>
      <c r="T294" s="19">
        <v>43457</v>
      </c>
      <c r="U294" t="s">
        <v>235</v>
      </c>
      <c r="V294" t="s">
        <v>285</v>
      </c>
      <c r="W294" t="s">
        <v>304</v>
      </c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</row>
    <row r="295" spans="1:55" x14ac:dyDescent="0.2">
      <c r="A295" t="s">
        <v>192</v>
      </c>
      <c r="O295">
        <v>-2.5</v>
      </c>
      <c r="P295" s="42">
        <v>46.5</v>
      </c>
      <c r="R295">
        <v>18</v>
      </c>
      <c r="T295" s="19">
        <v>43457</v>
      </c>
      <c r="U295" t="s">
        <v>235</v>
      </c>
      <c r="V295" t="s">
        <v>295</v>
      </c>
      <c r="W295" t="s">
        <v>301</v>
      </c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</row>
    <row r="296" spans="1:55" x14ac:dyDescent="0.2">
      <c r="A296" t="s">
        <v>192</v>
      </c>
      <c r="F296" t="s">
        <v>109</v>
      </c>
      <c r="O296">
        <v>4</v>
      </c>
      <c r="P296" s="42">
        <v>42.5</v>
      </c>
      <c r="R296">
        <v>4.7</v>
      </c>
      <c r="T296" s="19">
        <v>43457</v>
      </c>
      <c r="U296" t="s">
        <v>235</v>
      </c>
      <c r="V296" t="s">
        <v>305</v>
      </c>
      <c r="W296" t="s">
        <v>287</v>
      </c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</row>
    <row r="297" spans="1:55" x14ac:dyDescent="0.2">
      <c r="A297" t="s">
        <v>192</v>
      </c>
      <c r="O297">
        <v>14</v>
      </c>
      <c r="P297" s="42">
        <v>46</v>
      </c>
      <c r="R297">
        <v>9.1999999999999993</v>
      </c>
      <c r="T297" s="19">
        <v>43457</v>
      </c>
      <c r="U297" t="s">
        <v>235</v>
      </c>
      <c r="V297" t="s">
        <v>276</v>
      </c>
      <c r="W297" t="s">
        <v>302</v>
      </c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</row>
    <row r="298" spans="1:55" x14ac:dyDescent="0.2">
      <c r="A298" t="s">
        <v>192</v>
      </c>
      <c r="D298" t="s">
        <v>75</v>
      </c>
      <c r="O298">
        <v>2.5</v>
      </c>
      <c r="P298" s="42">
        <v>46.5</v>
      </c>
      <c r="R298">
        <v>11.1</v>
      </c>
      <c r="T298" s="19">
        <v>43457</v>
      </c>
      <c r="U298" t="s">
        <v>235</v>
      </c>
      <c r="V298" t="s">
        <v>301</v>
      </c>
      <c r="W298" t="s">
        <v>295</v>
      </c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</row>
    <row r="299" spans="1:55" x14ac:dyDescent="0.2">
      <c r="A299" t="s">
        <v>192</v>
      </c>
      <c r="D299" t="s">
        <v>75</v>
      </c>
      <c r="F299" t="s">
        <v>109</v>
      </c>
      <c r="O299">
        <v>-3.5</v>
      </c>
      <c r="P299" s="42">
        <v>44</v>
      </c>
      <c r="R299">
        <v>6.6</v>
      </c>
      <c r="T299" s="19">
        <v>43457</v>
      </c>
      <c r="U299" t="s">
        <v>235</v>
      </c>
      <c r="V299" t="s">
        <v>265</v>
      </c>
      <c r="W299" t="s">
        <v>256</v>
      </c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</row>
    <row r="300" spans="1:55" x14ac:dyDescent="0.2">
      <c r="A300" t="s">
        <v>192</v>
      </c>
      <c r="F300" t="s">
        <v>110</v>
      </c>
      <c r="O300">
        <v>10</v>
      </c>
      <c r="P300" s="42">
        <v>44</v>
      </c>
      <c r="R300">
        <v>7.6</v>
      </c>
      <c r="T300" s="19">
        <v>43457</v>
      </c>
      <c r="U300" t="s">
        <v>235</v>
      </c>
      <c r="V300" t="s">
        <v>272</v>
      </c>
      <c r="W300" t="s">
        <v>281</v>
      </c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</row>
    <row r="301" spans="1:55" x14ac:dyDescent="0.2">
      <c r="A301" t="s">
        <v>192</v>
      </c>
      <c r="F301" t="s">
        <v>110</v>
      </c>
      <c r="O301">
        <v>-10</v>
      </c>
      <c r="P301" s="42">
        <v>44</v>
      </c>
      <c r="R301">
        <v>18</v>
      </c>
      <c r="T301" s="19">
        <v>43457</v>
      </c>
      <c r="U301" t="s">
        <v>235</v>
      </c>
      <c r="V301" t="s">
        <v>281</v>
      </c>
      <c r="W301" t="s">
        <v>272</v>
      </c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</row>
    <row r="302" spans="1:55" x14ac:dyDescent="0.2">
      <c r="A302" t="s">
        <v>192</v>
      </c>
      <c r="B302" t="s">
        <v>14</v>
      </c>
      <c r="C302">
        <v>10.9</v>
      </c>
      <c r="D302" t="s">
        <v>75</v>
      </c>
      <c r="O302">
        <v>-7</v>
      </c>
      <c r="P302" s="42">
        <v>48</v>
      </c>
      <c r="R302">
        <v>14.3</v>
      </c>
      <c r="T302" s="19">
        <v>43457</v>
      </c>
      <c r="U302" t="s">
        <v>235</v>
      </c>
      <c r="V302" s="17" t="s">
        <v>291</v>
      </c>
      <c r="W302" t="s">
        <v>284</v>
      </c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</row>
    <row r="303" spans="1:55" x14ac:dyDescent="0.2">
      <c r="A303" t="s">
        <v>192</v>
      </c>
      <c r="O303">
        <v>-2.5</v>
      </c>
      <c r="P303" s="42">
        <v>42.5</v>
      </c>
      <c r="R303">
        <v>18.5</v>
      </c>
      <c r="T303" s="19">
        <v>43457</v>
      </c>
      <c r="U303" t="s">
        <v>235</v>
      </c>
      <c r="V303" s="41" t="s">
        <v>278</v>
      </c>
      <c r="W303" t="s">
        <v>303</v>
      </c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</row>
    <row r="304" spans="1:55" x14ac:dyDescent="0.2">
      <c r="A304" t="s">
        <v>192</v>
      </c>
      <c r="F304" t="s">
        <v>110</v>
      </c>
      <c r="O304">
        <v>6.5</v>
      </c>
      <c r="P304" s="42">
        <v>41.5</v>
      </c>
      <c r="R304">
        <v>10.199999999999999</v>
      </c>
      <c r="T304" s="19">
        <v>43457</v>
      </c>
      <c r="U304" t="s">
        <v>235</v>
      </c>
      <c r="V304" t="s">
        <v>299</v>
      </c>
      <c r="W304" t="s">
        <v>312</v>
      </c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</row>
    <row r="305" spans="1:55" x14ac:dyDescent="0.2">
      <c r="A305" t="s">
        <v>192</v>
      </c>
      <c r="O305">
        <v>-3</v>
      </c>
      <c r="P305" s="42">
        <v>47</v>
      </c>
      <c r="R305">
        <v>12.5</v>
      </c>
      <c r="T305" s="19">
        <v>43457</v>
      </c>
      <c r="U305" t="s">
        <v>235</v>
      </c>
      <c r="V305" s="41" t="s">
        <v>300</v>
      </c>
      <c r="W305" t="s">
        <v>298</v>
      </c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</row>
    <row r="306" spans="1:55" x14ac:dyDescent="0.2">
      <c r="A306" t="s">
        <v>192</v>
      </c>
      <c r="F306" t="s">
        <v>109</v>
      </c>
      <c r="O306">
        <v>1</v>
      </c>
      <c r="P306" s="42">
        <v>47</v>
      </c>
      <c r="R306">
        <v>6.7</v>
      </c>
      <c r="T306" s="19">
        <v>43457</v>
      </c>
      <c r="U306" t="s">
        <v>235</v>
      </c>
      <c r="V306" t="s">
        <v>311</v>
      </c>
      <c r="W306" t="s">
        <v>294</v>
      </c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</row>
    <row r="307" spans="1:55" x14ac:dyDescent="0.2">
      <c r="A307" t="s">
        <v>192</v>
      </c>
      <c r="E307" s="20" t="s">
        <v>75</v>
      </c>
      <c r="O307">
        <v>-10</v>
      </c>
      <c r="P307" s="42">
        <v>48.5</v>
      </c>
      <c r="R307">
        <v>18.399999999999999</v>
      </c>
      <c r="T307" s="19">
        <v>43457</v>
      </c>
      <c r="U307" t="s">
        <v>235</v>
      </c>
      <c r="V307" t="s">
        <v>289</v>
      </c>
      <c r="W307" t="s">
        <v>296</v>
      </c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</row>
    <row r="308" spans="1:55" x14ac:dyDescent="0.2">
      <c r="A308" t="s">
        <v>192</v>
      </c>
      <c r="O308">
        <v>3</v>
      </c>
      <c r="P308" s="42">
        <v>39.5</v>
      </c>
      <c r="R308">
        <v>8.3000000000000007</v>
      </c>
      <c r="T308" s="19">
        <v>43457</v>
      </c>
      <c r="U308" t="s">
        <v>235</v>
      </c>
      <c r="V308" s="17" t="s">
        <v>297</v>
      </c>
      <c r="W308" t="s">
        <v>293</v>
      </c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</row>
    <row r="309" spans="1:55" x14ac:dyDescent="0.2">
      <c r="A309" t="s">
        <v>192</v>
      </c>
      <c r="D309" t="s">
        <v>75</v>
      </c>
      <c r="O309">
        <v>-1</v>
      </c>
      <c r="P309" s="42">
        <v>54</v>
      </c>
      <c r="R309">
        <v>7.4</v>
      </c>
      <c r="T309" s="19">
        <v>43457</v>
      </c>
      <c r="U309" t="s">
        <v>235</v>
      </c>
      <c r="V309" t="s">
        <v>288</v>
      </c>
      <c r="W309" t="s">
        <v>308</v>
      </c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</row>
    <row r="310" spans="1:55" x14ac:dyDescent="0.2">
      <c r="A310" t="s">
        <v>192</v>
      </c>
      <c r="D310" t="s">
        <v>75</v>
      </c>
      <c r="O310">
        <v>2.5</v>
      </c>
      <c r="P310" s="42">
        <v>42.5</v>
      </c>
      <c r="R310">
        <v>3.4</v>
      </c>
      <c r="T310" s="19">
        <v>43457</v>
      </c>
      <c r="U310" t="s">
        <v>235</v>
      </c>
      <c r="V310" s="17" t="s">
        <v>303</v>
      </c>
      <c r="W310" t="s">
        <v>278</v>
      </c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</row>
    <row r="311" spans="1:55" x14ac:dyDescent="0.2">
      <c r="A311" t="s">
        <v>192</v>
      </c>
      <c r="F311" t="s">
        <v>109</v>
      </c>
      <c r="O311">
        <v>-4</v>
      </c>
      <c r="P311" s="42">
        <v>42.5</v>
      </c>
      <c r="R311">
        <v>2.1</v>
      </c>
      <c r="T311" s="19">
        <v>43457</v>
      </c>
      <c r="U311" t="s">
        <v>235</v>
      </c>
      <c r="V311" s="17" t="s">
        <v>287</v>
      </c>
      <c r="W311" t="s">
        <v>305</v>
      </c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</row>
    <row r="312" spans="1:55" x14ac:dyDescent="0.2">
      <c r="A312" t="s">
        <v>192</v>
      </c>
      <c r="D312" t="s">
        <v>75</v>
      </c>
      <c r="O312">
        <v>-14.5</v>
      </c>
      <c r="P312" s="42">
        <v>43</v>
      </c>
      <c r="R312">
        <v>9.1999999999999993</v>
      </c>
      <c r="T312" s="19">
        <v>43457</v>
      </c>
      <c r="U312" t="s">
        <v>235</v>
      </c>
      <c r="V312" s="41" t="s">
        <v>304</v>
      </c>
      <c r="W312" t="s">
        <v>285</v>
      </c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</row>
    <row r="313" spans="1:55" x14ac:dyDescent="0.2">
      <c r="A313" t="s">
        <v>192</v>
      </c>
      <c r="O313">
        <v>-3</v>
      </c>
      <c r="P313" s="42">
        <v>39.5</v>
      </c>
      <c r="R313">
        <v>6.8</v>
      </c>
      <c r="T313" s="19">
        <v>43457</v>
      </c>
      <c r="U313" t="s">
        <v>235</v>
      </c>
      <c r="V313" s="41" t="s">
        <v>293</v>
      </c>
      <c r="W313" t="s">
        <v>297</v>
      </c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</row>
    <row r="314" spans="1:55" x14ac:dyDescent="0.2">
      <c r="A314" t="s">
        <v>192</v>
      </c>
      <c r="D314" t="s">
        <v>75</v>
      </c>
      <c r="F314" t="s">
        <v>110</v>
      </c>
      <c r="O314">
        <v>-6.5</v>
      </c>
      <c r="P314" s="42">
        <v>41.5</v>
      </c>
      <c r="R314">
        <v>9</v>
      </c>
      <c r="T314" s="19">
        <v>43457</v>
      </c>
      <c r="U314" t="s">
        <v>235</v>
      </c>
      <c r="V314" s="41" t="s">
        <v>312</v>
      </c>
      <c r="W314" t="s">
        <v>299</v>
      </c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</row>
    <row r="315" spans="1:55" x14ac:dyDescent="0.2">
      <c r="A315" t="s">
        <v>192</v>
      </c>
      <c r="O315">
        <v>-14</v>
      </c>
      <c r="P315" s="42">
        <v>46</v>
      </c>
      <c r="R315">
        <v>7.9</v>
      </c>
      <c r="T315" s="19">
        <v>43457</v>
      </c>
      <c r="U315" t="s">
        <v>235</v>
      </c>
      <c r="V315" s="41" t="s">
        <v>302</v>
      </c>
      <c r="W315" t="s">
        <v>276</v>
      </c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</row>
    <row r="316" spans="1:55" x14ac:dyDescent="0.2">
      <c r="A316" t="s">
        <v>192</v>
      </c>
      <c r="F316" t="s">
        <v>110</v>
      </c>
      <c r="O316">
        <v>-6.5</v>
      </c>
      <c r="P316" s="42">
        <v>53</v>
      </c>
      <c r="R316">
        <v>12.4</v>
      </c>
      <c r="T316" s="19">
        <v>43457</v>
      </c>
      <c r="U316" t="s">
        <v>235</v>
      </c>
      <c r="V316" s="41" t="s">
        <v>307</v>
      </c>
      <c r="W316" t="s">
        <v>309</v>
      </c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</row>
    <row r="317" spans="1:55" x14ac:dyDescent="0.2">
      <c r="A317" t="s">
        <v>192</v>
      </c>
      <c r="B317" t="s">
        <v>102</v>
      </c>
      <c r="C317">
        <v>9</v>
      </c>
      <c r="D317" t="s">
        <v>75</v>
      </c>
      <c r="E317" s="20" t="s">
        <v>75</v>
      </c>
      <c r="O317">
        <v>10</v>
      </c>
      <c r="P317" s="42">
        <v>48.5</v>
      </c>
      <c r="R317">
        <v>20</v>
      </c>
      <c r="T317" s="19">
        <v>43457</v>
      </c>
      <c r="U317" t="s">
        <v>235</v>
      </c>
      <c r="V317" t="s">
        <v>296</v>
      </c>
      <c r="W317" t="s">
        <v>289</v>
      </c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</row>
    <row r="318" spans="1:55" x14ac:dyDescent="0.2">
      <c r="A318" t="s">
        <v>192</v>
      </c>
      <c r="D318" t="s">
        <v>75</v>
      </c>
      <c r="O318">
        <v>3</v>
      </c>
      <c r="P318" s="42">
        <v>47</v>
      </c>
      <c r="R318">
        <v>9.5</v>
      </c>
      <c r="T318" s="19">
        <v>43457</v>
      </c>
      <c r="U318" t="s">
        <v>235</v>
      </c>
      <c r="V318" s="41" t="s">
        <v>298</v>
      </c>
      <c r="W318" t="s">
        <v>300</v>
      </c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</row>
    <row r="319" spans="1:55" x14ac:dyDescent="0.2">
      <c r="A319" t="s">
        <v>192</v>
      </c>
      <c r="F319" t="s">
        <v>109</v>
      </c>
      <c r="O319">
        <v>-1</v>
      </c>
      <c r="P319" s="42">
        <v>47</v>
      </c>
      <c r="R319">
        <f>(25.6+3.3)/2</f>
        <v>14.450000000000001</v>
      </c>
      <c r="T319" s="19">
        <v>43457</v>
      </c>
      <c r="U319" t="s">
        <v>235</v>
      </c>
      <c r="V319" t="s">
        <v>294</v>
      </c>
      <c r="W319" t="s">
        <v>311</v>
      </c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</row>
    <row r="320" spans="1:55" x14ac:dyDescent="0.2">
      <c r="A320" t="s">
        <v>192</v>
      </c>
      <c r="F320" t="s">
        <v>110</v>
      </c>
      <c r="O320">
        <v>6.5</v>
      </c>
      <c r="P320" s="42">
        <v>53</v>
      </c>
      <c r="R320">
        <v>24.5</v>
      </c>
      <c r="T320" s="19">
        <v>43457</v>
      </c>
      <c r="U320" t="s">
        <v>235</v>
      </c>
      <c r="V320" s="41" t="s">
        <v>309</v>
      </c>
      <c r="W320" t="s">
        <v>307</v>
      </c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</row>
    <row r="321" spans="1:55" x14ac:dyDescent="0.2">
      <c r="A321" t="s">
        <v>192</v>
      </c>
      <c r="F321" t="s">
        <v>109</v>
      </c>
      <c r="O321">
        <v>3.5</v>
      </c>
      <c r="P321" s="42">
        <v>44</v>
      </c>
      <c r="R321">
        <v>11.3</v>
      </c>
      <c r="T321" s="19">
        <v>43457</v>
      </c>
      <c r="U321" t="s">
        <v>235</v>
      </c>
      <c r="V321" t="s">
        <v>256</v>
      </c>
      <c r="W321" t="s">
        <v>265</v>
      </c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</row>
    <row r="322" spans="1:55" x14ac:dyDescent="0.2">
      <c r="A322" t="s">
        <v>192</v>
      </c>
      <c r="O322">
        <v>1</v>
      </c>
      <c r="P322" s="42">
        <v>54</v>
      </c>
      <c r="R322">
        <v>13.9</v>
      </c>
      <c r="T322" s="19">
        <v>43457</v>
      </c>
      <c r="U322" t="s">
        <v>235</v>
      </c>
      <c r="V322" t="s">
        <v>308</v>
      </c>
      <c r="W322" t="s">
        <v>288</v>
      </c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</row>
    <row r="323" spans="1:55" x14ac:dyDescent="0.2">
      <c r="A323" t="s">
        <v>192</v>
      </c>
      <c r="B323" t="s">
        <v>92</v>
      </c>
      <c r="C323">
        <v>9.4</v>
      </c>
      <c r="O323">
        <v>7</v>
      </c>
      <c r="P323" s="42">
        <v>48</v>
      </c>
      <c r="R323">
        <v>9.5299999999999994</v>
      </c>
      <c r="T323" s="19">
        <v>43457</v>
      </c>
      <c r="U323" t="s">
        <v>235</v>
      </c>
      <c r="V323" s="41" t="s">
        <v>284</v>
      </c>
      <c r="W323" t="s">
        <v>291</v>
      </c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</row>
    <row r="324" spans="1:55" x14ac:dyDescent="0.2">
      <c r="A324" t="s">
        <v>192</v>
      </c>
      <c r="O324">
        <v>-12</v>
      </c>
      <c r="P324" s="42">
        <v>38</v>
      </c>
      <c r="R324">
        <v>9.4</v>
      </c>
      <c r="T324" s="19">
        <v>43457</v>
      </c>
      <c r="U324" t="s">
        <v>235</v>
      </c>
      <c r="V324" t="s">
        <v>310</v>
      </c>
      <c r="W324" t="s">
        <v>306</v>
      </c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</row>
    <row r="325" spans="1:55" x14ac:dyDescent="0.2">
      <c r="A325" t="s">
        <v>192</v>
      </c>
      <c r="D325" t="s">
        <v>75</v>
      </c>
      <c r="O325">
        <v>12</v>
      </c>
      <c r="P325" s="42">
        <v>38</v>
      </c>
      <c r="R325">
        <v>6</v>
      </c>
      <c r="T325" s="19">
        <v>43457</v>
      </c>
      <c r="U325" t="s">
        <v>235</v>
      </c>
      <c r="V325" t="s">
        <v>306</v>
      </c>
      <c r="W325" t="s">
        <v>310</v>
      </c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</row>
    <row r="326" spans="1:55" x14ac:dyDescent="0.2">
      <c r="A326" t="s">
        <v>192</v>
      </c>
      <c r="F326" t="s">
        <v>110</v>
      </c>
      <c r="O326">
        <v>3</v>
      </c>
      <c r="P326">
        <v>45.5</v>
      </c>
      <c r="R326">
        <v>10.4</v>
      </c>
      <c r="T326" s="39">
        <v>43716</v>
      </c>
      <c r="U326" s="25" t="s">
        <v>384</v>
      </c>
      <c r="V326" s="41" t="s">
        <v>285</v>
      </c>
      <c r="W326" s="24" t="s">
        <v>299</v>
      </c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</row>
    <row r="327" spans="1:55" x14ac:dyDescent="0.2">
      <c r="A327" t="s">
        <v>192</v>
      </c>
      <c r="O327">
        <v>3.5</v>
      </c>
      <c r="P327">
        <v>47</v>
      </c>
      <c r="R327">
        <v>16.399999999999999</v>
      </c>
      <c r="T327" s="39">
        <v>43716</v>
      </c>
      <c r="U327" s="25" t="s">
        <v>384</v>
      </c>
      <c r="V327" s="41" t="s">
        <v>295</v>
      </c>
      <c r="W327" s="24" t="s">
        <v>312</v>
      </c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</row>
    <row r="328" spans="1:55" x14ac:dyDescent="0.2">
      <c r="A328" t="s">
        <v>192</v>
      </c>
      <c r="E328" t="s">
        <v>75</v>
      </c>
      <c r="O328">
        <v>-7</v>
      </c>
      <c r="P328">
        <v>41</v>
      </c>
      <c r="R328">
        <v>12.1</v>
      </c>
      <c r="T328" s="39">
        <v>43716</v>
      </c>
      <c r="U328" s="25" t="s">
        <v>384</v>
      </c>
      <c r="V328" s="41" t="s">
        <v>305</v>
      </c>
      <c r="W328" s="24" t="s">
        <v>293</v>
      </c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</row>
    <row r="329" spans="1:55" x14ac:dyDescent="0.2">
      <c r="A329" t="s">
        <v>192</v>
      </c>
      <c r="D329" t="s">
        <v>75</v>
      </c>
      <c r="O329">
        <v>2.5</v>
      </c>
      <c r="P329">
        <v>41</v>
      </c>
      <c r="R329">
        <v>9</v>
      </c>
      <c r="T329" s="39">
        <v>43716</v>
      </c>
      <c r="U329" s="25" t="s">
        <v>384</v>
      </c>
      <c r="V329" s="41" t="s">
        <v>276</v>
      </c>
      <c r="W329" s="24" t="s">
        <v>298</v>
      </c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</row>
    <row r="330" spans="1:55" x14ac:dyDescent="0.2">
      <c r="A330" t="s">
        <v>192</v>
      </c>
      <c r="F330" t="s">
        <v>109</v>
      </c>
      <c r="O330">
        <v>1.5</v>
      </c>
      <c r="P330">
        <v>49.5</v>
      </c>
      <c r="R330">
        <v>6.2</v>
      </c>
      <c r="T330" s="39">
        <v>43716</v>
      </c>
      <c r="U330" s="25" t="s">
        <v>384</v>
      </c>
      <c r="V330" s="41" t="s">
        <v>301</v>
      </c>
      <c r="W330" s="24" t="s">
        <v>304</v>
      </c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</row>
    <row r="331" spans="1:55" x14ac:dyDescent="0.2">
      <c r="A331" t="s">
        <v>192</v>
      </c>
      <c r="O331">
        <v>-3.5</v>
      </c>
      <c r="P331">
        <v>47</v>
      </c>
      <c r="R331">
        <v>4.4000000000000004</v>
      </c>
      <c r="T331" s="39">
        <v>43716</v>
      </c>
      <c r="U331" s="25" t="s">
        <v>384</v>
      </c>
      <c r="V331" s="41" t="s">
        <v>265</v>
      </c>
      <c r="W331" s="24" t="s">
        <v>300</v>
      </c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</row>
    <row r="332" spans="1:55" x14ac:dyDescent="0.2">
      <c r="A332" t="s">
        <v>192</v>
      </c>
      <c r="B332" s="1" t="s">
        <v>91</v>
      </c>
      <c r="I332" t="s">
        <v>75</v>
      </c>
      <c r="J332" t="s">
        <v>76</v>
      </c>
      <c r="K332" t="s">
        <v>76</v>
      </c>
      <c r="L332" t="s">
        <v>76</v>
      </c>
      <c r="M332" t="s">
        <v>76</v>
      </c>
      <c r="N332" t="s">
        <v>134</v>
      </c>
      <c r="O332">
        <v>9.5</v>
      </c>
      <c r="P332">
        <v>44</v>
      </c>
      <c r="Q332">
        <v>5.8</v>
      </c>
      <c r="R332">
        <v>14.5</v>
      </c>
      <c r="S332" s="1">
        <v>2.5</v>
      </c>
      <c r="T332" s="39">
        <v>43716</v>
      </c>
      <c r="U332" s="25" t="s">
        <v>384</v>
      </c>
      <c r="V332" s="17" t="s">
        <v>272</v>
      </c>
      <c r="W332" s="24" t="s">
        <v>308</v>
      </c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</row>
    <row r="333" spans="1:55" x14ac:dyDescent="0.2">
      <c r="A333" t="s">
        <v>192</v>
      </c>
      <c r="B333" s="1" t="s">
        <v>135</v>
      </c>
      <c r="I333" t="s">
        <v>75</v>
      </c>
      <c r="J333" t="s">
        <v>76</v>
      </c>
      <c r="K333" t="s">
        <v>76</v>
      </c>
      <c r="L333" t="s">
        <v>76</v>
      </c>
      <c r="M333" t="s">
        <v>76</v>
      </c>
      <c r="N333" t="s">
        <v>134</v>
      </c>
      <c r="O333">
        <v>9.5</v>
      </c>
      <c r="P333">
        <v>44</v>
      </c>
      <c r="Q333">
        <v>3.9</v>
      </c>
      <c r="R333">
        <v>37.799999999999997</v>
      </c>
      <c r="S333" s="1">
        <v>9.6999999999999993</v>
      </c>
      <c r="T333" s="39">
        <v>43716</v>
      </c>
      <c r="U333" s="25" t="s">
        <v>384</v>
      </c>
      <c r="V333" s="17" t="s">
        <v>272</v>
      </c>
      <c r="W333" s="24" t="s">
        <v>308</v>
      </c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</row>
    <row r="334" spans="1:55" x14ac:dyDescent="0.2">
      <c r="A334" t="s">
        <v>192</v>
      </c>
      <c r="F334" t="s">
        <v>110</v>
      </c>
      <c r="O334">
        <v>-5.5</v>
      </c>
      <c r="P334">
        <v>44</v>
      </c>
      <c r="R334">
        <v>11.7</v>
      </c>
      <c r="T334" s="39">
        <v>43716</v>
      </c>
      <c r="U334" s="25" t="s">
        <v>384</v>
      </c>
      <c r="V334" s="41" t="s">
        <v>281</v>
      </c>
      <c r="W334" s="24" t="s">
        <v>310</v>
      </c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</row>
    <row r="335" spans="1:55" x14ac:dyDescent="0.2">
      <c r="A335" t="s">
        <v>192</v>
      </c>
      <c r="D335" t="s">
        <v>75</v>
      </c>
      <c r="E335" t="s">
        <v>75</v>
      </c>
      <c r="O335">
        <v>-7</v>
      </c>
      <c r="P335">
        <v>44</v>
      </c>
      <c r="R335">
        <v>25.8</v>
      </c>
      <c r="T335" s="39">
        <v>43716</v>
      </c>
      <c r="U335" s="25" t="s">
        <v>384</v>
      </c>
      <c r="V335" t="s">
        <v>291</v>
      </c>
      <c r="W335" s="24" t="s">
        <v>296</v>
      </c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</row>
    <row r="336" spans="1:55" x14ac:dyDescent="0.2">
      <c r="A336" t="s">
        <v>192</v>
      </c>
      <c r="D336" t="s">
        <v>75</v>
      </c>
      <c r="O336">
        <v>-3</v>
      </c>
      <c r="P336">
        <v>42.5</v>
      </c>
      <c r="R336">
        <v>19.5</v>
      </c>
      <c r="T336" s="39">
        <v>43716</v>
      </c>
      <c r="U336" t="s">
        <v>384</v>
      </c>
      <c r="V336" t="s">
        <v>278</v>
      </c>
      <c r="W336" t="s">
        <v>303</v>
      </c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</row>
    <row r="337" spans="1:55" x14ac:dyDescent="0.2">
      <c r="A337" t="s">
        <v>192</v>
      </c>
      <c r="F337" t="s">
        <v>110</v>
      </c>
      <c r="O337">
        <v>-3</v>
      </c>
      <c r="P337">
        <v>45.5</v>
      </c>
      <c r="R337" s="14">
        <v>10</v>
      </c>
      <c r="T337" s="39">
        <v>43716</v>
      </c>
      <c r="U337" s="25" t="s">
        <v>384</v>
      </c>
      <c r="V337" t="s">
        <v>299</v>
      </c>
      <c r="W337" s="24" t="s">
        <v>285</v>
      </c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</row>
    <row r="338" spans="1:55" x14ac:dyDescent="0.2">
      <c r="A338" t="s">
        <v>192</v>
      </c>
      <c r="O338">
        <v>3.5</v>
      </c>
      <c r="P338">
        <v>47</v>
      </c>
      <c r="R338">
        <v>9.1999999999999993</v>
      </c>
      <c r="T338" s="39">
        <v>43716</v>
      </c>
      <c r="U338" s="25" t="s">
        <v>384</v>
      </c>
      <c r="V338" t="s">
        <v>300</v>
      </c>
      <c r="W338" s="24" t="s">
        <v>265</v>
      </c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</row>
    <row r="339" spans="1:55" x14ac:dyDescent="0.2">
      <c r="A339" t="s">
        <v>192</v>
      </c>
      <c r="O339">
        <v>6.5</v>
      </c>
      <c r="P339">
        <v>52</v>
      </c>
      <c r="R339" s="14">
        <v>8.9</v>
      </c>
      <c r="T339" s="39">
        <v>43716</v>
      </c>
      <c r="U339" s="25" t="s">
        <v>384</v>
      </c>
      <c r="V339" s="41" t="s">
        <v>311</v>
      </c>
      <c r="W339" s="24" t="s">
        <v>307</v>
      </c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</row>
    <row r="340" spans="1:55" x14ac:dyDescent="0.2">
      <c r="A340" t="s">
        <v>192</v>
      </c>
      <c r="E340" t="s">
        <v>75</v>
      </c>
      <c r="O340">
        <v>5.5</v>
      </c>
      <c r="P340">
        <v>45</v>
      </c>
      <c r="R340">
        <v>6.2</v>
      </c>
      <c r="T340" s="39">
        <v>43716</v>
      </c>
      <c r="U340" s="25" t="s">
        <v>384</v>
      </c>
      <c r="V340" t="s">
        <v>289</v>
      </c>
      <c r="W340" s="24" t="s">
        <v>287</v>
      </c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</row>
    <row r="341" spans="1:55" x14ac:dyDescent="0.2">
      <c r="A341" t="s">
        <v>192</v>
      </c>
      <c r="D341" t="s">
        <v>75</v>
      </c>
      <c r="O341">
        <v>3.5</v>
      </c>
      <c r="P341">
        <v>49</v>
      </c>
      <c r="R341">
        <v>27.6</v>
      </c>
      <c r="T341" s="39">
        <v>43716</v>
      </c>
      <c r="U341" s="25" t="s">
        <v>384</v>
      </c>
      <c r="V341" t="s">
        <v>297</v>
      </c>
      <c r="W341" s="24" t="s">
        <v>288</v>
      </c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</row>
    <row r="342" spans="1:55" x14ac:dyDescent="0.2">
      <c r="A342" t="s">
        <v>192</v>
      </c>
      <c r="F342" t="s">
        <v>109</v>
      </c>
      <c r="O342">
        <v>-3.5</v>
      </c>
      <c r="P342">
        <v>49</v>
      </c>
      <c r="R342">
        <v>4.0999999999999996</v>
      </c>
      <c r="T342" s="39">
        <v>43716</v>
      </c>
      <c r="U342" s="25" t="s">
        <v>384</v>
      </c>
      <c r="V342" t="s">
        <v>288</v>
      </c>
      <c r="W342" s="24" t="s">
        <v>297</v>
      </c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</row>
    <row r="343" spans="1:55" x14ac:dyDescent="0.2">
      <c r="A343" t="s">
        <v>192</v>
      </c>
      <c r="F343" t="s">
        <v>109</v>
      </c>
      <c r="O343">
        <v>3</v>
      </c>
      <c r="P343">
        <v>42.5</v>
      </c>
      <c r="R343">
        <v>4.5999999999999996</v>
      </c>
      <c r="T343" s="39">
        <v>43716</v>
      </c>
      <c r="U343" s="25" t="s">
        <v>384</v>
      </c>
      <c r="V343" t="s">
        <v>303</v>
      </c>
      <c r="W343" s="24" t="s">
        <v>278</v>
      </c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</row>
    <row r="344" spans="1:55" x14ac:dyDescent="0.2">
      <c r="A344" t="s">
        <v>192</v>
      </c>
      <c r="E344" t="s">
        <v>75</v>
      </c>
      <c r="O344">
        <v>-5.5</v>
      </c>
      <c r="P344">
        <v>45</v>
      </c>
      <c r="R344">
        <v>4.9000000000000004</v>
      </c>
      <c r="T344" s="39">
        <v>43716</v>
      </c>
      <c r="U344" s="25" t="s">
        <v>384</v>
      </c>
      <c r="V344" t="s">
        <v>287</v>
      </c>
      <c r="W344" s="24" t="s">
        <v>289</v>
      </c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</row>
    <row r="345" spans="1:55" x14ac:dyDescent="0.2">
      <c r="A345" t="s">
        <v>192</v>
      </c>
      <c r="F345" t="s">
        <v>109</v>
      </c>
      <c r="O345">
        <v>-1.5</v>
      </c>
      <c r="P345">
        <v>49.5</v>
      </c>
      <c r="R345">
        <v>16.600000000000001</v>
      </c>
      <c r="T345" s="39">
        <v>43716</v>
      </c>
      <c r="U345" s="25" t="s">
        <v>384</v>
      </c>
      <c r="V345" t="s">
        <v>304</v>
      </c>
      <c r="W345" s="24" t="s">
        <v>301</v>
      </c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</row>
    <row r="346" spans="1:55" x14ac:dyDescent="0.2">
      <c r="A346" t="s">
        <v>192</v>
      </c>
      <c r="D346" t="s">
        <v>75</v>
      </c>
      <c r="E346" t="s">
        <v>75</v>
      </c>
      <c r="O346">
        <v>7</v>
      </c>
      <c r="P346">
        <v>41</v>
      </c>
      <c r="R346">
        <v>10.5</v>
      </c>
      <c r="T346" s="39">
        <v>43716</v>
      </c>
      <c r="U346" s="25" t="s">
        <v>384</v>
      </c>
      <c r="V346" t="s">
        <v>293</v>
      </c>
      <c r="W346" s="24" t="s">
        <v>305</v>
      </c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</row>
    <row r="347" spans="1:55" x14ac:dyDescent="0.2">
      <c r="A347" t="s">
        <v>192</v>
      </c>
      <c r="D347" t="s">
        <v>75</v>
      </c>
      <c r="O347">
        <v>-3.5</v>
      </c>
      <c r="P347">
        <v>47</v>
      </c>
      <c r="R347">
        <v>5.7</v>
      </c>
      <c r="T347" s="39">
        <v>43716</v>
      </c>
      <c r="U347" s="25" t="s">
        <v>384</v>
      </c>
      <c r="V347" s="41" t="s">
        <v>312</v>
      </c>
      <c r="W347" s="24" t="s">
        <v>295</v>
      </c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</row>
    <row r="348" spans="1:55" x14ac:dyDescent="0.2">
      <c r="A348" t="s">
        <v>192</v>
      </c>
      <c r="O348">
        <v>-5.5</v>
      </c>
      <c r="P348">
        <v>49</v>
      </c>
      <c r="R348">
        <v>16.3</v>
      </c>
      <c r="T348" s="39">
        <v>43716</v>
      </c>
      <c r="U348" s="25" t="s">
        <v>384</v>
      </c>
      <c r="V348" t="s">
        <v>302</v>
      </c>
      <c r="W348" s="24" t="s">
        <v>309</v>
      </c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</row>
    <row r="349" spans="1:55" x14ac:dyDescent="0.2">
      <c r="A349" t="s">
        <v>192</v>
      </c>
      <c r="O349">
        <v>-6.5</v>
      </c>
      <c r="P349">
        <v>52</v>
      </c>
      <c r="R349">
        <v>20.100000000000001</v>
      </c>
      <c r="T349" s="39">
        <v>43716</v>
      </c>
      <c r="U349" s="25" t="s">
        <v>384</v>
      </c>
      <c r="V349" s="41" t="s">
        <v>307</v>
      </c>
      <c r="W349" s="24" t="s">
        <v>311</v>
      </c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</row>
    <row r="350" spans="1:55" x14ac:dyDescent="0.2">
      <c r="A350" t="s">
        <v>192</v>
      </c>
      <c r="E350" t="s">
        <v>75</v>
      </c>
      <c r="O350">
        <v>7</v>
      </c>
      <c r="P350">
        <v>44</v>
      </c>
      <c r="R350">
        <v>10.4</v>
      </c>
      <c r="T350" s="39">
        <v>43716</v>
      </c>
      <c r="U350" s="25" t="s">
        <v>384</v>
      </c>
      <c r="V350" t="s">
        <v>296</v>
      </c>
      <c r="W350" s="24" t="s">
        <v>291</v>
      </c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</row>
    <row r="351" spans="1:55" x14ac:dyDescent="0.2">
      <c r="A351" t="s">
        <v>192</v>
      </c>
      <c r="O351">
        <v>-2.5</v>
      </c>
      <c r="P351">
        <v>41</v>
      </c>
      <c r="R351">
        <v>5.3</v>
      </c>
      <c r="T351" s="39">
        <v>43716</v>
      </c>
      <c r="U351" s="25" t="s">
        <v>384</v>
      </c>
      <c r="V351" s="41" t="s">
        <v>298</v>
      </c>
      <c r="W351" s="24" t="s">
        <v>276</v>
      </c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</row>
    <row r="352" spans="1:55" x14ac:dyDescent="0.2">
      <c r="A352" t="s">
        <v>192</v>
      </c>
      <c r="D352" t="s">
        <v>75</v>
      </c>
      <c r="E352" t="s">
        <v>75</v>
      </c>
      <c r="F352" t="s">
        <v>110</v>
      </c>
      <c r="O352">
        <v>-10.5</v>
      </c>
      <c r="P352">
        <v>44</v>
      </c>
      <c r="R352">
        <v>38.4</v>
      </c>
      <c r="T352" s="39">
        <v>43716</v>
      </c>
      <c r="U352" s="25" t="s">
        <v>384</v>
      </c>
      <c r="V352" s="41" t="s">
        <v>294</v>
      </c>
      <c r="W352" s="24" t="s">
        <v>306</v>
      </c>
    </row>
    <row r="353" spans="1:23" x14ac:dyDescent="0.2">
      <c r="A353" t="s">
        <v>192</v>
      </c>
      <c r="O353">
        <v>5.5</v>
      </c>
      <c r="P353">
        <v>49</v>
      </c>
      <c r="R353">
        <v>3.7</v>
      </c>
      <c r="T353" s="39">
        <v>43716</v>
      </c>
      <c r="U353" s="25" t="s">
        <v>384</v>
      </c>
      <c r="V353" s="41" t="s">
        <v>309</v>
      </c>
      <c r="W353" s="24" t="s">
        <v>302</v>
      </c>
    </row>
    <row r="354" spans="1:23" x14ac:dyDescent="0.2">
      <c r="A354" t="s">
        <v>192</v>
      </c>
      <c r="D354" t="s">
        <v>75</v>
      </c>
      <c r="F354" t="s">
        <v>109</v>
      </c>
      <c r="O354">
        <v>1</v>
      </c>
      <c r="P354">
        <v>51</v>
      </c>
      <c r="R354">
        <v>1.7</v>
      </c>
      <c r="T354" s="39">
        <v>43716</v>
      </c>
      <c r="U354" s="25" t="s">
        <v>384</v>
      </c>
      <c r="V354" s="40" t="s">
        <v>256</v>
      </c>
      <c r="W354" s="24" t="s">
        <v>284</v>
      </c>
    </row>
    <row r="355" spans="1:23" x14ac:dyDescent="0.2">
      <c r="A355" t="s">
        <v>192</v>
      </c>
      <c r="O355">
        <v>-9.5</v>
      </c>
      <c r="P355">
        <v>44</v>
      </c>
      <c r="R355">
        <v>12.9</v>
      </c>
      <c r="T355" s="39">
        <v>43716</v>
      </c>
      <c r="U355" s="25" t="s">
        <v>384</v>
      </c>
      <c r="V355" s="41" t="s">
        <v>308</v>
      </c>
      <c r="W355" s="24" t="s">
        <v>272</v>
      </c>
    </row>
    <row r="356" spans="1:23" x14ac:dyDescent="0.2">
      <c r="A356" t="s">
        <v>192</v>
      </c>
      <c r="F356" t="s">
        <v>109</v>
      </c>
      <c r="O356">
        <v>-1</v>
      </c>
      <c r="P356">
        <v>51</v>
      </c>
      <c r="R356">
        <v>14.3</v>
      </c>
      <c r="T356" s="39">
        <v>43716</v>
      </c>
      <c r="U356" s="25" t="s">
        <v>384</v>
      </c>
      <c r="V356" s="41" t="s">
        <v>284</v>
      </c>
      <c r="W356" s="24" t="s">
        <v>256</v>
      </c>
    </row>
    <row r="357" spans="1:23" x14ac:dyDescent="0.2">
      <c r="A357" t="s">
        <v>192</v>
      </c>
      <c r="F357" t="s">
        <v>110</v>
      </c>
      <c r="O357">
        <v>5.5</v>
      </c>
      <c r="P357">
        <v>44</v>
      </c>
      <c r="R357">
        <v>16</v>
      </c>
      <c r="T357" s="39">
        <v>43716</v>
      </c>
      <c r="U357" s="25" t="s">
        <v>384</v>
      </c>
      <c r="V357" s="41" t="s">
        <v>310</v>
      </c>
      <c r="W357" s="24" t="s">
        <v>281</v>
      </c>
    </row>
    <row r="358" spans="1:23" x14ac:dyDescent="0.2">
      <c r="A358" t="s">
        <v>192</v>
      </c>
      <c r="D358" t="s">
        <v>75</v>
      </c>
      <c r="E358" t="s">
        <v>75</v>
      </c>
      <c r="F358" t="s">
        <v>110</v>
      </c>
      <c r="O358">
        <v>10.5</v>
      </c>
      <c r="P358">
        <v>44</v>
      </c>
      <c r="R358">
        <v>7.6</v>
      </c>
      <c r="T358" s="39">
        <v>43716</v>
      </c>
      <c r="U358" s="25" t="s">
        <v>384</v>
      </c>
      <c r="V358" s="41" t="s">
        <v>306</v>
      </c>
      <c r="W358" s="24" t="s">
        <v>294</v>
      </c>
    </row>
    <row r="359" spans="1:23" x14ac:dyDescent="0.2">
      <c r="A359" t="s">
        <v>192</v>
      </c>
      <c r="B359" t="s">
        <v>50</v>
      </c>
      <c r="C359">
        <v>11.8</v>
      </c>
      <c r="D359" t="s">
        <v>76</v>
      </c>
      <c r="E359" t="s">
        <v>75</v>
      </c>
      <c r="F359" t="s">
        <v>109</v>
      </c>
      <c r="O359">
        <v>13</v>
      </c>
      <c r="P359">
        <v>46</v>
      </c>
      <c r="Q359">
        <v>4.5</v>
      </c>
      <c r="R359">
        <v>20.399999999999999</v>
      </c>
      <c r="S359" s="1">
        <f>R359/Q359</f>
        <v>4.5333333333333332</v>
      </c>
      <c r="T359" s="39">
        <v>43723</v>
      </c>
      <c r="U359" s="25" t="s">
        <v>383</v>
      </c>
      <c r="V359" s="41" t="s">
        <v>285</v>
      </c>
      <c r="W359" s="24" t="s">
        <v>305</v>
      </c>
    </row>
    <row r="360" spans="1:23" x14ac:dyDescent="0.2">
      <c r="A360" t="s">
        <v>192</v>
      </c>
      <c r="O360">
        <v>1</v>
      </c>
      <c r="P360">
        <v>53</v>
      </c>
      <c r="R360">
        <v>27.5</v>
      </c>
      <c r="T360" s="39">
        <v>43723</v>
      </c>
      <c r="U360" s="25" t="s">
        <v>383</v>
      </c>
      <c r="V360" s="41" t="s">
        <v>295</v>
      </c>
      <c r="W360" s="24" t="s">
        <v>294</v>
      </c>
    </row>
    <row r="361" spans="1:23" x14ac:dyDescent="0.2">
      <c r="A361" t="s">
        <v>192</v>
      </c>
      <c r="E361" t="s">
        <v>75</v>
      </c>
      <c r="F361" t="s">
        <v>109</v>
      </c>
      <c r="O361">
        <v>-13</v>
      </c>
      <c r="P361">
        <v>46</v>
      </c>
      <c r="R361">
        <v>1.5</v>
      </c>
      <c r="T361" s="39">
        <v>43723</v>
      </c>
      <c r="U361" s="25" t="s">
        <v>383</v>
      </c>
      <c r="V361" s="41" t="s">
        <v>305</v>
      </c>
      <c r="W361" s="24" t="s">
        <v>285</v>
      </c>
    </row>
    <row r="362" spans="1:23" x14ac:dyDescent="0.2">
      <c r="A362" t="s">
        <v>192</v>
      </c>
      <c r="B362" t="s">
        <v>46</v>
      </c>
      <c r="C362">
        <v>10.7</v>
      </c>
      <c r="D362" t="s">
        <v>75</v>
      </c>
      <c r="E362" t="s">
        <v>76</v>
      </c>
      <c r="O362">
        <v>-1</v>
      </c>
      <c r="P362">
        <v>44.5</v>
      </c>
      <c r="Q362">
        <v>3.8</v>
      </c>
      <c r="R362">
        <v>12.3</v>
      </c>
      <c r="S362" s="1">
        <v>3.2</v>
      </c>
      <c r="T362" s="39">
        <v>43723</v>
      </c>
      <c r="U362" s="25" t="s">
        <v>383</v>
      </c>
      <c r="V362" s="41" t="s">
        <v>276</v>
      </c>
      <c r="W362" s="24" t="s">
        <v>296</v>
      </c>
    </row>
    <row r="363" spans="1:23" x14ac:dyDescent="0.2">
      <c r="A363" t="s">
        <v>192</v>
      </c>
      <c r="B363" t="s">
        <v>49</v>
      </c>
      <c r="C363">
        <v>7.5</v>
      </c>
      <c r="D363" t="s">
        <v>75</v>
      </c>
      <c r="E363" t="s">
        <v>76</v>
      </c>
      <c r="O363">
        <v>-6.5</v>
      </c>
      <c r="P363">
        <v>48</v>
      </c>
      <c r="Q363">
        <v>4.8</v>
      </c>
      <c r="R363">
        <v>14.3</v>
      </c>
      <c r="S363" s="1">
        <v>3</v>
      </c>
      <c r="T363" s="39">
        <v>43723</v>
      </c>
      <c r="U363" s="25" t="s">
        <v>383</v>
      </c>
      <c r="V363" t="s">
        <v>301</v>
      </c>
      <c r="W363" s="24" t="s">
        <v>284</v>
      </c>
    </row>
    <row r="364" spans="1:23" x14ac:dyDescent="0.2">
      <c r="A364" t="s">
        <v>192</v>
      </c>
      <c r="O364">
        <v>-3</v>
      </c>
      <c r="P364">
        <v>41</v>
      </c>
      <c r="R364">
        <v>3.5</v>
      </c>
      <c r="T364" s="39">
        <v>43723</v>
      </c>
      <c r="U364" s="25" t="s">
        <v>383</v>
      </c>
      <c r="V364" t="s">
        <v>265</v>
      </c>
      <c r="W364" s="24" t="s">
        <v>278</v>
      </c>
    </row>
    <row r="365" spans="1:23" x14ac:dyDescent="0.2">
      <c r="A365" t="s">
        <v>192</v>
      </c>
      <c r="B365" s="1" t="s">
        <v>91</v>
      </c>
      <c r="I365" t="s">
        <v>75</v>
      </c>
      <c r="J365" t="s">
        <v>76</v>
      </c>
      <c r="K365" t="s">
        <v>76</v>
      </c>
      <c r="L365" t="s">
        <v>76</v>
      </c>
      <c r="M365" t="s">
        <v>76</v>
      </c>
      <c r="N365" t="s">
        <v>132</v>
      </c>
      <c r="O365">
        <v>-1</v>
      </c>
      <c r="P365">
        <v>46</v>
      </c>
      <c r="Q365">
        <v>6.5</v>
      </c>
      <c r="R365">
        <v>24.2</v>
      </c>
      <c r="S365" s="1">
        <v>3.9</v>
      </c>
      <c r="T365" s="39">
        <v>43723</v>
      </c>
      <c r="U365" s="25" t="s">
        <v>383</v>
      </c>
      <c r="V365" s="17" t="s">
        <v>272</v>
      </c>
      <c r="W365" s="24" t="s">
        <v>256</v>
      </c>
    </row>
    <row r="366" spans="1:23" x14ac:dyDescent="0.2">
      <c r="A366" t="s">
        <v>192</v>
      </c>
      <c r="B366" s="1" t="s">
        <v>135</v>
      </c>
      <c r="I366" t="s">
        <v>75</v>
      </c>
      <c r="J366" t="s">
        <v>76</v>
      </c>
      <c r="K366" t="s">
        <v>76</v>
      </c>
      <c r="L366" t="s">
        <v>76</v>
      </c>
      <c r="M366" t="s">
        <v>76</v>
      </c>
      <c r="N366" t="s">
        <v>132</v>
      </c>
      <c r="O366">
        <v>-1</v>
      </c>
      <c r="P366">
        <v>46</v>
      </c>
      <c r="Q366">
        <v>4.5999999999999996</v>
      </c>
      <c r="R366">
        <v>24.2</v>
      </c>
      <c r="S366" s="1">
        <v>5.3</v>
      </c>
      <c r="T366" s="39">
        <v>43723</v>
      </c>
      <c r="U366" s="25" t="s">
        <v>383</v>
      </c>
      <c r="V366" s="17" t="s">
        <v>272</v>
      </c>
      <c r="W366" s="24" t="s">
        <v>256</v>
      </c>
    </row>
    <row r="367" spans="1:23" x14ac:dyDescent="0.2">
      <c r="A367" t="s">
        <v>192</v>
      </c>
      <c r="B367" t="s">
        <v>52</v>
      </c>
      <c r="C367">
        <v>11</v>
      </c>
      <c r="D367" t="s">
        <v>75</v>
      </c>
      <c r="E367" t="s">
        <v>76</v>
      </c>
      <c r="O367">
        <v>-6.5</v>
      </c>
      <c r="P367">
        <v>45.5</v>
      </c>
      <c r="Q367">
        <v>5.8</v>
      </c>
      <c r="R367">
        <v>6.2</v>
      </c>
      <c r="S367" s="1">
        <v>1.1000000000000001</v>
      </c>
      <c r="T367" s="39">
        <v>43723</v>
      </c>
      <c r="U367" s="25" t="s">
        <v>383</v>
      </c>
      <c r="V367" t="s">
        <v>281</v>
      </c>
      <c r="W367" s="24" t="s">
        <v>298</v>
      </c>
    </row>
    <row r="368" spans="1:23" x14ac:dyDescent="0.2">
      <c r="A368" t="s">
        <v>192</v>
      </c>
      <c r="E368" t="s">
        <v>75</v>
      </c>
      <c r="O368">
        <v>-6</v>
      </c>
      <c r="P368">
        <v>46.5</v>
      </c>
      <c r="R368">
        <f>12.8+16.4</f>
        <v>29.2</v>
      </c>
      <c r="T368" s="39">
        <v>43723</v>
      </c>
      <c r="U368" s="25" t="s">
        <v>383</v>
      </c>
      <c r="V368" t="s">
        <v>291</v>
      </c>
      <c r="W368" s="24" t="s">
        <v>306</v>
      </c>
    </row>
    <row r="369" spans="1:23" x14ac:dyDescent="0.2">
      <c r="A369" t="s">
        <v>192</v>
      </c>
      <c r="O369">
        <v>3</v>
      </c>
      <c r="P369">
        <v>41</v>
      </c>
      <c r="R369">
        <v>28.8</v>
      </c>
      <c r="T369" s="39">
        <v>43723</v>
      </c>
      <c r="U369" t="s">
        <v>383</v>
      </c>
      <c r="V369" t="s">
        <v>278</v>
      </c>
      <c r="W369" t="s">
        <v>265</v>
      </c>
    </row>
    <row r="370" spans="1:23" x14ac:dyDescent="0.2">
      <c r="A370" t="s">
        <v>192</v>
      </c>
      <c r="F370" t="s">
        <v>110</v>
      </c>
      <c r="O370">
        <v>1</v>
      </c>
      <c r="P370">
        <v>47</v>
      </c>
      <c r="R370" s="14">
        <v>9.3000000000000007</v>
      </c>
      <c r="T370" s="39">
        <v>43723</v>
      </c>
      <c r="U370" s="25" t="s">
        <v>383</v>
      </c>
      <c r="V370" t="s">
        <v>299</v>
      </c>
      <c r="W370" s="24" t="s">
        <v>287</v>
      </c>
    </row>
    <row r="371" spans="1:23" x14ac:dyDescent="0.2">
      <c r="A371" t="s">
        <v>192</v>
      </c>
      <c r="B371" t="s">
        <v>58</v>
      </c>
      <c r="C371">
        <v>10.4</v>
      </c>
      <c r="D371" t="s">
        <v>76</v>
      </c>
      <c r="E371" t="s">
        <v>76</v>
      </c>
      <c r="F371" t="s">
        <v>110</v>
      </c>
      <c r="O371">
        <v>-3</v>
      </c>
      <c r="P371">
        <v>43</v>
      </c>
      <c r="Q371">
        <v>4.5999999999999996</v>
      </c>
      <c r="R371">
        <v>4.9000000000000004</v>
      </c>
      <c r="S371" s="1">
        <v>1.1000000000000001</v>
      </c>
      <c r="T371" s="39">
        <v>43723</v>
      </c>
      <c r="U371" s="25" t="s">
        <v>383</v>
      </c>
      <c r="V371" t="s">
        <v>300</v>
      </c>
      <c r="W371" s="24" t="s">
        <v>312</v>
      </c>
    </row>
    <row r="372" spans="1:23" x14ac:dyDescent="0.2">
      <c r="A372" t="s">
        <v>192</v>
      </c>
      <c r="O372">
        <v>-7.5</v>
      </c>
      <c r="P372">
        <v>43</v>
      </c>
      <c r="R372" s="14">
        <v>8</v>
      </c>
      <c r="T372" s="39">
        <v>43723</v>
      </c>
      <c r="U372" s="25" t="s">
        <v>383</v>
      </c>
      <c r="V372" t="s">
        <v>311</v>
      </c>
      <c r="W372" s="24" t="s">
        <v>297</v>
      </c>
    </row>
    <row r="373" spans="1:23" x14ac:dyDescent="0.2">
      <c r="A373" t="s">
        <v>192</v>
      </c>
      <c r="F373" t="s">
        <v>110</v>
      </c>
      <c r="O373">
        <v>3</v>
      </c>
      <c r="P373">
        <v>43.5</v>
      </c>
      <c r="R373">
        <v>8.1999999999999993</v>
      </c>
      <c r="T373" s="39">
        <v>43723</v>
      </c>
      <c r="U373" s="25" t="s">
        <v>383</v>
      </c>
      <c r="V373" t="s">
        <v>289</v>
      </c>
      <c r="W373" s="24" t="s">
        <v>310</v>
      </c>
    </row>
    <row r="374" spans="1:23" x14ac:dyDescent="0.2">
      <c r="A374" t="s">
        <v>192</v>
      </c>
      <c r="O374">
        <v>7.5</v>
      </c>
      <c r="P374">
        <v>43</v>
      </c>
      <c r="R374">
        <v>18.5</v>
      </c>
      <c r="T374" s="39">
        <v>43723</v>
      </c>
      <c r="U374" s="25" t="s">
        <v>383</v>
      </c>
      <c r="V374" t="s">
        <v>297</v>
      </c>
      <c r="W374" s="24" t="s">
        <v>311</v>
      </c>
    </row>
    <row r="375" spans="1:23" x14ac:dyDescent="0.2">
      <c r="A375" t="s">
        <v>192</v>
      </c>
      <c r="B375" t="s">
        <v>18</v>
      </c>
      <c r="E375" t="s">
        <v>75</v>
      </c>
      <c r="I375" t="s">
        <v>75</v>
      </c>
      <c r="J375" t="s">
        <v>76</v>
      </c>
      <c r="K375" t="s">
        <v>76</v>
      </c>
      <c r="L375" t="s">
        <v>75</v>
      </c>
      <c r="M375" t="s">
        <v>75</v>
      </c>
      <c r="N375" t="s">
        <v>134</v>
      </c>
      <c r="O375">
        <v>-7</v>
      </c>
      <c r="P375">
        <v>53.5</v>
      </c>
      <c r="Q375">
        <v>7.2</v>
      </c>
      <c r="R375">
        <v>38.200000000000003</v>
      </c>
      <c r="S375" s="1">
        <v>1.5</v>
      </c>
      <c r="T375" s="39">
        <v>43723</v>
      </c>
      <c r="U375" s="25" t="s">
        <v>383</v>
      </c>
      <c r="V375" t="s">
        <v>288</v>
      </c>
      <c r="W375" s="24" t="s">
        <v>303</v>
      </c>
    </row>
    <row r="376" spans="1:23" x14ac:dyDescent="0.2">
      <c r="A376" t="s">
        <v>192</v>
      </c>
      <c r="E376" t="s">
        <v>75</v>
      </c>
      <c r="O376">
        <v>7</v>
      </c>
      <c r="P376">
        <v>53.5</v>
      </c>
      <c r="R376">
        <v>7</v>
      </c>
      <c r="T376" s="39">
        <v>43723</v>
      </c>
      <c r="U376" s="25" t="s">
        <v>383</v>
      </c>
      <c r="V376" t="s">
        <v>303</v>
      </c>
      <c r="W376" s="24" t="s">
        <v>288</v>
      </c>
    </row>
    <row r="377" spans="1:23" x14ac:dyDescent="0.2">
      <c r="A377" t="s">
        <v>192</v>
      </c>
      <c r="B377" t="s">
        <v>83</v>
      </c>
      <c r="F377" t="s">
        <v>110</v>
      </c>
      <c r="I377" t="s">
        <v>76</v>
      </c>
      <c r="J377" t="s">
        <v>75</v>
      </c>
      <c r="K377" t="s">
        <v>76</v>
      </c>
      <c r="L377" t="s">
        <v>76</v>
      </c>
      <c r="M377" t="s">
        <v>76</v>
      </c>
      <c r="N377" t="s">
        <v>134</v>
      </c>
      <c r="O377">
        <v>-1</v>
      </c>
      <c r="P377">
        <v>47</v>
      </c>
      <c r="Q377">
        <v>5.5</v>
      </c>
      <c r="R377">
        <v>11.3</v>
      </c>
      <c r="S377" s="1">
        <v>2.1</v>
      </c>
      <c r="T377" s="39">
        <v>43723</v>
      </c>
      <c r="U377" s="25" t="s">
        <v>383</v>
      </c>
      <c r="V377" t="s">
        <v>287</v>
      </c>
      <c r="W377" s="24" t="s">
        <v>299</v>
      </c>
    </row>
    <row r="378" spans="1:23" x14ac:dyDescent="0.2">
      <c r="A378" t="s">
        <v>192</v>
      </c>
      <c r="F378" t="s">
        <v>109</v>
      </c>
      <c r="O378">
        <v>-2</v>
      </c>
      <c r="P378">
        <v>52.5</v>
      </c>
      <c r="R378">
        <v>6.2</v>
      </c>
      <c r="T378" s="39">
        <v>43723</v>
      </c>
      <c r="U378" s="25" t="s">
        <v>383</v>
      </c>
      <c r="V378" t="s">
        <v>304</v>
      </c>
      <c r="W378" s="24" t="s">
        <v>307</v>
      </c>
    </row>
    <row r="379" spans="1:23" x14ac:dyDescent="0.2">
      <c r="A379" t="s">
        <v>192</v>
      </c>
      <c r="B379" t="s">
        <v>24</v>
      </c>
      <c r="C379">
        <v>11.1</v>
      </c>
      <c r="O379">
        <v>18</v>
      </c>
      <c r="P379">
        <v>48.5</v>
      </c>
      <c r="Q379">
        <v>4.0999999999999996</v>
      </c>
      <c r="R379">
        <v>0</v>
      </c>
      <c r="S379" s="1">
        <v>0</v>
      </c>
      <c r="T379" s="39">
        <v>43723</v>
      </c>
      <c r="U379" s="25" t="s">
        <v>383</v>
      </c>
      <c r="V379" t="s">
        <v>293</v>
      </c>
      <c r="W379" s="24" t="s">
        <v>302</v>
      </c>
    </row>
    <row r="380" spans="1:23" x14ac:dyDescent="0.2">
      <c r="A380" t="s">
        <v>192</v>
      </c>
      <c r="F380" t="s">
        <v>110</v>
      </c>
      <c r="O380">
        <v>3</v>
      </c>
      <c r="P380">
        <v>43</v>
      </c>
      <c r="R380">
        <v>10.9</v>
      </c>
      <c r="T380" s="39">
        <v>43723</v>
      </c>
      <c r="U380" s="25" t="s">
        <v>383</v>
      </c>
      <c r="V380" t="s">
        <v>312</v>
      </c>
      <c r="W380" s="24" t="s">
        <v>300</v>
      </c>
    </row>
    <row r="381" spans="1:23" x14ac:dyDescent="0.2">
      <c r="A381" t="s">
        <v>192</v>
      </c>
      <c r="O381">
        <v>-18</v>
      </c>
      <c r="P381">
        <v>48.5</v>
      </c>
      <c r="R381">
        <v>9.1999999999999993</v>
      </c>
      <c r="T381" s="39">
        <v>43723</v>
      </c>
      <c r="U381" s="25" t="s">
        <v>383</v>
      </c>
      <c r="V381" t="s">
        <v>302</v>
      </c>
      <c r="W381" s="24" t="s">
        <v>293</v>
      </c>
    </row>
    <row r="382" spans="1:23" x14ac:dyDescent="0.2">
      <c r="A382" t="s">
        <v>192</v>
      </c>
      <c r="F382" t="s">
        <v>109</v>
      </c>
      <c r="O382">
        <v>2</v>
      </c>
      <c r="P382">
        <v>52.5</v>
      </c>
      <c r="R382" s="14">
        <v>7.9</v>
      </c>
      <c r="T382" s="39">
        <v>43723</v>
      </c>
      <c r="U382" s="25" t="s">
        <v>383</v>
      </c>
      <c r="V382" t="s">
        <v>307</v>
      </c>
      <c r="W382" s="24" t="s">
        <v>304</v>
      </c>
    </row>
    <row r="383" spans="1:23" x14ac:dyDescent="0.2">
      <c r="A383" t="s">
        <v>192</v>
      </c>
      <c r="B383" t="s">
        <v>15</v>
      </c>
      <c r="I383" t="s">
        <v>75</v>
      </c>
      <c r="J383" t="s">
        <v>76</v>
      </c>
      <c r="K383" t="s">
        <v>75</v>
      </c>
      <c r="L383" t="s">
        <v>76</v>
      </c>
      <c r="M383" t="s">
        <v>76</v>
      </c>
      <c r="N383" t="s">
        <v>132</v>
      </c>
      <c r="O383">
        <v>1</v>
      </c>
      <c r="P383">
        <v>44.5</v>
      </c>
      <c r="Q383">
        <v>3.3</v>
      </c>
      <c r="R383">
        <v>12.1</v>
      </c>
      <c r="S383" s="1">
        <v>3.7</v>
      </c>
      <c r="T383" s="39">
        <v>43723</v>
      </c>
      <c r="U383" s="25" t="s">
        <v>383</v>
      </c>
      <c r="V383" t="s">
        <v>296</v>
      </c>
      <c r="W383" s="24" t="s">
        <v>276</v>
      </c>
    </row>
    <row r="384" spans="1:23" x14ac:dyDescent="0.2">
      <c r="A384" t="s">
        <v>192</v>
      </c>
      <c r="B384" t="s">
        <v>27</v>
      </c>
      <c r="C384">
        <v>11</v>
      </c>
      <c r="D384" t="s">
        <v>76</v>
      </c>
      <c r="E384" t="s">
        <v>76</v>
      </c>
      <c r="F384" s="3"/>
      <c r="O384">
        <v>6.5</v>
      </c>
      <c r="P384">
        <v>45.5</v>
      </c>
      <c r="Q384">
        <v>4.9000000000000004</v>
      </c>
      <c r="R384" s="3">
        <v>12.1</v>
      </c>
      <c r="S384" s="1">
        <v>2.5</v>
      </c>
      <c r="T384" s="39">
        <v>43723</v>
      </c>
      <c r="U384" s="33" t="s">
        <v>383</v>
      </c>
      <c r="V384" t="s">
        <v>298</v>
      </c>
      <c r="W384" s="36" t="s">
        <v>281</v>
      </c>
    </row>
    <row r="385" spans="1:23" x14ac:dyDescent="0.2">
      <c r="A385" t="s">
        <v>192</v>
      </c>
      <c r="O385">
        <v>-1</v>
      </c>
      <c r="P385">
        <v>53</v>
      </c>
      <c r="R385">
        <v>10</v>
      </c>
      <c r="T385" s="39">
        <v>43723</v>
      </c>
      <c r="U385" s="25" t="s">
        <v>383</v>
      </c>
      <c r="V385" t="s">
        <v>294</v>
      </c>
      <c r="W385" s="24" t="s">
        <v>295</v>
      </c>
    </row>
    <row r="386" spans="1:23" x14ac:dyDescent="0.2">
      <c r="A386" t="s">
        <v>192</v>
      </c>
      <c r="B386" t="s">
        <v>70</v>
      </c>
      <c r="C386">
        <v>10.199999999999999</v>
      </c>
      <c r="D386" t="s">
        <v>76</v>
      </c>
      <c r="E386" t="s">
        <v>76</v>
      </c>
      <c r="O386">
        <v>-4</v>
      </c>
      <c r="P386">
        <v>47</v>
      </c>
      <c r="Q386">
        <v>3.6</v>
      </c>
      <c r="R386">
        <v>4.3</v>
      </c>
      <c r="S386" s="1">
        <v>1.2</v>
      </c>
      <c r="T386" s="39">
        <v>43723</v>
      </c>
      <c r="U386" s="25" t="s">
        <v>383</v>
      </c>
      <c r="V386" t="s">
        <v>309</v>
      </c>
      <c r="W386" s="24" t="s">
        <v>308</v>
      </c>
    </row>
    <row r="387" spans="1:23" x14ac:dyDescent="0.2">
      <c r="A387" t="s">
        <v>192</v>
      </c>
      <c r="F387" t="s">
        <v>109</v>
      </c>
      <c r="O387">
        <v>1</v>
      </c>
      <c r="P387">
        <v>46</v>
      </c>
      <c r="R387">
        <v>16.7</v>
      </c>
      <c r="T387" s="39">
        <v>43723</v>
      </c>
      <c r="U387" s="25" t="s">
        <v>383</v>
      </c>
      <c r="V387" s="22" t="s">
        <v>256</v>
      </c>
      <c r="W387" s="24" t="s">
        <v>272</v>
      </c>
    </row>
    <row r="388" spans="1:23" x14ac:dyDescent="0.2">
      <c r="A388" t="s">
        <v>192</v>
      </c>
      <c r="O388">
        <v>4</v>
      </c>
      <c r="P388">
        <v>47</v>
      </c>
      <c r="R388">
        <v>15.1</v>
      </c>
      <c r="T388" s="39">
        <v>43723</v>
      </c>
      <c r="U388" s="25" t="s">
        <v>383</v>
      </c>
      <c r="V388" t="s">
        <v>308</v>
      </c>
      <c r="W388" s="24" t="s">
        <v>309</v>
      </c>
    </row>
    <row r="389" spans="1:23" x14ac:dyDescent="0.2">
      <c r="A389" t="s">
        <v>192</v>
      </c>
      <c r="O389">
        <v>6.5</v>
      </c>
      <c r="P389">
        <v>48</v>
      </c>
      <c r="R389">
        <v>29.1</v>
      </c>
      <c r="T389" s="39">
        <v>43723</v>
      </c>
      <c r="U389" s="25" t="s">
        <v>383</v>
      </c>
      <c r="V389" t="s">
        <v>284</v>
      </c>
      <c r="W389" s="24" t="s">
        <v>301</v>
      </c>
    </row>
    <row r="390" spans="1:23" x14ac:dyDescent="0.2">
      <c r="A390" t="s">
        <v>192</v>
      </c>
      <c r="F390" t="s">
        <v>110</v>
      </c>
      <c r="O390">
        <v>-3</v>
      </c>
      <c r="P390">
        <v>43.5</v>
      </c>
      <c r="R390">
        <v>5.5</v>
      </c>
      <c r="T390" s="39">
        <v>43723</v>
      </c>
      <c r="U390" s="25" t="s">
        <v>383</v>
      </c>
      <c r="V390" t="s">
        <v>310</v>
      </c>
      <c r="W390" s="24" t="s">
        <v>289</v>
      </c>
    </row>
    <row r="391" spans="1:23" x14ac:dyDescent="0.2">
      <c r="A391" t="s">
        <v>192</v>
      </c>
      <c r="B391" t="s">
        <v>12</v>
      </c>
      <c r="C391">
        <v>9.3000000000000007</v>
      </c>
      <c r="D391" t="s">
        <v>76</v>
      </c>
      <c r="E391" t="s">
        <v>75</v>
      </c>
      <c r="O391">
        <v>6</v>
      </c>
      <c r="P391">
        <v>46.5</v>
      </c>
      <c r="Q391">
        <v>4</v>
      </c>
      <c r="R391">
        <v>10.6</v>
      </c>
      <c r="S391" s="1">
        <v>2.7</v>
      </c>
      <c r="T391" s="39">
        <v>43723</v>
      </c>
      <c r="U391" s="25" t="s">
        <v>383</v>
      </c>
      <c r="V391" t="s">
        <v>306</v>
      </c>
      <c r="W391" s="24" t="s">
        <v>291</v>
      </c>
    </row>
    <row r="392" spans="1:23" x14ac:dyDescent="0.2">
      <c r="A392" t="s">
        <v>192</v>
      </c>
      <c r="E392" t="s">
        <v>75</v>
      </c>
      <c r="O392">
        <v>-2.5</v>
      </c>
      <c r="P392">
        <v>46</v>
      </c>
      <c r="R392">
        <v>15.9</v>
      </c>
      <c r="T392" s="39">
        <v>43730</v>
      </c>
      <c r="U392" s="25" t="s">
        <v>382</v>
      </c>
      <c r="V392" t="s">
        <v>285</v>
      </c>
      <c r="W392" s="22" t="s">
        <v>301</v>
      </c>
    </row>
    <row r="393" spans="1:23" x14ac:dyDescent="0.2">
      <c r="A393" t="s">
        <v>192</v>
      </c>
      <c r="E393" t="s">
        <v>75</v>
      </c>
      <c r="O393">
        <v>1</v>
      </c>
      <c r="P393">
        <v>48</v>
      </c>
      <c r="R393">
        <v>1.6</v>
      </c>
      <c r="T393" s="39">
        <v>43730</v>
      </c>
      <c r="U393" s="25" t="s">
        <v>382</v>
      </c>
      <c r="V393" t="s">
        <v>295</v>
      </c>
      <c r="W393" s="34" t="s">
        <v>289</v>
      </c>
    </row>
    <row r="394" spans="1:23" x14ac:dyDescent="0.2">
      <c r="A394" t="s">
        <v>192</v>
      </c>
      <c r="E394" t="s">
        <v>75</v>
      </c>
      <c r="O394">
        <v>4.5</v>
      </c>
      <c r="P394">
        <v>52</v>
      </c>
      <c r="R394">
        <v>7.7</v>
      </c>
      <c r="T394" s="39">
        <v>43730</v>
      </c>
      <c r="U394" s="25" t="s">
        <v>382</v>
      </c>
      <c r="V394" s="41" t="s">
        <v>305</v>
      </c>
      <c r="W394" s="22" t="s">
        <v>288</v>
      </c>
    </row>
    <row r="395" spans="1:23" x14ac:dyDescent="0.2">
      <c r="A395" t="s">
        <v>192</v>
      </c>
      <c r="O395">
        <v>-5.5</v>
      </c>
      <c r="P395">
        <v>43.5</v>
      </c>
      <c r="R395">
        <v>14.8</v>
      </c>
      <c r="T395" s="39">
        <v>43730</v>
      </c>
      <c r="U395" s="25" t="s">
        <v>382</v>
      </c>
      <c r="V395" t="s">
        <v>276</v>
      </c>
      <c r="W395" s="22" t="s">
        <v>272</v>
      </c>
    </row>
    <row r="396" spans="1:23" x14ac:dyDescent="0.2">
      <c r="A396" t="s">
        <v>192</v>
      </c>
      <c r="B396" t="s">
        <v>49</v>
      </c>
      <c r="C396">
        <v>11.2</v>
      </c>
      <c r="D396" t="s">
        <v>76</v>
      </c>
      <c r="E396" t="s">
        <v>76</v>
      </c>
      <c r="F396" t="s">
        <v>109</v>
      </c>
      <c r="O396">
        <v>2.5</v>
      </c>
      <c r="P396">
        <v>46</v>
      </c>
      <c r="Q396">
        <v>4.8</v>
      </c>
      <c r="R396">
        <v>16.3</v>
      </c>
      <c r="S396" s="1">
        <v>3.4</v>
      </c>
      <c r="T396" s="39">
        <v>43730</v>
      </c>
      <c r="U396" s="25" t="s">
        <v>382</v>
      </c>
      <c r="V396" t="s">
        <v>301</v>
      </c>
      <c r="W396" s="22" t="s">
        <v>285</v>
      </c>
    </row>
    <row r="397" spans="1:23" x14ac:dyDescent="0.2">
      <c r="A397" t="s">
        <v>192</v>
      </c>
      <c r="O397">
        <v>5</v>
      </c>
      <c r="P397">
        <v>41</v>
      </c>
      <c r="R397">
        <v>32.200000000000003</v>
      </c>
      <c r="T397" s="39">
        <v>43730</v>
      </c>
      <c r="U397" s="25" t="s">
        <v>382</v>
      </c>
      <c r="V397" t="s">
        <v>265</v>
      </c>
      <c r="W397" s="22" t="s">
        <v>306</v>
      </c>
    </row>
    <row r="398" spans="1:23" x14ac:dyDescent="0.2">
      <c r="A398" t="s">
        <v>192</v>
      </c>
      <c r="B398" s="1" t="s">
        <v>91</v>
      </c>
      <c r="I398" t="s">
        <v>75</v>
      </c>
      <c r="J398" t="s">
        <v>76</v>
      </c>
      <c r="K398" t="s">
        <v>76</v>
      </c>
      <c r="L398" t="s">
        <v>76</v>
      </c>
      <c r="M398" t="s">
        <v>75</v>
      </c>
      <c r="N398" t="s">
        <v>134</v>
      </c>
      <c r="O398">
        <v>5.5</v>
      </c>
      <c r="P398">
        <v>43.5</v>
      </c>
      <c r="Q398">
        <v>6.5</v>
      </c>
      <c r="R398">
        <v>12.8</v>
      </c>
      <c r="S398" s="1">
        <v>2</v>
      </c>
      <c r="T398" s="39">
        <v>43730</v>
      </c>
      <c r="U398" s="25" t="s">
        <v>382</v>
      </c>
      <c r="V398" s="17" t="s">
        <v>272</v>
      </c>
      <c r="W398" s="22" t="s">
        <v>276</v>
      </c>
    </row>
    <row r="399" spans="1:23" x14ac:dyDescent="0.2">
      <c r="A399" t="s">
        <v>192</v>
      </c>
      <c r="B399" s="1" t="s">
        <v>135</v>
      </c>
      <c r="I399" t="s">
        <v>75</v>
      </c>
      <c r="J399" t="s">
        <v>76</v>
      </c>
      <c r="K399" t="s">
        <v>76</v>
      </c>
      <c r="L399" t="s">
        <v>76</v>
      </c>
      <c r="M399" t="s">
        <v>75</v>
      </c>
      <c r="N399" t="s">
        <v>134</v>
      </c>
      <c r="O399">
        <v>5.5</v>
      </c>
      <c r="P399">
        <v>43.5</v>
      </c>
      <c r="Q399">
        <v>5.0999999999999996</v>
      </c>
      <c r="R399">
        <v>3.2</v>
      </c>
      <c r="S399" s="1">
        <v>0.6</v>
      </c>
      <c r="T399" s="39">
        <v>43730</v>
      </c>
      <c r="U399" s="25" t="s">
        <v>382</v>
      </c>
      <c r="V399" s="17" t="s">
        <v>272</v>
      </c>
      <c r="W399" s="22" t="s">
        <v>276</v>
      </c>
    </row>
    <row r="400" spans="1:23" x14ac:dyDescent="0.2">
      <c r="A400" t="s">
        <v>192</v>
      </c>
      <c r="B400" t="s">
        <v>52</v>
      </c>
      <c r="C400">
        <v>10</v>
      </c>
      <c r="D400" t="s">
        <v>76</v>
      </c>
      <c r="E400" t="s">
        <v>76</v>
      </c>
      <c r="O400">
        <v>4</v>
      </c>
      <c r="P400">
        <v>48</v>
      </c>
      <c r="Q400">
        <v>5.3</v>
      </c>
      <c r="R400">
        <v>9.1999999999999993</v>
      </c>
      <c r="S400" s="1">
        <v>1.7</v>
      </c>
      <c r="T400" s="39">
        <v>43730</v>
      </c>
      <c r="U400" s="25" t="s">
        <v>382</v>
      </c>
      <c r="V400" t="s">
        <v>281</v>
      </c>
      <c r="W400" s="22" t="s">
        <v>304</v>
      </c>
    </row>
    <row r="401" spans="1:23" x14ac:dyDescent="0.2">
      <c r="A401" t="s">
        <v>192</v>
      </c>
      <c r="E401" t="s">
        <v>75</v>
      </c>
      <c r="O401">
        <v>-22</v>
      </c>
      <c r="P401">
        <v>46.5</v>
      </c>
      <c r="R401">
        <v>5.9</v>
      </c>
      <c r="T401" s="39">
        <v>43730</v>
      </c>
      <c r="U401" s="25" t="s">
        <v>382</v>
      </c>
      <c r="V401" t="s">
        <v>291</v>
      </c>
      <c r="W401" s="22" t="s">
        <v>293</v>
      </c>
    </row>
    <row r="402" spans="1:23" x14ac:dyDescent="0.2">
      <c r="A402" t="s">
        <v>192</v>
      </c>
      <c r="O402">
        <v>7</v>
      </c>
      <c r="P402">
        <v>42</v>
      </c>
      <c r="R402">
        <v>3</v>
      </c>
      <c r="T402" s="39">
        <v>43730</v>
      </c>
      <c r="U402" t="s">
        <v>382</v>
      </c>
      <c r="V402" t="s">
        <v>278</v>
      </c>
      <c r="W402" t="s">
        <v>300</v>
      </c>
    </row>
    <row r="403" spans="1:23" x14ac:dyDescent="0.2">
      <c r="A403" t="s">
        <v>192</v>
      </c>
      <c r="O403">
        <v>4</v>
      </c>
      <c r="P403">
        <v>45</v>
      </c>
      <c r="R403" s="14">
        <v>25.1</v>
      </c>
      <c r="T403" s="39">
        <v>43730</v>
      </c>
      <c r="U403" s="25" t="s">
        <v>382</v>
      </c>
      <c r="V403" t="s">
        <v>299</v>
      </c>
      <c r="W403" s="22" t="s">
        <v>294</v>
      </c>
    </row>
    <row r="404" spans="1:23" x14ac:dyDescent="0.2">
      <c r="A404" t="s">
        <v>192</v>
      </c>
      <c r="B404" t="s">
        <v>58</v>
      </c>
      <c r="C404">
        <v>8.9</v>
      </c>
      <c r="D404" t="s">
        <v>76</v>
      </c>
      <c r="E404" t="s">
        <v>76</v>
      </c>
      <c r="F404" t="s">
        <v>110</v>
      </c>
      <c r="O404">
        <v>-7</v>
      </c>
      <c r="P404">
        <v>42</v>
      </c>
      <c r="Q404">
        <v>4.3</v>
      </c>
      <c r="R404">
        <v>21.9</v>
      </c>
      <c r="S404" s="1">
        <v>5.0999999999999996</v>
      </c>
      <c r="T404" s="39">
        <v>43730</v>
      </c>
      <c r="U404" s="25" t="s">
        <v>382</v>
      </c>
      <c r="V404" t="s">
        <v>300</v>
      </c>
      <c r="W404" s="22" t="s">
        <v>278</v>
      </c>
    </row>
    <row r="405" spans="1:23" x14ac:dyDescent="0.2">
      <c r="A405" t="s">
        <v>192</v>
      </c>
      <c r="B405" t="s">
        <v>23</v>
      </c>
      <c r="C405">
        <v>9.1999999999999993</v>
      </c>
      <c r="D405" t="s">
        <v>76</v>
      </c>
      <c r="E405" t="s">
        <v>75</v>
      </c>
      <c r="O405">
        <v>3</v>
      </c>
      <c r="P405">
        <v>49</v>
      </c>
      <c r="Q405">
        <v>4.9000000000000004</v>
      </c>
      <c r="R405" s="14">
        <v>10.1</v>
      </c>
      <c r="S405" s="1">
        <v>2.1</v>
      </c>
      <c r="T405" s="39">
        <v>43730</v>
      </c>
      <c r="U405" s="25" t="s">
        <v>382</v>
      </c>
      <c r="V405" t="s">
        <v>311</v>
      </c>
      <c r="W405" s="22" t="s">
        <v>287</v>
      </c>
    </row>
    <row r="406" spans="1:23" x14ac:dyDescent="0.2">
      <c r="A406" t="s">
        <v>192</v>
      </c>
      <c r="E406" t="s">
        <v>75</v>
      </c>
      <c r="O406">
        <v>-1</v>
      </c>
      <c r="P406">
        <v>48</v>
      </c>
      <c r="R406">
        <v>13.3</v>
      </c>
      <c r="T406" s="39">
        <v>43730</v>
      </c>
      <c r="U406" s="25" t="s">
        <v>382</v>
      </c>
      <c r="V406" t="s">
        <v>289</v>
      </c>
      <c r="W406" s="22" t="s">
        <v>295</v>
      </c>
    </row>
    <row r="407" spans="1:23" x14ac:dyDescent="0.2">
      <c r="A407" t="s">
        <v>192</v>
      </c>
      <c r="O407">
        <v>1.5</v>
      </c>
      <c r="P407">
        <v>38</v>
      </c>
      <c r="R407">
        <v>17.600000000000001</v>
      </c>
      <c r="T407" s="39">
        <v>43730</v>
      </c>
      <c r="U407" s="25" t="s">
        <v>382</v>
      </c>
      <c r="V407" t="s">
        <v>297</v>
      </c>
      <c r="W407" s="22" t="s">
        <v>310</v>
      </c>
    </row>
    <row r="408" spans="1:23" x14ac:dyDescent="0.2">
      <c r="A408" t="s">
        <v>192</v>
      </c>
      <c r="B408" t="s">
        <v>18</v>
      </c>
      <c r="I408" t="s">
        <v>75</v>
      </c>
      <c r="J408" t="s">
        <v>76</v>
      </c>
      <c r="K408" t="s">
        <v>76</v>
      </c>
      <c r="L408" t="s">
        <v>76</v>
      </c>
      <c r="M408" t="s">
        <v>75</v>
      </c>
      <c r="N408" t="s">
        <v>132</v>
      </c>
      <c r="O408">
        <v>-4.5</v>
      </c>
      <c r="P408">
        <v>52</v>
      </c>
      <c r="Q408">
        <v>6.8</v>
      </c>
      <c r="R408">
        <v>11.4</v>
      </c>
      <c r="S408" s="1">
        <v>1.7</v>
      </c>
      <c r="T408" s="39">
        <v>43730</v>
      </c>
      <c r="U408" s="25" t="s">
        <v>382</v>
      </c>
      <c r="V408" t="s">
        <v>288</v>
      </c>
      <c r="W408" s="22" t="s">
        <v>305</v>
      </c>
    </row>
    <row r="409" spans="1:23" x14ac:dyDescent="0.2">
      <c r="A409" t="s">
        <v>192</v>
      </c>
      <c r="B409" t="s">
        <v>79</v>
      </c>
      <c r="C409">
        <v>7.3</v>
      </c>
      <c r="D409" t="s">
        <v>76</v>
      </c>
      <c r="E409" t="s">
        <v>76</v>
      </c>
      <c r="F409" t="s">
        <v>110</v>
      </c>
      <c r="O409">
        <v>8.5</v>
      </c>
      <c r="P409">
        <v>43</v>
      </c>
      <c r="Q409">
        <v>3.7</v>
      </c>
      <c r="R409">
        <v>5.8</v>
      </c>
      <c r="S409" s="1">
        <v>1.6</v>
      </c>
      <c r="T409" s="39">
        <v>43730</v>
      </c>
      <c r="U409" s="25" t="s">
        <v>382</v>
      </c>
      <c r="V409" t="s">
        <v>303</v>
      </c>
      <c r="W409" s="22" t="s">
        <v>312</v>
      </c>
    </row>
    <row r="410" spans="1:23" x14ac:dyDescent="0.2">
      <c r="A410" t="s">
        <v>192</v>
      </c>
      <c r="B410" t="s">
        <v>83</v>
      </c>
      <c r="I410" t="s">
        <v>76</v>
      </c>
      <c r="J410" t="s">
        <v>75</v>
      </c>
      <c r="K410" t="s">
        <v>76</v>
      </c>
      <c r="L410" t="s">
        <v>76</v>
      </c>
      <c r="M410" t="s">
        <v>75</v>
      </c>
      <c r="N410" t="s">
        <v>132</v>
      </c>
      <c r="O410">
        <v>-3</v>
      </c>
      <c r="P410">
        <v>49</v>
      </c>
      <c r="Q410">
        <v>4.9000000000000004</v>
      </c>
      <c r="R410">
        <v>7.5</v>
      </c>
      <c r="S410" s="1">
        <v>1.5</v>
      </c>
      <c r="T410" s="39">
        <v>43730</v>
      </c>
      <c r="U410" s="25" t="s">
        <v>382</v>
      </c>
      <c r="V410" t="s">
        <v>287</v>
      </c>
      <c r="W410" s="22" t="s">
        <v>311</v>
      </c>
    </row>
    <row r="411" spans="1:23" x14ac:dyDescent="0.2">
      <c r="A411" t="s">
        <v>192</v>
      </c>
      <c r="O411">
        <v>-4</v>
      </c>
      <c r="P411">
        <v>48</v>
      </c>
      <c r="R411">
        <v>8.8000000000000007</v>
      </c>
      <c r="T411" s="39">
        <v>43730</v>
      </c>
      <c r="U411" s="25" t="s">
        <v>382</v>
      </c>
      <c r="V411" t="s">
        <v>304</v>
      </c>
      <c r="W411" s="22" t="s">
        <v>281</v>
      </c>
    </row>
    <row r="412" spans="1:23" x14ac:dyDescent="0.2">
      <c r="A412" t="s">
        <v>192</v>
      </c>
      <c r="B412" t="s">
        <v>24</v>
      </c>
      <c r="C412">
        <v>9.6</v>
      </c>
      <c r="D412" t="s">
        <v>76</v>
      </c>
      <c r="E412" t="s">
        <v>75</v>
      </c>
      <c r="F412" t="s">
        <v>110</v>
      </c>
      <c r="O412" s="3">
        <v>22</v>
      </c>
      <c r="P412" s="3">
        <v>46.5</v>
      </c>
      <c r="Q412">
        <v>4</v>
      </c>
      <c r="R412" s="3">
        <v>8.6</v>
      </c>
      <c r="S412" s="1">
        <v>2.2000000000000002</v>
      </c>
      <c r="T412" s="39">
        <v>43730</v>
      </c>
      <c r="U412" s="33" t="s">
        <v>382</v>
      </c>
      <c r="V412" t="s">
        <v>293</v>
      </c>
      <c r="W412" s="28" t="s">
        <v>291</v>
      </c>
    </row>
    <row r="413" spans="1:23" x14ac:dyDescent="0.2">
      <c r="A413" t="s">
        <v>192</v>
      </c>
      <c r="O413">
        <v>-8.5</v>
      </c>
      <c r="P413">
        <v>43</v>
      </c>
      <c r="R413">
        <v>4.5</v>
      </c>
      <c r="T413" s="39">
        <v>43730</v>
      </c>
      <c r="U413" s="25" t="s">
        <v>382</v>
      </c>
      <c r="V413" t="s">
        <v>312</v>
      </c>
      <c r="W413" s="22" t="s">
        <v>303</v>
      </c>
    </row>
    <row r="414" spans="1:23" x14ac:dyDescent="0.2">
      <c r="A414" t="s">
        <v>192</v>
      </c>
      <c r="O414" s="8">
        <v>-20.5</v>
      </c>
      <c r="P414" s="8">
        <v>43</v>
      </c>
      <c r="R414" s="14">
        <v>14.4</v>
      </c>
      <c r="T414" s="39">
        <v>43730</v>
      </c>
      <c r="U414" s="25" t="s">
        <v>382</v>
      </c>
      <c r="V414" t="s">
        <v>302</v>
      </c>
      <c r="W414" s="22" t="s">
        <v>298</v>
      </c>
    </row>
    <row r="415" spans="1:23" x14ac:dyDescent="0.2">
      <c r="A415" t="s">
        <v>192</v>
      </c>
      <c r="O415" s="8">
        <v>5</v>
      </c>
      <c r="P415" s="8">
        <v>44</v>
      </c>
      <c r="R415">
        <v>3.5</v>
      </c>
      <c r="T415" s="39">
        <v>43730</v>
      </c>
      <c r="U415" s="25" t="s">
        <v>382</v>
      </c>
      <c r="V415" t="s">
        <v>307</v>
      </c>
      <c r="W415" s="22" t="s">
        <v>308</v>
      </c>
    </row>
    <row r="416" spans="1:23" x14ac:dyDescent="0.2">
      <c r="A416" t="s">
        <v>192</v>
      </c>
      <c r="D416" t="s">
        <v>75</v>
      </c>
      <c r="E416" t="s">
        <v>75</v>
      </c>
      <c r="O416">
        <v>5</v>
      </c>
      <c r="P416">
        <v>48</v>
      </c>
      <c r="R416">
        <v>11.2</v>
      </c>
      <c r="T416" s="39">
        <v>43730</v>
      </c>
      <c r="U416" s="25" t="s">
        <v>382</v>
      </c>
      <c r="V416" t="s">
        <v>296</v>
      </c>
      <c r="W416" s="22" t="s">
        <v>284</v>
      </c>
    </row>
    <row r="417" spans="1:23" x14ac:dyDescent="0.2">
      <c r="A417" t="s">
        <v>192</v>
      </c>
      <c r="B417" t="s">
        <v>27</v>
      </c>
      <c r="C417">
        <v>10.8</v>
      </c>
      <c r="D417" t="s">
        <v>76</v>
      </c>
      <c r="E417" t="s">
        <v>76</v>
      </c>
      <c r="F417" s="3"/>
      <c r="O417" s="3">
        <v>20.5</v>
      </c>
      <c r="P417" s="3">
        <v>43</v>
      </c>
      <c r="Q417">
        <v>4.8</v>
      </c>
      <c r="R417" s="3">
        <v>4.0999999999999996</v>
      </c>
      <c r="S417" s="1">
        <v>0.9</v>
      </c>
      <c r="T417" s="39">
        <v>43730</v>
      </c>
      <c r="U417" s="33" t="s">
        <v>382</v>
      </c>
      <c r="V417" t="s">
        <v>298</v>
      </c>
      <c r="W417" s="28" t="s">
        <v>302</v>
      </c>
    </row>
    <row r="418" spans="1:23" x14ac:dyDescent="0.2">
      <c r="A418" t="s">
        <v>192</v>
      </c>
      <c r="B418" t="s">
        <v>10</v>
      </c>
      <c r="I418" t="s">
        <v>75</v>
      </c>
      <c r="J418" t="s">
        <v>76</v>
      </c>
      <c r="K418" t="s">
        <v>75</v>
      </c>
      <c r="L418" t="s">
        <v>76</v>
      </c>
      <c r="M418" t="s">
        <v>75</v>
      </c>
      <c r="N418" t="s">
        <v>132</v>
      </c>
      <c r="O418">
        <v>-4</v>
      </c>
      <c r="P418">
        <v>45</v>
      </c>
      <c r="Q418">
        <v>3.6</v>
      </c>
      <c r="R418">
        <v>10.199999999999999</v>
      </c>
      <c r="S418" s="1">
        <v>6.7</v>
      </c>
      <c r="T418" s="39">
        <v>43730</v>
      </c>
      <c r="U418" s="25" t="s">
        <v>382</v>
      </c>
      <c r="V418" t="s">
        <v>294</v>
      </c>
      <c r="W418" s="22" t="s">
        <v>299</v>
      </c>
    </row>
    <row r="419" spans="1:23" x14ac:dyDescent="0.2">
      <c r="A419" t="s">
        <v>192</v>
      </c>
      <c r="O419">
        <v>6</v>
      </c>
      <c r="P419">
        <v>44.5</v>
      </c>
      <c r="R419">
        <v>14.8</v>
      </c>
      <c r="T419" s="39">
        <v>43730</v>
      </c>
      <c r="U419" s="25" t="s">
        <v>382</v>
      </c>
      <c r="V419" t="s">
        <v>309</v>
      </c>
      <c r="W419" s="22" t="s">
        <v>256</v>
      </c>
    </row>
    <row r="420" spans="1:23" x14ac:dyDescent="0.2">
      <c r="A420" t="s">
        <v>192</v>
      </c>
      <c r="O420">
        <v>-6</v>
      </c>
      <c r="P420">
        <v>44.5</v>
      </c>
      <c r="R420">
        <v>12</v>
      </c>
      <c r="T420" s="39">
        <v>43730</v>
      </c>
      <c r="U420" s="25" t="s">
        <v>382</v>
      </c>
      <c r="V420" s="22" t="s">
        <v>256</v>
      </c>
      <c r="W420" s="22" t="s">
        <v>309</v>
      </c>
    </row>
    <row r="421" spans="1:23" x14ac:dyDescent="0.2">
      <c r="A421" t="s">
        <v>192</v>
      </c>
      <c r="O421" s="8">
        <v>-5</v>
      </c>
      <c r="P421" s="8">
        <v>44</v>
      </c>
      <c r="R421">
        <v>8.6999999999999993</v>
      </c>
      <c r="T421" s="39">
        <v>43730</v>
      </c>
      <c r="U421" s="25" t="s">
        <v>382</v>
      </c>
      <c r="V421" t="s">
        <v>308</v>
      </c>
      <c r="W421" s="22" t="s">
        <v>307</v>
      </c>
    </row>
    <row r="422" spans="1:23" x14ac:dyDescent="0.2">
      <c r="A422" t="s">
        <v>192</v>
      </c>
      <c r="D422" t="s">
        <v>75</v>
      </c>
      <c r="E422" t="s">
        <v>75</v>
      </c>
      <c r="O422">
        <v>-5</v>
      </c>
      <c r="P422">
        <v>48</v>
      </c>
      <c r="R422">
        <v>7</v>
      </c>
      <c r="T422" s="39">
        <v>43730</v>
      </c>
      <c r="U422" s="25" t="s">
        <v>382</v>
      </c>
      <c r="V422" t="s">
        <v>284</v>
      </c>
      <c r="W422" s="22" t="s">
        <v>296</v>
      </c>
    </row>
    <row r="423" spans="1:23" x14ac:dyDescent="0.2">
      <c r="A423" t="s">
        <v>192</v>
      </c>
      <c r="O423">
        <v>-1.5</v>
      </c>
      <c r="P423">
        <v>38</v>
      </c>
      <c r="R423" s="14">
        <v>15.3</v>
      </c>
      <c r="T423" s="39">
        <v>43730</v>
      </c>
      <c r="U423" s="25" t="s">
        <v>382</v>
      </c>
      <c r="V423" t="s">
        <v>310</v>
      </c>
      <c r="W423" s="22" t="s">
        <v>297</v>
      </c>
    </row>
    <row r="424" spans="1:23" x14ac:dyDescent="0.2">
      <c r="A424" t="s">
        <v>192</v>
      </c>
      <c r="O424">
        <v>5</v>
      </c>
      <c r="P424">
        <v>41</v>
      </c>
      <c r="R424">
        <v>22.3</v>
      </c>
      <c r="T424" s="39">
        <v>43730</v>
      </c>
      <c r="U424" s="25" t="s">
        <v>382</v>
      </c>
      <c r="V424" t="s">
        <v>306</v>
      </c>
      <c r="W424" s="22" t="s">
        <v>265</v>
      </c>
    </row>
    <row r="425" spans="1:23" x14ac:dyDescent="0.2">
      <c r="A425" t="s">
        <v>192</v>
      </c>
      <c r="F425" t="s">
        <v>109</v>
      </c>
      <c r="O425">
        <v>5.5</v>
      </c>
      <c r="P425">
        <v>49</v>
      </c>
      <c r="R425">
        <v>8.3000000000000007</v>
      </c>
      <c r="T425" s="39">
        <v>43737</v>
      </c>
      <c r="U425" s="26" t="s">
        <v>417</v>
      </c>
      <c r="V425" t="s">
        <v>285</v>
      </c>
      <c r="W425" s="26" t="s">
        <v>308</v>
      </c>
    </row>
    <row r="426" spans="1:23" x14ac:dyDescent="0.2">
      <c r="A426" t="s">
        <v>192</v>
      </c>
      <c r="O426">
        <v>-3.5</v>
      </c>
      <c r="P426">
        <v>46</v>
      </c>
      <c r="R426">
        <v>6.2</v>
      </c>
      <c r="T426" s="39">
        <v>43737</v>
      </c>
      <c r="U426" s="26" t="s">
        <v>417</v>
      </c>
      <c r="V426" t="s">
        <v>295</v>
      </c>
      <c r="W426" s="27" t="s">
        <v>310</v>
      </c>
    </row>
    <row r="427" spans="1:23" x14ac:dyDescent="0.2">
      <c r="A427" t="s">
        <v>192</v>
      </c>
      <c r="F427" t="s">
        <v>110</v>
      </c>
      <c r="O427">
        <v>-7.5</v>
      </c>
      <c r="P427">
        <v>47</v>
      </c>
      <c r="R427">
        <v>14.1</v>
      </c>
      <c r="T427" s="39">
        <v>43737</v>
      </c>
      <c r="U427" s="26" t="s">
        <v>417</v>
      </c>
      <c r="V427" s="41" t="s">
        <v>305</v>
      </c>
      <c r="W427" s="27" t="s">
        <v>281</v>
      </c>
    </row>
    <row r="428" spans="1:23" x14ac:dyDescent="0.2">
      <c r="A428" t="s">
        <v>192</v>
      </c>
      <c r="O428">
        <v>7</v>
      </c>
      <c r="P428">
        <v>41.5</v>
      </c>
      <c r="R428">
        <v>14.5</v>
      </c>
      <c r="T428" s="39">
        <v>43737</v>
      </c>
      <c r="U428" s="26" t="s">
        <v>417</v>
      </c>
      <c r="V428" t="s">
        <v>276</v>
      </c>
      <c r="W428" s="27" t="s">
        <v>302</v>
      </c>
    </row>
    <row r="429" spans="1:23" x14ac:dyDescent="0.2">
      <c r="A429" t="s">
        <v>192</v>
      </c>
      <c r="F429" t="s">
        <v>109</v>
      </c>
      <c r="O429">
        <v>5.5</v>
      </c>
      <c r="P429">
        <v>47.5</v>
      </c>
      <c r="R429">
        <v>6.3</v>
      </c>
      <c r="T429" s="39">
        <v>43737</v>
      </c>
      <c r="U429" s="26" t="s">
        <v>417</v>
      </c>
      <c r="V429" t="s">
        <v>301</v>
      </c>
      <c r="W429" s="27" t="s">
        <v>311</v>
      </c>
    </row>
    <row r="430" spans="1:23" x14ac:dyDescent="0.2">
      <c r="A430" t="s">
        <v>192</v>
      </c>
      <c r="F430" t="s">
        <v>110</v>
      </c>
      <c r="O430">
        <v>1</v>
      </c>
      <c r="P430">
        <v>38</v>
      </c>
      <c r="R430">
        <v>9.6</v>
      </c>
      <c r="T430" s="39">
        <v>43737</v>
      </c>
      <c r="U430" s="26" t="s">
        <v>417</v>
      </c>
      <c r="V430" t="s">
        <v>265</v>
      </c>
      <c r="W430" s="27" t="s">
        <v>312</v>
      </c>
    </row>
    <row r="431" spans="1:23" x14ac:dyDescent="0.2">
      <c r="A431" t="s">
        <v>192</v>
      </c>
      <c r="B431" s="1" t="s">
        <v>91</v>
      </c>
      <c r="I431" t="s">
        <v>75</v>
      </c>
      <c r="J431" t="s">
        <v>76</v>
      </c>
      <c r="K431" t="s">
        <v>76</v>
      </c>
      <c r="L431" t="s">
        <v>75</v>
      </c>
      <c r="M431" t="s">
        <v>75</v>
      </c>
      <c r="N431" t="s">
        <v>134</v>
      </c>
      <c r="O431">
        <v>3.5</v>
      </c>
      <c r="P431">
        <v>45.5</v>
      </c>
      <c r="Q431">
        <v>6.2</v>
      </c>
      <c r="R431">
        <v>6.3</v>
      </c>
      <c r="S431" s="1">
        <v>1</v>
      </c>
      <c r="T431" s="39">
        <v>43737</v>
      </c>
      <c r="U431" s="26" t="s">
        <v>417</v>
      </c>
      <c r="V431" s="17" t="s">
        <v>272</v>
      </c>
      <c r="W431" s="27" t="s">
        <v>309</v>
      </c>
    </row>
    <row r="432" spans="1:23" x14ac:dyDescent="0.2">
      <c r="A432" t="s">
        <v>192</v>
      </c>
      <c r="B432" s="1" t="s">
        <v>135</v>
      </c>
      <c r="I432" t="s">
        <v>75</v>
      </c>
      <c r="J432" t="s">
        <v>76</v>
      </c>
      <c r="K432" t="s">
        <v>76</v>
      </c>
      <c r="L432" t="s">
        <v>75</v>
      </c>
      <c r="M432" t="s">
        <v>75</v>
      </c>
      <c r="N432" t="s">
        <v>134</v>
      </c>
      <c r="O432">
        <v>3.5</v>
      </c>
      <c r="P432">
        <v>45.5</v>
      </c>
      <c r="Q432">
        <v>4.9000000000000004</v>
      </c>
      <c r="R432">
        <v>6.6</v>
      </c>
      <c r="S432" s="1">
        <v>1.3</v>
      </c>
      <c r="T432" s="39">
        <v>43737</v>
      </c>
      <c r="U432" s="26" t="s">
        <v>417</v>
      </c>
      <c r="V432" s="17" t="s">
        <v>272</v>
      </c>
      <c r="W432" s="27" t="s">
        <v>309</v>
      </c>
    </row>
    <row r="433" spans="1:23" x14ac:dyDescent="0.2">
      <c r="A433" t="s">
        <v>192</v>
      </c>
      <c r="B433" t="s">
        <v>52</v>
      </c>
      <c r="C433">
        <v>10.1</v>
      </c>
      <c r="D433" t="s">
        <v>75</v>
      </c>
      <c r="E433" t="s">
        <v>76</v>
      </c>
      <c r="F433" t="s">
        <v>110</v>
      </c>
      <c r="O433">
        <v>7.5</v>
      </c>
      <c r="P433">
        <v>47</v>
      </c>
      <c r="Q433">
        <v>5.0999999999999996</v>
      </c>
      <c r="R433">
        <v>27.7</v>
      </c>
      <c r="S433" s="1">
        <v>5.4</v>
      </c>
      <c r="T433" s="39">
        <v>43737</v>
      </c>
      <c r="U433" s="26" t="s">
        <v>417</v>
      </c>
      <c r="V433" t="s">
        <v>281</v>
      </c>
      <c r="W433" s="27" t="s">
        <v>305</v>
      </c>
    </row>
    <row r="434" spans="1:23" x14ac:dyDescent="0.2">
      <c r="A434" t="s">
        <v>192</v>
      </c>
      <c r="O434">
        <v>-2.5</v>
      </c>
      <c r="P434">
        <v>47</v>
      </c>
      <c r="R434">
        <v>0</v>
      </c>
      <c r="T434" s="39">
        <v>43737</v>
      </c>
      <c r="U434" s="26" t="s">
        <v>417</v>
      </c>
      <c r="V434" t="s">
        <v>291</v>
      </c>
      <c r="W434" s="27" t="s">
        <v>307</v>
      </c>
    </row>
    <row r="435" spans="1:23" x14ac:dyDescent="0.2">
      <c r="A435" t="s">
        <v>192</v>
      </c>
      <c r="O435">
        <v>-2.5</v>
      </c>
      <c r="P435">
        <v>37</v>
      </c>
      <c r="R435">
        <v>18.399999999999999</v>
      </c>
      <c r="T435" s="39">
        <v>43737</v>
      </c>
      <c r="U435" t="s">
        <v>417</v>
      </c>
      <c r="V435" t="s">
        <v>278</v>
      </c>
      <c r="W435" t="s">
        <v>297</v>
      </c>
    </row>
    <row r="436" spans="1:23" x14ac:dyDescent="0.2">
      <c r="A436" t="s">
        <v>192</v>
      </c>
      <c r="O436">
        <v>7.5</v>
      </c>
      <c r="P436">
        <v>54.5</v>
      </c>
      <c r="R436" s="14">
        <v>10.7</v>
      </c>
      <c r="T436" s="39">
        <v>43737</v>
      </c>
      <c r="U436" s="26" t="s">
        <v>417</v>
      </c>
      <c r="V436" t="s">
        <v>299</v>
      </c>
      <c r="W436" s="27" t="s">
        <v>288</v>
      </c>
    </row>
    <row r="437" spans="1:23" x14ac:dyDescent="0.2">
      <c r="A437" t="s">
        <v>192</v>
      </c>
      <c r="D437" t="s">
        <v>75</v>
      </c>
      <c r="O437">
        <v>-3.5</v>
      </c>
      <c r="P437">
        <v>46</v>
      </c>
      <c r="R437">
        <v>7.7</v>
      </c>
      <c r="T437" s="39">
        <v>43737</v>
      </c>
      <c r="U437" s="26" t="s">
        <v>417</v>
      </c>
      <c r="V437" t="s">
        <v>300</v>
      </c>
      <c r="W437" s="27" t="s">
        <v>294</v>
      </c>
    </row>
    <row r="438" spans="1:23" x14ac:dyDescent="0.2">
      <c r="A438" t="s">
        <v>192</v>
      </c>
      <c r="B438" t="s">
        <v>23</v>
      </c>
      <c r="C438">
        <v>9.8000000000000007</v>
      </c>
      <c r="D438" t="s">
        <v>76</v>
      </c>
      <c r="E438" t="s">
        <v>76</v>
      </c>
      <c r="F438" t="s">
        <v>109</v>
      </c>
      <c r="O438">
        <v>-5.5</v>
      </c>
      <c r="P438">
        <v>47.5</v>
      </c>
      <c r="Q438">
        <v>4.5</v>
      </c>
      <c r="R438" s="14">
        <v>5.3</v>
      </c>
      <c r="S438" s="1">
        <v>1.2</v>
      </c>
      <c r="T438" s="39">
        <v>43737</v>
      </c>
      <c r="U438" s="26" t="s">
        <v>417</v>
      </c>
      <c r="V438" t="s">
        <v>311</v>
      </c>
      <c r="W438" s="27" t="s">
        <v>301</v>
      </c>
    </row>
    <row r="439" spans="1:23" x14ac:dyDescent="0.2">
      <c r="A439" t="s">
        <v>192</v>
      </c>
      <c r="B439" t="s">
        <v>96</v>
      </c>
      <c r="F439" t="s">
        <v>110</v>
      </c>
      <c r="I439" t="s">
        <v>75</v>
      </c>
      <c r="J439" t="s">
        <v>76</v>
      </c>
      <c r="K439" t="s">
        <v>76</v>
      </c>
      <c r="L439" t="s">
        <v>76</v>
      </c>
      <c r="M439" t="s">
        <v>75</v>
      </c>
      <c r="N439" t="s">
        <v>132</v>
      </c>
      <c r="O439">
        <v>-5</v>
      </c>
      <c r="P439">
        <v>46</v>
      </c>
      <c r="Q439">
        <v>4.5</v>
      </c>
      <c r="R439">
        <v>11.2</v>
      </c>
      <c r="S439" s="1">
        <v>2.5</v>
      </c>
      <c r="T439" s="39">
        <v>43737</v>
      </c>
      <c r="U439" s="26" t="s">
        <v>417</v>
      </c>
      <c r="V439" t="s">
        <v>289</v>
      </c>
      <c r="W439" s="27" t="s">
        <v>303</v>
      </c>
    </row>
    <row r="440" spans="1:23" x14ac:dyDescent="0.2">
      <c r="A440" t="s">
        <v>192</v>
      </c>
      <c r="O440">
        <v>2.5</v>
      </c>
      <c r="P440">
        <v>37</v>
      </c>
      <c r="R440">
        <v>8.4</v>
      </c>
      <c r="T440" s="39">
        <v>43737</v>
      </c>
      <c r="U440" s="26" t="s">
        <v>417</v>
      </c>
      <c r="V440" t="s">
        <v>297</v>
      </c>
      <c r="W440" s="27" t="s">
        <v>278</v>
      </c>
    </row>
    <row r="441" spans="1:23" x14ac:dyDescent="0.2">
      <c r="A441" t="s">
        <v>192</v>
      </c>
      <c r="B441" t="s">
        <v>18</v>
      </c>
      <c r="I441" t="s">
        <v>75</v>
      </c>
      <c r="J441" t="s">
        <v>76</v>
      </c>
      <c r="K441" t="s">
        <v>76</v>
      </c>
      <c r="L441" t="s">
        <v>76</v>
      </c>
      <c r="M441" t="s">
        <v>76</v>
      </c>
      <c r="N441" t="s">
        <v>134</v>
      </c>
      <c r="O441">
        <v>-7.5</v>
      </c>
      <c r="P441">
        <v>54.5</v>
      </c>
      <c r="Q441">
        <v>6.7</v>
      </c>
      <c r="R441">
        <v>7.5</v>
      </c>
      <c r="S441" s="1">
        <v>1.1000000000000001</v>
      </c>
      <c r="T441" s="39">
        <v>43737</v>
      </c>
      <c r="U441" s="26" t="s">
        <v>417</v>
      </c>
      <c r="V441" t="s">
        <v>288</v>
      </c>
      <c r="W441" s="27" t="s">
        <v>299</v>
      </c>
    </row>
    <row r="442" spans="1:23" x14ac:dyDescent="0.2">
      <c r="A442" t="s">
        <v>192</v>
      </c>
      <c r="F442" t="s">
        <v>110</v>
      </c>
      <c r="O442">
        <v>5</v>
      </c>
      <c r="P442">
        <v>46</v>
      </c>
      <c r="R442">
        <v>3.8</v>
      </c>
      <c r="T442" s="39">
        <v>43737</v>
      </c>
      <c r="U442" s="26" t="s">
        <v>417</v>
      </c>
      <c r="V442" t="s">
        <v>303</v>
      </c>
      <c r="W442" s="27" t="s">
        <v>289</v>
      </c>
    </row>
    <row r="443" spans="1:23" x14ac:dyDescent="0.2">
      <c r="A443" t="s">
        <v>192</v>
      </c>
      <c r="E443" t="s">
        <v>75</v>
      </c>
      <c r="O443" s="8">
        <v>-15</v>
      </c>
      <c r="P443" s="8">
        <v>43.5</v>
      </c>
      <c r="R443">
        <v>12.6</v>
      </c>
      <c r="T443" s="39">
        <v>43737</v>
      </c>
      <c r="U443" s="26" t="s">
        <v>417</v>
      </c>
      <c r="V443" t="s">
        <v>287</v>
      </c>
      <c r="W443" s="26" t="s">
        <v>293</v>
      </c>
    </row>
    <row r="444" spans="1:23" x14ac:dyDescent="0.2">
      <c r="A444" t="s">
        <v>192</v>
      </c>
      <c r="B444" t="s">
        <v>59</v>
      </c>
      <c r="C444">
        <v>10.9</v>
      </c>
      <c r="D444" t="s">
        <v>75</v>
      </c>
      <c r="E444" t="s">
        <v>76</v>
      </c>
      <c r="F444" t="s">
        <v>109</v>
      </c>
      <c r="O444">
        <v>-9</v>
      </c>
      <c r="P444">
        <v>48.5</v>
      </c>
      <c r="Q444">
        <v>6.1</v>
      </c>
      <c r="R444">
        <v>32.4</v>
      </c>
      <c r="S444" s="1">
        <v>5.3</v>
      </c>
      <c r="T444" s="39">
        <v>43737</v>
      </c>
      <c r="U444" s="26" t="s">
        <v>417</v>
      </c>
      <c r="V444" t="s">
        <v>304</v>
      </c>
      <c r="W444" s="27" t="s">
        <v>284</v>
      </c>
    </row>
    <row r="445" spans="1:23" x14ac:dyDescent="0.2">
      <c r="A445" t="s">
        <v>192</v>
      </c>
      <c r="B445" t="s">
        <v>24</v>
      </c>
      <c r="C445">
        <v>8.4</v>
      </c>
      <c r="D445" t="s">
        <v>76</v>
      </c>
      <c r="E445" t="s">
        <v>75</v>
      </c>
      <c r="F445" s="3"/>
      <c r="O445" s="3">
        <v>15</v>
      </c>
      <c r="P445" s="3">
        <v>43.5</v>
      </c>
      <c r="Q445">
        <v>4.0999999999999996</v>
      </c>
      <c r="R445" s="3">
        <v>17</v>
      </c>
      <c r="S445" s="1">
        <v>4.0999999999999996</v>
      </c>
      <c r="T445" s="39">
        <v>43737</v>
      </c>
      <c r="U445" s="31" t="s">
        <v>417</v>
      </c>
      <c r="V445" t="s">
        <v>293</v>
      </c>
      <c r="W445" s="32" t="s">
        <v>287</v>
      </c>
    </row>
    <row r="446" spans="1:23" x14ac:dyDescent="0.2">
      <c r="A446" t="s">
        <v>192</v>
      </c>
      <c r="B446" t="s">
        <v>44</v>
      </c>
      <c r="C446">
        <v>8.6</v>
      </c>
      <c r="D446" t="s">
        <v>76</v>
      </c>
      <c r="E446" t="s">
        <v>76</v>
      </c>
      <c r="F446" t="s">
        <v>110</v>
      </c>
      <c r="O446">
        <v>-1</v>
      </c>
      <c r="P446">
        <v>38</v>
      </c>
      <c r="Q446">
        <v>5.5</v>
      </c>
      <c r="R446">
        <v>19.8</v>
      </c>
      <c r="S446" s="1">
        <v>3.6</v>
      </c>
      <c r="T446" s="39">
        <v>43737</v>
      </c>
      <c r="U446" s="26" t="s">
        <v>417</v>
      </c>
      <c r="V446" t="s">
        <v>312</v>
      </c>
      <c r="W446" s="27" t="s">
        <v>265</v>
      </c>
    </row>
    <row r="447" spans="1:23" x14ac:dyDescent="0.2">
      <c r="A447" t="s">
        <v>192</v>
      </c>
      <c r="O447">
        <v>-7</v>
      </c>
      <c r="P447">
        <v>41.5</v>
      </c>
      <c r="R447" s="14">
        <v>7.6</v>
      </c>
      <c r="T447" s="39">
        <v>43737</v>
      </c>
      <c r="U447" s="26" t="s">
        <v>417</v>
      </c>
      <c r="V447" t="s">
        <v>302</v>
      </c>
      <c r="W447" s="27" t="s">
        <v>276</v>
      </c>
    </row>
    <row r="448" spans="1:23" x14ac:dyDescent="0.2">
      <c r="A448" t="s">
        <v>192</v>
      </c>
      <c r="O448">
        <v>2.5</v>
      </c>
      <c r="P448">
        <v>47</v>
      </c>
      <c r="R448">
        <v>4.9000000000000004</v>
      </c>
      <c r="T448" s="39">
        <v>43737</v>
      </c>
      <c r="U448" s="26" t="s">
        <v>417</v>
      </c>
      <c r="V448" t="s">
        <v>307</v>
      </c>
      <c r="W448" s="27" t="s">
        <v>291</v>
      </c>
    </row>
    <row r="449" spans="1:23" x14ac:dyDescent="0.2">
      <c r="A449" t="s">
        <v>192</v>
      </c>
      <c r="O449">
        <v>-3</v>
      </c>
      <c r="P449">
        <v>48</v>
      </c>
      <c r="R449">
        <v>3.3</v>
      </c>
      <c r="T449" s="39">
        <v>43737</v>
      </c>
      <c r="U449" s="26" t="s">
        <v>417</v>
      </c>
      <c r="V449" t="s">
        <v>296</v>
      </c>
      <c r="W449" s="27" t="s">
        <v>306</v>
      </c>
    </row>
    <row r="450" spans="1:23" x14ac:dyDescent="0.2">
      <c r="A450" t="s">
        <v>192</v>
      </c>
      <c r="O450">
        <v>3.5</v>
      </c>
      <c r="P450">
        <v>46</v>
      </c>
      <c r="R450">
        <v>0</v>
      </c>
      <c r="T450" s="39">
        <v>43737</v>
      </c>
      <c r="U450" s="26" t="s">
        <v>417</v>
      </c>
      <c r="V450" t="s">
        <v>294</v>
      </c>
      <c r="W450" s="27" t="s">
        <v>300</v>
      </c>
    </row>
    <row r="451" spans="1:23" x14ac:dyDescent="0.2">
      <c r="A451" t="s">
        <v>192</v>
      </c>
      <c r="O451">
        <v>-3.5</v>
      </c>
      <c r="P451">
        <v>45.5</v>
      </c>
      <c r="R451">
        <v>18.7</v>
      </c>
      <c r="T451" s="39">
        <v>43737</v>
      </c>
      <c r="U451" s="26" t="s">
        <v>417</v>
      </c>
      <c r="V451" t="s">
        <v>309</v>
      </c>
      <c r="W451" s="27" t="s">
        <v>272</v>
      </c>
    </row>
    <row r="452" spans="1:23" x14ac:dyDescent="0.2">
      <c r="A452" t="s">
        <v>192</v>
      </c>
      <c r="F452" t="s">
        <v>109</v>
      </c>
      <c r="O452">
        <v>-5.5</v>
      </c>
      <c r="P452">
        <v>49</v>
      </c>
      <c r="R452">
        <v>1.6</v>
      </c>
      <c r="T452" s="39">
        <v>43737</v>
      </c>
      <c r="U452" s="26" t="s">
        <v>417</v>
      </c>
      <c r="V452" t="s">
        <v>308</v>
      </c>
      <c r="W452" s="27" t="s">
        <v>285</v>
      </c>
    </row>
    <row r="453" spans="1:23" x14ac:dyDescent="0.2">
      <c r="A453" t="s">
        <v>192</v>
      </c>
      <c r="F453" t="s">
        <v>109</v>
      </c>
      <c r="O453">
        <v>9</v>
      </c>
      <c r="P453">
        <v>48.5</v>
      </c>
      <c r="R453">
        <v>44.2</v>
      </c>
      <c r="T453" s="39">
        <v>43737</v>
      </c>
      <c r="U453" s="26" t="s">
        <v>417</v>
      </c>
      <c r="V453" t="s">
        <v>284</v>
      </c>
      <c r="W453" s="27" t="s">
        <v>304</v>
      </c>
    </row>
    <row r="454" spans="1:23" x14ac:dyDescent="0.2">
      <c r="A454" t="s">
        <v>192</v>
      </c>
      <c r="B454" t="s">
        <v>64</v>
      </c>
      <c r="C454">
        <v>8.5</v>
      </c>
      <c r="D454" t="s">
        <v>75</v>
      </c>
      <c r="E454" t="s">
        <v>76</v>
      </c>
      <c r="O454">
        <v>3.5</v>
      </c>
      <c r="P454">
        <v>46</v>
      </c>
      <c r="Q454">
        <v>3.7</v>
      </c>
      <c r="R454">
        <v>24.4</v>
      </c>
      <c r="S454" s="1">
        <v>6.6</v>
      </c>
      <c r="T454" s="39">
        <v>43737</v>
      </c>
      <c r="U454" s="26" t="s">
        <v>417</v>
      </c>
      <c r="V454" t="s">
        <v>310</v>
      </c>
      <c r="W454" s="27" t="s">
        <v>295</v>
      </c>
    </row>
    <row r="455" spans="1:23" x14ac:dyDescent="0.2">
      <c r="A455" t="s">
        <v>192</v>
      </c>
      <c r="B455" t="s">
        <v>12</v>
      </c>
      <c r="I455" t="s">
        <v>75</v>
      </c>
      <c r="J455" t="s">
        <v>76</v>
      </c>
      <c r="K455" t="s">
        <v>76</v>
      </c>
      <c r="L455" t="s">
        <v>75</v>
      </c>
      <c r="M455" t="s">
        <v>75</v>
      </c>
      <c r="N455" t="s">
        <v>132</v>
      </c>
      <c r="O455">
        <v>3</v>
      </c>
      <c r="P455">
        <v>48</v>
      </c>
      <c r="Q455">
        <v>3.7</v>
      </c>
      <c r="R455" s="14">
        <v>4.4000000000000004</v>
      </c>
      <c r="S455" s="1">
        <v>1.2</v>
      </c>
      <c r="T455" s="39">
        <v>43737</v>
      </c>
      <c r="U455" s="26" t="s">
        <v>417</v>
      </c>
      <c r="V455" t="s">
        <v>306</v>
      </c>
      <c r="W455" s="27" t="s">
        <v>296</v>
      </c>
    </row>
    <row r="456" spans="1:23" x14ac:dyDescent="0.2">
      <c r="A456" t="s">
        <v>192</v>
      </c>
      <c r="E456" t="s">
        <v>75</v>
      </c>
      <c r="F456" t="s">
        <v>109</v>
      </c>
      <c r="O456">
        <v>3</v>
      </c>
      <c r="P456">
        <v>45</v>
      </c>
      <c r="R456">
        <v>5.5</v>
      </c>
      <c r="T456" s="39">
        <v>43744</v>
      </c>
      <c r="U456" s="22" t="s">
        <v>381</v>
      </c>
      <c r="V456" t="s">
        <v>285</v>
      </c>
      <c r="W456" s="22" t="s">
        <v>272</v>
      </c>
    </row>
    <row r="457" spans="1:23" x14ac:dyDescent="0.2">
      <c r="A457" t="s">
        <v>192</v>
      </c>
      <c r="D457" t="s">
        <v>75</v>
      </c>
      <c r="E457" t="s">
        <v>75</v>
      </c>
      <c r="F457" t="s">
        <v>109</v>
      </c>
      <c r="O457">
        <v>4</v>
      </c>
      <c r="P457">
        <v>49</v>
      </c>
      <c r="R457">
        <v>19.8</v>
      </c>
      <c r="T457" s="39">
        <v>43744</v>
      </c>
      <c r="U457" s="22" t="s">
        <v>381</v>
      </c>
      <c r="V457" t="s">
        <v>295</v>
      </c>
      <c r="W457" s="22" t="s">
        <v>311</v>
      </c>
    </row>
    <row r="458" spans="1:23" x14ac:dyDescent="0.2">
      <c r="A458" t="s">
        <v>192</v>
      </c>
      <c r="O458">
        <v>-3</v>
      </c>
      <c r="P458">
        <v>44</v>
      </c>
      <c r="R458">
        <v>9.1</v>
      </c>
      <c r="T458" s="39">
        <v>43744</v>
      </c>
      <c r="U458" s="22" t="s">
        <v>381</v>
      </c>
      <c r="V458" s="41" t="s">
        <v>305</v>
      </c>
      <c r="W458" s="22" t="s">
        <v>309</v>
      </c>
    </row>
    <row r="459" spans="1:23" x14ac:dyDescent="0.2">
      <c r="A459" t="s">
        <v>192</v>
      </c>
      <c r="O459">
        <v>3.5</v>
      </c>
      <c r="P459">
        <v>39.5</v>
      </c>
      <c r="R459">
        <v>5.0999999999999996</v>
      </c>
      <c r="T459" s="39">
        <v>43744</v>
      </c>
      <c r="U459" s="22" t="s">
        <v>381</v>
      </c>
      <c r="V459" t="s">
        <v>276</v>
      </c>
      <c r="W459" s="22" t="s">
        <v>310</v>
      </c>
    </row>
    <row r="460" spans="1:23" x14ac:dyDescent="0.2">
      <c r="A460" t="s">
        <v>192</v>
      </c>
      <c r="B460" t="s">
        <v>49</v>
      </c>
      <c r="C460">
        <v>12.6</v>
      </c>
      <c r="D460" t="s">
        <v>76</v>
      </c>
      <c r="E460" t="s">
        <v>76</v>
      </c>
      <c r="O460">
        <v>-3</v>
      </c>
      <c r="P460">
        <v>41</v>
      </c>
      <c r="Q460">
        <v>4.5</v>
      </c>
      <c r="R460">
        <v>7.4</v>
      </c>
      <c r="S460" s="1">
        <v>1.6</v>
      </c>
      <c r="T460" s="39">
        <v>43744</v>
      </c>
      <c r="U460" s="26" t="s">
        <v>381</v>
      </c>
      <c r="V460" t="s">
        <v>301</v>
      </c>
      <c r="W460" s="26" t="s">
        <v>297</v>
      </c>
    </row>
    <row r="461" spans="1:23" x14ac:dyDescent="0.2">
      <c r="A461" t="s">
        <v>192</v>
      </c>
      <c r="B461" s="1" t="s">
        <v>60</v>
      </c>
      <c r="I461" t="s">
        <v>76</v>
      </c>
      <c r="J461" t="s">
        <v>75</v>
      </c>
      <c r="K461" t="s">
        <v>76</v>
      </c>
      <c r="L461" t="s">
        <v>76</v>
      </c>
      <c r="M461" t="s">
        <v>76</v>
      </c>
      <c r="N461" t="s">
        <v>134</v>
      </c>
      <c r="O461">
        <v>-6.5</v>
      </c>
      <c r="P461">
        <v>38.5</v>
      </c>
      <c r="Q461">
        <v>3.9</v>
      </c>
      <c r="R461">
        <v>9.1999999999999993</v>
      </c>
      <c r="S461" s="1">
        <v>2.4</v>
      </c>
      <c r="T461" s="39">
        <v>43744</v>
      </c>
      <c r="U461" s="22" t="s">
        <v>381</v>
      </c>
      <c r="V461" t="s">
        <v>265</v>
      </c>
      <c r="W461" s="22" t="s">
        <v>303</v>
      </c>
    </row>
    <row r="462" spans="1:23" x14ac:dyDescent="0.2">
      <c r="A462" t="s">
        <v>192</v>
      </c>
      <c r="B462" t="s">
        <v>61</v>
      </c>
      <c r="C462">
        <v>8.9</v>
      </c>
      <c r="D462" t="s">
        <v>76</v>
      </c>
      <c r="E462" t="s">
        <v>75</v>
      </c>
      <c r="F462" t="s">
        <v>109</v>
      </c>
      <c r="I462" t="s">
        <v>75</v>
      </c>
      <c r="J462" t="s">
        <v>76</v>
      </c>
      <c r="K462" t="s">
        <v>76</v>
      </c>
      <c r="L462" t="s">
        <v>76</v>
      </c>
      <c r="M462" t="s">
        <v>76</v>
      </c>
      <c r="N462" t="s">
        <v>132</v>
      </c>
      <c r="O462">
        <v>-3</v>
      </c>
      <c r="P462">
        <v>45</v>
      </c>
      <c r="Q462">
        <v>3.5</v>
      </c>
      <c r="R462">
        <v>11.6</v>
      </c>
      <c r="S462" s="1">
        <v>3.3</v>
      </c>
      <c r="T462" s="39">
        <v>43744</v>
      </c>
      <c r="U462" s="22" t="s">
        <v>381</v>
      </c>
      <c r="V462" s="17" t="s">
        <v>272</v>
      </c>
      <c r="W462" s="22" t="s">
        <v>285</v>
      </c>
    </row>
    <row r="463" spans="1:23" x14ac:dyDescent="0.2">
      <c r="A463" t="s">
        <v>192</v>
      </c>
      <c r="O463">
        <v>5</v>
      </c>
      <c r="P463">
        <v>47.5</v>
      </c>
      <c r="R463">
        <v>11.5</v>
      </c>
      <c r="T463" s="39">
        <v>43744</v>
      </c>
      <c r="U463" s="22" t="s">
        <v>381</v>
      </c>
      <c r="V463" t="s">
        <v>281</v>
      </c>
      <c r="W463" s="22" t="s">
        <v>256</v>
      </c>
    </row>
    <row r="464" spans="1:23" x14ac:dyDescent="0.2">
      <c r="A464" t="s">
        <v>192</v>
      </c>
      <c r="B464" t="s">
        <v>14</v>
      </c>
      <c r="C464">
        <v>13.4</v>
      </c>
      <c r="D464" t="s">
        <v>76</v>
      </c>
      <c r="E464" t="s">
        <v>76</v>
      </c>
      <c r="O464">
        <v>-3.5</v>
      </c>
      <c r="P464">
        <v>46.5</v>
      </c>
      <c r="Q464">
        <v>5</v>
      </c>
      <c r="R464">
        <v>27.3</v>
      </c>
      <c r="S464" s="1">
        <v>5.5</v>
      </c>
      <c r="T464" s="39">
        <v>43744</v>
      </c>
      <c r="U464" s="22" t="s">
        <v>381</v>
      </c>
      <c r="V464" t="s">
        <v>291</v>
      </c>
      <c r="W464" s="22" t="s">
        <v>300</v>
      </c>
    </row>
    <row r="465" spans="1:23" x14ac:dyDescent="0.2">
      <c r="A465" t="s">
        <v>192</v>
      </c>
      <c r="F465" t="s">
        <v>110</v>
      </c>
      <c r="O465">
        <v>4</v>
      </c>
      <c r="P465">
        <v>46</v>
      </c>
      <c r="R465">
        <v>1.9</v>
      </c>
      <c r="T465" s="39">
        <v>43744</v>
      </c>
      <c r="U465" t="s">
        <v>381</v>
      </c>
      <c r="V465" t="s">
        <v>278</v>
      </c>
      <c r="W465" t="s">
        <v>287</v>
      </c>
    </row>
    <row r="466" spans="1:23" x14ac:dyDescent="0.2">
      <c r="A466" t="s">
        <v>192</v>
      </c>
      <c r="B466" t="s">
        <v>58</v>
      </c>
      <c r="I466" t="s">
        <v>75</v>
      </c>
      <c r="J466" t="s">
        <v>76</v>
      </c>
      <c r="K466" t="s">
        <v>76</v>
      </c>
      <c r="L466" t="s">
        <v>76</v>
      </c>
      <c r="M466" t="s">
        <v>75</v>
      </c>
      <c r="N466" t="s">
        <v>134</v>
      </c>
      <c r="O466">
        <v>3.5</v>
      </c>
      <c r="P466">
        <v>46.5</v>
      </c>
      <c r="Q466">
        <v>3.7</v>
      </c>
      <c r="R466" s="14">
        <v>4.4000000000000004</v>
      </c>
      <c r="S466" s="1">
        <v>1.2</v>
      </c>
      <c r="T466" s="39">
        <v>43744</v>
      </c>
      <c r="U466" s="22" t="s">
        <v>381</v>
      </c>
      <c r="V466" t="s">
        <v>300</v>
      </c>
      <c r="W466" s="22" t="s">
        <v>291</v>
      </c>
    </row>
    <row r="467" spans="1:23" x14ac:dyDescent="0.2">
      <c r="A467" t="s">
        <v>192</v>
      </c>
      <c r="B467" t="s">
        <v>142</v>
      </c>
      <c r="I467" t="s">
        <v>75</v>
      </c>
      <c r="J467" t="s">
        <v>76</v>
      </c>
      <c r="K467" t="s">
        <v>76</v>
      </c>
      <c r="L467" t="s">
        <v>76</v>
      </c>
      <c r="M467" t="s">
        <v>75</v>
      </c>
      <c r="N467" t="s">
        <v>134</v>
      </c>
      <c r="O467">
        <v>3.5</v>
      </c>
      <c r="P467">
        <v>46.5</v>
      </c>
      <c r="Q467">
        <v>5.6</v>
      </c>
      <c r="R467">
        <v>2.8</v>
      </c>
      <c r="S467" s="1">
        <f>R467/Q467</f>
        <v>0.5</v>
      </c>
      <c r="T467" s="39">
        <v>43744</v>
      </c>
      <c r="U467" s="22" t="s">
        <v>381</v>
      </c>
      <c r="V467" t="s">
        <v>300</v>
      </c>
      <c r="W467" s="22" t="s">
        <v>291</v>
      </c>
    </row>
    <row r="468" spans="1:23" x14ac:dyDescent="0.2">
      <c r="A468" t="s">
        <v>192</v>
      </c>
      <c r="B468" t="s">
        <v>23</v>
      </c>
      <c r="C468">
        <v>9.4</v>
      </c>
      <c r="D468" t="s">
        <v>75</v>
      </c>
      <c r="E468" t="s">
        <v>75</v>
      </c>
      <c r="F468" t="s">
        <v>109</v>
      </c>
      <c r="I468" t="s">
        <v>76</v>
      </c>
      <c r="J468" t="s">
        <v>76</v>
      </c>
      <c r="K468" t="s">
        <v>75</v>
      </c>
      <c r="L468" t="s">
        <v>76</v>
      </c>
      <c r="M468" t="s">
        <v>76</v>
      </c>
      <c r="N468" t="s">
        <v>132</v>
      </c>
      <c r="O468">
        <v>-4</v>
      </c>
      <c r="P468">
        <v>49</v>
      </c>
      <c r="Q468">
        <v>4.5</v>
      </c>
      <c r="R468" s="14">
        <v>56.7</v>
      </c>
      <c r="S468" s="1">
        <v>12.6</v>
      </c>
      <c r="T468" s="39">
        <v>43744</v>
      </c>
      <c r="U468" s="22" t="s">
        <v>381</v>
      </c>
      <c r="V468" t="s">
        <v>311</v>
      </c>
      <c r="W468" s="22" t="s">
        <v>295</v>
      </c>
    </row>
    <row r="469" spans="1:23" x14ac:dyDescent="0.2">
      <c r="A469" t="s">
        <v>192</v>
      </c>
      <c r="E469" t="s">
        <v>75</v>
      </c>
      <c r="O469">
        <v>10.5</v>
      </c>
      <c r="P469">
        <v>55.5</v>
      </c>
      <c r="R469">
        <v>3</v>
      </c>
      <c r="T469" s="39">
        <v>43744</v>
      </c>
      <c r="U469" s="22" t="s">
        <v>381</v>
      </c>
      <c r="V469" t="s">
        <v>289</v>
      </c>
      <c r="W469" s="22" t="s">
        <v>288</v>
      </c>
    </row>
    <row r="470" spans="1:23" x14ac:dyDescent="0.2">
      <c r="A470" t="s">
        <v>192</v>
      </c>
      <c r="O470">
        <v>3</v>
      </c>
      <c r="P470">
        <v>41</v>
      </c>
      <c r="R470">
        <v>39.4</v>
      </c>
      <c r="T470" s="39">
        <v>43744</v>
      </c>
      <c r="U470" s="26" t="s">
        <v>381</v>
      </c>
      <c r="V470" t="s">
        <v>297</v>
      </c>
      <c r="W470" s="26" t="s">
        <v>301</v>
      </c>
    </row>
    <row r="471" spans="1:23" x14ac:dyDescent="0.2">
      <c r="A471" t="s">
        <v>192</v>
      </c>
      <c r="E471" t="s">
        <v>75</v>
      </c>
      <c r="O471">
        <v>-10.5</v>
      </c>
      <c r="P471">
        <v>55.5</v>
      </c>
      <c r="R471">
        <v>6.1</v>
      </c>
      <c r="T471" s="39">
        <v>43744</v>
      </c>
      <c r="U471" s="22" t="s">
        <v>381</v>
      </c>
      <c r="V471" t="s">
        <v>288</v>
      </c>
      <c r="W471" s="22" t="s">
        <v>289</v>
      </c>
    </row>
    <row r="472" spans="1:23" x14ac:dyDescent="0.2">
      <c r="A472" t="s">
        <v>192</v>
      </c>
      <c r="B472" t="s">
        <v>145</v>
      </c>
      <c r="I472" t="s">
        <v>76</v>
      </c>
      <c r="J472" t="s">
        <v>75</v>
      </c>
      <c r="K472" t="s">
        <v>76</v>
      </c>
      <c r="L472" t="s">
        <v>76</v>
      </c>
      <c r="M472" t="s">
        <v>76</v>
      </c>
      <c r="N472" t="s">
        <v>134</v>
      </c>
      <c r="O472">
        <v>6.5</v>
      </c>
      <c r="P472">
        <v>38.5</v>
      </c>
      <c r="Q472">
        <v>4</v>
      </c>
      <c r="R472" s="3">
        <v>2.2000000000000002</v>
      </c>
      <c r="S472" s="1">
        <v>0.6</v>
      </c>
      <c r="T472" s="39">
        <v>43744</v>
      </c>
      <c r="U472" s="22" t="s">
        <v>381</v>
      </c>
      <c r="V472" t="s">
        <v>303</v>
      </c>
      <c r="W472" s="22" t="s">
        <v>265</v>
      </c>
    </row>
    <row r="473" spans="1:23" x14ac:dyDescent="0.2">
      <c r="A473" t="s">
        <v>192</v>
      </c>
      <c r="B473" t="s">
        <v>83</v>
      </c>
      <c r="F473" t="s">
        <v>110</v>
      </c>
      <c r="I473" t="s">
        <v>76</v>
      </c>
      <c r="J473" t="s">
        <v>75</v>
      </c>
      <c r="K473" t="s">
        <v>76</v>
      </c>
      <c r="L473" t="s">
        <v>75</v>
      </c>
      <c r="M473" t="s">
        <v>75</v>
      </c>
      <c r="N473" t="s">
        <v>132</v>
      </c>
      <c r="O473">
        <v>-4</v>
      </c>
      <c r="P473">
        <v>46</v>
      </c>
      <c r="Q473">
        <v>4.5</v>
      </c>
      <c r="R473">
        <v>13.4</v>
      </c>
      <c r="S473" s="1">
        <v>3</v>
      </c>
      <c r="T473" s="39">
        <v>43744</v>
      </c>
      <c r="U473" s="22" t="s">
        <v>381</v>
      </c>
      <c r="V473" t="s">
        <v>287</v>
      </c>
      <c r="W473" s="22" t="s">
        <v>278</v>
      </c>
    </row>
    <row r="474" spans="1:23" x14ac:dyDescent="0.2">
      <c r="A474" t="s">
        <v>192</v>
      </c>
      <c r="D474" s="35"/>
      <c r="E474" s="35"/>
      <c r="F474" s="35"/>
      <c r="O474">
        <v>1.5</v>
      </c>
      <c r="P474">
        <v>49</v>
      </c>
      <c r="R474">
        <v>9.8000000000000007</v>
      </c>
      <c r="T474" s="39">
        <v>43744</v>
      </c>
      <c r="U474" s="26" t="s">
        <v>381</v>
      </c>
      <c r="V474" t="s">
        <v>304</v>
      </c>
      <c r="W474" s="26" t="s">
        <v>308</v>
      </c>
    </row>
    <row r="475" spans="1:23" x14ac:dyDescent="0.2">
      <c r="A475" t="s">
        <v>192</v>
      </c>
      <c r="B475" t="s">
        <v>44</v>
      </c>
      <c r="C475">
        <v>11.6</v>
      </c>
      <c r="D475" t="s">
        <v>75</v>
      </c>
      <c r="E475" t="s">
        <v>76</v>
      </c>
      <c r="F475" t="s">
        <v>110</v>
      </c>
      <c r="O475" s="8">
        <v>-5.5</v>
      </c>
      <c r="P475" s="8">
        <v>44</v>
      </c>
      <c r="Q475">
        <v>6.2</v>
      </c>
      <c r="R475">
        <v>7.4</v>
      </c>
      <c r="S475" s="1">
        <v>1.2</v>
      </c>
      <c r="T475" s="39">
        <v>43744</v>
      </c>
      <c r="U475" s="22" t="s">
        <v>381</v>
      </c>
      <c r="V475" t="s">
        <v>312</v>
      </c>
      <c r="W475" s="22" t="s">
        <v>296</v>
      </c>
    </row>
    <row r="476" spans="1:23" x14ac:dyDescent="0.2">
      <c r="A476" t="s">
        <v>192</v>
      </c>
      <c r="O476">
        <v>-15.5</v>
      </c>
      <c r="P476">
        <v>42</v>
      </c>
      <c r="R476" s="14">
        <v>10.9</v>
      </c>
      <c r="T476" s="39">
        <v>43744</v>
      </c>
      <c r="U476" s="22" t="s">
        <v>381</v>
      </c>
      <c r="V476" t="s">
        <v>302</v>
      </c>
      <c r="W476" s="22" t="s">
        <v>306</v>
      </c>
    </row>
    <row r="477" spans="1:23" x14ac:dyDescent="0.2">
      <c r="A477" t="s">
        <v>192</v>
      </c>
      <c r="O477">
        <v>-3</v>
      </c>
      <c r="P477">
        <v>46</v>
      </c>
      <c r="R477">
        <v>11.6</v>
      </c>
      <c r="T477" s="39">
        <v>43744</v>
      </c>
      <c r="U477" s="22" t="s">
        <v>381</v>
      </c>
      <c r="V477" t="s">
        <v>307</v>
      </c>
      <c r="W477" s="22" t="s">
        <v>284</v>
      </c>
    </row>
    <row r="478" spans="1:23" x14ac:dyDescent="0.2">
      <c r="A478" t="s">
        <v>192</v>
      </c>
      <c r="D478" s="3"/>
      <c r="E478" s="3"/>
      <c r="F478" t="s">
        <v>110</v>
      </c>
      <c r="O478" s="3">
        <v>5.5</v>
      </c>
      <c r="P478" s="3">
        <v>44</v>
      </c>
      <c r="R478" s="3">
        <v>4.3</v>
      </c>
      <c r="T478" s="39">
        <v>43744</v>
      </c>
      <c r="U478" s="28" t="s">
        <v>381</v>
      </c>
      <c r="V478" t="s">
        <v>296</v>
      </c>
      <c r="W478" s="28" t="s">
        <v>312</v>
      </c>
    </row>
    <row r="479" spans="1:23" x14ac:dyDescent="0.2">
      <c r="A479" t="s">
        <v>192</v>
      </c>
      <c r="D479" s="3"/>
      <c r="E479" t="s">
        <v>75</v>
      </c>
      <c r="F479" s="3"/>
      <c r="O479" s="3">
        <v>14</v>
      </c>
      <c r="P479" s="3">
        <v>43</v>
      </c>
      <c r="R479" s="3">
        <v>2.6</v>
      </c>
      <c r="T479" s="39">
        <v>43744</v>
      </c>
      <c r="U479" s="28" t="s">
        <v>381</v>
      </c>
      <c r="V479" t="s">
        <v>298</v>
      </c>
      <c r="W479" s="28" t="s">
        <v>294</v>
      </c>
    </row>
    <row r="480" spans="1:23" x14ac:dyDescent="0.2">
      <c r="A480" t="s">
        <v>192</v>
      </c>
      <c r="E480" t="s">
        <v>75</v>
      </c>
      <c r="O480">
        <v>-14</v>
      </c>
      <c r="P480">
        <v>43</v>
      </c>
      <c r="R480">
        <v>3</v>
      </c>
      <c r="T480" s="39">
        <v>43744</v>
      </c>
      <c r="U480" s="22" t="s">
        <v>381</v>
      </c>
      <c r="V480" t="s">
        <v>294</v>
      </c>
      <c r="W480" s="22" t="s">
        <v>298</v>
      </c>
    </row>
    <row r="481" spans="1:23" x14ac:dyDescent="0.2">
      <c r="A481" t="s">
        <v>192</v>
      </c>
      <c r="O481">
        <v>3</v>
      </c>
      <c r="P481">
        <v>44</v>
      </c>
      <c r="R481">
        <v>7.7</v>
      </c>
      <c r="T481" s="39">
        <v>43744</v>
      </c>
      <c r="U481" s="22" t="s">
        <v>381</v>
      </c>
      <c r="V481" t="s">
        <v>309</v>
      </c>
      <c r="W481" s="22" t="s">
        <v>305</v>
      </c>
    </row>
    <row r="482" spans="1:23" x14ac:dyDescent="0.2">
      <c r="A482" t="s">
        <v>192</v>
      </c>
      <c r="O482">
        <v>-5</v>
      </c>
      <c r="P482">
        <v>47.5</v>
      </c>
      <c r="R482">
        <v>2.1</v>
      </c>
      <c r="T482" s="39">
        <v>43744</v>
      </c>
      <c r="U482" s="23" t="s">
        <v>381</v>
      </c>
      <c r="V482" s="22" t="s">
        <v>256</v>
      </c>
      <c r="W482" s="24" t="s">
        <v>281</v>
      </c>
    </row>
    <row r="483" spans="1:23" x14ac:dyDescent="0.2">
      <c r="A483" t="s">
        <v>192</v>
      </c>
      <c r="O483">
        <v>-1.5</v>
      </c>
      <c r="P483">
        <v>49</v>
      </c>
      <c r="R483">
        <v>12.4</v>
      </c>
      <c r="T483" s="39">
        <v>43744</v>
      </c>
      <c r="U483" s="26" t="s">
        <v>381</v>
      </c>
      <c r="V483" t="s">
        <v>308</v>
      </c>
      <c r="W483" s="26" t="s">
        <v>304</v>
      </c>
    </row>
    <row r="484" spans="1:23" x14ac:dyDescent="0.2">
      <c r="A484" t="s">
        <v>192</v>
      </c>
      <c r="O484">
        <v>3</v>
      </c>
      <c r="P484">
        <v>46</v>
      </c>
      <c r="R484">
        <v>34.5</v>
      </c>
      <c r="T484" s="39">
        <v>43744</v>
      </c>
      <c r="U484" s="22" t="s">
        <v>381</v>
      </c>
      <c r="V484" t="s">
        <v>284</v>
      </c>
      <c r="W484" s="22" t="s">
        <v>307</v>
      </c>
    </row>
    <row r="485" spans="1:23" x14ac:dyDescent="0.2">
      <c r="A485" t="s">
        <v>192</v>
      </c>
      <c r="O485">
        <v>-3.5</v>
      </c>
      <c r="P485">
        <v>39.5</v>
      </c>
      <c r="R485" s="14">
        <v>7</v>
      </c>
      <c r="T485" s="39">
        <v>43744</v>
      </c>
      <c r="U485" s="22" t="s">
        <v>381</v>
      </c>
      <c r="V485" t="s">
        <v>310</v>
      </c>
      <c r="W485" s="22" t="s">
        <v>276</v>
      </c>
    </row>
    <row r="486" spans="1:23" x14ac:dyDescent="0.2">
      <c r="A486" t="s">
        <v>192</v>
      </c>
      <c r="O486">
        <v>15.5</v>
      </c>
      <c r="P486">
        <v>42</v>
      </c>
      <c r="R486">
        <v>3.4</v>
      </c>
      <c r="T486" s="39">
        <v>43744</v>
      </c>
      <c r="U486" s="22" t="s">
        <v>381</v>
      </c>
      <c r="V486" t="s">
        <v>306</v>
      </c>
      <c r="W486" s="22" t="s">
        <v>302</v>
      </c>
    </row>
    <row r="487" spans="1:23" x14ac:dyDescent="0.2">
      <c r="A487" t="s">
        <v>192</v>
      </c>
      <c r="F487" t="s">
        <v>109</v>
      </c>
      <c r="O487">
        <v>3</v>
      </c>
      <c r="P487">
        <v>52.5</v>
      </c>
      <c r="R487">
        <v>8</v>
      </c>
      <c r="T487" s="39">
        <v>43751</v>
      </c>
      <c r="U487" s="22" t="s">
        <v>252</v>
      </c>
      <c r="V487" s="41" t="s">
        <v>285</v>
      </c>
      <c r="W487" s="22" t="s">
        <v>295</v>
      </c>
    </row>
    <row r="488" spans="1:23" x14ac:dyDescent="0.2">
      <c r="A488" t="s">
        <v>192</v>
      </c>
      <c r="F488" t="s">
        <v>109</v>
      </c>
      <c r="O488">
        <v>-3</v>
      </c>
      <c r="P488">
        <v>52.5</v>
      </c>
      <c r="R488">
        <v>14.8</v>
      </c>
      <c r="T488" s="39">
        <v>43751</v>
      </c>
      <c r="U488" s="22" t="s">
        <v>252</v>
      </c>
      <c r="V488" s="41" t="s">
        <v>295</v>
      </c>
      <c r="W488" s="22" t="s">
        <v>285</v>
      </c>
    </row>
    <row r="489" spans="1:23" x14ac:dyDescent="0.2">
      <c r="A489" t="s">
        <v>192</v>
      </c>
      <c r="B489" t="s">
        <v>147</v>
      </c>
      <c r="I489" t="s">
        <v>76</v>
      </c>
      <c r="J489" t="s">
        <v>75</v>
      </c>
      <c r="K489" t="s">
        <v>76</v>
      </c>
      <c r="L489" t="s">
        <v>75</v>
      </c>
      <c r="M489" t="s">
        <v>75</v>
      </c>
      <c r="N489" t="s">
        <v>132</v>
      </c>
      <c r="O489">
        <v>-10.5</v>
      </c>
      <c r="P489">
        <v>47</v>
      </c>
      <c r="Q489">
        <v>5.5</v>
      </c>
      <c r="R489">
        <v>4.8</v>
      </c>
      <c r="S489" s="1">
        <v>0.9</v>
      </c>
      <c r="T489" s="39">
        <v>43751</v>
      </c>
      <c r="U489" s="22" t="s">
        <v>252</v>
      </c>
      <c r="V489" s="41" t="s">
        <v>305</v>
      </c>
      <c r="W489" s="22" t="s">
        <v>272</v>
      </c>
    </row>
    <row r="490" spans="1:23" x14ac:dyDescent="0.2">
      <c r="A490" t="s">
        <v>192</v>
      </c>
      <c r="O490">
        <v>-2</v>
      </c>
      <c r="P490">
        <v>48.5</v>
      </c>
      <c r="R490">
        <v>23.8</v>
      </c>
      <c r="T490" s="39">
        <v>43751</v>
      </c>
      <c r="U490" s="22" t="s">
        <v>252</v>
      </c>
      <c r="V490" s="41" t="s">
        <v>301</v>
      </c>
      <c r="W490" s="22" t="s">
        <v>284</v>
      </c>
    </row>
    <row r="491" spans="1:23" x14ac:dyDescent="0.2">
      <c r="A491" t="s">
        <v>192</v>
      </c>
      <c r="B491" s="1" t="s">
        <v>61</v>
      </c>
      <c r="I491" t="s">
        <v>75</v>
      </c>
      <c r="J491" t="s">
        <v>76</v>
      </c>
      <c r="K491" t="s">
        <v>75</v>
      </c>
      <c r="L491" t="s">
        <v>75</v>
      </c>
      <c r="M491" t="s">
        <v>75</v>
      </c>
      <c r="N491" t="s">
        <v>134</v>
      </c>
      <c r="O491">
        <v>10.5</v>
      </c>
      <c r="P491">
        <v>47</v>
      </c>
      <c r="Q491">
        <v>4.5</v>
      </c>
      <c r="R491">
        <v>14.1</v>
      </c>
      <c r="S491" s="1">
        <v>3.1</v>
      </c>
      <c r="T491" s="39">
        <v>43751</v>
      </c>
      <c r="U491" s="22" t="s">
        <v>252</v>
      </c>
      <c r="V491" s="17" t="s">
        <v>272</v>
      </c>
      <c r="W491" s="22" t="s">
        <v>305</v>
      </c>
    </row>
    <row r="492" spans="1:23" x14ac:dyDescent="0.2">
      <c r="A492" t="s">
        <v>192</v>
      </c>
      <c r="F492" t="s">
        <v>110</v>
      </c>
      <c r="O492" s="22">
        <v>-1</v>
      </c>
      <c r="P492" s="22">
        <v>45.5</v>
      </c>
      <c r="R492">
        <v>6.6</v>
      </c>
      <c r="T492" s="39">
        <v>43751</v>
      </c>
      <c r="U492" s="22" t="s">
        <v>252</v>
      </c>
      <c r="V492" s="41" t="s">
        <v>281</v>
      </c>
      <c r="W492" s="22" t="s">
        <v>308</v>
      </c>
    </row>
    <row r="493" spans="1:23" x14ac:dyDescent="0.2">
      <c r="A493" t="s">
        <v>192</v>
      </c>
      <c r="E493" t="s">
        <v>75</v>
      </c>
      <c r="O493">
        <v>-7</v>
      </c>
      <c r="P493">
        <v>43.5</v>
      </c>
      <c r="R493">
        <v>8.8000000000000007</v>
      </c>
      <c r="T493" s="39">
        <v>43751</v>
      </c>
      <c r="U493" s="22" t="s">
        <v>252</v>
      </c>
      <c r="V493" s="41" t="s">
        <v>291</v>
      </c>
      <c r="W493" s="22" t="s">
        <v>298</v>
      </c>
    </row>
    <row r="494" spans="1:23" x14ac:dyDescent="0.2">
      <c r="A494" t="s">
        <v>192</v>
      </c>
      <c r="O494">
        <v>-1</v>
      </c>
      <c r="P494">
        <v>41</v>
      </c>
      <c r="R494">
        <v>1</v>
      </c>
      <c r="T494" s="39">
        <v>43751</v>
      </c>
      <c r="U494" t="s">
        <v>252</v>
      </c>
      <c r="V494" s="41" t="s">
        <v>278</v>
      </c>
      <c r="W494" t="s">
        <v>310</v>
      </c>
    </row>
    <row r="495" spans="1:23" x14ac:dyDescent="0.2">
      <c r="A495" t="s">
        <v>192</v>
      </c>
      <c r="O495">
        <v>3.5</v>
      </c>
      <c r="P495">
        <v>47</v>
      </c>
      <c r="R495" s="14">
        <v>3.7</v>
      </c>
      <c r="T495" s="39">
        <v>43751</v>
      </c>
      <c r="U495" s="23" t="s">
        <v>252</v>
      </c>
      <c r="V495" s="41" t="s">
        <v>299</v>
      </c>
      <c r="W495" s="22" t="s">
        <v>300</v>
      </c>
    </row>
    <row r="496" spans="1:23" x14ac:dyDescent="0.2">
      <c r="A496" t="s">
        <v>192</v>
      </c>
      <c r="B496" t="s">
        <v>142</v>
      </c>
      <c r="I496" t="s">
        <v>75</v>
      </c>
      <c r="J496" t="s">
        <v>76</v>
      </c>
      <c r="K496" t="s">
        <v>76</v>
      </c>
      <c r="L496" t="s">
        <v>75</v>
      </c>
      <c r="M496" t="s">
        <v>75</v>
      </c>
      <c r="N496" t="s">
        <v>132</v>
      </c>
      <c r="O496">
        <v>-3.5</v>
      </c>
      <c r="P496">
        <v>47</v>
      </c>
      <c r="Q496">
        <v>5</v>
      </c>
      <c r="R496">
        <v>7</v>
      </c>
      <c r="S496" s="1">
        <f>R496/Q496</f>
        <v>1.4</v>
      </c>
      <c r="T496" s="39">
        <v>43751</v>
      </c>
      <c r="U496" s="22" t="s">
        <v>252</v>
      </c>
      <c r="V496" s="41" t="s">
        <v>300</v>
      </c>
      <c r="W496" s="22" t="s">
        <v>299</v>
      </c>
    </row>
    <row r="497" spans="1:23" x14ac:dyDescent="0.2">
      <c r="A497" t="s">
        <v>192</v>
      </c>
      <c r="B497" t="s">
        <v>143</v>
      </c>
      <c r="I497" t="s">
        <v>75</v>
      </c>
      <c r="J497" t="s">
        <v>76</v>
      </c>
      <c r="K497" t="s">
        <v>76</v>
      </c>
      <c r="L497" t="s">
        <v>75</v>
      </c>
      <c r="M497" t="s">
        <v>75</v>
      </c>
      <c r="N497" t="s">
        <v>132</v>
      </c>
      <c r="O497">
        <v>-3.5</v>
      </c>
      <c r="P497">
        <v>47</v>
      </c>
      <c r="Q497">
        <v>3</v>
      </c>
      <c r="R497">
        <v>16.5</v>
      </c>
      <c r="S497" s="1">
        <f>R497/Q497</f>
        <v>5.5</v>
      </c>
      <c r="T497" s="39">
        <v>43751</v>
      </c>
      <c r="U497" s="22" t="s">
        <v>252</v>
      </c>
      <c r="V497" t="s">
        <v>300</v>
      </c>
      <c r="W497" s="22" t="s">
        <v>299</v>
      </c>
    </row>
    <row r="498" spans="1:23" x14ac:dyDescent="0.2">
      <c r="A498" t="s">
        <v>192</v>
      </c>
      <c r="B498" t="s">
        <v>23</v>
      </c>
      <c r="I498" t="s">
        <v>76</v>
      </c>
      <c r="J498" t="s">
        <v>76</v>
      </c>
      <c r="K498" t="s">
        <v>75</v>
      </c>
      <c r="L498" t="s">
        <v>76</v>
      </c>
      <c r="M498" t="s">
        <v>75</v>
      </c>
      <c r="N498" t="s">
        <v>134</v>
      </c>
      <c r="O498">
        <v>3.5</v>
      </c>
      <c r="P498">
        <v>54.5</v>
      </c>
      <c r="Q498">
        <v>6</v>
      </c>
      <c r="R498" s="14">
        <v>9.4</v>
      </c>
      <c r="S498" s="1">
        <v>1.6</v>
      </c>
      <c r="T498" s="39">
        <v>43751</v>
      </c>
      <c r="U498" s="22" t="s">
        <v>252</v>
      </c>
      <c r="V498" t="s">
        <v>311</v>
      </c>
      <c r="W498" s="22" t="s">
        <v>288</v>
      </c>
    </row>
    <row r="499" spans="1:23" x14ac:dyDescent="0.2">
      <c r="A499" t="s">
        <v>192</v>
      </c>
      <c r="F499" t="s">
        <v>110</v>
      </c>
      <c r="O499">
        <v>-2.5</v>
      </c>
      <c r="P499">
        <v>42.5</v>
      </c>
      <c r="R499">
        <v>7.3</v>
      </c>
      <c r="T499" s="39">
        <v>43751</v>
      </c>
      <c r="U499" s="22" t="s">
        <v>252</v>
      </c>
      <c r="V499" t="s">
        <v>297</v>
      </c>
      <c r="W499" s="22" t="s">
        <v>307</v>
      </c>
    </row>
    <row r="500" spans="1:23" x14ac:dyDescent="0.2">
      <c r="A500" t="s">
        <v>192</v>
      </c>
      <c r="F500" t="s">
        <v>109</v>
      </c>
      <c r="O500">
        <v>-3.5</v>
      </c>
      <c r="P500">
        <v>54.5</v>
      </c>
      <c r="R500" s="14">
        <v>8.5</v>
      </c>
      <c r="T500" s="39">
        <v>43751</v>
      </c>
      <c r="U500" s="22" t="s">
        <v>252</v>
      </c>
      <c r="V500" t="s">
        <v>288</v>
      </c>
      <c r="W500" s="22" t="s">
        <v>311</v>
      </c>
    </row>
    <row r="501" spans="1:23" x14ac:dyDescent="0.2">
      <c r="A501" t="s">
        <v>192</v>
      </c>
      <c r="O501">
        <v>-6</v>
      </c>
      <c r="P501">
        <v>42.5</v>
      </c>
      <c r="R501">
        <v>12.2</v>
      </c>
      <c r="T501" s="39">
        <v>43751</v>
      </c>
      <c r="U501" s="22" t="s">
        <v>252</v>
      </c>
      <c r="V501" t="s">
        <v>287</v>
      </c>
      <c r="W501" s="22" t="s">
        <v>309</v>
      </c>
    </row>
    <row r="502" spans="1:23" x14ac:dyDescent="0.2">
      <c r="A502" t="s">
        <v>192</v>
      </c>
      <c r="F502" t="s">
        <v>109</v>
      </c>
      <c r="O502">
        <v>-3</v>
      </c>
      <c r="P502">
        <v>49.5</v>
      </c>
      <c r="R502">
        <v>7.6</v>
      </c>
      <c r="T502" s="39">
        <v>43751</v>
      </c>
      <c r="U502" s="22" t="s">
        <v>252</v>
      </c>
      <c r="V502" t="s">
        <v>304</v>
      </c>
      <c r="W502" s="22" t="s">
        <v>256</v>
      </c>
    </row>
    <row r="503" spans="1:23" x14ac:dyDescent="0.2">
      <c r="A503" t="s">
        <v>192</v>
      </c>
      <c r="D503" s="3" t="s">
        <v>75</v>
      </c>
      <c r="E503" t="s">
        <v>75</v>
      </c>
      <c r="F503" s="3"/>
      <c r="O503" s="3">
        <v>6</v>
      </c>
      <c r="P503" s="3">
        <v>42</v>
      </c>
      <c r="R503" s="3">
        <v>11.8</v>
      </c>
      <c r="T503" s="39">
        <v>43751</v>
      </c>
      <c r="U503" s="28" t="s">
        <v>252</v>
      </c>
      <c r="V503" t="s">
        <v>293</v>
      </c>
      <c r="W503" s="28" t="s">
        <v>306</v>
      </c>
    </row>
    <row r="504" spans="1:23" x14ac:dyDescent="0.2">
      <c r="A504" t="s">
        <v>192</v>
      </c>
      <c r="F504" t="s">
        <v>110</v>
      </c>
      <c r="O504">
        <v>-3.5</v>
      </c>
      <c r="P504">
        <v>44</v>
      </c>
      <c r="R504">
        <v>46.5</v>
      </c>
      <c r="T504" s="39">
        <v>43751</v>
      </c>
      <c r="U504" s="22" t="s">
        <v>252</v>
      </c>
      <c r="V504" t="s">
        <v>312</v>
      </c>
      <c r="W504" s="22" t="s">
        <v>294</v>
      </c>
    </row>
    <row r="505" spans="1:23" x14ac:dyDescent="0.2">
      <c r="A505" t="s">
        <v>192</v>
      </c>
      <c r="D505" t="s">
        <v>75</v>
      </c>
      <c r="O505">
        <v>-16.5</v>
      </c>
      <c r="P505">
        <v>43</v>
      </c>
      <c r="R505" s="14"/>
      <c r="T505" s="39">
        <v>43751</v>
      </c>
      <c r="U505" s="22" t="s">
        <v>252</v>
      </c>
      <c r="V505" t="s">
        <v>302</v>
      </c>
      <c r="W505" s="22" t="s">
        <v>296</v>
      </c>
    </row>
    <row r="506" spans="1:23" x14ac:dyDescent="0.2">
      <c r="A506" t="s">
        <v>192</v>
      </c>
      <c r="F506" t="s">
        <v>110</v>
      </c>
      <c r="O506">
        <v>2.5</v>
      </c>
      <c r="P506">
        <v>42.5</v>
      </c>
      <c r="R506">
        <v>6.8</v>
      </c>
      <c r="T506" s="39">
        <v>43751</v>
      </c>
      <c r="U506" s="22" t="s">
        <v>252</v>
      </c>
      <c r="V506" t="s">
        <v>307</v>
      </c>
      <c r="W506" s="22" t="s">
        <v>297</v>
      </c>
    </row>
    <row r="507" spans="1:23" x14ac:dyDescent="0.2">
      <c r="A507" t="s">
        <v>192</v>
      </c>
      <c r="B507" t="s">
        <v>139</v>
      </c>
      <c r="I507" t="s">
        <v>75</v>
      </c>
      <c r="J507" t="s">
        <v>75</v>
      </c>
      <c r="K507" t="s">
        <v>76</v>
      </c>
      <c r="L507" t="s">
        <v>76</v>
      </c>
      <c r="M507" t="s">
        <v>76</v>
      </c>
      <c r="N507" t="s">
        <v>134</v>
      </c>
      <c r="O507" s="3">
        <v>16.5</v>
      </c>
      <c r="P507" s="3">
        <v>43</v>
      </c>
      <c r="Q507">
        <v>4.7</v>
      </c>
      <c r="R507" s="3">
        <v>6.2</v>
      </c>
      <c r="S507" s="1">
        <v>5.4</v>
      </c>
      <c r="T507" s="39">
        <v>43751</v>
      </c>
      <c r="U507" s="28" t="s">
        <v>252</v>
      </c>
      <c r="V507" t="s">
        <v>296</v>
      </c>
      <c r="W507" s="28" t="s">
        <v>302</v>
      </c>
    </row>
    <row r="508" spans="1:23" x14ac:dyDescent="0.2">
      <c r="A508" t="s">
        <v>192</v>
      </c>
      <c r="E508" t="s">
        <v>75</v>
      </c>
      <c r="F508" t="s">
        <v>110</v>
      </c>
      <c r="O508">
        <v>7</v>
      </c>
      <c r="P508">
        <v>43.5</v>
      </c>
      <c r="R508">
        <v>26.5</v>
      </c>
      <c r="T508" s="39">
        <v>43751</v>
      </c>
      <c r="U508" s="22" t="s">
        <v>252</v>
      </c>
      <c r="V508" t="s">
        <v>298</v>
      </c>
      <c r="W508" s="22" t="s">
        <v>291</v>
      </c>
    </row>
    <row r="509" spans="1:23" x14ac:dyDescent="0.2">
      <c r="A509" t="s">
        <v>192</v>
      </c>
      <c r="O509">
        <v>3.5</v>
      </c>
      <c r="P509">
        <v>44</v>
      </c>
      <c r="R509">
        <v>8.1999999999999993</v>
      </c>
      <c r="T509" s="39">
        <v>43751</v>
      </c>
      <c r="U509" s="22" t="s">
        <v>252</v>
      </c>
      <c r="V509" t="s">
        <v>294</v>
      </c>
      <c r="W509" s="22" t="s">
        <v>312</v>
      </c>
    </row>
    <row r="510" spans="1:23" x14ac:dyDescent="0.2">
      <c r="A510" t="s">
        <v>192</v>
      </c>
      <c r="O510">
        <v>6</v>
      </c>
      <c r="P510">
        <v>42.5</v>
      </c>
      <c r="R510">
        <v>3.4</v>
      </c>
      <c r="T510" s="39">
        <v>43751</v>
      </c>
      <c r="U510" s="22" t="s">
        <v>252</v>
      </c>
      <c r="V510" t="s">
        <v>309</v>
      </c>
      <c r="W510" s="22" t="s">
        <v>287</v>
      </c>
    </row>
    <row r="511" spans="1:23" x14ac:dyDescent="0.2">
      <c r="A511" t="s">
        <v>192</v>
      </c>
      <c r="F511" t="s">
        <v>109</v>
      </c>
      <c r="O511">
        <v>3</v>
      </c>
      <c r="P511">
        <v>49.5</v>
      </c>
      <c r="R511">
        <v>4.9000000000000004</v>
      </c>
      <c r="T511" s="39">
        <v>43751</v>
      </c>
      <c r="U511" s="22" t="s">
        <v>252</v>
      </c>
      <c r="V511" s="22" t="s">
        <v>256</v>
      </c>
      <c r="W511" s="22" t="s">
        <v>304</v>
      </c>
    </row>
    <row r="512" spans="1:23" x14ac:dyDescent="0.2">
      <c r="A512" t="s">
        <v>192</v>
      </c>
      <c r="F512" t="s">
        <v>110</v>
      </c>
      <c r="O512" s="22">
        <v>1</v>
      </c>
      <c r="P512" s="22">
        <v>45.5</v>
      </c>
      <c r="R512">
        <v>11.3</v>
      </c>
      <c r="T512" s="39">
        <v>43751</v>
      </c>
      <c r="U512" s="22" t="s">
        <v>252</v>
      </c>
      <c r="V512" t="s">
        <v>308</v>
      </c>
      <c r="W512" s="22" t="s">
        <v>281</v>
      </c>
    </row>
    <row r="513" spans="1:23" x14ac:dyDescent="0.2">
      <c r="A513" t="s">
        <v>192</v>
      </c>
      <c r="O513">
        <v>2</v>
      </c>
      <c r="P513">
        <v>48.5</v>
      </c>
      <c r="R513">
        <v>28.1</v>
      </c>
      <c r="T513" s="39">
        <v>43751</v>
      </c>
      <c r="U513" s="22" t="s">
        <v>252</v>
      </c>
      <c r="V513" t="s">
        <v>284</v>
      </c>
      <c r="W513" s="22" t="s">
        <v>301</v>
      </c>
    </row>
    <row r="514" spans="1:23" x14ac:dyDescent="0.2">
      <c r="A514" t="s">
        <v>192</v>
      </c>
      <c r="O514">
        <v>1</v>
      </c>
      <c r="P514">
        <v>41</v>
      </c>
      <c r="R514" s="14">
        <v>10.7</v>
      </c>
      <c r="T514" s="39">
        <v>43751</v>
      </c>
      <c r="U514" s="22" t="s">
        <v>252</v>
      </c>
      <c r="V514" t="s">
        <v>310</v>
      </c>
      <c r="W514" s="22" t="s">
        <v>278</v>
      </c>
    </row>
    <row r="515" spans="1:23" x14ac:dyDescent="0.2">
      <c r="A515" t="s">
        <v>192</v>
      </c>
      <c r="D515" t="s">
        <v>75</v>
      </c>
      <c r="E515" t="s">
        <v>75</v>
      </c>
      <c r="O515">
        <v>-6</v>
      </c>
      <c r="P515">
        <v>42</v>
      </c>
      <c r="R515">
        <v>0</v>
      </c>
      <c r="T515" s="39">
        <v>43751</v>
      </c>
      <c r="U515" s="22" t="s">
        <v>252</v>
      </c>
      <c r="V515" t="s">
        <v>306</v>
      </c>
      <c r="W515" s="22" t="s">
        <v>293</v>
      </c>
    </row>
    <row r="516" spans="1:23" x14ac:dyDescent="0.2">
      <c r="A516" t="s">
        <v>192</v>
      </c>
      <c r="D516" t="s">
        <v>75</v>
      </c>
      <c r="F516" t="s">
        <v>109</v>
      </c>
      <c r="O516">
        <v>3.5</v>
      </c>
      <c r="P516">
        <v>49.5</v>
      </c>
      <c r="R516">
        <v>6.9</v>
      </c>
      <c r="T516" s="39">
        <v>43758</v>
      </c>
      <c r="U516" s="22" t="s">
        <v>250</v>
      </c>
      <c r="V516" t="s">
        <v>285</v>
      </c>
      <c r="W516" s="22" t="s">
        <v>296</v>
      </c>
    </row>
    <row r="517" spans="1:23" x14ac:dyDescent="0.2">
      <c r="A517" t="s">
        <v>192</v>
      </c>
      <c r="F517" t="s">
        <v>109</v>
      </c>
      <c r="O517">
        <v>3</v>
      </c>
      <c r="P517">
        <v>54.5</v>
      </c>
      <c r="R517">
        <v>7</v>
      </c>
      <c r="T517" s="39">
        <v>43758</v>
      </c>
      <c r="U517" s="22" t="s">
        <v>250</v>
      </c>
      <c r="V517" s="41" t="s">
        <v>295</v>
      </c>
      <c r="W517" s="22" t="s">
        <v>304</v>
      </c>
    </row>
    <row r="518" spans="1:23" x14ac:dyDescent="0.2">
      <c r="A518" t="s">
        <v>192</v>
      </c>
      <c r="B518" t="s">
        <v>147</v>
      </c>
      <c r="I518" t="s">
        <v>76</v>
      </c>
      <c r="J518" t="s">
        <v>75</v>
      </c>
      <c r="K518" t="s">
        <v>76</v>
      </c>
      <c r="L518" t="s">
        <v>76</v>
      </c>
      <c r="M518" t="s">
        <v>76</v>
      </c>
      <c r="N518" t="s">
        <v>134</v>
      </c>
      <c r="O518">
        <v>3</v>
      </c>
      <c r="P518">
        <v>49</v>
      </c>
      <c r="Q518">
        <v>4.2</v>
      </c>
      <c r="R518">
        <v>0.2</v>
      </c>
      <c r="S518" s="1">
        <v>0</v>
      </c>
      <c r="T518" s="39">
        <v>43758</v>
      </c>
      <c r="U518" s="22" t="s">
        <v>250</v>
      </c>
      <c r="V518" s="41" t="s">
        <v>305</v>
      </c>
      <c r="W518" s="22" t="s">
        <v>308</v>
      </c>
    </row>
    <row r="519" spans="1:23" x14ac:dyDescent="0.2">
      <c r="A519" t="s">
        <v>192</v>
      </c>
      <c r="B519" t="s">
        <v>46</v>
      </c>
      <c r="C519">
        <v>10.5</v>
      </c>
      <c r="D519" t="s">
        <v>75</v>
      </c>
      <c r="E519" t="s">
        <v>76</v>
      </c>
      <c r="O519">
        <v>-17</v>
      </c>
      <c r="P519">
        <v>42.5</v>
      </c>
      <c r="Q519">
        <v>4.7</v>
      </c>
      <c r="R519">
        <v>10.6</v>
      </c>
      <c r="S519" s="1">
        <v>2.2999999999999998</v>
      </c>
      <c r="T519" s="39">
        <v>43758</v>
      </c>
      <c r="U519" s="22" t="s">
        <v>250</v>
      </c>
      <c r="V519" s="41" t="s">
        <v>276</v>
      </c>
      <c r="W519" s="23" t="s">
        <v>293</v>
      </c>
    </row>
    <row r="520" spans="1:23" x14ac:dyDescent="0.2">
      <c r="A520" t="s">
        <v>192</v>
      </c>
      <c r="B520" s="1" t="s">
        <v>60</v>
      </c>
      <c r="F520" t="s">
        <v>110</v>
      </c>
      <c r="I520" t="s">
        <v>76</v>
      </c>
      <c r="J520" t="s">
        <v>75</v>
      </c>
      <c r="K520" t="s">
        <v>76</v>
      </c>
      <c r="L520" t="s">
        <v>76</v>
      </c>
      <c r="M520" t="s">
        <v>75</v>
      </c>
      <c r="N520" t="s">
        <v>132</v>
      </c>
      <c r="O520">
        <v>-4</v>
      </c>
      <c r="P520">
        <v>37</v>
      </c>
      <c r="Q520">
        <v>3.9</v>
      </c>
      <c r="R520" s="14">
        <v>10.3</v>
      </c>
      <c r="S520" s="1">
        <v>2.6</v>
      </c>
      <c r="T520" s="39">
        <v>43758</v>
      </c>
      <c r="U520" s="22" t="s">
        <v>250</v>
      </c>
      <c r="V520" s="41" t="s">
        <v>265</v>
      </c>
      <c r="W520" s="23" t="s">
        <v>307</v>
      </c>
    </row>
    <row r="521" spans="1:23" x14ac:dyDescent="0.2">
      <c r="A521" t="s">
        <v>192</v>
      </c>
      <c r="B521" s="1" t="s">
        <v>61</v>
      </c>
      <c r="I521" t="s">
        <v>75</v>
      </c>
      <c r="J521" t="s">
        <v>76</v>
      </c>
      <c r="K521" t="s">
        <v>75</v>
      </c>
      <c r="L521" t="s">
        <v>76</v>
      </c>
      <c r="M521" t="s">
        <v>75</v>
      </c>
      <c r="N521" t="s">
        <v>132</v>
      </c>
      <c r="O521">
        <v>4</v>
      </c>
      <c r="P521">
        <v>44.5</v>
      </c>
      <c r="Q521">
        <v>4.5</v>
      </c>
      <c r="R521">
        <v>9.5</v>
      </c>
      <c r="S521" s="1">
        <v>2.1</v>
      </c>
      <c r="T521" s="39">
        <v>43758</v>
      </c>
      <c r="U521" s="22" t="s">
        <v>250</v>
      </c>
      <c r="V521" s="17" t="s">
        <v>272</v>
      </c>
      <c r="W521" s="22" t="s">
        <v>297</v>
      </c>
    </row>
    <row r="522" spans="1:23" x14ac:dyDescent="0.2">
      <c r="A522" t="s">
        <v>192</v>
      </c>
      <c r="O522">
        <v>-3</v>
      </c>
      <c r="P522">
        <v>50</v>
      </c>
      <c r="R522">
        <v>6.4</v>
      </c>
      <c r="T522" s="39">
        <v>43758</v>
      </c>
      <c r="U522" s="22" t="s">
        <v>250</v>
      </c>
      <c r="V522" s="41" t="s">
        <v>291</v>
      </c>
      <c r="W522" s="22" t="s">
        <v>294</v>
      </c>
    </row>
    <row r="523" spans="1:23" x14ac:dyDescent="0.2">
      <c r="A523" t="s">
        <v>192</v>
      </c>
      <c r="O523">
        <v>3</v>
      </c>
      <c r="P523">
        <v>49.5</v>
      </c>
      <c r="R523">
        <v>11</v>
      </c>
      <c r="T523" s="39">
        <v>43758</v>
      </c>
      <c r="U523" t="s">
        <v>250</v>
      </c>
      <c r="V523" s="41" t="s">
        <v>278</v>
      </c>
      <c r="W523" t="s">
        <v>288</v>
      </c>
    </row>
    <row r="524" spans="1:23" x14ac:dyDescent="0.2">
      <c r="A524" t="s">
        <v>192</v>
      </c>
      <c r="B524" t="s">
        <v>55</v>
      </c>
      <c r="C524">
        <v>8.1999999999999993</v>
      </c>
      <c r="D524" t="s">
        <v>76</v>
      </c>
      <c r="E524" t="s">
        <v>76</v>
      </c>
      <c r="O524">
        <v>2.5</v>
      </c>
      <c r="P524">
        <v>43.5</v>
      </c>
      <c r="Q524">
        <v>5</v>
      </c>
      <c r="R524" s="14">
        <v>43.3</v>
      </c>
      <c r="S524" s="1">
        <v>8.6999999999999993</v>
      </c>
      <c r="T524" s="39">
        <v>43758</v>
      </c>
      <c r="U524" s="22" t="s">
        <v>250</v>
      </c>
      <c r="V524" s="41" t="s">
        <v>299</v>
      </c>
      <c r="W524" s="22" t="s">
        <v>312</v>
      </c>
    </row>
    <row r="525" spans="1:23" x14ac:dyDescent="0.2">
      <c r="A525" t="s">
        <v>192</v>
      </c>
      <c r="B525" t="s">
        <v>58</v>
      </c>
      <c r="I525" t="s">
        <v>75</v>
      </c>
      <c r="J525" t="s">
        <v>76</v>
      </c>
      <c r="K525" t="s">
        <v>76</v>
      </c>
      <c r="L525" t="s">
        <v>76</v>
      </c>
      <c r="M525" t="s">
        <v>76</v>
      </c>
      <c r="N525" t="s">
        <v>132</v>
      </c>
      <c r="O525">
        <v>-5.5</v>
      </c>
      <c r="P525">
        <v>48</v>
      </c>
      <c r="Q525">
        <v>5.2</v>
      </c>
      <c r="R525" s="30">
        <v>24.3</v>
      </c>
      <c r="S525" s="1">
        <v>4.7</v>
      </c>
      <c r="T525" s="39">
        <v>43758</v>
      </c>
      <c r="U525" s="22" t="s">
        <v>250</v>
      </c>
      <c r="V525" s="41" t="s">
        <v>300</v>
      </c>
      <c r="W525" s="22" t="s">
        <v>303</v>
      </c>
    </row>
    <row r="526" spans="1:23" x14ac:dyDescent="0.2">
      <c r="A526" t="s">
        <v>192</v>
      </c>
      <c r="B526" t="s">
        <v>142</v>
      </c>
      <c r="I526" t="s">
        <v>75</v>
      </c>
      <c r="J526" t="s">
        <v>76</v>
      </c>
      <c r="K526" t="s">
        <v>76</v>
      </c>
      <c r="L526" t="s">
        <v>76</v>
      </c>
      <c r="M526" t="s">
        <v>76</v>
      </c>
      <c r="N526" t="s">
        <v>132</v>
      </c>
      <c r="O526">
        <v>-5.5</v>
      </c>
      <c r="P526">
        <v>48</v>
      </c>
      <c r="Q526">
        <v>4.9000000000000004</v>
      </c>
      <c r="R526" s="30">
        <v>7.3</v>
      </c>
      <c r="S526" s="1">
        <v>1.5</v>
      </c>
      <c r="T526" s="39">
        <v>43758</v>
      </c>
      <c r="U526" s="22" t="s">
        <v>250</v>
      </c>
      <c r="V526" s="41" t="s">
        <v>300</v>
      </c>
      <c r="W526" s="22" t="s">
        <v>303</v>
      </c>
    </row>
    <row r="527" spans="1:23" x14ac:dyDescent="0.2">
      <c r="A527" t="s">
        <v>192</v>
      </c>
      <c r="O527">
        <v>1.5</v>
      </c>
      <c r="P527">
        <v>46.5</v>
      </c>
      <c r="R527">
        <v>17.5</v>
      </c>
      <c r="T527" s="39">
        <v>43758</v>
      </c>
      <c r="U527" s="22" t="s">
        <v>250</v>
      </c>
      <c r="V527" t="s">
        <v>311</v>
      </c>
      <c r="W527" s="22" t="s">
        <v>289</v>
      </c>
    </row>
    <row r="528" spans="1:23" x14ac:dyDescent="0.2">
      <c r="A528" t="s">
        <v>192</v>
      </c>
      <c r="O528">
        <v>-1.5</v>
      </c>
      <c r="P528">
        <v>46.5</v>
      </c>
      <c r="R528">
        <v>31.6</v>
      </c>
      <c r="T528" s="39">
        <v>43758</v>
      </c>
      <c r="U528" s="22" t="s">
        <v>250</v>
      </c>
      <c r="V528" t="s">
        <v>289</v>
      </c>
      <c r="W528" s="22" t="s">
        <v>311</v>
      </c>
    </row>
    <row r="529" spans="1:23" x14ac:dyDescent="0.2">
      <c r="A529" t="s">
        <v>192</v>
      </c>
      <c r="O529">
        <v>-4</v>
      </c>
      <c r="P529">
        <v>44.5</v>
      </c>
      <c r="R529">
        <v>10.3</v>
      </c>
      <c r="T529" s="39">
        <v>43758</v>
      </c>
      <c r="U529" s="22" t="s">
        <v>250</v>
      </c>
      <c r="V529" t="s">
        <v>297</v>
      </c>
      <c r="W529" s="22" t="s">
        <v>272</v>
      </c>
    </row>
    <row r="530" spans="1:23" x14ac:dyDescent="0.2">
      <c r="A530" t="s">
        <v>192</v>
      </c>
      <c r="D530" s="3"/>
      <c r="E530" s="3"/>
      <c r="F530" s="3"/>
      <c r="O530">
        <v>-3</v>
      </c>
      <c r="P530">
        <v>49.5</v>
      </c>
      <c r="R530" s="30">
        <v>10.8</v>
      </c>
      <c r="T530" s="39">
        <v>43758</v>
      </c>
      <c r="U530" s="28" t="s">
        <v>250</v>
      </c>
      <c r="V530" t="s">
        <v>288</v>
      </c>
      <c r="W530" s="28" t="s">
        <v>278</v>
      </c>
    </row>
    <row r="531" spans="1:23" x14ac:dyDescent="0.2">
      <c r="A531" t="s">
        <v>192</v>
      </c>
      <c r="B531" t="s">
        <v>145</v>
      </c>
      <c r="I531" t="s">
        <v>76</v>
      </c>
      <c r="J531" t="s">
        <v>75</v>
      </c>
      <c r="K531" t="s">
        <v>76</v>
      </c>
      <c r="L531" t="s">
        <v>76</v>
      </c>
      <c r="M531" t="s">
        <v>76</v>
      </c>
      <c r="N531" t="s">
        <v>134</v>
      </c>
      <c r="O531">
        <v>5.5</v>
      </c>
      <c r="P531">
        <v>48</v>
      </c>
      <c r="Q531">
        <v>3.4</v>
      </c>
      <c r="R531" s="3">
        <v>3.4</v>
      </c>
      <c r="S531" s="1">
        <v>1</v>
      </c>
      <c r="T531" s="39">
        <v>43758</v>
      </c>
      <c r="U531" s="22" t="s">
        <v>250</v>
      </c>
      <c r="V531" t="s">
        <v>303</v>
      </c>
      <c r="W531" s="23" t="s">
        <v>300</v>
      </c>
    </row>
    <row r="532" spans="1:23" x14ac:dyDescent="0.2">
      <c r="A532" t="s">
        <v>192</v>
      </c>
      <c r="B532" t="s">
        <v>83</v>
      </c>
      <c r="C532">
        <v>13.9</v>
      </c>
      <c r="D532" t="s">
        <v>76</v>
      </c>
      <c r="E532" t="s">
        <v>76</v>
      </c>
      <c r="F532" t="s">
        <v>110</v>
      </c>
      <c r="O532">
        <v>3</v>
      </c>
      <c r="P532">
        <v>42.5</v>
      </c>
      <c r="Q532">
        <v>4.5999999999999996</v>
      </c>
      <c r="R532">
        <v>8.6999999999999993</v>
      </c>
      <c r="S532" s="1">
        <v>1.6</v>
      </c>
      <c r="T532" s="39">
        <v>43758</v>
      </c>
      <c r="U532" s="22" t="s">
        <v>250</v>
      </c>
      <c r="V532" t="s">
        <v>287</v>
      </c>
      <c r="W532" s="22" t="s">
        <v>310</v>
      </c>
    </row>
    <row r="533" spans="1:23" x14ac:dyDescent="0.2">
      <c r="A533" t="s">
        <v>192</v>
      </c>
      <c r="F533" t="s">
        <v>109</v>
      </c>
      <c r="O533">
        <v>-3</v>
      </c>
      <c r="P533">
        <v>54.5</v>
      </c>
      <c r="R533">
        <v>13.6</v>
      </c>
      <c r="T533" s="39">
        <v>43758</v>
      </c>
      <c r="U533" s="22" t="s">
        <v>250</v>
      </c>
      <c r="V533" t="s">
        <v>304</v>
      </c>
      <c r="W533" s="22" t="s">
        <v>295</v>
      </c>
    </row>
    <row r="534" spans="1:23" x14ac:dyDescent="0.2">
      <c r="A534" t="s">
        <v>192</v>
      </c>
      <c r="O534">
        <v>17</v>
      </c>
      <c r="P534">
        <v>42.5</v>
      </c>
      <c r="R534">
        <v>16.5</v>
      </c>
      <c r="T534" s="39">
        <v>43758</v>
      </c>
      <c r="U534" s="22" t="s">
        <v>250</v>
      </c>
      <c r="V534" t="s">
        <v>293</v>
      </c>
      <c r="W534" s="22" t="s">
        <v>276</v>
      </c>
    </row>
    <row r="535" spans="1:23" x14ac:dyDescent="0.2">
      <c r="A535" t="s">
        <v>192</v>
      </c>
      <c r="O535">
        <v>-2.5</v>
      </c>
      <c r="P535">
        <v>43.5</v>
      </c>
      <c r="R535">
        <v>24.2</v>
      </c>
      <c r="T535" s="39">
        <v>43758</v>
      </c>
      <c r="U535" s="22" t="s">
        <v>250</v>
      </c>
      <c r="V535" t="s">
        <v>312</v>
      </c>
      <c r="W535" s="22" t="s">
        <v>299</v>
      </c>
    </row>
    <row r="536" spans="1:23" x14ac:dyDescent="0.2">
      <c r="A536" t="s">
        <v>192</v>
      </c>
      <c r="B536" t="s">
        <v>63</v>
      </c>
      <c r="C536">
        <v>9.5</v>
      </c>
      <c r="D536" t="s">
        <v>75</v>
      </c>
      <c r="E536" t="s">
        <v>76</v>
      </c>
      <c r="I536" t="s">
        <v>76</v>
      </c>
      <c r="J536" t="s">
        <v>75</v>
      </c>
      <c r="K536" t="s">
        <v>76</v>
      </c>
      <c r="L536" t="s">
        <v>75</v>
      </c>
      <c r="M536" t="s">
        <v>75</v>
      </c>
      <c r="N536" t="s">
        <v>134</v>
      </c>
      <c r="O536">
        <v>-9.5</v>
      </c>
      <c r="P536">
        <v>43</v>
      </c>
      <c r="Q536">
        <v>4.8</v>
      </c>
      <c r="R536" s="14">
        <v>13.6</v>
      </c>
      <c r="S536" s="1">
        <v>2.8</v>
      </c>
      <c r="T536" s="39">
        <v>43758</v>
      </c>
      <c r="U536" s="22" t="s">
        <v>250</v>
      </c>
      <c r="V536" t="s">
        <v>302</v>
      </c>
      <c r="W536" s="22" t="s">
        <v>298</v>
      </c>
    </row>
    <row r="537" spans="1:23" x14ac:dyDescent="0.2">
      <c r="A537" t="s">
        <v>192</v>
      </c>
      <c r="B537" t="s">
        <v>47</v>
      </c>
      <c r="C537">
        <v>8</v>
      </c>
      <c r="D537" t="s">
        <v>76</v>
      </c>
      <c r="E537" t="s">
        <v>76</v>
      </c>
      <c r="F537" t="s">
        <v>110</v>
      </c>
      <c r="J537" t="s">
        <v>75</v>
      </c>
      <c r="O537">
        <v>4</v>
      </c>
      <c r="P537">
        <v>37</v>
      </c>
      <c r="Q537">
        <v>3.6</v>
      </c>
      <c r="R537">
        <v>6.8</v>
      </c>
      <c r="S537" s="1">
        <v>1.9</v>
      </c>
      <c r="T537" s="39">
        <v>43758</v>
      </c>
      <c r="U537" s="22" t="s">
        <v>250</v>
      </c>
      <c r="V537" t="s">
        <v>307</v>
      </c>
      <c r="W537" s="22" t="s">
        <v>265</v>
      </c>
    </row>
    <row r="538" spans="1:23" x14ac:dyDescent="0.2">
      <c r="A538" t="s">
        <v>192</v>
      </c>
      <c r="F538" t="s">
        <v>109</v>
      </c>
      <c r="O538">
        <v>-3.5</v>
      </c>
      <c r="P538">
        <v>49.5</v>
      </c>
      <c r="R538">
        <v>7.5</v>
      </c>
      <c r="T538" s="39">
        <v>43758</v>
      </c>
      <c r="U538" s="22" t="s">
        <v>250</v>
      </c>
      <c r="V538" t="s">
        <v>296</v>
      </c>
      <c r="W538" s="22" t="s">
        <v>285</v>
      </c>
    </row>
    <row r="539" spans="1:23" x14ac:dyDescent="0.2">
      <c r="A539" t="s">
        <v>192</v>
      </c>
      <c r="O539">
        <v>9.5</v>
      </c>
      <c r="P539">
        <v>43</v>
      </c>
      <c r="R539">
        <v>2</v>
      </c>
      <c r="T539" s="39">
        <v>43758</v>
      </c>
      <c r="U539" s="22" t="s">
        <v>250</v>
      </c>
      <c r="V539" t="s">
        <v>298</v>
      </c>
      <c r="W539" s="22" t="s">
        <v>302</v>
      </c>
    </row>
    <row r="540" spans="1:23" x14ac:dyDescent="0.2">
      <c r="A540" t="s">
        <v>192</v>
      </c>
      <c r="O540">
        <v>3</v>
      </c>
      <c r="P540">
        <v>50</v>
      </c>
      <c r="R540">
        <v>4.4000000000000004</v>
      </c>
      <c r="T540" s="39">
        <v>43758</v>
      </c>
      <c r="U540" s="22" t="s">
        <v>250</v>
      </c>
      <c r="V540" t="s">
        <v>294</v>
      </c>
      <c r="W540" s="22" t="s">
        <v>291</v>
      </c>
    </row>
    <row r="541" spans="1:23" x14ac:dyDescent="0.2">
      <c r="A541" t="s">
        <v>192</v>
      </c>
      <c r="F541" t="s">
        <v>110</v>
      </c>
      <c r="O541">
        <v>-10</v>
      </c>
      <c r="P541">
        <v>39</v>
      </c>
      <c r="R541">
        <v>5</v>
      </c>
      <c r="T541" s="39">
        <v>43758</v>
      </c>
      <c r="U541" s="22" t="s">
        <v>250</v>
      </c>
      <c r="V541" s="22" t="s">
        <v>256</v>
      </c>
      <c r="W541" s="22" t="s">
        <v>306</v>
      </c>
    </row>
    <row r="542" spans="1:23" x14ac:dyDescent="0.2">
      <c r="A542" t="s">
        <v>192</v>
      </c>
      <c r="O542">
        <v>-3</v>
      </c>
      <c r="P542">
        <v>49</v>
      </c>
      <c r="R542">
        <v>8.3000000000000007</v>
      </c>
      <c r="T542" s="39">
        <v>43758</v>
      </c>
      <c r="U542" s="22" t="s">
        <v>250</v>
      </c>
      <c r="V542" t="s">
        <v>308</v>
      </c>
      <c r="W542" s="22" t="s">
        <v>305</v>
      </c>
    </row>
    <row r="543" spans="1:23" x14ac:dyDescent="0.2">
      <c r="A543" t="s">
        <v>192</v>
      </c>
      <c r="F543" t="s">
        <v>110</v>
      </c>
      <c r="O543">
        <v>-3</v>
      </c>
      <c r="P543">
        <v>42.5</v>
      </c>
      <c r="R543">
        <v>12.2</v>
      </c>
      <c r="T543" s="39">
        <v>43758</v>
      </c>
      <c r="U543" s="22" t="s">
        <v>250</v>
      </c>
      <c r="V543" t="s">
        <v>310</v>
      </c>
      <c r="W543" s="22" t="s">
        <v>287</v>
      </c>
    </row>
    <row r="544" spans="1:23" x14ac:dyDescent="0.2">
      <c r="A544" t="s">
        <v>192</v>
      </c>
      <c r="F544" t="s">
        <v>110</v>
      </c>
      <c r="O544">
        <v>10</v>
      </c>
      <c r="P544">
        <v>39</v>
      </c>
      <c r="R544" s="14">
        <v>5</v>
      </c>
      <c r="T544" s="39">
        <v>43758</v>
      </c>
      <c r="U544" s="22" t="s">
        <v>250</v>
      </c>
      <c r="V544" s="18" t="s">
        <v>306</v>
      </c>
      <c r="W544" s="22" t="s">
        <v>256</v>
      </c>
    </row>
    <row r="545" spans="1:23" x14ac:dyDescent="0.2">
      <c r="A545" t="s">
        <v>192</v>
      </c>
      <c r="F545" t="s">
        <v>110</v>
      </c>
      <c r="O545">
        <v>12.5</v>
      </c>
      <c r="P545">
        <v>47.5</v>
      </c>
      <c r="R545">
        <v>17.8</v>
      </c>
      <c r="T545" s="39">
        <v>43765</v>
      </c>
      <c r="U545" s="22" t="s">
        <v>248</v>
      </c>
      <c r="V545" s="41" t="s">
        <v>285</v>
      </c>
      <c r="W545" s="22" t="s">
        <v>307</v>
      </c>
    </row>
    <row r="546" spans="1:23" x14ac:dyDescent="0.2">
      <c r="A546" t="s">
        <v>192</v>
      </c>
      <c r="O546">
        <v>7.5</v>
      </c>
      <c r="P546">
        <v>48.5</v>
      </c>
      <c r="R546">
        <v>13</v>
      </c>
      <c r="T546" s="39">
        <v>43765</v>
      </c>
      <c r="U546" s="22" t="s">
        <v>248</v>
      </c>
      <c r="V546" t="s">
        <v>295</v>
      </c>
      <c r="W546" s="22" t="s">
        <v>308</v>
      </c>
    </row>
    <row r="547" spans="1:23" x14ac:dyDescent="0.2">
      <c r="A547" t="s">
        <v>192</v>
      </c>
      <c r="O547">
        <v>-1</v>
      </c>
      <c r="P547">
        <v>39.5</v>
      </c>
      <c r="R547">
        <v>13.1</v>
      </c>
      <c r="T547" s="39">
        <v>43765</v>
      </c>
      <c r="U547" s="22" t="s">
        <v>248</v>
      </c>
      <c r="V547" t="s">
        <v>276</v>
      </c>
      <c r="W547" s="22" t="s">
        <v>294</v>
      </c>
    </row>
    <row r="548" spans="1:23" x14ac:dyDescent="0.2">
      <c r="A548" t="s">
        <v>192</v>
      </c>
      <c r="F548" t="s">
        <v>110</v>
      </c>
      <c r="O548">
        <v>4.5</v>
      </c>
      <c r="P548">
        <v>41</v>
      </c>
      <c r="R548">
        <v>8.6</v>
      </c>
      <c r="T548" s="39">
        <v>43765</v>
      </c>
      <c r="U548" s="22" t="s">
        <v>248</v>
      </c>
      <c r="V548" t="s">
        <v>301</v>
      </c>
      <c r="W548" s="22" t="s">
        <v>256</v>
      </c>
    </row>
    <row r="549" spans="1:23" x14ac:dyDescent="0.2">
      <c r="A549" t="s">
        <v>192</v>
      </c>
      <c r="B549" s="1" t="s">
        <v>60</v>
      </c>
      <c r="F549" t="s">
        <v>110</v>
      </c>
      <c r="I549" t="s">
        <v>76</v>
      </c>
      <c r="J549" t="s">
        <v>75</v>
      </c>
      <c r="K549" t="s">
        <v>76</v>
      </c>
      <c r="L549" t="s">
        <v>76</v>
      </c>
      <c r="M549" t="s">
        <v>76</v>
      </c>
      <c r="N549" t="s">
        <v>132</v>
      </c>
      <c r="O549">
        <v>-3.5</v>
      </c>
      <c r="P549">
        <v>41</v>
      </c>
      <c r="Q549">
        <v>3.5</v>
      </c>
      <c r="R549" s="14">
        <v>9.6999999999999993</v>
      </c>
      <c r="S549" s="1">
        <v>2.8</v>
      </c>
      <c r="T549" s="39">
        <v>43765</v>
      </c>
      <c r="U549" s="22" t="s">
        <v>248</v>
      </c>
      <c r="V549" t="s">
        <v>265</v>
      </c>
      <c r="W549" s="22" t="s">
        <v>287</v>
      </c>
    </row>
    <row r="550" spans="1:23" x14ac:dyDescent="0.2">
      <c r="A550" t="s">
        <v>192</v>
      </c>
      <c r="B550" s="1" t="s">
        <v>61</v>
      </c>
      <c r="F550" t="s">
        <v>109</v>
      </c>
      <c r="I550" t="s">
        <v>75</v>
      </c>
      <c r="J550" t="s">
        <v>76</v>
      </c>
      <c r="K550" t="s">
        <v>75</v>
      </c>
      <c r="L550" t="s">
        <v>76</v>
      </c>
      <c r="M550" t="s">
        <v>76</v>
      </c>
      <c r="N550" t="s">
        <v>134</v>
      </c>
      <c r="O550">
        <v>12</v>
      </c>
      <c r="P550">
        <v>48.5</v>
      </c>
      <c r="Q550">
        <v>4.2</v>
      </c>
      <c r="R550">
        <v>11.5</v>
      </c>
      <c r="S550" s="1">
        <v>2.7</v>
      </c>
      <c r="T550" s="39">
        <v>43765</v>
      </c>
      <c r="U550" s="22" t="s">
        <v>248</v>
      </c>
      <c r="V550" s="17" t="s">
        <v>272</v>
      </c>
      <c r="W550" s="22" t="s">
        <v>304</v>
      </c>
    </row>
    <row r="551" spans="1:23" x14ac:dyDescent="0.2">
      <c r="A551" t="s">
        <v>192</v>
      </c>
      <c r="O551">
        <v>9.5</v>
      </c>
      <c r="P551">
        <v>43</v>
      </c>
      <c r="Q551">
        <v>3</v>
      </c>
      <c r="R551">
        <v>11.5</v>
      </c>
      <c r="T551" s="39">
        <v>43765</v>
      </c>
      <c r="U551" s="22" t="s">
        <v>248</v>
      </c>
      <c r="V551" t="s">
        <v>281</v>
      </c>
      <c r="W551" s="23" t="s">
        <v>302</v>
      </c>
    </row>
    <row r="552" spans="1:23" x14ac:dyDescent="0.2">
      <c r="A552" t="s">
        <v>192</v>
      </c>
      <c r="O552">
        <v>6</v>
      </c>
      <c r="P552">
        <v>41</v>
      </c>
      <c r="R552">
        <v>4.3</v>
      </c>
      <c r="T552" s="39">
        <v>43765</v>
      </c>
      <c r="U552" t="s">
        <v>248</v>
      </c>
      <c r="V552" t="s">
        <v>278</v>
      </c>
      <c r="W552" t="s">
        <v>289</v>
      </c>
    </row>
    <row r="553" spans="1:23" x14ac:dyDescent="0.2">
      <c r="A553" t="s">
        <v>192</v>
      </c>
      <c r="D553" t="s">
        <v>75</v>
      </c>
      <c r="E553" t="s">
        <v>75</v>
      </c>
      <c r="F553" t="s">
        <v>109</v>
      </c>
      <c r="O553">
        <v>-6.5</v>
      </c>
      <c r="P553">
        <v>49</v>
      </c>
      <c r="R553">
        <v>17.5</v>
      </c>
      <c r="T553" s="39">
        <v>43765</v>
      </c>
      <c r="U553" s="22" t="s">
        <v>248</v>
      </c>
      <c r="V553" t="s">
        <v>299</v>
      </c>
      <c r="W553" s="22" t="s">
        <v>296</v>
      </c>
    </row>
    <row r="554" spans="1:23" x14ac:dyDescent="0.2">
      <c r="A554" t="s">
        <v>192</v>
      </c>
      <c r="B554" t="s">
        <v>58</v>
      </c>
      <c r="I554" t="s">
        <v>75</v>
      </c>
      <c r="J554" t="s">
        <v>76</v>
      </c>
      <c r="K554" t="s">
        <v>76</v>
      </c>
      <c r="L554" t="s">
        <v>76</v>
      </c>
      <c r="M554" t="s">
        <v>76</v>
      </c>
      <c r="N554" t="s">
        <v>134</v>
      </c>
      <c r="O554">
        <v>-5</v>
      </c>
      <c r="P554">
        <v>48</v>
      </c>
      <c r="Q554">
        <v>5</v>
      </c>
      <c r="R554" s="30">
        <v>1.4</v>
      </c>
      <c r="S554" s="1">
        <v>0.3</v>
      </c>
      <c r="T554" s="39">
        <v>43765</v>
      </c>
      <c r="U554" s="22" t="s">
        <v>248</v>
      </c>
      <c r="V554" t="s">
        <v>300</v>
      </c>
      <c r="W554" s="22" t="s">
        <v>288</v>
      </c>
    </row>
    <row r="555" spans="1:23" x14ac:dyDescent="0.2">
      <c r="A555" t="s">
        <v>192</v>
      </c>
      <c r="B555" t="s">
        <v>142</v>
      </c>
      <c r="I555" t="s">
        <v>75</v>
      </c>
      <c r="J555" t="s">
        <v>76</v>
      </c>
      <c r="K555" t="s">
        <v>76</v>
      </c>
      <c r="L555" t="s">
        <v>76</v>
      </c>
      <c r="M555" t="s">
        <v>76</v>
      </c>
      <c r="N555" t="s">
        <v>134</v>
      </c>
      <c r="O555">
        <v>-5</v>
      </c>
      <c r="P555">
        <v>48</v>
      </c>
      <c r="Q555">
        <v>4</v>
      </c>
      <c r="R555" s="30">
        <v>1.7</v>
      </c>
      <c r="S555" s="1">
        <v>0.4</v>
      </c>
      <c r="T555" s="39">
        <v>43765</v>
      </c>
      <c r="U555" s="22" t="s">
        <v>248</v>
      </c>
      <c r="V555" t="s">
        <v>300</v>
      </c>
      <c r="W555" s="22" t="s">
        <v>288</v>
      </c>
    </row>
    <row r="556" spans="1:23" x14ac:dyDescent="0.2">
      <c r="A556" t="s">
        <v>192</v>
      </c>
      <c r="E556" t="s">
        <v>75</v>
      </c>
      <c r="F556" t="s">
        <v>109</v>
      </c>
      <c r="O556">
        <v>-5</v>
      </c>
      <c r="P556">
        <v>52</v>
      </c>
      <c r="R556">
        <v>5.2</v>
      </c>
      <c r="T556" s="39">
        <v>43765</v>
      </c>
      <c r="U556" s="22" t="s">
        <v>248</v>
      </c>
      <c r="V556" t="s">
        <v>311</v>
      </c>
      <c r="W556" s="22" t="s">
        <v>303</v>
      </c>
    </row>
    <row r="557" spans="1:23" x14ac:dyDescent="0.2">
      <c r="A557" t="s">
        <v>192</v>
      </c>
      <c r="O557">
        <v>-6</v>
      </c>
      <c r="P557">
        <v>41</v>
      </c>
      <c r="R557">
        <v>1.6</v>
      </c>
      <c r="T557" s="39">
        <v>43765</v>
      </c>
      <c r="U557" s="22" t="s">
        <v>248</v>
      </c>
      <c r="V557" t="s">
        <v>289</v>
      </c>
      <c r="W557" s="22" t="s">
        <v>278</v>
      </c>
    </row>
    <row r="558" spans="1:23" x14ac:dyDescent="0.2">
      <c r="A558" t="s">
        <v>192</v>
      </c>
      <c r="O558">
        <v>-7</v>
      </c>
      <c r="P558">
        <v>39.5</v>
      </c>
      <c r="R558">
        <v>23.3</v>
      </c>
      <c r="T558" s="39">
        <v>43765</v>
      </c>
      <c r="U558" s="22" t="s">
        <v>248</v>
      </c>
      <c r="V558" t="s">
        <v>297</v>
      </c>
      <c r="W558" s="22" t="s">
        <v>298</v>
      </c>
    </row>
    <row r="559" spans="1:23" x14ac:dyDescent="0.2">
      <c r="A559" t="s">
        <v>192</v>
      </c>
      <c r="D559" s="3"/>
      <c r="E559" s="3"/>
      <c r="F559" s="3"/>
      <c r="O559" s="3">
        <v>5</v>
      </c>
      <c r="P559" s="3">
        <v>48</v>
      </c>
      <c r="R559" s="3">
        <v>9.5</v>
      </c>
      <c r="T559" s="39">
        <v>43765</v>
      </c>
      <c r="U559" s="28" t="s">
        <v>248</v>
      </c>
      <c r="V559" t="s">
        <v>288</v>
      </c>
      <c r="W559" s="28" t="s">
        <v>300</v>
      </c>
    </row>
    <row r="560" spans="1:23" x14ac:dyDescent="0.2">
      <c r="A560" t="s">
        <v>192</v>
      </c>
      <c r="E560" t="s">
        <v>75</v>
      </c>
      <c r="F560" t="s">
        <v>109</v>
      </c>
      <c r="O560">
        <v>5</v>
      </c>
      <c r="P560">
        <v>52</v>
      </c>
      <c r="R560">
        <v>18.8</v>
      </c>
      <c r="T560" s="39">
        <v>43765</v>
      </c>
      <c r="U560" s="22" t="s">
        <v>248</v>
      </c>
      <c r="V560" t="s">
        <v>303</v>
      </c>
      <c r="W560" s="22" t="s">
        <v>311</v>
      </c>
    </row>
    <row r="561" spans="1:23" x14ac:dyDescent="0.2">
      <c r="A561" t="s">
        <v>192</v>
      </c>
      <c r="B561" t="s">
        <v>83</v>
      </c>
      <c r="C561">
        <v>12.4</v>
      </c>
      <c r="D561" t="s">
        <v>76</v>
      </c>
      <c r="E561" t="s">
        <v>76</v>
      </c>
      <c r="F561" t="s">
        <v>110</v>
      </c>
      <c r="O561">
        <v>3.5</v>
      </c>
      <c r="P561">
        <v>41</v>
      </c>
      <c r="Q561">
        <v>4</v>
      </c>
      <c r="R561">
        <v>9.9</v>
      </c>
      <c r="S561" s="1">
        <v>2.5</v>
      </c>
      <c r="T561" s="39">
        <v>43765</v>
      </c>
      <c r="U561" s="22" t="s">
        <v>248</v>
      </c>
      <c r="V561" t="s">
        <v>287</v>
      </c>
      <c r="W561" s="22" t="s">
        <v>265</v>
      </c>
    </row>
    <row r="562" spans="1:23" x14ac:dyDescent="0.2">
      <c r="A562" t="s">
        <v>192</v>
      </c>
      <c r="B562" t="s">
        <v>59</v>
      </c>
      <c r="C562">
        <v>8.8000000000000007</v>
      </c>
      <c r="D562" t="s">
        <v>76</v>
      </c>
      <c r="E562" t="s">
        <v>76</v>
      </c>
      <c r="F562" t="s">
        <v>109</v>
      </c>
      <c r="O562">
        <v>-12</v>
      </c>
      <c r="P562">
        <v>48.5</v>
      </c>
      <c r="Q562">
        <v>6.3</v>
      </c>
      <c r="R562">
        <v>6.2</v>
      </c>
      <c r="S562" s="1">
        <v>1</v>
      </c>
      <c r="T562" s="39">
        <v>43765</v>
      </c>
      <c r="U562" s="22" t="s">
        <v>248</v>
      </c>
      <c r="V562" t="s">
        <v>304</v>
      </c>
      <c r="W562" s="22" t="s">
        <v>272</v>
      </c>
    </row>
    <row r="563" spans="1:23" x14ac:dyDescent="0.2">
      <c r="A563" t="s">
        <v>192</v>
      </c>
      <c r="O563">
        <v>14</v>
      </c>
      <c r="P563">
        <v>44</v>
      </c>
      <c r="R563">
        <v>11.9</v>
      </c>
      <c r="T563" s="39">
        <v>43765</v>
      </c>
      <c r="U563" s="22" t="s">
        <v>248</v>
      </c>
      <c r="V563" t="s">
        <v>293</v>
      </c>
      <c r="W563" s="22" t="s">
        <v>309</v>
      </c>
    </row>
    <row r="564" spans="1:23" x14ac:dyDescent="0.2">
      <c r="A564" t="s">
        <v>192</v>
      </c>
      <c r="B564" t="s">
        <v>44</v>
      </c>
      <c r="I564" t="s">
        <v>75</v>
      </c>
      <c r="J564" t="s">
        <v>76</v>
      </c>
      <c r="K564" t="s">
        <v>76</v>
      </c>
      <c r="L564" t="s">
        <v>76</v>
      </c>
      <c r="M564" t="s">
        <v>75</v>
      </c>
      <c r="N564" t="s">
        <v>132</v>
      </c>
      <c r="O564">
        <v>-16.5</v>
      </c>
      <c r="P564">
        <v>42</v>
      </c>
      <c r="Q564">
        <v>8</v>
      </c>
      <c r="R564">
        <v>23.3</v>
      </c>
      <c r="S564" s="1">
        <v>2.9</v>
      </c>
      <c r="T564" s="39">
        <v>43765</v>
      </c>
      <c r="U564" s="22" t="s">
        <v>248</v>
      </c>
      <c r="V564" t="s">
        <v>312</v>
      </c>
      <c r="W564" s="22" t="s">
        <v>306</v>
      </c>
    </row>
    <row r="565" spans="1:23" x14ac:dyDescent="0.2">
      <c r="A565" t="s">
        <v>192</v>
      </c>
      <c r="O565">
        <v>-9.5</v>
      </c>
      <c r="P565">
        <v>43</v>
      </c>
      <c r="R565">
        <v>7.3</v>
      </c>
      <c r="T565" s="39">
        <v>43765</v>
      </c>
      <c r="U565" s="22" t="s">
        <v>248</v>
      </c>
      <c r="V565" t="s">
        <v>302</v>
      </c>
      <c r="W565" s="22" t="s">
        <v>281</v>
      </c>
    </row>
    <row r="566" spans="1:23" x14ac:dyDescent="0.2">
      <c r="A566" t="s">
        <v>192</v>
      </c>
      <c r="F566" t="s">
        <v>110</v>
      </c>
      <c r="O566">
        <v>-12.5</v>
      </c>
      <c r="P566">
        <v>47.5</v>
      </c>
      <c r="R566">
        <v>6.2</v>
      </c>
      <c r="T566" s="39">
        <v>43765</v>
      </c>
      <c r="U566" s="22" t="s">
        <v>248</v>
      </c>
      <c r="V566" s="18" t="s">
        <v>307</v>
      </c>
      <c r="W566" s="22" t="s">
        <v>285</v>
      </c>
    </row>
    <row r="567" spans="1:23" x14ac:dyDescent="0.2">
      <c r="A567" t="s">
        <v>192</v>
      </c>
      <c r="E567" t="s">
        <v>75</v>
      </c>
      <c r="F567" t="s">
        <v>109</v>
      </c>
      <c r="O567">
        <v>6.5</v>
      </c>
      <c r="P567">
        <v>49</v>
      </c>
      <c r="R567">
        <v>19</v>
      </c>
      <c r="T567" s="39">
        <v>43765</v>
      </c>
      <c r="U567" s="22" t="s">
        <v>248</v>
      </c>
      <c r="V567" s="18" t="s">
        <v>296</v>
      </c>
      <c r="W567" s="22" t="s">
        <v>299</v>
      </c>
    </row>
    <row r="568" spans="1:23" x14ac:dyDescent="0.2">
      <c r="A568" t="s">
        <v>192</v>
      </c>
      <c r="B568" t="s">
        <v>27</v>
      </c>
      <c r="C568">
        <v>10.4</v>
      </c>
      <c r="D568" t="s">
        <v>76</v>
      </c>
      <c r="E568" t="s">
        <v>76</v>
      </c>
      <c r="O568">
        <v>7</v>
      </c>
      <c r="P568">
        <v>39.5</v>
      </c>
      <c r="Q568">
        <v>4.9000000000000004</v>
      </c>
      <c r="R568">
        <v>8.3000000000000007</v>
      </c>
      <c r="S568" s="1">
        <v>1.7</v>
      </c>
      <c r="T568" s="39">
        <v>43765</v>
      </c>
      <c r="U568" s="22" t="s">
        <v>248</v>
      </c>
      <c r="V568" s="18" t="s">
        <v>298</v>
      </c>
      <c r="W568" s="22" t="s">
        <v>297</v>
      </c>
    </row>
    <row r="569" spans="1:23" x14ac:dyDescent="0.2">
      <c r="A569" t="s">
        <v>192</v>
      </c>
      <c r="O569">
        <v>1</v>
      </c>
      <c r="P569">
        <v>39.5</v>
      </c>
      <c r="R569">
        <v>5.4</v>
      </c>
      <c r="T569" s="39">
        <v>43765</v>
      </c>
      <c r="U569" s="22" t="s">
        <v>248</v>
      </c>
      <c r="V569" s="18" t="s">
        <v>294</v>
      </c>
      <c r="W569" s="22" t="s">
        <v>276</v>
      </c>
    </row>
    <row r="570" spans="1:23" x14ac:dyDescent="0.2">
      <c r="A570" t="s">
        <v>192</v>
      </c>
      <c r="D570" t="s">
        <v>75</v>
      </c>
      <c r="O570">
        <v>-14</v>
      </c>
      <c r="P570">
        <v>44</v>
      </c>
      <c r="R570">
        <v>19.399999999999999</v>
      </c>
      <c r="T570" s="39">
        <v>43765</v>
      </c>
      <c r="U570" s="22" t="s">
        <v>248</v>
      </c>
      <c r="V570" s="18" t="s">
        <v>309</v>
      </c>
      <c r="W570" s="22" t="s">
        <v>293</v>
      </c>
    </row>
    <row r="571" spans="1:23" x14ac:dyDescent="0.2">
      <c r="A571" t="s">
        <v>192</v>
      </c>
      <c r="F571" t="s">
        <v>110</v>
      </c>
      <c r="O571">
        <v>-4.5</v>
      </c>
      <c r="P571">
        <v>41</v>
      </c>
      <c r="R571">
        <v>13.8</v>
      </c>
      <c r="T571" s="39">
        <v>43765</v>
      </c>
      <c r="U571" s="22" t="s">
        <v>248</v>
      </c>
      <c r="V571" s="38" t="s">
        <v>256</v>
      </c>
      <c r="W571" s="22" t="s">
        <v>301</v>
      </c>
    </row>
    <row r="572" spans="1:23" x14ac:dyDescent="0.2">
      <c r="A572" t="s">
        <v>192</v>
      </c>
      <c r="O572">
        <v>-7.5</v>
      </c>
      <c r="P572">
        <v>48.5</v>
      </c>
      <c r="R572">
        <v>16.3</v>
      </c>
      <c r="T572" s="39">
        <v>43765</v>
      </c>
      <c r="U572" s="22" t="s">
        <v>248</v>
      </c>
      <c r="V572" s="18" t="s">
        <v>308</v>
      </c>
      <c r="W572" s="22" t="s">
        <v>295</v>
      </c>
    </row>
    <row r="573" spans="1:23" x14ac:dyDescent="0.2">
      <c r="A573" t="s">
        <v>192</v>
      </c>
      <c r="O573">
        <v>2</v>
      </c>
      <c r="P573">
        <v>45.5</v>
      </c>
      <c r="R573">
        <v>10.3</v>
      </c>
      <c r="T573" s="39">
        <v>43765</v>
      </c>
      <c r="U573" s="22" t="s">
        <v>248</v>
      </c>
      <c r="V573" s="18" t="s">
        <v>284</v>
      </c>
      <c r="W573" s="23" t="s">
        <v>310</v>
      </c>
    </row>
    <row r="574" spans="1:23" x14ac:dyDescent="0.2">
      <c r="A574" t="s">
        <v>192</v>
      </c>
      <c r="O574">
        <v>-2</v>
      </c>
      <c r="P574">
        <v>45.5</v>
      </c>
      <c r="R574">
        <v>9.1</v>
      </c>
      <c r="T574" s="39">
        <v>43765</v>
      </c>
      <c r="U574" s="22" t="s">
        <v>248</v>
      </c>
      <c r="V574" s="18" t="s">
        <v>310</v>
      </c>
      <c r="W574" s="22" t="s">
        <v>284</v>
      </c>
    </row>
    <row r="575" spans="1:23" x14ac:dyDescent="0.2">
      <c r="A575" t="s">
        <v>192</v>
      </c>
      <c r="O575">
        <v>16.5</v>
      </c>
      <c r="P575">
        <v>42</v>
      </c>
      <c r="R575" s="14">
        <v>6.4</v>
      </c>
      <c r="T575" s="39">
        <v>43765</v>
      </c>
      <c r="U575" s="22" t="s">
        <v>248</v>
      </c>
      <c r="V575" s="18" t="s">
        <v>306</v>
      </c>
      <c r="W575" s="22" t="s">
        <v>312</v>
      </c>
    </row>
    <row r="576" spans="1:23" x14ac:dyDescent="0.2">
      <c r="A576" t="s">
        <v>192</v>
      </c>
      <c r="O576">
        <v>10.5</v>
      </c>
      <c r="P576">
        <v>43.5</v>
      </c>
      <c r="R576">
        <v>3.6</v>
      </c>
      <c r="T576" s="39">
        <v>43772</v>
      </c>
      <c r="U576" s="22" t="s">
        <v>246</v>
      </c>
      <c r="V576" s="41" t="s">
        <v>285</v>
      </c>
      <c r="W576" s="22" t="s">
        <v>256</v>
      </c>
    </row>
    <row r="577" spans="1:23" x14ac:dyDescent="0.2">
      <c r="A577" t="s">
        <v>192</v>
      </c>
      <c r="O577">
        <v>3</v>
      </c>
      <c r="P577">
        <v>44.5</v>
      </c>
      <c r="R577">
        <v>3.5</v>
      </c>
      <c r="T577" s="39">
        <v>43772</v>
      </c>
      <c r="U577" s="22" t="s">
        <v>246</v>
      </c>
      <c r="V577" s="41" t="s">
        <v>305</v>
      </c>
      <c r="W577" s="22" t="s">
        <v>302</v>
      </c>
    </row>
    <row r="578" spans="1:23" x14ac:dyDescent="0.2">
      <c r="A578" t="s">
        <v>192</v>
      </c>
      <c r="O578">
        <v>-10.5</v>
      </c>
      <c r="P578">
        <v>37</v>
      </c>
      <c r="R578">
        <v>9.3000000000000007</v>
      </c>
      <c r="T578" s="39">
        <v>43772</v>
      </c>
      <c r="U578" s="22" t="s">
        <v>246</v>
      </c>
      <c r="V578" t="s">
        <v>276</v>
      </c>
      <c r="W578" s="22" t="s">
        <v>306</v>
      </c>
    </row>
    <row r="579" spans="1:23" x14ac:dyDescent="0.2">
      <c r="A579" t="s">
        <v>192</v>
      </c>
      <c r="O579">
        <v>-3.5</v>
      </c>
      <c r="P579">
        <v>43</v>
      </c>
      <c r="R579">
        <v>16.399999999999999</v>
      </c>
      <c r="T579" s="39">
        <v>43772</v>
      </c>
      <c r="U579" s="22" t="s">
        <v>246</v>
      </c>
      <c r="V579" t="s">
        <v>301</v>
      </c>
      <c r="W579" s="22" t="s">
        <v>310</v>
      </c>
    </row>
    <row r="580" spans="1:23" x14ac:dyDescent="0.2">
      <c r="A580" t="s">
        <v>192</v>
      </c>
      <c r="O580">
        <v>5</v>
      </c>
      <c r="P580">
        <v>41</v>
      </c>
      <c r="R580">
        <v>9.9</v>
      </c>
      <c r="T580" s="39">
        <v>43772</v>
      </c>
      <c r="U580" s="22" t="s">
        <v>246</v>
      </c>
      <c r="V580" t="s">
        <v>265</v>
      </c>
      <c r="W580" s="22" t="s">
        <v>294</v>
      </c>
    </row>
    <row r="581" spans="1:23" x14ac:dyDescent="0.2">
      <c r="A581" t="s">
        <v>192</v>
      </c>
      <c r="B581" t="s">
        <v>52</v>
      </c>
      <c r="C581">
        <v>10.1</v>
      </c>
      <c r="D581" t="s">
        <v>75</v>
      </c>
      <c r="E581" t="s">
        <v>76</v>
      </c>
      <c r="F581" t="s">
        <v>110</v>
      </c>
      <c r="O581">
        <v>-4</v>
      </c>
      <c r="P581">
        <v>39</v>
      </c>
      <c r="Q581">
        <v>4.5</v>
      </c>
      <c r="R581">
        <v>17.100000000000001</v>
      </c>
      <c r="S581" s="1">
        <v>3.8</v>
      </c>
      <c r="T581" s="39">
        <v>43772</v>
      </c>
      <c r="U581" s="22" t="s">
        <v>246</v>
      </c>
      <c r="V581" t="s">
        <v>281</v>
      </c>
      <c r="W581" s="22" t="s">
        <v>278</v>
      </c>
    </row>
    <row r="582" spans="1:23" x14ac:dyDescent="0.2">
      <c r="A582" t="s">
        <v>192</v>
      </c>
      <c r="F582" t="s">
        <v>109</v>
      </c>
      <c r="O582">
        <v>-6.5</v>
      </c>
      <c r="P582">
        <v>48.5</v>
      </c>
      <c r="R582">
        <v>11.3</v>
      </c>
      <c r="T582" s="39">
        <v>43772</v>
      </c>
      <c r="U582" s="22" t="s">
        <v>246</v>
      </c>
      <c r="V582" t="s">
        <v>291</v>
      </c>
      <c r="W582" s="22" t="s">
        <v>296</v>
      </c>
    </row>
    <row r="583" spans="1:23" x14ac:dyDescent="0.2">
      <c r="A583" t="s">
        <v>192</v>
      </c>
      <c r="D583" t="s">
        <v>75</v>
      </c>
      <c r="F583" t="s">
        <v>110</v>
      </c>
      <c r="O583">
        <v>4</v>
      </c>
      <c r="P583">
        <v>39</v>
      </c>
      <c r="R583">
        <v>0</v>
      </c>
      <c r="T583" s="39">
        <v>43772</v>
      </c>
      <c r="U583" t="s">
        <v>246</v>
      </c>
      <c r="V583" t="s">
        <v>278</v>
      </c>
      <c r="W583" t="s">
        <v>281</v>
      </c>
    </row>
    <row r="584" spans="1:23" x14ac:dyDescent="0.2">
      <c r="A584" t="s">
        <v>192</v>
      </c>
      <c r="E584" t="s">
        <v>75</v>
      </c>
      <c r="O584">
        <v>2.5</v>
      </c>
      <c r="P584">
        <v>51.5</v>
      </c>
      <c r="R584" s="14">
        <v>29.6</v>
      </c>
      <c r="T584" s="39">
        <v>43772</v>
      </c>
      <c r="U584" s="22" t="s">
        <v>246</v>
      </c>
      <c r="V584" t="s">
        <v>299</v>
      </c>
      <c r="W584" s="22" t="s">
        <v>303</v>
      </c>
    </row>
    <row r="585" spans="1:23" x14ac:dyDescent="0.2">
      <c r="A585" t="s">
        <v>192</v>
      </c>
      <c r="E585" t="s">
        <v>75</v>
      </c>
      <c r="F585" t="s">
        <v>110</v>
      </c>
      <c r="O585">
        <v>-4</v>
      </c>
      <c r="P585">
        <v>50</v>
      </c>
      <c r="R585">
        <v>7.4</v>
      </c>
      <c r="T585" s="39">
        <v>43772</v>
      </c>
      <c r="U585" s="22" t="s">
        <v>246</v>
      </c>
      <c r="V585" t="s">
        <v>300</v>
      </c>
      <c r="W585" s="22" t="s">
        <v>287</v>
      </c>
    </row>
    <row r="586" spans="1:23" x14ac:dyDescent="0.2">
      <c r="A586" t="s">
        <v>192</v>
      </c>
      <c r="F586" t="s">
        <v>109</v>
      </c>
      <c r="O586">
        <v>1</v>
      </c>
      <c r="P586">
        <v>46</v>
      </c>
      <c r="R586">
        <v>9.1999999999999993</v>
      </c>
      <c r="T586" s="39">
        <v>43772</v>
      </c>
      <c r="U586" s="22" t="s">
        <v>246</v>
      </c>
      <c r="V586" t="s">
        <v>311</v>
      </c>
      <c r="W586" s="22" t="s">
        <v>297</v>
      </c>
    </row>
    <row r="587" spans="1:23" x14ac:dyDescent="0.2">
      <c r="A587" t="s">
        <v>192</v>
      </c>
      <c r="B587" t="s">
        <v>96</v>
      </c>
      <c r="F587" t="s">
        <v>110</v>
      </c>
      <c r="I587" t="s">
        <v>75</v>
      </c>
      <c r="J587" t="s">
        <v>76</v>
      </c>
      <c r="K587" t="s">
        <v>76</v>
      </c>
      <c r="L587" t="s">
        <v>76</v>
      </c>
      <c r="M587" t="s">
        <v>75</v>
      </c>
      <c r="N587" t="s">
        <v>134</v>
      </c>
      <c r="O587" s="3">
        <v>1</v>
      </c>
      <c r="P587" s="3">
        <v>39.5</v>
      </c>
      <c r="Q587">
        <v>4.0999999999999996</v>
      </c>
      <c r="R587" s="3">
        <v>18.600000000000001</v>
      </c>
      <c r="S587" s="1">
        <v>4.5</v>
      </c>
      <c r="T587" s="39">
        <v>43772</v>
      </c>
      <c r="U587" s="28" t="s">
        <v>246</v>
      </c>
      <c r="V587" t="s">
        <v>289</v>
      </c>
      <c r="W587" s="28" t="s">
        <v>309</v>
      </c>
    </row>
    <row r="588" spans="1:23" x14ac:dyDescent="0.2">
      <c r="A588" t="s">
        <v>192</v>
      </c>
      <c r="F588" t="s">
        <v>109</v>
      </c>
      <c r="O588">
        <v>-1</v>
      </c>
      <c r="P588">
        <v>46</v>
      </c>
      <c r="R588">
        <v>5.2</v>
      </c>
      <c r="T588" s="39">
        <v>43772</v>
      </c>
      <c r="U588" s="22" t="s">
        <v>246</v>
      </c>
      <c r="V588" t="s">
        <v>297</v>
      </c>
      <c r="W588" s="22" t="s">
        <v>311</v>
      </c>
    </row>
    <row r="589" spans="1:23" x14ac:dyDescent="0.2">
      <c r="A589" t="s">
        <v>192</v>
      </c>
      <c r="B589" t="s">
        <v>18</v>
      </c>
      <c r="C589">
        <v>10</v>
      </c>
      <c r="D589" t="s">
        <v>76</v>
      </c>
      <c r="E589" t="s">
        <v>76</v>
      </c>
      <c r="F589" s="3"/>
      <c r="O589" s="3">
        <v>5.5</v>
      </c>
      <c r="P589" s="3">
        <v>46</v>
      </c>
      <c r="Q589">
        <v>4.9000000000000004</v>
      </c>
      <c r="R589" s="3">
        <v>13.3</v>
      </c>
      <c r="S589" s="1">
        <v>2.7</v>
      </c>
      <c r="T589" s="39">
        <v>43772</v>
      </c>
      <c r="U589" s="28" t="s">
        <v>246</v>
      </c>
      <c r="V589" t="s">
        <v>288</v>
      </c>
      <c r="W589" s="28" t="s">
        <v>312</v>
      </c>
    </row>
    <row r="590" spans="1:23" x14ac:dyDescent="0.2">
      <c r="A590" t="s">
        <v>192</v>
      </c>
      <c r="E590" t="s">
        <v>75</v>
      </c>
      <c r="O590">
        <v>-2.5</v>
      </c>
      <c r="P590">
        <v>51.5</v>
      </c>
      <c r="R590">
        <v>17.399999999999999</v>
      </c>
      <c r="T590" s="39">
        <v>43772</v>
      </c>
      <c r="U590" s="22" t="s">
        <v>246</v>
      </c>
      <c r="V590" t="s">
        <v>303</v>
      </c>
      <c r="W590" s="22" t="s">
        <v>299</v>
      </c>
    </row>
    <row r="591" spans="1:23" x14ac:dyDescent="0.2">
      <c r="A591" t="s">
        <v>192</v>
      </c>
      <c r="B591" t="s">
        <v>83</v>
      </c>
      <c r="C591">
        <v>10.4</v>
      </c>
      <c r="D591" t="s">
        <v>76</v>
      </c>
      <c r="E591" t="s">
        <v>75</v>
      </c>
      <c r="F591" t="s">
        <v>110</v>
      </c>
      <c r="O591" s="3">
        <v>4</v>
      </c>
      <c r="P591" s="3">
        <v>50</v>
      </c>
      <c r="Q591">
        <v>4.5999999999999996</v>
      </c>
      <c r="R591">
        <v>17.3</v>
      </c>
      <c r="S591" s="1">
        <v>3.8</v>
      </c>
      <c r="T591" s="39">
        <v>43772</v>
      </c>
      <c r="U591" s="22" t="s">
        <v>246</v>
      </c>
      <c r="V591" t="s">
        <v>287</v>
      </c>
      <c r="W591" s="22" t="s">
        <v>300</v>
      </c>
    </row>
    <row r="592" spans="1:23" x14ac:dyDescent="0.2">
      <c r="A592" t="s">
        <v>192</v>
      </c>
      <c r="D592" t="s">
        <v>75</v>
      </c>
      <c r="E592" t="s">
        <v>75</v>
      </c>
      <c r="O592">
        <v>3.5</v>
      </c>
      <c r="P592">
        <v>42.5</v>
      </c>
      <c r="R592">
        <v>15.7</v>
      </c>
      <c r="T592" s="39">
        <v>43772</v>
      </c>
      <c r="U592" s="22" t="s">
        <v>246</v>
      </c>
      <c r="V592" t="s">
        <v>293</v>
      </c>
      <c r="W592" s="22" t="s">
        <v>298</v>
      </c>
    </row>
    <row r="593" spans="1:23" x14ac:dyDescent="0.2">
      <c r="A593" t="s">
        <v>192</v>
      </c>
      <c r="B593" t="s">
        <v>44</v>
      </c>
      <c r="I593" t="s">
        <v>75</v>
      </c>
      <c r="J593" t="s">
        <v>76</v>
      </c>
      <c r="K593" t="s">
        <v>76</v>
      </c>
      <c r="L593" t="s">
        <v>76</v>
      </c>
      <c r="M593" t="s">
        <v>76</v>
      </c>
      <c r="N593" t="s">
        <v>134</v>
      </c>
      <c r="O593">
        <v>-5.5</v>
      </c>
      <c r="P593">
        <v>46</v>
      </c>
      <c r="Q593">
        <v>7.6</v>
      </c>
      <c r="R593">
        <v>2.6</v>
      </c>
      <c r="S593" s="1">
        <v>0.3</v>
      </c>
      <c r="T593" s="39">
        <v>43772</v>
      </c>
      <c r="U593" s="22" t="s">
        <v>246</v>
      </c>
      <c r="V593" t="s">
        <v>312</v>
      </c>
      <c r="W593" s="22" t="s">
        <v>288</v>
      </c>
    </row>
    <row r="594" spans="1:23" x14ac:dyDescent="0.2">
      <c r="A594" t="s">
        <v>192</v>
      </c>
      <c r="O594">
        <v>-3</v>
      </c>
      <c r="P594">
        <v>44.5</v>
      </c>
      <c r="R594">
        <v>24.1</v>
      </c>
      <c r="T594" s="39">
        <v>43772</v>
      </c>
      <c r="U594" s="22" t="s">
        <v>246</v>
      </c>
      <c r="V594" t="s">
        <v>302</v>
      </c>
      <c r="W594" s="22" t="s">
        <v>305</v>
      </c>
    </row>
    <row r="595" spans="1:23" x14ac:dyDescent="0.2">
      <c r="A595" t="s">
        <v>192</v>
      </c>
      <c r="F595" t="s">
        <v>109</v>
      </c>
      <c r="O595">
        <v>6.5</v>
      </c>
      <c r="P595">
        <v>48.5</v>
      </c>
      <c r="R595">
        <v>8.8000000000000007</v>
      </c>
      <c r="T595" s="39">
        <v>43772</v>
      </c>
      <c r="U595" s="22" t="s">
        <v>246</v>
      </c>
      <c r="V595" t="s">
        <v>296</v>
      </c>
      <c r="W595" s="22" t="s">
        <v>291</v>
      </c>
    </row>
    <row r="596" spans="1:23" x14ac:dyDescent="0.2">
      <c r="A596" t="s">
        <v>192</v>
      </c>
      <c r="B596" t="s">
        <v>27</v>
      </c>
      <c r="C596">
        <v>11.9</v>
      </c>
      <c r="D596" t="s">
        <v>75</v>
      </c>
      <c r="E596" t="s">
        <v>75</v>
      </c>
      <c r="O596">
        <v>-3.5</v>
      </c>
      <c r="P596">
        <v>42.5</v>
      </c>
      <c r="Q596">
        <v>5.5</v>
      </c>
      <c r="R596">
        <v>5.3</v>
      </c>
      <c r="S596" s="1">
        <v>1</v>
      </c>
      <c r="T596" s="39">
        <v>43772</v>
      </c>
      <c r="U596" s="22" t="s">
        <v>246</v>
      </c>
      <c r="V596" t="s">
        <v>298</v>
      </c>
      <c r="W596" s="22" t="s">
        <v>293</v>
      </c>
    </row>
    <row r="597" spans="1:23" x14ac:dyDescent="0.2">
      <c r="A597" t="s">
        <v>192</v>
      </c>
      <c r="O597">
        <v>-5</v>
      </c>
      <c r="P597">
        <v>41</v>
      </c>
      <c r="R597">
        <v>5.0999999999999996</v>
      </c>
      <c r="T597" s="39">
        <v>43772</v>
      </c>
      <c r="U597" s="22" t="s">
        <v>246</v>
      </c>
      <c r="V597" t="s">
        <v>294</v>
      </c>
      <c r="W597" s="22" t="s">
        <v>265</v>
      </c>
    </row>
    <row r="598" spans="1:23" x14ac:dyDescent="0.2">
      <c r="A598" t="s">
        <v>192</v>
      </c>
      <c r="F598" t="s">
        <v>110</v>
      </c>
      <c r="O598">
        <v>-1</v>
      </c>
      <c r="P598">
        <v>39.5</v>
      </c>
      <c r="R598">
        <v>10.9</v>
      </c>
      <c r="T598" s="39">
        <v>43772</v>
      </c>
      <c r="U598" s="22" t="s">
        <v>246</v>
      </c>
      <c r="V598" t="s">
        <v>309</v>
      </c>
      <c r="W598" s="22" t="s">
        <v>289</v>
      </c>
    </row>
    <row r="599" spans="1:23" x14ac:dyDescent="0.2">
      <c r="A599" t="s">
        <v>192</v>
      </c>
      <c r="O599">
        <v>-10.5</v>
      </c>
      <c r="P599">
        <v>43.5</v>
      </c>
      <c r="R599">
        <v>8</v>
      </c>
      <c r="T599" s="39">
        <v>43772</v>
      </c>
      <c r="U599" s="22" t="s">
        <v>246</v>
      </c>
      <c r="V599" s="22" t="s">
        <v>256</v>
      </c>
      <c r="W599" s="22" t="s">
        <v>285</v>
      </c>
    </row>
    <row r="600" spans="1:23" x14ac:dyDescent="0.2">
      <c r="A600" t="s">
        <v>192</v>
      </c>
      <c r="E600" t="s">
        <v>75</v>
      </c>
      <c r="F600" t="s">
        <v>109</v>
      </c>
      <c r="O600">
        <v>-4</v>
      </c>
      <c r="P600">
        <v>50.5</v>
      </c>
      <c r="R600">
        <v>30</v>
      </c>
      <c r="T600" s="39">
        <v>43772</v>
      </c>
      <c r="U600" s="22" t="s">
        <v>246</v>
      </c>
      <c r="V600" t="s">
        <v>308</v>
      </c>
      <c r="W600" s="22" t="s">
        <v>284</v>
      </c>
    </row>
    <row r="601" spans="1:23" x14ac:dyDescent="0.2">
      <c r="A601" t="s">
        <v>192</v>
      </c>
      <c r="E601" t="s">
        <v>75</v>
      </c>
      <c r="F601" t="s">
        <v>109</v>
      </c>
      <c r="O601">
        <v>4</v>
      </c>
      <c r="P601">
        <v>50.5</v>
      </c>
      <c r="R601">
        <v>13.9</v>
      </c>
      <c r="T601" s="39">
        <v>43772</v>
      </c>
      <c r="U601" s="22" t="s">
        <v>246</v>
      </c>
      <c r="V601" t="s">
        <v>284</v>
      </c>
      <c r="W601" s="22" t="s">
        <v>308</v>
      </c>
    </row>
    <row r="602" spans="1:23" x14ac:dyDescent="0.2">
      <c r="A602" t="s">
        <v>192</v>
      </c>
      <c r="O602">
        <v>3.5</v>
      </c>
      <c r="P602">
        <v>43</v>
      </c>
      <c r="R602">
        <v>12.1</v>
      </c>
      <c r="T602" s="39">
        <v>43772</v>
      </c>
      <c r="U602" s="22" t="s">
        <v>246</v>
      </c>
      <c r="V602" t="s">
        <v>310</v>
      </c>
      <c r="W602" s="22" t="s">
        <v>301</v>
      </c>
    </row>
    <row r="603" spans="1:23" x14ac:dyDescent="0.2">
      <c r="A603" t="s">
        <v>192</v>
      </c>
      <c r="O603">
        <v>10.5</v>
      </c>
      <c r="P603">
        <v>37</v>
      </c>
      <c r="R603">
        <v>8.1999999999999993</v>
      </c>
      <c r="T603" s="39">
        <v>43772</v>
      </c>
      <c r="U603" s="22" t="s">
        <v>246</v>
      </c>
      <c r="V603" t="s">
        <v>306</v>
      </c>
      <c r="W603" s="22" t="s">
        <v>276</v>
      </c>
    </row>
    <row r="604" spans="1:23" x14ac:dyDescent="0.2">
      <c r="A604" t="s">
        <v>192</v>
      </c>
      <c r="B604" t="s">
        <v>50</v>
      </c>
      <c r="C604">
        <v>11.1</v>
      </c>
      <c r="D604" t="s">
        <v>75</v>
      </c>
      <c r="E604" t="s">
        <v>75</v>
      </c>
      <c r="F604" t="s">
        <v>109</v>
      </c>
      <c r="O604">
        <v>5.5</v>
      </c>
      <c r="P604">
        <v>51</v>
      </c>
      <c r="Q604">
        <v>5.2</v>
      </c>
      <c r="R604">
        <v>40.799999999999997</v>
      </c>
      <c r="S604" s="1">
        <v>7.8</v>
      </c>
      <c r="T604" s="39">
        <v>43779</v>
      </c>
      <c r="U604" s="22" t="s">
        <v>244</v>
      </c>
      <c r="V604" s="18" t="s">
        <v>285</v>
      </c>
      <c r="W604" s="22" t="s">
        <v>284</v>
      </c>
    </row>
    <row r="605" spans="1:23" x14ac:dyDescent="0.2">
      <c r="A605" t="s">
        <v>192</v>
      </c>
      <c r="B605" t="s">
        <v>93</v>
      </c>
      <c r="C605">
        <v>9.3000000000000007</v>
      </c>
      <c r="D605" t="s">
        <v>76</v>
      </c>
      <c r="E605" t="s">
        <v>76</v>
      </c>
      <c r="F605" t="s">
        <v>109</v>
      </c>
      <c r="O605">
        <v>14</v>
      </c>
      <c r="P605">
        <v>51.5</v>
      </c>
      <c r="Q605">
        <v>5.4</v>
      </c>
      <c r="R605">
        <v>7.7</v>
      </c>
      <c r="S605" s="1">
        <v>1.4</v>
      </c>
      <c r="T605" s="39">
        <v>43779</v>
      </c>
      <c r="U605" s="22" t="s">
        <v>244</v>
      </c>
      <c r="V605" s="18" t="s">
        <v>295</v>
      </c>
      <c r="W605" s="22" t="s">
        <v>307</v>
      </c>
    </row>
    <row r="606" spans="1:23" x14ac:dyDescent="0.2">
      <c r="A606" t="s">
        <v>192</v>
      </c>
      <c r="O606">
        <v>-10.5</v>
      </c>
      <c r="P606">
        <v>44</v>
      </c>
      <c r="R606">
        <v>3.2</v>
      </c>
      <c r="T606" s="39">
        <v>43779</v>
      </c>
      <c r="U606" s="22" t="s">
        <v>244</v>
      </c>
      <c r="V606" s="18" t="s">
        <v>305</v>
      </c>
      <c r="W606" s="22" t="s">
        <v>272</v>
      </c>
    </row>
    <row r="607" spans="1:23" x14ac:dyDescent="0.2">
      <c r="A607" t="s">
        <v>192</v>
      </c>
      <c r="F607" t="s">
        <v>110</v>
      </c>
      <c r="O607">
        <v>3</v>
      </c>
      <c r="P607">
        <v>42</v>
      </c>
      <c r="R607">
        <v>11.4</v>
      </c>
      <c r="T607" s="39">
        <v>43779</v>
      </c>
      <c r="U607" s="22" t="s">
        <v>244</v>
      </c>
      <c r="V607" s="18" t="s">
        <v>276</v>
      </c>
      <c r="W607" s="22" t="s">
        <v>281</v>
      </c>
    </row>
    <row r="608" spans="1:23" x14ac:dyDescent="0.2">
      <c r="A608" t="s">
        <v>192</v>
      </c>
      <c r="B608" t="s">
        <v>49</v>
      </c>
      <c r="C608">
        <v>12.8</v>
      </c>
      <c r="D608" t="s">
        <v>75</v>
      </c>
      <c r="E608" t="s">
        <v>76</v>
      </c>
      <c r="O608">
        <v>5</v>
      </c>
      <c r="P608">
        <v>49</v>
      </c>
      <c r="Q608">
        <v>4.5999999999999996</v>
      </c>
      <c r="R608">
        <v>13.5</v>
      </c>
      <c r="S608" s="1">
        <v>2.9</v>
      </c>
      <c r="T608" s="39">
        <v>43779</v>
      </c>
      <c r="U608" s="22" t="s">
        <v>244</v>
      </c>
      <c r="V608" s="41" t="s">
        <v>301</v>
      </c>
      <c r="W608" s="22" t="s">
        <v>300</v>
      </c>
    </row>
    <row r="609" spans="1:23" x14ac:dyDescent="0.2">
      <c r="A609" t="s">
        <v>192</v>
      </c>
      <c r="O609">
        <v>-6</v>
      </c>
      <c r="P609">
        <v>38</v>
      </c>
      <c r="R609">
        <v>13.8</v>
      </c>
      <c r="T609" s="39">
        <v>43779</v>
      </c>
      <c r="U609" s="22" t="s">
        <v>244</v>
      </c>
      <c r="V609" s="41" t="s">
        <v>265</v>
      </c>
      <c r="W609" s="22" t="s">
        <v>299</v>
      </c>
    </row>
    <row r="610" spans="1:23" x14ac:dyDescent="0.2">
      <c r="A610" t="s">
        <v>192</v>
      </c>
      <c r="B610" t="s">
        <v>61</v>
      </c>
      <c r="C610">
        <v>11.6</v>
      </c>
      <c r="D610" t="s">
        <v>75</v>
      </c>
      <c r="E610" t="s">
        <v>76</v>
      </c>
      <c r="O610">
        <v>10</v>
      </c>
      <c r="P610">
        <v>45.5</v>
      </c>
      <c r="Q610">
        <v>4</v>
      </c>
      <c r="R610" s="3">
        <v>6.6</v>
      </c>
      <c r="S610" s="1">
        <v>1.7</v>
      </c>
      <c r="T610" s="39">
        <v>43779</v>
      </c>
      <c r="U610" s="28" t="s">
        <v>244</v>
      </c>
      <c r="V610" s="17" t="s">
        <v>272</v>
      </c>
      <c r="W610" s="28" t="s">
        <v>305</v>
      </c>
    </row>
    <row r="611" spans="1:23" x14ac:dyDescent="0.2">
      <c r="A611" t="s">
        <v>192</v>
      </c>
      <c r="F611" t="s">
        <v>110</v>
      </c>
      <c r="O611">
        <v>-3</v>
      </c>
      <c r="P611">
        <v>42</v>
      </c>
      <c r="R611">
        <v>24.7</v>
      </c>
      <c r="T611" s="39">
        <v>43779</v>
      </c>
      <c r="U611" s="22" t="s">
        <v>244</v>
      </c>
      <c r="V611" t="s">
        <v>281</v>
      </c>
      <c r="W611" s="22" t="s">
        <v>276</v>
      </c>
    </row>
    <row r="612" spans="1:23" x14ac:dyDescent="0.2">
      <c r="A612" t="s">
        <v>192</v>
      </c>
      <c r="O612">
        <v>-3.5</v>
      </c>
      <c r="P612">
        <v>48.5</v>
      </c>
      <c r="R612">
        <v>17.600000000000001</v>
      </c>
      <c r="T612" s="39">
        <v>43779</v>
      </c>
      <c r="U612" s="22" t="s">
        <v>244</v>
      </c>
      <c r="V612" t="s">
        <v>291</v>
      </c>
      <c r="W612" s="22" t="s">
        <v>312</v>
      </c>
    </row>
    <row r="613" spans="1:23" x14ac:dyDescent="0.2">
      <c r="A613" t="s">
        <v>192</v>
      </c>
      <c r="O613">
        <v>6</v>
      </c>
      <c r="P613">
        <v>38</v>
      </c>
      <c r="R613">
        <v>12.7</v>
      </c>
      <c r="T613" s="39">
        <v>43779</v>
      </c>
      <c r="U613" s="22" t="s">
        <v>244</v>
      </c>
      <c r="V613" t="s">
        <v>299</v>
      </c>
      <c r="W613" s="22" t="s">
        <v>265</v>
      </c>
    </row>
    <row r="614" spans="1:23" x14ac:dyDescent="0.2">
      <c r="A614" t="s">
        <v>192</v>
      </c>
      <c r="O614">
        <v>-5</v>
      </c>
      <c r="P614">
        <v>49</v>
      </c>
      <c r="R614">
        <v>5.7</v>
      </c>
      <c r="T614" s="39">
        <v>43779</v>
      </c>
      <c r="U614" s="22" t="s">
        <v>244</v>
      </c>
      <c r="V614" t="s">
        <v>300</v>
      </c>
      <c r="W614" s="22" t="s">
        <v>301</v>
      </c>
    </row>
    <row r="615" spans="1:23" x14ac:dyDescent="0.2">
      <c r="A615" t="s">
        <v>192</v>
      </c>
      <c r="B615" t="s">
        <v>96</v>
      </c>
      <c r="D615" t="s">
        <v>75</v>
      </c>
      <c r="F615" t="s">
        <v>110</v>
      </c>
      <c r="I615" t="s">
        <v>75</v>
      </c>
      <c r="J615" t="s">
        <v>76</v>
      </c>
      <c r="K615" t="s">
        <v>76</v>
      </c>
      <c r="L615" t="s">
        <v>76</v>
      </c>
      <c r="M615" t="s">
        <v>75</v>
      </c>
      <c r="N615" t="s">
        <v>132</v>
      </c>
      <c r="O615">
        <v>-11</v>
      </c>
      <c r="P615">
        <v>44.5</v>
      </c>
      <c r="Q615">
        <v>5.3</v>
      </c>
      <c r="R615" s="3">
        <v>4.5999999999999996</v>
      </c>
      <c r="S615" s="1">
        <v>0.9</v>
      </c>
      <c r="T615" s="39">
        <v>43779</v>
      </c>
      <c r="U615" s="28" t="s">
        <v>244</v>
      </c>
      <c r="V615" t="s">
        <v>289</v>
      </c>
      <c r="W615" s="28" t="s">
        <v>293</v>
      </c>
    </row>
    <row r="616" spans="1:23" x14ac:dyDescent="0.2">
      <c r="A616" t="s">
        <v>192</v>
      </c>
      <c r="O616">
        <v>-5</v>
      </c>
      <c r="P616">
        <v>49</v>
      </c>
      <c r="R616">
        <v>13.3</v>
      </c>
      <c r="T616" s="39">
        <v>43779</v>
      </c>
      <c r="U616" s="22" t="s">
        <v>244</v>
      </c>
      <c r="V616" t="s">
        <v>288</v>
      </c>
      <c r="W616" s="22" t="s">
        <v>310</v>
      </c>
    </row>
    <row r="617" spans="1:23" x14ac:dyDescent="0.2">
      <c r="A617" t="s">
        <v>192</v>
      </c>
      <c r="O617">
        <v>1</v>
      </c>
      <c r="P617">
        <v>49</v>
      </c>
      <c r="R617">
        <v>8.1999999999999993</v>
      </c>
      <c r="T617" s="39">
        <v>43779</v>
      </c>
      <c r="U617" s="22" t="s">
        <v>244</v>
      </c>
      <c r="V617" t="s">
        <v>303</v>
      </c>
      <c r="W617" s="22" t="s">
        <v>287</v>
      </c>
    </row>
    <row r="618" spans="1:23" x14ac:dyDescent="0.2">
      <c r="A618" t="s">
        <v>192</v>
      </c>
      <c r="D618" t="s">
        <v>75</v>
      </c>
      <c r="O618">
        <v>-1</v>
      </c>
      <c r="P618">
        <v>49</v>
      </c>
      <c r="R618">
        <v>7.5</v>
      </c>
      <c r="T618" s="39">
        <v>43779</v>
      </c>
      <c r="U618" s="22" t="s">
        <v>244</v>
      </c>
      <c r="V618" t="s">
        <v>287</v>
      </c>
      <c r="W618" s="22" t="s">
        <v>303</v>
      </c>
    </row>
    <row r="619" spans="1:23" x14ac:dyDescent="0.2">
      <c r="A619" t="s">
        <v>192</v>
      </c>
      <c r="F619" t="s">
        <v>110</v>
      </c>
      <c r="O619">
        <v>-4</v>
      </c>
      <c r="P619">
        <v>43</v>
      </c>
      <c r="R619">
        <v>16.5</v>
      </c>
      <c r="T619" s="39">
        <v>43779</v>
      </c>
      <c r="U619" s="22" t="s">
        <v>244</v>
      </c>
      <c r="V619" t="s">
        <v>304</v>
      </c>
      <c r="W619" s="22" t="s">
        <v>309</v>
      </c>
    </row>
    <row r="620" spans="1:23" x14ac:dyDescent="0.2">
      <c r="A620" t="s">
        <v>192</v>
      </c>
      <c r="B620" t="s">
        <v>24</v>
      </c>
      <c r="F620" t="s">
        <v>110</v>
      </c>
      <c r="I620" t="s">
        <v>75</v>
      </c>
      <c r="J620" t="s">
        <v>76</v>
      </c>
      <c r="K620" t="s">
        <v>76</v>
      </c>
      <c r="L620" t="s">
        <v>76</v>
      </c>
      <c r="M620" t="s">
        <v>75</v>
      </c>
      <c r="N620" t="s">
        <v>134</v>
      </c>
      <c r="O620">
        <v>11</v>
      </c>
      <c r="P620">
        <v>44.5</v>
      </c>
      <c r="Q620">
        <v>4.8</v>
      </c>
      <c r="R620">
        <v>11.9</v>
      </c>
      <c r="S620" s="1">
        <v>2.5</v>
      </c>
      <c r="T620" s="39">
        <v>43779</v>
      </c>
      <c r="U620" s="22" t="s">
        <v>244</v>
      </c>
      <c r="V620" t="s">
        <v>293</v>
      </c>
      <c r="W620" s="22" t="s">
        <v>289</v>
      </c>
    </row>
    <row r="621" spans="1:23" x14ac:dyDescent="0.2">
      <c r="A621" t="s">
        <v>192</v>
      </c>
      <c r="B621" t="s">
        <v>44</v>
      </c>
      <c r="I621" t="s">
        <v>75</v>
      </c>
      <c r="J621" t="s">
        <v>76</v>
      </c>
      <c r="K621" t="s">
        <v>76</v>
      </c>
      <c r="L621" t="s">
        <v>76</v>
      </c>
      <c r="M621" t="s">
        <v>75</v>
      </c>
      <c r="N621" t="s">
        <v>134</v>
      </c>
      <c r="O621">
        <v>3.5</v>
      </c>
      <c r="P621">
        <v>48.5</v>
      </c>
      <c r="Q621">
        <v>7.1</v>
      </c>
      <c r="R621">
        <v>7.9</v>
      </c>
      <c r="S621" s="1">
        <v>1.1000000000000001</v>
      </c>
      <c r="T621" s="39">
        <v>43779</v>
      </c>
      <c r="U621" s="22" t="s">
        <v>244</v>
      </c>
      <c r="V621" t="s">
        <v>312</v>
      </c>
      <c r="W621" s="22" t="s">
        <v>291</v>
      </c>
    </row>
    <row r="622" spans="1:23" x14ac:dyDescent="0.2">
      <c r="A622" t="s">
        <v>192</v>
      </c>
      <c r="F622" t="s">
        <v>109</v>
      </c>
      <c r="O622">
        <v>-14</v>
      </c>
      <c r="P622">
        <v>51.5</v>
      </c>
      <c r="R622">
        <v>2.2999999999999998</v>
      </c>
      <c r="T622" s="39">
        <v>43779</v>
      </c>
      <c r="U622" s="22" t="s">
        <v>244</v>
      </c>
      <c r="V622" t="s">
        <v>307</v>
      </c>
      <c r="W622" s="22" t="s">
        <v>295</v>
      </c>
    </row>
    <row r="623" spans="1:23" x14ac:dyDescent="0.2">
      <c r="A623" t="s">
        <v>192</v>
      </c>
      <c r="B623" t="s">
        <v>139</v>
      </c>
      <c r="D623" t="s">
        <v>75</v>
      </c>
      <c r="F623" t="s">
        <v>109</v>
      </c>
      <c r="I623" t="s">
        <v>75</v>
      </c>
      <c r="J623" t="s">
        <v>75</v>
      </c>
      <c r="K623" t="s">
        <v>76</v>
      </c>
      <c r="L623" t="s">
        <v>76</v>
      </c>
      <c r="M623" t="s">
        <v>76</v>
      </c>
      <c r="N623" t="s">
        <v>132</v>
      </c>
      <c r="O623">
        <v>-3</v>
      </c>
      <c r="P623">
        <v>43</v>
      </c>
      <c r="Q623">
        <v>5.9</v>
      </c>
      <c r="R623">
        <v>24.5</v>
      </c>
      <c r="S623" s="1">
        <v>4.2</v>
      </c>
      <c r="T623" s="39">
        <v>43779</v>
      </c>
      <c r="U623" s="22" t="s">
        <v>244</v>
      </c>
      <c r="V623" t="s">
        <v>296</v>
      </c>
      <c r="W623" s="22" t="s">
        <v>298</v>
      </c>
    </row>
    <row r="624" spans="1:23" x14ac:dyDescent="0.2">
      <c r="A624" t="s">
        <v>192</v>
      </c>
      <c r="B624" t="s">
        <v>115</v>
      </c>
      <c r="D624" t="s">
        <v>75</v>
      </c>
      <c r="F624" t="s">
        <v>109</v>
      </c>
      <c r="I624" t="s">
        <v>75</v>
      </c>
      <c r="J624" t="s">
        <v>75</v>
      </c>
      <c r="K624" t="s">
        <v>76</v>
      </c>
      <c r="L624" t="s">
        <v>76</v>
      </c>
      <c r="M624" t="s">
        <v>76</v>
      </c>
      <c r="N624" t="s">
        <v>132</v>
      </c>
      <c r="Q624">
        <v>4.2</v>
      </c>
      <c r="R624">
        <v>37.1</v>
      </c>
      <c r="S624" s="1">
        <v>8.8000000000000007</v>
      </c>
      <c r="T624" s="39">
        <v>43779</v>
      </c>
      <c r="U624" s="22" t="s">
        <v>244</v>
      </c>
      <c r="V624" t="s">
        <v>296</v>
      </c>
      <c r="W624" s="22" t="s">
        <v>298</v>
      </c>
    </row>
    <row r="625" spans="1:23" x14ac:dyDescent="0.2">
      <c r="A625" t="s">
        <v>192</v>
      </c>
      <c r="D625" t="s">
        <v>75</v>
      </c>
      <c r="F625" t="s">
        <v>109</v>
      </c>
      <c r="O625">
        <v>3</v>
      </c>
      <c r="P625">
        <v>43</v>
      </c>
      <c r="R625">
        <v>2.1</v>
      </c>
      <c r="T625" s="39">
        <v>43779</v>
      </c>
      <c r="U625" s="22" t="s">
        <v>244</v>
      </c>
      <c r="V625" t="s">
        <v>298</v>
      </c>
      <c r="W625" s="22" t="s">
        <v>296</v>
      </c>
    </row>
    <row r="626" spans="1:23" x14ac:dyDescent="0.2">
      <c r="A626" t="s">
        <v>192</v>
      </c>
      <c r="F626" t="s">
        <v>110</v>
      </c>
      <c r="O626">
        <v>4</v>
      </c>
      <c r="P626">
        <v>43</v>
      </c>
      <c r="R626">
        <v>20</v>
      </c>
      <c r="T626" s="39">
        <v>43779</v>
      </c>
      <c r="U626" s="22" t="s">
        <v>244</v>
      </c>
      <c r="V626" t="s">
        <v>309</v>
      </c>
      <c r="W626" s="22" t="s">
        <v>304</v>
      </c>
    </row>
    <row r="627" spans="1:23" x14ac:dyDescent="0.2">
      <c r="A627" t="s">
        <v>192</v>
      </c>
      <c r="B627" t="s">
        <v>127</v>
      </c>
      <c r="I627" t="s">
        <v>75</v>
      </c>
      <c r="J627" t="s">
        <v>76</v>
      </c>
      <c r="K627" t="s">
        <v>76</v>
      </c>
      <c r="L627" t="s">
        <v>75</v>
      </c>
      <c r="M627" t="s">
        <v>75</v>
      </c>
      <c r="N627" t="s">
        <v>132</v>
      </c>
      <c r="O627">
        <v>-6.5</v>
      </c>
      <c r="P627">
        <v>47</v>
      </c>
      <c r="Q627">
        <v>3.7</v>
      </c>
      <c r="R627">
        <v>22.2</v>
      </c>
      <c r="S627" s="1">
        <v>6</v>
      </c>
      <c r="T627" s="39">
        <v>43779</v>
      </c>
      <c r="U627" s="22" t="s">
        <v>244</v>
      </c>
      <c r="V627" s="40" t="s">
        <v>256</v>
      </c>
      <c r="W627" s="22" t="s">
        <v>308</v>
      </c>
    </row>
    <row r="628" spans="1:23" x14ac:dyDescent="0.2">
      <c r="A628" t="s">
        <v>192</v>
      </c>
      <c r="O628">
        <v>6.5</v>
      </c>
      <c r="P628">
        <v>47</v>
      </c>
      <c r="R628">
        <v>12</v>
      </c>
      <c r="T628" s="39">
        <v>43779</v>
      </c>
      <c r="U628" s="22" t="s">
        <v>244</v>
      </c>
      <c r="V628" s="41" t="s">
        <v>308</v>
      </c>
      <c r="W628" s="22" t="s">
        <v>256</v>
      </c>
    </row>
    <row r="629" spans="1:23" x14ac:dyDescent="0.2">
      <c r="A629" t="s">
        <v>192</v>
      </c>
      <c r="B629" t="s">
        <v>92</v>
      </c>
      <c r="C629">
        <v>11.2</v>
      </c>
      <c r="D629" t="s">
        <v>75</v>
      </c>
      <c r="E629" t="s">
        <v>75</v>
      </c>
      <c r="F629" t="s">
        <v>109</v>
      </c>
      <c r="O629">
        <v>-5.5</v>
      </c>
      <c r="P629">
        <v>51</v>
      </c>
      <c r="Q629">
        <v>7.4</v>
      </c>
      <c r="R629">
        <v>13.4</v>
      </c>
      <c r="S629" s="1">
        <v>1.8</v>
      </c>
      <c r="T629" s="39">
        <v>43779</v>
      </c>
      <c r="U629" s="22" t="s">
        <v>244</v>
      </c>
      <c r="V629" s="41" t="s">
        <v>284</v>
      </c>
      <c r="W629" s="22" t="s">
        <v>285</v>
      </c>
    </row>
    <row r="630" spans="1:23" x14ac:dyDescent="0.2">
      <c r="A630" t="s">
        <v>192</v>
      </c>
      <c r="O630">
        <v>5</v>
      </c>
      <c r="P630">
        <v>49</v>
      </c>
      <c r="R630" s="14">
        <v>9.3000000000000007</v>
      </c>
      <c r="T630" s="39">
        <v>43779</v>
      </c>
      <c r="U630" s="22" t="s">
        <v>244</v>
      </c>
      <c r="V630" s="41" t="s">
        <v>310</v>
      </c>
      <c r="W630" s="22" t="s">
        <v>288</v>
      </c>
    </row>
    <row r="631" spans="1:23" x14ac:dyDescent="0.2">
      <c r="A631" t="s">
        <v>192</v>
      </c>
      <c r="O631">
        <v>10</v>
      </c>
      <c r="P631">
        <v>44</v>
      </c>
      <c r="R631">
        <v>10.199999999999999</v>
      </c>
      <c r="T631" s="39">
        <v>43786</v>
      </c>
      <c r="U631" s="22" t="s">
        <v>259</v>
      </c>
      <c r="V631" s="41" t="s">
        <v>285</v>
      </c>
      <c r="W631" s="22" t="s">
        <v>256</v>
      </c>
    </row>
    <row r="632" spans="1:23" x14ac:dyDescent="0.2">
      <c r="A632" t="s">
        <v>192</v>
      </c>
      <c r="B632" t="s">
        <v>93</v>
      </c>
      <c r="C632">
        <v>8.6</v>
      </c>
      <c r="D632" t="s">
        <v>75</v>
      </c>
      <c r="E632" t="s">
        <v>75</v>
      </c>
      <c r="F632" t="s">
        <v>109</v>
      </c>
      <c r="I632" t="s">
        <v>76</v>
      </c>
      <c r="J632" t="s">
        <v>75</v>
      </c>
      <c r="K632" t="s">
        <v>76</v>
      </c>
      <c r="L632" t="s">
        <v>75</v>
      </c>
      <c r="M632" t="s">
        <v>75</v>
      </c>
      <c r="N632" t="s">
        <v>134</v>
      </c>
      <c r="O632">
        <v>3.5</v>
      </c>
      <c r="P632">
        <v>49</v>
      </c>
      <c r="Q632">
        <v>5.5</v>
      </c>
      <c r="R632">
        <v>31.3</v>
      </c>
      <c r="S632" s="1">
        <v>5.7</v>
      </c>
      <c r="T632" s="39">
        <v>43786</v>
      </c>
      <c r="U632" s="22" t="s">
        <v>259</v>
      </c>
      <c r="V632" s="41" t="s">
        <v>295</v>
      </c>
      <c r="W632" s="22" t="s">
        <v>301</v>
      </c>
    </row>
    <row r="633" spans="1:23" x14ac:dyDescent="0.2">
      <c r="A633" t="s">
        <v>192</v>
      </c>
      <c r="O633">
        <v>-4</v>
      </c>
      <c r="P633">
        <v>51</v>
      </c>
      <c r="R633">
        <v>3.3</v>
      </c>
      <c r="T633" s="39">
        <v>43786</v>
      </c>
      <c r="U633" s="22" t="s">
        <v>259</v>
      </c>
      <c r="V633" s="41" t="s">
        <v>305</v>
      </c>
      <c r="W633" s="22" t="s">
        <v>311</v>
      </c>
    </row>
    <row r="634" spans="1:23" x14ac:dyDescent="0.2">
      <c r="A634" t="s">
        <v>192</v>
      </c>
      <c r="D634" t="s">
        <v>75</v>
      </c>
      <c r="F634" t="s">
        <v>110</v>
      </c>
      <c r="O634">
        <v>-7</v>
      </c>
      <c r="P634">
        <v>41.5</v>
      </c>
      <c r="R634">
        <v>7.8</v>
      </c>
      <c r="T634" s="39">
        <v>43786</v>
      </c>
      <c r="U634" s="22" t="s">
        <v>259</v>
      </c>
      <c r="V634" s="41" t="s">
        <v>276</v>
      </c>
      <c r="W634" s="22" t="s">
        <v>293</v>
      </c>
    </row>
    <row r="635" spans="1:23" x14ac:dyDescent="0.2">
      <c r="A635" t="s">
        <v>192</v>
      </c>
      <c r="E635" t="s">
        <v>75</v>
      </c>
      <c r="F635" t="s">
        <v>109</v>
      </c>
      <c r="O635">
        <v>-3.5</v>
      </c>
      <c r="P635">
        <v>49</v>
      </c>
      <c r="R635">
        <v>6.5</v>
      </c>
      <c r="T635" s="39">
        <v>43786</v>
      </c>
      <c r="U635" s="22" t="s">
        <v>259</v>
      </c>
      <c r="V635" s="41" t="s">
        <v>301</v>
      </c>
      <c r="W635" s="22" t="s">
        <v>295</v>
      </c>
    </row>
    <row r="636" spans="1:23" x14ac:dyDescent="0.2">
      <c r="A636" t="s">
        <v>192</v>
      </c>
      <c r="O636">
        <v>5</v>
      </c>
      <c r="P636">
        <v>40</v>
      </c>
      <c r="R636">
        <v>12.7</v>
      </c>
      <c r="T636" s="39">
        <v>43786</v>
      </c>
      <c r="U636" s="22" t="s">
        <v>259</v>
      </c>
      <c r="V636" s="41" t="s">
        <v>265</v>
      </c>
      <c r="W636" s="22" t="s">
        <v>304</v>
      </c>
    </row>
    <row r="637" spans="1:23" x14ac:dyDescent="0.2">
      <c r="A637" t="s">
        <v>192</v>
      </c>
      <c r="B637" t="s">
        <v>61</v>
      </c>
      <c r="C637">
        <v>10.8</v>
      </c>
      <c r="D637" t="s">
        <v>75</v>
      </c>
      <c r="E637" t="s">
        <v>75</v>
      </c>
      <c r="F637" t="s">
        <v>110</v>
      </c>
      <c r="O637" s="3">
        <v>13</v>
      </c>
      <c r="P637" s="3">
        <v>48</v>
      </c>
      <c r="Q637">
        <v>4.2</v>
      </c>
      <c r="R637" s="3">
        <v>9.6</v>
      </c>
      <c r="S637" s="1">
        <v>2.2999999999999998</v>
      </c>
      <c r="T637" s="39">
        <v>43786</v>
      </c>
      <c r="U637" s="28" t="s">
        <v>259</v>
      </c>
      <c r="V637" s="17" t="s">
        <v>272</v>
      </c>
      <c r="W637" s="28" t="s">
        <v>303</v>
      </c>
    </row>
    <row r="638" spans="1:23" x14ac:dyDescent="0.2">
      <c r="A638" t="s">
        <v>192</v>
      </c>
      <c r="O638">
        <v>-3</v>
      </c>
      <c r="P638">
        <v>41.5</v>
      </c>
      <c r="R638">
        <v>14.3</v>
      </c>
      <c r="T638" s="39">
        <v>43786</v>
      </c>
      <c r="U638" s="22" t="s">
        <v>259</v>
      </c>
      <c r="V638" t="s">
        <v>281</v>
      </c>
      <c r="W638" s="22" t="s">
        <v>309</v>
      </c>
    </row>
    <row r="639" spans="1:23" x14ac:dyDescent="0.2">
      <c r="A639" t="s">
        <v>192</v>
      </c>
      <c r="F639" t="s">
        <v>109</v>
      </c>
      <c r="O639">
        <v>-7.5</v>
      </c>
      <c r="P639">
        <v>46.5</v>
      </c>
      <c r="R639">
        <v>26.8</v>
      </c>
      <c r="T639" s="39">
        <v>43786</v>
      </c>
      <c r="U639" s="22" t="s">
        <v>259</v>
      </c>
      <c r="V639" t="s">
        <v>291</v>
      </c>
      <c r="W639" s="22" t="s">
        <v>299</v>
      </c>
    </row>
    <row r="640" spans="1:23" x14ac:dyDescent="0.2">
      <c r="A640" t="s">
        <v>192</v>
      </c>
      <c r="O640">
        <v>10</v>
      </c>
      <c r="P640">
        <v>40.5</v>
      </c>
      <c r="R640">
        <v>11.7</v>
      </c>
      <c r="T640" s="39">
        <v>43786</v>
      </c>
      <c r="U640" t="s">
        <v>259</v>
      </c>
      <c r="V640" t="s">
        <v>278</v>
      </c>
      <c r="W640" t="s">
        <v>312</v>
      </c>
    </row>
    <row r="641" spans="1:23" x14ac:dyDescent="0.2">
      <c r="A641" t="s">
        <v>192</v>
      </c>
      <c r="F641" t="s">
        <v>109</v>
      </c>
      <c r="O641">
        <v>7.5</v>
      </c>
      <c r="P641">
        <v>46.5</v>
      </c>
      <c r="R641">
        <v>19.899999999999999</v>
      </c>
      <c r="T641" s="39">
        <v>43786</v>
      </c>
      <c r="U641" s="22" t="s">
        <v>259</v>
      </c>
      <c r="V641" t="s">
        <v>299</v>
      </c>
      <c r="W641" s="22" t="s">
        <v>291</v>
      </c>
    </row>
    <row r="642" spans="1:23" x14ac:dyDescent="0.2">
      <c r="A642" t="s">
        <v>192</v>
      </c>
      <c r="O642">
        <v>4</v>
      </c>
      <c r="P642">
        <v>51</v>
      </c>
      <c r="R642">
        <v>6.7</v>
      </c>
      <c r="T642" s="39">
        <v>43786</v>
      </c>
      <c r="U642" s="22" t="s">
        <v>259</v>
      </c>
      <c r="V642" t="s">
        <v>311</v>
      </c>
      <c r="W642" s="22" t="s">
        <v>305</v>
      </c>
    </row>
    <row r="643" spans="1:23" x14ac:dyDescent="0.2">
      <c r="A643" t="s">
        <v>192</v>
      </c>
      <c r="B643" t="s">
        <v>96</v>
      </c>
      <c r="F643" t="s">
        <v>110</v>
      </c>
      <c r="I643" t="s">
        <v>75</v>
      </c>
      <c r="J643" t="s">
        <v>76</v>
      </c>
      <c r="K643" t="s">
        <v>76</v>
      </c>
      <c r="L643" t="s">
        <v>75</v>
      </c>
      <c r="M643" t="s">
        <v>75</v>
      </c>
      <c r="N643" t="s">
        <v>132</v>
      </c>
      <c r="O643">
        <v>-2.5</v>
      </c>
      <c r="P643">
        <v>41.5</v>
      </c>
      <c r="Q643">
        <v>5.8</v>
      </c>
      <c r="R643" s="3">
        <v>3.7</v>
      </c>
      <c r="S643" s="1">
        <v>0.6</v>
      </c>
      <c r="T643" s="39">
        <v>43786</v>
      </c>
      <c r="U643" s="22" t="s">
        <v>259</v>
      </c>
      <c r="V643" t="s">
        <v>289</v>
      </c>
      <c r="W643" s="22" t="s">
        <v>297</v>
      </c>
    </row>
    <row r="644" spans="1:23" x14ac:dyDescent="0.2">
      <c r="A644" t="s">
        <v>192</v>
      </c>
      <c r="F644" t="s">
        <v>110</v>
      </c>
      <c r="O644">
        <v>2.5</v>
      </c>
      <c r="P644">
        <v>41.5</v>
      </c>
      <c r="R644">
        <v>33.4</v>
      </c>
      <c r="T644" s="39">
        <v>43786</v>
      </c>
      <c r="U644" s="22" t="s">
        <v>259</v>
      </c>
      <c r="V644" t="s">
        <v>297</v>
      </c>
      <c r="W644" s="22" t="s">
        <v>289</v>
      </c>
    </row>
    <row r="645" spans="1:23" x14ac:dyDescent="0.2">
      <c r="A645" t="s">
        <v>192</v>
      </c>
      <c r="B645" t="s">
        <v>18</v>
      </c>
      <c r="C645">
        <v>10.8</v>
      </c>
      <c r="D645" t="s">
        <v>76</v>
      </c>
      <c r="E645" t="s">
        <v>76</v>
      </c>
      <c r="O645">
        <v>-5.5</v>
      </c>
      <c r="P645">
        <v>52.5</v>
      </c>
      <c r="Q645">
        <v>4.9000000000000004</v>
      </c>
      <c r="R645">
        <v>4.5999999999999996</v>
      </c>
      <c r="S645" s="1">
        <v>0.9</v>
      </c>
      <c r="T645" s="39">
        <v>43786</v>
      </c>
      <c r="U645" s="22" t="s">
        <v>259</v>
      </c>
      <c r="V645" t="s">
        <v>288</v>
      </c>
      <c r="W645" s="22" t="s">
        <v>287</v>
      </c>
    </row>
    <row r="646" spans="1:23" x14ac:dyDescent="0.2">
      <c r="A646" t="s">
        <v>192</v>
      </c>
      <c r="E646" t="s">
        <v>75</v>
      </c>
      <c r="F646" t="s">
        <v>110</v>
      </c>
      <c r="O646">
        <v>-13</v>
      </c>
      <c r="P646">
        <v>48</v>
      </c>
      <c r="R646">
        <v>11.6</v>
      </c>
      <c r="T646" s="39">
        <v>43786</v>
      </c>
      <c r="U646" s="22" t="s">
        <v>259</v>
      </c>
      <c r="V646" t="s">
        <v>303</v>
      </c>
      <c r="W646" s="22" t="s">
        <v>272</v>
      </c>
    </row>
    <row r="647" spans="1:23" x14ac:dyDescent="0.2">
      <c r="A647" t="s">
        <v>192</v>
      </c>
      <c r="O647">
        <v>5.5</v>
      </c>
      <c r="P647">
        <v>52.5</v>
      </c>
      <c r="R647">
        <v>9.6</v>
      </c>
      <c r="T647" s="39">
        <v>43786</v>
      </c>
      <c r="U647" s="22" t="s">
        <v>259</v>
      </c>
      <c r="V647" t="s">
        <v>287</v>
      </c>
      <c r="W647" s="22" t="s">
        <v>288</v>
      </c>
    </row>
    <row r="648" spans="1:23" x14ac:dyDescent="0.2">
      <c r="A648" t="s">
        <v>192</v>
      </c>
      <c r="O648">
        <v>-5</v>
      </c>
      <c r="P648">
        <v>40</v>
      </c>
      <c r="R648">
        <v>8</v>
      </c>
      <c r="T648" s="39">
        <v>43786</v>
      </c>
      <c r="U648" s="22" t="s">
        <v>259</v>
      </c>
      <c r="V648" t="s">
        <v>304</v>
      </c>
      <c r="W648" s="22" t="s">
        <v>265</v>
      </c>
    </row>
    <row r="649" spans="1:23" x14ac:dyDescent="0.2">
      <c r="A649" t="s">
        <v>192</v>
      </c>
      <c r="B649" t="s">
        <v>24</v>
      </c>
      <c r="F649" t="s">
        <v>110</v>
      </c>
      <c r="I649" t="s">
        <v>75</v>
      </c>
      <c r="J649" t="s">
        <v>76</v>
      </c>
      <c r="K649" t="s">
        <v>76</v>
      </c>
      <c r="L649" t="s">
        <v>75</v>
      </c>
      <c r="M649" t="s">
        <v>75</v>
      </c>
      <c r="N649" t="s">
        <v>132</v>
      </c>
      <c r="O649">
        <v>7</v>
      </c>
      <c r="P649">
        <v>41.5</v>
      </c>
      <c r="Q649">
        <v>4.7</v>
      </c>
      <c r="R649">
        <v>23.5</v>
      </c>
      <c r="S649" s="1">
        <v>5</v>
      </c>
      <c r="T649" s="39">
        <v>43786</v>
      </c>
      <c r="U649" s="22" t="s">
        <v>259</v>
      </c>
      <c r="V649" t="s">
        <v>293</v>
      </c>
      <c r="W649" s="22" t="s">
        <v>276</v>
      </c>
    </row>
    <row r="650" spans="1:23" x14ac:dyDescent="0.2">
      <c r="A650" t="s">
        <v>192</v>
      </c>
      <c r="B650" t="s">
        <v>44</v>
      </c>
      <c r="I650" t="s">
        <v>75</v>
      </c>
      <c r="J650" t="s">
        <v>76</v>
      </c>
      <c r="K650" t="s">
        <v>76</v>
      </c>
      <c r="L650" t="s">
        <v>76</v>
      </c>
      <c r="M650" t="s">
        <v>76</v>
      </c>
      <c r="N650" t="s">
        <v>132</v>
      </c>
      <c r="O650">
        <v>-10</v>
      </c>
      <c r="P650">
        <v>40.5</v>
      </c>
      <c r="Q650">
        <v>6.9</v>
      </c>
      <c r="R650">
        <v>26.1</v>
      </c>
      <c r="S650" s="1">
        <v>3.8</v>
      </c>
      <c r="T650" s="39">
        <v>43786</v>
      </c>
      <c r="U650" s="22" t="s">
        <v>259</v>
      </c>
      <c r="V650" s="18" t="s">
        <v>312</v>
      </c>
      <c r="W650" s="22" t="s">
        <v>278</v>
      </c>
    </row>
    <row r="651" spans="1:23" x14ac:dyDescent="0.2">
      <c r="A651" t="s">
        <v>192</v>
      </c>
      <c r="O651">
        <v>-4.5</v>
      </c>
      <c r="P651">
        <v>45</v>
      </c>
      <c r="R651">
        <v>3.2</v>
      </c>
      <c r="T651" s="39">
        <v>43786</v>
      </c>
      <c r="U651" s="22" t="s">
        <v>259</v>
      </c>
      <c r="V651" s="18" t="s">
        <v>302</v>
      </c>
      <c r="W651" s="22" t="s">
        <v>294</v>
      </c>
    </row>
    <row r="652" spans="1:23" x14ac:dyDescent="0.2">
      <c r="A652" t="s">
        <v>192</v>
      </c>
      <c r="F652" t="s">
        <v>109</v>
      </c>
      <c r="O652">
        <v>-5</v>
      </c>
      <c r="P652">
        <v>50.5</v>
      </c>
      <c r="R652">
        <v>9.4</v>
      </c>
      <c r="T652" s="39">
        <v>43786</v>
      </c>
      <c r="U652" s="22" t="s">
        <v>259</v>
      </c>
      <c r="V652" s="18" t="s">
        <v>307</v>
      </c>
      <c r="W652" s="22" t="s">
        <v>284</v>
      </c>
    </row>
    <row r="653" spans="1:23" x14ac:dyDescent="0.2">
      <c r="A653" t="s">
        <v>192</v>
      </c>
      <c r="O653">
        <v>1</v>
      </c>
      <c r="P653">
        <v>37.5</v>
      </c>
      <c r="R653">
        <v>7.6</v>
      </c>
      <c r="T653" s="39">
        <v>43786</v>
      </c>
      <c r="U653" s="22" t="s">
        <v>259</v>
      </c>
      <c r="V653" s="18" t="s">
        <v>298</v>
      </c>
      <c r="W653" s="22" t="s">
        <v>306</v>
      </c>
    </row>
    <row r="654" spans="1:23" x14ac:dyDescent="0.2">
      <c r="A654" t="s">
        <v>192</v>
      </c>
      <c r="B654" t="s">
        <v>10</v>
      </c>
      <c r="I654" t="s">
        <v>75</v>
      </c>
      <c r="J654" t="s">
        <v>76</v>
      </c>
      <c r="K654" t="s">
        <v>75</v>
      </c>
      <c r="L654" t="s">
        <v>76</v>
      </c>
      <c r="M654" t="s">
        <v>76</v>
      </c>
      <c r="N654" t="s">
        <v>132</v>
      </c>
      <c r="O654">
        <v>4.5</v>
      </c>
      <c r="P654">
        <v>45</v>
      </c>
      <c r="Q654">
        <v>4</v>
      </c>
      <c r="R654">
        <v>8</v>
      </c>
      <c r="S654" s="1">
        <v>2</v>
      </c>
      <c r="T654" s="39">
        <v>43786</v>
      </c>
      <c r="U654" s="22" t="s">
        <v>259</v>
      </c>
      <c r="V654" s="18" t="s">
        <v>294</v>
      </c>
      <c r="W654" s="22" t="s">
        <v>302</v>
      </c>
    </row>
    <row r="655" spans="1:23" x14ac:dyDescent="0.2">
      <c r="A655" t="s">
        <v>192</v>
      </c>
      <c r="O655">
        <v>3</v>
      </c>
      <c r="P655">
        <v>41.5</v>
      </c>
      <c r="R655">
        <v>7.9</v>
      </c>
      <c r="T655" s="39">
        <v>43786</v>
      </c>
      <c r="U655" s="22" t="s">
        <v>259</v>
      </c>
      <c r="V655" s="18" t="s">
        <v>309</v>
      </c>
      <c r="W655" s="22" t="s">
        <v>281</v>
      </c>
    </row>
    <row r="656" spans="1:23" x14ac:dyDescent="0.2">
      <c r="A656" t="s">
        <v>192</v>
      </c>
      <c r="B656" t="s">
        <v>127</v>
      </c>
      <c r="I656" t="s">
        <v>75</v>
      </c>
      <c r="J656" t="s">
        <v>75</v>
      </c>
      <c r="K656" t="s">
        <v>76</v>
      </c>
      <c r="L656" t="s">
        <v>75</v>
      </c>
      <c r="M656" t="s">
        <v>75</v>
      </c>
      <c r="N656" t="s">
        <v>132</v>
      </c>
      <c r="O656">
        <v>-10</v>
      </c>
      <c r="P656">
        <v>44</v>
      </c>
      <c r="Q656">
        <v>4</v>
      </c>
      <c r="R656">
        <v>24.4</v>
      </c>
      <c r="S656" s="1">
        <v>6.1</v>
      </c>
      <c r="T656" s="39">
        <v>43786</v>
      </c>
      <c r="U656" s="22" t="s">
        <v>259</v>
      </c>
      <c r="V656" s="38" t="s">
        <v>256</v>
      </c>
      <c r="W656" s="22" t="s">
        <v>285</v>
      </c>
    </row>
    <row r="657" spans="1:23" x14ac:dyDescent="0.2">
      <c r="A657" t="s">
        <v>192</v>
      </c>
      <c r="F657" t="s">
        <v>109</v>
      </c>
      <c r="O657">
        <v>5</v>
      </c>
      <c r="P657">
        <v>50.5</v>
      </c>
      <c r="R657">
        <v>13.7</v>
      </c>
      <c r="T657" s="39">
        <v>43786</v>
      </c>
      <c r="U657" s="22" t="s">
        <v>259</v>
      </c>
      <c r="V657" s="18" t="s">
        <v>284</v>
      </c>
      <c r="W657" s="22" t="s">
        <v>307</v>
      </c>
    </row>
    <row r="658" spans="1:23" x14ac:dyDescent="0.2">
      <c r="A658" t="s">
        <v>192</v>
      </c>
      <c r="B658" s="1" t="s">
        <v>104</v>
      </c>
      <c r="D658" t="s">
        <v>75</v>
      </c>
      <c r="I658" t="s">
        <v>76</v>
      </c>
      <c r="J658" t="s">
        <v>75</v>
      </c>
      <c r="K658" t="s">
        <v>76</v>
      </c>
      <c r="L658" t="s">
        <v>76</v>
      </c>
      <c r="M658" t="s">
        <v>76</v>
      </c>
      <c r="N658" t="s">
        <v>132</v>
      </c>
      <c r="O658">
        <v>-1</v>
      </c>
      <c r="P658">
        <v>37.5</v>
      </c>
      <c r="Q658">
        <v>3</v>
      </c>
      <c r="R658">
        <v>10.3</v>
      </c>
      <c r="S658" s="1">
        <v>3.4</v>
      </c>
      <c r="T658" s="39">
        <v>43786</v>
      </c>
      <c r="U658" s="22" t="s">
        <v>259</v>
      </c>
      <c r="V658" s="18" t="s">
        <v>306</v>
      </c>
      <c r="W658" s="22" t="s">
        <v>298</v>
      </c>
    </row>
    <row r="659" spans="1:23" x14ac:dyDescent="0.2">
      <c r="A659" t="s">
        <v>192</v>
      </c>
      <c r="B659" t="s">
        <v>93</v>
      </c>
      <c r="D659" t="s">
        <v>75</v>
      </c>
      <c r="E659" t="s">
        <v>75</v>
      </c>
      <c r="F659" t="s">
        <v>109</v>
      </c>
      <c r="I659" t="s">
        <v>76</v>
      </c>
      <c r="J659" t="s">
        <v>75</v>
      </c>
      <c r="K659" t="s">
        <v>76</v>
      </c>
      <c r="L659" t="s">
        <v>75</v>
      </c>
      <c r="M659" t="s">
        <v>75</v>
      </c>
      <c r="N659" t="s">
        <v>132</v>
      </c>
      <c r="O659">
        <v>-3.5</v>
      </c>
      <c r="P659">
        <v>51.5</v>
      </c>
      <c r="Q659">
        <v>6.5</v>
      </c>
      <c r="R659">
        <v>22</v>
      </c>
      <c r="S659" s="1">
        <f>R659/Q659</f>
        <v>3.3846153846153846</v>
      </c>
      <c r="T659" s="39">
        <v>43793</v>
      </c>
      <c r="U659" s="22" t="s">
        <v>242</v>
      </c>
      <c r="V659" t="s">
        <v>295</v>
      </c>
      <c r="W659" s="22" t="s">
        <v>284</v>
      </c>
    </row>
    <row r="660" spans="1:23" x14ac:dyDescent="0.2">
      <c r="A660" t="s">
        <v>192</v>
      </c>
      <c r="O660">
        <v>-3.5</v>
      </c>
      <c r="P660">
        <v>47</v>
      </c>
      <c r="R660">
        <v>15.4</v>
      </c>
      <c r="T660" s="39">
        <v>43793</v>
      </c>
      <c r="U660" s="22" t="s">
        <v>242</v>
      </c>
      <c r="V660" s="41" t="s">
        <v>305</v>
      </c>
      <c r="W660" s="22" t="s">
        <v>304</v>
      </c>
    </row>
    <row r="661" spans="1:23" x14ac:dyDescent="0.2">
      <c r="A661" t="s">
        <v>192</v>
      </c>
      <c r="F661" t="s">
        <v>110</v>
      </c>
      <c r="O661">
        <v>-3.5</v>
      </c>
      <c r="P661">
        <v>37</v>
      </c>
      <c r="R661">
        <v>19.600000000000001</v>
      </c>
      <c r="T661" s="39">
        <v>43793</v>
      </c>
      <c r="U661" s="22" t="s">
        <v>242</v>
      </c>
      <c r="V661" t="s">
        <v>276</v>
      </c>
      <c r="W661" s="22" t="s">
        <v>278</v>
      </c>
    </row>
    <row r="662" spans="1:23" x14ac:dyDescent="0.2">
      <c r="A662" t="s">
        <v>192</v>
      </c>
      <c r="O662">
        <v>10</v>
      </c>
      <c r="P662">
        <v>46</v>
      </c>
      <c r="R662">
        <v>5.9</v>
      </c>
      <c r="T662" s="39">
        <v>43793</v>
      </c>
      <c r="U662" s="22" t="s">
        <v>242</v>
      </c>
      <c r="V662" t="s">
        <v>301</v>
      </c>
      <c r="W662" s="22" t="s">
        <v>307</v>
      </c>
    </row>
    <row r="663" spans="1:23" x14ac:dyDescent="0.2">
      <c r="A663" t="s">
        <v>192</v>
      </c>
      <c r="D663" t="s">
        <v>75</v>
      </c>
      <c r="O663">
        <v>-6</v>
      </c>
      <c r="P663">
        <v>41</v>
      </c>
      <c r="R663">
        <v>13.7</v>
      </c>
      <c r="T663" s="39">
        <v>43793</v>
      </c>
      <c r="U663" s="22" t="s">
        <v>242</v>
      </c>
      <c r="V663" t="s">
        <v>265</v>
      </c>
      <c r="W663" s="22" t="s">
        <v>296</v>
      </c>
    </row>
    <row r="664" spans="1:23" x14ac:dyDescent="0.2">
      <c r="A664" t="s">
        <v>192</v>
      </c>
      <c r="B664" t="s">
        <v>61</v>
      </c>
      <c r="C664">
        <v>9.1</v>
      </c>
      <c r="D664" t="s">
        <v>76</v>
      </c>
      <c r="E664" t="s">
        <v>76</v>
      </c>
      <c r="F664" s="3"/>
      <c r="O664" s="3">
        <v>5.5</v>
      </c>
      <c r="P664" s="3">
        <v>37.5</v>
      </c>
      <c r="Q664">
        <v>4.0999999999999996</v>
      </c>
      <c r="R664" s="3">
        <v>2</v>
      </c>
      <c r="S664" s="1">
        <v>0.5</v>
      </c>
      <c r="T664" s="39">
        <v>43793</v>
      </c>
      <c r="U664" s="28" t="s">
        <v>242</v>
      </c>
      <c r="V664" s="17" t="s">
        <v>272</v>
      </c>
      <c r="W664" s="28" t="s">
        <v>309</v>
      </c>
    </row>
    <row r="665" spans="1:23" x14ac:dyDescent="0.2">
      <c r="A665" t="s">
        <v>192</v>
      </c>
      <c r="D665" t="s">
        <v>75</v>
      </c>
      <c r="F665" s="20" t="s">
        <v>109</v>
      </c>
      <c r="O665">
        <v>-11</v>
      </c>
      <c r="P665">
        <v>45.5</v>
      </c>
      <c r="R665">
        <v>39.799999999999997</v>
      </c>
      <c r="T665" s="39">
        <v>43793</v>
      </c>
      <c r="U665" s="22" t="s">
        <v>242</v>
      </c>
      <c r="V665" t="s">
        <v>281</v>
      </c>
      <c r="W665" s="22" t="s">
        <v>293</v>
      </c>
    </row>
    <row r="666" spans="1:23" x14ac:dyDescent="0.2">
      <c r="A666" t="s">
        <v>192</v>
      </c>
      <c r="F666" t="s">
        <v>109</v>
      </c>
      <c r="O666">
        <v>5.5</v>
      </c>
      <c r="P666">
        <v>44.5</v>
      </c>
      <c r="R666">
        <v>9.5</v>
      </c>
      <c r="T666" s="39">
        <v>43793</v>
      </c>
      <c r="U666" s="22" t="s">
        <v>242</v>
      </c>
      <c r="V666" t="s">
        <v>291</v>
      </c>
      <c r="W666" s="22" t="s">
        <v>302</v>
      </c>
    </row>
    <row r="667" spans="1:23" x14ac:dyDescent="0.2">
      <c r="A667" t="s">
        <v>192</v>
      </c>
      <c r="F667" t="s">
        <v>110</v>
      </c>
      <c r="O667">
        <v>3.5</v>
      </c>
      <c r="P667">
        <v>37</v>
      </c>
      <c r="R667">
        <v>1.3</v>
      </c>
      <c r="T667" s="39">
        <v>43793</v>
      </c>
      <c r="U667" t="s">
        <v>242</v>
      </c>
      <c r="V667" t="s">
        <v>278</v>
      </c>
      <c r="W667" t="s">
        <v>276</v>
      </c>
    </row>
    <row r="668" spans="1:23" x14ac:dyDescent="0.2">
      <c r="A668" t="s">
        <v>192</v>
      </c>
      <c r="F668" t="s">
        <v>110</v>
      </c>
      <c r="O668">
        <v>-4</v>
      </c>
      <c r="P668">
        <v>39</v>
      </c>
      <c r="R668">
        <v>9.6</v>
      </c>
      <c r="T668" s="39">
        <v>43793</v>
      </c>
      <c r="U668" s="22" t="s">
        <v>242</v>
      </c>
      <c r="V668" t="s">
        <v>299</v>
      </c>
      <c r="W668" s="22" t="s">
        <v>306</v>
      </c>
    </row>
    <row r="669" spans="1:23" x14ac:dyDescent="0.2">
      <c r="A669" t="s">
        <v>192</v>
      </c>
      <c r="O669">
        <v>3</v>
      </c>
      <c r="P669">
        <v>48</v>
      </c>
      <c r="R669">
        <v>3.9</v>
      </c>
      <c r="T669" s="39">
        <v>43793</v>
      </c>
      <c r="U669" s="22" t="s">
        <v>242</v>
      </c>
      <c r="V669" t="s">
        <v>300</v>
      </c>
      <c r="W669" s="22" t="s">
        <v>256</v>
      </c>
    </row>
    <row r="670" spans="1:23" x14ac:dyDescent="0.2">
      <c r="A670" t="s">
        <v>192</v>
      </c>
      <c r="O670">
        <v>3.5</v>
      </c>
      <c r="P670">
        <v>46</v>
      </c>
      <c r="R670" s="14">
        <v>24</v>
      </c>
      <c r="T670" s="39">
        <v>43793</v>
      </c>
      <c r="U670" s="22" t="s">
        <v>242</v>
      </c>
      <c r="V670" t="s">
        <v>311</v>
      </c>
      <c r="W670" s="22" t="s">
        <v>289</v>
      </c>
    </row>
    <row r="671" spans="1:23" x14ac:dyDescent="0.2">
      <c r="A671" t="s">
        <v>192</v>
      </c>
      <c r="O671">
        <v>-3.5</v>
      </c>
      <c r="P671">
        <v>46</v>
      </c>
      <c r="R671">
        <v>2.2000000000000002</v>
      </c>
      <c r="T671" s="39">
        <v>43793</v>
      </c>
      <c r="U671" s="22" t="s">
        <v>242</v>
      </c>
      <c r="V671" t="s">
        <v>289</v>
      </c>
      <c r="W671" s="22" t="s">
        <v>311</v>
      </c>
    </row>
    <row r="672" spans="1:23" x14ac:dyDescent="0.2">
      <c r="A672" t="s">
        <v>192</v>
      </c>
      <c r="E672" t="s">
        <v>75</v>
      </c>
      <c r="F672" t="s">
        <v>110</v>
      </c>
      <c r="O672">
        <v>4.5</v>
      </c>
      <c r="P672">
        <v>42</v>
      </c>
      <c r="R672">
        <v>14.9</v>
      </c>
      <c r="T672" s="39">
        <v>43793</v>
      </c>
      <c r="U672" s="22" t="s">
        <v>242</v>
      </c>
      <c r="V672" t="s">
        <v>297</v>
      </c>
      <c r="W672" s="22" t="s">
        <v>310</v>
      </c>
    </row>
    <row r="673" spans="1:23" x14ac:dyDescent="0.2">
      <c r="A673" t="s">
        <v>192</v>
      </c>
      <c r="E673" t="s">
        <v>75</v>
      </c>
      <c r="O673">
        <v>-3.5</v>
      </c>
      <c r="P673">
        <v>45</v>
      </c>
      <c r="R673">
        <v>6.1</v>
      </c>
      <c r="T673" s="39">
        <v>43793</v>
      </c>
      <c r="U673" s="22" t="s">
        <v>242</v>
      </c>
      <c r="V673" t="s">
        <v>303</v>
      </c>
      <c r="W673" s="22" t="s">
        <v>298</v>
      </c>
    </row>
    <row r="674" spans="1:23" x14ac:dyDescent="0.2">
      <c r="A674" t="s">
        <v>192</v>
      </c>
      <c r="O674">
        <v>3.5</v>
      </c>
      <c r="P674">
        <v>47</v>
      </c>
      <c r="R674">
        <v>15.7</v>
      </c>
      <c r="T674" s="39">
        <v>43793</v>
      </c>
      <c r="U674" s="22" t="s">
        <v>242</v>
      </c>
      <c r="V674" t="s">
        <v>304</v>
      </c>
      <c r="W674" s="22" t="s">
        <v>305</v>
      </c>
    </row>
    <row r="675" spans="1:23" x14ac:dyDescent="0.2">
      <c r="A675" t="s">
        <v>192</v>
      </c>
      <c r="B675" t="s">
        <v>24</v>
      </c>
      <c r="F675" t="s">
        <v>109</v>
      </c>
      <c r="I675" t="s">
        <v>75</v>
      </c>
      <c r="J675" t="s">
        <v>76</v>
      </c>
      <c r="K675" t="s">
        <v>76</v>
      </c>
      <c r="L675" t="s">
        <v>76</v>
      </c>
      <c r="M675" t="s">
        <v>75</v>
      </c>
      <c r="N675" t="s">
        <v>134</v>
      </c>
      <c r="O675">
        <v>11</v>
      </c>
      <c r="P675">
        <v>45.5</v>
      </c>
      <c r="Q675">
        <v>5.2</v>
      </c>
      <c r="R675">
        <v>15.1</v>
      </c>
      <c r="S675" s="1">
        <v>2.9</v>
      </c>
      <c r="T675" s="39">
        <v>43793</v>
      </c>
      <c r="U675" s="22" t="s">
        <v>242</v>
      </c>
      <c r="V675" t="s">
        <v>293</v>
      </c>
      <c r="W675" s="22" t="s">
        <v>281</v>
      </c>
    </row>
    <row r="676" spans="1:23" x14ac:dyDescent="0.2">
      <c r="A676" t="s">
        <v>192</v>
      </c>
      <c r="B676" t="s">
        <v>144</v>
      </c>
      <c r="I676" t="s">
        <v>76</v>
      </c>
      <c r="J676" t="s">
        <v>75</v>
      </c>
      <c r="K676" t="s">
        <v>75</v>
      </c>
      <c r="L676" t="s">
        <v>76</v>
      </c>
      <c r="M676" t="s">
        <v>76</v>
      </c>
      <c r="N676" t="s">
        <v>132</v>
      </c>
      <c r="O676">
        <v>-5.5</v>
      </c>
      <c r="P676">
        <v>44.5</v>
      </c>
      <c r="Q676">
        <v>3</v>
      </c>
      <c r="R676">
        <v>11.4</v>
      </c>
      <c r="S676" s="1">
        <v>3.8</v>
      </c>
      <c r="T676" s="39">
        <v>43793</v>
      </c>
      <c r="U676" s="22" t="s">
        <v>242</v>
      </c>
      <c r="V676" t="s">
        <v>302</v>
      </c>
      <c r="W676" s="22" t="s">
        <v>291</v>
      </c>
    </row>
    <row r="677" spans="1:23" x14ac:dyDescent="0.2">
      <c r="A677" t="s">
        <v>192</v>
      </c>
      <c r="O677">
        <v>-10</v>
      </c>
      <c r="P677">
        <v>46</v>
      </c>
      <c r="R677">
        <v>8.3000000000000007</v>
      </c>
      <c r="T677" s="39">
        <v>43793</v>
      </c>
      <c r="U677" s="22" t="s">
        <v>242</v>
      </c>
      <c r="V677" t="s">
        <v>307</v>
      </c>
      <c r="W677" s="22" t="s">
        <v>301</v>
      </c>
    </row>
    <row r="678" spans="1:23" x14ac:dyDescent="0.2">
      <c r="A678" t="s">
        <v>192</v>
      </c>
      <c r="B678" t="s">
        <v>139</v>
      </c>
      <c r="I678" t="s">
        <v>76</v>
      </c>
      <c r="J678" t="s">
        <v>75</v>
      </c>
      <c r="K678" t="s">
        <v>76</v>
      </c>
      <c r="L678" t="s">
        <v>76</v>
      </c>
      <c r="M678" t="s">
        <v>75</v>
      </c>
      <c r="N678" t="s">
        <v>134</v>
      </c>
      <c r="O678">
        <v>6</v>
      </c>
      <c r="P678">
        <v>41</v>
      </c>
      <c r="Q678">
        <v>5.7</v>
      </c>
      <c r="R678">
        <v>12.3</v>
      </c>
      <c r="S678" s="1">
        <v>2.2000000000000002</v>
      </c>
      <c r="T678" s="39">
        <v>43793</v>
      </c>
      <c r="U678" s="22" t="s">
        <v>242</v>
      </c>
      <c r="V678" t="s">
        <v>296</v>
      </c>
      <c r="W678" s="22" t="s">
        <v>265</v>
      </c>
    </row>
    <row r="679" spans="1:23" x14ac:dyDescent="0.2">
      <c r="A679" t="s">
        <v>192</v>
      </c>
      <c r="E679" t="s">
        <v>75</v>
      </c>
      <c r="O679">
        <v>3.5</v>
      </c>
      <c r="P679">
        <v>45</v>
      </c>
      <c r="R679">
        <v>18.600000000000001</v>
      </c>
      <c r="T679" s="39">
        <v>43793</v>
      </c>
      <c r="U679" s="22" t="s">
        <v>242</v>
      </c>
      <c r="V679" t="s">
        <v>298</v>
      </c>
      <c r="W679" s="22" t="s">
        <v>303</v>
      </c>
    </row>
    <row r="680" spans="1:23" x14ac:dyDescent="0.2">
      <c r="A680" t="s">
        <v>192</v>
      </c>
      <c r="O680">
        <v>1</v>
      </c>
      <c r="P680">
        <v>45.5</v>
      </c>
      <c r="T680" s="39">
        <v>43793</v>
      </c>
      <c r="U680" s="22" t="s">
        <v>242</v>
      </c>
      <c r="V680" t="s">
        <v>294</v>
      </c>
      <c r="W680" s="22" t="s">
        <v>308</v>
      </c>
    </row>
    <row r="681" spans="1:23" x14ac:dyDescent="0.2">
      <c r="A681" t="s">
        <v>192</v>
      </c>
      <c r="B681" s="1" t="s">
        <v>70</v>
      </c>
      <c r="I681" t="s">
        <v>75</v>
      </c>
      <c r="J681" t="s">
        <v>76</v>
      </c>
      <c r="K681" t="s">
        <v>76</v>
      </c>
      <c r="L681" t="s">
        <v>75</v>
      </c>
      <c r="M681" t="s">
        <v>75</v>
      </c>
      <c r="N681" t="s">
        <v>134</v>
      </c>
      <c r="O681" s="8">
        <v>-5.5</v>
      </c>
      <c r="P681" s="8">
        <v>37.5</v>
      </c>
      <c r="Q681">
        <v>5</v>
      </c>
      <c r="R681">
        <v>18.8</v>
      </c>
      <c r="S681" s="1">
        <v>3.8</v>
      </c>
      <c r="T681" s="39">
        <v>43793</v>
      </c>
      <c r="U681" s="22" t="s">
        <v>242</v>
      </c>
      <c r="V681" t="s">
        <v>309</v>
      </c>
      <c r="W681" s="22" t="s">
        <v>272</v>
      </c>
    </row>
    <row r="682" spans="1:23" x14ac:dyDescent="0.2">
      <c r="A682" t="s">
        <v>192</v>
      </c>
      <c r="B682" s="1" t="s">
        <v>105</v>
      </c>
      <c r="I682" t="s">
        <v>75</v>
      </c>
      <c r="J682" t="s">
        <v>76</v>
      </c>
      <c r="K682" t="s">
        <v>76</v>
      </c>
      <c r="L682" t="s">
        <v>75</v>
      </c>
      <c r="M682" t="s">
        <v>75</v>
      </c>
      <c r="N682" t="s">
        <v>134</v>
      </c>
      <c r="O682" s="8">
        <v>-5.5</v>
      </c>
      <c r="P682" s="8">
        <v>37.5</v>
      </c>
      <c r="Q682">
        <v>5.0999999999999996</v>
      </c>
      <c r="R682">
        <v>5.9</v>
      </c>
      <c r="S682" s="1">
        <v>1.2</v>
      </c>
      <c r="T682" s="39">
        <v>43793</v>
      </c>
      <c r="U682" s="22" t="s">
        <v>242</v>
      </c>
      <c r="V682" t="s">
        <v>309</v>
      </c>
      <c r="W682" s="22" t="s">
        <v>272</v>
      </c>
    </row>
    <row r="683" spans="1:23" x14ac:dyDescent="0.2">
      <c r="A683" t="s">
        <v>192</v>
      </c>
      <c r="O683">
        <v>-3</v>
      </c>
      <c r="P683">
        <v>48</v>
      </c>
      <c r="R683">
        <v>13</v>
      </c>
      <c r="T683" s="39">
        <v>43793</v>
      </c>
      <c r="U683" s="22" t="s">
        <v>242</v>
      </c>
      <c r="V683" s="22" t="s">
        <v>256</v>
      </c>
      <c r="W683" s="22" t="s">
        <v>300</v>
      </c>
    </row>
    <row r="684" spans="1:23" x14ac:dyDescent="0.2">
      <c r="A684" t="s">
        <v>192</v>
      </c>
      <c r="O684">
        <v>-1</v>
      </c>
      <c r="P684">
        <v>45.5</v>
      </c>
      <c r="R684">
        <v>6.5</v>
      </c>
      <c r="T684" s="39">
        <v>43793</v>
      </c>
      <c r="U684" s="22" t="s">
        <v>242</v>
      </c>
      <c r="V684" t="s">
        <v>308</v>
      </c>
      <c r="W684" s="22" t="s">
        <v>294</v>
      </c>
    </row>
    <row r="685" spans="1:23" x14ac:dyDescent="0.2">
      <c r="A685" t="s">
        <v>192</v>
      </c>
      <c r="E685" t="s">
        <v>75</v>
      </c>
      <c r="F685" s="20" t="s">
        <v>109</v>
      </c>
      <c r="O685">
        <v>3.5</v>
      </c>
      <c r="P685">
        <v>51.5</v>
      </c>
      <c r="R685">
        <v>40.4</v>
      </c>
      <c r="T685" s="39">
        <v>43793</v>
      </c>
      <c r="U685" s="22" t="s">
        <v>242</v>
      </c>
      <c r="V685" t="s">
        <v>284</v>
      </c>
      <c r="W685" s="22" t="s">
        <v>295</v>
      </c>
    </row>
    <row r="686" spans="1:23" x14ac:dyDescent="0.2">
      <c r="A686" t="s">
        <v>192</v>
      </c>
      <c r="B686" t="s">
        <v>64</v>
      </c>
      <c r="C686">
        <v>9.4</v>
      </c>
      <c r="D686" t="s">
        <v>75</v>
      </c>
      <c r="E686" t="s">
        <v>75</v>
      </c>
      <c r="F686" t="s">
        <v>110</v>
      </c>
      <c r="O686">
        <v>-4.5</v>
      </c>
      <c r="P686">
        <v>42</v>
      </c>
      <c r="Q686">
        <v>4.7</v>
      </c>
      <c r="R686">
        <v>4.9000000000000004</v>
      </c>
      <c r="S686" s="1">
        <v>5.6</v>
      </c>
      <c r="T686" s="39">
        <v>43793</v>
      </c>
      <c r="U686" s="22" t="s">
        <v>242</v>
      </c>
      <c r="V686" t="s">
        <v>310</v>
      </c>
      <c r="W686" s="22" t="s">
        <v>297</v>
      </c>
    </row>
    <row r="687" spans="1:23" x14ac:dyDescent="0.2">
      <c r="A687" t="s">
        <v>192</v>
      </c>
      <c r="B687" s="1" t="s">
        <v>104</v>
      </c>
      <c r="I687" t="s">
        <v>76</v>
      </c>
      <c r="J687" t="s">
        <v>75</v>
      </c>
      <c r="K687" t="s">
        <v>76</v>
      </c>
      <c r="L687" t="s">
        <v>76</v>
      </c>
      <c r="M687" t="s">
        <v>75</v>
      </c>
      <c r="N687" t="s">
        <v>132</v>
      </c>
      <c r="O687">
        <v>4</v>
      </c>
      <c r="P687">
        <v>39</v>
      </c>
      <c r="Q687">
        <v>3.3</v>
      </c>
      <c r="R687">
        <v>7.3</v>
      </c>
      <c r="S687" s="1">
        <v>2.2000000000000002</v>
      </c>
      <c r="T687" s="39">
        <v>43793</v>
      </c>
      <c r="U687" s="22" t="s">
        <v>242</v>
      </c>
      <c r="V687" t="s">
        <v>306</v>
      </c>
      <c r="W687" s="22" t="s">
        <v>299</v>
      </c>
    </row>
    <row r="688" spans="1:23" x14ac:dyDescent="0.2">
      <c r="A688" t="s">
        <v>192</v>
      </c>
      <c r="F688" t="s">
        <v>109</v>
      </c>
      <c r="O688">
        <v>2.5</v>
      </c>
      <c r="P688">
        <v>47</v>
      </c>
      <c r="R688">
        <v>5.3</v>
      </c>
      <c r="T688" s="39">
        <v>43800</v>
      </c>
      <c r="U688" s="22" t="s">
        <v>241</v>
      </c>
      <c r="V688" t="s">
        <v>285</v>
      </c>
      <c r="W688" s="22" t="s">
        <v>304</v>
      </c>
    </row>
    <row r="689" spans="1:23" x14ac:dyDescent="0.2">
      <c r="A689" t="s">
        <v>192</v>
      </c>
      <c r="B689" t="s">
        <v>93</v>
      </c>
      <c r="I689" t="s">
        <v>75</v>
      </c>
      <c r="J689" t="s">
        <v>75</v>
      </c>
      <c r="K689" t="s">
        <v>76</v>
      </c>
      <c r="L689" t="s">
        <v>75</v>
      </c>
      <c r="M689" t="s">
        <v>75</v>
      </c>
      <c r="N689" t="s">
        <v>132</v>
      </c>
      <c r="O689">
        <v>7</v>
      </c>
      <c r="P689">
        <v>48</v>
      </c>
      <c r="Q689">
        <v>6.6</v>
      </c>
      <c r="R689">
        <v>17.100000000000001</v>
      </c>
      <c r="S689" s="1">
        <v>2.6</v>
      </c>
      <c r="T689" s="39">
        <v>43800</v>
      </c>
      <c r="U689" s="22" t="s">
        <v>241</v>
      </c>
      <c r="V689" t="s">
        <v>295</v>
      </c>
      <c r="W689" s="22" t="s">
        <v>307</v>
      </c>
    </row>
    <row r="690" spans="1:23" x14ac:dyDescent="0.2">
      <c r="A690" t="s">
        <v>192</v>
      </c>
      <c r="B690" t="s">
        <v>137</v>
      </c>
      <c r="I690" t="s">
        <v>75</v>
      </c>
      <c r="J690" t="s">
        <v>75</v>
      </c>
      <c r="K690" t="s">
        <v>76</v>
      </c>
      <c r="L690" t="s">
        <v>75</v>
      </c>
      <c r="M690" t="s">
        <v>75</v>
      </c>
      <c r="N690" t="s">
        <v>132</v>
      </c>
      <c r="O690">
        <v>7</v>
      </c>
      <c r="P690">
        <v>48</v>
      </c>
      <c r="Q690">
        <v>4.5</v>
      </c>
      <c r="R690">
        <v>16.2</v>
      </c>
      <c r="S690" s="1">
        <v>3.6</v>
      </c>
      <c r="T690" s="39">
        <v>43800</v>
      </c>
      <c r="U690" s="22" t="s">
        <v>241</v>
      </c>
      <c r="V690" t="s">
        <v>295</v>
      </c>
      <c r="W690" s="22" t="s">
        <v>307</v>
      </c>
    </row>
    <row r="691" spans="1:23" x14ac:dyDescent="0.2">
      <c r="A691" t="s">
        <v>192</v>
      </c>
      <c r="F691" t="s">
        <v>110</v>
      </c>
      <c r="O691">
        <v>-5.5</v>
      </c>
      <c r="P691">
        <v>45</v>
      </c>
      <c r="R691">
        <v>2.2000000000000002</v>
      </c>
      <c r="T691" s="39">
        <v>43800</v>
      </c>
      <c r="U691" s="22" t="s">
        <v>241</v>
      </c>
      <c r="V691" s="41" t="s">
        <v>305</v>
      </c>
      <c r="W691" s="22" t="s">
        <v>256</v>
      </c>
    </row>
    <row r="692" spans="1:23" x14ac:dyDescent="0.2">
      <c r="A692" t="s">
        <v>192</v>
      </c>
      <c r="O692">
        <v>6.5</v>
      </c>
      <c r="P692">
        <v>46.5</v>
      </c>
      <c r="R692">
        <v>26</v>
      </c>
      <c r="T692" s="39">
        <v>43800</v>
      </c>
      <c r="U692" s="22" t="s">
        <v>241</v>
      </c>
      <c r="V692" t="s">
        <v>276</v>
      </c>
      <c r="W692" s="22" t="s">
        <v>291</v>
      </c>
    </row>
    <row r="693" spans="1:23" x14ac:dyDescent="0.2">
      <c r="A693" t="s">
        <v>192</v>
      </c>
      <c r="F693" t="s">
        <v>110</v>
      </c>
      <c r="O693">
        <v>10.5</v>
      </c>
      <c r="P693">
        <v>38.5</v>
      </c>
      <c r="R693">
        <v>16.5</v>
      </c>
      <c r="T693" s="39">
        <v>43800</v>
      </c>
      <c r="U693" s="22" t="s">
        <v>241</v>
      </c>
      <c r="V693" t="s">
        <v>301</v>
      </c>
      <c r="W693" s="22" t="s">
        <v>306</v>
      </c>
    </row>
    <row r="694" spans="1:23" x14ac:dyDescent="0.2">
      <c r="A694" t="s">
        <v>192</v>
      </c>
      <c r="B694" s="1" t="s">
        <v>60</v>
      </c>
      <c r="C694" s="1">
        <v>10.1</v>
      </c>
      <c r="D694" s="1" t="s">
        <v>75</v>
      </c>
      <c r="E694" s="1" t="s">
        <v>76</v>
      </c>
      <c r="O694">
        <v>-5.5</v>
      </c>
      <c r="P694">
        <v>37.5</v>
      </c>
      <c r="Q694">
        <v>3.9</v>
      </c>
      <c r="R694">
        <v>26</v>
      </c>
      <c r="S694" s="1">
        <v>6.7</v>
      </c>
      <c r="T694" s="39">
        <v>43800</v>
      </c>
      <c r="U694" s="22" t="s">
        <v>241</v>
      </c>
      <c r="V694" t="s">
        <v>265</v>
      </c>
      <c r="W694" s="22" t="s">
        <v>299</v>
      </c>
    </row>
    <row r="695" spans="1:23" x14ac:dyDescent="0.2">
      <c r="A695" t="s">
        <v>192</v>
      </c>
      <c r="D695" t="s">
        <v>75</v>
      </c>
      <c r="F695" t="s">
        <v>109</v>
      </c>
      <c r="O695">
        <v>2.5</v>
      </c>
      <c r="P695">
        <v>43</v>
      </c>
      <c r="R695">
        <v>10.6</v>
      </c>
      <c r="T695" s="39">
        <v>43800</v>
      </c>
      <c r="U695" s="22" t="s">
        <v>241</v>
      </c>
      <c r="V695" s="17" t="s">
        <v>272</v>
      </c>
      <c r="W695" s="22" t="s">
        <v>298</v>
      </c>
    </row>
    <row r="696" spans="1:23" x14ac:dyDescent="0.2">
      <c r="A696" t="s">
        <v>192</v>
      </c>
      <c r="O696">
        <v>-1</v>
      </c>
      <c r="P696">
        <v>40</v>
      </c>
      <c r="R696">
        <v>13.6</v>
      </c>
      <c r="T696" s="39">
        <v>43800</v>
      </c>
      <c r="U696" s="22" t="s">
        <v>241</v>
      </c>
      <c r="V696" t="s">
        <v>281</v>
      </c>
      <c r="W696" s="22" t="s">
        <v>309</v>
      </c>
    </row>
    <row r="697" spans="1:23" x14ac:dyDescent="0.2">
      <c r="A697" t="s">
        <v>192</v>
      </c>
      <c r="O697">
        <v>-6.5</v>
      </c>
      <c r="P697">
        <v>46.5</v>
      </c>
      <c r="R697">
        <v>9.3000000000000007</v>
      </c>
      <c r="T697" s="39">
        <v>43800</v>
      </c>
      <c r="U697" s="22" t="s">
        <v>241</v>
      </c>
      <c r="V697" t="s">
        <v>291</v>
      </c>
      <c r="W697" s="22" t="s">
        <v>276</v>
      </c>
    </row>
    <row r="698" spans="1:23" x14ac:dyDescent="0.2">
      <c r="A698" t="s">
        <v>192</v>
      </c>
      <c r="F698" t="s">
        <v>110</v>
      </c>
      <c r="O698">
        <v>4.5</v>
      </c>
      <c r="P698">
        <v>39</v>
      </c>
      <c r="R698">
        <v>3.2</v>
      </c>
      <c r="T698" s="39">
        <v>43800</v>
      </c>
      <c r="U698" t="s">
        <v>241</v>
      </c>
      <c r="V698" t="s">
        <v>278</v>
      </c>
      <c r="W698" t="s">
        <v>287</v>
      </c>
    </row>
    <row r="699" spans="1:23" x14ac:dyDescent="0.2">
      <c r="A699" t="s">
        <v>192</v>
      </c>
      <c r="O699">
        <v>5.5</v>
      </c>
      <c r="P699">
        <v>37.5</v>
      </c>
      <c r="R699">
        <v>13</v>
      </c>
      <c r="T699" s="39">
        <v>43800</v>
      </c>
      <c r="U699" s="22" t="s">
        <v>241</v>
      </c>
      <c r="V699" t="s">
        <v>299</v>
      </c>
      <c r="W699" s="22" t="s">
        <v>265</v>
      </c>
    </row>
    <row r="700" spans="1:23" x14ac:dyDescent="0.2">
      <c r="A700" t="s">
        <v>192</v>
      </c>
      <c r="D700" t="s">
        <v>75</v>
      </c>
      <c r="O700">
        <v>-6.5</v>
      </c>
      <c r="P700">
        <v>43.5</v>
      </c>
      <c r="R700">
        <v>22.3</v>
      </c>
      <c r="T700" s="39">
        <v>43800</v>
      </c>
      <c r="U700" s="22" t="s">
        <v>241</v>
      </c>
      <c r="V700" t="s">
        <v>300</v>
      </c>
      <c r="W700" s="22" t="s">
        <v>296</v>
      </c>
    </row>
    <row r="701" spans="1:23" x14ac:dyDescent="0.2">
      <c r="A701" t="s">
        <v>192</v>
      </c>
      <c r="O701">
        <v>3.5</v>
      </c>
      <c r="P701">
        <v>47</v>
      </c>
      <c r="R701">
        <v>15.1</v>
      </c>
      <c r="T701" s="39">
        <v>43800</v>
      </c>
      <c r="U701" s="22" t="s">
        <v>241</v>
      </c>
      <c r="V701" t="s">
        <v>311</v>
      </c>
      <c r="W701" s="22" t="s">
        <v>302</v>
      </c>
    </row>
    <row r="702" spans="1:23" x14ac:dyDescent="0.2">
      <c r="A702" t="s">
        <v>192</v>
      </c>
      <c r="B702" t="s">
        <v>96</v>
      </c>
      <c r="I702" t="s">
        <v>75</v>
      </c>
      <c r="J702" t="s">
        <v>75</v>
      </c>
      <c r="K702" t="s">
        <v>76</v>
      </c>
      <c r="L702" t="s">
        <v>75</v>
      </c>
      <c r="M702" t="s">
        <v>75</v>
      </c>
      <c r="N702" t="s">
        <v>132</v>
      </c>
      <c r="O702">
        <v>1</v>
      </c>
      <c r="P702">
        <v>41.5</v>
      </c>
      <c r="Q702">
        <v>4.7</v>
      </c>
      <c r="R702" s="3">
        <v>20.9</v>
      </c>
      <c r="S702" s="1">
        <v>4.4000000000000004</v>
      </c>
      <c r="T702" s="39">
        <v>43800</v>
      </c>
      <c r="U702" s="22" t="s">
        <v>241</v>
      </c>
      <c r="V702" t="s">
        <v>289</v>
      </c>
      <c r="W702" s="22" t="s">
        <v>310</v>
      </c>
    </row>
    <row r="703" spans="1:23" x14ac:dyDescent="0.2">
      <c r="A703" t="s">
        <v>192</v>
      </c>
      <c r="F703" t="s">
        <v>109</v>
      </c>
      <c r="O703">
        <v>3</v>
      </c>
      <c r="P703">
        <v>46.5</v>
      </c>
      <c r="R703">
        <v>19</v>
      </c>
      <c r="T703" s="39">
        <v>43800</v>
      </c>
      <c r="U703" s="22" t="s">
        <v>241</v>
      </c>
      <c r="V703" t="s">
        <v>297</v>
      </c>
      <c r="W703" s="22" t="s">
        <v>284</v>
      </c>
    </row>
    <row r="704" spans="1:23" x14ac:dyDescent="0.2">
      <c r="A704" t="s">
        <v>192</v>
      </c>
      <c r="B704" s="1" t="s">
        <v>18</v>
      </c>
      <c r="C704" s="1">
        <v>8.1</v>
      </c>
      <c r="D704" s="1" t="s">
        <v>76</v>
      </c>
      <c r="E704" s="1" t="s">
        <v>76</v>
      </c>
      <c r="O704">
        <v>-11.5</v>
      </c>
      <c r="P704">
        <v>49.5</v>
      </c>
      <c r="Q704">
        <v>5.4</v>
      </c>
      <c r="R704">
        <v>0</v>
      </c>
      <c r="S704" s="1">
        <v>0</v>
      </c>
      <c r="T704" s="39">
        <v>43800</v>
      </c>
      <c r="U704" s="22" t="s">
        <v>241</v>
      </c>
      <c r="V704" t="s">
        <v>288</v>
      </c>
      <c r="W704" s="22" t="s">
        <v>303</v>
      </c>
    </row>
    <row r="705" spans="1:23" x14ac:dyDescent="0.2">
      <c r="A705" t="s">
        <v>192</v>
      </c>
      <c r="O705">
        <v>11.5</v>
      </c>
      <c r="P705">
        <v>49.5</v>
      </c>
      <c r="R705">
        <v>3.4</v>
      </c>
      <c r="T705" s="39">
        <v>43800</v>
      </c>
      <c r="U705" s="22" t="s">
        <v>241</v>
      </c>
      <c r="V705" t="s">
        <v>303</v>
      </c>
      <c r="W705" s="22" t="s">
        <v>288</v>
      </c>
    </row>
    <row r="706" spans="1:23" x14ac:dyDescent="0.2">
      <c r="A706" t="s">
        <v>192</v>
      </c>
      <c r="F706" t="s">
        <v>110</v>
      </c>
      <c r="O706">
        <v>-4.5</v>
      </c>
      <c r="P706">
        <v>39</v>
      </c>
      <c r="R706">
        <v>19.7</v>
      </c>
      <c r="T706" s="39">
        <v>43800</v>
      </c>
      <c r="U706" s="22" t="s">
        <v>241</v>
      </c>
      <c r="V706" t="s">
        <v>287</v>
      </c>
      <c r="W706" s="22" t="s">
        <v>278</v>
      </c>
    </row>
    <row r="707" spans="1:23" x14ac:dyDescent="0.2">
      <c r="A707" t="s">
        <v>192</v>
      </c>
      <c r="F707" t="s">
        <v>109</v>
      </c>
      <c r="O707">
        <v>-2.5</v>
      </c>
      <c r="P707">
        <v>47</v>
      </c>
      <c r="R707">
        <v>33.200000000000003</v>
      </c>
      <c r="T707" s="39">
        <v>43800</v>
      </c>
      <c r="U707" s="22" t="s">
        <v>241</v>
      </c>
      <c r="V707" t="s">
        <v>304</v>
      </c>
      <c r="W707" s="22" t="s">
        <v>285</v>
      </c>
    </row>
    <row r="708" spans="1:23" x14ac:dyDescent="0.2">
      <c r="A708" t="s">
        <v>192</v>
      </c>
      <c r="B708" t="s">
        <v>24</v>
      </c>
      <c r="I708" t="s">
        <v>75</v>
      </c>
      <c r="J708" t="s">
        <v>76</v>
      </c>
      <c r="K708" t="s">
        <v>76</v>
      </c>
      <c r="L708" t="s">
        <v>76</v>
      </c>
      <c r="M708" t="s">
        <v>76</v>
      </c>
      <c r="N708" t="s">
        <v>132</v>
      </c>
      <c r="O708">
        <v>10.5</v>
      </c>
      <c r="P708">
        <v>45</v>
      </c>
      <c r="Q708">
        <v>5.7</v>
      </c>
      <c r="R708">
        <v>37.9</v>
      </c>
      <c r="S708" s="1">
        <v>6.6</v>
      </c>
      <c r="T708" s="39">
        <v>43800</v>
      </c>
      <c r="U708" s="22" t="s">
        <v>241</v>
      </c>
      <c r="V708" t="s">
        <v>293</v>
      </c>
      <c r="W708" s="22" t="s">
        <v>294</v>
      </c>
    </row>
    <row r="709" spans="1:23" x14ac:dyDescent="0.2">
      <c r="A709" t="s">
        <v>192</v>
      </c>
      <c r="O709">
        <v>2.5</v>
      </c>
      <c r="P709">
        <v>48</v>
      </c>
      <c r="R709">
        <v>12.8</v>
      </c>
      <c r="T709" s="39">
        <v>43800</v>
      </c>
      <c r="U709" s="22" t="s">
        <v>241</v>
      </c>
      <c r="V709" t="s">
        <v>312</v>
      </c>
      <c r="W709" s="22" t="s">
        <v>308</v>
      </c>
    </row>
    <row r="710" spans="1:23" x14ac:dyDescent="0.2">
      <c r="A710" t="s">
        <v>192</v>
      </c>
      <c r="O710">
        <v>-3.5</v>
      </c>
      <c r="P710">
        <v>47</v>
      </c>
      <c r="R710">
        <v>7.6</v>
      </c>
      <c r="T710" s="39">
        <v>43800</v>
      </c>
      <c r="U710" s="22" t="s">
        <v>241</v>
      </c>
      <c r="V710" t="s">
        <v>302</v>
      </c>
      <c r="W710" s="22" t="s">
        <v>311</v>
      </c>
    </row>
    <row r="711" spans="1:23" x14ac:dyDescent="0.2">
      <c r="A711" t="s">
        <v>192</v>
      </c>
      <c r="O711">
        <v>-7</v>
      </c>
      <c r="P711">
        <v>48</v>
      </c>
      <c r="R711">
        <v>3.4</v>
      </c>
      <c r="T711" s="39">
        <v>43800</v>
      </c>
      <c r="U711" s="22" t="s">
        <v>241</v>
      </c>
      <c r="V711" t="s">
        <v>307</v>
      </c>
      <c r="W711" s="22" t="s">
        <v>295</v>
      </c>
    </row>
    <row r="712" spans="1:23" x14ac:dyDescent="0.2">
      <c r="A712" t="s">
        <v>192</v>
      </c>
      <c r="B712" t="s">
        <v>115</v>
      </c>
      <c r="I712" t="s">
        <v>75</v>
      </c>
      <c r="J712" t="s">
        <v>76</v>
      </c>
      <c r="K712" t="s">
        <v>75</v>
      </c>
      <c r="L712" t="s">
        <v>76</v>
      </c>
      <c r="M712" t="s">
        <v>75</v>
      </c>
      <c r="N712" t="s">
        <v>132</v>
      </c>
      <c r="O712">
        <v>6.5</v>
      </c>
      <c r="P712">
        <v>43.5</v>
      </c>
      <c r="Q712">
        <v>5.3</v>
      </c>
      <c r="R712">
        <v>10.4</v>
      </c>
      <c r="S712" s="1">
        <v>2</v>
      </c>
      <c r="T712" s="39">
        <v>43800</v>
      </c>
      <c r="U712" s="22" t="s">
        <v>241</v>
      </c>
      <c r="V712" t="s">
        <v>296</v>
      </c>
      <c r="W712" s="22" t="s">
        <v>300</v>
      </c>
    </row>
    <row r="713" spans="1:23" x14ac:dyDescent="0.2">
      <c r="A713" t="s">
        <v>192</v>
      </c>
      <c r="F713" t="s">
        <v>109</v>
      </c>
      <c r="O713">
        <v>-2.5</v>
      </c>
      <c r="P713">
        <v>43</v>
      </c>
      <c r="R713">
        <v>20.100000000000001</v>
      </c>
      <c r="T713" s="39">
        <v>43800</v>
      </c>
      <c r="U713" s="22" t="s">
        <v>241</v>
      </c>
      <c r="V713" t="s">
        <v>298</v>
      </c>
      <c r="W713" s="22" t="s">
        <v>272</v>
      </c>
    </row>
    <row r="714" spans="1:23" x14ac:dyDescent="0.2">
      <c r="A714" t="s">
        <v>192</v>
      </c>
      <c r="B714" t="s">
        <v>10</v>
      </c>
      <c r="C714">
        <v>9.4</v>
      </c>
      <c r="D714" s="1" t="s">
        <v>75</v>
      </c>
      <c r="E714" s="1" t="s">
        <v>76</v>
      </c>
      <c r="O714">
        <v>-10.5</v>
      </c>
      <c r="P714">
        <v>45</v>
      </c>
      <c r="Q714">
        <v>4.4000000000000004</v>
      </c>
      <c r="R714">
        <v>9.1</v>
      </c>
      <c r="S714" s="1">
        <v>2.1</v>
      </c>
      <c r="T714" s="39">
        <v>43800</v>
      </c>
      <c r="U714" s="22" t="s">
        <v>241</v>
      </c>
      <c r="V714" t="s">
        <v>294</v>
      </c>
      <c r="W714" s="22" t="s">
        <v>293</v>
      </c>
    </row>
    <row r="715" spans="1:23" x14ac:dyDescent="0.2">
      <c r="A715" t="s">
        <v>192</v>
      </c>
      <c r="B715" s="1" t="s">
        <v>105</v>
      </c>
      <c r="C715" s="1">
        <v>8.5</v>
      </c>
      <c r="D715" s="1" t="s">
        <v>76</v>
      </c>
      <c r="E715" s="1" t="s">
        <v>76</v>
      </c>
      <c r="F715" s="1"/>
      <c r="G715" s="1"/>
      <c r="H715" s="1"/>
      <c r="I715" t="s">
        <v>75</v>
      </c>
      <c r="J715" t="s">
        <v>76</v>
      </c>
      <c r="K715" t="s">
        <v>76</v>
      </c>
      <c r="L715" t="s">
        <v>75</v>
      </c>
      <c r="M715" t="s">
        <v>75</v>
      </c>
      <c r="N715" t="s">
        <v>132</v>
      </c>
      <c r="O715">
        <v>1</v>
      </c>
      <c r="P715">
        <v>40</v>
      </c>
      <c r="Q715">
        <v>4.5</v>
      </c>
      <c r="R715">
        <v>4.0999999999999996</v>
      </c>
      <c r="S715" s="1">
        <v>0.9</v>
      </c>
      <c r="T715" s="39">
        <v>43800</v>
      </c>
      <c r="U715" s="22" t="s">
        <v>241</v>
      </c>
      <c r="V715" t="s">
        <v>309</v>
      </c>
      <c r="W715" s="22" t="s">
        <v>281</v>
      </c>
    </row>
    <row r="716" spans="1:23" x14ac:dyDescent="0.2">
      <c r="A716" t="s">
        <v>192</v>
      </c>
      <c r="B716" s="1" t="s">
        <v>70</v>
      </c>
      <c r="I716" t="s">
        <v>75</v>
      </c>
      <c r="J716" t="s">
        <v>76</v>
      </c>
      <c r="K716" t="s">
        <v>76</v>
      </c>
      <c r="L716" t="s">
        <v>75</v>
      </c>
      <c r="M716" t="s">
        <v>75</v>
      </c>
      <c r="N716" t="s">
        <v>132</v>
      </c>
      <c r="O716">
        <v>1</v>
      </c>
      <c r="P716">
        <v>40</v>
      </c>
      <c r="Q716">
        <v>5</v>
      </c>
      <c r="R716">
        <v>24.1</v>
      </c>
      <c r="S716" s="1">
        <v>4.8</v>
      </c>
      <c r="T716" s="39">
        <v>43800</v>
      </c>
      <c r="U716" s="22" t="s">
        <v>241</v>
      </c>
      <c r="V716" t="s">
        <v>309</v>
      </c>
      <c r="W716" s="22" t="s">
        <v>281</v>
      </c>
    </row>
    <row r="717" spans="1:23" x14ac:dyDescent="0.2">
      <c r="A717" t="s">
        <v>192</v>
      </c>
      <c r="F717" t="s">
        <v>110</v>
      </c>
      <c r="O717">
        <v>5.5</v>
      </c>
      <c r="P717">
        <v>45</v>
      </c>
      <c r="R717">
        <v>14.1</v>
      </c>
      <c r="T717" s="39">
        <v>43800</v>
      </c>
      <c r="U717" s="22" t="s">
        <v>241</v>
      </c>
      <c r="V717" s="22" t="s">
        <v>256</v>
      </c>
      <c r="W717" s="22" t="s">
        <v>305</v>
      </c>
    </row>
    <row r="718" spans="1:23" x14ac:dyDescent="0.2">
      <c r="A718" t="s">
        <v>192</v>
      </c>
      <c r="B718" s="1" t="s">
        <v>103</v>
      </c>
      <c r="C718" s="1">
        <v>11.6</v>
      </c>
      <c r="D718" s="1" t="s">
        <v>75</v>
      </c>
      <c r="E718" s="1" t="s">
        <v>76</v>
      </c>
      <c r="O718">
        <v>-2.5</v>
      </c>
      <c r="P718">
        <v>48</v>
      </c>
      <c r="Q718">
        <v>6.1</v>
      </c>
      <c r="R718">
        <v>12.5</v>
      </c>
      <c r="S718" s="1">
        <v>2</v>
      </c>
      <c r="T718" s="39">
        <v>43800</v>
      </c>
      <c r="U718" s="22" t="s">
        <v>241</v>
      </c>
      <c r="V718" t="s">
        <v>308</v>
      </c>
      <c r="W718" s="22" t="s">
        <v>312</v>
      </c>
    </row>
    <row r="719" spans="1:23" x14ac:dyDescent="0.2">
      <c r="A719" t="s">
        <v>192</v>
      </c>
      <c r="F719" t="s">
        <v>109</v>
      </c>
      <c r="O719">
        <v>-3</v>
      </c>
      <c r="P719">
        <v>46.5</v>
      </c>
      <c r="R719">
        <v>9</v>
      </c>
      <c r="T719" s="39">
        <v>43800</v>
      </c>
      <c r="U719" s="22" t="s">
        <v>241</v>
      </c>
      <c r="V719" t="s">
        <v>284</v>
      </c>
      <c r="W719" s="22" t="s">
        <v>297</v>
      </c>
    </row>
    <row r="720" spans="1:23" x14ac:dyDescent="0.2">
      <c r="A720" t="s">
        <v>192</v>
      </c>
      <c r="O720">
        <v>-1</v>
      </c>
      <c r="P720">
        <v>41.5</v>
      </c>
      <c r="R720">
        <v>3.3</v>
      </c>
      <c r="T720" s="39">
        <v>43800</v>
      </c>
      <c r="U720" s="22" t="s">
        <v>241</v>
      </c>
      <c r="V720" t="s">
        <v>310</v>
      </c>
      <c r="W720" s="22" t="s">
        <v>289</v>
      </c>
    </row>
    <row r="721" spans="1:23" x14ac:dyDescent="0.2">
      <c r="A721" t="s">
        <v>192</v>
      </c>
      <c r="B721" s="1" t="s">
        <v>104</v>
      </c>
      <c r="I721" t="s">
        <v>76</v>
      </c>
      <c r="J721" t="s">
        <v>75</v>
      </c>
      <c r="K721" t="s">
        <v>76</v>
      </c>
      <c r="L721" t="s">
        <v>76</v>
      </c>
      <c r="M721" t="s">
        <v>75</v>
      </c>
      <c r="N721" t="s">
        <v>134</v>
      </c>
      <c r="O721">
        <v>-10.5</v>
      </c>
      <c r="P721">
        <v>38.5</v>
      </c>
      <c r="Q721">
        <v>3.6</v>
      </c>
      <c r="R721">
        <v>8.1</v>
      </c>
      <c r="S721" s="1">
        <v>2.2999999999999998</v>
      </c>
      <c r="T721" s="39">
        <v>43800</v>
      </c>
      <c r="U721" s="22" t="s">
        <v>241</v>
      </c>
      <c r="V721" t="s">
        <v>306</v>
      </c>
      <c r="W721" s="22" t="s">
        <v>301</v>
      </c>
    </row>
    <row r="722" spans="1:23" x14ac:dyDescent="0.2">
      <c r="A722" t="s">
        <v>192</v>
      </c>
      <c r="B722" s="1" t="s">
        <v>115</v>
      </c>
      <c r="C722" s="1">
        <v>11.2</v>
      </c>
      <c r="D722" s="1" t="s">
        <v>76</v>
      </c>
      <c r="E722" s="1" t="s">
        <v>76</v>
      </c>
      <c r="F722" s="1"/>
      <c r="G722" s="1"/>
      <c r="H722" s="1"/>
      <c r="I722" s="1" t="s">
        <v>76</v>
      </c>
      <c r="J722" s="1" t="s">
        <v>75</v>
      </c>
      <c r="K722" s="1" t="s">
        <v>76</v>
      </c>
      <c r="L722" s="1" t="s">
        <v>75</v>
      </c>
      <c r="M722" s="1" t="s">
        <v>75</v>
      </c>
      <c r="N722" s="1" t="s">
        <v>134</v>
      </c>
      <c r="O722">
        <v>9.5</v>
      </c>
      <c r="P722">
        <v>45.5</v>
      </c>
      <c r="Q722">
        <v>4.9000000000000004</v>
      </c>
      <c r="R722">
        <v>35.4</v>
      </c>
      <c r="S722" s="1">
        <f t="shared" ref="S722:S728" si="0">R722/Q722</f>
        <v>7.2244897959183669</v>
      </c>
      <c r="T722" s="39">
        <v>43807</v>
      </c>
      <c r="U722" t="s">
        <v>239</v>
      </c>
      <c r="V722" t="s">
        <v>296</v>
      </c>
      <c r="W722" s="22" t="s">
        <v>294</v>
      </c>
    </row>
    <row r="723" spans="1:23" x14ac:dyDescent="0.2">
      <c r="A723" t="s">
        <v>192</v>
      </c>
      <c r="B723" s="1" t="s">
        <v>103</v>
      </c>
      <c r="C723" s="1">
        <v>10.5</v>
      </c>
      <c r="D723" s="1" t="s">
        <v>75</v>
      </c>
      <c r="E723" s="1" t="s">
        <v>76</v>
      </c>
      <c r="F723" s="1"/>
      <c r="G723" s="1"/>
      <c r="H723" s="1"/>
      <c r="I723" s="1" t="s">
        <v>76</v>
      </c>
      <c r="J723" s="1" t="s">
        <v>76</v>
      </c>
      <c r="K723" s="1" t="s">
        <v>76</v>
      </c>
      <c r="L723" s="1" t="s">
        <v>75</v>
      </c>
      <c r="M723" s="1" t="s">
        <v>75</v>
      </c>
      <c r="N723" s="1" t="s">
        <v>134</v>
      </c>
      <c r="O723">
        <v>1</v>
      </c>
      <c r="P723">
        <v>47.5</v>
      </c>
      <c r="Q723">
        <v>6.1</v>
      </c>
      <c r="R723">
        <v>12.5</v>
      </c>
      <c r="S723" s="1">
        <f t="shared" si="0"/>
        <v>2.0491803278688527</v>
      </c>
      <c r="T723" s="39">
        <v>43807</v>
      </c>
      <c r="U723" t="s">
        <v>239</v>
      </c>
      <c r="V723" t="s">
        <v>308</v>
      </c>
      <c r="W723" t="s">
        <v>304</v>
      </c>
    </row>
    <row r="724" spans="1:23" x14ac:dyDescent="0.2">
      <c r="A724" t="s">
        <v>192</v>
      </c>
      <c r="B724" s="1" t="s">
        <v>104</v>
      </c>
      <c r="C724" s="1">
        <v>9.1999999999999993</v>
      </c>
      <c r="D724" s="1" t="s">
        <v>76</v>
      </c>
      <c r="E724" s="1" t="s">
        <v>76</v>
      </c>
      <c r="F724" s="1" t="s">
        <v>110</v>
      </c>
      <c r="G724" s="1"/>
      <c r="H724" s="1"/>
      <c r="I724" s="1" t="s">
        <v>76</v>
      </c>
      <c r="J724" s="1" t="s">
        <v>75</v>
      </c>
      <c r="K724" s="1" t="s">
        <v>76</v>
      </c>
      <c r="L724" s="1" t="s">
        <v>76</v>
      </c>
      <c r="M724" s="1" t="s">
        <v>75</v>
      </c>
      <c r="N724" s="1" t="s">
        <v>134</v>
      </c>
      <c r="O724">
        <v>13</v>
      </c>
      <c r="P724">
        <v>42.5</v>
      </c>
      <c r="Q724">
        <v>3.7</v>
      </c>
      <c r="R724">
        <v>4</v>
      </c>
      <c r="S724" s="1">
        <f t="shared" si="0"/>
        <v>1.0810810810810809</v>
      </c>
      <c r="T724" s="39">
        <v>43807</v>
      </c>
      <c r="U724" t="s">
        <v>239</v>
      </c>
      <c r="V724" t="s">
        <v>306</v>
      </c>
      <c r="W724" t="s">
        <v>300</v>
      </c>
    </row>
    <row r="725" spans="1:23" x14ac:dyDescent="0.2">
      <c r="A725" t="s">
        <v>192</v>
      </c>
      <c r="B725" s="1" t="s">
        <v>96</v>
      </c>
      <c r="C725" s="1">
        <v>8.6999999999999993</v>
      </c>
      <c r="D725" s="1" t="s">
        <v>75</v>
      </c>
      <c r="E725" s="1" t="s">
        <v>76</v>
      </c>
      <c r="F725" s="1" t="s">
        <v>110</v>
      </c>
      <c r="G725" s="1"/>
      <c r="H725" s="1"/>
      <c r="I725" s="1" t="s">
        <v>75</v>
      </c>
      <c r="J725" s="1" t="s">
        <v>75</v>
      </c>
      <c r="K725" s="1" t="s">
        <v>76</v>
      </c>
      <c r="L725" s="1" t="s">
        <v>76</v>
      </c>
      <c r="M725" s="1" t="s">
        <v>76</v>
      </c>
      <c r="N725" s="1" t="s">
        <v>134</v>
      </c>
      <c r="O725">
        <v>3</v>
      </c>
      <c r="P725">
        <v>46.5</v>
      </c>
      <c r="Q725">
        <v>5.5</v>
      </c>
      <c r="R725">
        <v>20.399999999999999</v>
      </c>
      <c r="S725" s="1">
        <f t="shared" si="0"/>
        <v>3.709090909090909</v>
      </c>
      <c r="T725" s="39">
        <v>43807</v>
      </c>
      <c r="U725" t="s">
        <v>239</v>
      </c>
      <c r="V725" t="s">
        <v>289</v>
      </c>
      <c r="W725" t="s">
        <v>284</v>
      </c>
    </row>
    <row r="726" spans="1:23" x14ac:dyDescent="0.2">
      <c r="A726" t="s">
        <v>192</v>
      </c>
      <c r="B726" s="1" t="s">
        <v>61</v>
      </c>
      <c r="C726" s="1">
        <v>8.6999999999999993</v>
      </c>
      <c r="D726" s="1" t="s">
        <v>76</v>
      </c>
      <c r="E726" s="1" t="s">
        <v>76</v>
      </c>
      <c r="F726" s="1"/>
      <c r="G726" s="1"/>
      <c r="H726" s="1"/>
      <c r="I726" s="1" t="s">
        <v>76</v>
      </c>
      <c r="J726" s="1" t="s">
        <v>76</v>
      </c>
      <c r="K726" s="1" t="s">
        <v>76</v>
      </c>
      <c r="L726" s="1" t="s">
        <v>75</v>
      </c>
      <c r="M726" s="1" t="s">
        <v>75</v>
      </c>
      <c r="N726" s="1" t="s">
        <v>134</v>
      </c>
      <c r="O726">
        <v>6.5</v>
      </c>
      <c r="P726">
        <v>43</v>
      </c>
      <c r="Q726">
        <v>4</v>
      </c>
      <c r="R726">
        <v>2.6</v>
      </c>
      <c r="S726" s="1">
        <f t="shared" si="0"/>
        <v>0.65</v>
      </c>
      <c r="T726" s="39">
        <v>43807</v>
      </c>
      <c r="U726" t="s">
        <v>239</v>
      </c>
      <c r="V726" t="s">
        <v>272</v>
      </c>
      <c r="W726" t="s">
        <v>281</v>
      </c>
    </row>
    <row r="727" spans="1:23" x14ac:dyDescent="0.2">
      <c r="A727" t="s">
        <v>192</v>
      </c>
      <c r="B727" s="1" t="s">
        <v>60</v>
      </c>
      <c r="I727" t="s">
        <v>76</v>
      </c>
      <c r="J727" t="s">
        <v>75</v>
      </c>
      <c r="K727" t="s">
        <v>76</v>
      </c>
      <c r="L727" t="s">
        <v>76</v>
      </c>
      <c r="M727" t="s">
        <v>75</v>
      </c>
      <c r="N727" t="s">
        <v>132</v>
      </c>
      <c r="Q727">
        <v>4.5</v>
      </c>
      <c r="R727">
        <v>13.2</v>
      </c>
      <c r="S727" s="1">
        <f t="shared" si="0"/>
        <v>2.9333333333333331</v>
      </c>
      <c r="T727" s="39">
        <v>43807</v>
      </c>
      <c r="U727" t="s">
        <v>239</v>
      </c>
      <c r="V727" t="s">
        <v>265</v>
      </c>
      <c r="W727" t="s">
        <v>291</v>
      </c>
    </row>
    <row r="728" spans="1:23" x14ac:dyDescent="0.2">
      <c r="A728" t="s">
        <v>192</v>
      </c>
      <c r="B728" s="1" t="s">
        <v>139</v>
      </c>
      <c r="I728" t="s">
        <v>76</v>
      </c>
      <c r="J728" t="s">
        <v>75</v>
      </c>
      <c r="K728" t="s">
        <v>76</v>
      </c>
      <c r="L728" s="1" t="s">
        <v>75</v>
      </c>
      <c r="M728" s="1" t="s">
        <v>75</v>
      </c>
      <c r="N728" s="1" t="s">
        <v>134</v>
      </c>
      <c r="O728">
        <v>9.5</v>
      </c>
      <c r="P728">
        <v>45.5</v>
      </c>
      <c r="Q728">
        <v>6.1</v>
      </c>
      <c r="R728">
        <v>2.1</v>
      </c>
      <c r="S728" s="1">
        <f t="shared" si="0"/>
        <v>0.34426229508196726</v>
      </c>
      <c r="T728" s="39">
        <v>43807</v>
      </c>
      <c r="U728" t="s">
        <v>239</v>
      </c>
      <c r="V728" t="s">
        <v>296</v>
      </c>
      <c r="W728" s="22" t="s">
        <v>294</v>
      </c>
    </row>
  </sheetData>
  <sortState xmlns:xlrd2="http://schemas.microsoft.com/office/spreadsheetml/2017/richdata2" ref="A2:W728">
    <sortCondition ref="T2:T728"/>
  </sortState>
  <phoneticPr fontId="10" type="noConversion"/>
  <conditionalFormatting sqref="V165:V176 V544 V604:V607">
    <cfRule type="cellIs" dxfId="195" priority="33" operator="between">
      <formula>21</formula>
      <formula>26</formula>
    </cfRule>
    <cfRule type="cellIs" dxfId="194" priority="34" operator="between">
      <formula>27</formula>
      <formula>32</formula>
    </cfRule>
    <cfRule type="cellIs" dxfId="193" priority="35" operator="between">
      <formula>7</formula>
      <formula>12</formula>
    </cfRule>
    <cfRule type="cellIs" dxfId="192" priority="36" operator="between">
      <formula>1</formula>
      <formula>6</formula>
    </cfRule>
  </conditionalFormatting>
  <conditionalFormatting sqref="V566:V575">
    <cfRule type="cellIs" dxfId="191" priority="25" operator="between">
      <formula>21</formula>
      <formula>26</formula>
    </cfRule>
    <cfRule type="cellIs" dxfId="190" priority="26" operator="between">
      <formula>27</formula>
      <formula>32</formula>
    </cfRule>
    <cfRule type="cellIs" dxfId="189" priority="27" operator="between">
      <formula>7</formula>
      <formula>12</formula>
    </cfRule>
    <cfRule type="cellIs" dxfId="188" priority="28" operator="between">
      <formula>1</formula>
      <formula>6</formula>
    </cfRule>
  </conditionalFormatting>
  <conditionalFormatting sqref="V650:V658">
    <cfRule type="cellIs" dxfId="187" priority="17" operator="between">
      <formula>21</formula>
      <formula>26</formula>
    </cfRule>
    <cfRule type="cellIs" dxfId="186" priority="18" operator="between">
      <formula>27</formula>
      <formula>32</formula>
    </cfRule>
    <cfRule type="cellIs" dxfId="185" priority="19" operator="between">
      <formula>7</formula>
      <formula>12</formula>
    </cfRule>
    <cfRule type="cellIs" dxfId="184" priority="20" operator="between">
      <formula>1</formula>
      <formula>6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5708F-1CFF-9C47-9A3B-52DCD13E9B47}">
  <sheetPr codeName="Sheet17"/>
  <dimension ref="B1:E7"/>
  <sheetViews>
    <sheetView workbookViewId="0">
      <selection activeCell="B10" sqref="B10"/>
    </sheetView>
  </sheetViews>
  <sheetFormatPr baseColWidth="10" defaultRowHeight="16" x14ac:dyDescent="0.2"/>
  <cols>
    <col min="2" max="2" width="143" bestFit="1" customWidth="1"/>
    <col min="3" max="3" width="19.6640625" bestFit="1" customWidth="1"/>
    <col min="4" max="4" width="14.83203125" bestFit="1" customWidth="1"/>
    <col min="5" max="5" width="30.5" bestFit="1" customWidth="1"/>
  </cols>
  <sheetData>
    <row r="1" spans="2:5" ht="47" x14ac:dyDescent="0.55000000000000004">
      <c r="B1" s="44" t="s">
        <v>254</v>
      </c>
      <c r="C1" s="44" t="s">
        <v>9</v>
      </c>
      <c r="D1" s="44" t="s">
        <v>436</v>
      </c>
      <c r="E1" s="45" t="s">
        <v>437</v>
      </c>
    </row>
    <row r="2" spans="2:5" ht="47" x14ac:dyDescent="0.55000000000000004">
      <c r="B2" s="46" t="s">
        <v>291</v>
      </c>
      <c r="C2" s="44">
        <v>6</v>
      </c>
      <c r="D2" s="47">
        <v>50</v>
      </c>
      <c r="E2" s="45">
        <f>(D2/2)-(C2/2)</f>
        <v>22</v>
      </c>
    </row>
    <row r="3" spans="2:5" ht="47" x14ac:dyDescent="0.55000000000000004">
      <c r="B3" s="44" t="s">
        <v>288</v>
      </c>
      <c r="C3" s="44">
        <v>-6</v>
      </c>
      <c r="D3" s="44">
        <v>50</v>
      </c>
      <c r="E3" s="45">
        <f>(D3/2)-(C3/2)</f>
        <v>28</v>
      </c>
    </row>
    <row r="6" spans="2:5" ht="47" x14ac:dyDescent="0.55000000000000004">
      <c r="B6" s="44" t="s">
        <v>439</v>
      </c>
    </row>
    <row r="7" spans="2:5" ht="47" x14ac:dyDescent="0.55000000000000004">
      <c r="B7" s="44" t="s">
        <v>438</v>
      </c>
      <c r="D7">
        <f xml:space="preserve"> (7 * 1) +(109 / 10) + (2 * 6)</f>
        <v>29.9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9DBF-2C31-B047-918C-50CF4D2C1F2F}">
  <sheetPr codeName="Sheet7"/>
  <dimension ref="A1:BN711"/>
  <sheetViews>
    <sheetView workbookViewId="0">
      <pane ySplit="1" topLeftCell="A467" activePane="bottomLeft" state="frozen"/>
      <selection pane="bottomLeft" activeCell="O261" sqref="O261"/>
    </sheetView>
  </sheetViews>
  <sheetFormatPr baseColWidth="10" defaultRowHeight="16" x14ac:dyDescent="0.2"/>
  <cols>
    <col min="1" max="1" width="6.5" bestFit="1" customWidth="1"/>
    <col min="2" max="2" width="13.6640625" bestFit="1" customWidth="1"/>
    <col min="3" max="3" width="6.83203125" bestFit="1" customWidth="1"/>
    <col min="4" max="4" width="13" bestFit="1" customWidth="1"/>
    <col min="5" max="5" width="10.6640625" bestFit="1" customWidth="1"/>
    <col min="6" max="6" width="11.6640625" bestFit="1" customWidth="1"/>
    <col min="7" max="7" width="8.83203125" bestFit="1" customWidth="1"/>
    <col min="8" max="8" width="9" bestFit="1" customWidth="1"/>
    <col min="9" max="9" width="11.33203125" bestFit="1" customWidth="1"/>
    <col min="10" max="10" width="9.83203125" customWidth="1"/>
    <col min="11" max="11" width="11.33203125" bestFit="1" customWidth="1"/>
    <col min="12" max="12" width="6.1640625" bestFit="1" customWidth="1"/>
    <col min="13" max="13" width="7.33203125" bestFit="1" customWidth="1"/>
    <col min="14" max="14" width="10.5" bestFit="1" customWidth="1"/>
    <col min="15" max="15" width="9.33203125" bestFit="1" customWidth="1"/>
    <col min="16" max="16" width="6.33203125" bestFit="1" customWidth="1"/>
    <col min="17" max="17" width="8.6640625" bestFit="1" customWidth="1"/>
    <col min="18" max="18" width="9.1640625" bestFit="1" customWidth="1"/>
    <col min="19" max="19" width="8.33203125" style="1" bestFit="1" customWidth="1"/>
    <col min="20" max="20" width="10.5" style="1" bestFit="1" customWidth="1"/>
    <col min="21" max="21" width="8.33203125" bestFit="1" customWidth="1"/>
    <col min="22" max="23" width="19" bestFit="1" customWidth="1"/>
    <col min="24" max="24" width="12.33203125" bestFit="1" customWidth="1"/>
    <col min="26" max="26" width="12" bestFit="1" customWidth="1"/>
    <col min="27" max="27" width="15" bestFit="1" customWidth="1"/>
    <col min="29" max="29" width="12.33203125" bestFit="1" customWidth="1"/>
    <col min="31" max="31" width="12" bestFit="1" customWidth="1"/>
    <col min="32" max="32" width="15" bestFit="1" customWidth="1"/>
    <col min="34" max="34" width="12.33203125" bestFit="1" customWidth="1"/>
    <col min="36" max="36" width="12" bestFit="1" customWidth="1"/>
    <col min="37" max="37" width="15" bestFit="1" customWidth="1"/>
    <col min="39" max="39" width="12.33203125" bestFit="1" customWidth="1"/>
    <col min="41" max="41" width="12" bestFit="1" customWidth="1"/>
    <col min="42" max="42" width="15" bestFit="1" customWidth="1"/>
    <col min="44" max="44" width="12.33203125" bestFit="1" customWidth="1"/>
    <col min="46" max="46" width="12" bestFit="1" customWidth="1"/>
    <col min="47" max="47" width="15" bestFit="1" customWidth="1"/>
    <col min="49" max="49" width="12.33203125" bestFit="1" customWidth="1"/>
    <col min="51" max="51" width="12" bestFit="1" customWidth="1"/>
    <col min="52" max="52" width="15" bestFit="1" customWidth="1"/>
    <col min="54" max="54" width="12.33203125" bestFit="1" customWidth="1"/>
    <col min="56" max="56" width="12" bestFit="1" customWidth="1"/>
    <col min="57" max="57" width="15" bestFit="1" customWidth="1"/>
    <col min="59" max="59" width="12.33203125" bestFit="1" customWidth="1"/>
    <col min="61" max="61" width="12" bestFit="1" customWidth="1"/>
    <col min="62" max="62" width="15" bestFit="1" customWidth="1"/>
    <col min="64" max="64" width="12.33203125" bestFit="1" customWidth="1"/>
  </cols>
  <sheetData>
    <row r="1" spans="1:66" x14ac:dyDescent="0.2">
      <c r="A1" t="s">
        <v>420</v>
      </c>
      <c r="B1" t="s">
        <v>1</v>
      </c>
      <c r="C1" t="s">
        <v>77</v>
      </c>
      <c r="D1" t="s">
        <v>65</v>
      </c>
      <c r="E1" t="s">
        <v>66</v>
      </c>
      <c r="F1" t="s">
        <v>108</v>
      </c>
      <c r="G1" t="s">
        <v>120</v>
      </c>
      <c r="H1" t="s">
        <v>121</v>
      </c>
      <c r="I1" t="s">
        <v>131</v>
      </c>
      <c r="J1" t="s">
        <v>119</v>
      </c>
      <c r="K1" t="s">
        <v>133</v>
      </c>
      <c r="L1" t="s">
        <v>122</v>
      </c>
      <c r="M1" t="s">
        <v>123</v>
      </c>
      <c r="N1" t="s">
        <v>124</v>
      </c>
      <c r="O1" t="s">
        <v>9</v>
      </c>
      <c r="P1" t="s">
        <v>13</v>
      </c>
      <c r="Q1" t="s">
        <v>2</v>
      </c>
      <c r="R1" t="s">
        <v>3</v>
      </c>
      <c r="S1" s="1" t="s">
        <v>6</v>
      </c>
      <c r="T1" s="1" t="s">
        <v>226</v>
      </c>
      <c r="U1" t="s">
        <v>0</v>
      </c>
      <c r="V1" t="s">
        <v>254</v>
      </c>
      <c r="W1" t="s">
        <v>227</v>
      </c>
      <c r="X1" s="1"/>
      <c r="Y1" s="1"/>
      <c r="Z1" s="1"/>
      <c r="AA1" s="8"/>
      <c r="AB1" s="8"/>
      <c r="AC1" s="9"/>
      <c r="AD1" s="9"/>
      <c r="AE1" s="9"/>
      <c r="AF1" s="8"/>
      <c r="AG1" s="8"/>
      <c r="AH1" s="9"/>
      <c r="AI1" s="9"/>
      <c r="AJ1" s="9"/>
      <c r="AK1" s="5"/>
      <c r="AL1" s="6"/>
      <c r="AM1" s="6"/>
      <c r="AN1" s="6"/>
      <c r="AO1" s="6"/>
      <c r="AP1" s="5"/>
      <c r="AQ1" s="5"/>
      <c r="AR1" s="6"/>
      <c r="AS1" s="6"/>
      <c r="AT1" s="6"/>
      <c r="AU1" s="5"/>
      <c r="AV1" s="5"/>
      <c r="AW1" s="6"/>
      <c r="AX1" s="6"/>
      <c r="AY1" s="6"/>
      <c r="AZ1" s="6"/>
      <c r="BA1" s="6"/>
      <c r="BB1" s="6"/>
      <c r="BC1" s="6"/>
      <c r="BD1" s="6"/>
      <c r="BE1" s="3"/>
      <c r="BF1" s="4"/>
      <c r="BG1" s="4"/>
      <c r="BH1" s="4"/>
      <c r="BI1" s="4"/>
      <c r="BK1" s="9"/>
      <c r="BL1" s="9"/>
      <c r="BM1" s="9"/>
      <c r="BN1" s="9"/>
    </row>
    <row r="2" spans="1:66" x14ac:dyDescent="0.2">
      <c r="A2" t="s">
        <v>193</v>
      </c>
      <c r="O2">
        <v>10</v>
      </c>
      <c r="P2" s="42">
        <v>43.5</v>
      </c>
      <c r="R2">
        <v>11.9</v>
      </c>
      <c r="T2" s="19">
        <v>43387</v>
      </c>
      <c r="U2" s="13" t="s">
        <v>252</v>
      </c>
      <c r="V2" t="s">
        <v>285</v>
      </c>
      <c r="W2" s="13" t="s">
        <v>312</v>
      </c>
      <c r="X2" s="1"/>
      <c r="Y2" s="1"/>
      <c r="Z2" s="8"/>
      <c r="AA2" s="9"/>
      <c r="AB2" s="9"/>
      <c r="AC2" s="9"/>
      <c r="AD2" s="9"/>
      <c r="AE2" s="8"/>
      <c r="AF2" s="9"/>
      <c r="AG2" s="9"/>
      <c r="AH2" s="9"/>
      <c r="AI2" s="9"/>
      <c r="AJ2" s="5"/>
      <c r="AK2" s="6"/>
      <c r="AL2" s="6"/>
      <c r="AM2" s="6"/>
      <c r="AN2" s="6"/>
      <c r="AO2" s="5"/>
      <c r="AP2" s="6"/>
      <c r="AQ2" s="6"/>
      <c r="AR2" s="6"/>
      <c r="AS2" s="6"/>
      <c r="AT2" s="5"/>
      <c r="AU2" s="6"/>
      <c r="AV2" s="6"/>
      <c r="AW2" s="6"/>
      <c r="AX2" s="6"/>
      <c r="AY2" s="5"/>
      <c r="AZ2" s="6"/>
      <c r="BA2" s="6"/>
      <c r="BB2" s="6"/>
      <c r="BC2" s="6"/>
      <c r="BD2" s="3"/>
      <c r="BE2" s="4"/>
      <c r="BF2" s="4"/>
      <c r="BG2" s="4"/>
      <c r="BH2" s="4"/>
      <c r="BI2" s="3"/>
      <c r="BJ2" s="4"/>
      <c r="BK2" s="4"/>
      <c r="BL2" s="4"/>
      <c r="BM2" s="4"/>
    </row>
    <row r="3" spans="1:66" x14ac:dyDescent="0.2">
      <c r="A3" t="s">
        <v>193</v>
      </c>
      <c r="D3" t="s">
        <v>75</v>
      </c>
      <c r="E3" t="s">
        <v>75</v>
      </c>
      <c r="F3" t="s">
        <v>109</v>
      </c>
      <c r="O3">
        <v>-3</v>
      </c>
      <c r="P3" s="42">
        <v>57.5</v>
      </c>
      <c r="R3">
        <v>22.1</v>
      </c>
      <c r="T3" s="19">
        <v>43387</v>
      </c>
      <c r="U3" s="13" t="s">
        <v>252</v>
      </c>
      <c r="V3" s="41" t="s">
        <v>295</v>
      </c>
      <c r="W3" s="13" t="s">
        <v>284</v>
      </c>
      <c r="X3" s="1"/>
      <c r="Y3" s="1"/>
      <c r="Z3" s="8"/>
      <c r="AA3" s="9"/>
      <c r="AB3" s="9"/>
      <c r="AC3" s="9"/>
      <c r="AD3" s="9"/>
      <c r="AE3" s="8"/>
      <c r="AF3" s="9"/>
      <c r="AG3" s="9"/>
      <c r="AH3" s="9"/>
      <c r="AI3" s="9"/>
      <c r="AJ3" s="5"/>
      <c r="AK3" s="6"/>
      <c r="AL3" s="6"/>
      <c r="AM3" s="6"/>
      <c r="AN3" s="6"/>
      <c r="AO3" s="5"/>
      <c r="AP3" s="6"/>
      <c r="AQ3" s="6"/>
      <c r="AR3" s="6"/>
      <c r="AS3" s="6"/>
      <c r="AT3" s="5"/>
      <c r="AU3" s="6"/>
      <c r="AV3" s="6"/>
      <c r="AW3" s="6"/>
      <c r="AX3" s="6"/>
      <c r="AY3" s="5"/>
      <c r="AZ3" s="6"/>
      <c r="BA3" s="6"/>
      <c r="BB3" s="6"/>
      <c r="BC3" s="6"/>
      <c r="BD3" s="3"/>
      <c r="BE3" s="4"/>
      <c r="BF3" s="4"/>
      <c r="BG3" s="4"/>
      <c r="BH3" s="4"/>
      <c r="BI3" s="3"/>
      <c r="BJ3" s="4"/>
      <c r="BK3" s="4"/>
      <c r="BL3" s="4"/>
      <c r="BM3" s="4"/>
    </row>
    <row r="4" spans="1:66" x14ac:dyDescent="0.2">
      <c r="A4" t="s">
        <v>193</v>
      </c>
      <c r="D4" t="s">
        <v>75</v>
      </c>
      <c r="O4">
        <v>-2.5</v>
      </c>
      <c r="P4" s="42">
        <v>43.5</v>
      </c>
      <c r="R4">
        <v>4</v>
      </c>
      <c r="T4" s="19">
        <v>43387</v>
      </c>
      <c r="U4" s="13" t="s">
        <v>252</v>
      </c>
      <c r="V4" t="s">
        <v>305</v>
      </c>
      <c r="W4" s="13" t="s">
        <v>310</v>
      </c>
      <c r="X4" s="1"/>
      <c r="Y4" s="1"/>
      <c r="Z4" s="8"/>
      <c r="AA4" s="8"/>
      <c r="AB4" s="9"/>
      <c r="AC4" s="9"/>
      <c r="AD4" s="9"/>
      <c r="AE4" s="8"/>
      <c r="AF4" s="8"/>
      <c r="AG4" s="9"/>
      <c r="AH4" s="9"/>
      <c r="AI4" s="9"/>
      <c r="AJ4" s="5"/>
      <c r="AK4" s="5"/>
      <c r="AL4" s="6"/>
      <c r="AM4" s="6"/>
      <c r="AN4" s="6"/>
      <c r="AO4" s="5"/>
      <c r="AP4" s="5"/>
      <c r="AQ4" s="6"/>
      <c r="AR4" s="6"/>
      <c r="AS4" s="6"/>
      <c r="AT4" s="5"/>
      <c r="AU4" s="5"/>
      <c r="AV4" s="6"/>
      <c r="AW4" s="6"/>
      <c r="AX4" s="6"/>
      <c r="AY4" s="5"/>
      <c r="AZ4" s="5"/>
      <c r="BA4" s="6"/>
      <c r="BB4" s="6"/>
      <c r="BC4" s="6"/>
      <c r="BD4" s="3"/>
      <c r="BE4" s="3"/>
      <c r="BF4" s="4"/>
      <c r="BG4" s="4"/>
      <c r="BH4" s="4"/>
      <c r="BI4" s="3"/>
      <c r="BJ4" s="3"/>
      <c r="BK4" s="4"/>
      <c r="BL4" s="4"/>
      <c r="BM4" s="4"/>
    </row>
    <row r="5" spans="1:66" x14ac:dyDescent="0.2">
      <c r="A5" t="s">
        <v>193</v>
      </c>
      <c r="O5">
        <v>10.5</v>
      </c>
      <c r="P5" s="42">
        <v>40.5</v>
      </c>
      <c r="R5">
        <v>0</v>
      </c>
      <c r="T5" s="19">
        <v>43387</v>
      </c>
      <c r="U5" s="13" t="s">
        <v>252</v>
      </c>
      <c r="V5" t="s">
        <v>276</v>
      </c>
      <c r="W5" s="13" t="s">
        <v>311</v>
      </c>
      <c r="X5" s="1"/>
      <c r="Y5" s="1"/>
      <c r="Z5" s="8"/>
      <c r="AA5" s="9"/>
      <c r="AB5" s="9"/>
      <c r="AC5" s="9"/>
      <c r="AD5" s="9"/>
      <c r="AE5" s="8"/>
      <c r="AF5" s="9"/>
      <c r="AG5" s="9"/>
      <c r="AH5" s="9"/>
      <c r="AI5" s="9"/>
      <c r="AJ5" s="5"/>
      <c r="AK5" s="6"/>
      <c r="AL5" s="6"/>
      <c r="AM5" s="6"/>
      <c r="AN5" s="6"/>
      <c r="AO5" s="5"/>
      <c r="AP5" s="6"/>
      <c r="AQ5" s="6"/>
      <c r="AR5" s="6"/>
      <c r="AS5" s="6"/>
      <c r="AT5" s="5"/>
      <c r="AU5" s="6"/>
      <c r="AV5" s="6"/>
      <c r="AW5" s="6"/>
      <c r="AX5" s="6"/>
      <c r="AY5" s="5"/>
      <c r="AZ5" s="6"/>
      <c r="BA5" s="6"/>
      <c r="BB5" s="6"/>
      <c r="BC5" s="6"/>
      <c r="BD5" s="3"/>
      <c r="BE5" s="4"/>
      <c r="BF5" s="4"/>
      <c r="BG5" s="4"/>
      <c r="BH5" s="4"/>
      <c r="BI5" s="3"/>
      <c r="BJ5" s="4"/>
      <c r="BK5" s="4"/>
      <c r="BL5" s="4"/>
      <c r="BM5" s="4"/>
    </row>
    <row r="6" spans="1:66" x14ac:dyDescent="0.2">
      <c r="A6" t="s">
        <v>193</v>
      </c>
      <c r="F6" t="s">
        <v>110</v>
      </c>
      <c r="O6">
        <v>-1</v>
      </c>
      <c r="P6" s="42">
        <v>44.5</v>
      </c>
      <c r="R6">
        <v>8.8000000000000007</v>
      </c>
      <c r="T6" s="19">
        <v>43387</v>
      </c>
      <c r="U6" s="13" t="s">
        <v>252</v>
      </c>
      <c r="V6" s="41" t="s">
        <v>301</v>
      </c>
      <c r="W6" s="13" t="s">
        <v>306</v>
      </c>
      <c r="X6" s="1"/>
      <c r="Y6" s="1"/>
      <c r="Z6" s="8"/>
      <c r="AA6" s="9"/>
      <c r="AB6" s="9"/>
      <c r="AC6" s="9"/>
      <c r="AD6" s="9"/>
      <c r="AE6" s="8"/>
      <c r="AF6" s="9"/>
      <c r="AG6" s="9"/>
      <c r="AH6" s="9"/>
      <c r="AI6" s="9"/>
      <c r="AJ6" s="5"/>
      <c r="AK6" s="6"/>
      <c r="AL6" s="6"/>
      <c r="AM6" s="6"/>
      <c r="AN6" s="6"/>
      <c r="AO6" s="5"/>
      <c r="AP6" s="6"/>
      <c r="AQ6" s="6"/>
      <c r="AR6" s="6"/>
      <c r="AS6" s="6"/>
      <c r="AT6" s="5"/>
      <c r="AU6" s="6"/>
      <c r="AV6" s="6"/>
      <c r="AW6" s="6"/>
      <c r="AX6" s="6"/>
      <c r="AY6" s="5"/>
      <c r="AZ6" s="6"/>
      <c r="BA6" s="6"/>
      <c r="BB6" s="6"/>
      <c r="BC6" s="6"/>
      <c r="BD6" s="3"/>
      <c r="BE6" s="4"/>
      <c r="BF6" s="4"/>
      <c r="BG6" s="4"/>
      <c r="BH6" s="4"/>
      <c r="BI6" s="3"/>
      <c r="BJ6" s="4"/>
      <c r="BK6" s="4"/>
      <c r="BL6" s="4"/>
      <c r="BM6" s="4"/>
    </row>
    <row r="7" spans="1:66" x14ac:dyDescent="0.2">
      <c r="A7" t="s">
        <v>193</v>
      </c>
      <c r="E7" t="s">
        <v>75</v>
      </c>
      <c r="F7" t="s">
        <v>110</v>
      </c>
      <c r="O7">
        <v>-7</v>
      </c>
      <c r="P7" s="42">
        <v>41</v>
      </c>
      <c r="R7">
        <v>12.3</v>
      </c>
      <c r="T7" s="19">
        <v>43387</v>
      </c>
      <c r="U7" s="13" t="s">
        <v>252</v>
      </c>
      <c r="V7" t="s">
        <v>265</v>
      </c>
      <c r="W7" s="13" t="s">
        <v>293</v>
      </c>
      <c r="X7" s="1"/>
      <c r="Y7" s="1"/>
      <c r="Z7" s="8"/>
      <c r="AA7" s="8"/>
      <c r="AB7" s="9"/>
      <c r="AC7" s="9"/>
      <c r="AD7" s="9"/>
      <c r="AE7" s="8"/>
      <c r="AF7" s="8"/>
      <c r="AG7" s="9"/>
      <c r="AH7" s="9"/>
      <c r="AI7" s="9"/>
      <c r="AJ7" s="5"/>
      <c r="AK7" s="5"/>
      <c r="AL7" s="6"/>
      <c r="AM7" s="6"/>
      <c r="AN7" s="6"/>
      <c r="AO7" s="5"/>
      <c r="AP7" s="5"/>
      <c r="AQ7" s="6"/>
      <c r="AR7" s="6"/>
      <c r="AS7" s="6"/>
      <c r="AT7" s="5"/>
      <c r="AU7" s="5"/>
      <c r="AV7" s="6"/>
      <c r="AW7" s="6"/>
      <c r="AX7" s="6"/>
      <c r="AY7" s="5"/>
      <c r="AZ7" s="5"/>
      <c r="BA7" s="6"/>
      <c r="BB7" s="6"/>
      <c r="BC7" s="6"/>
      <c r="BD7" s="3"/>
      <c r="BE7" s="3"/>
      <c r="BF7" s="4"/>
      <c r="BG7" s="4"/>
      <c r="BH7" s="4"/>
      <c r="BI7" s="3"/>
      <c r="BJ7" s="3"/>
      <c r="BK7" s="4"/>
      <c r="BL7" s="4"/>
      <c r="BM7" s="4"/>
    </row>
    <row r="8" spans="1:66" x14ac:dyDescent="0.2">
      <c r="A8" t="s">
        <v>193</v>
      </c>
      <c r="F8" t="s">
        <v>109</v>
      </c>
      <c r="O8">
        <v>-1</v>
      </c>
      <c r="P8" s="42">
        <v>49.5</v>
      </c>
      <c r="R8">
        <v>11.4</v>
      </c>
      <c r="T8" s="19">
        <v>43387</v>
      </c>
      <c r="U8" s="13" t="s">
        <v>252</v>
      </c>
      <c r="V8" t="s">
        <v>272</v>
      </c>
      <c r="W8" s="13" t="s">
        <v>309</v>
      </c>
      <c r="X8" s="1"/>
      <c r="Y8" s="1"/>
      <c r="Z8" s="8"/>
      <c r="AA8" s="9"/>
      <c r="AB8" s="9"/>
      <c r="AC8" s="9"/>
      <c r="AD8" s="9"/>
      <c r="AE8" s="8"/>
      <c r="AF8" s="9"/>
      <c r="AG8" s="9"/>
      <c r="AH8" s="9"/>
      <c r="AI8" s="9"/>
      <c r="AJ8" s="5"/>
      <c r="AK8" s="6"/>
      <c r="AL8" s="6"/>
      <c r="AM8" s="6"/>
      <c r="AN8" s="6"/>
      <c r="AO8" s="5"/>
      <c r="AP8" s="6"/>
      <c r="AQ8" s="6"/>
      <c r="AR8" s="6"/>
      <c r="AS8" s="6"/>
      <c r="AT8" s="5"/>
      <c r="AU8" s="6"/>
      <c r="AV8" s="6"/>
      <c r="AW8" s="6"/>
      <c r="AX8" s="6"/>
      <c r="AY8" s="5"/>
      <c r="AZ8" s="6"/>
      <c r="BA8" s="6"/>
      <c r="BB8" s="6"/>
      <c r="BC8" s="6"/>
      <c r="BD8" s="3"/>
      <c r="BE8" s="4"/>
      <c r="BF8" s="4"/>
      <c r="BG8" s="4"/>
      <c r="BH8" s="4"/>
      <c r="BI8" s="3"/>
      <c r="BJ8" s="4"/>
      <c r="BK8" s="4"/>
      <c r="BL8" s="4"/>
      <c r="BM8" s="4"/>
    </row>
    <row r="9" spans="1:66" x14ac:dyDescent="0.2">
      <c r="A9" t="s">
        <v>193</v>
      </c>
      <c r="O9">
        <v>-1</v>
      </c>
      <c r="P9" s="42">
        <v>47</v>
      </c>
      <c r="R9">
        <v>18.5</v>
      </c>
      <c r="T9" s="19">
        <v>43387</v>
      </c>
      <c r="U9" s="13" t="s">
        <v>252</v>
      </c>
      <c r="V9" t="s">
        <v>281</v>
      </c>
      <c r="W9" s="13" t="s">
        <v>287</v>
      </c>
      <c r="X9" s="1"/>
      <c r="Y9" s="1"/>
      <c r="Z9" s="8"/>
      <c r="AA9" s="9"/>
      <c r="AB9" s="9"/>
      <c r="AC9" s="9"/>
      <c r="AD9" s="9"/>
      <c r="AE9" s="8"/>
      <c r="AF9" s="9"/>
      <c r="AG9" s="9"/>
      <c r="AH9" s="9"/>
      <c r="AI9" s="9"/>
      <c r="AJ9" s="5"/>
      <c r="AK9" s="6"/>
      <c r="AL9" s="6"/>
      <c r="AM9" s="6"/>
      <c r="AN9" s="6"/>
      <c r="AO9" s="5"/>
      <c r="AP9" s="6"/>
      <c r="AQ9" s="6"/>
      <c r="AR9" s="6"/>
      <c r="AS9" s="6"/>
      <c r="AT9" s="5"/>
      <c r="AU9" s="6"/>
      <c r="AV9" s="6"/>
      <c r="AW9" s="6"/>
      <c r="AX9" s="6"/>
      <c r="AY9" s="5"/>
      <c r="AZ9" s="6"/>
      <c r="BA9" s="6"/>
      <c r="BB9" s="6"/>
      <c r="BC9" s="6"/>
      <c r="BD9" s="3"/>
      <c r="BE9" s="4"/>
      <c r="BF9" s="4"/>
      <c r="BG9" s="4"/>
      <c r="BH9" s="4"/>
      <c r="BI9" s="3"/>
      <c r="BJ9" s="4"/>
      <c r="BK9" s="4"/>
      <c r="BL9" s="4"/>
      <c r="BM9" s="4"/>
    </row>
    <row r="10" spans="1:66" x14ac:dyDescent="0.2">
      <c r="A10" t="s">
        <v>193</v>
      </c>
      <c r="O10">
        <v>3</v>
      </c>
      <c r="P10" s="42">
        <v>39.5</v>
      </c>
      <c r="R10">
        <v>4.0999999999999996</v>
      </c>
      <c r="T10" s="19">
        <v>43387</v>
      </c>
      <c r="U10" s="13" t="s">
        <v>252</v>
      </c>
      <c r="V10" s="17" t="s">
        <v>291</v>
      </c>
      <c r="W10" s="13" t="s">
        <v>297</v>
      </c>
      <c r="X10" s="1"/>
      <c r="Y10" s="1"/>
      <c r="Z10" s="8"/>
      <c r="AA10" s="8"/>
      <c r="AB10" s="9"/>
      <c r="AC10" s="9"/>
      <c r="AD10" s="9"/>
      <c r="AE10" s="8"/>
      <c r="AF10" s="8"/>
      <c r="AG10" s="9"/>
      <c r="AH10" s="9"/>
      <c r="AI10" s="9"/>
      <c r="AJ10" s="5"/>
      <c r="AK10" s="5"/>
      <c r="AL10" s="6"/>
      <c r="AM10" s="6"/>
      <c r="AN10" s="6"/>
      <c r="AO10" s="5"/>
      <c r="AP10" s="5"/>
      <c r="AQ10" s="6"/>
      <c r="AR10" s="6"/>
      <c r="AS10" s="6"/>
      <c r="AT10" s="5"/>
      <c r="AU10" s="5"/>
      <c r="AV10" s="6"/>
      <c r="AW10" s="6"/>
      <c r="AX10" s="6"/>
      <c r="AY10" s="5"/>
      <c r="AZ10" s="5"/>
      <c r="BA10" s="6"/>
      <c r="BB10" s="6"/>
      <c r="BC10" s="6"/>
      <c r="BD10" s="3"/>
      <c r="BE10" s="3"/>
      <c r="BF10" s="4"/>
      <c r="BG10" s="4"/>
      <c r="BH10" s="4"/>
      <c r="BI10" s="3"/>
      <c r="BJ10" s="3"/>
      <c r="BK10" s="4"/>
      <c r="BL10" s="4"/>
      <c r="BM10" s="4"/>
    </row>
    <row r="11" spans="1:66" x14ac:dyDescent="0.2">
      <c r="A11" t="s">
        <v>193</v>
      </c>
      <c r="D11" t="s">
        <v>75</v>
      </c>
      <c r="O11">
        <v>7</v>
      </c>
      <c r="P11" s="42">
        <v>50</v>
      </c>
      <c r="R11">
        <v>5.3</v>
      </c>
      <c r="T11" s="19">
        <v>43387</v>
      </c>
      <c r="U11" s="13" t="s">
        <v>252</v>
      </c>
      <c r="V11" t="s">
        <v>278</v>
      </c>
      <c r="W11" s="13" t="s">
        <v>304</v>
      </c>
      <c r="X11" s="1"/>
      <c r="Y11" s="1"/>
      <c r="Z11" s="8"/>
      <c r="AA11" s="9"/>
      <c r="AB11" s="9"/>
      <c r="AC11" s="9"/>
      <c r="AD11" s="9"/>
      <c r="AE11" s="8"/>
      <c r="AF11" s="9"/>
      <c r="AG11" s="9"/>
      <c r="AH11" s="9"/>
      <c r="AI11" s="9"/>
      <c r="AJ11" s="5"/>
      <c r="AK11" s="6"/>
      <c r="AL11" s="6"/>
      <c r="AM11" s="6"/>
      <c r="AN11" s="6"/>
      <c r="AO11" s="5"/>
      <c r="AP11" s="6"/>
      <c r="AQ11" s="6"/>
      <c r="AR11" s="6"/>
      <c r="AS11" s="6"/>
      <c r="AT11" s="5"/>
      <c r="AU11" s="6"/>
      <c r="AV11" s="6"/>
      <c r="AW11" s="6"/>
      <c r="AX11" s="6"/>
      <c r="AY11" s="5"/>
      <c r="AZ11" s="6"/>
      <c r="BA11" s="6"/>
      <c r="BB11" s="6"/>
      <c r="BC11" s="6"/>
      <c r="BD11" s="3"/>
      <c r="BE11" s="4"/>
      <c r="BF11" s="4"/>
      <c r="BG11" s="4"/>
      <c r="BH11" s="4"/>
      <c r="BI11" s="3"/>
      <c r="BJ11" s="4"/>
      <c r="BK11" s="4"/>
      <c r="BL11" s="4"/>
      <c r="BM11" s="4"/>
    </row>
    <row r="12" spans="1:66" x14ac:dyDescent="0.2">
      <c r="A12" t="s">
        <v>193</v>
      </c>
      <c r="D12" t="s">
        <v>75</v>
      </c>
      <c r="O12">
        <v>-9</v>
      </c>
      <c r="P12" s="42">
        <v>46.5</v>
      </c>
      <c r="R12">
        <v>18.399999999999999</v>
      </c>
      <c r="T12" s="19">
        <v>43387</v>
      </c>
      <c r="U12" s="13" t="s">
        <v>252</v>
      </c>
      <c r="V12" s="41" t="s">
        <v>300</v>
      </c>
      <c r="W12" s="13" t="s">
        <v>256</v>
      </c>
      <c r="X12" s="1"/>
      <c r="Y12" s="1"/>
      <c r="Z12" s="8"/>
      <c r="AA12" s="9"/>
      <c r="AB12" s="9"/>
      <c r="AC12" s="9"/>
      <c r="AD12" s="9"/>
      <c r="AE12" s="8"/>
      <c r="AF12" s="9"/>
      <c r="AG12" s="9"/>
      <c r="AH12" s="9"/>
      <c r="AI12" s="9"/>
      <c r="AJ12" s="5"/>
      <c r="AK12" s="6"/>
      <c r="AL12" s="6"/>
      <c r="AM12" s="6"/>
      <c r="AN12" s="6"/>
      <c r="AO12" s="5"/>
      <c r="AP12" s="6"/>
      <c r="AQ12" s="6"/>
      <c r="AR12" s="6"/>
      <c r="AS12" s="6"/>
      <c r="AT12" s="5"/>
      <c r="AU12" s="6"/>
      <c r="AV12" s="6"/>
      <c r="AW12" s="6"/>
      <c r="AX12" s="6"/>
      <c r="AY12" s="5"/>
      <c r="AZ12" s="6"/>
      <c r="BA12" s="6"/>
      <c r="BB12" s="6"/>
      <c r="BC12" s="6"/>
      <c r="BD12" s="3"/>
      <c r="BE12" s="4"/>
      <c r="BF12" s="4"/>
      <c r="BG12" s="4"/>
      <c r="BH12" s="4"/>
      <c r="BI12" s="3"/>
      <c r="BJ12" s="4"/>
      <c r="BK12" s="4"/>
      <c r="BL12" s="4"/>
      <c r="BM12" s="4"/>
    </row>
    <row r="13" spans="1:66" x14ac:dyDescent="0.2">
      <c r="A13" t="s">
        <v>193</v>
      </c>
      <c r="O13">
        <v>-10.5</v>
      </c>
      <c r="P13" s="42">
        <v>40.5</v>
      </c>
      <c r="R13">
        <v>0</v>
      </c>
      <c r="T13" s="19">
        <v>43387</v>
      </c>
      <c r="U13" s="13" t="s">
        <v>252</v>
      </c>
      <c r="V13" t="s">
        <v>311</v>
      </c>
      <c r="W13" s="13" t="s">
        <v>276</v>
      </c>
      <c r="X13" s="1"/>
      <c r="Y13" s="1"/>
      <c r="Z13" s="8"/>
      <c r="AA13" s="8"/>
      <c r="AB13" s="9"/>
      <c r="AC13" s="9"/>
      <c r="AD13" s="9"/>
      <c r="AE13" s="8"/>
      <c r="AF13" s="8"/>
      <c r="AG13" s="9"/>
      <c r="AH13" s="9"/>
      <c r="AI13" s="9"/>
      <c r="AJ13" s="5"/>
      <c r="AK13" s="5"/>
      <c r="AL13" s="6"/>
      <c r="AM13" s="6"/>
      <c r="AN13" s="6"/>
      <c r="AO13" s="5"/>
      <c r="AP13" s="5"/>
      <c r="AQ13" s="6"/>
      <c r="AR13" s="6"/>
      <c r="AS13" s="6"/>
      <c r="AT13" s="5"/>
      <c r="AU13" s="5"/>
      <c r="AV13" s="6"/>
      <c r="AW13" s="6"/>
      <c r="AX13" s="6"/>
      <c r="AY13" s="5"/>
      <c r="AZ13" s="5"/>
      <c r="BA13" s="6"/>
      <c r="BB13" s="6"/>
      <c r="BC13" s="6"/>
      <c r="BD13" s="3"/>
      <c r="BE13" s="3"/>
      <c r="BF13" s="4"/>
      <c r="BG13" s="4"/>
      <c r="BH13" s="4"/>
      <c r="BI13" s="3"/>
      <c r="BJ13" s="3"/>
      <c r="BK13" s="4"/>
      <c r="BL13" s="4"/>
      <c r="BM13" s="4"/>
    </row>
    <row r="14" spans="1:66" x14ac:dyDescent="0.2">
      <c r="A14" t="s">
        <v>193</v>
      </c>
      <c r="O14">
        <v>2.5</v>
      </c>
      <c r="P14" s="42">
        <v>47.5</v>
      </c>
      <c r="R14">
        <v>17</v>
      </c>
      <c r="T14" s="19">
        <v>43387</v>
      </c>
      <c r="U14" s="13" t="s">
        <v>252</v>
      </c>
      <c r="V14" t="s">
        <v>289</v>
      </c>
      <c r="W14" s="13" t="s">
        <v>298</v>
      </c>
      <c r="X14" s="1"/>
      <c r="Y14" s="1"/>
      <c r="Z14" s="8"/>
      <c r="AA14" s="9"/>
      <c r="AB14" s="9"/>
      <c r="AC14" s="9"/>
      <c r="AD14" s="9"/>
      <c r="AE14" s="8"/>
      <c r="AF14" s="9"/>
      <c r="AG14" s="9"/>
      <c r="AH14" s="9"/>
      <c r="AI14" s="9"/>
      <c r="AJ14" s="5"/>
      <c r="AK14" s="6"/>
      <c r="AL14" s="6"/>
      <c r="AM14" s="6"/>
      <c r="AN14" s="6"/>
      <c r="AO14" s="5"/>
      <c r="AP14" s="6"/>
      <c r="AQ14" s="6"/>
      <c r="AR14" s="6"/>
      <c r="AS14" s="6"/>
      <c r="AT14" s="5"/>
      <c r="AU14" s="6"/>
      <c r="AV14" s="6"/>
      <c r="AW14" s="6"/>
      <c r="AX14" s="6"/>
      <c r="AY14" s="5"/>
      <c r="AZ14" s="6"/>
      <c r="BA14" s="6"/>
      <c r="BB14" s="6"/>
      <c r="BC14" s="6"/>
      <c r="BD14" s="3"/>
      <c r="BE14" s="4"/>
      <c r="BF14" s="4"/>
      <c r="BG14" s="4"/>
      <c r="BH14" s="4"/>
      <c r="BI14" s="3"/>
      <c r="BJ14" s="4"/>
      <c r="BK14" s="4"/>
      <c r="BL14" s="4"/>
      <c r="BM14" s="4"/>
    </row>
    <row r="15" spans="1:66" x14ac:dyDescent="0.2">
      <c r="A15" t="s">
        <v>193</v>
      </c>
      <c r="O15">
        <v>-3</v>
      </c>
      <c r="P15" s="42">
        <v>39.5</v>
      </c>
      <c r="R15">
        <v>5.9</v>
      </c>
      <c r="T15" s="19">
        <v>43387</v>
      </c>
      <c r="U15" s="13" t="s">
        <v>252</v>
      </c>
      <c r="V15" s="17" t="s">
        <v>297</v>
      </c>
      <c r="W15" s="13" t="s">
        <v>291</v>
      </c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"/>
      <c r="BE15" s="3"/>
      <c r="BF15" s="3"/>
      <c r="BG15" s="3"/>
      <c r="BH15" s="3"/>
      <c r="BI15" s="3"/>
      <c r="BJ15" s="3"/>
      <c r="BK15" s="3"/>
      <c r="BL15" s="3"/>
      <c r="BM15" s="3"/>
    </row>
    <row r="16" spans="1:66" x14ac:dyDescent="0.2">
      <c r="A16" t="s">
        <v>193</v>
      </c>
      <c r="O16">
        <v>4</v>
      </c>
      <c r="P16" s="42">
        <v>59.5</v>
      </c>
      <c r="R16">
        <v>11.1</v>
      </c>
      <c r="T16" s="19">
        <v>43387</v>
      </c>
      <c r="U16" s="13" t="s">
        <v>252</v>
      </c>
      <c r="V16" t="s">
        <v>288</v>
      </c>
      <c r="W16" s="13" t="s">
        <v>302</v>
      </c>
      <c r="X16" s="1"/>
      <c r="Y16" s="1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5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3"/>
      <c r="BE16" s="4"/>
      <c r="BF16" s="4"/>
      <c r="BG16" s="4"/>
      <c r="BH16" s="4"/>
      <c r="BI16" s="3"/>
      <c r="BJ16" s="4"/>
      <c r="BK16" s="4"/>
      <c r="BL16" s="4"/>
      <c r="BM16" s="4"/>
    </row>
    <row r="17" spans="1:65" x14ac:dyDescent="0.2">
      <c r="A17" t="s">
        <v>193</v>
      </c>
      <c r="D17" t="s">
        <v>75</v>
      </c>
      <c r="F17" t="s">
        <v>110</v>
      </c>
      <c r="O17">
        <v>3</v>
      </c>
      <c r="P17" s="42">
        <v>47.5</v>
      </c>
      <c r="R17">
        <v>3</v>
      </c>
      <c r="T17" s="19">
        <v>43387</v>
      </c>
      <c r="U17" s="13" t="s">
        <v>252</v>
      </c>
      <c r="V17" s="17" t="s">
        <v>303</v>
      </c>
      <c r="W17" s="13" t="s">
        <v>308</v>
      </c>
      <c r="X17" s="1"/>
      <c r="Y17" s="1"/>
      <c r="Z17" s="8"/>
      <c r="AA17" s="9"/>
      <c r="AB17" s="9"/>
      <c r="AC17" s="9"/>
      <c r="AD17" s="9"/>
      <c r="AE17" s="8"/>
      <c r="AF17" s="9"/>
      <c r="AG17" s="9"/>
      <c r="AH17" s="9"/>
      <c r="AI17" s="9"/>
      <c r="AJ17" s="5"/>
      <c r="AK17" s="6"/>
      <c r="AL17" s="6"/>
      <c r="AM17" s="6"/>
      <c r="AN17" s="6"/>
      <c r="AO17" s="5"/>
      <c r="AP17" s="6"/>
      <c r="AQ17" s="6"/>
      <c r="AR17" s="6"/>
      <c r="AS17" s="6"/>
      <c r="AT17" s="5"/>
      <c r="AU17" s="6"/>
      <c r="AV17" s="6"/>
      <c r="AW17" s="6"/>
      <c r="AX17" s="6"/>
      <c r="AY17" s="5"/>
      <c r="AZ17" s="6"/>
      <c r="BA17" s="6"/>
      <c r="BB17" s="6"/>
      <c r="BC17" s="6"/>
      <c r="BD17" s="3"/>
      <c r="BE17" s="4"/>
      <c r="BF17" s="4"/>
      <c r="BG17" s="4"/>
      <c r="BH17" s="4"/>
      <c r="BI17" s="3"/>
      <c r="BJ17" s="4"/>
      <c r="BK17" s="4"/>
      <c r="BL17" s="4"/>
      <c r="BM17" s="4"/>
    </row>
    <row r="18" spans="1:65" x14ac:dyDescent="0.2">
      <c r="A18" t="s">
        <v>193</v>
      </c>
      <c r="O18">
        <v>1</v>
      </c>
      <c r="P18" s="42">
        <v>47</v>
      </c>
      <c r="R18">
        <v>1.5</v>
      </c>
      <c r="T18" s="19">
        <v>43387</v>
      </c>
      <c r="U18" s="13" t="s">
        <v>252</v>
      </c>
      <c r="V18" s="17" t="s">
        <v>287</v>
      </c>
      <c r="W18" s="13" t="s">
        <v>281</v>
      </c>
      <c r="X18" s="1"/>
      <c r="Y18" s="1"/>
      <c r="Z18" s="8"/>
      <c r="AA18" s="9"/>
      <c r="AB18" s="9"/>
      <c r="AC18" s="9"/>
      <c r="AD18" s="9"/>
      <c r="AE18" s="8"/>
      <c r="AF18" s="9"/>
      <c r="AG18" s="9"/>
      <c r="AH18" s="9"/>
      <c r="AI18" s="9"/>
      <c r="AJ18" s="5"/>
      <c r="AK18" s="6"/>
      <c r="AL18" s="6"/>
      <c r="AM18" s="6"/>
      <c r="AN18" s="6"/>
      <c r="AO18" s="5"/>
      <c r="AP18" s="6"/>
      <c r="AQ18" s="6"/>
      <c r="AR18" s="6"/>
      <c r="AS18" s="6"/>
      <c r="AT18" s="5"/>
      <c r="AU18" s="6"/>
      <c r="AV18" s="6"/>
      <c r="AW18" s="6"/>
      <c r="AX18" s="6"/>
      <c r="AY18" s="5"/>
      <c r="AZ18" s="6"/>
      <c r="BA18" s="6"/>
      <c r="BB18" s="6"/>
      <c r="BC18" s="6"/>
      <c r="BD18" s="3"/>
      <c r="BE18" s="4"/>
      <c r="BF18" s="4"/>
      <c r="BG18" s="4"/>
      <c r="BH18" s="4"/>
      <c r="BI18" s="3"/>
      <c r="BJ18" s="4"/>
      <c r="BK18" s="4"/>
      <c r="BL18" s="4"/>
      <c r="BM18" s="4"/>
    </row>
    <row r="19" spans="1:65" x14ac:dyDescent="0.2">
      <c r="A19" t="s">
        <v>193</v>
      </c>
      <c r="D19" t="s">
        <v>75</v>
      </c>
      <c r="O19">
        <v>-7</v>
      </c>
      <c r="P19" s="42">
        <v>50</v>
      </c>
      <c r="R19">
        <v>4.4000000000000004</v>
      </c>
      <c r="T19" s="19">
        <v>43387</v>
      </c>
      <c r="U19" s="13" t="s">
        <v>252</v>
      </c>
      <c r="V19" t="s">
        <v>304</v>
      </c>
      <c r="W19" s="13" t="s">
        <v>278</v>
      </c>
      <c r="X19" s="1"/>
      <c r="Y19" s="1"/>
      <c r="Z19" s="8"/>
      <c r="AA19" s="8"/>
      <c r="AB19" s="9"/>
      <c r="AC19" s="9"/>
      <c r="AD19" s="9"/>
      <c r="AE19" s="8"/>
      <c r="AF19" s="8"/>
      <c r="AG19" s="9"/>
      <c r="AH19" s="9"/>
      <c r="AI19" s="9"/>
      <c r="AJ19" s="7"/>
      <c r="AK19" s="6"/>
      <c r="AL19" s="6"/>
      <c r="AM19" s="6"/>
      <c r="AN19" s="6"/>
      <c r="AO19" s="5"/>
      <c r="AP19" s="5"/>
      <c r="AQ19" s="6"/>
      <c r="AR19" s="6"/>
      <c r="AS19" s="6"/>
      <c r="AT19" s="5"/>
      <c r="AU19" s="5"/>
      <c r="AV19" s="6"/>
      <c r="AW19" s="6"/>
      <c r="AX19" s="6"/>
      <c r="AY19" s="5"/>
      <c r="AZ19" s="5"/>
      <c r="BA19" s="6"/>
      <c r="BB19" s="6"/>
      <c r="BC19" s="6"/>
      <c r="BD19" s="3"/>
      <c r="BE19" s="3"/>
      <c r="BF19" s="4"/>
      <c r="BG19" s="4"/>
      <c r="BH19" s="4"/>
      <c r="BI19" s="3"/>
      <c r="BJ19" s="3"/>
      <c r="BK19" s="4"/>
      <c r="BL19" s="4"/>
      <c r="BM19" s="4"/>
    </row>
    <row r="20" spans="1:65" x14ac:dyDescent="0.2">
      <c r="A20" t="s">
        <v>193</v>
      </c>
      <c r="E20" t="s">
        <v>75</v>
      </c>
      <c r="F20" t="s">
        <v>110</v>
      </c>
      <c r="O20">
        <v>7</v>
      </c>
      <c r="P20" s="42">
        <v>41</v>
      </c>
      <c r="R20">
        <v>2.1</v>
      </c>
      <c r="T20" s="19">
        <v>43387</v>
      </c>
      <c r="U20" s="13" t="s">
        <v>252</v>
      </c>
      <c r="V20" s="41" t="s">
        <v>293</v>
      </c>
      <c r="W20" s="13" t="s">
        <v>265</v>
      </c>
      <c r="X20" s="1"/>
      <c r="Y20" s="1"/>
      <c r="Z20" s="8"/>
      <c r="AA20" s="9"/>
      <c r="AB20" s="9"/>
      <c r="AC20" s="9"/>
      <c r="AD20" s="9"/>
      <c r="AE20" s="8"/>
      <c r="AF20" s="9"/>
      <c r="AG20" s="9"/>
      <c r="AH20" s="9"/>
      <c r="AI20" s="9"/>
      <c r="AJ20" s="5"/>
      <c r="AK20" s="6"/>
      <c r="AL20" s="6"/>
      <c r="AM20" s="6"/>
      <c r="AN20" s="6"/>
      <c r="AO20" s="5"/>
      <c r="AP20" s="6"/>
      <c r="AQ20" s="6"/>
      <c r="AR20" s="6"/>
      <c r="AS20" s="6"/>
      <c r="AT20" s="5"/>
      <c r="AU20" s="6"/>
      <c r="AV20" s="6"/>
      <c r="AW20" s="6"/>
      <c r="AX20" s="6"/>
      <c r="AY20" s="5"/>
      <c r="AZ20" s="6"/>
      <c r="BA20" s="6"/>
      <c r="BB20" s="6"/>
      <c r="BC20" s="6"/>
      <c r="BD20" s="3"/>
      <c r="BE20" s="4"/>
      <c r="BF20" s="4"/>
      <c r="BG20" s="4"/>
      <c r="BH20" s="4"/>
      <c r="BI20" s="3"/>
      <c r="BJ20" s="4"/>
      <c r="BK20" s="4"/>
      <c r="BL20" s="4"/>
      <c r="BM20" s="4"/>
    </row>
    <row r="21" spans="1:65" x14ac:dyDescent="0.2">
      <c r="A21" t="s">
        <v>193</v>
      </c>
      <c r="D21" t="s">
        <v>75</v>
      </c>
      <c r="O21">
        <v>-10</v>
      </c>
      <c r="P21" s="42">
        <v>43.5</v>
      </c>
      <c r="R21">
        <v>7.7</v>
      </c>
      <c r="T21" s="19">
        <v>43387</v>
      </c>
      <c r="U21" s="13" t="s">
        <v>252</v>
      </c>
      <c r="V21" t="s">
        <v>312</v>
      </c>
      <c r="W21" s="13" t="s">
        <v>285</v>
      </c>
      <c r="X21" s="1"/>
      <c r="Y21" s="1"/>
      <c r="Z21" s="8"/>
      <c r="AA21" s="9"/>
      <c r="AB21" s="9"/>
      <c r="AC21" s="9"/>
      <c r="AD21" s="9"/>
      <c r="AE21" s="8"/>
      <c r="AF21" s="9"/>
      <c r="AG21" s="9"/>
      <c r="AH21" s="9"/>
      <c r="AI21" s="9"/>
      <c r="AJ21" s="5"/>
      <c r="AK21" s="6"/>
      <c r="AL21" s="6"/>
      <c r="AM21" s="6"/>
      <c r="AN21" s="6"/>
      <c r="AO21" s="5"/>
      <c r="AP21" s="6"/>
      <c r="AQ21" s="6"/>
      <c r="AR21" s="6"/>
      <c r="AS21" s="6"/>
      <c r="AT21" s="5"/>
      <c r="AU21" s="6"/>
      <c r="AV21" s="6"/>
      <c r="AW21" s="6"/>
      <c r="AX21" s="6"/>
      <c r="AY21" s="5"/>
      <c r="AZ21" s="6"/>
      <c r="BA21" s="6"/>
      <c r="BB21" s="6"/>
      <c r="BC21" s="6"/>
      <c r="BD21" s="3"/>
      <c r="BE21" s="4"/>
      <c r="BF21" s="4"/>
      <c r="BG21" s="4"/>
      <c r="BH21" s="4"/>
      <c r="BI21" s="3"/>
      <c r="BJ21" s="4"/>
      <c r="BK21" s="4"/>
      <c r="BL21" s="4"/>
      <c r="BM21" s="4"/>
    </row>
    <row r="22" spans="1:65" x14ac:dyDescent="0.2">
      <c r="A22" t="s">
        <v>193</v>
      </c>
      <c r="O22">
        <v>-4</v>
      </c>
      <c r="P22" s="42">
        <v>59.5</v>
      </c>
      <c r="R22">
        <v>12.7</v>
      </c>
      <c r="T22" s="19">
        <v>43387</v>
      </c>
      <c r="U22" s="13" t="s">
        <v>252</v>
      </c>
      <c r="V22" s="41" t="s">
        <v>302</v>
      </c>
      <c r="W22" s="13" t="s">
        <v>288</v>
      </c>
      <c r="X22" s="1"/>
      <c r="Y22" s="1"/>
      <c r="Z22" s="8"/>
      <c r="AA22" s="8"/>
      <c r="AB22" s="9"/>
      <c r="AC22" s="9"/>
      <c r="AD22" s="9"/>
      <c r="AE22" s="8"/>
      <c r="AF22" s="8"/>
      <c r="AG22" s="9"/>
      <c r="AH22" s="9"/>
      <c r="AI22" s="9"/>
      <c r="AJ22" s="5"/>
      <c r="AK22" s="6"/>
      <c r="AL22" s="6"/>
      <c r="AM22" s="6"/>
      <c r="AN22" s="6"/>
      <c r="AO22" s="5"/>
      <c r="AP22" s="5"/>
      <c r="AQ22" s="6"/>
      <c r="AR22" s="6"/>
      <c r="AS22" s="6"/>
      <c r="AT22" s="5"/>
      <c r="AU22" s="5"/>
      <c r="AV22" s="6"/>
      <c r="AW22" s="6"/>
      <c r="AX22" s="6"/>
      <c r="AY22" s="5"/>
      <c r="AZ22" s="5"/>
      <c r="BA22" s="6"/>
      <c r="BB22" s="6"/>
      <c r="BC22" s="6"/>
      <c r="BD22" s="3"/>
      <c r="BE22" s="3"/>
      <c r="BF22" s="4"/>
      <c r="BG22" s="4"/>
      <c r="BH22" s="4"/>
      <c r="BI22" s="3"/>
      <c r="BJ22" s="3"/>
      <c r="BK22" s="4"/>
      <c r="BL22" s="4"/>
      <c r="BM22" s="4"/>
    </row>
    <row r="23" spans="1:65" x14ac:dyDescent="0.2">
      <c r="A23" t="s">
        <v>193</v>
      </c>
      <c r="E23" t="s">
        <v>75</v>
      </c>
      <c r="O23">
        <v>1.5</v>
      </c>
      <c r="P23" s="42">
        <v>45.5</v>
      </c>
      <c r="R23">
        <v>3.4</v>
      </c>
      <c r="T23" s="19">
        <v>43387</v>
      </c>
      <c r="U23" s="13" t="s">
        <v>252</v>
      </c>
      <c r="V23" s="41" t="s">
        <v>296</v>
      </c>
      <c r="W23" s="13" t="s">
        <v>294</v>
      </c>
      <c r="X23" s="1"/>
      <c r="Y23" s="1"/>
      <c r="Z23" s="8"/>
      <c r="AA23" s="9"/>
      <c r="AB23" s="9"/>
      <c r="AC23" s="9"/>
      <c r="AD23" s="9"/>
      <c r="AE23" s="8"/>
      <c r="AF23" s="9"/>
      <c r="AG23" s="9"/>
      <c r="AH23" s="9"/>
      <c r="AI23" s="9"/>
      <c r="AJ23" s="5"/>
      <c r="AK23" s="6"/>
      <c r="AL23" s="6"/>
      <c r="AM23" s="6"/>
      <c r="AN23" s="6"/>
      <c r="AO23" s="5"/>
      <c r="AP23" s="6"/>
      <c r="AQ23" s="6"/>
      <c r="AR23" s="6"/>
      <c r="AS23" s="6"/>
      <c r="AT23" s="5"/>
      <c r="AU23" s="6"/>
      <c r="AV23" s="6"/>
      <c r="AW23" s="6"/>
      <c r="AX23" s="6"/>
      <c r="AY23" s="5"/>
      <c r="AZ23" s="6"/>
      <c r="BA23" s="6"/>
      <c r="BB23" s="6"/>
      <c r="BC23" s="6"/>
      <c r="BD23" s="3"/>
      <c r="BE23" s="4"/>
      <c r="BF23" s="4"/>
      <c r="BG23" s="4"/>
      <c r="BH23" s="4"/>
      <c r="BI23" s="3"/>
      <c r="BJ23" s="4"/>
      <c r="BK23" s="4"/>
      <c r="BL23" s="4"/>
      <c r="BM23" s="4"/>
    </row>
    <row r="24" spans="1:65" x14ac:dyDescent="0.2">
      <c r="A24" t="s">
        <v>193</v>
      </c>
      <c r="D24" t="s">
        <v>75</v>
      </c>
      <c r="O24">
        <v>-2.5</v>
      </c>
      <c r="P24" s="42">
        <v>47.5</v>
      </c>
      <c r="R24">
        <v>13.6</v>
      </c>
      <c r="T24" s="19">
        <v>43387</v>
      </c>
      <c r="U24" s="13" t="s">
        <v>252</v>
      </c>
      <c r="V24" s="41" t="s">
        <v>298</v>
      </c>
      <c r="W24" s="13" t="s">
        <v>289</v>
      </c>
      <c r="X24" s="1"/>
      <c r="Y24" s="1"/>
      <c r="Z24" s="8"/>
      <c r="AA24" s="9"/>
      <c r="AB24" s="9"/>
      <c r="AC24" s="9"/>
      <c r="AD24" s="9"/>
      <c r="AE24" s="8"/>
      <c r="AF24" s="9"/>
      <c r="AG24" s="9"/>
      <c r="AH24" s="9"/>
      <c r="AI24" s="9"/>
      <c r="AJ24" s="5"/>
      <c r="AK24" s="6"/>
      <c r="AL24" s="6"/>
      <c r="AM24" s="6"/>
      <c r="AN24" s="6"/>
      <c r="AO24" s="5"/>
      <c r="AP24" s="6"/>
      <c r="AQ24" s="6"/>
      <c r="AR24" s="6"/>
      <c r="AS24" s="6"/>
      <c r="AT24" s="5"/>
      <c r="AU24" s="6"/>
      <c r="AV24" s="6"/>
      <c r="AW24" s="6"/>
      <c r="AX24" s="6"/>
      <c r="AY24" s="5"/>
      <c r="AZ24" s="6"/>
      <c r="BA24" s="6"/>
      <c r="BB24" s="6"/>
      <c r="BC24" s="6"/>
      <c r="BD24" s="3"/>
      <c r="BE24" s="4"/>
      <c r="BF24" s="4"/>
      <c r="BG24" s="4"/>
      <c r="BH24" s="4"/>
      <c r="BI24" s="3"/>
      <c r="BJ24" s="4"/>
      <c r="BK24" s="4"/>
      <c r="BL24" s="4"/>
      <c r="BM24" s="4"/>
    </row>
    <row r="25" spans="1:65" x14ac:dyDescent="0.2">
      <c r="A25" t="s">
        <v>193</v>
      </c>
      <c r="E25" t="s">
        <v>75</v>
      </c>
      <c r="O25">
        <v>-1.5</v>
      </c>
      <c r="P25" s="42">
        <v>45.5</v>
      </c>
      <c r="R25">
        <v>17.3</v>
      </c>
      <c r="T25" s="19">
        <v>43387</v>
      </c>
      <c r="U25" s="13" t="s">
        <v>252</v>
      </c>
      <c r="V25" s="41" t="s">
        <v>294</v>
      </c>
      <c r="W25" s="13" t="s">
        <v>296</v>
      </c>
      <c r="X25" s="1"/>
      <c r="Y25" s="1"/>
      <c r="Z25" s="8"/>
      <c r="AA25" s="8"/>
      <c r="AB25" s="9"/>
      <c r="AC25" s="9"/>
      <c r="AD25" s="9"/>
      <c r="AE25" s="8"/>
      <c r="AF25" s="8"/>
      <c r="AG25" s="9"/>
      <c r="AH25" s="9"/>
      <c r="AI25" s="9"/>
      <c r="AJ25" s="5"/>
      <c r="AK25" s="6"/>
      <c r="AL25" s="6"/>
      <c r="AM25" s="6"/>
      <c r="AN25" s="6"/>
      <c r="AO25" s="5"/>
      <c r="AP25" s="5"/>
      <c r="AQ25" s="6"/>
      <c r="AR25" s="6"/>
      <c r="AS25" s="6"/>
      <c r="AT25" s="5"/>
      <c r="AU25" s="5"/>
      <c r="AV25" s="6"/>
      <c r="AW25" s="6"/>
      <c r="AX25" s="6"/>
      <c r="AY25" s="5"/>
      <c r="AZ25" s="5"/>
      <c r="BA25" s="6"/>
      <c r="BB25" s="6"/>
      <c r="BC25" s="6"/>
      <c r="BD25" s="3"/>
      <c r="BE25" s="3"/>
      <c r="BF25" s="4"/>
      <c r="BG25" s="4"/>
      <c r="BH25" s="4"/>
      <c r="BI25" s="3"/>
      <c r="BJ25" s="3"/>
      <c r="BK25" s="4"/>
      <c r="BL25" s="4"/>
      <c r="BM25" s="4"/>
    </row>
    <row r="26" spans="1:65" x14ac:dyDescent="0.2">
      <c r="A26" t="s">
        <v>193</v>
      </c>
      <c r="F26" t="s">
        <v>109</v>
      </c>
      <c r="O26">
        <v>1</v>
      </c>
      <c r="P26" s="42">
        <v>49.5</v>
      </c>
      <c r="R26">
        <v>13.8</v>
      </c>
      <c r="T26" s="19">
        <v>43387</v>
      </c>
      <c r="U26" s="13" t="s">
        <v>252</v>
      </c>
      <c r="V26" t="s">
        <v>309</v>
      </c>
      <c r="W26" s="13" t="s">
        <v>272</v>
      </c>
      <c r="X26" s="1"/>
      <c r="Y26" s="1"/>
      <c r="Z26" s="8"/>
      <c r="AA26" s="9"/>
      <c r="AB26" s="9"/>
      <c r="AC26" s="9"/>
      <c r="AD26" s="9"/>
      <c r="AE26" s="8"/>
      <c r="AF26" s="9"/>
      <c r="AG26" s="9"/>
      <c r="AH26" s="9"/>
      <c r="AI26" s="9"/>
      <c r="AJ26" s="5"/>
      <c r="AK26" s="6"/>
      <c r="AL26" s="6"/>
      <c r="AM26" s="6"/>
      <c r="AN26" s="6"/>
      <c r="AO26" s="5"/>
      <c r="AP26" s="6"/>
      <c r="AQ26" s="6"/>
      <c r="AR26" s="6"/>
      <c r="AS26" s="6"/>
      <c r="AT26" s="5"/>
      <c r="AU26" s="6"/>
      <c r="AV26" s="6"/>
      <c r="AW26" s="6"/>
      <c r="AX26" s="6"/>
      <c r="AY26" s="5"/>
      <c r="AZ26" s="6"/>
      <c r="BA26" s="6"/>
      <c r="BB26" s="6"/>
      <c r="BC26" s="6"/>
      <c r="BD26" s="3"/>
      <c r="BE26" s="4"/>
      <c r="BF26" s="4"/>
      <c r="BG26" s="4"/>
      <c r="BH26" s="4"/>
      <c r="BI26" s="3"/>
      <c r="BJ26" s="4"/>
      <c r="BK26" s="4"/>
      <c r="BL26" s="4"/>
      <c r="BM26" s="4"/>
    </row>
    <row r="27" spans="1:65" x14ac:dyDescent="0.2">
      <c r="A27" t="s">
        <v>193</v>
      </c>
      <c r="D27" t="s">
        <v>75</v>
      </c>
      <c r="O27">
        <v>9</v>
      </c>
      <c r="P27" s="42">
        <v>46.5</v>
      </c>
      <c r="R27">
        <v>7</v>
      </c>
      <c r="T27" s="19">
        <v>43387</v>
      </c>
      <c r="U27" s="13" t="s">
        <v>252</v>
      </c>
      <c r="V27" s="41" t="s">
        <v>256</v>
      </c>
      <c r="W27" s="13" t="s">
        <v>300</v>
      </c>
      <c r="X27" s="1"/>
      <c r="Y27" s="1"/>
      <c r="Z27" s="8"/>
      <c r="AA27" s="9"/>
      <c r="AB27" s="9"/>
      <c r="AC27" s="9"/>
      <c r="AD27" s="9"/>
      <c r="AE27" s="8"/>
      <c r="AF27" s="9"/>
      <c r="AG27" s="9"/>
      <c r="AH27" s="9"/>
      <c r="AI27" s="9"/>
      <c r="AJ27" s="5"/>
      <c r="AK27" s="6"/>
      <c r="AL27" s="6"/>
      <c r="AM27" s="6"/>
      <c r="AN27" s="6"/>
      <c r="AO27" s="5"/>
      <c r="AP27" s="6"/>
      <c r="AQ27" s="6"/>
      <c r="AR27" s="6"/>
      <c r="AS27" s="6"/>
      <c r="AT27" s="5"/>
      <c r="AU27" s="6"/>
      <c r="AV27" s="6"/>
      <c r="AW27" s="6"/>
      <c r="AX27" s="6"/>
      <c r="AY27" s="5"/>
      <c r="AZ27" s="6"/>
      <c r="BA27" s="6"/>
      <c r="BB27" s="6"/>
      <c r="BC27" s="6"/>
      <c r="BD27" s="3"/>
      <c r="BE27" s="4"/>
      <c r="BF27" s="4"/>
      <c r="BG27" s="4"/>
      <c r="BH27" s="4"/>
      <c r="BI27" s="3"/>
      <c r="BJ27" s="4"/>
      <c r="BK27" s="4"/>
      <c r="BL27" s="4"/>
      <c r="BM27" s="4"/>
    </row>
    <row r="28" spans="1:65" x14ac:dyDescent="0.2">
      <c r="A28" t="s">
        <v>193</v>
      </c>
      <c r="F28" t="s">
        <v>110</v>
      </c>
      <c r="O28">
        <v>-3</v>
      </c>
      <c r="P28" s="42">
        <v>47.5</v>
      </c>
      <c r="R28">
        <v>3.3</v>
      </c>
      <c r="T28" s="19">
        <v>43387</v>
      </c>
      <c r="U28" s="13" t="s">
        <v>252</v>
      </c>
      <c r="V28" s="41" t="s">
        <v>308</v>
      </c>
      <c r="W28" s="13" t="s">
        <v>303</v>
      </c>
      <c r="X28" s="1"/>
      <c r="Y28" s="1"/>
      <c r="Z28" s="8"/>
      <c r="AA28" s="8"/>
      <c r="AB28" s="9"/>
      <c r="AC28" s="9"/>
      <c r="AD28" s="9"/>
      <c r="AE28" s="8"/>
      <c r="AF28" s="8"/>
      <c r="AG28" s="9"/>
      <c r="AH28" s="9"/>
      <c r="AI28" s="9"/>
      <c r="AJ28" s="5"/>
      <c r="AK28" s="6"/>
      <c r="AL28" s="6"/>
      <c r="AM28" s="6"/>
      <c r="AN28" s="6"/>
      <c r="AO28" s="5"/>
      <c r="AP28" s="5"/>
      <c r="AQ28" s="6"/>
      <c r="AR28" s="6"/>
      <c r="AS28" s="6"/>
      <c r="AT28" s="5"/>
      <c r="AU28" s="5"/>
      <c r="AV28" s="6"/>
      <c r="AW28" s="6"/>
      <c r="AX28" s="6"/>
      <c r="AY28" s="5"/>
      <c r="AZ28" s="5"/>
      <c r="BA28" s="6"/>
      <c r="BB28" s="6"/>
      <c r="BC28" s="6"/>
      <c r="BD28" s="3"/>
      <c r="BE28" s="3"/>
      <c r="BF28" s="4"/>
      <c r="BG28" s="4"/>
      <c r="BH28" s="4"/>
      <c r="BI28" s="3"/>
      <c r="BJ28" s="3"/>
      <c r="BK28" s="4"/>
      <c r="BL28" s="4"/>
      <c r="BM28" s="4"/>
    </row>
    <row r="29" spans="1:65" x14ac:dyDescent="0.2">
      <c r="A29" t="s">
        <v>193</v>
      </c>
      <c r="D29" t="s">
        <v>75</v>
      </c>
      <c r="E29" t="s">
        <v>75</v>
      </c>
      <c r="F29" t="s">
        <v>109</v>
      </c>
      <c r="O29">
        <v>3</v>
      </c>
      <c r="P29" s="42">
        <v>57.5</v>
      </c>
      <c r="R29">
        <v>16.2</v>
      </c>
      <c r="T29" s="19">
        <v>43387</v>
      </c>
      <c r="U29" s="13" t="s">
        <v>252</v>
      </c>
      <c r="V29" t="s">
        <v>284</v>
      </c>
      <c r="W29" s="13" t="s">
        <v>295</v>
      </c>
      <c r="X29" s="1"/>
      <c r="Y29" s="1"/>
      <c r="Z29" s="8"/>
      <c r="AA29" s="9"/>
      <c r="AB29" s="9"/>
      <c r="AC29" s="9"/>
      <c r="AD29" s="9"/>
      <c r="AE29" s="8"/>
      <c r="AF29" s="9"/>
      <c r="AG29" s="9"/>
      <c r="AH29" s="9"/>
      <c r="AI29" s="9"/>
      <c r="AJ29" s="5"/>
      <c r="AK29" s="6"/>
      <c r="AL29" s="6"/>
      <c r="AM29" s="6"/>
      <c r="AN29" s="6"/>
      <c r="AO29" s="5"/>
      <c r="AP29" s="6"/>
      <c r="AQ29" s="6"/>
      <c r="AR29" s="6"/>
      <c r="AS29" s="6"/>
      <c r="AT29" s="5"/>
      <c r="AU29" s="6"/>
      <c r="AV29" s="6"/>
      <c r="AW29" s="6"/>
      <c r="AX29" s="6"/>
      <c r="AY29" s="5"/>
      <c r="AZ29" s="6"/>
      <c r="BA29" s="6"/>
      <c r="BB29" s="6"/>
      <c r="BC29" s="6"/>
      <c r="BD29" s="3"/>
      <c r="BE29" s="4"/>
      <c r="BF29" s="4"/>
      <c r="BG29" s="4"/>
      <c r="BH29" s="4"/>
      <c r="BI29" s="3"/>
      <c r="BJ29" s="4"/>
      <c r="BK29" s="4"/>
      <c r="BL29" s="4"/>
      <c r="BM29" s="4"/>
    </row>
    <row r="30" spans="1:65" x14ac:dyDescent="0.2">
      <c r="A30" t="s">
        <v>193</v>
      </c>
      <c r="O30">
        <v>2.5</v>
      </c>
      <c r="P30" s="42">
        <v>43.5</v>
      </c>
      <c r="R30">
        <v>2.2000000000000002</v>
      </c>
      <c r="T30" s="19">
        <v>43387</v>
      </c>
      <c r="U30" s="13" t="s">
        <v>252</v>
      </c>
      <c r="V30" t="s">
        <v>310</v>
      </c>
      <c r="W30" s="13" t="s">
        <v>305</v>
      </c>
      <c r="X30" s="1"/>
      <c r="Y30" s="1"/>
      <c r="Z30" s="8"/>
      <c r="AA30" s="8"/>
      <c r="AB30" s="8"/>
      <c r="AC30" s="8"/>
      <c r="AD30" s="8"/>
      <c r="AE30" s="9"/>
      <c r="AF30" s="8"/>
      <c r="AG30" s="9"/>
      <c r="AH30" s="9"/>
      <c r="AI30" s="9"/>
      <c r="AJ30" s="5"/>
      <c r="AK30" s="6"/>
      <c r="AL30" s="6"/>
      <c r="AM30" s="6"/>
      <c r="AN30" s="6"/>
      <c r="AO30" s="5"/>
      <c r="AP30" s="5"/>
      <c r="AQ30" s="5"/>
      <c r="AR30" s="5"/>
      <c r="AS30" s="5"/>
      <c r="AT30" s="6"/>
      <c r="AU30" s="5"/>
      <c r="AV30" s="6"/>
      <c r="AW30" s="6"/>
      <c r="AX30" s="6"/>
      <c r="AY30" s="5"/>
      <c r="AZ30" s="6"/>
      <c r="BA30" s="6"/>
      <c r="BB30" s="6"/>
      <c r="BC30" s="6"/>
      <c r="BD30" s="3"/>
      <c r="BE30" s="3"/>
      <c r="BF30" s="3"/>
      <c r="BG30" s="3"/>
      <c r="BH30" s="3"/>
      <c r="BI30" s="3"/>
      <c r="BJ30" s="3"/>
      <c r="BK30" s="3"/>
      <c r="BL30" s="3"/>
      <c r="BM30" s="3"/>
    </row>
    <row r="31" spans="1:65" x14ac:dyDescent="0.2">
      <c r="A31" t="s">
        <v>193</v>
      </c>
      <c r="F31" t="s">
        <v>110</v>
      </c>
      <c r="O31">
        <v>1</v>
      </c>
      <c r="P31" s="42">
        <v>44.5</v>
      </c>
      <c r="R31">
        <v>13.8</v>
      </c>
      <c r="T31" s="19">
        <v>43387</v>
      </c>
      <c r="U31" s="13" t="s">
        <v>252</v>
      </c>
      <c r="V31" t="s">
        <v>306</v>
      </c>
      <c r="W31" s="13" t="s">
        <v>301</v>
      </c>
      <c r="X31" s="1"/>
      <c r="Y31" s="1"/>
      <c r="Z31" s="8"/>
      <c r="AA31" s="8"/>
      <c r="AB31" s="9"/>
      <c r="AC31" s="9"/>
      <c r="AD31" s="9"/>
      <c r="AE31" s="9"/>
      <c r="AF31" s="8"/>
      <c r="AG31" s="9"/>
      <c r="AH31" s="9"/>
      <c r="AI31" s="9"/>
      <c r="AJ31" s="5"/>
      <c r="AK31" s="6"/>
      <c r="AL31" s="6"/>
      <c r="AM31" s="6"/>
      <c r="AN31" s="6"/>
      <c r="AO31" s="5"/>
      <c r="AP31" s="5"/>
      <c r="AQ31" s="6"/>
      <c r="AR31" s="6"/>
      <c r="AS31" s="6"/>
      <c r="AT31" s="6"/>
      <c r="AU31" s="5"/>
      <c r="AV31" s="6"/>
      <c r="AW31" s="6"/>
      <c r="AX31" s="6"/>
      <c r="AY31" s="6"/>
      <c r="AZ31" s="6"/>
      <c r="BA31" s="6"/>
      <c r="BB31" s="6"/>
      <c r="BC31" s="6"/>
      <c r="BD31" s="3"/>
      <c r="BE31" s="4"/>
      <c r="BF31" s="4"/>
      <c r="BG31" s="4"/>
      <c r="BH31" s="4"/>
      <c r="BI31" s="3"/>
      <c r="BJ31" s="4"/>
      <c r="BK31" s="4"/>
      <c r="BL31" s="4"/>
      <c r="BM31" s="4"/>
    </row>
    <row r="32" spans="1:65" x14ac:dyDescent="0.2">
      <c r="A32" t="s">
        <v>193</v>
      </c>
      <c r="D32" t="s">
        <v>75</v>
      </c>
      <c r="O32">
        <v>1</v>
      </c>
      <c r="P32" s="42">
        <v>42.5</v>
      </c>
      <c r="R32">
        <v>3.2</v>
      </c>
      <c r="T32" s="19">
        <v>43394</v>
      </c>
      <c r="U32" s="13" t="s">
        <v>250</v>
      </c>
      <c r="V32" t="s">
        <v>285</v>
      </c>
      <c r="W32" s="13" t="s">
        <v>278</v>
      </c>
      <c r="X32" s="1"/>
      <c r="Y32" s="1"/>
      <c r="Z32" s="8"/>
      <c r="AA32" s="9"/>
      <c r="AB32" s="9"/>
      <c r="AC32" s="9"/>
      <c r="AD32" s="9"/>
      <c r="AE32" s="8"/>
      <c r="AF32" s="9"/>
      <c r="AG32" s="9"/>
      <c r="AH32" s="9"/>
      <c r="AI32" s="9"/>
      <c r="AJ32" s="5"/>
      <c r="AK32" s="6"/>
      <c r="AL32" s="6"/>
      <c r="AM32" s="6"/>
      <c r="AN32" s="6"/>
      <c r="AO32" s="5"/>
      <c r="AP32" s="6"/>
      <c r="AQ32" s="6"/>
      <c r="AR32" s="6"/>
      <c r="AS32" s="6"/>
      <c r="AT32" s="5"/>
      <c r="AU32" s="6"/>
      <c r="AV32" s="6"/>
      <c r="AW32" s="6"/>
      <c r="AX32" s="6"/>
      <c r="AY32" s="5"/>
      <c r="AZ32" s="6"/>
      <c r="BA32" s="6"/>
      <c r="BB32" s="6"/>
      <c r="BC32" s="6"/>
      <c r="BD32" s="3"/>
      <c r="BE32" s="4"/>
      <c r="BF32" s="4"/>
      <c r="BG32" s="4"/>
      <c r="BH32" s="4"/>
      <c r="BI32" s="3"/>
      <c r="BJ32" s="4"/>
      <c r="BK32" s="4"/>
      <c r="BL32" s="4"/>
      <c r="BM32" s="4"/>
    </row>
    <row r="33" spans="1:65" x14ac:dyDescent="0.2">
      <c r="A33" t="s">
        <v>193</v>
      </c>
      <c r="E33" t="s">
        <v>75</v>
      </c>
      <c r="O33">
        <v>-4.5</v>
      </c>
      <c r="P33" s="42">
        <v>52</v>
      </c>
      <c r="R33">
        <v>7.8</v>
      </c>
      <c r="T33" s="19">
        <v>43394</v>
      </c>
      <c r="U33" s="13" t="s">
        <v>250</v>
      </c>
      <c r="V33" t="s">
        <v>295</v>
      </c>
      <c r="W33" s="13" t="s">
        <v>296</v>
      </c>
      <c r="X33" s="1"/>
      <c r="Y33" s="1"/>
      <c r="Z33" s="8"/>
      <c r="AA33" s="9"/>
      <c r="AB33" s="9"/>
      <c r="AC33" s="9"/>
      <c r="AD33" s="9"/>
      <c r="AE33" s="8"/>
      <c r="AF33" s="9"/>
      <c r="AG33" s="9"/>
      <c r="AH33" s="9"/>
      <c r="AI33" s="9"/>
      <c r="AJ33" s="5"/>
      <c r="AK33" s="6"/>
      <c r="AL33" s="6"/>
      <c r="AM33" s="6"/>
      <c r="AN33" s="6"/>
      <c r="AO33" s="5"/>
      <c r="AP33" s="6"/>
      <c r="AQ33" s="6"/>
      <c r="AR33" s="6"/>
      <c r="AS33" s="6"/>
      <c r="AT33" s="5"/>
      <c r="AU33" s="6"/>
      <c r="AV33" s="6"/>
      <c r="AW33" s="6"/>
      <c r="AX33" s="6"/>
      <c r="AY33" s="5"/>
      <c r="AZ33" s="6"/>
      <c r="BA33" s="6"/>
      <c r="BB33" s="6"/>
      <c r="BC33" s="6"/>
      <c r="BD33" s="3"/>
      <c r="BE33" s="4"/>
      <c r="BF33" s="4"/>
      <c r="BG33" s="4"/>
      <c r="BH33" s="4"/>
      <c r="BI33" s="3"/>
      <c r="BJ33" s="4"/>
      <c r="BK33" s="4"/>
      <c r="BL33" s="4"/>
      <c r="BM33" s="4"/>
    </row>
    <row r="34" spans="1:65" x14ac:dyDescent="0.2">
      <c r="A34" t="s">
        <v>193</v>
      </c>
      <c r="O34">
        <v>-2.5</v>
      </c>
      <c r="P34" s="42">
        <v>49</v>
      </c>
      <c r="R34">
        <v>7.8</v>
      </c>
      <c r="T34" s="19">
        <v>43394</v>
      </c>
      <c r="U34" s="13" t="s">
        <v>250</v>
      </c>
      <c r="V34" t="s">
        <v>305</v>
      </c>
      <c r="W34" s="13" t="s">
        <v>307</v>
      </c>
      <c r="X34" s="1"/>
      <c r="Y34" s="1"/>
      <c r="Z34" s="8"/>
      <c r="AA34" s="9"/>
      <c r="AB34" s="9"/>
      <c r="AC34" s="9"/>
      <c r="AD34" s="9"/>
      <c r="AE34" s="8"/>
      <c r="AF34" s="9"/>
      <c r="AG34" s="9"/>
      <c r="AH34" s="9"/>
      <c r="AI34" s="9"/>
      <c r="AJ34" s="5"/>
      <c r="AK34" s="6"/>
      <c r="AL34" s="6"/>
      <c r="AM34" s="6"/>
      <c r="AN34" s="6"/>
      <c r="AO34" s="5"/>
      <c r="AP34" s="6"/>
      <c r="AQ34" s="6"/>
      <c r="AR34" s="6"/>
      <c r="AS34" s="6"/>
      <c r="AT34" s="5"/>
      <c r="AU34" s="6"/>
      <c r="AV34" s="6"/>
      <c r="AW34" s="6"/>
      <c r="AX34" s="6"/>
      <c r="AY34" s="5"/>
      <c r="AZ34" s="6"/>
      <c r="BA34" s="6"/>
      <c r="BB34" s="6"/>
      <c r="BC34" s="6"/>
      <c r="BD34" s="3"/>
      <c r="BE34" s="4"/>
      <c r="BF34" s="4"/>
      <c r="BG34" s="4"/>
      <c r="BH34" s="4"/>
      <c r="BI34" s="3"/>
      <c r="BJ34" s="4"/>
      <c r="BK34" s="4"/>
      <c r="BL34" s="4"/>
      <c r="BM34" s="4"/>
    </row>
    <row r="35" spans="1:65" x14ac:dyDescent="0.2">
      <c r="A35" t="s">
        <v>193</v>
      </c>
      <c r="D35" t="s">
        <v>75</v>
      </c>
      <c r="O35">
        <v>7</v>
      </c>
      <c r="P35" s="42">
        <v>43.5</v>
      </c>
      <c r="R35">
        <v>1.8</v>
      </c>
      <c r="T35" s="19">
        <v>43394</v>
      </c>
      <c r="U35" s="13" t="s">
        <v>250</v>
      </c>
      <c r="V35" t="s">
        <v>276</v>
      </c>
      <c r="W35" s="13" t="s">
        <v>289</v>
      </c>
      <c r="X35" s="1"/>
      <c r="Y35" s="1"/>
      <c r="Z35" s="8"/>
      <c r="AA35" s="8"/>
      <c r="AB35" s="9"/>
      <c r="AC35" s="9"/>
      <c r="AD35" s="9"/>
      <c r="AE35" s="8"/>
      <c r="AF35" s="8"/>
      <c r="AG35" s="9"/>
      <c r="AH35" s="9"/>
      <c r="AI35" s="9"/>
      <c r="AJ35" s="5"/>
      <c r="AK35" s="6"/>
      <c r="AL35" s="6"/>
      <c r="AM35" s="6"/>
      <c r="AN35" s="6"/>
      <c r="AO35" s="5"/>
      <c r="AP35" s="5"/>
      <c r="AQ35" s="6"/>
      <c r="AR35" s="6"/>
      <c r="AS35" s="6"/>
      <c r="AT35" s="5"/>
      <c r="AU35" s="5"/>
      <c r="AV35" s="6"/>
      <c r="AW35" s="6"/>
      <c r="AX35" s="6"/>
      <c r="AY35" s="5"/>
      <c r="AZ35" s="5"/>
      <c r="BA35" s="6"/>
      <c r="BB35" s="6"/>
      <c r="BC35" s="6"/>
      <c r="BD35" s="3"/>
      <c r="BE35" s="3"/>
      <c r="BF35" s="4"/>
      <c r="BG35" s="4"/>
      <c r="BH35" s="4"/>
      <c r="BI35" s="3"/>
      <c r="BJ35" s="3"/>
      <c r="BK35" s="4"/>
      <c r="BL35" s="4"/>
      <c r="BM35" s="4"/>
    </row>
    <row r="36" spans="1:65" x14ac:dyDescent="0.2">
      <c r="A36" t="s">
        <v>193</v>
      </c>
      <c r="B36" t="s">
        <v>68</v>
      </c>
      <c r="C36">
        <v>8.4</v>
      </c>
      <c r="O36">
        <v>5</v>
      </c>
      <c r="P36" s="42">
        <v>45</v>
      </c>
      <c r="R36">
        <v>8.5</v>
      </c>
      <c r="T36" s="19">
        <v>43394</v>
      </c>
      <c r="U36" s="13" t="s">
        <v>250</v>
      </c>
      <c r="V36" t="s">
        <v>301</v>
      </c>
      <c r="W36" s="13" t="s">
        <v>294</v>
      </c>
      <c r="X36" s="1"/>
      <c r="Y36" s="1"/>
      <c r="Z36" s="8"/>
      <c r="AA36" s="9"/>
      <c r="AB36" s="9"/>
      <c r="AC36" s="9"/>
      <c r="AD36" s="9"/>
      <c r="AE36" s="8"/>
      <c r="AF36" s="9"/>
      <c r="AG36" s="9"/>
      <c r="AH36" s="9"/>
      <c r="AI36" s="9"/>
      <c r="AJ36" s="5"/>
      <c r="AK36" s="6"/>
      <c r="AL36" s="6"/>
      <c r="AM36" s="6"/>
      <c r="AN36" s="6"/>
      <c r="AO36" s="5"/>
      <c r="AP36" s="6"/>
      <c r="AQ36" s="6"/>
      <c r="AR36" s="6"/>
      <c r="AS36" s="6"/>
      <c r="AT36" s="5"/>
      <c r="AU36" s="6"/>
      <c r="AV36" s="6"/>
      <c r="AW36" s="6"/>
      <c r="AX36" s="6"/>
      <c r="AY36" s="5"/>
      <c r="AZ36" s="6"/>
      <c r="BA36" s="6"/>
      <c r="BB36" s="6"/>
      <c r="BC36" s="6"/>
      <c r="BD36" s="3"/>
      <c r="BE36" s="4"/>
      <c r="BF36" s="4"/>
      <c r="BG36" s="4"/>
      <c r="BH36" s="4"/>
      <c r="BI36" s="3"/>
      <c r="BJ36" s="4"/>
      <c r="BK36" s="4"/>
      <c r="BL36" s="4"/>
      <c r="BM36" s="4"/>
    </row>
    <row r="37" spans="1:65" x14ac:dyDescent="0.2">
      <c r="A37" t="s">
        <v>193</v>
      </c>
      <c r="E37" t="s">
        <v>75</v>
      </c>
      <c r="O37">
        <v>1</v>
      </c>
      <c r="P37" s="42">
        <v>49</v>
      </c>
      <c r="R37">
        <v>30.6</v>
      </c>
      <c r="T37" s="19">
        <v>43394</v>
      </c>
      <c r="U37" s="13" t="s">
        <v>250</v>
      </c>
      <c r="V37" t="s">
        <v>265</v>
      </c>
      <c r="W37" s="13" t="s">
        <v>302</v>
      </c>
      <c r="X37" s="1"/>
      <c r="Y37" s="1"/>
      <c r="Z37" s="8"/>
      <c r="AA37" s="9"/>
      <c r="AB37" s="9"/>
      <c r="AC37" s="9"/>
      <c r="AD37" s="9"/>
      <c r="AE37" s="8"/>
      <c r="AF37" s="9"/>
      <c r="AG37" s="9"/>
      <c r="AH37" s="9"/>
      <c r="AI37" s="9"/>
      <c r="AJ37" s="5"/>
      <c r="AK37" s="6"/>
      <c r="AL37" s="6"/>
      <c r="AM37" s="6"/>
      <c r="AN37" s="6"/>
      <c r="AO37" s="5"/>
      <c r="AP37" s="6"/>
      <c r="AQ37" s="6"/>
      <c r="AR37" s="6"/>
      <c r="AS37" s="6"/>
      <c r="AT37" s="5"/>
      <c r="AU37" s="6"/>
      <c r="AV37" s="6"/>
      <c r="AW37" s="6"/>
      <c r="AX37" s="6"/>
      <c r="AY37" s="5"/>
      <c r="AZ37" s="6"/>
      <c r="BA37" s="6"/>
      <c r="BB37" s="6"/>
      <c r="BC37" s="6"/>
      <c r="BD37" s="3"/>
      <c r="BE37" s="4"/>
      <c r="BF37" s="4"/>
      <c r="BG37" s="4"/>
      <c r="BH37" s="4"/>
      <c r="BI37" s="3"/>
      <c r="BJ37" s="4"/>
      <c r="BK37" s="4"/>
      <c r="BL37" s="4"/>
      <c r="BM37" s="4"/>
    </row>
    <row r="38" spans="1:65" x14ac:dyDescent="0.2">
      <c r="A38" t="s">
        <v>193</v>
      </c>
      <c r="O38">
        <v>6.5</v>
      </c>
      <c r="P38" s="42">
        <v>56</v>
      </c>
      <c r="R38">
        <v>9.3000000000000007</v>
      </c>
      <c r="T38" s="19">
        <v>43394</v>
      </c>
      <c r="U38" s="13" t="s">
        <v>250</v>
      </c>
      <c r="V38" t="s">
        <v>272</v>
      </c>
      <c r="W38" s="13" t="s">
        <v>288</v>
      </c>
      <c r="X38" s="1"/>
      <c r="Y38" s="1"/>
      <c r="Z38" s="8"/>
      <c r="AA38" s="8"/>
      <c r="AB38" s="9"/>
      <c r="AC38" s="9"/>
      <c r="AD38" s="9"/>
      <c r="AE38" s="8"/>
      <c r="AF38" s="8"/>
      <c r="AG38" s="9"/>
      <c r="AH38" s="9"/>
      <c r="AI38" s="9"/>
      <c r="AJ38" s="5"/>
      <c r="AK38" s="6"/>
      <c r="AL38" s="6"/>
      <c r="AM38" s="6"/>
      <c r="AN38" s="6"/>
      <c r="AO38" s="5"/>
      <c r="AP38" s="5"/>
      <c r="AQ38" s="6"/>
      <c r="AR38" s="6"/>
      <c r="AS38" s="6"/>
      <c r="AT38" s="5"/>
      <c r="AU38" s="5"/>
      <c r="AV38" s="6"/>
      <c r="AW38" s="6"/>
      <c r="AX38" s="6"/>
      <c r="AY38" s="5"/>
      <c r="AZ38" s="5"/>
      <c r="BA38" s="6"/>
      <c r="BB38" s="6"/>
      <c r="BC38" s="6"/>
      <c r="BD38" s="3"/>
      <c r="BE38" s="3"/>
      <c r="BF38" s="4"/>
      <c r="BG38" s="4"/>
      <c r="BH38" s="4"/>
      <c r="BI38" s="3"/>
      <c r="BJ38" s="3"/>
      <c r="BK38" s="4"/>
      <c r="BL38" s="4"/>
      <c r="BM38" s="4"/>
    </row>
    <row r="39" spans="1:65" x14ac:dyDescent="0.2">
      <c r="A39" t="s">
        <v>193</v>
      </c>
      <c r="D39" t="s">
        <v>75</v>
      </c>
      <c r="F39" t="s">
        <v>109</v>
      </c>
      <c r="O39">
        <v>3.5</v>
      </c>
      <c r="P39" s="42">
        <v>52</v>
      </c>
      <c r="R39">
        <v>15.2</v>
      </c>
      <c r="T39" s="19">
        <v>43394</v>
      </c>
      <c r="U39" s="13" t="s">
        <v>250</v>
      </c>
      <c r="V39" t="s">
        <v>281</v>
      </c>
      <c r="W39" s="13" t="s">
        <v>284</v>
      </c>
      <c r="X39" s="1"/>
      <c r="Y39" s="1"/>
      <c r="Z39" s="8"/>
      <c r="AA39" s="9"/>
      <c r="AB39" s="9"/>
      <c r="AC39" s="9"/>
      <c r="AD39" s="9"/>
      <c r="AE39" s="8"/>
      <c r="AF39" s="9"/>
      <c r="AG39" s="9"/>
      <c r="AH39" s="9"/>
      <c r="AI39" s="9"/>
      <c r="AJ39" s="5"/>
      <c r="AK39" s="6"/>
      <c r="AL39" s="6"/>
      <c r="AM39" s="6"/>
      <c r="AN39" s="6"/>
      <c r="AO39" s="5"/>
      <c r="AP39" s="6"/>
      <c r="AQ39" s="6"/>
      <c r="AR39" s="6"/>
      <c r="AS39" s="6"/>
      <c r="AT39" s="5"/>
      <c r="AU39" s="6"/>
      <c r="AV39" s="6"/>
      <c r="AW39" s="6"/>
      <c r="AX39" s="6"/>
      <c r="AY39" s="5"/>
      <c r="AZ39" s="6"/>
      <c r="BA39" s="6"/>
      <c r="BB39" s="6"/>
      <c r="BC39" s="6"/>
      <c r="BD39" s="3"/>
      <c r="BE39" s="4"/>
      <c r="BF39" s="4"/>
      <c r="BG39" s="4"/>
      <c r="BH39" s="4"/>
      <c r="BI39" s="3"/>
      <c r="BJ39" s="4"/>
      <c r="BK39" s="4"/>
      <c r="BL39" s="4"/>
      <c r="BM39" s="4"/>
    </row>
    <row r="40" spans="1:65" x14ac:dyDescent="0.2">
      <c r="A40" t="s">
        <v>193</v>
      </c>
      <c r="F40" t="s">
        <v>110</v>
      </c>
      <c r="O40">
        <v>-1.5</v>
      </c>
      <c r="P40" s="42">
        <v>40.5</v>
      </c>
      <c r="R40">
        <v>2.6</v>
      </c>
      <c r="T40" s="19">
        <v>43394</v>
      </c>
      <c r="U40" s="13" t="s">
        <v>250</v>
      </c>
      <c r="V40" s="17" t="s">
        <v>291</v>
      </c>
      <c r="W40" s="13" t="s">
        <v>306</v>
      </c>
      <c r="X40" s="1"/>
      <c r="Y40" s="1"/>
      <c r="Z40" s="8"/>
      <c r="AA40" s="9"/>
      <c r="AB40" s="9"/>
      <c r="AC40" s="9"/>
      <c r="AD40" s="9"/>
      <c r="AE40" s="9"/>
      <c r="AF40" s="8"/>
      <c r="AG40" s="9"/>
      <c r="AH40" s="9"/>
      <c r="AI40" s="9"/>
      <c r="AJ40" s="5"/>
      <c r="AK40" s="6"/>
      <c r="AL40" s="6"/>
      <c r="AM40" s="6"/>
      <c r="AN40" s="6"/>
      <c r="AO40" s="5"/>
      <c r="AP40" s="6"/>
      <c r="AQ40" s="6"/>
      <c r="AR40" s="6"/>
      <c r="AS40" s="6"/>
      <c r="AT40" s="6"/>
      <c r="AU40" s="5"/>
      <c r="AV40" s="6"/>
      <c r="AW40" s="6"/>
      <c r="AX40" s="6"/>
      <c r="AY40" s="5"/>
      <c r="AZ40" s="6"/>
      <c r="BA40" s="6"/>
      <c r="BB40" s="6"/>
      <c r="BC40" s="6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">
      <c r="A41" t="s">
        <v>193</v>
      </c>
      <c r="D41" t="s">
        <v>75</v>
      </c>
      <c r="O41">
        <v>-1</v>
      </c>
      <c r="P41" s="42">
        <v>42.5</v>
      </c>
      <c r="R41">
        <v>0</v>
      </c>
      <c r="T41" s="19">
        <v>43394</v>
      </c>
      <c r="U41" s="13" t="s">
        <v>250</v>
      </c>
      <c r="V41" t="s">
        <v>278</v>
      </c>
      <c r="W41" s="13" t="s">
        <v>285</v>
      </c>
      <c r="X41" s="1"/>
      <c r="Y41" s="1"/>
      <c r="Z41" s="8"/>
      <c r="AA41" s="9"/>
      <c r="AB41" s="9"/>
      <c r="AC41" s="9"/>
      <c r="AD41" s="9"/>
      <c r="AE41" s="8"/>
      <c r="AF41" s="8"/>
      <c r="AG41" s="9"/>
      <c r="AH41" s="9"/>
      <c r="AI41" s="9"/>
      <c r="AJ41" s="5"/>
      <c r="AK41" s="6"/>
      <c r="AL41" s="6"/>
      <c r="AM41" s="6"/>
      <c r="AN41" s="6"/>
      <c r="AO41" s="5"/>
      <c r="AP41" s="6"/>
      <c r="AQ41" s="6"/>
      <c r="AR41" s="6"/>
      <c r="AS41" s="6"/>
      <c r="AT41" s="5"/>
      <c r="AU41" s="5"/>
      <c r="AV41" s="6"/>
      <c r="AW41" s="6"/>
      <c r="AX41" s="6"/>
      <c r="AY41" s="5"/>
      <c r="AZ41" s="6"/>
      <c r="BA41" s="6"/>
      <c r="BB41" s="6"/>
      <c r="BC41" s="6"/>
      <c r="BD41" s="3"/>
      <c r="BE41" s="4"/>
      <c r="BF41" s="4"/>
      <c r="BG41" s="4"/>
      <c r="BH41" s="4"/>
      <c r="BJ41" s="1"/>
      <c r="BK41" s="1"/>
      <c r="BL41" s="1"/>
      <c r="BM41" s="1"/>
    </row>
    <row r="42" spans="1:65" x14ac:dyDescent="0.2">
      <c r="A42" t="s">
        <v>193</v>
      </c>
      <c r="E42" t="s">
        <v>75</v>
      </c>
      <c r="F42" t="s">
        <v>110</v>
      </c>
      <c r="O42">
        <v>-3</v>
      </c>
      <c r="P42" s="42">
        <v>47</v>
      </c>
      <c r="R42">
        <v>19.8</v>
      </c>
      <c r="T42" s="19">
        <v>43394</v>
      </c>
      <c r="U42" t="s">
        <v>250</v>
      </c>
      <c r="V42" t="s">
        <v>299</v>
      </c>
      <c r="W42" t="s">
        <v>293</v>
      </c>
      <c r="X42" s="1"/>
      <c r="Y42" s="1"/>
      <c r="Z42" s="8"/>
      <c r="AA42" s="9"/>
      <c r="AB42" s="9"/>
      <c r="AC42" s="9"/>
      <c r="AD42" s="9"/>
      <c r="AE42" s="8"/>
      <c r="AF42" s="9"/>
      <c r="AG42" s="9"/>
      <c r="AH42" s="9"/>
      <c r="AI42" s="9"/>
      <c r="AJ42" s="5"/>
      <c r="AK42" s="6"/>
      <c r="AL42" s="6"/>
      <c r="AM42" s="6"/>
      <c r="AN42" s="6"/>
      <c r="AO42" s="5"/>
      <c r="AP42" s="6"/>
      <c r="AQ42" s="6"/>
      <c r="AR42" s="6"/>
      <c r="AS42" s="6"/>
      <c r="AT42" s="5"/>
      <c r="AU42" s="6"/>
      <c r="AV42" s="6"/>
      <c r="AW42" s="6"/>
      <c r="AX42" s="6"/>
      <c r="AY42" s="5"/>
      <c r="AZ42" s="6"/>
      <c r="BA42" s="6"/>
      <c r="BB42" s="6"/>
      <c r="BC42" s="6"/>
      <c r="BD42" s="3"/>
      <c r="BE42" s="4"/>
      <c r="BF42" s="4"/>
      <c r="BG42" s="4"/>
      <c r="BH42" s="4"/>
      <c r="BJ42" s="1"/>
      <c r="BK42" s="1"/>
      <c r="BL42" s="1"/>
      <c r="BM42" s="1"/>
    </row>
    <row r="43" spans="1:65" x14ac:dyDescent="0.2">
      <c r="A43" t="s">
        <v>193</v>
      </c>
      <c r="F43" t="s">
        <v>109</v>
      </c>
      <c r="O43">
        <v>4</v>
      </c>
      <c r="P43" s="42">
        <v>43</v>
      </c>
      <c r="R43">
        <v>0</v>
      </c>
      <c r="T43" s="19">
        <v>43394</v>
      </c>
      <c r="U43" s="13" t="s">
        <v>250</v>
      </c>
      <c r="V43" t="s">
        <v>311</v>
      </c>
      <c r="W43" s="13" t="s">
        <v>297</v>
      </c>
      <c r="X43" s="1"/>
      <c r="Y43" s="1"/>
      <c r="Z43" s="8"/>
      <c r="AA43" s="9"/>
      <c r="AB43" s="9"/>
      <c r="AC43" s="9"/>
      <c r="AD43" s="9"/>
      <c r="AE43" s="8"/>
      <c r="AF43" s="9"/>
      <c r="AG43" s="9"/>
      <c r="AH43" s="9"/>
      <c r="AI43" s="9"/>
      <c r="AJ43" s="5"/>
      <c r="AK43" s="6"/>
      <c r="AL43" s="6"/>
      <c r="AM43" s="6"/>
      <c r="AN43" s="6"/>
      <c r="AO43" s="5"/>
      <c r="AP43" s="6"/>
      <c r="AQ43" s="6"/>
      <c r="AR43" s="6"/>
      <c r="AS43" s="6"/>
      <c r="AT43" s="5"/>
      <c r="AU43" s="6"/>
      <c r="AV43" s="6"/>
      <c r="AW43" s="6"/>
      <c r="AX43" s="6"/>
      <c r="AY43" s="5"/>
      <c r="AZ43" s="6"/>
      <c r="BA43" s="6"/>
      <c r="BB43" s="6"/>
      <c r="BC43" s="6"/>
      <c r="BD43" s="3"/>
      <c r="BE43" s="4"/>
      <c r="BF43" s="4"/>
      <c r="BG43" s="4"/>
      <c r="BH43" s="4"/>
      <c r="BJ43" s="1"/>
      <c r="BK43" s="1"/>
      <c r="BL43" s="1"/>
      <c r="BM43" s="1"/>
    </row>
    <row r="44" spans="1:65" x14ac:dyDescent="0.2">
      <c r="A44" t="s">
        <v>193</v>
      </c>
      <c r="O44">
        <v>-7</v>
      </c>
      <c r="P44" s="42">
        <v>43.5</v>
      </c>
      <c r="R44">
        <v>6.1</v>
      </c>
      <c r="T44" s="19">
        <v>43394</v>
      </c>
      <c r="U44" s="13" t="s">
        <v>250</v>
      </c>
      <c r="V44" t="s">
        <v>289</v>
      </c>
      <c r="W44" s="13" t="s">
        <v>276</v>
      </c>
      <c r="X44" s="1"/>
      <c r="Y44" s="1"/>
      <c r="Z44" s="8"/>
      <c r="AA44" s="9"/>
      <c r="AB44" s="9"/>
      <c r="AC44" s="9"/>
      <c r="AD44" s="9"/>
      <c r="AE44" s="8"/>
      <c r="AF44" s="8"/>
      <c r="AG44" s="9"/>
      <c r="AH44" s="9"/>
      <c r="AI44" s="9"/>
      <c r="AJ44" s="5"/>
      <c r="AK44" s="6"/>
      <c r="AL44" s="6"/>
      <c r="AM44" s="6"/>
      <c r="AN44" s="6"/>
      <c r="AO44" s="5"/>
      <c r="AP44" s="6"/>
      <c r="AQ44" s="6"/>
      <c r="AR44" s="6"/>
      <c r="AS44" s="6"/>
      <c r="AT44" s="5"/>
      <c r="AU44" s="5"/>
      <c r="AV44" s="6"/>
      <c r="AW44" s="6"/>
      <c r="AX44" s="6"/>
      <c r="AY44" s="5"/>
      <c r="AZ44" s="6"/>
      <c r="BA44" s="6"/>
      <c r="BB44" s="6"/>
      <c r="BC44" s="6"/>
      <c r="BD44" s="3"/>
      <c r="BE44" s="3"/>
      <c r="BF44" s="4"/>
      <c r="BG44" s="4"/>
      <c r="BH44" s="4"/>
      <c r="BJ44" s="1"/>
      <c r="BK44" s="1"/>
      <c r="BL44" s="1"/>
      <c r="BM44" s="1"/>
    </row>
    <row r="45" spans="1:65" x14ac:dyDescent="0.2">
      <c r="A45" t="s">
        <v>193</v>
      </c>
      <c r="F45" t="s">
        <v>109</v>
      </c>
      <c r="O45">
        <v>-4</v>
      </c>
      <c r="P45" s="42">
        <v>43</v>
      </c>
      <c r="R45">
        <v>3.7</v>
      </c>
      <c r="T45" s="19">
        <v>43394</v>
      </c>
      <c r="U45" s="13" t="s">
        <v>250</v>
      </c>
      <c r="V45" s="17" t="s">
        <v>297</v>
      </c>
      <c r="W45" s="13" t="s">
        <v>311</v>
      </c>
      <c r="X45" s="1"/>
      <c r="Y45" s="1"/>
      <c r="Z45" s="8"/>
      <c r="AA45" s="9"/>
      <c r="AB45" s="9"/>
      <c r="AC45" s="9"/>
      <c r="AD45" s="9"/>
      <c r="AE45" s="8"/>
      <c r="AF45" s="9"/>
      <c r="AG45" s="9"/>
      <c r="AH45" s="9"/>
      <c r="AI45" s="9"/>
      <c r="AJ45" s="5"/>
      <c r="AK45" s="6"/>
      <c r="AL45" s="6"/>
      <c r="AM45" s="6"/>
      <c r="AN45" s="6"/>
      <c r="AO45" s="5"/>
      <c r="AP45" s="6"/>
      <c r="AQ45" s="6"/>
      <c r="AR45" s="6"/>
      <c r="AS45" s="6"/>
      <c r="AT45" s="5"/>
      <c r="AU45" s="6"/>
      <c r="AV45" s="6"/>
      <c r="AW45" s="6"/>
      <c r="AX45" s="6"/>
      <c r="AY45" s="5"/>
      <c r="AZ45" s="6"/>
      <c r="BA45" s="6"/>
      <c r="BB45" s="6"/>
      <c r="BC45" s="6"/>
      <c r="BD45" s="3"/>
      <c r="BE45" s="4"/>
      <c r="BF45" s="4"/>
      <c r="BG45" s="4"/>
      <c r="BH45" s="4"/>
      <c r="BJ45" s="1"/>
      <c r="BK45" s="1"/>
      <c r="BL45" s="1"/>
      <c r="BM45" s="1"/>
    </row>
    <row r="46" spans="1:65" x14ac:dyDescent="0.2">
      <c r="A46" t="s">
        <v>193</v>
      </c>
      <c r="O46">
        <v>-6.5</v>
      </c>
      <c r="P46" s="42">
        <v>56</v>
      </c>
      <c r="R46">
        <v>14.5</v>
      </c>
      <c r="T46" s="19">
        <v>43394</v>
      </c>
      <c r="U46" s="13" t="s">
        <v>250</v>
      </c>
      <c r="V46" t="s">
        <v>288</v>
      </c>
      <c r="W46" s="13" t="s">
        <v>272</v>
      </c>
      <c r="X46" s="1"/>
      <c r="Y46" s="1"/>
      <c r="Z46" s="8"/>
      <c r="AA46" s="9"/>
      <c r="AB46" s="9"/>
      <c r="AC46" s="9"/>
      <c r="AD46" s="9"/>
      <c r="AE46" s="8"/>
      <c r="AF46" s="9"/>
      <c r="AG46" s="9"/>
      <c r="AH46" s="9"/>
      <c r="AI46" s="9"/>
      <c r="AJ46" s="5"/>
      <c r="AK46" s="6"/>
      <c r="AL46" s="6"/>
      <c r="AM46" s="6"/>
      <c r="AN46" s="6"/>
      <c r="AO46" s="5"/>
      <c r="AP46" s="6"/>
      <c r="AQ46" s="6"/>
      <c r="AR46" s="6"/>
      <c r="AS46" s="6"/>
      <c r="AT46" s="5"/>
      <c r="AU46" s="6"/>
      <c r="AV46" s="6"/>
      <c r="AW46" s="6"/>
      <c r="AX46" s="6"/>
      <c r="AY46" s="5"/>
      <c r="AZ46" s="6"/>
      <c r="BA46" s="6"/>
      <c r="BB46" s="6"/>
      <c r="BC46" s="6"/>
      <c r="BD46" s="3"/>
      <c r="BE46" s="4"/>
      <c r="BF46" s="4"/>
      <c r="BG46" s="4"/>
      <c r="BH46" s="4"/>
      <c r="BJ46" s="1"/>
      <c r="BK46" s="1"/>
      <c r="BL46" s="1"/>
      <c r="BM46" s="1"/>
    </row>
    <row r="47" spans="1:65" x14ac:dyDescent="0.2">
      <c r="A47" t="s">
        <v>193</v>
      </c>
      <c r="D47" t="s">
        <v>75</v>
      </c>
      <c r="F47" t="s">
        <v>110</v>
      </c>
      <c r="O47">
        <v>-6.5</v>
      </c>
      <c r="P47" s="42">
        <v>46</v>
      </c>
      <c r="R47">
        <v>3.1</v>
      </c>
      <c r="T47" s="19">
        <v>43394</v>
      </c>
      <c r="U47" s="13" t="s">
        <v>250</v>
      </c>
      <c r="V47" s="17" t="s">
        <v>287</v>
      </c>
      <c r="W47" s="13" t="s">
        <v>310</v>
      </c>
      <c r="X47" s="1"/>
      <c r="Y47" s="1"/>
      <c r="Z47" s="8"/>
      <c r="AA47" s="9"/>
      <c r="AB47" s="9"/>
      <c r="AC47" s="9"/>
      <c r="AD47" s="9"/>
      <c r="AE47" s="8"/>
      <c r="AF47" s="8"/>
      <c r="AG47" s="9"/>
      <c r="AH47" s="9"/>
      <c r="AI47" s="9"/>
      <c r="AJ47" s="5"/>
      <c r="AK47" s="6"/>
      <c r="AL47" s="6"/>
      <c r="AM47" s="6"/>
      <c r="AN47" s="6"/>
      <c r="AO47" s="5"/>
      <c r="AP47" s="6"/>
      <c r="AQ47" s="6"/>
      <c r="AR47" s="6"/>
      <c r="AS47" s="6"/>
      <c r="AT47" s="5"/>
      <c r="AU47" s="5"/>
      <c r="AV47" s="6"/>
      <c r="AW47" s="6"/>
      <c r="AX47" s="6"/>
      <c r="AY47" s="5"/>
      <c r="AZ47" s="6"/>
      <c r="BA47" s="6"/>
      <c r="BB47" s="6"/>
      <c r="BC47" s="6"/>
      <c r="BD47" s="3"/>
      <c r="BE47" s="3"/>
      <c r="BF47" s="4"/>
      <c r="BG47" s="4"/>
      <c r="BH47" s="4"/>
      <c r="BJ47" s="1"/>
      <c r="BK47" s="1"/>
      <c r="BL47" s="1"/>
      <c r="BM47" s="1"/>
    </row>
    <row r="48" spans="1:65" x14ac:dyDescent="0.2">
      <c r="A48" t="s">
        <v>193</v>
      </c>
      <c r="D48" t="s">
        <v>75</v>
      </c>
      <c r="F48" t="s">
        <v>109</v>
      </c>
      <c r="O48">
        <v>-8</v>
      </c>
      <c r="P48" s="42">
        <v>52</v>
      </c>
      <c r="R48">
        <v>0.5</v>
      </c>
      <c r="T48" s="19">
        <v>43394</v>
      </c>
      <c r="U48" s="13" t="s">
        <v>250</v>
      </c>
      <c r="V48" t="s">
        <v>304</v>
      </c>
      <c r="W48" s="13" t="s">
        <v>256</v>
      </c>
      <c r="X48" s="1"/>
      <c r="Y48" s="1"/>
      <c r="Z48" s="8"/>
      <c r="AA48" s="9"/>
      <c r="AB48" s="9"/>
      <c r="AC48" s="9"/>
      <c r="AD48" s="9"/>
      <c r="AE48" s="8"/>
      <c r="AF48" s="9"/>
      <c r="AG48" s="9"/>
      <c r="AH48" s="9"/>
      <c r="AI48" s="9"/>
      <c r="AJ48" s="5"/>
      <c r="AK48" s="6"/>
      <c r="AL48" s="6"/>
      <c r="AM48" s="6"/>
      <c r="AN48" s="6"/>
      <c r="AO48" s="5"/>
      <c r="AP48" s="6"/>
      <c r="AQ48" s="6"/>
      <c r="AR48" s="6"/>
      <c r="AS48" s="6"/>
      <c r="AT48" s="5"/>
      <c r="AU48" s="6"/>
      <c r="AV48" s="6"/>
      <c r="AW48" s="6"/>
      <c r="AX48" s="6"/>
      <c r="AY48" s="5"/>
      <c r="AZ48" s="6"/>
      <c r="BA48" s="6"/>
      <c r="BB48" s="6"/>
      <c r="BC48" s="6"/>
      <c r="BD48" s="3"/>
      <c r="BE48" s="4"/>
      <c r="BF48" s="4"/>
      <c r="BG48" s="4"/>
      <c r="BH48" s="4"/>
      <c r="BJ48" s="1"/>
      <c r="BK48" s="1"/>
      <c r="BL48" s="1"/>
      <c r="BM48" s="1"/>
    </row>
    <row r="49" spans="1:65" x14ac:dyDescent="0.2">
      <c r="A49" t="s">
        <v>193</v>
      </c>
      <c r="D49" t="s">
        <v>75</v>
      </c>
      <c r="E49" t="s">
        <v>75</v>
      </c>
      <c r="F49" t="s">
        <v>110</v>
      </c>
      <c r="O49">
        <v>3</v>
      </c>
      <c r="P49" s="42">
        <v>47</v>
      </c>
      <c r="R49">
        <v>7.4</v>
      </c>
      <c r="T49" s="19">
        <v>43394</v>
      </c>
      <c r="U49" s="13" t="s">
        <v>250</v>
      </c>
      <c r="V49" t="s">
        <v>293</v>
      </c>
      <c r="W49" s="13" t="s">
        <v>299</v>
      </c>
      <c r="X49" s="1"/>
      <c r="Y49" s="1"/>
      <c r="Z49" s="8"/>
      <c r="AA49" s="9"/>
      <c r="AB49" s="9"/>
      <c r="AC49" s="9"/>
      <c r="AD49" s="9"/>
      <c r="AE49" s="8"/>
      <c r="AF49" s="9"/>
      <c r="AG49" s="9"/>
      <c r="AH49" s="9"/>
      <c r="AI49" s="9"/>
      <c r="AJ49" s="5"/>
      <c r="AK49" s="6"/>
      <c r="AL49" s="6"/>
      <c r="AM49" s="6"/>
      <c r="AN49" s="6"/>
      <c r="AO49" s="5"/>
      <c r="AP49" s="6"/>
      <c r="AQ49" s="6"/>
      <c r="AR49" s="6"/>
      <c r="AS49" s="6"/>
      <c r="AT49" s="5"/>
      <c r="AU49" s="6"/>
      <c r="AV49" s="6"/>
      <c r="AW49" s="6"/>
      <c r="AX49" s="6"/>
      <c r="AY49" s="5"/>
      <c r="AZ49" s="6"/>
      <c r="BA49" s="6"/>
      <c r="BB49" s="6"/>
      <c r="BC49" s="6"/>
      <c r="BD49" s="3"/>
      <c r="BE49" s="4"/>
      <c r="BF49" s="4"/>
      <c r="BG49" s="4"/>
      <c r="BH49" s="4"/>
      <c r="BJ49" s="1"/>
      <c r="BK49" s="1"/>
      <c r="BL49" s="1"/>
      <c r="BM49" s="1"/>
    </row>
    <row r="50" spans="1:65" x14ac:dyDescent="0.2">
      <c r="A50" t="s">
        <v>193</v>
      </c>
      <c r="O50">
        <v>-3.5</v>
      </c>
      <c r="P50" s="42">
        <v>45</v>
      </c>
      <c r="R50">
        <v>2.6</v>
      </c>
      <c r="T50" s="19">
        <v>43394</v>
      </c>
      <c r="U50" s="13" t="s">
        <v>250</v>
      </c>
      <c r="V50" t="s">
        <v>312</v>
      </c>
      <c r="W50" s="13" t="s">
        <v>298</v>
      </c>
      <c r="X50" s="1"/>
      <c r="Y50" s="1"/>
      <c r="Z50" s="8"/>
      <c r="AA50" s="9"/>
      <c r="AB50" s="9"/>
      <c r="AC50" s="9"/>
      <c r="AD50" s="9"/>
      <c r="AE50" s="8"/>
      <c r="AF50" s="8"/>
      <c r="AG50" s="9"/>
      <c r="AH50" s="9"/>
      <c r="AI50" s="9"/>
      <c r="AJ50" s="5"/>
      <c r="AK50" s="6"/>
      <c r="AL50" s="6"/>
      <c r="AM50" s="6"/>
      <c r="AN50" s="6"/>
      <c r="AO50" s="5"/>
      <c r="AP50" s="6"/>
      <c r="AQ50" s="6"/>
      <c r="AR50" s="6"/>
      <c r="AS50" s="6"/>
      <c r="AT50" s="5"/>
      <c r="AU50" s="5"/>
      <c r="AV50" s="6"/>
      <c r="AW50" s="6"/>
      <c r="AX50" s="6"/>
      <c r="AY50" s="5"/>
      <c r="AZ50" s="6"/>
      <c r="BA50" s="6"/>
      <c r="BB50" s="6"/>
      <c r="BC50" s="6"/>
      <c r="BD50" s="3"/>
      <c r="BE50" s="3"/>
      <c r="BF50" s="4"/>
      <c r="BG50" s="4"/>
      <c r="BH50" s="4"/>
      <c r="BJ50" s="1"/>
      <c r="BK50" s="1"/>
      <c r="BL50" s="1"/>
      <c r="BM50" s="1"/>
    </row>
    <row r="51" spans="1:65" x14ac:dyDescent="0.2">
      <c r="A51" t="s">
        <v>193</v>
      </c>
      <c r="E51" t="s">
        <v>75</v>
      </c>
      <c r="O51">
        <v>-1</v>
      </c>
      <c r="P51" s="42">
        <v>49</v>
      </c>
      <c r="R51">
        <v>0</v>
      </c>
      <c r="T51" s="19">
        <v>43394</v>
      </c>
      <c r="U51" s="13" t="s">
        <v>250</v>
      </c>
      <c r="V51" t="s">
        <v>302</v>
      </c>
      <c r="W51" s="13" t="s">
        <v>265</v>
      </c>
      <c r="X51" s="1"/>
      <c r="Y51" s="1"/>
      <c r="Z51" s="8"/>
      <c r="AA51" s="9"/>
      <c r="AB51" s="9"/>
      <c r="AC51" s="9"/>
      <c r="AD51" s="9"/>
      <c r="AE51" s="8"/>
      <c r="AF51" s="9"/>
      <c r="AG51" s="9"/>
      <c r="AH51" s="9"/>
      <c r="AI51" s="9"/>
      <c r="AJ51" s="5"/>
      <c r="AK51" s="6"/>
      <c r="AL51" s="6"/>
      <c r="AM51" s="6"/>
      <c r="AN51" s="6"/>
      <c r="AO51" s="5"/>
      <c r="AP51" s="6"/>
      <c r="AQ51" s="6"/>
      <c r="AR51" s="6"/>
      <c r="AS51" s="6"/>
      <c r="AT51" s="5"/>
      <c r="AU51" s="6"/>
      <c r="AV51" s="6"/>
      <c r="AW51" s="6"/>
      <c r="AX51" s="6"/>
      <c r="AY51" s="5"/>
      <c r="AZ51" s="6"/>
      <c r="BA51" s="6"/>
      <c r="BB51" s="6"/>
      <c r="BC51" s="6"/>
      <c r="BD51" s="3"/>
      <c r="BE51" s="4"/>
      <c r="BF51" s="4"/>
      <c r="BG51" s="4"/>
      <c r="BH51" s="4"/>
      <c r="BJ51" s="1"/>
      <c r="BK51" s="1"/>
      <c r="BL51" s="1"/>
      <c r="BM51" s="1"/>
    </row>
    <row r="52" spans="1:65" x14ac:dyDescent="0.2">
      <c r="A52" t="s">
        <v>193</v>
      </c>
      <c r="O52">
        <v>2.5</v>
      </c>
      <c r="P52" s="42">
        <v>49</v>
      </c>
      <c r="R52">
        <v>16.3</v>
      </c>
      <c r="T52" s="19">
        <v>43394</v>
      </c>
      <c r="U52" s="13" t="s">
        <v>250</v>
      </c>
      <c r="V52" t="s">
        <v>307</v>
      </c>
      <c r="W52" s="13" t="s">
        <v>305</v>
      </c>
      <c r="X52" s="1"/>
      <c r="Y52" s="1"/>
      <c r="Z52" s="8"/>
      <c r="AA52" s="9"/>
      <c r="AB52" s="9"/>
      <c r="AC52" s="9"/>
      <c r="AD52" s="9"/>
      <c r="AE52" s="8"/>
      <c r="AF52" s="9"/>
      <c r="AG52" s="9"/>
      <c r="AH52" s="9"/>
      <c r="AI52" s="9"/>
      <c r="AJ52" s="5"/>
      <c r="AK52" s="6"/>
      <c r="AL52" s="6"/>
      <c r="AM52" s="6"/>
      <c r="AN52" s="6"/>
      <c r="AO52" s="5"/>
      <c r="AP52" s="6"/>
      <c r="AQ52" s="6"/>
      <c r="AR52" s="6"/>
      <c r="AS52" s="6"/>
      <c r="AT52" s="5"/>
      <c r="AU52" s="6"/>
      <c r="AV52" s="6"/>
      <c r="AW52" s="6"/>
      <c r="AX52" s="6"/>
      <c r="AY52" s="5"/>
      <c r="AZ52" s="6"/>
      <c r="BA52" s="6"/>
      <c r="BB52" s="6"/>
      <c r="BC52" s="6"/>
      <c r="BD52" s="3"/>
      <c r="BE52" s="4"/>
      <c r="BF52" s="4"/>
      <c r="BG52" s="4"/>
      <c r="BH52" s="4"/>
      <c r="BJ52" s="1"/>
      <c r="BK52" s="1"/>
      <c r="BL52" s="1"/>
      <c r="BM52" s="1"/>
    </row>
    <row r="53" spans="1:65" x14ac:dyDescent="0.2">
      <c r="A53" t="s">
        <v>193</v>
      </c>
      <c r="D53" t="s">
        <v>75</v>
      </c>
      <c r="E53" t="s">
        <v>75</v>
      </c>
      <c r="O53">
        <v>4.5</v>
      </c>
      <c r="P53" s="42">
        <v>52</v>
      </c>
      <c r="R53">
        <v>4.5999999999999996</v>
      </c>
      <c r="T53" s="19">
        <v>43394</v>
      </c>
      <c r="U53" s="13" t="s">
        <v>250</v>
      </c>
      <c r="V53" t="s">
        <v>296</v>
      </c>
      <c r="W53" s="13" t="s">
        <v>295</v>
      </c>
      <c r="X53" s="1"/>
      <c r="Y53" s="1"/>
      <c r="Z53" s="8"/>
      <c r="AA53" s="9"/>
      <c r="AB53" s="9"/>
      <c r="AC53" s="9"/>
      <c r="AD53" s="9"/>
      <c r="AE53" s="8"/>
      <c r="AF53" s="8"/>
      <c r="AG53" s="9"/>
      <c r="AH53" s="9"/>
      <c r="AI53" s="9"/>
      <c r="AJ53" s="5"/>
      <c r="AK53" s="6"/>
      <c r="AL53" s="6"/>
      <c r="AM53" s="6"/>
      <c r="AN53" s="6"/>
      <c r="AO53" s="5"/>
      <c r="AP53" s="6"/>
      <c r="AQ53" s="6"/>
      <c r="AR53" s="6"/>
      <c r="AS53" s="6"/>
      <c r="AT53" s="5"/>
      <c r="AU53" s="5"/>
      <c r="AV53" s="6"/>
      <c r="AW53" s="6"/>
      <c r="AX53" s="6"/>
      <c r="AY53" s="5"/>
      <c r="AZ53" s="6"/>
      <c r="BA53" s="6"/>
      <c r="BB53" s="6"/>
      <c r="BC53" s="6"/>
      <c r="BD53" s="3"/>
      <c r="BE53" s="3"/>
      <c r="BF53" s="4"/>
      <c r="BG53" s="4"/>
      <c r="BH53" s="4"/>
      <c r="BJ53" s="1"/>
      <c r="BK53" s="1"/>
      <c r="BL53" s="1"/>
      <c r="BM53" s="1"/>
    </row>
    <row r="54" spans="1:65" x14ac:dyDescent="0.2">
      <c r="A54" t="s">
        <v>193</v>
      </c>
      <c r="O54">
        <v>3.5</v>
      </c>
      <c r="P54" s="42">
        <v>45</v>
      </c>
      <c r="R54">
        <v>14.2</v>
      </c>
      <c r="T54" s="19">
        <v>43394</v>
      </c>
      <c r="U54" s="13" t="s">
        <v>250</v>
      </c>
      <c r="V54" t="s">
        <v>298</v>
      </c>
      <c r="W54" s="13" t="s">
        <v>312</v>
      </c>
      <c r="X54" s="1"/>
      <c r="Y54" s="1"/>
      <c r="Z54" s="8"/>
      <c r="AA54" s="9"/>
      <c r="AB54" s="9"/>
      <c r="AC54" s="9"/>
      <c r="AD54" s="9"/>
      <c r="AE54" s="8"/>
      <c r="AF54" s="9"/>
      <c r="AG54" s="9"/>
      <c r="AH54" s="9"/>
      <c r="AI54" s="9"/>
      <c r="AJ54" s="5"/>
      <c r="AK54" s="6"/>
      <c r="AL54" s="6"/>
      <c r="AM54" s="6"/>
      <c r="AN54" s="6"/>
      <c r="AO54" s="5"/>
      <c r="AP54" s="6"/>
      <c r="AQ54" s="6"/>
      <c r="AR54" s="6"/>
      <c r="AS54" s="6"/>
      <c r="AT54" s="5"/>
      <c r="AU54" s="6"/>
      <c r="AV54" s="6"/>
      <c r="AW54" s="6"/>
      <c r="AX54" s="6"/>
      <c r="AY54" s="5"/>
      <c r="AZ54" s="6"/>
      <c r="BA54" s="6"/>
      <c r="BB54" s="6"/>
      <c r="BC54" s="6"/>
      <c r="BD54" s="3"/>
      <c r="BE54" s="4"/>
      <c r="BF54" s="4"/>
      <c r="BG54" s="4"/>
      <c r="BH54" s="4"/>
      <c r="BJ54" s="1"/>
      <c r="BK54" s="1"/>
      <c r="BL54" s="1"/>
      <c r="BM54" s="1"/>
    </row>
    <row r="55" spans="1:65" x14ac:dyDescent="0.2">
      <c r="A55" t="s">
        <v>193</v>
      </c>
      <c r="O55">
        <v>-5</v>
      </c>
      <c r="P55" s="42">
        <v>45</v>
      </c>
      <c r="R55">
        <v>25.8</v>
      </c>
      <c r="T55" s="19">
        <v>43394</v>
      </c>
      <c r="U55" s="13" t="s">
        <v>250</v>
      </c>
      <c r="V55" t="s">
        <v>294</v>
      </c>
      <c r="W55" s="13" t="s">
        <v>301</v>
      </c>
      <c r="X55" s="1"/>
      <c r="Y55" s="1"/>
      <c r="Z55" s="8"/>
      <c r="AA55" s="9"/>
      <c r="AB55" s="9"/>
      <c r="AC55" s="9"/>
      <c r="AD55" s="9"/>
      <c r="AE55" s="9"/>
      <c r="AF55" s="8"/>
      <c r="AG55" s="9"/>
      <c r="AH55" s="9"/>
      <c r="AI55" s="9"/>
      <c r="AJ55" s="5"/>
      <c r="AK55" s="6"/>
      <c r="AL55" s="6"/>
      <c r="AM55" s="6"/>
      <c r="AN55" s="6"/>
      <c r="AO55" s="5"/>
      <c r="AP55" s="6"/>
      <c r="AQ55" s="6"/>
      <c r="AR55" s="6"/>
      <c r="AS55" s="6"/>
      <c r="AT55" s="6"/>
      <c r="AU55" s="5"/>
      <c r="AV55" s="6"/>
      <c r="AW55" s="6"/>
      <c r="AX55" s="6"/>
      <c r="AY55" s="5"/>
      <c r="AZ55" s="6"/>
      <c r="BA55" s="6"/>
      <c r="BB55" s="6"/>
      <c r="BC55" s="6"/>
      <c r="BD55" s="3"/>
      <c r="BE55" s="3"/>
      <c r="BF55" s="3"/>
      <c r="BG55" s="3"/>
      <c r="BH55" s="3"/>
      <c r="BJ55" s="1"/>
      <c r="BK55" s="1"/>
      <c r="BL55" s="1"/>
      <c r="BM55" s="1"/>
    </row>
    <row r="56" spans="1:65" x14ac:dyDescent="0.2">
      <c r="A56" t="s">
        <v>193</v>
      </c>
      <c r="D56" t="s">
        <v>75</v>
      </c>
      <c r="F56" t="s">
        <v>109</v>
      </c>
      <c r="O56">
        <v>8</v>
      </c>
      <c r="P56" s="42">
        <v>52</v>
      </c>
      <c r="R56">
        <v>20.8</v>
      </c>
      <c r="T56" s="19">
        <v>43394</v>
      </c>
      <c r="U56" s="13" t="s">
        <v>250</v>
      </c>
      <c r="V56" t="s">
        <v>256</v>
      </c>
      <c r="W56" s="13" t="s">
        <v>304</v>
      </c>
      <c r="X56" s="1"/>
      <c r="Y56" s="1"/>
      <c r="Z56" s="8"/>
      <c r="AA56" s="9"/>
      <c r="AB56" s="9"/>
      <c r="AC56" s="9"/>
      <c r="AD56" s="9"/>
      <c r="AE56" s="9"/>
      <c r="AF56" s="8"/>
      <c r="AG56" s="9"/>
      <c r="AH56" s="9"/>
      <c r="AI56" s="9"/>
      <c r="AJ56" s="5"/>
      <c r="AK56" s="6"/>
      <c r="AL56" s="6"/>
      <c r="AM56" s="6"/>
      <c r="AN56" s="6"/>
      <c r="AO56" s="5"/>
      <c r="AP56" s="6"/>
      <c r="AQ56" s="6"/>
      <c r="AR56" s="6"/>
      <c r="AS56" s="6"/>
      <c r="AT56" s="6"/>
      <c r="AU56" s="5"/>
      <c r="AV56" s="6"/>
      <c r="AW56" s="6"/>
      <c r="AX56" s="6"/>
      <c r="AY56" s="5"/>
      <c r="AZ56" s="6"/>
      <c r="BA56" s="6"/>
      <c r="BB56" s="6"/>
      <c r="BC56" s="6"/>
      <c r="BE56" s="1"/>
      <c r="BF56" s="1"/>
      <c r="BG56" s="1"/>
      <c r="BH56" s="1"/>
      <c r="BJ56" s="1"/>
      <c r="BK56" s="1"/>
      <c r="BL56" s="1"/>
      <c r="BM56" s="1"/>
    </row>
    <row r="57" spans="1:65" x14ac:dyDescent="0.2">
      <c r="A57" t="s">
        <v>193</v>
      </c>
      <c r="F57" t="s">
        <v>109</v>
      </c>
      <c r="O57">
        <v>-3.5</v>
      </c>
      <c r="P57" s="42">
        <v>52</v>
      </c>
      <c r="R57">
        <v>11.9</v>
      </c>
      <c r="T57" s="19">
        <v>43394</v>
      </c>
      <c r="U57" s="13" t="s">
        <v>250</v>
      </c>
      <c r="V57" t="s">
        <v>284</v>
      </c>
      <c r="W57" s="13" t="s">
        <v>281</v>
      </c>
      <c r="X57" s="1"/>
      <c r="Y57" s="1"/>
      <c r="Z57" s="8"/>
      <c r="AA57" s="9"/>
      <c r="AB57" s="9"/>
      <c r="AC57" s="9"/>
      <c r="AD57" s="9"/>
      <c r="AE57" s="9"/>
      <c r="AF57" s="8"/>
      <c r="AG57" s="9"/>
      <c r="AH57" s="9"/>
      <c r="AI57" s="9"/>
      <c r="AJ57" s="5"/>
      <c r="AK57" s="6"/>
      <c r="AL57" s="6"/>
      <c r="AM57" s="6"/>
      <c r="AN57" s="6"/>
      <c r="AO57" s="5"/>
      <c r="AP57" s="6"/>
      <c r="AQ57" s="6"/>
      <c r="AR57" s="6"/>
      <c r="AS57" s="6"/>
      <c r="AT57" s="6"/>
      <c r="AU57" s="5"/>
      <c r="AV57" s="6"/>
      <c r="AW57" s="6"/>
      <c r="AX57" s="6"/>
      <c r="AY57" s="5"/>
      <c r="AZ57" s="6"/>
      <c r="BA57" s="6"/>
      <c r="BB57" s="6"/>
      <c r="BC57" s="6"/>
      <c r="BE57" s="1"/>
      <c r="BF57" s="1"/>
      <c r="BG57" s="1"/>
      <c r="BH57" s="1"/>
      <c r="BJ57" s="1"/>
      <c r="BK57" s="1"/>
      <c r="BL57" s="1"/>
      <c r="BM57" s="1"/>
    </row>
    <row r="58" spans="1:65" x14ac:dyDescent="0.2">
      <c r="A58" t="s">
        <v>193</v>
      </c>
      <c r="F58" t="s">
        <v>110</v>
      </c>
      <c r="O58">
        <v>6.5</v>
      </c>
      <c r="P58" s="42">
        <v>46</v>
      </c>
      <c r="R58">
        <v>3.1</v>
      </c>
      <c r="T58" s="19">
        <v>43394</v>
      </c>
      <c r="U58" s="13" t="s">
        <v>250</v>
      </c>
      <c r="V58" t="s">
        <v>310</v>
      </c>
      <c r="W58" s="13" t="s">
        <v>287</v>
      </c>
      <c r="X58" s="1"/>
      <c r="Y58" s="1"/>
      <c r="Z58" s="8"/>
      <c r="AA58" s="9"/>
      <c r="AB58" s="9"/>
      <c r="AC58" s="9"/>
      <c r="AD58" s="9"/>
      <c r="AE58" s="9"/>
      <c r="AF58" s="8"/>
      <c r="AG58" s="9"/>
      <c r="AH58" s="9"/>
      <c r="AI58" s="9"/>
      <c r="AJ58" s="5"/>
      <c r="AK58" s="6"/>
      <c r="AL58" s="6"/>
      <c r="AM58" s="6"/>
      <c r="AN58" s="6"/>
      <c r="AO58" s="5"/>
      <c r="AP58" s="6"/>
      <c r="AQ58" s="6"/>
      <c r="AR58" s="6"/>
      <c r="AS58" s="6"/>
      <c r="AT58" s="6"/>
      <c r="AU58" s="5"/>
      <c r="AV58" s="6"/>
      <c r="AW58" s="6"/>
      <c r="AX58" s="6"/>
      <c r="AY58" s="5"/>
      <c r="AZ58" s="6"/>
      <c r="BA58" s="6"/>
      <c r="BB58" s="6"/>
      <c r="BC58" s="6"/>
      <c r="BE58" s="1"/>
      <c r="BF58" s="1"/>
      <c r="BG58" s="1"/>
      <c r="BH58" s="1"/>
      <c r="BJ58" s="1"/>
      <c r="BK58" s="1"/>
      <c r="BL58" s="1"/>
      <c r="BM58" s="1"/>
    </row>
    <row r="59" spans="1:65" x14ac:dyDescent="0.2">
      <c r="A59" t="s">
        <v>193</v>
      </c>
      <c r="F59" t="s">
        <v>110</v>
      </c>
      <c r="O59">
        <v>1.5</v>
      </c>
      <c r="P59" s="42">
        <v>40</v>
      </c>
      <c r="R59">
        <v>6.3</v>
      </c>
      <c r="T59" s="19">
        <v>43394</v>
      </c>
      <c r="U59" s="13" t="s">
        <v>250</v>
      </c>
      <c r="V59" s="41" t="s">
        <v>306</v>
      </c>
      <c r="W59" s="13" t="s">
        <v>291</v>
      </c>
      <c r="X59" s="1"/>
      <c r="Y59" s="1"/>
      <c r="Z59" s="8"/>
      <c r="AA59" s="9"/>
      <c r="AB59" s="9"/>
      <c r="AC59" s="9"/>
      <c r="AD59" s="9"/>
      <c r="AE59" s="9"/>
      <c r="AF59" s="8"/>
      <c r="AG59" s="9"/>
      <c r="AH59" s="9"/>
      <c r="AI59" s="9"/>
      <c r="AJ59" s="5"/>
      <c r="AK59" s="6"/>
      <c r="AL59" s="6"/>
      <c r="AM59" s="6"/>
      <c r="AN59" s="6"/>
      <c r="AO59" s="5"/>
      <c r="AP59" s="6"/>
      <c r="AQ59" s="6"/>
      <c r="AR59" s="6"/>
      <c r="AS59" s="6"/>
      <c r="AT59" s="6"/>
      <c r="AU59" s="5"/>
      <c r="AV59" s="6"/>
      <c r="AW59" s="6"/>
      <c r="AX59" s="6"/>
      <c r="AY59" s="5"/>
      <c r="AZ59" s="6"/>
      <c r="BA59" s="6"/>
      <c r="BB59" s="6"/>
      <c r="BC59" s="6"/>
      <c r="BE59" s="1"/>
      <c r="BF59" s="1"/>
      <c r="BG59" s="1"/>
      <c r="BH59" s="1"/>
      <c r="BJ59" s="1"/>
      <c r="BK59" s="1"/>
      <c r="BL59" s="1"/>
      <c r="BM59" s="1"/>
    </row>
    <row r="60" spans="1:65" x14ac:dyDescent="0.2">
      <c r="A60" t="s">
        <v>193</v>
      </c>
      <c r="D60" t="s">
        <v>75</v>
      </c>
      <c r="O60">
        <v>2.5</v>
      </c>
      <c r="P60" s="42">
        <v>40</v>
      </c>
      <c r="R60">
        <v>4.2</v>
      </c>
      <c r="T60" s="19">
        <v>43401</v>
      </c>
      <c r="U60" s="13" t="s">
        <v>248</v>
      </c>
      <c r="V60" s="41" t="s">
        <v>285</v>
      </c>
      <c r="W60" s="13" t="s">
        <v>256</v>
      </c>
      <c r="X60" s="1"/>
      <c r="Y60" s="1"/>
      <c r="Z60" s="8"/>
      <c r="AA60" s="9"/>
      <c r="AB60" s="9"/>
      <c r="AC60" s="9"/>
      <c r="AD60" s="9"/>
      <c r="AE60" s="9"/>
      <c r="AF60" s="8"/>
      <c r="AG60" s="9"/>
      <c r="AH60" s="9"/>
      <c r="AI60" s="9"/>
      <c r="AJ60" s="5"/>
      <c r="AK60" s="6"/>
      <c r="AL60" s="6"/>
      <c r="AM60" s="6"/>
      <c r="AN60" s="6"/>
      <c r="AO60" s="5"/>
      <c r="AP60" s="6"/>
      <c r="AQ60" s="6"/>
      <c r="AR60" s="6"/>
      <c r="AS60" s="6"/>
      <c r="AT60" s="6"/>
      <c r="AU60" s="5"/>
      <c r="AV60" s="6"/>
      <c r="AW60" s="6"/>
      <c r="AX60" s="6"/>
      <c r="AY60" s="5"/>
      <c r="AZ60" s="6"/>
      <c r="BA60" s="6"/>
      <c r="BB60" s="6"/>
      <c r="BC60" s="6"/>
      <c r="BE60" s="1"/>
      <c r="BF60" s="1"/>
      <c r="BG60" s="1"/>
      <c r="BH60" s="1"/>
      <c r="BJ60" s="1"/>
      <c r="BK60" s="1"/>
      <c r="BL60" s="1"/>
      <c r="BM60" s="1"/>
    </row>
    <row r="61" spans="1:65" x14ac:dyDescent="0.2">
      <c r="A61" t="s">
        <v>193</v>
      </c>
      <c r="O61">
        <v>-2.5</v>
      </c>
      <c r="P61" s="42">
        <v>44</v>
      </c>
      <c r="R61">
        <v>10.9</v>
      </c>
      <c r="T61" s="19">
        <v>43401</v>
      </c>
      <c r="U61" s="13" t="s">
        <v>248</v>
      </c>
      <c r="V61" t="s">
        <v>305</v>
      </c>
      <c r="W61" s="13" t="s">
        <v>301</v>
      </c>
      <c r="X61" s="1"/>
      <c r="Y61" s="1"/>
      <c r="Z61" s="8"/>
      <c r="AA61" s="9"/>
      <c r="AB61" s="9"/>
      <c r="AC61" s="9"/>
      <c r="AD61" s="9"/>
      <c r="AE61" s="9"/>
      <c r="AF61" s="8"/>
      <c r="AG61" s="9"/>
      <c r="AH61" s="9"/>
      <c r="AI61" s="9"/>
      <c r="AJ61" s="5"/>
      <c r="AK61" s="6"/>
      <c r="AL61" s="6"/>
      <c r="AM61" s="6"/>
      <c r="AN61" s="6"/>
      <c r="AO61" s="5"/>
      <c r="AP61" s="6"/>
      <c r="AQ61" s="6"/>
      <c r="AR61" s="6"/>
      <c r="AS61" s="6"/>
      <c r="AT61" s="6"/>
      <c r="AU61" s="5"/>
      <c r="AV61" s="6"/>
      <c r="AW61" s="6"/>
      <c r="AX61" s="6"/>
      <c r="AY61" s="5"/>
      <c r="AZ61" s="6"/>
      <c r="BA61" s="6"/>
      <c r="BB61" s="6"/>
      <c r="BC61" s="6"/>
      <c r="BE61" s="1"/>
      <c r="BF61" s="1"/>
      <c r="BG61" s="1"/>
      <c r="BH61" s="1"/>
      <c r="BJ61" s="1"/>
      <c r="BK61" s="1"/>
      <c r="BL61" s="1"/>
      <c r="BM61" s="1"/>
    </row>
    <row r="62" spans="1:65" x14ac:dyDescent="0.2">
      <c r="A62" t="s">
        <v>193</v>
      </c>
      <c r="O62">
        <v>13.5</v>
      </c>
      <c r="P62" s="42">
        <v>44</v>
      </c>
      <c r="R62">
        <v>6.6</v>
      </c>
      <c r="T62" s="19">
        <v>43401</v>
      </c>
      <c r="U62" s="13" t="s">
        <v>248</v>
      </c>
      <c r="V62" t="s">
        <v>276</v>
      </c>
      <c r="W62" s="13" t="s">
        <v>302</v>
      </c>
      <c r="X62" s="1"/>
      <c r="Y62" s="1"/>
      <c r="Z62" s="8"/>
      <c r="AA62" s="9"/>
      <c r="AB62" s="9"/>
      <c r="AC62" s="9"/>
      <c r="AD62" s="9"/>
      <c r="AE62" s="9"/>
      <c r="AF62" s="8"/>
      <c r="AG62" s="9"/>
      <c r="AH62" s="9"/>
      <c r="AI62" s="9"/>
      <c r="AJ62" s="5"/>
      <c r="AK62" s="6"/>
      <c r="AL62" s="6"/>
      <c r="AM62" s="6"/>
      <c r="AN62" s="6"/>
      <c r="AO62" s="5"/>
      <c r="AP62" s="6"/>
      <c r="AQ62" s="6"/>
      <c r="AR62" s="6"/>
      <c r="AS62" s="6"/>
      <c r="AT62" s="6"/>
      <c r="AU62" s="5"/>
      <c r="AV62" s="6"/>
      <c r="AW62" s="6"/>
      <c r="AX62" s="6"/>
      <c r="AY62" s="5"/>
      <c r="AZ62" s="6"/>
      <c r="BA62" s="6"/>
      <c r="BB62" s="6"/>
      <c r="BC62" s="6"/>
      <c r="BE62" s="1"/>
      <c r="BF62" s="1"/>
      <c r="BG62" s="1"/>
      <c r="BH62" s="1"/>
      <c r="BJ62" s="1"/>
      <c r="BK62" s="1"/>
      <c r="BL62" s="1"/>
      <c r="BM62" s="1"/>
    </row>
    <row r="63" spans="1:65" x14ac:dyDescent="0.2">
      <c r="A63" t="s">
        <v>193</v>
      </c>
      <c r="O63">
        <v>2.5</v>
      </c>
      <c r="P63" s="42">
        <v>44</v>
      </c>
      <c r="R63">
        <v>15.6</v>
      </c>
      <c r="T63" s="19">
        <v>43401</v>
      </c>
      <c r="U63" s="13" t="s">
        <v>248</v>
      </c>
      <c r="V63" t="s">
        <v>301</v>
      </c>
      <c r="W63" s="13" t="s">
        <v>305</v>
      </c>
      <c r="X63" s="1"/>
      <c r="Y63" s="1"/>
      <c r="Z63" s="8"/>
      <c r="AA63" s="9"/>
      <c r="AB63" s="9"/>
      <c r="AC63" s="9"/>
      <c r="AD63" s="9"/>
      <c r="AE63" s="9"/>
      <c r="AF63" s="8"/>
      <c r="AG63" s="9"/>
      <c r="AH63" s="9"/>
      <c r="AI63" s="9"/>
      <c r="AJ63" s="5"/>
      <c r="AK63" s="6"/>
      <c r="AL63" s="6"/>
      <c r="AM63" s="6"/>
      <c r="AN63" s="6"/>
      <c r="AO63" s="5"/>
      <c r="AP63" s="6"/>
      <c r="AQ63" s="6"/>
      <c r="AR63" s="6"/>
      <c r="AS63" s="6"/>
      <c r="AT63" s="6"/>
      <c r="AU63" s="5"/>
      <c r="AV63" s="6"/>
      <c r="AW63" s="6"/>
      <c r="AX63" s="6"/>
      <c r="AY63" s="5"/>
      <c r="AZ63" s="6"/>
      <c r="BA63" s="6"/>
      <c r="BB63" s="6"/>
      <c r="BC63" s="6"/>
      <c r="BE63" s="1"/>
      <c r="BF63" s="1"/>
      <c r="BG63" s="1"/>
      <c r="BH63" s="1"/>
      <c r="BJ63" s="1"/>
      <c r="BK63" s="1"/>
      <c r="BL63" s="1"/>
      <c r="BM63" s="1"/>
    </row>
    <row r="64" spans="1:65" x14ac:dyDescent="0.2">
      <c r="A64" t="s">
        <v>193</v>
      </c>
      <c r="O64">
        <v>-8.5</v>
      </c>
      <c r="P64" s="42">
        <v>42.5</v>
      </c>
      <c r="R64">
        <v>4.8</v>
      </c>
      <c r="T64" s="19">
        <v>43401</v>
      </c>
      <c r="U64" s="13" t="s">
        <v>248</v>
      </c>
      <c r="V64" t="s">
        <v>265</v>
      </c>
      <c r="W64" s="13" t="s">
        <v>298</v>
      </c>
      <c r="X64" s="1"/>
      <c r="Y64" s="1"/>
      <c r="Z64" s="8"/>
      <c r="AA64" s="9"/>
      <c r="AB64" s="9"/>
      <c r="AC64" s="9"/>
      <c r="AD64" s="9"/>
      <c r="AE64" s="9"/>
      <c r="AF64" s="8"/>
      <c r="AG64" s="9"/>
      <c r="AH64" s="9"/>
      <c r="AI64" s="9"/>
      <c r="AJ64" s="5"/>
      <c r="AK64" s="6"/>
      <c r="AL64" s="6"/>
      <c r="AM64" s="6"/>
      <c r="AN64" s="6"/>
      <c r="AO64" s="5"/>
      <c r="AP64" s="6"/>
      <c r="AQ64" s="6"/>
      <c r="AR64" s="6"/>
      <c r="AS64" s="6"/>
      <c r="AT64" s="6"/>
      <c r="AU64" s="5"/>
      <c r="AV64" s="6"/>
      <c r="AW64" s="6"/>
      <c r="AX64" s="6"/>
      <c r="AY64" s="5"/>
      <c r="AZ64" s="6"/>
      <c r="BA64" s="6"/>
      <c r="BB64" s="6"/>
      <c r="BC64" s="6"/>
      <c r="BE64" s="1"/>
      <c r="BF64" s="1"/>
      <c r="BG64" s="1"/>
      <c r="BH64" s="1"/>
      <c r="BJ64" s="1"/>
      <c r="BK64" s="1"/>
      <c r="BL64" s="1"/>
      <c r="BM64" s="1"/>
    </row>
    <row r="65" spans="1:65" x14ac:dyDescent="0.2">
      <c r="A65" t="s">
        <v>193</v>
      </c>
      <c r="D65" t="s">
        <v>75</v>
      </c>
      <c r="E65" t="s">
        <v>75</v>
      </c>
      <c r="F65" t="s">
        <v>109</v>
      </c>
      <c r="O65">
        <v>-3.5</v>
      </c>
      <c r="P65" s="42">
        <v>55</v>
      </c>
      <c r="R65">
        <v>4.2</v>
      </c>
      <c r="T65" s="19">
        <v>43401</v>
      </c>
      <c r="U65" s="13" t="s">
        <v>248</v>
      </c>
      <c r="V65" s="41" t="s">
        <v>272</v>
      </c>
      <c r="W65" s="13" t="s">
        <v>284</v>
      </c>
      <c r="X65" s="1"/>
      <c r="Y65" s="1"/>
      <c r="Z65" s="8"/>
      <c r="AA65" s="9"/>
      <c r="AB65" s="9"/>
      <c r="AC65" s="9"/>
      <c r="AD65" s="9"/>
      <c r="AE65" s="9"/>
      <c r="AF65" s="8"/>
      <c r="AG65" s="9"/>
      <c r="AH65" s="9"/>
      <c r="AI65" s="9"/>
      <c r="AJ65" s="5"/>
      <c r="AK65" s="6"/>
      <c r="AL65" s="6"/>
      <c r="AM65" s="6"/>
      <c r="AN65" s="6"/>
      <c r="AO65" s="5"/>
      <c r="AP65" s="6"/>
      <c r="AQ65" s="6"/>
      <c r="AR65" s="6"/>
      <c r="AS65" s="6"/>
      <c r="AT65" s="6"/>
      <c r="AU65" s="5"/>
      <c r="AV65" s="6"/>
      <c r="AW65" s="6"/>
      <c r="AX65" s="6"/>
      <c r="AY65" s="5"/>
      <c r="AZ65" s="6"/>
      <c r="BA65" s="6"/>
      <c r="BB65" s="6"/>
      <c r="BC65" s="6"/>
      <c r="BE65" s="1"/>
      <c r="BF65" s="1"/>
      <c r="BG65" s="1"/>
      <c r="BH65" s="1"/>
      <c r="BJ65" s="1"/>
      <c r="BK65" s="1"/>
      <c r="BL65" s="1"/>
      <c r="BM65" s="1"/>
    </row>
    <row r="66" spans="1:65" x14ac:dyDescent="0.2">
      <c r="A66" t="s">
        <v>193</v>
      </c>
      <c r="O66">
        <v>8.5</v>
      </c>
      <c r="P66" s="42">
        <v>47.5</v>
      </c>
      <c r="R66">
        <v>0</v>
      </c>
      <c r="T66" s="19">
        <v>43401</v>
      </c>
      <c r="U66" s="13" t="s">
        <v>248</v>
      </c>
      <c r="V66" s="18" t="s">
        <v>281</v>
      </c>
      <c r="W66" s="13" t="s">
        <v>309</v>
      </c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</row>
    <row r="67" spans="1:65" x14ac:dyDescent="0.2">
      <c r="A67" t="s">
        <v>193</v>
      </c>
      <c r="F67" t="s">
        <v>109</v>
      </c>
      <c r="O67">
        <v>8.5</v>
      </c>
      <c r="P67" s="42">
        <v>53</v>
      </c>
      <c r="R67">
        <v>7.4</v>
      </c>
      <c r="T67" s="19">
        <v>43401</v>
      </c>
      <c r="U67" s="13" t="s">
        <v>248</v>
      </c>
      <c r="V67" s="18" t="s">
        <v>278</v>
      </c>
      <c r="W67" s="13" t="s">
        <v>288</v>
      </c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</row>
    <row r="68" spans="1:65" x14ac:dyDescent="0.2">
      <c r="A68" t="s">
        <v>193</v>
      </c>
      <c r="D68" t="s">
        <v>75</v>
      </c>
      <c r="F68" t="s">
        <v>110</v>
      </c>
      <c r="O68">
        <v>-3</v>
      </c>
      <c r="P68" s="42">
        <v>47.5</v>
      </c>
      <c r="R68">
        <v>5.0999999999999996</v>
      </c>
      <c r="T68" s="19">
        <v>43401</v>
      </c>
      <c r="U68" t="s">
        <v>248</v>
      </c>
      <c r="V68" s="18" t="s">
        <v>299</v>
      </c>
      <c r="W68" t="s">
        <v>308</v>
      </c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</row>
    <row r="69" spans="1:65" x14ac:dyDescent="0.2">
      <c r="A69" t="s">
        <v>193</v>
      </c>
      <c r="D69" t="s">
        <v>75</v>
      </c>
      <c r="O69">
        <v>7.5</v>
      </c>
      <c r="P69" s="42">
        <v>57</v>
      </c>
      <c r="R69">
        <v>3.1</v>
      </c>
      <c r="T69" s="19">
        <v>43401</v>
      </c>
      <c r="U69" s="13" t="s">
        <v>248</v>
      </c>
      <c r="V69" s="18" t="s">
        <v>300</v>
      </c>
      <c r="W69" s="13" t="s">
        <v>304</v>
      </c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</row>
    <row r="70" spans="1:65" x14ac:dyDescent="0.2">
      <c r="A70" t="s">
        <v>193</v>
      </c>
      <c r="O70">
        <v>-7.5</v>
      </c>
      <c r="P70" s="42">
        <v>45</v>
      </c>
      <c r="R70">
        <v>18.899999999999999</v>
      </c>
      <c r="T70" s="19">
        <v>43401</v>
      </c>
      <c r="U70" s="13" t="s">
        <v>248</v>
      </c>
      <c r="V70" s="18" t="s">
        <v>311</v>
      </c>
      <c r="W70" s="13" t="s">
        <v>293</v>
      </c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</row>
    <row r="71" spans="1:65" x14ac:dyDescent="0.2">
      <c r="A71" t="s">
        <v>193</v>
      </c>
      <c r="F71" t="s">
        <v>110</v>
      </c>
      <c r="O71">
        <v>-3.5</v>
      </c>
      <c r="P71" s="42">
        <v>51</v>
      </c>
      <c r="R71">
        <v>19</v>
      </c>
      <c r="T71" s="19">
        <v>43401</v>
      </c>
      <c r="U71" s="13" t="s">
        <v>248</v>
      </c>
      <c r="V71" s="18" t="s">
        <v>289</v>
      </c>
      <c r="W71" s="13" t="s">
        <v>303</v>
      </c>
    </row>
    <row r="72" spans="1:65" x14ac:dyDescent="0.2">
      <c r="A72" t="s">
        <v>193</v>
      </c>
      <c r="O72">
        <v>4</v>
      </c>
      <c r="P72" s="42">
        <v>44.5</v>
      </c>
      <c r="R72">
        <v>6.7</v>
      </c>
      <c r="T72" s="19">
        <v>43401</v>
      </c>
      <c r="U72" s="13" t="s">
        <v>248</v>
      </c>
      <c r="V72" s="16" t="s">
        <v>297</v>
      </c>
      <c r="W72" s="13" t="s">
        <v>294</v>
      </c>
    </row>
    <row r="73" spans="1:65" x14ac:dyDescent="0.2">
      <c r="A73" t="s">
        <v>193</v>
      </c>
      <c r="D73" t="s">
        <v>75</v>
      </c>
      <c r="F73" t="s">
        <v>109</v>
      </c>
      <c r="O73">
        <v>-8.5</v>
      </c>
      <c r="P73" s="42">
        <v>53</v>
      </c>
      <c r="R73">
        <v>19.899999999999999</v>
      </c>
      <c r="T73" s="19">
        <v>43401</v>
      </c>
      <c r="U73" s="13" t="s">
        <v>248</v>
      </c>
      <c r="V73" s="18" t="s">
        <v>288</v>
      </c>
      <c r="W73" s="13" t="s">
        <v>278</v>
      </c>
    </row>
    <row r="74" spans="1:65" x14ac:dyDescent="0.2">
      <c r="A74" t="s">
        <v>193</v>
      </c>
      <c r="D74" t="s">
        <v>75</v>
      </c>
      <c r="F74" t="s">
        <v>110</v>
      </c>
      <c r="O74">
        <v>3.5</v>
      </c>
      <c r="P74" s="42">
        <v>51</v>
      </c>
      <c r="R74">
        <v>17.399999999999999</v>
      </c>
      <c r="T74" s="19">
        <v>43401</v>
      </c>
      <c r="U74" s="13" t="s">
        <v>248</v>
      </c>
      <c r="V74" s="16" t="s">
        <v>303</v>
      </c>
      <c r="W74" s="13" t="s">
        <v>289</v>
      </c>
    </row>
    <row r="75" spans="1:65" x14ac:dyDescent="0.2">
      <c r="A75" t="s">
        <v>193</v>
      </c>
      <c r="D75" t="s">
        <v>75</v>
      </c>
      <c r="O75">
        <v>-7.5</v>
      </c>
      <c r="P75" s="42">
        <v>57</v>
      </c>
      <c r="R75">
        <v>3.2</v>
      </c>
      <c r="T75" s="19">
        <v>43401</v>
      </c>
      <c r="U75" s="13" t="s">
        <v>248</v>
      </c>
      <c r="V75" s="18" t="s">
        <v>304</v>
      </c>
      <c r="W75" s="13" t="s">
        <v>300</v>
      </c>
    </row>
    <row r="76" spans="1:65" x14ac:dyDescent="0.2">
      <c r="A76" t="s">
        <v>193</v>
      </c>
      <c r="O76">
        <v>7.5</v>
      </c>
      <c r="P76" s="42">
        <v>45</v>
      </c>
      <c r="R76">
        <v>5.4</v>
      </c>
      <c r="T76" s="19">
        <v>43401</v>
      </c>
      <c r="U76" s="13" t="s">
        <v>248</v>
      </c>
      <c r="V76" s="18" t="s">
        <v>293</v>
      </c>
      <c r="W76" s="13" t="s">
        <v>311</v>
      </c>
    </row>
    <row r="77" spans="1:65" x14ac:dyDescent="0.2">
      <c r="A77" t="s">
        <v>193</v>
      </c>
      <c r="O77">
        <v>2.5</v>
      </c>
      <c r="P77" s="42">
        <v>53.5</v>
      </c>
      <c r="R77">
        <v>7.9</v>
      </c>
      <c r="T77" s="19">
        <v>43401</v>
      </c>
      <c r="U77" s="13" t="s">
        <v>248</v>
      </c>
      <c r="V77" s="41" t="s">
        <v>312</v>
      </c>
      <c r="W77" s="13" t="s">
        <v>307</v>
      </c>
    </row>
    <row r="78" spans="1:65" x14ac:dyDescent="0.2">
      <c r="A78" t="s">
        <v>193</v>
      </c>
      <c r="O78">
        <v>-13.5</v>
      </c>
      <c r="P78" s="42">
        <v>44</v>
      </c>
      <c r="R78">
        <v>7.3</v>
      </c>
      <c r="T78" s="19">
        <v>43401</v>
      </c>
      <c r="U78" s="13" t="s">
        <v>248</v>
      </c>
      <c r="V78" t="s">
        <v>302</v>
      </c>
      <c r="W78" s="13" t="s">
        <v>276</v>
      </c>
    </row>
    <row r="79" spans="1:65" x14ac:dyDescent="0.2">
      <c r="A79" t="s">
        <v>193</v>
      </c>
      <c r="O79">
        <v>-2.5</v>
      </c>
      <c r="P79" s="42">
        <v>53.5</v>
      </c>
      <c r="R79">
        <v>0</v>
      </c>
      <c r="T79" s="19">
        <v>43401</v>
      </c>
      <c r="U79" s="13" t="s">
        <v>248</v>
      </c>
      <c r="V79" s="41" t="s">
        <v>307</v>
      </c>
      <c r="W79" s="13" t="s">
        <v>312</v>
      </c>
    </row>
    <row r="80" spans="1:65" x14ac:dyDescent="0.2">
      <c r="A80" t="s">
        <v>193</v>
      </c>
      <c r="F80" t="s">
        <v>110</v>
      </c>
      <c r="O80">
        <v>1</v>
      </c>
      <c r="P80" s="42">
        <v>43</v>
      </c>
      <c r="R80">
        <v>13.5</v>
      </c>
      <c r="T80" s="19">
        <v>43401</v>
      </c>
      <c r="U80" s="13" t="s">
        <v>248</v>
      </c>
      <c r="V80" s="41" t="s">
        <v>296</v>
      </c>
      <c r="W80" s="13" t="s">
        <v>306</v>
      </c>
    </row>
    <row r="81" spans="1:23" x14ac:dyDescent="0.2">
      <c r="A81" t="s">
        <v>193</v>
      </c>
      <c r="O81">
        <v>8.5</v>
      </c>
      <c r="P81" s="42">
        <v>42.5</v>
      </c>
      <c r="R81">
        <v>8.6</v>
      </c>
      <c r="T81" s="19">
        <v>43401</v>
      </c>
      <c r="U81" s="13" t="s">
        <v>248</v>
      </c>
      <c r="V81" t="s">
        <v>298</v>
      </c>
      <c r="W81" s="13" t="s">
        <v>265</v>
      </c>
    </row>
    <row r="82" spans="1:23" x14ac:dyDescent="0.2">
      <c r="A82" t="s">
        <v>193</v>
      </c>
      <c r="O82">
        <v>-4</v>
      </c>
      <c r="P82" s="42">
        <v>44.5</v>
      </c>
      <c r="R82">
        <v>12.6</v>
      </c>
      <c r="T82" s="19">
        <v>43401</v>
      </c>
      <c r="U82" s="13" t="s">
        <v>248</v>
      </c>
      <c r="V82" t="s">
        <v>294</v>
      </c>
      <c r="W82" s="13" t="s">
        <v>297</v>
      </c>
    </row>
    <row r="83" spans="1:23" x14ac:dyDescent="0.2">
      <c r="A83" t="s">
        <v>193</v>
      </c>
      <c r="O83">
        <v>-8.5</v>
      </c>
      <c r="P83" s="42">
        <v>47.5</v>
      </c>
      <c r="R83">
        <v>7.7</v>
      </c>
      <c r="T83" s="19">
        <v>43401</v>
      </c>
      <c r="U83" s="13" t="s">
        <v>248</v>
      </c>
      <c r="V83" s="41" t="s">
        <v>309</v>
      </c>
      <c r="W83" s="13" t="s">
        <v>281</v>
      </c>
    </row>
    <row r="84" spans="1:23" x14ac:dyDescent="0.2">
      <c r="A84" t="s">
        <v>193</v>
      </c>
      <c r="D84" t="s">
        <v>75</v>
      </c>
      <c r="O84">
        <v>-2.5</v>
      </c>
      <c r="P84" s="42">
        <v>40</v>
      </c>
      <c r="R84">
        <v>10.7</v>
      </c>
      <c r="T84" s="19">
        <v>43401</v>
      </c>
      <c r="U84" s="13" t="s">
        <v>248</v>
      </c>
      <c r="V84" s="41" t="s">
        <v>256</v>
      </c>
      <c r="W84" s="13" t="s">
        <v>285</v>
      </c>
    </row>
    <row r="85" spans="1:23" x14ac:dyDescent="0.2">
      <c r="A85" t="s">
        <v>193</v>
      </c>
      <c r="D85" t="s">
        <v>75</v>
      </c>
      <c r="F85" t="s">
        <v>110</v>
      </c>
      <c r="O85">
        <v>3</v>
      </c>
      <c r="P85" s="42">
        <v>47.5</v>
      </c>
      <c r="R85">
        <v>13.4</v>
      </c>
      <c r="T85" s="19">
        <v>43401</v>
      </c>
      <c r="U85" s="13" t="s">
        <v>248</v>
      </c>
      <c r="V85" s="41" t="s">
        <v>308</v>
      </c>
      <c r="W85" s="13" t="s">
        <v>299</v>
      </c>
    </row>
    <row r="86" spans="1:23" x14ac:dyDescent="0.2">
      <c r="A86" t="s">
        <v>193</v>
      </c>
      <c r="E86" t="s">
        <v>75</v>
      </c>
      <c r="F86" t="s">
        <v>109</v>
      </c>
      <c r="O86">
        <v>3.5</v>
      </c>
      <c r="P86" s="42">
        <v>55</v>
      </c>
      <c r="R86">
        <v>16.8</v>
      </c>
      <c r="T86" s="19">
        <v>43401</v>
      </c>
      <c r="U86" s="13" t="s">
        <v>248</v>
      </c>
      <c r="V86" s="41" t="s">
        <v>284</v>
      </c>
      <c r="W86" s="13" t="s">
        <v>272</v>
      </c>
    </row>
    <row r="87" spans="1:23" x14ac:dyDescent="0.2">
      <c r="A87" t="s">
        <v>193</v>
      </c>
      <c r="F87" t="s">
        <v>110</v>
      </c>
      <c r="O87">
        <v>-1</v>
      </c>
      <c r="P87" s="42">
        <v>43</v>
      </c>
      <c r="R87">
        <v>10.8</v>
      </c>
      <c r="T87" s="19">
        <v>43401</v>
      </c>
      <c r="U87" s="13" t="s">
        <v>248</v>
      </c>
      <c r="V87" s="41" t="s">
        <v>306</v>
      </c>
      <c r="W87" s="13" t="s">
        <v>296</v>
      </c>
    </row>
    <row r="88" spans="1:23" x14ac:dyDescent="0.2">
      <c r="A88" t="s">
        <v>193</v>
      </c>
      <c r="O88">
        <v>1.5</v>
      </c>
      <c r="P88" s="42">
        <v>46.5</v>
      </c>
      <c r="R88">
        <v>7.1</v>
      </c>
      <c r="T88" s="19">
        <v>43408</v>
      </c>
      <c r="U88" s="13" t="s">
        <v>246</v>
      </c>
      <c r="V88" s="41" t="s">
        <v>295</v>
      </c>
      <c r="W88" s="13" t="s">
        <v>306</v>
      </c>
    </row>
    <row r="89" spans="1:23" x14ac:dyDescent="0.2">
      <c r="A89" t="s">
        <v>193</v>
      </c>
      <c r="F89" t="s">
        <v>109</v>
      </c>
      <c r="O89">
        <v>-1.5</v>
      </c>
      <c r="P89" s="42">
        <v>47</v>
      </c>
      <c r="R89">
        <v>8</v>
      </c>
      <c r="T89" s="19">
        <v>43408</v>
      </c>
      <c r="U89" s="13" t="s">
        <v>246</v>
      </c>
      <c r="V89" s="41" t="s">
        <v>305</v>
      </c>
      <c r="W89" s="13" t="s">
        <v>309</v>
      </c>
    </row>
    <row r="90" spans="1:23" x14ac:dyDescent="0.2">
      <c r="A90" t="s">
        <v>193</v>
      </c>
      <c r="O90">
        <v>10.5</v>
      </c>
      <c r="P90" s="42">
        <v>38</v>
      </c>
      <c r="R90">
        <v>11</v>
      </c>
      <c r="T90" s="19">
        <v>43408</v>
      </c>
      <c r="U90" s="13" t="s">
        <v>246</v>
      </c>
      <c r="V90" s="41" t="s">
        <v>276</v>
      </c>
      <c r="W90" s="13" t="s">
        <v>265</v>
      </c>
    </row>
    <row r="91" spans="1:23" x14ac:dyDescent="0.2">
      <c r="A91" t="s">
        <v>193</v>
      </c>
      <c r="D91" t="s">
        <v>75</v>
      </c>
      <c r="F91" t="s">
        <v>109</v>
      </c>
      <c r="O91">
        <v>-6</v>
      </c>
      <c r="P91" s="42">
        <v>55.5</v>
      </c>
      <c r="R91">
        <v>19.600000000000001</v>
      </c>
      <c r="T91" s="19">
        <v>43408</v>
      </c>
      <c r="U91" s="13" t="s">
        <v>246</v>
      </c>
      <c r="V91" s="41" t="s">
        <v>301</v>
      </c>
      <c r="W91" s="13" t="s">
        <v>284</v>
      </c>
    </row>
    <row r="92" spans="1:23" x14ac:dyDescent="0.2">
      <c r="A92" t="s">
        <v>193</v>
      </c>
      <c r="O92">
        <v>-10.5</v>
      </c>
      <c r="P92" s="42">
        <v>38</v>
      </c>
      <c r="R92">
        <v>10.8</v>
      </c>
      <c r="T92" s="19">
        <v>43408</v>
      </c>
      <c r="U92" s="13" t="s">
        <v>246</v>
      </c>
      <c r="V92" s="41" t="s">
        <v>265</v>
      </c>
      <c r="W92" s="13" t="s">
        <v>276</v>
      </c>
    </row>
    <row r="93" spans="1:23" x14ac:dyDescent="0.2">
      <c r="A93" t="s">
        <v>193</v>
      </c>
      <c r="O93">
        <v>7.5</v>
      </c>
      <c r="P93" s="42">
        <v>51</v>
      </c>
      <c r="R93">
        <v>9.3000000000000007</v>
      </c>
      <c r="T93" s="19">
        <v>43408</v>
      </c>
      <c r="U93" s="13" t="s">
        <v>246</v>
      </c>
      <c r="V93" s="41" t="s">
        <v>281</v>
      </c>
      <c r="W93" s="13" t="s">
        <v>288</v>
      </c>
    </row>
    <row r="94" spans="1:23" x14ac:dyDescent="0.2">
      <c r="A94" t="s">
        <v>193</v>
      </c>
      <c r="D94" t="s">
        <v>75</v>
      </c>
      <c r="F94" t="s">
        <v>110</v>
      </c>
      <c r="O94">
        <v>-4.5</v>
      </c>
      <c r="P94" s="42">
        <v>40</v>
      </c>
      <c r="R94">
        <v>3.5</v>
      </c>
      <c r="T94" s="19">
        <v>43408</v>
      </c>
      <c r="U94" s="13" t="s">
        <v>246</v>
      </c>
      <c r="V94" s="17" t="s">
        <v>291</v>
      </c>
      <c r="W94" s="13" t="s">
        <v>310</v>
      </c>
    </row>
    <row r="95" spans="1:23" x14ac:dyDescent="0.2">
      <c r="A95" t="s">
        <v>193</v>
      </c>
      <c r="O95">
        <v>-1</v>
      </c>
      <c r="P95" s="42">
        <v>46.5</v>
      </c>
      <c r="R95">
        <v>24.3</v>
      </c>
      <c r="T95" s="19">
        <v>43408</v>
      </c>
      <c r="U95" s="13" t="s">
        <v>246</v>
      </c>
      <c r="V95" s="41" t="s">
        <v>278</v>
      </c>
      <c r="W95" s="13" t="s">
        <v>311</v>
      </c>
    </row>
    <row r="96" spans="1:23" x14ac:dyDescent="0.2">
      <c r="A96" t="s">
        <v>193</v>
      </c>
      <c r="F96" t="s">
        <v>110</v>
      </c>
      <c r="O96">
        <v>4.5</v>
      </c>
      <c r="P96" s="42">
        <v>47</v>
      </c>
      <c r="R96">
        <v>3.7</v>
      </c>
      <c r="T96" s="19">
        <v>43408</v>
      </c>
      <c r="U96" t="s">
        <v>246</v>
      </c>
      <c r="V96" t="s">
        <v>299</v>
      </c>
      <c r="W96" t="s">
        <v>312</v>
      </c>
    </row>
    <row r="97" spans="1:23" x14ac:dyDescent="0.2">
      <c r="A97" t="s">
        <v>193</v>
      </c>
      <c r="F97" t="s">
        <v>109</v>
      </c>
      <c r="O97">
        <v>5</v>
      </c>
      <c r="P97" s="42">
        <v>56</v>
      </c>
      <c r="R97">
        <v>15.5</v>
      </c>
      <c r="T97" s="19">
        <v>43408</v>
      </c>
      <c r="U97" s="13" t="s">
        <v>246</v>
      </c>
      <c r="V97" s="41" t="s">
        <v>300</v>
      </c>
      <c r="W97" s="13" t="s">
        <v>302</v>
      </c>
    </row>
    <row r="98" spans="1:23" x14ac:dyDescent="0.2">
      <c r="A98" t="s">
        <v>193</v>
      </c>
      <c r="D98" t="s">
        <v>75</v>
      </c>
      <c r="O98">
        <v>1</v>
      </c>
      <c r="P98" s="42">
        <v>46.5</v>
      </c>
      <c r="R98">
        <v>2.2999999999999998</v>
      </c>
      <c r="T98" s="19">
        <v>43408</v>
      </c>
      <c r="U98" s="13" t="s">
        <v>246</v>
      </c>
      <c r="V98" t="s">
        <v>311</v>
      </c>
      <c r="W98" s="13" t="s">
        <v>278</v>
      </c>
    </row>
    <row r="99" spans="1:23" x14ac:dyDescent="0.2">
      <c r="A99" t="s">
        <v>193</v>
      </c>
      <c r="O99">
        <v>-7.5</v>
      </c>
      <c r="P99" s="42">
        <v>51</v>
      </c>
      <c r="R99">
        <v>28.9</v>
      </c>
      <c r="T99" s="19">
        <v>43408</v>
      </c>
      <c r="U99" s="13" t="s">
        <v>246</v>
      </c>
      <c r="V99" s="41" t="s">
        <v>288</v>
      </c>
      <c r="W99" s="13" t="s">
        <v>281</v>
      </c>
    </row>
    <row r="100" spans="1:23" x14ac:dyDescent="0.2">
      <c r="A100" t="s">
        <v>193</v>
      </c>
      <c r="D100" t="s">
        <v>75</v>
      </c>
      <c r="O100">
        <v>-1.5</v>
      </c>
      <c r="P100" s="42">
        <v>44</v>
      </c>
      <c r="R100">
        <v>4</v>
      </c>
      <c r="T100" s="19">
        <v>43408</v>
      </c>
      <c r="U100" s="13" t="s">
        <v>246</v>
      </c>
      <c r="V100" s="17" t="s">
        <v>303</v>
      </c>
      <c r="W100" s="13" t="s">
        <v>256</v>
      </c>
    </row>
    <row r="101" spans="1:23" x14ac:dyDescent="0.2">
      <c r="A101" t="s">
        <v>193</v>
      </c>
      <c r="D101" t="s">
        <v>75</v>
      </c>
      <c r="F101" t="s">
        <v>110</v>
      </c>
      <c r="O101">
        <v>1</v>
      </c>
      <c r="P101" s="42">
        <v>48.5</v>
      </c>
      <c r="R101">
        <v>4.8</v>
      </c>
      <c r="T101" s="19">
        <v>43408</v>
      </c>
      <c r="U101" s="13" t="s">
        <v>246</v>
      </c>
      <c r="V101" s="17" t="s">
        <v>287</v>
      </c>
      <c r="W101" s="13" t="s">
        <v>308</v>
      </c>
    </row>
    <row r="102" spans="1:23" x14ac:dyDescent="0.2">
      <c r="A102" t="s">
        <v>193</v>
      </c>
      <c r="O102">
        <v>-2.5</v>
      </c>
      <c r="P102" s="42">
        <v>57.5</v>
      </c>
      <c r="R102">
        <v>9.8000000000000007</v>
      </c>
      <c r="T102" s="19">
        <v>43408</v>
      </c>
      <c r="U102" s="13" t="s">
        <v>246</v>
      </c>
      <c r="V102" s="41" t="s">
        <v>304</v>
      </c>
      <c r="W102" s="13" t="s">
        <v>307</v>
      </c>
    </row>
    <row r="103" spans="1:23" x14ac:dyDescent="0.2">
      <c r="A103" t="s">
        <v>193</v>
      </c>
      <c r="O103">
        <v>-3</v>
      </c>
      <c r="P103" s="42">
        <v>43.5</v>
      </c>
      <c r="R103">
        <v>0</v>
      </c>
      <c r="T103" s="19">
        <v>43408</v>
      </c>
      <c r="U103" s="13" t="s">
        <v>246</v>
      </c>
      <c r="V103" t="s">
        <v>293</v>
      </c>
      <c r="W103" s="13" t="s">
        <v>298</v>
      </c>
    </row>
    <row r="104" spans="1:23" x14ac:dyDescent="0.2">
      <c r="A104" t="s">
        <v>193</v>
      </c>
      <c r="D104" t="s">
        <v>75</v>
      </c>
      <c r="F104" t="s">
        <v>110</v>
      </c>
      <c r="O104">
        <v>-4.5</v>
      </c>
      <c r="P104" s="42">
        <v>47</v>
      </c>
      <c r="R104">
        <v>4.8</v>
      </c>
      <c r="T104" s="19">
        <v>43408</v>
      </c>
      <c r="U104" s="13" t="s">
        <v>246</v>
      </c>
      <c r="V104" t="s">
        <v>312</v>
      </c>
      <c r="W104" s="13" t="s">
        <v>299</v>
      </c>
    </row>
    <row r="105" spans="1:23" x14ac:dyDescent="0.2">
      <c r="A105" t="s">
        <v>193</v>
      </c>
      <c r="D105" t="s">
        <v>75</v>
      </c>
      <c r="F105" t="s">
        <v>109</v>
      </c>
      <c r="O105">
        <v>-5</v>
      </c>
      <c r="P105" s="42">
        <v>56</v>
      </c>
      <c r="R105">
        <v>3.1</v>
      </c>
      <c r="T105" s="19">
        <v>43408</v>
      </c>
      <c r="U105" s="13" t="s">
        <v>246</v>
      </c>
      <c r="V105" s="41" t="s">
        <v>302</v>
      </c>
      <c r="W105" s="13" t="s">
        <v>300</v>
      </c>
    </row>
    <row r="106" spans="1:23" x14ac:dyDescent="0.2">
      <c r="A106" t="s">
        <v>193</v>
      </c>
      <c r="D106" t="s">
        <v>75</v>
      </c>
      <c r="O106">
        <v>2.5</v>
      </c>
      <c r="P106" s="42">
        <v>57.5</v>
      </c>
      <c r="R106">
        <v>9.8000000000000007</v>
      </c>
      <c r="T106" s="19">
        <v>43408</v>
      </c>
      <c r="U106" s="13" t="s">
        <v>246</v>
      </c>
      <c r="V106" s="41" t="s">
        <v>307</v>
      </c>
      <c r="W106" s="13" t="s">
        <v>304</v>
      </c>
    </row>
    <row r="107" spans="1:23" x14ac:dyDescent="0.2">
      <c r="A107" t="s">
        <v>193</v>
      </c>
      <c r="O107">
        <v>3</v>
      </c>
      <c r="P107" s="42">
        <v>43.5</v>
      </c>
      <c r="R107">
        <v>10.199999999999999</v>
      </c>
      <c r="T107" s="19">
        <v>43408</v>
      </c>
      <c r="U107" s="13" t="s">
        <v>246</v>
      </c>
      <c r="V107" t="s">
        <v>298</v>
      </c>
      <c r="W107" s="13" t="s">
        <v>293</v>
      </c>
    </row>
    <row r="108" spans="1:23" x14ac:dyDescent="0.2">
      <c r="A108" t="s">
        <v>193</v>
      </c>
      <c r="F108" t="s">
        <v>109</v>
      </c>
      <c r="O108">
        <v>1.5</v>
      </c>
      <c r="P108" s="42">
        <v>47</v>
      </c>
      <c r="R108">
        <v>7.3</v>
      </c>
      <c r="T108" s="19">
        <v>43408</v>
      </c>
      <c r="U108" s="13" t="s">
        <v>246</v>
      </c>
      <c r="V108" s="41" t="s">
        <v>309</v>
      </c>
      <c r="W108" s="13" t="s">
        <v>305</v>
      </c>
    </row>
    <row r="109" spans="1:23" x14ac:dyDescent="0.2">
      <c r="A109" t="s">
        <v>193</v>
      </c>
      <c r="O109">
        <v>1.5</v>
      </c>
      <c r="P109" s="42">
        <v>44</v>
      </c>
      <c r="R109">
        <v>23.8</v>
      </c>
      <c r="T109" s="19">
        <v>43408</v>
      </c>
      <c r="U109" s="13" t="s">
        <v>246</v>
      </c>
      <c r="V109" s="41" t="s">
        <v>256</v>
      </c>
      <c r="W109" s="13" t="s">
        <v>303</v>
      </c>
    </row>
    <row r="110" spans="1:23" x14ac:dyDescent="0.2">
      <c r="A110" t="s">
        <v>193</v>
      </c>
      <c r="F110" t="s">
        <v>110</v>
      </c>
      <c r="O110">
        <v>-1</v>
      </c>
      <c r="P110" s="42">
        <v>48.5</v>
      </c>
      <c r="R110">
        <v>17.2</v>
      </c>
      <c r="T110" s="19">
        <v>43408</v>
      </c>
      <c r="U110" s="13" t="s">
        <v>246</v>
      </c>
      <c r="V110" t="s">
        <v>308</v>
      </c>
      <c r="W110" s="13" t="s">
        <v>287</v>
      </c>
    </row>
    <row r="111" spans="1:23" x14ac:dyDescent="0.2">
      <c r="A111" t="s">
        <v>193</v>
      </c>
      <c r="F111" t="s">
        <v>109</v>
      </c>
      <c r="O111">
        <v>6</v>
      </c>
      <c r="P111" s="42">
        <v>55.5</v>
      </c>
      <c r="R111">
        <v>21.3</v>
      </c>
      <c r="T111" s="19">
        <v>43408</v>
      </c>
      <c r="U111" s="13" t="s">
        <v>246</v>
      </c>
      <c r="V111" s="41" t="s">
        <v>284</v>
      </c>
      <c r="W111" s="13" t="s">
        <v>301</v>
      </c>
    </row>
    <row r="112" spans="1:23" x14ac:dyDescent="0.2">
      <c r="A112" t="s">
        <v>193</v>
      </c>
      <c r="F112" t="s">
        <v>110</v>
      </c>
      <c r="O112">
        <v>4.5</v>
      </c>
      <c r="P112" s="42">
        <v>40</v>
      </c>
      <c r="R112">
        <v>11.3</v>
      </c>
      <c r="T112" s="19">
        <v>43408</v>
      </c>
      <c r="U112" s="13" t="s">
        <v>246</v>
      </c>
      <c r="V112" s="41" t="s">
        <v>310</v>
      </c>
      <c r="W112" s="13" t="s">
        <v>291</v>
      </c>
    </row>
    <row r="113" spans="1:23" x14ac:dyDescent="0.2">
      <c r="A113" t="s">
        <v>193</v>
      </c>
      <c r="B113" t="s">
        <v>429</v>
      </c>
      <c r="C113">
        <v>10</v>
      </c>
      <c r="D113" t="s">
        <v>75</v>
      </c>
      <c r="O113">
        <v>-1.5</v>
      </c>
      <c r="P113" s="42">
        <v>46.5</v>
      </c>
      <c r="R113">
        <v>7.4</v>
      </c>
      <c r="T113" s="19">
        <v>43408</v>
      </c>
      <c r="U113" s="13" t="s">
        <v>246</v>
      </c>
      <c r="V113" s="41" t="s">
        <v>306</v>
      </c>
      <c r="W113" s="13" t="s">
        <v>295</v>
      </c>
    </row>
    <row r="114" spans="1:23" x14ac:dyDescent="0.2">
      <c r="A114" t="s">
        <v>193</v>
      </c>
      <c r="O114">
        <v>16.5</v>
      </c>
      <c r="P114" s="42">
        <v>49.5</v>
      </c>
      <c r="R114">
        <v>10.1</v>
      </c>
      <c r="T114" s="19">
        <v>43415</v>
      </c>
      <c r="U114" s="13" t="s">
        <v>244</v>
      </c>
      <c r="V114" s="41" t="s">
        <v>285</v>
      </c>
      <c r="W114" s="13" t="s">
        <v>288</v>
      </c>
    </row>
    <row r="115" spans="1:23" x14ac:dyDescent="0.2">
      <c r="A115" t="s">
        <v>193</v>
      </c>
      <c r="O115">
        <v>-5.5</v>
      </c>
      <c r="P115" s="42">
        <v>49.5</v>
      </c>
      <c r="R115">
        <v>21.6</v>
      </c>
      <c r="T115" s="19">
        <v>43415</v>
      </c>
      <c r="U115" s="13" t="s">
        <v>244</v>
      </c>
      <c r="V115" s="41" t="s">
        <v>295</v>
      </c>
      <c r="W115" s="13" t="s">
        <v>281</v>
      </c>
    </row>
    <row r="116" spans="1:23" x14ac:dyDescent="0.2">
      <c r="A116" t="s">
        <v>193</v>
      </c>
      <c r="O116">
        <v>6.5</v>
      </c>
      <c r="P116" s="42">
        <v>38</v>
      </c>
      <c r="R116">
        <v>6</v>
      </c>
      <c r="T116" s="19">
        <v>43415</v>
      </c>
      <c r="U116" s="13" t="s">
        <v>244</v>
      </c>
      <c r="V116" s="41" t="s">
        <v>276</v>
      </c>
      <c r="W116" s="13" t="s">
        <v>298</v>
      </c>
    </row>
    <row r="117" spans="1:23" x14ac:dyDescent="0.2">
      <c r="A117" t="s">
        <v>193</v>
      </c>
      <c r="O117">
        <v>3.5</v>
      </c>
      <c r="P117" s="42">
        <v>51</v>
      </c>
      <c r="R117">
        <v>8</v>
      </c>
      <c r="T117" s="19">
        <v>43415</v>
      </c>
      <c r="U117" s="13" t="s">
        <v>244</v>
      </c>
      <c r="V117" s="41" t="s">
        <v>301</v>
      </c>
      <c r="W117" s="13" t="s">
        <v>309</v>
      </c>
    </row>
    <row r="118" spans="1:23" x14ac:dyDescent="0.2">
      <c r="A118" t="s">
        <v>193</v>
      </c>
      <c r="D118" t="s">
        <v>75</v>
      </c>
      <c r="E118" t="s">
        <v>75</v>
      </c>
      <c r="O118">
        <v>-7.5</v>
      </c>
      <c r="P118" s="42">
        <v>44.5</v>
      </c>
      <c r="R118">
        <v>10</v>
      </c>
      <c r="T118" s="19">
        <v>43415</v>
      </c>
      <c r="U118" s="13" t="s">
        <v>244</v>
      </c>
      <c r="V118" s="41" t="s">
        <v>265</v>
      </c>
      <c r="W118" s="13" t="s">
        <v>299</v>
      </c>
    </row>
    <row r="119" spans="1:23" x14ac:dyDescent="0.2">
      <c r="A119" t="s">
        <v>193</v>
      </c>
      <c r="F119" t="s">
        <v>109</v>
      </c>
      <c r="O119">
        <v>5.5</v>
      </c>
      <c r="P119" s="42">
        <v>53</v>
      </c>
      <c r="R119">
        <v>5.3</v>
      </c>
      <c r="T119" s="19">
        <v>43415</v>
      </c>
      <c r="U119" s="13" t="s">
        <v>244</v>
      </c>
      <c r="V119" s="41" t="s">
        <v>272</v>
      </c>
      <c r="W119" s="13" t="s">
        <v>307</v>
      </c>
    </row>
    <row r="120" spans="1:23" x14ac:dyDescent="0.2">
      <c r="A120" t="s">
        <v>193</v>
      </c>
      <c r="D120" t="s">
        <v>75</v>
      </c>
      <c r="O120">
        <v>5.5</v>
      </c>
      <c r="P120" s="42">
        <v>49.5</v>
      </c>
      <c r="R120">
        <v>2.8</v>
      </c>
      <c r="T120" s="19">
        <v>43415</v>
      </c>
      <c r="U120" s="13" t="s">
        <v>244</v>
      </c>
      <c r="V120" s="41" t="s">
        <v>281</v>
      </c>
      <c r="W120" s="13" t="s">
        <v>295</v>
      </c>
    </row>
    <row r="121" spans="1:23" x14ac:dyDescent="0.2">
      <c r="A121" t="s">
        <v>193</v>
      </c>
      <c r="O121">
        <v>7.5</v>
      </c>
      <c r="P121" s="42">
        <v>45.5</v>
      </c>
      <c r="R121">
        <v>4.3</v>
      </c>
      <c r="T121" s="19">
        <v>43415</v>
      </c>
      <c r="U121" s="13" t="s">
        <v>244</v>
      </c>
      <c r="V121" s="17" t="s">
        <v>291</v>
      </c>
      <c r="W121" s="13" t="s">
        <v>294</v>
      </c>
    </row>
    <row r="122" spans="1:23" x14ac:dyDescent="0.2">
      <c r="A122" t="s">
        <v>193</v>
      </c>
      <c r="E122" s="20" t="s">
        <v>75</v>
      </c>
      <c r="O122">
        <v>7.5</v>
      </c>
      <c r="P122" s="42">
        <v>44.5</v>
      </c>
      <c r="R122">
        <v>2.6</v>
      </c>
      <c r="T122" s="19">
        <v>43415</v>
      </c>
      <c r="U122" t="s">
        <v>244</v>
      </c>
      <c r="V122" s="41" t="s">
        <v>299</v>
      </c>
      <c r="W122" t="s">
        <v>265</v>
      </c>
    </row>
    <row r="123" spans="1:23" x14ac:dyDescent="0.2">
      <c r="A123" t="s">
        <v>193</v>
      </c>
      <c r="O123">
        <v>-13</v>
      </c>
      <c r="P123" s="42">
        <v>48.5</v>
      </c>
      <c r="R123">
        <v>2.4</v>
      </c>
      <c r="T123" s="19">
        <v>43415</v>
      </c>
      <c r="U123" s="13" t="s">
        <v>244</v>
      </c>
      <c r="V123" s="41" t="s">
        <v>300</v>
      </c>
      <c r="W123" s="13" t="s">
        <v>293</v>
      </c>
    </row>
    <row r="124" spans="1:23" x14ac:dyDescent="0.2">
      <c r="A124" t="s">
        <v>193</v>
      </c>
      <c r="F124" t="s">
        <v>110</v>
      </c>
      <c r="O124">
        <v>-3</v>
      </c>
      <c r="P124" s="42">
        <v>48</v>
      </c>
      <c r="R124">
        <v>28.1</v>
      </c>
      <c r="T124" s="19">
        <v>43415</v>
      </c>
      <c r="U124" s="13" t="s">
        <v>244</v>
      </c>
      <c r="V124" s="41" t="s">
        <v>289</v>
      </c>
      <c r="W124" s="13" t="s">
        <v>297</v>
      </c>
    </row>
    <row r="125" spans="1:23" x14ac:dyDescent="0.2">
      <c r="A125" t="s">
        <v>193</v>
      </c>
      <c r="D125" t="s">
        <v>75</v>
      </c>
      <c r="F125" t="s">
        <v>110</v>
      </c>
      <c r="O125">
        <v>3</v>
      </c>
      <c r="P125" s="42">
        <v>48</v>
      </c>
      <c r="R125">
        <v>9.6</v>
      </c>
      <c r="T125" s="19">
        <v>43415</v>
      </c>
      <c r="U125" s="13" t="s">
        <v>244</v>
      </c>
      <c r="V125" s="17" t="s">
        <v>297</v>
      </c>
      <c r="W125" s="13" t="s">
        <v>289</v>
      </c>
    </row>
    <row r="126" spans="1:23" x14ac:dyDescent="0.2">
      <c r="A126" t="s">
        <v>193</v>
      </c>
      <c r="D126" t="s">
        <v>75</v>
      </c>
      <c r="O126">
        <v>-16.5</v>
      </c>
      <c r="P126" s="42">
        <v>49.5</v>
      </c>
      <c r="R126">
        <v>10.6</v>
      </c>
      <c r="T126" s="19">
        <v>43415</v>
      </c>
      <c r="U126" s="13" t="s">
        <v>244</v>
      </c>
      <c r="V126" s="41" t="s">
        <v>288</v>
      </c>
      <c r="W126" s="13" t="s">
        <v>285</v>
      </c>
    </row>
    <row r="127" spans="1:23" x14ac:dyDescent="0.2">
      <c r="A127" t="s">
        <v>193</v>
      </c>
      <c r="F127" t="s">
        <v>110</v>
      </c>
      <c r="O127">
        <v>10.5</v>
      </c>
      <c r="P127" s="42">
        <v>50</v>
      </c>
      <c r="R127">
        <v>9.1999999999999993</v>
      </c>
      <c r="T127" s="19">
        <v>43415</v>
      </c>
      <c r="U127" s="13" t="s">
        <v>244</v>
      </c>
      <c r="V127" s="17" t="s">
        <v>303</v>
      </c>
      <c r="W127" s="13" t="s">
        <v>287</v>
      </c>
    </row>
    <row r="128" spans="1:23" x14ac:dyDescent="0.2">
      <c r="A128" t="s">
        <v>193</v>
      </c>
      <c r="F128" t="s">
        <v>110</v>
      </c>
      <c r="O128">
        <v>-10.5</v>
      </c>
      <c r="P128" s="42">
        <v>50</v>
      </c>
      <c r="R128">
        <v>2.8</v>
      </c>
      <c r="T128" s="19">
        <v>43415</v>
      </c>
      <c r="U128" s="13" t="s">
        <v>244</v>
      </c>
      <c r="V128" s="17" t="s">
        <v>287</v>
      </c>
      <c r="W128" s="13" t="s">
        <v>303</v>
      </c>
    </row>
    <row r="129" spans="1:23" x14ac:dyDescent="0.2">
      <c r="A129" t="s">
        <v>193</v>
      </c>
      <c r="D129" t="s">
        <v>75</v>
      </c>
      <c r="F129" t="s">
        <v>110</v>
      </c>
      <c r="O129">
        <v>-10</v>
      </c>
      <c r="P129" s="42">
        <v>51</v>
      </c>
      <c r="R129">
        <v>11.5</v>
      </c>
      <c r="T129" s="19">
        <v>43415</v>
      </c>
      <c r="U129" s="13" t="s">
        <v>244</v>
      </c>
      <c r="V129" t="s">
        <v>304</v>
      </c>
      <c r="W129" s="13" t="s">
        <v>308</v>
      </c>
    </row>
    <row r="130" spans="1:23" x14ac:dyDescent="0.2">
      <c r="A130" t="s">
        <v>193</v>
      </c>
      <c r="D130" t="s">
        <v>75</v>
      </c>
      <c r="O130">
        <v>13</v>
      </c>
      <c r="P130" s="42">
        <v>48.5</v>
      </c>
      <c r="R130">
        <v>2.2999999999999998</v>
      </c>
      <c r="T130" s="19">
        <v>43415</v>
      </c>
      <c r="U130" s="13" t="s">
        <v>244</v>
      </c>
      <c r="V130" s="41" t="s">
        <v>293</v>
      </c>
      <c r="W130" s="13" t="s">
        <v>300</v>
      </c>
    </row>
    <row r="131" spans="1:23" x14ac:dyDescent="0.2">
      <c r="A131" t="s">
        <v>193</v>
      </c>
      <c r="D131" t="s">
        <v>75</v>
      </c>
      <c r="F131" t="s">
        <v>109</v>
      </c>
      <c r="O131">
        <v>-6</v>
      </c>
      <c r="P131" s="42">
        <v>47</v>
      </c>
      <c r="R131">
        <v>2.7</v>
      </c>
      <c r="T131" s="19">
        <v>43415</v>
      </c>
      <c r="U131" s="13" t="s">
        <v>244</v>
      </c>
      <c r="V131" t="s">
        <v>302</v>
      </c>
      <c r="W131" s="13" t="s">
        <v>310</v>
      </c>
    </row>
    <row r="132" spans="1:23" x14ac:dyDescent="0.2">
      <c r="A132" t="s">
        <v>193</v>
      </c>
      <c r="F132" t="s">
        <v>109</v>
      </c>
      <c r="O132">
        <v>-5.5</v>
      </c>
      <c r="P132" s="42">
        <v>53</v>
      </c>
      <c r="R132">
        <v>4.5</v>
      </c>
      <c r="T132" s="19">
        <v>43415</v>
      </c>
      <c r="U132" s="13" t="s">
        <v>244</v>
      </c>
      <c r="V132" s="41" t="s">
        <v>307</v>
      </c>
      <c r="W132" s="13" t="s">
        <v>272</v>
      </c>
    </row>
    <row r="133" spans="1:23" x14ac:dyDescent="0.2">
      <c r="A133" t="s">
        <v>193</v>
      </c>
      <c r="D133" t="s">
        <v>75</v>
      </c>
      <c r="O133">
        <v>3</v>
      </c>
      <c r="P133" s="42">
        <v>45</v>
      </c>
      <c r="R133">
        <v>8.6</v>
      </c>
      <c r="T133" s="19">
        <v>43415</v>
      </c>
      <c r="U133" s="13" t="s">
        <v>244</v>
      </c>
      <c r="V133" t="s">
        <v>296</v>
      </c>
      <c r="W133" s="13" t="s">
        <v>256</v>
      </c>
    </row>
    <row r="134" spans="1:23" x14ac:dyDescent="0.2">
      <c r="A134" t="s">
        <v>193</v>
      </c>
      <c r="O134">
        <v>-6.5</v>
      </c>
      <c r="P134" s="42">
        <v>38</v>
      </c>
      <c r="R134">
        <v>6.4</v>
      </c>
      <c r="T134" s="19">
        <v>43415</v>
      </c>
      <c r="U134" s="13" t="s">
        <v>244</v>
      </c>
      <c r="V134" s="41" t="s">
        <v>298</v>
      </c>
      <c r="W134" s="13" t="s">
        <v>276</v>
      </c>
    </row>
    <row r="135" spans="1:23" x14ac:dyDescent="0.2">
      <c r="A135" t="s">
        <v>193</v>
      </c>
      <c r="O135">
        <v>-7.5</v>
      </c>
      <c r="P135" s="42">
        <v>45.5</v>
      </c>
      <c r="R135">
        <v>43.5</v>
      </c>
      <c r="T135" s="19">
        <v>43415</v>
      </c>
      <c r="U135" s="13" t="s">
        <v>244</v>
      </c>
      <c r="V135" s="41" t="s">
        <v>294</v>
      </c>
      <c r="W135" s="13" t="s">
        <v>291</v>
      </c>
    </row>
    <row r="136" spans="1:23" x14ac:dyDescent="0.2">
      <c r="A136" t="s">
        <v>193</v>
      </c>
      <c r="O136">
        <v>-3.5</v>
      </c>
      <c r="P136" s="42">
        <v>51</v>
      </c>
      <c r="R136">
        <v>14.4</v>
      </c>
      <c r="T136" s="19">
        <v>43415</v>
      </c>
      <c r="U136" s="13" t="s">
        <v>244</v>
      </c>
      <c r="V136" s="41" t="s">
        <v>309</v>
      </c>
      <c r="W136" s="13" t="s">
        <v>301</v>
      </c>
    </row>
    <row r="137" spans="1:23" x14ac:dyDescent="0.2">
      <c r="A137" t="s">
        <v>193</v>
      </c>
      <c r="O137">
        <v>-3</v>
      </c>
      <c r="P137" s="42">
        <v>45</v>
      </c>
      <c r="R137">
        <v>17.3</v>
      </c>
      <c r="T137" s="19">
        <v>43415</v>
      </c>
      <c r="U137" s="13" t="s">
        <v>244</v>
      </c>
      <c r="V137" s="41" t="s">
        <v>256</v>
      </c>
      <c r="W137" s="13" t="s">
        <v>296</v>
      </c>
    </row>
    <row r="138" spans="1:23" x14ac:dyDescent="0.2">
      <c r="A138" t="s">
        <v>193</v>
      </c>
      <c r="D138" t="s">
        <v>75</v>
      </c>
      <c r="F138" t="s">
        <v>110</v>
      </c>
      <c r="O138">
        <v>10</v>
      </c>
      <c r="P138" s="42">
        <v>51</v>
      </c>
      <c r="R138">
        <v>7.8</v>
      </c>
      <c r="T138" s="19">
        <v>43415</v>
      </c>
      <c r="U138" s="13" t="s">
        <v>244</v>
      </c>
      <c r="V138" t="s">
        <v>308</v>
      </c>
      <c r="W138" s="13" t="s">
        <v>304</v>
      </c>
    </row>
    <row r="139" spans="1:23" x14ac:dyDescent="0.2">
      <c r="A139" t="s">
        <v>193</v>
      </c>
      <c r="F139" t="s">
        <v>109</v>
      </c>
      <c r="O139">
        <v>-3.5</v>
      </c>
      <c r="P139" s="42">
        <v>51</v>
      </c>
      <c r="R139">
        <v>2.5</v>
      </c>
      <c r="T139" s="19">
        <v>43415</v>
      </c>
      <c r="U139" s="13" t="s">
        <v>244</v>
      </c>
      <c r="V139" s="41" t="s">
        <v>284</v>
      </c>
      <c r="W139" s="13" t="s">
        <v>306</v>
      </c>
    </row>
    <row r="140" spans="1:23" x14ac:dyDescent="0.2">
      <c r="A140" t="s">
        <v>193</v>
      </c>
      <c r="F140" t="s">
        <v>109</v>
      </c>
      <c r="O140">
        <v>6</v>
      </c>
      <c r="P140" s="42">
        <v>47</v>
      </c>
      <c r="R140">
        <v>13.5</v>
      </c>
      <c r="T140" s="19">
        <v>43415</v>
      </c>
      <c r="U140" s="13" t="s">
        <v>244</v>
      </c>
      <c r="V140" t="s">
        <v>310</v>
      </c>
      <c r="W140" s="13" t="s">
        <v>302</v>
      </c>
    </row>
    <row r="141" spans="1:23" x14ac:dyDescent="0.2">
      <c r="A141" t="s">
        <v>193</v>
      </c>
      <c r="B141" t="s">
        <v>429</v>
      </c>
      <c r="C141">
        <v>9.3000000000000007</v>
      </c>
      <c r="F141" t="s">
        <v>109</v>
      </c>
      <c r="O141">
        <v>3.5</v>
      </c>
      <c r="P141" s="42">
        <v>51</v>
      </c>
      <c r="R141">
        <v>9.1</v>
      </c>
      <c r="T141" s="19">
        <v>43415</v>
      </c>
      <c r="U141" s="13" t="s">
        <v>244</v>
      </c>
      <c r="V141" t="s">
        <v>306</v>
      </c>
      <c r="W141" s="13" t="s">
        <v>284</v>
      </c>
    </row>
    <row r="142" spans="1:23" x14ac:dyDescent="0.2">
      <c r="A142" t="s">
        <v>193</v>
      </c>
      <c r="F142" t="s">
        <v>110</v>
      </c>
      <c r="O142">
        <v>4.5</v>
      </c>
      <c r="P142" s="42">
        <v>41</v>
      </c>
      <c r="R142">
        <v>1.8</v>
      </c>
      <c r="T142" s="19">
        <v>43422</v>
      </c>
      <c r="U142" s="13" t="s">
        <v>259</v>
      </c>
      <c r="V142" s="41" t="s">
        <v>285</v>
      </c>
      <c r="W142" s="13" t="s">
        <v>303</v>
      </c>
    </row>
    <row r="143" spans="1:23" x14ac:dyDescent="0.2">
      <c r="A143" t="s">
        <v>193</v>
      </c>
      <c r="O143">
        <v>-3.5</v>
      </c>
      <c r="P143" s="42">
        <v>50</v>
      </c>
      <c r="R143">
        <v>6.7</v>
      </c>
      <c r="T143" s="19">
        <v>43422</v>
      </c>
      <c r="U143" s="13" t="s">
        <v>259</v>
      </c>
      <c r="V143" s="41" t="s">
        <v>295</v>
      </c>
      <c r="W143" s="13" t="s">
        <v>291</v>
      </c>
    </row>
    <row r="144" spans="1:23" x14ac:dyDescent="0.2">
      <c r="A144" t="s">
        <v>193</v>
      </c>
      <c r="F144" t="s">
        <v>109</v>
      </c>
      <c r="O144">
        <v>-6.5</v>
      </c>
      <c r="P144" s="42">
        <v>44</v>
      </c>
      <c r="R144">
        <v>7.6</v>
      </c>
      <c r="T144" s="19">
        <v>43422</v>
      </c>
      <c r="U144" s="13" t="s">
        <v>259</v>
      </c>
      <c r="V144" t="s">
        <v>305</v>
      </c>
      <c r="W144" s="13" t="s">
        <v>272</v>
      </c>
    </row>
    <row r="145" spans="1:23" x14ac:dyDescent="0.2">
      <c r="A145" t="s">
        <v>193</v>
      </c>
      <c r="D145" t="s">
        <v>75</v>
      </c>
      <c r="O145">
        <v>-4</v>
      </c>
      <c r="P145" s="42">
        <v>48</v>
      </c>
      <c r="R145">
        <v>8.9</v>
      </c>
      <c r="T145" s="19">
        <v>43422</v>
      </c>
      <c r="U145" s="13" t="s">
        <v>259</v>
      </c>
      <c r="V145" t="s">
        <v>301</v>
      </c>
      <c r="W145" s="13" t="s">
        <v>299</v>
      </c>
    </row>
    <row r="146" spans="1:23" x14ac:dyDescent="0.2">
      <c r="A146" t="s">
        <v>193</v>
      </c>
      <c r="O146">
        <v>-2.5</v>
      </c>
      <c r="P146" s="42">
        <v>44</v>
      </c>
      <c r="R146">
        <v>2</v>
      </c>
      <c r="T146" s="19">
        <v>43422</v>
      </c>
      <c r="U146" s="13" t="s">
        <v>259</v>
      </c>
      <c r="V146" t="s">
        <v>265</v>
      </c>
      <c r="W146" s="13" t="s">
        <v>312</v>
      </c>
    </row>
    <row r="147" spans="1:23" x14ac:dyDescent="0.2">
      <c r="A147" t="s">
        <v>193</v>
      </c>
      <c r="F147" t="s">
        <v>109</v>
      </c>
      <c r="O147">
        <v>6.5</v>
      </c>
      <c r="P147" s="42">
        <v>44</v>
      </c>
      <c r="R147">
        <v>7.1</v>
      </c>
      <c r="T147" s="19">
        <v>43422</v>
      </c>
      <c r="U147" s="13" t="s">
        <v>259</v>
      </c>
      <c r="V147" t="s">
        <v>272</v>
      </c>
      <c r="W147" s="13" t="s">
        <v>305</v>
      </c>
    </row>
    <row r="148" spans="1:23" x14ac:dyDescent="0.2">
      <c r="A148" t="s">
        <v>193</v>
      </c>
      <c r="D148" t="s">
        <v>75</v>
      </c>
      <c r="O148">
        <v>3.5</v>
      </c>
      <c r="P148" s="42">
        <v>50</v>
      </c>
      <c r="R148">
        <v>6.4</v>
      </c>
      <c r="T148" s="19">
        <v>43422</v>
      </c>
      <c r="U148" s="13" t="s">
        <v>259</v>
      </c>
      <c r="V148" s="17" t="s">
        <v>291</v>
      </c>
      <c r="W148" s="13" t="s">
        <v>295</v>
      </c>
    </row>
    <row r="149" spans="1:23" x14ac:dyDescent="0.2">
      <c r="A149" t="s">
        <v>193</v>
      </c>
      <c r="O149">
        <v>7.5</v>
      </c>
      <c r="P149" s="42">
        <v>47</v>
      </c>
      <c r="R149">
        <v>6</v>
      </c>
      <c r="T149" s="19">
        <v>43422</v>
      </c>
      <c r="U149" s="13" t="s">
        <v>259</v>
      </c>
      <c r="V149" t="s">
        <v>278</v>
      </c>
      <c r="W149" s="13" t="s">
        <v>287</v>
      </c>
    </row>
    <row r="150" spans="1:23" x14ac:dyDescent="0.2">
      <c r="A150" t="s">
        <v>193</v>
      </c>
      <c r="O150">
        <v>4</v>
      </c>
      <c r="P150" s="42">
        <v>48</v>
      </c>
      <c r="R150">
        <v>2.2999999999999998</v>
      </c>
      <c r="T150" s="19">
        <v>43422</v>
      </c>
      <c r="U150" t="s">
        <v>259</v>
      </c>
      <c r="V150" t="s">
        <v>299</v>
      </c>
      <c r="W150" t="s">
        <v>301</v>
      </c>
    </row>
    <row r="151" spans="1:23" x14ac:dyDescent="0.2">
      <c r="A151" t="s">
        <v>193</v>
      </c>
      <c r="D151" t="s">
        <v>75</v>
      </c>
      <c r="O151">
        <v>3</v>
      </c>
      <c r="P151" s="42">
        <v>49</v>
      </c>
      <c r="R151">
        <v>2.2999999999999998</v>
      </c>
      <c r="T151" s="19">
        <v>43422</v>
      </c>
      <c r="U151" s="13" t="s">
        <v>259</v>
      </c>
      <c r="V151" s="41" t="s">
        <v>300</v>
      </c>
      <c r="W151" s="13" t="s">
        <v>308</v>
      </c>
    </row>
    <row r="152" spans="1:23" x14ac:dyDescent="0.2">
      <c r="A152" t="s">
        <v>193</v>
      </c>
      <c r="F152" t="s">
        <v>110</v>
      </c>
      <c r="O152">
        <v>-3</v>
      </c>
      <c r="P152" s="42">
        <v>40.5</v>
      </c>
      <c r="R152">
        <v>6.2</v>
      </c>
      <c r="T152" s="19">
        <v>43422</v>
      </c>
      <c r="U152" s="13" t="s">
        <v>259</v>
      </c>
      <c r="V152" s="41" t="s">
        <v>311</v>
      </c>
      <c r="W152" s="13" t="s">
        <v>306</v>
      </c>
    </row>
    <row r="153" spans="1:23" x14ac:dyDescent="0.2">
      <c r="A153" t="s">
        <v>193</v>
      </c>
      <c r="D153" t="s">
        <v>75</v>
      </c>
      <c r="F153" t="s">
        <v>110</v>
      </c>
      <c r="O153">
        <v>-2</v>
      </c>
      <c r="P153" s="42">
        <v>50</v>
      </c>
      <c r="R153">
        <v>8.3000000000000007</v>
      </c>
      <c r="T153" s="19">
        <v>43422</v>
      </c>
      <c r="U153" s="13" t="s">
        <v>259</v>
      </c>
      <c r="V153" s="41" t="s">
        <v>289</v>
      </c>
      <c r="W153" s="13" t="s">
        <v>310</v>
      </c>
    </row>
    <row r="154" spans="1:23" x14ac:dyDescent="0.2">
      <c r="A154" t="s">
        <v>193</v>
      </c>
      <c r="O154">
        <v>4</v>
      </c>
      <c r="P154" s="42">
        <v>47</v>
      </c>
      <c r="R154">
        <v>1.4</v>
      </c>
      <c r="T154" s="19">
        <v>43422</v>
      </c>
      <c r="U154" s="13" t="s">
        <v>259</v>
      </c>
      <c r="V154" s="17" t="s">
        <v>297</v>
      </c>
      <c r="W154" s="13" t="s">
        <v>309</v>
      </c>
    </row>
    <row r="155" spans="1:23" x14ac:dyDescent="0.2">
      <c r="A155" t="s">
        <v>193</v>
      </c>
      <c r="D155" t="s">
        <v>75</v>
      </c>
      <c r="O155">
        <v>3</v>
      </c>
      <c r="P155" s="42">
        <v>63.5</v>
      </c>
      <c r="R155">
        <v>31.7</v>
      </c>
      <c r="T155" s="19">
        <v>43422</v>
      </c>
      <c r="U155" s="13" t="s">
        <v>259</v>
      </c>
      <c r="V155" t="s">
        <v>288</v>
      </c>
      <c r="W155" s="13" t="s">
        <v>304</v>
      </c>
    </row>
    <row r="156" spans="1:23" x14ac:dyDescent="0.2">
      <c r="A156" t="s">
        <v>193</v>
      </c>
      <c r="D156" t="s">
        <v>75</v>
      </c>
      <c r="F156" t="s">
        <v>110</v>
      </c>
      <c r="O156">
        <v>-4.5</v>
      </c>
      <c r="P156" s="42">
        <v>41</v>
      </c>
      <c r="R156">
        <v>12.1</v>
      </c>
      <c r="T156" s="19">
        <v>43422</v>
      </c>
      <c r="U156" s="13" t="s">
        <v>259</v>
      </c>
      <c r="V156" s="17" t="s">
        <v>303</v>
      </c>
      <c r="W156" s="13" t="s">
        <v>285</v>
      </c>
    </row>
    <row r="157" spans="1:23" x14ac:dyDescent="0.2">
      <c r="A157" t="s">
        <v>193</v>
      </c>
      <c r="D157" t="s">
        <v>75</v>
      </c>
      <c r="O157">
        <v>-7.5</v>
      </c>
      <c r="P157" s="42">
        <v>47</v>
      </c>
      <c r="R157">
        <v>19</v>
      </c>
      <c r="T157" s="19">
        <v>43422</v>
      </c>
      <c r="U157" s="13" t="s">
        <v>259</v>
      </c>
      <c r="V157" s="17" t="s">
        <v>287</v>
      </c>
      <c r="W157" s="13" t="s">
        <v>278</v>
      </c>
    </row>
    <row r="158" spans="1:23" x14ac:dyDescent="0.2">
      <c r="A158" t="s">
        <v>193</v>
      </c>
      <c r="O158">
        <v>-3</v>
      </c>
      <c r="P158" s="42">
        <v>63.5</v>
      </c>
      <c r="R158">
        <v>19.899999999999999</v>
      </c>
      <c r="T158" s="19">
        <v>43422</v>
      </c>
      <c r="U158" s="13" t="s">
        <v>259</v>
      </c>
      <c r="V158" t="s">
        <v>304</v>
      </c>
      <c r="W158" s="13" t="s">
        <v>288</v>
      </c>
    </row>
    <row r="159" spans="1:23" x14ac:dyDescent="0.2">
      <c r="A159" t="s">
        <v>193</v>
      </c>
      <c r="O159">
        <v>2.5</v>
      </c>
      <c r="P159" s="42">
        <v>44</v>
      </c>
      <c r="R159">
        <v>3.3</v>
      </c>
      <c r="T159" s="19">
        <v>43422</v>
      </c>
      <c r="U159" s="13" t="s">
        <v>259</v>
      </c>
      <c r="V159" s="41" t="s">
        <v>312</v>
      </c>
      <c r="W159" s="13" t="s">
        <v>265</v>
      </c>
    </row>
    <row r="160" spans="1:23" x14ac:dyDescent="0.2">
      <c r="A160" t="s">
        <v>193</v>
      </c>
      <c r="F160" t="s">
        <v>109</v>
      </c>
      <c r="O160">
        <v>-7</v>
      </c>
      <c r="P160" s="42">
        <v>56.5</v>
      </c>
      <c r="R160">
        <v>4.5999999999999996</v>
      </c>
      <c r="T160" s="19">
        <v>43422</v>
      </c>
      <c r="U160" s="13" t="s">
        <v>259</v>
      </c>
      <c r="V160" s="41" t="s">
        <v>307</v>
      </c>
      <c r="W160" s="13" t="s">
        <v>294</v>
      </c>
    </row>
    <row r="161" spans="1:23" x14ac:dyDescent="0.2">
      <c r="A161" t="s">
        <v>193</v>
      </c>
      <c r="D161" t="s">
        <v>75</v>
      </c>
      <c r="E161" s="20" t="s">
        <v>75</v>
      </c>
      <c r="F161" t="s">
        <v>109</v>
      </c>
      <c r="O161">
        <v>-3</v>
      </c>
      <c r="P161" s="42">
        <v>54.5</v>
      </c>
      <c r="R161">
        <v>8.6</v>
      </c>
      <c r="T161" s="19">
        <v>43422</v>
      </c>
      <c r="U161" s="13" t="s">
        <v>259</v>
      </c>
      <c r="V161" s="41" t="s">
        <v>296</v>
      </c>
      <c r="W161" s="13" t="s">
        <v>284</v>
      </c>
    </row>
    <row r="162" spans="1:23" x14ac:dyDescent="0.2">
      <c r="A162" t="s">
        <v>193</v>
      </c>
      <c r="F162" t="s">
        <v>109</v>
      </c>
      <c r="O162">
        <v>7</v>
      </c>
      <c r="P162" s="42">
        <v>56.5</v>
      </c>
      <c r="R162">
        <v>3.5</v>
      </c>
      <c r="T162" s="19">
        <v>43422</v>
      </c>
      <c r="U162" s="13" t="s">
        <v>259</v>
      </c>
      <c r="V162" s="41" t="s">
        <v>294</v>
      </c>
      <c r="W162" s="13" t="s">
        <v>307</v>
      </c>
    </row>
    <row r="163" spans="1:23" x14ac:dyDescent="0.2">
      <c r="A163" t="s">
        <v>193</v>
      </c>
      <c r="O163">
        <v>-4</v>
      </c>
      <c r="P163" s="42">
        <v>47</v>
      </c>
      <c r="R163">
        <v>11.7</v>
      </c>
      <c r="T163" s="19">
        <v>43422</v>
      </c>
      <c r="U163" s="13" t="s">
        <v>259</v>
      </c>
      <c r="V163" s="41" t="s">
        <v>309</v>
      </c>
      <c r="W163" s="13" t="s">
        <v>297</v>
      </c>
    </row>
    <row r="164" spans="1:23" x14ac:dyDescent="0.2">
      <c r="A164" t="s">
        <v>193</v>
      </c>
      <c r="D164" t="s">
        <v>75</v>
      </c>
      <c r="O164">
        <v>-3</v>
      </c>
      <c r="P164" s="42">
        <v>49</v>
      </c>
      <c r="R164">
        <v>2.7</v>
      </c>
      <c r="T164" s="19">
        <v>43422</v>
      </c>
      <c r="U164" s="13" t="s">
        <v>259</v>
      </c>
      <c r="V164" s="41" t="s">
        <v>308</v>
      </c>
      <c r="W164" s="13" t="s">
        <v>300</v>
      </c>
    </row>
    <row r="165" spans="1:23" x14ac:dyDescent="0.2">
      <c r="A165" t="s">
        <v>193</v>
      </c>
      <c r="E165" s="20" t="s">
        <v>75</v>
      </c>
      <c r="F165" t="s">
        <v>109</v>
      </c>
      <c r="O165">
        <v>3</v>
      </c>
      <c r="P165" s="42">
        <v>54.5</v>
      </c>
      <c r="R165">
        <v>12.8</v>
      </c>
      <c r="T165" s="19">
        <v>43422</v>
      </c>
      <c r="U165" s="13" t="s">
        <v>259</v>
      </c>
      <c r="V165" s="41" t="s">
        <v>284</v>
      </c>
      <c r="W165" s="13" t="s">
        <v>296</v>
      </c>
    </row>
    <row r="166" spans="1:23" x14ac:dyDescent="0.2">
      <c r="A166" t="s">
        <v>193</v>
      </c>
      <c r="D166" t="s">
        <v>75</v>
      </c>
      <c r="F166" t="s">
        <v>110</v>
      </c>
      <c r="O166">
        <v>2</v>
      </c>
      <c r="P166" s="42">
        <v>50</v>
      </c>
      <c r="R166">
        <v>10.4</v>
      </c>
      <c r="T166" s="19">
        <v>43422</v>
      </c>
      <c r="U166" s="13" t="s">
        <v>259</v>
      </c>
      <c r="V166" s="41" t="s">
        <v>310</v>
      </c>
      <c r="W166" s="13" t="s">
        <v>289</v>
      </c>
    </row>
    <row r="167" spans="1:23" x14ac:dyDescent="0.2">
      <c r="A167" t="s">
        <v>193</v>
      </c>
      <c r="F167" t="s">
        <v>110</v>
      </c>
      <c r="O167">
        <v>3</v>
      </c>
      <c r="P167" s="42">
        <v>40.5</v>
      </c>
      <c r="R167">
        <v>20.100000000000001</v>
      </c>
      <c r="T167" s="19">
        <v>43422</v>
      </c>
      <c r="U167" s="13" t="s">
        <v>259</v>
      </c>
      <c r="V167" s="41" t="s">
        <v>306</v>
      </c>
      <c r="W167" s="13" t="s">
        <v>311</v>
      </c>
    </row>
    <row r="168" spans="1:23" x14ac:dyDescent="0.2">
      <c r="A168" t="s">
        <v>193</v>
      </c>
      <c r="O168">
        <v>14</v>
      </c>
      <c r="P168" s="42">
        <v>43.5</v>
      </c>
      <c r="R168">
        <v>1.5</v>
      </c>
      <c r="T168" s="19">
        <v>43429</v>
      </c>
      <c r="U168" s="13" t="s">
        <v>242</v>
      </c>
      <c r="V168" s="41" t="s">
        <v>285</v>
      </c>
      <c r="W168" s="13" t="s">
        <v>287</v>
      </c>
    </row>
    <row r="169" spans="1:23" x14ac:dyDescent="0.2">
      <c r="A169" t="s">
        <v>193</v>
      </c>
      <c r="O169">
        <v>11.5</v>
      </c>
      <c r="P169" s="42">
        <v>61</v>
      </c>
      <c r="R169">
        <v>8.1</v>
      </c>
      <c r="T169" s="19">
        <v>43429</v>
      </c>
      <c r="U169" s="13" t="s">
        <v>242</v>
      </c>
      <c r="V169" s="41" t="s">
        <v>295</v>
      </c>
      <c r="W169" s="13" t="s">
        <v>307</v>
      </c>
    </row>
    <row r="170" spans="1:23" x14ac:dyDescent="0.2">
      <c r="A170" t="s">
        <v>193</v>
      </c>
      <c r="O170">
        <v>-13</v>
      </c>
      <c r="P170" s="42">
        <v>42</v>
      </c>
      <c r="R170">
        <v>8.4</v>
      </c>
      <c r="T170" s="19">
        <v>43429</v>
      </c>
      <c r="U170" s="13" t="s">
        <v>242</v>
      </c>
      <c r="V170" s="41" t="s">
        <v>305</v>
      </c>
      <c r="W170" s="13" t="s">
        <v>303</v>
      </c>
    </row>
    <row r="171" spans="1:23" x14ac:dyDescent="0.2">
      <c r="A171" t="s">
        <v>193</v>
      </c>
      <c r="F171" t="s">
        <v>110</v>
      </c>
      <c r="O171">
        <v>3</v>
      </c>
      <c r="P171" s="42">
        <v>36.5</v>
      </c>
      <c r="R171">
        <v>3.6</v>
      </c>
      <c r="T171" s="19">
        <v>43429</v>
      </c>
      <c r="U171" s="13" t="s">
        <v>242</v>
      </c>
      <c r="V171" s="41" t="s">
        <v>276</v>
      </c>
      <c r="W171" s="13" t="s">
        <v>297</v>
      </c>
    </row>
    <row r="172" spans="1:23" x14ac:dyDescent="0.2">
      <c r="A172" t="s">
        <v>193</v>
      </c>
      <c r="D172" t="s">
        <v>75</v>
      </c>
      <c r="F172" t="s">
        <v>110</v>
      </c>
      <c r="O172">
        <v>-3</v>
      </c>
      <c r="P172" s="42">
        <v>46.5</v>
      </c>
      <c r="R172">
        <v>3.1</v>
      </c>
      <c r="T172" s="19">
        <v>43429</v>
      </c>
      <c r="U172" s="13" t="s">
        <v>242</v>
      </c>
      <c r="V172" s="41" t="s">
        <v>301</v>
      </c>
      <c r="W172" s="13" t="s">
        <v>308</v>
      </c>
    </row>
    <row r="173" spans="1:23" x14ac:dyDescent="0.2">
      <c r="A173" t="s">
        <v>193</v>
      </c>
      <c r="D173" t="s">
        <v>75</v>
      </c>
      <c r="E173" s="20" t="s">
        <v>75</v>
      </c>
      <c r="O173">
        <v>-3</v>
      </c>
      <c r="P173" s="42">
        <v>43</v>
      </c>
      <c r="R173">
        <v>5.8</v>
      </c>
      <c r="T173" s="19">
        <v>43429</v>
      </c>
      <c r="U173" s="13" t="s">
        <v>242</v>
      </c>
      <c r="V173" s="41" t="s">
        <v>265</v>
      </c>
      <c r="W173" s="13" t="s">
        <v>299</v>
      </c>
    </row>
    <row r="174" spans="1:23" x14ac:dyDescent="0.2">
      <c r="A174" t="s">
        <v>193</v>
      </c>
      <c r="F174" t="s">
        <v>109</v>
      </c>
      <c r="O174">
        <v>1</v>
      </c>
      <c r="P174" s="42">
        <v>46.5</v>
      </c>
      <c r="R174">
        <v>9.9</v>
      </c>
      <c r="T174" s="19">
        <v>43429</v>
      </c>
      <c r="U174" s="13" t="s">
        <v>242</v>
      </c>
      <c r="V174" s="41" t="s">
        <v>272</v>
      </c>
      <c r="W174" s="13" t="s">
        <v>281</v>
      </c>
    </row>
    <row r="175" spans="1:23" x14ac:dyDescent="0.2">
      <c r="A175" t="s">
        <v>193</v>
      </c>
      <c r="F175" t="s">
        <v>109</v>
      </c>
      <c r="O175">
        <v>-1</v>
      </c>
      <c r="P175" s="42">
        <v>46.5</v>
      </c>
      <c r="R175">
        <v>17.3</v>
      </c>
      <c r="T175" s="19">
        <v>43429</v>
      </c>
      <c r="U175" s="13" t="s">
        <v>242</v>
      </c>
      <c r="V175" s="41" t="s">
        <v>281</v>
      </c>
      <c r="W175" s="13" t="s">
        <v>272</v>
      </c>
    </row>
    <row r="176" spans="1:23" x14ac:dyDescent="0.2">
      <c r="A176" t="s">
        <v>193</v>
      </c>
      <c r="O176">
        <v>-7</v>
      </c>
      <c r="P176" s="42">
        <v>40</v>
      </c>
      <c r="R176">
        <v>4.5</v>
      </c>
      <c r="T176" s="19">
        <v>43429</v>
      </c>
      <c r="U176" s="13" t="s">
        <v>242</v>
      </c>
      <c r="V176" s="17" t="s">
        <v>291</v>
      </c>
      <c r="W176" s="13" t="s">
        <v>306</v>
      </c>
    </row>
    <row r="177" spans="1:23" x14ac:dyDescent="0.2">
      <c r="A177" t="s">
        <v>193</v>
      </c>
      <c r="O177">
        <v>3</v>
      </c>
      <c r="P177" s="42">
        <v>47.5</v>
      </c>
      <c r="R177">
        <v>12.4</v>
      </c>
      <c r="T177" s="19">
        <v>43429</v>
      </c>
      <c r="U177" s="13" t="s">
        <v>242</v>
      </c>
      <c r="V177" s="41" t="s">
        <v>278</v>
      </c>
      <c r="W177" s="13" t="s">
        <v>309</v>
      </c>
    </row>
    <row r="178" spans="1:23" x14ac:dyDescent="0.2">
      <c r="A178" t="s">
        <v>193</v>
      </c>
      <c r="E178" s="20" t="s">
        <v>75</v>
      </c>
      <c r="O178">
        <v>3</v>
      </c>
      <c r="P178" s="42">
        <v>43</v>
      </c>
      <c r="R178">
        <v>4.5999999999999996</v>
      </c>
      <c r="T178" s="19">
        <v>43429</v>
      </c>
      <c r="U178" t="s">
        <v>242</v>
      </c>
      <c r="V178" s="41" t="s">
        <v>299</v>
      </c>
      <c r="W178" t="s">
        <v>265</v>
      </c>
    </row>
    <row r="179" spans="1:23" x14ac:dyDescent="0.2">
      <c r="A179" t="s">
        <v>193</v>
      </c>
      <c r="O179">
        <v>4</v>
      </c>
      <c r="P179" s="42">
        <v>48.5</v>
      </c>
      <c r="R179">
        <v>5.4</v>
      </c>
      <c r="T179" s="19">
        <v>43429</v>
      </c>
      <c r="U179" s="13" t="s">
        <v>242</v>
      </c>
      <c r="V179" s="41" t="s">
        <v>300</v>
      </c>
      <c r="W179" s="13" t="s">
        <v>312</v>
      </c>
    </row>
    <row r="180" spans="1:23" x14ac:dyDescent="0.2">
      <c r="A180" t="s">
        <v>193</v>
      </c>
      <c r="D180" t="s">
        <v>75</v>
      </c>
      <c r="O180">
        <v>-3.5</v>
      </c>
      <c r="P180" s="42">
        <v>42.5</v>
      </c>
      <c r="R180">
        <v>6.8</v>
      </c>
      <c r="T180" s="19">
        <v>43429</v>
      </c>
      <c r="U180" s="13" t="s">
        <v>242</v>
      </c>
      <c r="V180" s="41" t="s">
        <v>311</v>
      </c>
      <c r="W180" s="13" t="s">
        <v>310</v>
      </c>
    </row>
    <row r="181" spans="1:23" x14ac:dyDescent="0.2">
      <c r="A181" t="s">
        <v>193</v>
      </c>
      <c r="E181" s="20" t="s">
        <v>75</v>
      </c>
      <c r="F181" t="s">
        <v>110</v>
      </c>
      <c r="O181">
        <v>-9</v>
      </c>
      <c r="P181" s="42">
        <v>52.5</v>
      </c>
      <c r="R181">
        <v>2.5</v>
      </c>
      <c r="T181" s="19">
        <v>43429</v>
      </c>
      <c r="U181" s="13" t="s">
        <v>242</v>
      </c>
      <c r="V181" t="s">
        <v>289</v>
      </c>
      <c r="W181" s="13" t="s">
        <v>293</v>
      </c>
    </row>
    <row r="182" spans="1:23" x14ac:dyDescent="0.2">
      <c r="A182" t="s">
        <v>193</v>
      </c>
      <c r="F182" t="s">
        <v>110</v>
      </c>
      <c r="O182">
        <v>-3</v>
      </c>
      <c r="P182" s="42">
        <v>36.5</v>
      </c>
      <c r="R182">
        <v>1.5</v>
      </c>
      <c r="T182" s="19">
        <v>43429</v>
      </c>
      <c r="U182" s="13" t="s">
        <v>242</v>
      </c>
      <c r="V182" s="17" t="s">
        <v>297</v>
      </c>
      <c r="W182" s="13" t="s">
        <v>276</v>
      </c>
    </row>
    <row r="183" spans="1:23" x14ac:dyDescent="0.2">
      <c r="A183" t="s">
        <v>193</v>
      </c>
      <c r="O183">
        <v>13</v>
      </c>
      <c r="P183" s="42">
        <v>42</v>
      </c>
      <c r="R183">
        <v>11.2</v>
      </c>
      <c r="T183" s="19">
        <v>43429</v>
      </c>
      <c r="U183" s="13" t="s">
        <v>242</v>
      </c>
      <c r="V183" s="17" t="s">
        <v>303</v>
      </c>
      <c r="W183" s="13" t="s">
        <v>305</v>
      </c>
    </row>
    <row r="184" spans="1:23" x14ac:dyDescent="0.2">
      <c r="A184" t="s">
        <v>193</v>
      </c>
      <c r="D184" t="s">
        <v>75</v>
      </c>
      <c r="O184">
        <v>-14</v>
      </c>
      <c r="P184" s="42">
        <v>43.5</v>
      </c>
      <c r="R184">
        <v>3.4</v>
      </c>
      <c r="T184" s="19">
        <v>43429</v>
      </c>
      <c r="U184" s="13" t="s">
        <v>242</v>
      </c>
      <c r="V184" s="17" t="s">
        <v>287</v>
      </c>
      <c r="W184" s="13" t="s">
        <v>285</v>
      </c>
    </row>
    <row r="185" spans="1:23" x14ac:dyDescent="0.2">
      <c r="A185" t="s">
        <v>193</v>
      </c>
      <c r="D185" t="s">
        <v>75</v>
      </c>
      <c r="E185" s="20" t="s">
        <v>75</v>
      </c>
      <c r="F185" t="s">
        <v>110</v>
      </c>
      <c r="O185">
        <v>9</v>
      </c>
      <c r="P185" s="42">
        <v>52.5</v>
      </c>
      <c r="R185">
        <v>4.7</v>
      </c>
      <c r="T185" s="19">
        <v>43429</v>
      </c>
      <c r="U185" s="13" t="s">
        <v>242</v>
      </c>
      <c r="V185" t="s">
        <v>293</v>
      </c>
      <c r="W185" s="13" t="s">
        <v>289</v>
      </c>
    </row>
    <row r="186" spans="1:23" x14ac:dyDescent="0.2">
      <c r="A186" t="s">
        <v>193</v>
      </c>
      <c r="D186" t="s">
        <v>75</v>
      </c>
      <c r="O186">
        <v>-4</v>
      </c>
      <c r="P186" s="42">
        <v>48.5</v>
      </c>
      <c r="R186">
        <v>13.3</v>
      </c>
      <c r="T186" s="19">
        <v>43429</v>
      </c>
      <c r="U186" s="13" t="s">
        <v>242</v>
      </c>
      <c r="V186" s="41" t="s">
        <v>312</v>
      </c>
      <c r="W186" s="13" t="s">
        <v>300</v>
      </c>
    </row>
    <row r="187" spans="1:23" x14ac:dyDescent="0.2">
      <c r="A187" t="s">
        <v>193</v>
      </c>
      <c r="O187">
        <v>-13</v>
      </c>
      <c r="P187" s="42">
        <v>46.5</v>
      </c>
      <c r="R187">
        <v>14.6</v>
      </c>
      <c r="T187" s="19">
        <v>43429</v>
      </c>
      <c r="U187" s="13" t="s">
        <v>242</v>
      </c>
      <c r="V187" t="s">
        <v>302</v>
      </c>
      <c r="W187" s="13" t="s">
        <v>298</v>
      </c>
    </row>
    <row r="188" spans="1:23" x14ac:dyDescent="0.2">
      <c r="A188" t="s">
        <v>193</v>
      </c>
      <c r="D188" t="s">
        <v>75</v>
      </c>
      <c r="O188">
        <v>-11.5</v>
      </c>
      <c r="P188" s="42">
        <v>61</v>
      </c>
      <c r="R188">
        <v>3</v>
      </c>
      <c r="T188" s="19">
        <v>43429</v>
      </c>
      <c r="U188" s="13" t="s">
        <v>242</v>
      </c>
      <c r="V188" s="41" t="s">
        <v>307</v>
      </c>
      <c r="W188" s="13" t="s">
        <v>295</v>
      </c>
    </row>
    <row r="189" spans="1:23" x14ac:dyDescent="0.2">
      <c r="A189" t="s">
        <v>193</v>
      </c>
      <c r="E189" s="20" t="s">
        <v>75</v>
      </c>
      <c r="O189">
        <v>4.5</v>
      </c>
      <c r="P189" s="42">
        <v>49</v>
      </c>
      <c r="R189">
        <v>11.7</v>
      </c>
      <c r="T189" s="19">
        <v>43429</v>
      </c>
      <c r="U189" s="13" t="s">
        <v>242</v>
      </c>
      <c r="V189" t="s">
        <v>296</v>
      </c>
      <c r="W189" s="13" t="s">
        <v>294</v>
      </c>
    </row>
    <row r="190" spans="1:23" x14ac:dyDescent="0.2">
      <c r="A190" t="s">
        <v>193</v>
      </c>
      <c r="O190">
        <v>13</v>
      </c>
      <c r="P190" s="42">
        <v>46.5</v>
      </c>
      <c r="R190">
        <v>12.7</v>
      </c>
      <c r="T190" s="19">
        <v>43429</v>
      </c>
      <c r="U190" s="13" t="s">
        <v>242</v>
      </c>
      <c r="V190" t="s">
        <v>298</v>
      </c>
      <c r="W190" s="13" t="s">
        <v>302</v>
      </c>
    </row>
    <row r="191" spans="1:23" x14ac:dyDescent="0.2">
      <c r="A191" t="s">
        <v>193</v>
      </c>
      <c r="E191" s="20" t="s">
        <v>75</v>
      </c>
      <c r="O191">
        <v>-4.5</v>
      </c>
      <c r="P191" s="42">
        <v>49</v>
      </c>
      <c r="R191">
        <v>22.1</v>
      </c>
      <c r="T191" s="19">
        <v>43429</v>
      </c>
      <c r="U191" s="13" t="s">
        <v>242</v>
      </c>
      <c r="V191" t="s">
        <v>294</v>
      </c>
      <c r="W191" s="13" t="s">
        <v>296</v>
      </c>
    </row>
    <row r="192" spans="1:23" x14ac:dyDescent="0.2">
      <c r="A192" t="s">
        <v>193</v>
      </c>
      <c r="O192">
        <v>-3</v>
      </c>
      <c r="P192" s="42">
        <v>47.5</v>
      </c>
      <c r="R192">
        <v>7.5</v>
      </c>
      <c r="T192" s="19">
        <v>43429</v>
      </c>
      <c r="U192" s="13" t="s">
        <v>242</v>
      </c>
      <c r="V192" t="s">
        <v>309</v>
      </c>
      <c r="W192" s="13" t="s">
        <v>278</v>
      </c>
    </row>
    <row r="193" spans="1:23" x14ac:dyDescent="0.2">
      <c r="A193" t="s">
        <v>193</v>
      </c>
      <c r="D193" t="s">
        <v>75</v>
      </c>
      <c r="F193" t="s">
        <v>109</v>
      </c>
      <c r="O193">
        <v>1.5</v>
      </c>
      <c r="P193" s="42">
        <v>54.5</v>
      </c>
      <c r="R193">
        <v>11.8</v>
      </c>
      <c r="T193" s="19">
        <v>43429</v>
      </c>
      <c r="U193" s="13" t="s">
        <v>242</v>
      </c>
      <c r="V193" s="41" t="s">
        <v>256</v>
      </c>
      <c r="W193" s="13" t="s">
        <v>284</v>
      </c>
    </row>
    <row r="194" spans="1:23" x14ac:dyDescent="0.2">
      <c r="A194" t="s">
        <v>193</v>
      </c>
      <c r="F194" t="s">
        <v>110</v>
      </c>
      <c r="O194">
        <v>3</v>
      </c>
      <c r="P194" s="42">
        <v>46.5</v>
      </c>
      <c r="R194">
        <v>4.2</v>
      </c>
      <c r="T194" s="19">
        <v>43429</v>
      </c>
      <c r="U194" s="13" t="s">
        <v>242</v>
      </c>
      <c r="V194" s="41" t="s">
        <v>308</v>
      </c>
      <c r="W194" s="13" t="s">
        <v>301</v>
      </c>
    </row>
    <row r="195" spans="1:23" x14ac:dyDescent="0.2">
      <c r="A195" t="s">
        <v>193</v>
      </c>
      <c r="D195" t="s">
        <v>75</v>
      </c>
      <c r="F195" t="s">
        <v>109</v>
      </c>
      <c r="O195">
        <v>-1.5</v>
      </c>
      <c r="P195" s="42">
        <v>54.5</v>
      </c>
      <c r="R195">
        <v>11.6</v>
      </c>
      <c r="T195" s="19">
        <v>43429</v>
      </c>
      <c r="U195" s="13" t="s">
        <v>242</v>
      </c>
      <c r="V195" t="s">
        <v>284</v>
      </c>
      <c r="W195" s="13" t="s">
        <v>256</v>
      </c>
    </row>
    <row r="196" spans="1:23" x14ac:dyDescent="0.2">
      <c r="A196" t="s">
        <v>193</v>
      </c>
      <c r="O196">
        <v>3.5</v>
      </c>
      <c r="P196" s="42">
        <v>42.5</v>
      </c>
      <c r="R196">
        <v>14.3</v>
      </c>
      <c r="T196" s="19">
        <v>43429</v>
      </c>
      <c r="U196" s="13" t="s">
        <v>242</v>
      </c>
      <c r="V196" t="s">
        <v>310</v>
      </c>
      <c r="W196" s="13" t="s">
        <v>311</v>
      </c>
    </row>
    <row r="197" spans="1:23" x14ac:dyDescent="0.2">
      <c r="A197" t="s">
        <v>193</v>
      </c>
      <c r="O197">
        <v>7</v>
      </c>
      <c r="P197" s="42">
        <v>40</v>
      </c>
      <c r="R197">
        <v>13.5</v>
      </c>
      <c r="T197" s="19">
        <v>43429</v>
      </c>
      <c r="U197" s="13" t="s">
        <v>242</v>
      </c>
      <c r="V197" s="41" t="s">
        <v>306</v>
      </c>
      <c r="W197" s="13" t="s">
        <v>291</v>
      </c>
    </row>
    <row r="198" spans="1:23" x14ac:dyDescent="0.2">
      <c r="A198" t="s">
        <v>193</v>
      </c>
      <c r="D198" t="s">
        <v>75</v>
      </c>
      <c r="O198">
        <v>13.5</v>
      </c>
      <c r="P198" s="42">
        <v>41</v>
      </c>
      <c r="R198">
        <v>2</v>
      </c>
      <c r="T198" s="19">
        <v>43436</v>
      </c>
      <c r="U198" s="13" t="s">
        <v>241</v>
      </c>
      <c r="V198" s="41" t="s">
        <v>285</v>
      </c>
      <c r="W198" s="13" t="s">
        <v>300</v>
      </c>
    </row>
    <row r="199" spans="1:23" x14ac:dyDescent="0.2">
      <c r="A199" t="s">
        <v>193</v>
      </c>
      <c r="O199">
        <v>-2.5</v>
      </c>
      <c r="P199" s="42">
        <v>46.5</v>
      </c>
      <c r="R199">
        <v>15.4</v>
      </c>
      <c r="T199" s="19">
        <v>43436</v>
      </c>
      <c r="U199" s="13" t="s">
        <v>241</v>
      </c>
      <c r="V199" t="s">
        <v>295</v>
      </c>
      <c r="W199" s="13" t="s">
        <v>305</v>
      </c>
    </row>
    <row r="200" spans="1:23" x14ac:dyDescent="0.2">
      <c r="A200" t="s">
        <v>193</v>
      </c>
      <c r="D200" t="s">
        <v>75</v>
      </c>
      <c r="O200">
        <v>2.5</v>
      </c>
      <c r="P200" s="42">
        <v>46.5</v>
      </c>
      <c r="R200">
        <v>7.7</v>
      </c>
      <c r="T200" s="19">
        <v>43436</v>
      </c>
      <c r="U200" s="13" t="s">
        <v>241</v>
      </c>
      <c r="V200" t="s">
        <v>305</v>
      </c>
      <c r="W200" s="13" t="s">
        <v>295</v>
      </c>
    </row>
    <row r="201" spans="1:23" x14ac:dyDescent="0.2">
      <c r="A201" t="s">
        <v>193</v>
      </c>
      <c r="F201" t="s">
        <v>110</v>
      </c>
      <c r="O201">
        <v>3.5</v>
      </c>
      <c r="P201" s="42">
        <v>40</v>
      </c>
      <c r="R201">
        <v>1.9</v>
      </c>
      <c r="T201" s="19">
        <v>43436</v>
      </c>
      <c r="U201" s="13" t="s">
        <v>241</v>
      </c>
      <c r="V201" s="41" t="s">
        <v>276</v>
      </c>
      <c r="W201" s="13" t="s">
        <v>293</v>
      </c>
    </row>
    <row r="202" spans="1:23" x14ac:dyDescent="0.2">
      <c r="A202" t="s">
        <v>193</v>
      </c>
      <c r="D202" t="s">
        <v>75</v>
      </c>
      <c r="F202" t="s">
        <v>109</v>
      </c>
      <c r="O202">
        <v>-3.5</v>
      </c>
      <c r="P202" s="42">
        <v>52</v>
      </c>
      <c r="R202">
        <v>9.6</v>
      </c>
      <c r="T202" s="19">
        <v>43436</v>
      </c>
      <c r="U202" s="13" t="s">
        <v>241</v>
      </c>
      <c r="V202" s="41" t="s">
        <v>301</v>
      </c>
      <c r="W202" s="13" t="s">
        <v>284</v>
      </c>
    </row>
    <row r="203" spans="1:23" x14ac:dyDescent="0.2">
      <c r="A203" t="s">
        <v>193</v>
      </c>
      <c r="E203" s="20" t="s">
        <v>75</v>
      </c>
      <c r="O203">
        <v>-3</v>
      </c>
      <c r="P203" s="42">
        <v>43.5</v>
      </c>
      <c r="R203">
        <v>0</v>
      </c>
      <c r="T203" s="19">
        <v>43436</v>
      </c>
      <c r="U203" s="13" t="s">
        <v>241</v>
      </c>
      <c r="V203" s="41" t="s">
        <v>265</v>
      </c>
      <c r="W203" s="13" t="s">
        <v>296</v>
      </c>
    </row>
    <row r="204" spans="1:23" x14ac:dyDescent="0.2">
      <c r="A204" t="s">
        <v>193</v>
      </c>
      <c r="F204" t="s">
        <v>109</v>
      </c>
      <c r="O204">
        <v>3.5</v>
      </c>
      <c r="P204" s="42">
        <v>45</v>
      </c>
      <c r="R204">
        <v>8.3000000000000007</v>
      </c>
      <c r="T204" s="19">
        <v>43436</v>
      </c>
      <c r="U204" s="13" t="s">
        <v>241</v>
      </c>
      <c r="V204" s="41" t="s">
        <v>272</v>
      </c>
      <c r="W204" s="13" t="s">
        <v>278</v>
      </c>
    </row>
    <row r="205" spans="1:23" x14ac:dyDescent="0.2">
      <c r="A205" t="s">
        <v>193</v>
      </c>
      <c r="F205" t="s">
        <v>110</v>
      </c>
      <c r="O205">
        <v>5</v>
      </c>
      <c r="P205" s="42">
        <v>47.5</v>
      </c>
      <c r="R205">
        <v>3.8</v>
      </c>
      <c r="T205" s="19">
        <v>43436</v>
      </c>
      <c r="U205" s="13" t="s">
        <v>241</v>
      </c>
      <c r="V205" s="41" t="s">
        <v>281</v>
      </c>
      <c r="W205" s="13" t="s">
        <v>311</v>
      </c>
    </row>
    <row r="206" spans="1:23" x14ac:dyDescent="0.2">
      <c r="A206" t="s">
        <v>193</v>
      </c>
      <c r="F206" t="s">
        <v>110</v>
      </c>
      <c r="O206">
        <v>7</v>
      </c>
      <c r="P206" s="42">
        <v>51.5</v>
      </c>
      <c r="R206">
        <v>2.2000000000000002</v>
      </c>
      <c r="T206" s="19">
        <v>43436</v>
      </c>
      <c r="U206" s="13" t="s">
        <v>241</v>
      </c>
      <c r="V206" s="17" t="s">
        <v>291</v>
      </c>
      <c r="W206" s="13" t="s">
        <v>307</v>
      </c>
    </row>
    <row r="207" spans="1:23" x14ac:dyDescent="0.2">
      <c r="A207" t="s">
        <v>193</v>
      </c>
      <c r="F207" t="s">
        <v>109</v>
      </c>
      <c r="O207">
        <v>-3.5</v>
      </c>
      <c r="P207" s="42">
        <v>45</v>
      </c>
      <c r="R207">
        <v>0</v>
      </c>
      <c r="T207" s="19">
        <v>43436</v>
      </c>
      <c r="U207" s="13" t="s">
        <v>241</v>
      </c>
      <c r="V207" s="41" t="s">
        <v>278</v>
      </c>
      <c r="W207" s="13" t="s">
        <v>272</v>
      </c>
    </row>
    <row r="208" spans="1:23" x14ac:dyDescent="0.2">
      <c r="A208" t="s">
        <v>193</v>
      </c>
      <c r="D208" t="s">
        <v>75</v>
      </c>
      <c r="O208">
        <v>10.5</v>
      </c>
      <c r="P208" s="42">
        <v>54</v>
      </c>
      <c r="R208">
        <v>13</v>
      </c>
      <c r="T208" s="19">
        <v>43436</v>
      </c>
      <c r="U208" t="s">
        <v>241</v>
      </c>
      <c r="V208" t="s">
        <v>299</v>
      </c>
      <c r="W208" t="s">
        <v>304</v>
      </c>
    </row>
    <row r="209" spans="1:23" x14ac:dyDescent="0.2">
      <c r="A209" t="s">
        <v>193</v>
      </c>
      <c r="D209" t="s">
        <v>75</v>
      </c>
      <c r="O209">
        <v>-13.5</v>
      </c>
      <c r="P209" s="42">
        <v>41</v>
      </c>
      <c r="R209">
        <v>13</v>
      </c>
      <c r="T209" s="19">
        <v>43436</v>
      </c>
      <c r="U209" s="13" t="s">
        <v>241</v>
      </c>
      <c r="V209" s="41" t="s">
        <v>300</v>
      </c>
      <c r="W209" s="13" t="s">
        <v>285</v>
      </c>
    </row>
    <row r="210" spans="1:23" x14ac:dyDescent="0.2">
      <c r="A210" t="s">
        <v>193</v>
      </c>
      <c r="F210" t="s">
        <v>110</v>
      </c>
      <c r="O210">
        <v>-5</v>
      </c>
      <c r="P210" s="42">
        <v>47.5</v>
      </c>
      <c r="R210">
        <v>12.2</v>
      </c>
      <c r="T210" s="19">
        <v>43436</v>
      </c>
      <c r="U210" s="13" t="s">
        <v>241</v>
      </c>
      <c r="V210" s="41" t="s">
        <v>311</v>
      </c>
      <c r="W210" s="13" t="s">
        <v>281</v>
      </c>
    </row>
    <row r="211" spans="1:23" x14ac:dyDescent="0.2">
      <c r="A211" t="s">
        <v>193</v>
      </c>
      <c r="F211" t="s">
        <v>110</v>
      </c>
      <c r="O211">
        <v>-4</v>
      </c>
      <c r="P211" s="42">
        <v>45.5</v>
      </c>
      <c r="R211">
        <v>16.2</v>
      </c>
      <c r="T211" s="19">
        <v>43436</v>
      </c>
      <c r="U211" s="13" t="s">
        <v>241</v>
      </c>
      <c r="V211" t="s">
        <v>289</v>
      </c>
      <c r="W211" s="13" t="s">
        <v>297</v>
      </c>
    </row>
    <row r="212" spans="1:23" x14ac:dyDescent="0.2">
      <c r="A212" t="s">
        <v>193</v>
      </c>
      <c r="D212" t="s">
        <v>75</v>
      </c>
      <c r="F212" t="s">
        <v>110</v>
      </c>
      <c r="O212">
        <v>4</v>
      </c>
      <c r="P212" s="42">
        <v>45.5</v>
      </c>
      <c r="R212">
        <v>3.9</v>
      </c>
      <c r="T212" s="19">
        <v>43436</v>
      </c>
      <c r="U212" s="13" t="s">
        <v>241</v>
      </c>
      <c r="V212" s="17" t="s">
        <v>297</v>
      </c>
      <c r="W212" s="13" t="s">
        <v>289</v>
      </c>
    </row>
    <row r="213" spans="1:23" x14ac:dyDescent="0.2">
      <c r="A213" t="s">
        <v>193</v>
      </c>
      <c r="O213">
        <v>-14</v>
      </c>
      <c r="P213" s="42">
        <v>53.5</v>
      </c>
      <c r="R213">
        <v>42.8</v>
      </c>
      <c r="T213" s="19">
        <v>43436</v>
      </c>
      <c r="U213" s="13" t="s">
        <v>241</v>
      </c>
      <c r="V213" s="41" t="s">
        <v>288</v>
      </c>
      <c r="W213" s="13" t="s">
        <v>303</v>
      </c>
    </row>
    <row r="214" spans="1:23" x14ac:dyDescent="0.2">
      <c r="A214" t="s">
        <v>193</v>
      </c>
      <c r="O214">
        <v>14</v>
      </c>
      <c r="P214" s="42">
        <v>53.5</v>
      </c>
      <c r="R214">
        <v>26</v>
      </c>
      <c r="T214" s="19">
        <v>43436</v>
      </c>
      <c r="U214" s="13" t="s">
        <v>241</v>
      </c>
      <c r="V214" s="17" t="s">
        <v>303</v>
      </c>
      <c r="W214" s="13" t="s">
        <v>288</v>
      </c>
    </row>
    <row r="215" spans="1:23" x14ac:dyDescent="0.2">
      <c r="A215" t="s">
        <v>193</v>
      </c>
      <c r="O215">
        <v>3.5</v>
      </c>
      <c r="P215" s="42">
        <v>53.5</v>
      </c>
      <c r="R215">
        <v>2</v>
      </c>
      <c r="T215" s="19">
        <v>43436</v>
      </c>
      <c r="U215" s="13" t="s">
        <v>241</v>
      </c>
      <c r="V215" s="17" t="s">
        <v>287</v>
      </c>
      <c r="W215" s="13" t="s">
        <v>309</v>
      </c>
    </row>
    <row r="216" spans="1:23" x14ac:dyDescent="0.2">
      <c r="A216" t="s">
        <v>193</v>
      </c>
      <c r="D216" t="s">
        <v>75</v>
      </c>
      <c r="O216">
        <v>-10.5</v>
      </c>
      <c r="P216" s="42">
        <v>54</v>
      </c>
      <c r="R216">
        <v>3.9</v>
      </c>
      <c r="T216" s="19">
        <v>43436</v>
      </c>
      <c r="U216" s="13" t="s">
        <v>241</v>
      </c>
      <c r="V216" t="s">
        <v>304</v>
      </c>
      <c r="W216" s="13" t="s">
        <v>299</v>
      </c>
    </row>
    <row r="217" spans="1:23" x14ac:dyDescent="0.2">
      <c r="A217" t="s">
        <v>193</v>
      </c>
      <c r="F217" t="s">
        <v>110</v>
      </c>
      <c r="O217">
        <v>-3.5</v>
      </c>
      <c r="P217" s="42">
        <v>40</v>
      </c>
      <c r="R217">
        <v>1.9</v>
      </c>
      <c r="T217" s="19">
        <v>43436</v>
      </c>
      <c r="U217" s="13" t="s">
        <v>241</v>
      </c>
      <c r="V217" t="s">
        <v>293</v>
      </c>
      <c r="W217" s="13" t="s">
        <v>276</v>
      </c>
    </row>
    <row r="218" spans="1:23" x14ac:dyDescent="0.2">
      <c r="A218" t="s">
        <v>193</v>
      </c>
      <c r="F218" t="s">
        <v>109</v>
      </c>
      <c r="O218">
        <v>6</v>
      </c>
      <c r="P218" s="42">
        <v>50</v>
      </c>
      <c r="R218">
        <v>6.8</v>
      </c>
      <c r="T218" s="19">
        <v>43436</v>
      </c>
      <c r="U218" s="13" t="s">
        <v>241</v>
      </c>
      <c r="V218" s="41" t="s">
        <v>312</v>
      </c>
      <c r="W218" s="13" t="s">
        <v>302</v>
      </c>
    </row>
    <row r="219" spans="1:23" x14ac:dyDescent="0.2">
      <c r="A219" t="s">
        <v>193</v>
      </c>
      <c r="F219" t="s">
        <v>109</v>
      </c>
      <c r="O219">
        <v>-6</v>
      </c>
      <c r="P219" s="42">
        <v>50</v>
      </c>
      <c r="R219">
        <v>5.6</v>
      </c>
      <c r="T219" s="19">
        <v>43436</v>
      </c>
      <c r="U219" s="13" t="s">
        <v>241</v>
      </c>
      <c r="V219" t="s">
        <v>302</v>
      </c>
      <c r="W219" s="13" t="s">
        <v>312</v>
      </c>
    </row>
    <row r="220" spans="1:23" x14ac:dyDescent="0.2">
      <c r="A220" t="s">
        <v>193</v>
      </c>
      <c r="F220" t="s">
        <v>110</v>
      </c>
      <c r="O220">
        <v>-7</v>
      </c>
      <c r="P220" s="42">
        <v>51.5</v>
      </c>
      <c r="R220">
        <v>4</v>
      </c>
      <c r="T220" s="19">
        <v>43436</v>
      </c>
      <c r="U220" s="13" t="s">
        <v>241</v>
      </c>
      <c r="V220" s="41" t="s">
        <v>307</v>
      </c>
      <c r="W220" s="13" t="s">
        <v>291</v>
      </c>
    </row>
    <row r="221" spans="1:23" x14ac:dyDescent="0.2">
      <c r="A221" t="s">
        <v>193</v>
      </c>
      <c r="E221" s="20" t="s">
        <v>75</v>
      </c>
      <c r="O221">
        <v>3</v>
      </c>
      <c r="P221" s="42">
        <v>43.5</v>
      </c>
      <c r="R221">
        <v>8.1999999999999993</v>
      </c>
      <c r="T221" s="19">
        <v>43436</v>
      </c>
      <c r="U221" s="13" t="s">
        <v>241</v>
      </c>
      <c r="V221" t="s">
        <v>296</v>
      </c>
      <c r="W221" s="13" t="s">
        <v>265</v>
      </c>
    </row>
    <row r="222" spans="1:23" x14ac:dyDescent="0.2">
      <c r="A222" t="s">
        <v>193</v>
      </c>
      <c r="D222" t="s">
        <v>75</v>
      </c>
      <c r="O222">
        <v>10.5</v>
      </c>
      <c r="P222" s="42">
        <v>40.5</v>
      </c>
      <c r="R222">
        <v>5.0999999999999996</v>
      </c>
      <c r="T222" s="19">
        <v>43436</v>
      </c>
      <c r="U222" s="13" t="s">
        <v>241</v>
      </c>
      <c r="V222" s="41" t="s">
        <v>298</v>
      </c>
      <c r="W222" s="13" t="s">
        <v>310</v>
      </c>
    </row>
    <row r="223" spans="1:23" x14ac:dyDescent="0.2">
      <c r="A223" t="s">
        <v>193</v>
      </c>
      <c r="O223">
        <v>-5.5</v>
      </c>
      <c r="P223" s="42">
        <v>45.5</v>
      </c>
      <c r="R223">
        <v>17.3</v>
      </c>
      <c r="T223" s="19">
        <v>43436</v>
      </c>
      <c r="U223" s="13" t="s">
        <v>241</v>
      </c>
      <c r="V223" s="41" t="s">
        <v>294</v>
      </c>
      <c r="W223" s="13" t="s">
        <v>306</v>
      </c>
    </row>
    <row r="224" spans="1:23" x14ac:dyDescent="0.2">
      <c r="A224" t="s">
        <v>193</v>
      </c>
      <c r="O224">
        <v>-3.5</v>
      </c>
      <c r="P224" s="42">
        <v>53.5</v>
      </c>
      <c r="R224">
        <v>6.8</v>
      </c>
      <c r="T224" s="19">
        <v>43436</v>
      </c>
      <c r="U224" s="13" t="s">
        <v>241</v>
      </c>
      <c r="V224" s="41" t="s">
        <v>309</v>
      </c>
      <c r="W224" s="13" t="s">
        <v>287</v>
      </c>
    </row>
    <row r="225" spans="1:23" x14ac:dyDescent="0.2">
      <c r="A225" t="s">
        <v>193</v>
      </c>
      <c r="B225" t="s">
        <v>78</v>
      </c>
      <c r="C225">
        <v>14.4</v>
      </c>
      <c r="D225" t="s">
        <v>75</v>
      </c>
      <c r="O225">
        <v>10</v>
      </c>
      <c r="P225" s="42">
        <v>45.5</v>
      </c>
      <c r="R225">
        <v>13</v>
      </c>
      <c r="T225" s="19">
        <v>43436</v>
      </c>
      <c r="U225" s="13" t="s">
        <v>241</v>
      </c>
      <c r="V225" s="41" t="s">
        <v>256</v>
      </c>
      <c r="W225" s="13" t="s">
        <v>308</v>
      </c>
    </row>
    <row r="226" spans="1:23" x14ac:dyDescent="0.2">
      <c r="A226" t="s">
        <v>193</v>
      </c>
      <c r="D226" t="s">
        <v>75</v>
      </c>
      <c r="O226">
        <v>-10</v>
      </c>
      <c r="P226" s="42">
        <v>45.5</v>
      </c>
      <c r="R226">
        <v>1.4</v>
      </c>
      <c r="T226" s="19">
        <v>43436</v>
      </c>
      <c r="U226" s="13" t="s">
        <v>241</v>
      </c>
      <c r="V226" s="41" t="s">
        <v>308</v>
      </c>
      <c r="W226" s="13" t="s">
        <v>256</v>
      </c>
    </row>
    <row r="227" spans="1:23" x14ac:dyDescent="0.2">
      <c r="A227" t="s">
        <v>193</v>
      </c>
      <c r="F227" t="s">
        <v>109</v>
      </c>
      <c r="O227">
        <v>3.5</v>
      </c>
      <c r="P227" s="42">
        <v>52</v>
      </c>
      <c r="R227">
        <v>6.6</v>
      </c>
      <c r="T227" s="19">
        <v>43436</v>
      </c>
      <c r="U227" s="13" t="s">
        <v>241</v>
      </c>
      <c r="V227" s="41" t="s">
        <v>284</v>
      </c>
      <c r="W227" s="13" t="s">
        <v>301</v>
      </c>
    </row>
    <row r="228" spans="1:23" x14ac:dyDescent="0.2">
      <c r="A228" t="s">
        <v>193</v>
      </c>
      <c r="O228">
        <v>-10.5</v>
      </c>
      <c r="P228" s="42">
        <v>40.5</v>
      </c>
      <c r="R228">
        <v>13.2</v>
      </c>
      <c r="T228" s="19">
        <v>43436</v>
      </c>
      <c r="U228" s="13" t="s">
        <v>241</v>
      </c>
      <c r="V228" s="41" t="s">
        <v>310</v>
      </c>
      <c r="W228" s="13" t="s">
        <v>298</v>
      </c>
    </row>
    <row r="229" spans="1:23" x14ac:dyDescent="0.2">
      <c r="A229" t="s">
        <v>193</v>
      </c>
      <c r="O229">
        <v>5.5</v>
      </c>
      <c r="P229" s="42">
        <v>45.5</v>
      </c>
      <c r="R229">
        <v>6.1</v>
      </c>
      <c r="T229" s="19">
        <v>43436</v>
      </c>
      <c r="U229" s="13" t="s">
        <v>241</v>
      </c>
      <c r="V229" s="41" t="s">
        <v>306</v>
      </c>
      <c r="W229" s="13" t="s">
        <v>294</v>
      </c>
    </row>
    <row r="230" spans="1:23" x14ac:dyDescent="0.2">
      <c r="A230" t="s">
        <v>193</v>
      </c>
      <c r="D230" t="s">
        <v>75</v>
      </c>
      <c r="F230" t="s">
        <v>110</v>
      </c>
      <c r="O230">
        <v>2.5</v>
      </c>
      <c r="P230" s="42">
        <v>40</v>
      </c>
      <c r="R230">
        <v>6.1</v>
      </c>
      <c r="T230" s="19">
        <v>43443</v>
      </c>
      <c r="U230" t="s">
        <v>239</v>
      </c>
      <c r="V230" s="41" t="s">
        <v>285</v>
      </c>
      <c r="W230" t="s">
        <v>299</v>
      </c>
    </row>
    <row r="231" spans="1:23" x14ac:dyDescent="0.2">
      <c r="A231" t="s">
        <v>193</v>
      </c>
      <c r="D231" t="s">
        <v>75</v>
      </c>
      <c r="O231">
        <v>4</v>
      </c>
      <c r="P231" s="42">
        <v>51</v>
      </c>
      <c r="R231">
        <v>7.7</v>
      </c>
      <c r="T231" s="19">
        <v>43443</v>
      </c>
      <c r="U231" t="s">
        <v>239</v>
      </c>
      <c r="V231" s="41" t="s">
        <v>295</v>
      </c>
      <c r="W231" t="s">
        <v>300</v>
      </c>
    </row>
    <row r="232" spans="1:23" x14ac:dyDescent="0.2">
      <c r="A232" t="s">
        <v>193</v>
      </c>
      <c r="F232" t="s">
        <v>109</v>
      </c>
      <c r="O232">
        <v>6.5</v>
      </c>
      <c r="P232" s="42">
        <v>48.5</v>
      </c>
      <c r="R232">
        <v>0</v>
      </c>
      <c r="T232" s="19">
        <v>43443</v>
      </c>
      <c r="U232" t="s">
        <v>239</v>
      </c>
      <c r="V232" s="41" t="s">
        <v>305</v>
      </c>
      <c r="W232" t="s">
        <v>288</v>
      </c>
    </row>
    <row r="233" spans="1:23" x14ac:dyDescent="0.2">
      <c r="A233" t="s">
        <v>193</v>
      </c>
      <c r="O233">
        <v>-4.5</v>
      </c>
      <c r="P233" s="42">
        <v>37</v>
      </c>
      <c r="R233">
        <v>1.6</v>
      </c>
      <c r="T233" s="19">
        <v>43443</v>
      </c>
      <c r="U233" t="s">
        <v>239</v>
      </c>
      <c r="V233" s="41" t="s">
        <v>276</v>
      </c>
      <c r="W233" t="s">
        <v>298</v>
      </c>
    </row>
    <row r="234" spans="1:23" x14ac:dyDescent="0.2">
      <c r="A234" t="s">
        <v>193</v>
      </c>
      <c r="O234">
        <v>-1</v>
      </c>
      <c r="P234" s="42">
        <v>48</v>
      </c>
      <c r="R234">
        <v>16.7</v>
      </c>
      <c r="T234" s="19">
        <v>43443</v>
      </c>
      <c r="U234" t="s">
        <v>239</v>
      </c>
      <c r="V234" s="41" t="s">
        <v>301</v>
      </c>
      <c r="W234" t="s">
        <v>281</v>
      </c>
    </row>
    <row r="235" spans="1:23" x14ac:dyDescent="0.2">
      <c r="A235" t="s">
        <v>193</v>
      </c>
      <c r="D235" t="s">
        <v>75</v>
      </c>
      <c r="O235">
        <v>3</v>
      </c>
      <c r="P235" s="42">
        <v>50.5</v>
      </c>
      <c r="R235">
        <v>4.2</v>
      </c>
      <c r="T235" s="19">
        <v>43443</v>
      </c>
      <c r="U235" t="s">
        <v>239</v>
      </c>
      <c r="V235" s="41" t="s">
        <v>265</v>
      </c>
      <c r="W235" t="s">
        <v>304</v>
      </c>
    </row>
    <row r="236" spans="1:23" x14ac:dyDescent="0.2">
      <c r="A236" t="s">
        <v>193</v>
      </c>
      <c r="F236" t="s">
        <v>109</v>
      </c>
      <c r="O236">
        <v>17</v>
      </c>
      <c r="P236" s="42">
        <v>48.5</v>
      </c>
      <c r="R236">
        <v>6.7</v>
      </c>
      <c r="T236" s="19">
        <v>43443</v>
      </c>
      <c r="U236" t="s">
        <v>239</v>
      </c>
      <c r="V236" s="41" t="s">
        <v>272</v>
      </c>
      <c r="W236" t="s">
        <v>287</v>
      </c>
    </row>
    <row r="237" spans="1:23" x14ac:dyDescent="0.2">
      <c r="A237" t="s">
        <v>193</v>
      </c>
      <c r="O237">
        <v>1</v>
      </c>
      <c r="P237" s="42">
        <v>48</v>
      </c>
      <c r="R237">
        <v>6.5</v>
      </c>
      <c r="T237" s="19">
        <v>43443</v>
      </c>
      <c r="U237" t="s">
        <v>239</v>
      </c>
      <c r="V237" s="41" t="s">
        <v>281</v>
      </c>
      <c r="W237" t="s">
        <v>301</v>
      </c>
    </row>
    <row r="238" spans="1:23" x14ac:dyDescent="0.2">
      <c r="A238" t="s">
        <v>193</v>
      </c>
      <c r="O238">
        <v>-3</v>
      </c>
      <c r="P238" s="42">
        <v>45</v>
      </c>
      <c r="R238">
        <v>12.6</v>
      </c>
      <c r="T238" s="19">
        <v>43443</v>
      </c>
      <c r="U238" t="s">
        <v>239</v>
      </c>
      <c r="V238" s="17" t="s">
        <v>291</v>
      </c>
      <c r="W238" t="s">
        <v>294</v>
      </c>
    </row>
    <row r="239" spans="1:23" x14ac:dyDescent="0.2">
      <c r="A239" t="s">
        <v>193</v>
      </c>
      <c r="D239" t="s">
        <v>75</v>
      </c>
      <c r="F239" t="s">
        <v>109</v>
      </c>
      <c r="O239">
        <v>-3</v>
      </c>
      <c r="P239" s="42">
        <v>45.5</v>
      </c>
      <c r="R239">
        <v>1.3</v>
      </c>
      <c r="T239" s="19">
        <v>43443</v>
      </c>
      <c r="U239" t="s">
        <v>239</v>
      </c>
      <c r="V239" s="41" t="s">
        <v>278</v>
      </c>
      <c r="W239" t="s">
        <v>256</v>
      </c>
    </row>
    <row r="240" spans="1:23" x14ac:dyDescent="0.2">
      <c r="A240" t="s">
        <v>193</v>
      </c>
      <c r="D240" t="s">
        <v>75</v>
      </c>
      <c r="F240" t="s">
        <v>110</v>
      </c>
      <c r="O240">
        <v>-2.5</v>
      </c>
      <c r="P240" s="42">
        <v>40</v>
      </c>
      <c r="R240">
        <v>4.5999999999999996</v>
      </c>
      <c r="T240" s="19">
        <v>43443</v>
      </c>
      <c r="U240" t="s">
        <v>239</v>
      </c>
      <c r="V240" s="41" t="s">
        <v>299</v>
      </c>
      <c r="W240" t="s">
        <v>285</v>
      </c>
    </row>
    <row r="241" spans="1:23" x14ac:dyDescent="0.2">
      <c r="A241" t="s">
        <v>193</v>
      </c>
      <c r="D241" t="s">
        <v>75</v>
      </c>
      <c r="O241">
        <v>-4</v>
      </c>
      <c r="P241" s="42">
        <v>51</v>
      </c>
      <c r="R241">
        <v>3.3</v>
      </c>
      <c r="T241" s="19">
        <v>43443</v>
      </c>
      <c r="U241" t="s">
        <v>239</v>
      </c>
      <c r="V241" s="41" t="s">
        <v>300</v>
      </c>
      <c r="W241" t="s">
        <v>295</v>
      </c>
    </row>
    <row r="242" spans="1:23" x14ac:dyDescent="0.2">
      <c r="A242" t="s">
        <v>193</v>
      </c>
      <c r="D242" t="s">
        <v>75</v>
      </c>
      <c r="F242" t="s">
        <v>110</v>
      </c>
      <c r="O242">
        <v>-4</v>
      </c>
      <c r="P242" s="42">
        <v>49.5</v>
      </c>
      <c r="R242">
        <v>13</v>
      </c>
      <c r="T242" s="19">
        <v>43443</v>
      </c>
      <c r="U242" t="s">
        <v>239</v>
      </c>
      <c r="V242" t="s">
        <v>311</v>
      </c>
      <c r="W242" t="s">
        <v>289</v>
      </c>
    </row>
    <row r="243" spans="1:23" x14ac:dyDescent="0.2">
      <c r="A243" t="s">
        <v>193</v>
      </c>
      <c r="F243" t="s">
        <v>110</v>
      </c>
      <c r="O243">
        <v>4</v>
      </c>
      <c r="P243" s="42">
        <v>49.5</v>
      </c>
      <c r="R243">
        <v>16.5</v>
      </c>
      <c r="T243" s="19">
        <v>43443</v>
      </c>
      <c r="U243" t="s">
        <v>239</v>
      </c>
      <c r="V243" t="s">
        <v>289</v>
      </c>
      <c r="W243" t="s">
        <v>311</v>
      </c>
    </row>
    <row r="244" spans="1:23" x14ac:dyDescent="0.2">
      <c r="A244" t="s">
        <v>193</v>
      </c>
      <c r="D244" t="s">
        <v>75</v>
      </c>
      <c r="O244">
        <v>5.5</v>
      </c>
      <c r="P244" s="42">
        <v>36.5</v>
      </c>
      <c r="R244">
        <v>4.2</v>
      </c>
      <c r="T244" s="19">
        <v>43443</v>
      </c>
      <c r="U244" t="s">
        <v>239</v>
      </c>
      <c r="V244" s="17" t="s">
        <v>297</v>
      </c>
      <c r="W244" t="s">
        <v>310</v>
      </c>
    </row>
    <row r="245" spans="1:23" x14ac:dyDescent="0.2">
      <c r="A245" t="s">
        <v>193</v>
      </c>
      <c r="F245" t="s">
        <v>109</v>
      </c>
      <c r="O245">
        <v>-6.5</v>
      </c>
      <c r="P245" s="42">
        <v>48.5</v>
      </c>
      <c r="R245">
        <v>20.7</v>
      </c>
      <c r="T245" s="19">
        <v>43443</v>
      </c>
      <c r="U245" t="s">
        <v>239</v>
      </c>
      <c r="V245" s="41" t="s">
        <v>288</v>
      </c>
      <c r="W245" t="s">
        <v>305</v>
      </c>
    </row>
    <row r="246" spans="1:23" x14ac:dyDescent="0.2">
      <c r="A246" t="s">
        <v>193</v>
      </c>
      <c r="O246">
        <v>10.5</v>
      </c>
      <c r="P246" s="42">
        <v>51</v>
      </c>
      <c r="R246">
        <v>21.6</v>
      </c>
      <c r="T246" s="19">
        <v>43443</v>
      </c>
      <c r="U246" t="s">
        <v>239</v>
      </c>
      <c r="V246" s="17" t="s">
        <v>303</v>
      </c>
      <c r="W246" t="s">
        <v>309</v>
      </c>
    </row>
    <row r="247" spans="1:23" x14ac:dyDescent="0.2">
      <c r="A247" t="s">
        <v>193</v>
      </c>
      <c r="F247" t="s">
        <v>109</v>
      </c>
      <c r="O247">
        <v>-17</v>
      </c>
      <c r="P247" s="42">
        <v>48.5</v>
      </c>
      <c r="R247">
        <v>3.9</v>
      </c>
      <c r="T247" s="19">
        <v>43443</v>
      </c>
      <c r="U247" t="s">
        <v>239</v>
      </c>
      <c r="V247" s="17" t="s">
        <v>287</v>
      </c>
      <c r="W247" t="s">
        <v>272</v>
      </c>
    </row>
    <row r="248" spans="1:23" x14ac:dyDescent="0.2">
      <c r="A248" t="s">
        <v>193</v>
      </c>
      <c r="O248">
        <v>-3</v>
      </c>
      <c r="P248" s="42">
        <v>50.5</v>
      </c>
      <c r="R248">
        <v>6.9</v>
      </c>
      <c r="T248" s="19">
        <v>43443</v>
      </c>
      <c r="U248" t="s">
        <v>239</v>
      </c>
      <c r="V248" t="s">
        <v>304</v>
      </c>
      <c r="W248" t="s">
        <v>265</v>
      </c>
    </row>
    <row r="249" spans="1:23" x14ac:dyDescent="0.2">
      <c r="A249" t="s">
        <v>193</v>
      </c>
      <c r="E249" s="20" t="s">
        <v>75</v>
      </c>
      <c r="O249">
        <v>8.5</v>
      </c>
      <c r="P249" s="42">
        <v>49.5</v>
      </c>
      <c r="R249">
        <v>0</v>
      </c>
      <c r="T249" s="19">
        <v>43443</v>
      </c>
      <c r="U249" t="s">
        <v>239</v>
      </c>
      <c r="V249" t="s">
        <v>293</v>
      </c>
      <c r="W249" t="s">
        <v>302</v>
      </c>
    </row>
    <row r="250" spans="1:23" x14ac:dyDescent="0.2">
      <c r="A250" t="s">
        <v>193</v>
      </c>
      <c r="D250" t="s">
        <v>75</v>
      </c>
      <c r="O250">
        <v>3</v>
      </c>
      <c r="P250" s="42">
        <v>45.5</v>
      </c>
      <c r="R250">
        <v>2.7</v>
      </c>
      <c r="T250" s="19">
        <v>43443</v>
      </c>
      <c r="U250" t="s">
        <v>239</v>
      </c>
      <c r="V250" t="s">
        <v>312</v>
      </c>
      <c r="W250" t="s">
        <v>308</v>
      </c>
    </row>
    <row r="251" spans="1:23" x14ac:dyDescent="0.2">
      <c r="A251" t="s">
        <v>193</v>
      </c>
      <c r="E251" s="20" t="s">
        <v>75</v>
      </c>
      <c r="O251">
        <v>-8.5</v>
      </c>
      <c r="P251" s="42">
        <v>49.5</v>
      </c>
      <c r="R251">
        <v>27.7</v>
      </c>
      <c r="T251" s="19">
        <v>43443</v>
      </c>
      <c r="U251" t="s">
        <v>239</v>
      </c>
      <c r="V251" t="s">
        <v>302</v>
      </c>
      <c r="W251" t="s">
        <v>293</v>
      </c>
    </row>
    <row r="252" spans="1:23" x14ac:dyDescent="0.2">
      <c r="A252" t="s">
        <v>193</v>
      </c>
      <c r="D252" t="s">
        <v>75</v>
      </c>
      <c r="F252" t="s">
        <v>110</v>
      </c>
      <c r="O252" s="20">
        <v>-8.5</v>
      </c>
      <c r="P252" s="20">
        <v>55</v>
      </c>
      <c r="R252">
        <v>5.4</v>
      </c>
      <c r="T252" s="19">
        <v>43443</v>
      </c>
      <c r="U252" t="s">
        <v>239</v>
      </c>
      <c r="V252" s="41" t="s">
        <v>307</v>
      </c>
      <c r="W252" t="s">
        <v>284</v>
      </c>
    </row>
    <row r="253" spans="1:23" x14ac:dyDescent="0.2">
      <c r="A253" t="s">
        <v>193</v>
      </c>
      <c r="O253">
        <v>-3</v>
      </c>
      <c r="P253" s="42">
        <v>40.5</v>
      </c>
      <c r="R253">
        <v>10.7</v>
      </c>
      <c r="T253" s="19">
        <v>43443</v>
      </c>
      <c r="U253" t="s">
        <v>239</v>
      </c>
      <c r="V253" t="s">
        <v>296</v>
      </c>
      <c r="W253" t="s">
        <v>306</v>
      </c>
    </row>
    <row r="254" spans="1:23" x14ac:dyDescent="0.2">
      <c r="A254" t="s">
        <v>193</v>
      </c>
      <c r="B254" t="s">
        <v>433</v>
      </c>
      <c r="C254">
        <v>9.1</v>
      </c>
      <c r="O254">
        <v>4.5</v>
      </c>
      <c r="P254" s="42">
        <v>37</v>
      </c>
      <c r="R254">
        <v>2.4</v>
      </c>
      <c r="T254" s="19">
        <v>43443</v>
      </c>
      <c r="U254" t="s">
        <v>239</v>
      </c>
      <c r="V254" s="41" t="s">
        <v>298</v>
      </c>
      <c r="W254" t="s">
        <v>276</v>
      </c>
    </row>
    <row r="255" spans="1:23" x14ac:dyDescent="0.2">
      <c r="A255" t="s">
        <v>193</v>
      </c>
      <c r="O255">
        <v>3</v>
      </c>
      <c r="P255" s="42">
        <v>45</v>
      </c>
      <c r="R255">
        <v>8.8000000000000007</v>
      </c>
      <c r="T255" s="19">
        <v>43443</v>
      </c>
      <c r="U255" t="s">
        <v>239</v>
      </c>
      <c r="V255" s="41" t="s">
        <v>294</v>
      </c>
      <c r="W255" t="s">
        <v>291</v>
      </c>
    </row>
    <row r="256" spans="1:23" x14ac:dyDescent="0.2">
      <c r="A256" t="s">
        <v>193</v>
      </c>
      <c r="O256">
        <v>-10.5</v>
      </c>
      <c r="P256" s="42">
        <v>51</v>
      </c>
      <c r="R256">
        <v>7.7</v>
      </c>
      <c r="T256" s="19">
        <v>43443</v>
      </c>
      <c r="U256" t="s">
        <v>239</v>
      </c>
      <c r="V256" s="41" t="s">
        <v>309</v>
      </c>
      <c r="W256" t="s">
        <v>303</v>
      </c>
    </row>
    <row r="257" spans="1:23" x14ac:dyDescent="0.2">
      <c r="A257" t="s">
        <v>193</v>
      </c>
      <c r="D257" t="s">
        <v>75</v>
      </c>
      <c r="F257" t="s">
        <v>109</v>
      </c>
      <c r="O257">
        <v>3</v>
      </c>
      <c r="P257" s="42">
        <v>45.5</v>
      </c>
      <c r="R257">
        <v>37</v>
      </c>
      <c r="T257" s="19">
        <v>43443</v>
      </c>
      <c r="U257" t="s">
        <v>239</v>
      </c>
      <c r="V257" s="41" t="s">
        <v>256</v>
      </c>
      <c r="W257" t="s">
        <v>278</v>
      </c>
    </row>
    <row r="258" spans="1:23" x14ac:dyDescent="0.2">
      <c r="A258" t="s">
        <v>193</v>
      </c>
      <c r="O258">
        <v>-3</v>
      </c>
      <c r="P258" s="42">
        <v>45.5</v>
      </c>
      <c r="R258">
        <v>2.2000000000000002</v>
      </c>
      <c r="T258" s="19">
        <v>43443</v>
      </c>
      <c r="U258" t="s">
        <v>239</v>
      </c>
      <c r="V258" t="s">
        <v>308</v>
      </c>
      <c r="W258" t="s">
        <v>312</v>
      </c>
    </row>
    <row r="259" spans="1:23" x14ac:dyDescent="0.2">
      <c r="A259" t="s">
        <v>193</v>
      </c>
      <c r="F259" t="s">
        <v>110</v>
      </c>
      <c r="O259">
        <v>8.5</v>
      </c>
      <c r="P259" s="42">
        <v>55</v>
      </c>
      <c r="R259">
        <v>15.2</v>
      </c>
      <c r="T259" s="19">
        <v>43443</v>
      </c>
      <c r="U259" t="s">
        <v>239</v>
      </c>
      <c r="V259" s="41" t="s">
        <v>284</v>
      </c>
      <c r="W259" t="s">
        <v>307</v>
      </c>
    </row>
    <row r="260" spans="1:23" x14ac:dyDescent="0.2">
      <c r="A260" t="s">
        <v>193</v>
      </c>
      <c r="O260">
        <v>-5.5</v>
      </c>
      <c r="P260" s="42">
        <v>36.5</v>
      </c>
      <c r="R260">
        <v>0</v>
      </c>
      <c r="T260" s="19">
        <v>43443</v>
      </c>
      <c r="U260" t="s">
        <v>239</v>
      </c>
      <c r="V260" t="s">
        <v>310</v>
      </c>
      <c r="W260" t="s">
        <v>297</v>
      </c>
    </row>
    <row r="261" spans="1:23" x14ac:dyDescent="0.2">
      <c r="A261" t="s">
        <v>193</v>
      </c>
      <c r="O261">
        <v>3</v>
      </c>
      <c r="P261" s="42">
        <v>40.5</v>
      </c>
      <c r="R261">
        <v>0</v>
      </c>
      <c r="T261" s="19">
        <v>43443</v>
      </c>
      <c r="U261" t="s">
        <v>239</v>
      </c>
      <c r="V261" t="s">
        <v>306</v>
      </c>
      <c r="W261" t="s">
        <v>296</v>
      </c>
    </row>
    <row r="262" spans="1:23" x14ac:dyDescent="0.2">
      <c r="A262" t="s">
        <v>193</v>
      </c>
      <c r="D262" t="s">
        <v>75</v>
      </c>
      <c r="F262" t="s">
        <v>110</v>
      </c>
      <c r="O262">
        <v>10</v>
      </c>
      <c r="P262" s="42">
        <v>43.5</v>
      </c>
      <c r="R262">
        <v>5.2</v>
      </c>
      <c r="T262" s="19">
        <v>43450</v>
      </c>
      <c r="U262" t="s">
        <v>237</v>
      </c>
      <c r="V262" t="s">
        <v>285</v>
      </c>
      <c r="W262" t="s">
        <v>295</v>
      </c>
    </row>
    <row r="263" spans="1:23" x14ac:dyDescent="0.2">
      <c r="A263" t="s">
        <v>193</v>
      </c>
      <c r="D263" t="s">
        <v>75</v>
      </c>
      <c r="F263" t="s">
        <v>110</v>
      </c>
      <c r="O263">
        <v>-10</v>
      </c>
      <c r="P263" s="42">
        <v>43.5</v>
      </c>
      <c r="R263">
        <v>0</v>
      </c>
      <c r="T263" s="19">
        <v>43450</v>
      </c>
      <c r="U263" t="s">
        <v>237</v>
      </c>
      <c r="V263" s="41" t="s">
        <v>295</v>
      </c>
      <c r="W263" t="s">
        <v>285</v>
      </c>
    </row>
    <row r="264" spans="1:23" x14ac:dyDescent="0.2">
      <c r="A264" t="s">
        <v>193</v>
      </c>
      <c r="D264" t="s">
        <v>75</v>
      </c>
      <c r="O264">
        <v>-8.5</v>
      </c>
      <c r="P264" s="42">
        <v>44.5</v>
      </c>
      <c r="R264">
        <v>5.0999999999999996</v>
      </c>
      <c r="T264" s="19">
        <v>43450</v>
      </c>
      <c r="U264" t="s">
        <v>237</v>
      </c>
      <c r="V264" t="s">
        <v>305</v>
      </c>
      <c r="W264" t="s">
        <v>284</v>
      </c>
    </row>
    <row r="265" spans="1:23" x14ac:dyDescent="0.2">
      <c r="A265" t="s">
        <v>193</v>
      </c>
      <c r="D265" t="s">
        <v>75</v>
      </c>
      <c r="O265">
        <v>-2.5</v>
      </c>
      <c r="P265" s="42">
        <v>40</v>
      </c>
      <c r="R265">
        <v>0</v>
      </c>
      <c r="T265" s="19">
        <v>43450</v>
      </c>
      <c r="U265" t="s">
        <v>237</v>
      </c>
      <c r="V265" t="s">
        <v>276</v>
      </c>
      <c r="W265" t="s">
        <v>299</v>
      </c>
    </row>
    <row r="266" spans="1:23" x14ac:dyDescent="0.2">
      <c r="A266" t="s">
        <v>193</v>
      </c>
      <c r="F266" t="s">
        <v>110</v>
      </c>
      <c r="O266">
        <v>6</v>
      </c>
      <c r="P266" s="42">
        <v>50.5</v>
      </c>
      <c r="R266">
        <v>3.4</v>
      </c>
      <c r="T266" s="19">
        <v>43450</v>
      </c>
      <c r="U266" t="s">
        <v>237</v>
      </c>
      <c r="V266" s="41" t="s">
        <v>301</v>
      </c>
      <c r="W266" t="s">
        <v>307</v>
      </c>
    </row>
    <row r="267" spans="1:23" x14ac:dyDescent="0.2">
      <c r="A267" t="s">
        <v>193</v>
      </c>
      <c r="D267" t="s">
        <v>75</v>
      </c>
      <c r="O267">
        <v>-6</v>
      </c>
      <c r="P267" s="42">
        <v>46.5</v>
      </c>
      <c r="R267">
        <v>13.6</v>
      </c>
      <c r="T267" s="19">
        <v>43450</v>
      </c>
      <c r="U267" t="s">
        <v>237</v>
      </c>
      <c r="V267" s="41" t="s">
        <v>265</v>
      </c>
      <c r="W267" t="s">
        <v>300</v>
      </c>
    </row>
    <row r="268" spans="1:23" x14ac:dyDescent="0.2">
      <c r="A268" t="s">
        <v>193</v>
      </c>
      <c r="O268">
        <v>-3</v>
      </c>
      <c r="P268" s="42">
        <v>46</v>
      </c>
      <c r="R268">
        <v>3.7</v>
      </c>
      <c r="T268" s="19">
        <v>43450</v>
      </c>
      <c r="U268" t="s">
        <v>237</v>
      </c>
      <c r="V268" s="41" t="s">
        <v>272</v>
      </c>
      <c r="W268" t="s">
        <v>303</v>
      </c>
    </row>
    <row r="269" spans="1:23" x14ac:dyDescent="0.2">
      <c r="A269" t="s">
        <v>193</v>
      </c>
      <c r="D269" t="s">
        <v>75</v>
      </c>
      <c r="O269">
        <v>1</v>
      </c>
      <c r="P269" s="42">
        <v>47</v>
      </c>
      <c r="R269">
        <v>6</v>
      </c>
      <c r="T269" s="19">
        <v>43450</v>
      </c>
      <c r="U269" t="s">
        <v>237</v>
      </c>
      <c r="V269" t="s">
        <v>281</v>
      </c>
      <c r="W269" t="s">
        <v>278</v>
      </c>
    </row>
    <row r="270" spans="1:23" x14ac:dyDescent="0.2">
      <c r="A270" t="s">
        <v>193</v>
      </c>
      <c r="D270" t="s">
        <v>75</v>
      </c>
      <c r="F270" t="s">
        <v>109</v>
      </c>
      <c r="O270">
        <v>3</v>
      </c>
      <c r="P270" s="42">
        <v>47</v>
      </c>
      <c r="R270">
        <v>8.5</v>
      </c>
      <c r="T270" s="19">
        <v>43450</v>
      </c>
      <c r="U270" t="s">
        <v>237</v>
      </c>
      <c r="V270" s="17" t="s">
        <v>291</v>
      </c>
      <c r="W270" t="s">
        <v>289</v>
      </c>
    </row>
    <row r="271" spans="1:23" x14ac:dyDescent="0.2">
      <c r="A271" t="s">
        <v>193</v>
      </c>
      <c r="O271">
        <v>-1</v>
      </c>
      <c r="P271" s="42">
        <v>47</v>
      </c>
      <c r="R271">
        <v>8.3000000000000007</v>
      </c>
      <c r="T271" s="19">
        <v>43450</v>
      </c>
      <c r="U271" t="s">
        <v>237</v>
      </c>
      <c r="V271" t="s">
        <v>278</v>
      </c>
      <c r="W271" t="s">
        <v>281</v>
      </c>
    </row>
    <row r="272" spans="1:23" x14ac:dyDescent="0.2">
      <c r="A272" t="s">
        <v>193</v>
      </c>
      <c r="O272">
        <v>2.5</v>
      </c>
      <c r="P272" s="42">
        <v>40</v>
      </c>
      <c r="R272">
        <v>6.8</v>
      </c>
      <c r="T272" s="19">
        <v>43450</v>
      </c>
      <c r="U272" t="s">
        <v>237</v>
      </c>
      <c r="V272" s="41" t="s">
        <v>299</v>
      </c>
      <c r="W272" t="s">
        <v>276</v>
      </c>
    </row>
    <row r="273" spans="1:23" x14ac:dyDescent="0.2">
      <c r="A273" t="s">
        <v>193</v>
      </c>
      <c r="O273">
        <v>6</v>
      </c>
      <c r="P273" s="42">
        <v>46.5</v>
      </c>
      <c r="R273">
        <v>6.2</v>
      </c>
      <c r="T273" s="19">
        <v>43450</v>
      </c>
      <c r="U273" t="s">
        <v>237</v>
      </c>
      <c r="V273" s="41" t="s">
        <v>300</v>
      </c>
      <c r="W273" t="s">
        <v>265</v>
      </c>
    </row>
    <row r="274" spans="1:23" x14ac:dyDescent="0.2">
      <c r="A274" t="s">
        <v>193</v>
      </c>
      <c r="O274">
        <v>-7</v>
      </c>
      <c r="P274" s="42">
        <v>44</v>
      </c>
      <c r="R274">
        <v>0.9</v>
      </c>
      <c r="T274" s="19">
        <v>43450</v>
      </c>
      <c r="U274" t="s">
        <v>237</v>
      </c>
      <c r="V274" t="s">
        <v>311</v>
      </c>
      <c r="W274" t="s">
        <v>298</v>
      </c>
    </row>
    <row r="275" spans="1:23" x14ac:dyDescent="0.2">
      <c r="A275" t="s">
        <v>193</v>
      </c>
      <c r="F275" t="s">
        <v>109</v>
      </c>
      <c r="O275">
        <v>-3</v>
      </c>
      <c r="P275" s="42">
        <v>47</v>
      </c>
      <c r="R275">
        <v>1.8</v>
      </c>
      <c r="T275" s="19">
        <v>43450</v>
      </c>
      <c r="U275" t="s">
        <v>237</v>
      </c>
      <c r="V275" s="41" t="s">
        <v>289</v>
      </c>
      <c r="W275" t="s">
        <v>291</v>
      </c>
    </row>
    <row r="276" spans="1:23" x14ac:dyDescent="0.2">
      <c r="A276" t="s">
        <v>193</v>
      </c>
      <c r="O276">
        <v>-7.5</v>
      </c>
      <c r="P276" s="42">
        <v>36</v>
      </c>
      <c r="R276">
        <v>1.7</v>
      </c>
      <c r="T276" s="19">
        <v>43450</v>
      </c>
      <c r="U276" t="s">
        <v>237</v>
      </c>
      <c r="V276" s="17" t="s">
        <v>297</v>
      </c>
      <c r="W276" t="s">
        <v>306</v>
      </c>
    </row>
    <row r="277" spans="1:23" x14ac:dyDescent="0.2">
      <c r="A277" t="s">
        <v>193</v>
      </c>
      <c r="F277" t="s">
        <v>109</v>
      </c>
      <c r="O277">
        <v>-3.5</v>
      </c>
      <c r="P277" s="42">
        <v>54.5</v>
      </c>
      <c r="R277">
        <v>13.1</v>
      </c>
      <c r="T277" s="19">
        <v>43450</v>
      </c>
      <c r="U277" t="s">
        <v>237</v>
      </c>
      <c r="V277" t="s">
        <v>288</v>
      </c>
      <c r="W277" t="s">
        <v>287</v>
      </c>
    </row>
    <row r="278" spans="1:23" x14ac:dyDescent="0.2">
      <c r="A278" t="s">
        <v>193</v>
      </c>
      <c r="O278">
        <v>3</v>
      </c>
      <c r="P278" s="42">
        <v>46</v>
      </c>
      <c r="R278">
        <v>4.3</v>
      </c>
      <c r="T278" s="19">
        <v>43450</v>
      </c>
      <c r="U278" t="s">
        <v>237</v>
      </c>
      <c r="V278" s="17" t="s">
        <v>303</v>
      </c>
      <c r="W278" t="s">
        <v>272</v>
      </c>
    </row>
    <row r="279" spans="1:23" x14ac:dyDescent="0.2">
      <c r="A279" t="s">
        <v>193</v>
      </c>
      <c r="F279" t="s">
        <v>109</v>
      </c>
      <c r="O279">
        <v>3.5</v>
      </c>
      <c r="P279" s="42">
        <v>54.5</v>
      </c>
      <c r="R279">
        <v>9.4</v>
      </c>
      <c r="T279" s="19">
        <v>43450</v>
      </c>
      <c r="U279" t="s">
        <v>237</v>
      </c>
      <c r="V279" s="17" t="s">
        <v>287</v>
      </c>
      <c r="W279" t="s">
        <v>288</v>
      </c>
    </row>
    <row r="280" spans="1:23" x14ac:dyDescent="0.2">
      <c r="A280" t="s">
        <v>193</v>
      </c>
      <c r="O280">
        <v>-13.5</v>
      </c>
      <c r="P280" s="42">
        <v>52.5</v>
      </c>
      <c r="R280">
        <v>9.6</v>
      </c>
      <c r="T280" s="19">
        <v>43450</v>
      </c>
      <c r="U280" t="s">
        <v>237</v>
      </c>
      <c r="V280" s="41" t="s">
        <v>304</v>
      </c>
      <c r="W280" t="s">
        <v>294</v>
      </c>
    </row>
    <row r="281" spans="1:23" x14ac:dyDescent="0.2">
      <c r="A281" t="s">
        <v>193</v>
      </c>
      <c r="F281" t="s">
        <v>110</v>
      </c>
      <c r="O281">
        <v>7.5</v>
      </c>
      <c r="P281" s="42">
        <v>45</v>
      </c>
      <c r="R281">
        <v>4.3</v>
      </c>
      <c r="T281" s="19">
        <v>43450</v>
      </c>
      <c r="U281" t="s">
        <v>237</v>
      </c>
      <c r="V281" t="s">
        <v>293</v>
      </c>
      <c r="W281" t="s">
        <v>312</v>
      </c>
    </row>
    <row r="282" spans="1:23" x14ac:dyDescent="0.2">
      <c r="A282" t="s">
        <v>193</v>
      </c>
      <c r="F282" t="s">
        <v>110</v>
      </c>
      <c r="O282">
        <v>-7.5</v>
      </c>
      <c r="P282" s="42">
        <v>45</v>
      </c>
      <c r="R282">
        <v>5.3</v>
      </c>
      <c r="T282" s="19">
        <v>43450</v>
      </c>
      <c r="U282" t="s">
        <v>237</v>
      </c>
      <c r="V282" t="s">
        <v>312</v>
      </c>
      <c r="W282" t="s">
        <v>293</v>
      </c>
    </row>
    <row r="283" spans="1:23" x14ac:dyDescent="0.2">
      <c r="A283" t="s">
        <v>193</v>
      </c>
      <c r="F283" t="s">
        <v>109</v>
      </c>
      <c r="O283">
        <v>-2.5</v>
      </c>
      <c r="P283" s="42">
        <v>55</v>
      </c>
      <c r="R283">
        <v>4.0999999999999996</v>
      </c>
      <c r="T283" s="19">
        <v>43450</v>
      </c>
      <c r="U283" t="s">
        <v>237</v>
      </c>
      <c r="V283" s="41" t="s">
        <v>302</v>
      </c>
      <c r="W283" t="s">
        <v>309</v>
      </c>
    </row>
    <row r="284" spans="1:23" x14ac:dyDescent="0.2">
      <c r="A284" t="s">
        <v>193</v>
      </c>
      <c r="F284" t="s">
        <v>110</v>
      </c>
      <c r="O284">
        <v>-6</v>
      </c>
      <c r="P284" s="42">
        <v>50.5</v>
      </c>
      <c r="R284">
        <v>3.8</v>
      </c>
      <c r="T284" s="19">
        <v>43450</v>
      </c>
      <c r="U284" t="s">
        <v>237</v>
      </c>
      <c r="V284" s="41" t="s">
        <v>307</v>
      </c>
      <c r="W284" t="s">
        <v>301</v>
      </c>
    </row>
    <row r="285" spans="1:23" x14ac:dyDescent="0.2">
      <c r="A285" t="s">
        <v>193</v>
      </c>
      <c r="D285" t="s">
        <v>75</v>
      </c>
      <c r="O285">
        <v>2.5</v>
      </c>
      <c r="P285" s="42">
        <v>42</v>
      </c>
      <c r="R285">
        <v>15.5</v>
      </c>
      <c r="T285" s="19">
        <v>43450</v>
      </c>
      <c r="U285" t="s">
        <v>237</v>
      </c>
      <c r="V285" s="41" t="s">
        <v>296</v>
      </c>
      <c r="W285" t="s">
        <v>310</v>
      </c>
    </row>
    <row r="286" spans="1:23" x14ac:dyDescent="0.2">
      <c r="A286" t="s">
        <v>193</v>
      </c>
      <c r="O286">
        <v>7</v>
      </c>
      <c r="P286" s="42">
        <v>44</v>
      </c>
      <c r="R286">
        <v>8.3000000000000007</v>
      </c>
      <c r="T286" s="19">
        <v>43450</v>
      </c>
      <c r="U286" t="s">
        <v>237</v>
      </c>
      <c r="V286" s="41" t="s">
        <v>298</v>
      </c>
      <c r="W286" t="s">
        <v>311</v>
      </c>
    </row>
    <row r="287" spans="1:23" x14ac:dyDescent="0.2">
      <c r="A287" t="s">
        <v>193</v>
      </c>
      <c r="D287" t="s">
        <v>75</v>
      </c>
      <c r="O287">
        <v>13.5</v>
      </c>
      <c r="P287" s="42">
        <v>52.5</v>
      </c>
      <c r="R287">
        <v>5.2</v>
      </c>
      <c r="T287" s="19">
        <v>43450</v>
      </c>
      <c r="U287" t="s">
        <v>237</v>
      </c>
      <c r="V287" t="s">
        <v>294</v>
      </c>
      <c r="W287" t="s">
        <v>304</v>
      </c>
    </row>
    <row r="288" spans="1:23" x14ac:dyDescent="0.2">
      <c r="A288" t="s">
        <v>193</v>
      </c>
      <c r="F288" t="s">
        <v>109</v>
      </c>
      <c r="O288">
        <v>2.5</v>
      </c>
      <c r="P288" s="42">
        <v>55</v>
      </c>
      <c r="R288">
        <v>9.3000000000000007</v>
      </c>
      <c r="T288" s="19">
        <v>43450</v>
      </c>
      <c r="U288" t="s">
        <v>237</v>
      </c>
      <c r="V288" t="s">
        <v>309</v>
      </c>
      <c r="W288" t="s">
        <v>302</v>
      </c>
    </row>
    <row r="289" spans="1:23" x14ac:dyDescent="0.2">
      <c r="A289" t="s">
        <v>193</v>
      </c>
      <c r="D289" t="s">
        <v>75</v>
      </c>
      <c r="O289">
        <v>4</v>
      </c>
      <c r="P289" s="42">
        <v>44</v>
      </c>
      <c r="R289">
        <v>8.1</v>
      </c>
      <c r="T289" s="19">
        <v>43450</v>
      </c>
      <c r="U289" t="s">
        <v>237</v>
      </c>
      <c r="V289" t="s">
        <v>256</v>
      </c>
      <c r="W289" t="s">
        <v>308</v>
      </c>
    </row>
    <row r="290" spans="1:23" x14ac:dyDescent="0.2">
      <c r="A290" t="s">
        <v>193</v>
      </c>
      <c r="D290" t="s">
        <v>75</v>
      </c>
      <c r="O290">
        <v>-4</v>
      </c>
      <c r="P290" s="42">
        <v>44</v>
      </c>
      <c r="R290">
        <v>0</v>
      </c>
      <c r="T290" s="19">
        <v>43450</v>
      </c>
      <c r="U290" t="s">
        <v>237</v>
      </c>
      <c r="V290" t="s">
        <v>308</v>
      </c>
      <c r="W290" t="s">
        <v>256</v>
      </c>
    </row>
    <row r="291" spans="1:23" x14ac:dyDescent="0.2">
      <c r="A291" t="s">
        <v>193</v>
      </c>
      <c r="O291">
        <v>8.5</v>
      </c>
      <c r="P291" s="42">
        <v>44.5</v>
      </c>
      <c r="R291">
        <v>1.9</v>
      </c>
      <c r="T291" s="19">
        <v>43450</v>
      </c>
      <c r="U291" t="s">
        <v>237</v>
      </c>
      <c r="V291" t="s">
        <v>284</v>
      </c>
      <c r="W291" t="s">
        <v>305</v>
      </c>
    </row>
    <row r="292" spans="1:23" x14ac:dyDescent="0.2">
      <c r="A292" t="s">
        <v>193</v>
      </c>
      <c r="O292">
        <v>-2.5</v>
      </c>
      <c r="P292" s="42">
        <v>42</v>
      </c>
      <c r="R292">
        <v>0</v>
      </c>
      <c r="T292" s="19">
        <v>43450</v>
      </c>
      <c r="U292" t="s">
        <v>237</v>
      </c>
      <c r="V292" t="s">
        <v>310</v>
      </c>
      <c r="W292" t="s">
        <v>296</v>
      </c>
    </row>
    <row r="293" spans="1:23" x14ac:dyDescent="0.2">
      <c r="A293" t="s">
        <v>193</v>
      </c>
      <c r="O293">
        <v>7.5</v>
      </c>
      <c r="P293" s="42">
        <v>36</v>
      </c>
      <c r="R293">
        <v>3.6</v>
      </c>
      <c r="T293" s="19">
        <v>43450</v>
      </c>
      <c r="U293" t="s">
        <v>237</v>
      </c>
      <c r="V293" t="s">
        <v>306</v>
      </c>
      <c r="W293" t="s">
        <v>297</v>
      </c>
    </row>
    <row r="294" spans="1:23" x14ac:dyDescent="0.2">
      <c r="A294" t="s">
        <v>193</v>
      </c>
      <c r="D294" t="s">
        <v>75</v>
      </c>
      <c r="O294">
        <v>14.5</v>
      </c>
      <c r="P294" s="42">
        <v>43</v>
      </c>
      <c r="R294">
        <v>1.3</v>
      </c>
      <c r="T294" s="19">
        <v>43457</v>
      </c>
      <c r="U294" t="s">
        <v>235</v>
      </c>
      <c r="V294" t="s">
        <v>285</v>
      </c>
      <c r="W294" t="s">
        <v>304</v>
      </c>
    </row>
    <row r="295" spans="1:23" x14ac:dyDescent="0.2">
      <c r="A295" t="s">
        <v>193</v>
      </c>
      <c r="O295">
        <v>-2.5</v>
      </c>
      <c r="P295" s="42">
        <v>46.5</v>
      </c>
      <c r="R295">
        <v>5</v>
      </c>
      <c r="T295" s="19">
        <v>43457</v>
      </c>
      <c r="U295" t="s">
        <v>235</v>
      </c>
      <c r="V295" t="s">
        <v>295</v>
      </c>
      <c r="W295" t="s">
        <v>301</v>
      </c>
    </row>
    <row r="296" spans="1:23" x14ac:dyDescent="0.2">
      <c r="A296" t="s">
        <v>193</v>
      </c>
      <c r="F296" t="s">
        <v>109</v>
      </c>
      <c r="O296">
        <v>4</v>
      </c>
      <c r="P296" s="42">
        <v>42.5</v>
      </c>
      <c r="R296">
        <v>16.3</v>
      </c>
      <c r="T296" s="19">
        <v>43457</v>
      </c>
      <c r="U296" t="s">
        <v>235</v>
      </c>
      <c r="V296" t="s">
        <v>305</v>
      </c>
      <c r="W296" t="s">
        <v>287</v>
      </c>
    </row>
    <row r="297" spans="1:23" x14ac:dyDescent="0.2">
      <c r="A297" t="s">
        <v>193</v>
      </c>
      <c r="O297">
        <v>14</v>
      </c>
      <c r="P297" s="42">
        <v>46</v>
      </c>
      <c r="R297">
        <v>8.5</v>
      </c>
      <c r="T297" s="19">
        <v>43457</v>
      </c>
      <c r="U297" t="s">
        <v>235</v>
      </c>
      <c r="V297" t="s">
        <v>276</v>
      </c>
      <c r="W297" t="s">
        <v>302</v>
      </c>
    </row>
    <row r="298" spans="1:23" x14ac:dyDescent="0.2">
      <c r="A298" t="s">
        <v>193</v>
      </c>
      <c r="D298" t="s">
        <v>75</v>
      </c>
      <c r="O298">
        <v>2.5</v>
      </c>
      <c r="P298" s="42">
        <v>46.5</v>
      </c>
      <c r="R298">
        <v>14.8</v>
      </c>
      <c r="T298" s="19">
        <v>43457</v>
      </c>
      <c r="U298" t="s">
        <v>235</v>
      </c>
      <c r="V298" t="s">
        <v>301</v>
      </c>
      <c r="W298" t="s">
        <v>295</v>
      </c>
    </row>
    <row r="299" spans="1:23" x14ac:dyDescent="0.2">
      <c r="A299" t="s">
        <v>193</v>
      </c>
      <c r="D299" t="s">
        <v>75</v>
      </c>
      <c r="F299" t="s">
        <v>109</v>
      </c>
      <c r="O299">
        <v>-3.5</v>
      </c>
      <c r="P299" s="42">
        <v>44</v>
      </c>
      <c r="R299">
        <v>8</v>
      </c>
      <c r="T299" s="19">
        <v>43457</v>
      </c>
      <c r="U299" t="s">
        <v>235</v>
      </c>
      <c r="V299" t="s">
        <v>265</v>
      </c>
      <c r="W299" t="s">
        <v>256</v>
      </c>
    </row>
    <row r="300" spans="1:23" x14ac:dyDescent="0.2">
      <c r="A300" t="s">
        <v>193</v>
      </c>
      <c r="F300" t="s">
        <v>110</v>
      </c>
      <c r="O300">
        <v>10</v>
      </c>
      <c r="P300" s="42">
        <v>44</v>
      </c>
      <c r="R300">
        <v>14.9</v>
      </c>
      <c r="T300" s="19">
        <v>43457</v>
      </c>
      <c r="U300" t="s">
        <v>235</v>
      </c>
      <c r="V300" t="s">
        <v>272</v>
      </c>
      <c r="W300" t="s">
        <v>281</v>
      </c>
    </row>
    <row r="301" spans="1:23" x14ac:dyDescent="0.2">
      <c r="A301" t="s">
        <v>193</v>
      </c>
      <c r="F301" t="s">
        <v>110</v>
      </c>
      <c r="O301">
        <v>-10</v>
      </c>
      <c r="P301" s="42">
        <v>44</v>
      </c>
      <c r="R301">
        <v>16.3</v>
      </c>
      <c r="T301" s="19">
        <v>43457</v>
      </c>
      <c r="U301" t="s">
        <v>235</v>
      </c>
      <c r="V301" t="s">
        <v>281</v>
      </c>
      <c r="W301" t="s">
        <v>272</v>
      </c>
    </row>
    <row r="302" spans="1:23" x14ac:dyDescent="0.2">
      <c r="A302" t="s">
        <v>193</v>
      </c>
      <c r="D302" t="s">
        <v>75</v>
      </c>
      <c r="O302">
        <v>-7</v>
      </c>
      <c r="P302" s="42">
        <v>48</v>
      </c>
      <c r="R302">
        <v>2.8</v>
      </c>
      <c r="T302" s="19">
        <v>43457</v>
      </c>
      <c r="U302" t="s">
        <v>235</v>
      </c>
      <c r="V302" s="17" t="s">
        <v>291</v>
      </c>
      <c r="W302" t="s">
        <v>284</v>
      </c>
    </row>
    <row r="303" spans="1:23" x14ac:dyDescent="0.2">
      <c r="A303" t="s">
        <v>193</v>
      </c>
      <c r="O303">
        <v>-2.5</v>
      </c>
      <c r="P303" s="42">
        <v>42.5</v>
      </c>
      <c r="R303">
        <v>3</v>
      </c>
      <c r="T303" s="19">
        <v>43457</v>
      </c>
      <c r="U303" t="s">
        <v>235</v>
      </c>
      <c r="V303" s="41" t="s">
        <v>278</v>
      </c>
      <c r="W303" t="s">
        <v>303</v>
      </c>
    </row>
    <row r="304" spans="1:23" x14ac:dyDescent="0.2">
      <c r="A304" t="s">
        <v>193</v>
      </c>
      <c r="F304" t="s">
        <v>110</v>
      </c>
      <c r="O304">
        <v>6.5</v>
      </c>
      <c r="P304" s="42">
        <v>41.5</v>
      </c>
      <c r="R304">
        <v>2.6</v>
      </c>
      <c r="T304" s="19">
        <v>43457</v>
      </c>
      <c r="U304" t="s">
        <v>235</v>
      </c>
      <c r="V304" t="s">
        <v>299</v>
      </c>
      <c r="W304" t="s">
        <v>312</v>
      </c>
    </row>
    <row r="305" spans="1:23" x14ac:dyDescent="0.2">
      <c r="A305" t="s">
        <v>193</v>
      </c>
      <c r="O305">
        <v>-3</v>
      </c>
      <c r="P305" s="42">
        <v>47</v>
      </c>
      <c r="R305">
        <v>6.4</v>
      </c>
      <c r="T305" s="19">
        <v>43457</v>
      </c>
      <c r="U305" t="s">
        <v>235</v>
      </c>
      <c r="V305" s="41" t="s">
        <v>300</v>
      </c>
      <c r="W305" t="s">
        <v>298</v>
      </c>
    </row>
    <row r="306" spans="1:23" x14ac:dyDescent="0.2">
      <c r="A306" t="s">
        <v>193</v>
      </c>
      <c r="F306" t="s">
        <v>109</v>
      </c>
      <c r="O306">
        <v>1</v>
      </c>
      <c r="P306" s="42">
        <v>47</v>
      </c>
      <c r="R306">
        <v>3.5</v>
      </c>
      <c r="T306" s="19">
        <v>43457</v>
      </c>
      <c r="U306" t="s">
        <v>235</v>
      </c>
      <c r="V306" t="s">
        <v>311</v>
      </c>
      <c r="W306" t="s">
        <v>294</v>
      </c>
    </row>
    <row r="307" spans="1:23" x14ac:dyDescent="0.2">
      <c r="A307" t="s">
        <v>193</v>
      </c>
      <c r="E307" s="20" t="s">
        <v>75</v>
      </c>
      <c r="O307">
        <v>-10</v>
      </c>
      <c r="P307" s="42">
        <v>48.5</v>
      </c>
      <c r="R307">
        <v>5.8</v>
      </c>
      <c r="T307" s="19">
        <v>43457</v>
      </c>
      <c r="U307" t="s">
        <v>235</v>
      </c>
      <c r="V307" t="s">
        <v>289</v>
      </c>
      <c r="W307" t="s">
        <v>296</v>
      </c>
    </row>
    <row r="308" spans="1:23" x14ac:dyDescent="0.2">
      <c r="A308" t="s">
        <v>193</v>
      </c>
      <c r="O308">
        <v>3</v>
      </c>
      <c r="P308" s="42">
        <v>39.5</v>
      </c>
      <c r="R308">
        <v>0</v>
      </c>
      <c r="T308" s="19">
        <v>43457</v>
      </c>
      <c r="U308" t="s">
        <v>235</v>
      </c>
      <c r="V308" s="17" t="s">
        <v>297</v>
      </c>
      <c r="W308" t="s">
        <v>293</v>
      </c>
    </row>
    <row r="309" spans="1:23" x14ac:dyDescent="0.2">
      <c r="A309" t="s">
        <v>193</v>
      </c>
      <c r="D309" t="s">
        <v>75</v>
      </c>
      <c r="O309">
        <v>-1</v>
      </c>
      <c r="P309" s="42">
        <v>54</v>
      </c>
      <c r="R309">
        <v>10.4</v>
      </c>
      <c r="T309" s="19">
        <v>43457</v>
      </c>
      <c r="U309" t="s">
        <v>235</v>
      </c>
      <c r="V309" t="s">
        <v>288</v>
      </c>
      <c r="W309" t="s">
        <v>308</v>
      </c>
    </row>
    <row r="310" spans="1:23" x14ac:dyDescent="0.2">
      <c r="A310" t="s">
        <v>193</v>
      </c>
      <c r="D310" t="s">
        <v>75</v>
      </c>
      <c r="O310">
        <v>2.5</v>
      </c>
      <c r="P310" s="42">
        <v>42.5</v>
      </c>
      <c r="R310">
        <v>4</v>
      </c>
      <c r="T310" s="19">
        <v>43457</v>
      </c>
      <c r="U310" t="s">
        <v>235</v>
      </c>
      <c r="V310" s="17" t="s">
        <v>303</v>
      </c>
      <c r="W310" t="s">
        <v>278</v>
      </c>
    </row>
    <row r="311" spans="1:23" x14ac:dyDescent="0.2">
      <c r="A311" t="s">
        <v>193</v>
      </c>
      <c r="F311" t="s">
        <v>109</v>
      </c>
      <c r="O311">
        <v>-4</v>
      </c>
      <c r="P311" s="42">
        <v>42.5</v>
      </c>
      <c r="R311">
        <v>4.0999999999999996</v>
      </c>
      <c r="T311" s="19">
        <v>43457</v>
      </c>
      <c r="U311" t="s">
        <v>235</v>
      </c>
      <c r="V311" s="17" t="s">
        <v>287</v>
      </c>
      <c r="W311" t="s">
        <v>305</v>
      </c>
    </row>
    <row r="312" spans="1:23" x14ac:dyDescent="0.2">
      <c r="A312" t="s">
        <v>193</v>
      </c>
      <c r="D312" t="s">
        <v>75</v>
      </c>
      <c r="O312">
        <v>-14.5</v>
      </c>
      <c r="P312" s="42">
        <v>43</v>
      </c>
      <c r="R312">
        <v>9.4</v>
      </c>
      <c r="T312" s="19">
        <v>43457</v>
      </c>
      <c r="U312" t="s">
        <v>235</v>
      </c>
      <c r="V312" t="s">
        <v>304</v>
      </c>
      <c r="W312" t="s">
        <v>285</v>
      </c>
    </row>
    <row r="313" spans="1:23" x14ac:dyDescent="0.2">
      <c r="A313" t="s">
        <v>193</v>
      </c>
      <c r="O313">
        <v>-3</v>
      </c>
      <c r="P313" s="42">
        <v>39.5</v>
      </c>
      <c r="R313">
        <v>1.5</v>
      </c>
      <c r="T313" s="19">
        <v>43457</v>
      </c>
      <c r="U313" t="s">
        <v>235</v>
      </c>
      <c r="V313" t="s">
        <v>293</v>
      </c>
      <c r="W313" t="s">
        <v>297</v>
      </c>
    </row>
    <row r="314" spans="1:23" x14ac:dyDescent="0.2">
      <c r="A314" t="s">
        <v>193</v>
      </c>
      <c r="D314" t="s">
        <v>75</v>
      </c>
      <c r="F314" t="s">
        <v>110</v>
      </c>
      <c r="O314">
        <v>-6.5</v>
      </c>
      <c r="P314" s="42">
        <v>41.5</v>
      </c>
      <c r="R314">
        <v>36.200000000000003</v>
      </c>
      <c r="T314" s="19">
        <v>43457</v>
      </c>
      <c r="U314" t="s">
        <v>235</v>
      </c>
      <c r="V314" t="s">
        <v>312</v>
      </c>
      <c r="W314" t="s">
        <v>299</v>
      </c>
    </row>
    <row r="315" spans="1:23" x14ac:dyDescent="0.2">
      <c r="A315" t="s">
        <v>193</v>
      </c>
      <c r="O315">
        <v>-14</v>
      </c>
      <c r="P315" s="42">
        <v>46</v>
      </c>
      <c r="R315">
        <v>0</v>
      </c>
      <c r="T315" s="19">
        <v>43457</v>
      </c>
      <c r="U315" t="s">
        <v>235</v>
      </c>
      <c r="V315" t="s">
        <v>302</v>
      </c>
      <c r="W315" t="s">
        <v>276</v>
      </c>
    </row>
    <row r="316" spans="1:23" x14ac:dyDescent="0.2">
      <c r="A316" t="s">
        <v>193</v>
      </c>
      <c r="F316" t="s">
        <v>110</v>
      </c>
      <c r="O316">
        <v>-6.5</v>
      </c>
      <c r="P316" s="42">
        <v>53</v>
      </c>
      <c r="R316">
        <v>2.1</v>
      </c>
      <c r="T316" s="19">
        <v>43457</v>
      </c>
      <c r="U316" t="s">
        <v>235</v>
      </c>
      <c r="V316" s="41" t="s">
        <v>307</v>
      </c>
      <c r="W316" t="s">
        <v>309</v>
      </c>
    </row>
    <row r="317" spans="1:23" x14ac:dyDescent="0.2">
      <c r="A317" t="s">
        <v>193</v>
      </c>
      <c r="D317" t="s">
        <v>75</v>
      </c>
      <c r="E317" s="20" t="s">
        <v>75</v>
      </c>
      <c r="O317">
        <v>10</v>
      </c>
      <c r="P317" s="42">
        <v>48.5</v>
      </c>
      <c r="R317">
        <v>17.3</v>
      </c>
      <c r="T317" s="19">
        <v>43457</v>
      </c>
      <c r="U317" t="s">
        <v>235</v>
      </c>
      <c r="V317" t="s">
        <v>296</v>
      </c>
      <c r="W317" t="s">
        <v>289</v>
      </c>
    </row>
    <row r="318" spans="1:23" x14ac:dyDescent="0.2">
      <c r="A318" t="s">
        <v>193</v>
      </c>
      <c r="D318" t="s">
        <v>75</v>
      </c>
      <c r="O318">
        <v>3</v>
      </c>
      <c r="P318" s="42">
        <v>47</v>
      </c>
      <c r="R318">
        <v>20.2</v>
      </c>
      <c r="T318" s="19">
        <v>43457</v>
      </c>
      <c r="U318" t="s">
        <v>235</v>
      </c>
      <c r="V318" s="41" t="s">
        <v>298</v>
      </c>
      <c r="W318" t="s">
        <v>300</v>
      </c>
    </row>
    <row r="319" spans="1:23" x14ac:dyDescent="0.2">
      <c r="A319" t="s">
        <v>193</v>
      </c>
      <c r="F319" t="s">
        <v>109</v>
      </c>
      <c r="O319">
        <v>-1</v>
      </c>
      <c r="P319" s="42">
        <v>47</v>
      </c>
      <c r="R319">
        <v>38</v>
      </c>
      <c r="T319" s="19">
        <v>43457</v>
      </c>
      <c r="U319" t="s">
        <v>235</v>
      </c>
      <c r="V319" t="s">
        <v>294</v>
      </c>
      <c r="W319" t="s">
        <v>311</v>
      </c>
    </row>
    <row r="320" spans="1:23" x14ac:dyDescent="0.2">
      <c r="A320" t="s">
        <v>193</v>
      </c>
      <c r="F320" t="s">
        <v>110</v>
      </c>
      <c r="O320">
        <v>6.5</v>
      </c>
      <c r="P320" s="42">
        <v>53</v>
      </c>
      <c r="R320">
        <v>5.9</v>
      </c>
      <c r="T320" s="19">
        <v>43457</v>
      </c>
      <c r="U320" t="s">
        <v>235</v>
      </c>
      <c r="V320" s="41" t="s">
        <v>309</v>
      </c>
      <c r="W320" t="s">
        <v>307</v>
      </c>
    </row>
    <row r="321" spans="1:23" x14ac:dyDescent="0.2">
      <c r="A321" t="s">
        <v>193</v>
      </c>
      <c r="F321" t="s">
        <v>109</v>
      </c>
      <c r="O321">
        <v>3.5</v>
      </c>
      <c r="P321" s="42">
        <v>44</v>
      </c>
      <c r="R321">
        <v>14.4</v>
      </c>
      <c r="T321" s="19">
        <v>43457</v>
      </c>
      <c r="U321" t="s">
        <v>235</v>
      </c>
      <c r="V321" t="s">
        <v>256</v>
      </c>
      <c r="W321" t="s">
        <v>265</v>
      </c>
    </row>
    <row r="322" spans="1:23" x14ac:dyDescent="0.2">
      <c r="A322" t="s">
        <v>193</v>
      </c>
      <c r="O322">
        <v>1</v>
      </c>
      <c r="P322" s="42">
        <v>54</v>
      </c>
      <c r="R322">
        <v>9.1</v>
      </c>
      <c r="T322" s="19">
        <v>43457</v>
      </c>
      <c r="U322" t="s">
        <v>235</v>
      </c>
      <c r="V322" t="s">
        <v>308</v>
      </c>
      <c r="W322" t="s">
        <v>288</v>
      </c>
    </row>
    <row r="323" spans="1:23" x14ac:dyDescent="0.2">
      <c r="A323" t="s">
        <v>193</v>
      </c>
      <c r="O323">
        <v>7</v>
      </c>
      <c r="P323" s="42">
        <v>48</v>
      </c>
      <c r="R323">
        <v>2.8</v>
      </c>
      <c r="T323" s="19">
        <v>43457</v>
      </c>
      <c r="U323" t="s">
        <v>235</v>
      </c>
      <c r="V323" s="41" t="s">
        <v>284</v>
      </c>
      <c r="W323" t="s">
        <v>291</v>
      </c>
    </row>
    <row r="324" spans="1:23" x14ac:dyDescent="0.2">
      <c r="A324" t="s">
        <v>193</v>
      </c>
      <c r="O324">
        <v>-12</v>
      </c>
      <c r="P324" s="42">
        <v>38</v>
      </c>
      <c r="R324">
        <v>3.6</v>
      </c>
      <c r="T324" s="19">
        <v>43457</v>
      </c>
      <c r="U324" t="s">
        <v>235</v>
      </c>
      <c r="V324" t="s">
        <v>310</v>
      </c>
      <c r="W324" t="s">
        <v>306</v>
      </c>
    </row>
    <row r="325" spans="1:23" x14ac:dyDescent="0.2">
      <c r="A325" t="s">
        <v>193</v>
      </c>
      <c r="D325" t="s">
        <v>75</v>
      </c>
      <c r="O325">
        <v>12</v>
      </c>
      <c r="P325" s="42">
        <v>38</v>
      </c>
      <c r="R325">
        <v>0</v>
      </c>
      <c r="T325" s="19">
        <v>43457</v>
      </c>
      <c r="U325" t="s">
        <v>235</v>
      </c>
      <c r="V325" t="s">
        <v>306</v>
      </c>
      <c r="W325" t="s">
        <v>310</v>
      </c>
    </row>
    <row r="326" spans="1:23" x14ac:dyDescent="0.2">
      <c r="A326" t="s">
        <v>193</v>
      </c>
      <c r="F326" t="s">
        <v>110</v>
      </c>
      <c r="O326">
        <v>3</v>
      </c>
      <c r="P326">
        <v>45.5</v>
      </c>
      <c r="R326">
        <v>4</v>
      </c>
      <c r="T326" s="39">
        <v>43716</v>
      </c>
      <c r="U326" s="25" t="s">
        <v>384</v>
      </c>
      <c r="V326" t="s">
        <v>285</v>
      </c>
      <c r="W326" s="24" t="s">
        <v>299</v>
      </c>
    </row>
    <row r="327" spans="1:23" x14ac:dyDescent="0.2">
      <c r="A327" t="s">
        <v>193</v>
      </c>
      <c r="O327">
        <v>3.5</v>
      </c>
      <c r="P327">
        <v>47</v>
      </c>
      <c r="R327">
        <v>16.7</v>
      </c>
      <c r="T327" s="39">
        <v>43716</v>
      </c>
      <c r="U327" s="25" t="s">
        <v>384</v>
      </c>
      <c r="V327" t="s">
        <v>295</v>
      </c>
      <c r="W327" s="24" t="s">
        <v>312</v>
      </c>
    </row>
    <row r="328" spans="1:23" x14ac:dyDescent="0.2">
      <c r="A328" t="s">
        <v>193</v>
      </c>
      <c r="E328" t="s">
        <v>75</v>
      </c>
      <c r="O328">
        <v>-7</v>
      </c>
      <c r="P328">
        <v>41</v>
      </c>
      <c r="R328">
        <f>27.8+7.1+5.6</f>
        <v>40.5</v>
      </c>
      <c r="T328" s="39">
        <v>43716</v>
      </c>
      <c r="U328" s="25" t="s">
        <v>384</v>
      </c>
      <c r="V328" s="41" t="s">
        <v>305</v>
      </c>
      <c r="W328" s="24" t="s">
        <v>293</v>
      </c>
    </row>
    <row r="329" spans="1:23" x14ac:dyDescent="0.2">
      <c r="A329" t="s">
        <v>193</v>
      </c>
      <c r="D329" t="s">
        <v>75</v>
      </c>
      <c r="O329">
        <v>2.5</v>
      </c>
      <c r="P329">
        <v>41</v>
      </c>
      <c r="R329">
        <f>5.5+1.1</f>
        <v>6.6</v>
      </c>
      <c r="T329" s="39">
        <v>43716</v>
      </c>
      <c r="U329" s="25" t="s">
        <v>384</v>
      </c>
      <c r="V329" t="s">
        <v>276</v>
      </c>
      <c r="W329" s="24" t="s">
        <v>298</v>
      </c>
    </row>
    <row r="330" spans="1:23" x14ac:dyDescent="0.2">
      <c r="A330" t="s">
        <v>193</v>
      </c>
      <c r="F330" t="s">
        <v>109</v>
      </c>
      <c r="O330">
        <v>1.5</v>
      </c>
      <c r="P330">
        <v>49.5</v>
      </c>
      <c r="R330">
        <v>7.6</v>
      </c>
      <c r="T330" s="39">
        <v>43716</v>
      </c>
      <c r="U330" s="25" t="s">
        <v>384</v>
      </c>
      <c r="V330" t="s">
        <v>301</v>
      </c>
      <c r="W330" s="24" t="s">
        <v>304</v>
      </c>
    </row>
    <row r="331" spans="1:23" x14ac:dyDescent="0.2">
      <c r="A331" t="s">
        <v>193</v>
      </c>
      <c r="O331">
        <v>-3.5</v>
      </c>
      <c r="P331">
        <v>47</v>
      </c>
      <c r="R331">
        <v>1.6</v>
      </c>
      <c r="T331" s="39">
        <v>43716</v>
      </c>
      <c r="U331" s="25" t="s">
        <v>384</v>
      </c>
      <c r="V331" t="s">
        <v>265</v>
      </c>
      <c r="W331" s="24" t="s">
        <v>300</v>
      </c>
    </row>
    <row r="332" spans="1:23" x14ac:dyDescent="0.2">
      <c r="A332" t="s">
        <v>193</v>
      </c>
      <c r="O332">
        <v>9.5</v>
      </c>
      <c r="P332">
        <v>44</v>
      </c>
      <c r="R332">
        <f>10.6+7.7</f>
        <v>18.3</v>
      </c>
      <c r="T332" s="39">
        <v>43716</v>
      </c>
      <c r="U332" s="25" t="s">
        <v>384</v>
      </c>
      <c r="V332" s="17" t="s">
        <v>272</v>
      </c>
      <c r="W332" s="24" t="s">
        <v>308</v>
      </c>
    </row>
    <row r="333" spans="1:23" x14ac:dyDescent="0.2">
      <c r="A333" t="s">
        <v>193</v>
      </c>
      <c r="F333" t="s">
        <v>110</v>
      </c>
      <c r="O333">
        <v>-5.5</v>
      </c>
      <c r="P333">
        <v>44</v>
      </c>
      <c r="R333">
        <v>13.7</v>
      </c>
      <c r="T333" s="39">
        <v>43716</v>
      </c>
      <c r="U333" s="25" t="s">
        <v>384</v>
      </c>
      <c r="V333" t="s">
        <v>281</v>
      </c>
      <c r="W333" s="24" t="s">
        <v>310</v>
      </c>
    </row>
    <row r="334" spans="1:23" x14ac:dyDescent="0.2">
      <c r="A334" t="s">
        <v>193</v>
      </c>
      <c r="D334" t="s">
        <v>75</v>
      </c>
      <c r="E334" t="s">
        <v>75</v>
      </c>
      <c r="O334">
        <v>-7</v>
      </c>
      <c r="P334">
        <v>44</v>
      </c>
      <c r="R334">
        <f>SUM(12.9+10.5)</f>
        <v>23.4</v>
      </c>
      <c r="T334" s="39">
        <v>43716</v>
      </c>
      <c r="U334" s="25" t="s">
        <v>384</v>
      </c>
      <c r="V334" t="s">
        <v>291</v>
      </c>
      <c r="W334" s="24" t="s">
        <v>296</v>
      </c>
    </row>
    <row r="335" spans="1:23" x14ac:dyDescent="0.2">
      <c r="A335" t="s">
        <v>193</v>
      </c>
      <c r="D335" t="s">
        <v>75</v>
      </c>
      <c r="O335">
        <v>-3</v>
      </c>
      <c r="P335">
        <v>42.5</v>
      </c>
      <c r="R335">
        <v>4.4000000000000004</v>
      </c>
      <c r="T335" s="39">
        <v>43716</v>
      </c>
      <c r="U335" t="s">
        <v>384</v>
      </c>
      <c r="V335" t="s">
        <v>278</v>
      </c>
      <c r="W335" t="s">
        <v>303</v>
      </c>
    </row>
    <row r="336" spans="1:23" x14ac:dyDescent="0.2">
      <c r="A336" t="s">
        <v>193</v>
      </c>
      <c r="F336" t="s">
        <v>110</v>
      </c>
      <c r="O336">
        <v>-3</v>
      </c>
      <c r="P336">
        <v>45.5</v>
      </c>
      <c r="R336">
        <v>30.6</v>
      </c>
      <c r="T336" s="39">
        <v>43716</v>
      </c>
      <c r="U336" s="25" t="s">
        <v>384</v>
      </c>
      <c r="V336" t="s">
        <v>299</v>
      </c>
      <c r="W336" s="24" t="s">
        <v>285</v>
      </c>
    </row>
    <row r="337" spans="1:23" x14ac:dyDescent="0.2">
      <c r="A337" t="s">
        <v>193</v>
      </c>
      <c r="O337">
        <v>3.5</v>
      </c>
      <c r="P337">
        <v>47</v>
      </c>
      <c r="R337">
        <f>12+3.8+3.4</f>
        <v>19.2</v>
      </c>
      <c r="T337" s="39">
        <v>43716</v>
      </c>
      <c r="U337" s="25" t="s">
        <v>384</v>
      </c>
      <c r="V337" t="s">
        <v>300</v>
      </c>
      <c r="W337" s="24" t="s">
        <v>265</v>
      </c>
    </row>
    <row r="338" spans="1:23" x14ac:dyDescent="0.2">
      <c r="A338" t="s">
        <v>193</v>
      </c>
      <c r="O338">
        <v>6.5</v>
      </c>
      <c r="P338">
        <v>52</v>
      </c>
      <c r="R338">
        <v>2.7</v>
      </c>
      <c r="T338" s="39">
        <v>43716</v>
      </c>
      <c r="U338" s="25" t="s">
        <v>384</v>
      </c>
      <c r="V338" s="41" t="s">
        <v>311</v>
      </c>
      <c r="W338" s="24" t="s">
        <v>307</v>
      </c>
    </row>
    <row r="339" spans="1:23" x14ac:dyDescent="0.2">
      <c r="A339" t="s">
        <v>193</v>
      </c>
      <c r="E339" t="s">
        <v>75</v>
      </c>
      <c r="O339">
        <v>5.5</v>
      </c>
      <c r="P339">
        <v>45</v>
      </c>
      <c r="R339">
        <v>6.1</v>
      </c>
      <c r="T339" s="39">
        <v>43716</v>
      </c>
      <c r="U339" s="25" t="s">
        <v>384</v>
      </c>
      <c r="V339" t="s">
        <v>289</v>
      </c>
      <c r="W339" s="24" t="s">
        <v>287</v>
      </c>
    </row>
    <row r="340" spans="1:23" x14ac:dyDescent="0.2">
      <c r="A340" t="s">
        <v>193</v>
      </c>
      <c r="D340" t="s">
        <v>75</v>
      </c>
      <c r="O340">
        <v>3.5</v>
      </c>
      <c r="P340">
        <v>49</v>
      </c>
      <c r="R340">
        <f>5.7+7.2</f>
        <v>12.9</v>
      </c>
      <c r="T340" s="39">
        <v>43716</v>
      </c>
      <c r="U340" s="25" t="s">
        <v>384</v>
      </c>
      <c r="V340" t="s">
        <v>297</v>
      </c>
      <c r="W340" s="24" t="s">
        <v>288</v>
      </c>
    </row>
    <row r="341" spans="1:23" x14ac:dyDescent="0.2">
      <c r="A341" t="s">
        <v>193</v>
      </c>
      <c r="F341" t="s">
        <v>109</v>
      </c>
      <c r="O341">
        <v>-3.5</v>
      </c>
      <c r="P341">
        <v>49</v>
      </c>
      <c r="R341">
        <f>11.8+1.7</f>
        <v>13.5</v>
      </c>
      <c r="T341" s="39">
        <v>43716</v>
      </c>
      <c r="U341" s="25" t="s">
        <v>384</v>
      </c>
      <c r="V341" t="s">
        <v>288</v>
      </c>
      <c r="W341" s="24" t="s">
        <v>297</v>
      </c>
    </row>
    <row r="342" spans="1:23" x14ac:dyDescent="0.2">
      <c r="A342" t="s">
        <v>193</v>
      </c>
      <c r="F342" t="s">
        <v>109</v>
      </c>
      <c r="O342">
        <v>3</v>
      </c>
      <c r="P342">
        <v>42.5</v>
      </c>
      <c r="R342">
        <v>18</v>
      </c>
      <c r="T342" s="39">
        <v>43716</v>
      </c>
      <c r="U342" s="25" t="s">
        <v>384</v>
      </c>
      <c r="V342" t="s">
        <v>303</v>
      </c>
      <c r="W342" s="24" t="s">
        <v>278</v>
      </c>
    </row>
    <row r="343" spans="1:23" x14ac:dyDescent="0.2">
      <c r="A343" t="s">
        <v>193</v>
      </c>
      <c r="E343" t="s">
        <v>75</v>
      </c>
      <c r="O343">
        <v>-5.5</v>
      </c>
      <c r="P343">
        <v>45</v>
      </c>
      <c r="R343">
        <v>11.4</v>
      </c>
      <c r="T343" s="39">
        <v>43716</v>
      </c>
      <c r="U343" s="25" t="s">
        <v>384</v>
      </c>
      <c r="V343" t="s">
        <v>287</v>
      </c>
      <c r="W343" s="24" t="s">
        <v>289</v>
      </c>
    </row>
    <row r="344" spans="1:23" x14ac:dyDescent="0.2">
      <c r="A344" t="s">
        <v>193</v>
      </c>
      <c r="F344" t="s">
        <v>109</v>
      </c>
      <c r="O344">
        <v>-1.5</v>
      </c>
      <c r="P344">
        <v>49.5</v>
      </c>
      <c r="R344">
        <v>13.7</v>
      </c>
      <c r="T344" s="39">
        <v>43716</v>
      </c>
      <c r="U344" s="25" t="s">
        <v>384</v>
      </c>
      <c r="V344" t="s">
        <v>304</v>
      </c>
      <c r="W344" s="24" t="s">
        <v>301</v>
      </c>
    </row>
    <row r="345" spans="1:23" x14ac:dyDescent="0.2">
      <c r="A345" t="s">
        <v>193</v>
      </c>
      <c r="D345" t="s">
        <v>75</v>
      </c>
      <c r="E345" t="s">
        <v>75</v>
      </c>
      <c r="O345">
        <v>7</v>
      </c>
      <c r="P345">
        <v>41</v>
      </c>
      <c r="R345">
        <v>5.0999999999999996</v>
      </c>
      <c r="T345" s="39">
        <v>43716</v>
      </c>
      <c r="U345" s="25" t="s">
        <v>384</v>
      </c>
      <c r="V345" t="s">
        <v>293</v>
      </c>
      <c r="W345" s="24" t="s">
        <v>305</v>
      </c>
    </row>
    <row r="346" spans="1:23" x14ac:dyDescent="0.2">
      <c r="A346" t="s">
        <v>193</v>
      </c>
      <c r="D346" t="s">
        <v>75</v>
      </c>
      <c r="O346">
        <v>-3.5</v>
      </c>
      <c r="P346">
        <v>47</v>
      </c>
      <c r="R346">
        <v>0</v>
      </c>
      <c r="T346" s="39">
        <v>43716</v>
      </c>
      <c r="U346" s="25" t="s">
        <v>384</v>
      </c>
      <c r="V346" s="41" t="s">
        <v>312</v>
      </c>
      <c r="W346" s="24" t="s">
        <v>295</v>
      </c>
    </row>
    <row r="347" spans="1:23" x14ac:dyDescent="0.2">
      <c r="A347" t="s">
        <v>193</v>
      </c>
      <c r="O347">
        <v>-5.5</v>
      </c>
      <c r="P347">
        <v>49</v>
      </c>
      <c r="R347">
        <v>1.3</v>
      </c>
      <c r="T347" s="39">
        <v>43716</v>
      </c>
      <c r="U347" s="25" t="s">
        <v>384</v>
      </c>
      <c r="V347" t="s">
        <v>302</v>
      </c>
      <c r="W347" s="24" t="s">
        <v>309</v>
      </c>
    </row>
    <row r="348" spans="1:23" x14ac:dyDescent="0.2">
      <c r="A348" t="s">
        <v>193</v>
      </c>
      <c r="O348">
        <v>-6.5</v>
      </c>
      <c r="P348">
        <v>52</v>
      </c>
      <c r="R348">
        <v>4.9000000000000004</v>
      </c>
      <c r="T348" s="39">
        <v>43716</v>
      </c>
      <c r="U348" s="25" t="s">
        <v>384</v>
      </c>
      <c r="V348" s="41" t="s">
        <v>307</v>
      </c>
      <c r="W348" s="24" t="s">
        <v>311</v>
      </c>
    </row>
    <row r="349" spans="1:23" x14ac:dyDescent="0.2">
      <c r="A349" t="s">
        <v>193</v>
      </c>
      <c r="E349" t="s">
        <v>75</v>
      </c>
      <c r="O349">
        <v>7</v>
      </c>
      <c r="P349">
        <v>44</v>
      </c>
      <c r="R349">
        <f>31.6+1.8</f>
        <v>33.4</v>
      </c>
      <c r="T349" s="39">
        <v>43716</v>
      </c>
      <c r="U349" s="25" t="s">
        <v>384</v>
      </c>
      <c r="V349" t="s">
        <v>296</v>
      </c>
      <c r="W349" s="24" t="s">
        <v>291</v>
      </c>
    </row>
    <row r="350" spans="1:23" x14ac:dyDescent="0.2">
      <c r="A350" t="s">
        <v>193</v>
      </c>
      <c r="O350">
        <v>-2.5</v>
      </c>
      <c r="P350">
        <v>41</v>
      </c>
      <c r="R350">
        <v>4</v>
      </c>
      <c r="T350" s="39">
        <v>43716</v>
      </c>
      <c r="U350" s="25" t="s">
        <v>384</v>
      </c>
      <c r="V350" s="41" t="s">
        <v>298</v>
      </c>
      <c r="W350" s="24" t="s">
        <v>276</v>
      </c>
    </row>
    <row r="351" spans="1:23" x14ac:dyDescent="0.2">
      <c r="A351" t="s">
        <v>193</v>
      </c>
      <c r="D351" t="s">
        <v>75</v>
      </c>
      <c r="E351" t="s">
        <v>75</v>
      </c>
      <c r="F351" t="s">
        <v>110</v>
      </c>
      <c r="O351">
        <v>-10.5</v>
      </c>
      <c r="P351">
        <v>44</v>
      </c>
      <c r="R351">
        <f>10.4+3.6</f>
        <v>14</v>
      </c>
      <c r="T351" s="39">
        <v>43716</v>
      </c>
      <c r="U351" s="25" t="s">
        <v>384</v>
      </c>
      <c r="V351" s="41" t="s">
        <v>294</v>
      </c>
      <c r="W351" s="24" t="s">
        <v>306</v>
      </c>
    </row>
    <row r="352" spans="1:23" x14ac:dyDescent="0.2">
      <c r="A352" t="s">
        <v>193</v>
      </c>
      <c r="O352">
        <v>5.5</v>
      </c>
      <c r="P352">
        <v>49</v>
      </c>
      <c r="R352">
        <v>6</v>
      </c>
      <c r="T352" s="39">
        <v>43716</v>
      </c>
      <c r="U352" s="25" t="s">
        <v>384</v>
      </c>
      <c r="V352" s="41" t="s">
        <v>309</v>
      </c>
      <c r="W352" s="24" t="s">
        <v>302</v>
      </c>
    </row>
    <row r="353" spans="1:23" x14ac:dyDescent="0.2">
      <c r="A353" t="s">
        <v>193</v>
      </c>
      <c r="D353" t="s">
        <v>75</v>
      </c>
      <c r="F353" t="s">
        <v>109</v>
      </c>
      <c r="O353">
        <v>1</v>
      </c>
      <c r="P353">
        <v>51</v>
      </c>
      <c r="R353" s="14">
        <v>13.4</v>
      </c>
      <c r="T353" s="39">
        <v>43716</v>
      </c>
      <c r="U353" s="25" t="s">
        <v>384</v>
      </c>
      <c r="V353" s="40" t="s">
        <v>256</v>
      </c>
      <c r="W353" s="24" t="s">
        <v>284</v>
      </c>
    </row>
    <row r="354" spans="1:23" x14ac:dyDescent="0.2">
      <c r="A354" t="s">
        <v>193</v>
      </c>
      <c r="O354">
        <v>-9.5</v>
      </c>
      <c r="P354">
        <v>44</v>
      </c>
      <c r="R354">
        <v>5.8</v>
      </c>
      <c r="T354" s="39">
        <v>43716</v>
      </c>
      <c r="U354" s="25" t="s">
        <v>384</v>
      </c>
      <c r="V354" s="41" t="s">
        <v>308</v>
      </c>
      <c r="W354" s="24" t="s">
        <v>272</v>
      </c>
    </row>
    <row r="355" spans="1:23" x14ac:dyDescent="0.2">
      <c r="A355" t="s">
        <v>193</v>
      </c>
      <c r="F355" t="s">
        <v>109</v>
      </c>
      <c r="O355">
        <v>-1</v>
      </c>
      <c r="P355">
        <v>51</v>
      </c>
      <c r="R355">
        <v>6.2</v>
      </c>
      <c r="T355" s="39">
        <v>43716</v>
      </c>
      <c r="U355" s="25" t="s">
        <v>384</v>
      </c>
      <c r="V355" s="41" t="s">
        <v>284</v>
      </c>
      <c r="W355" s="24" t="s">
        <v>256</v>
      </c>
    </row>
    <row r="356" spans="1:23" x14ac:dyDescent="0.2">
      <c r="A356" t="s">
        <v>193</v>
      </c>
      <c r="F356" t="s">
        <v>110</v>
      </c>
      <c r="O356">
        <v>5.5</v>
      </c>
      <c r="P356">
        <v>44</v>
      </c>
      <c r="R356">
        <f>22.5+2.7</f>
        <v>25.2</v>
      </c>
      <c r="T356" s="39">
        <v>43716</v>
      </c>
      <c r="U356" s="25" t="s">
        <v>384</v>
      </c>
      <c r="V356" s="41" t="s">
        <v>310</v>
      </c>
      <c r="W356" s="24" t="s">
        <v>281</v>
      </c>
    </row>
    <row r="357" spans="1:23" x14ac:dyDescent="0.2">
      <c r="A357" t="s">
        <v>193</v>
      </c>
      <c r="D357" t="s">
        <v>75</v>
      </c>
      <c r="E357" t="s">
        <v>75</v>
      </c>
      <c r="F357" t="s">
        <v>110</v>
      </c>
      <c r="O357">
        <v>10.5</v>
      </c>
      <c r="P357">
        <v>44</v>
      </c>
      <c r="R357">
        <f>15.9+1.8</f>
        <v>17.7</v>
      </c>
      <c r="T357" s="39">
        <v>43716</v>
      </c>
      <c r="U357" s="25" t="s">
        <v>384</v>
      </c>
      <c r="V357" s="41" t="s">
        <v>306</v>
      </c>
      <c r="W357" s="24" t="s">
        <v>294</v>
      </c>
    </row>
    <row r="358" spans="1:23" x14ac:dyDescent="0.2">
      <c r="A358" t="s">
        <v>193</v>
      </c>
      <c r="E358" t="s">
        <v>75</v>
      </c>
      <c r="F358" t="s">
        <v>109</v>
      </c>
      <c r="O358">
        <v>13</v>
      </c>
      <c r="P358">
        <v>46</v>
      </c>
      <c r="R358">
        <v>4.7</v>
      </c>
      <c r="T358" s="39">
        <v>43723</v>
      </c>
      <c r="U358" s="25" t="s">
        <v>383</v>
      </c>
      <c r="V358" s="41" t="s">
        <v>285</v>
      </c>
      <c r="W358" s="24" t="s">
        <v>305</v>
      </c>
    </row>
    <row r="359" spans="1:23" x14ac:dyDescent="0.2">
      <c r="A359" t="s">
        <v>193</v>
      </c>
      <c r="O359">
        <v>1</v>
      </c>
      <c r="P359">
        <v>53</v>
      </c>
      <c r="R359">
        <v>8.8000000000000007</v>
      </c>
      <c r="T359" s="39">
        <v>43723</v>
      </c>
      <c r="U359" s="25" t="s">
        <v>383</v>
      </c>
      <c r="V359" s="41" t="s">
        <v>295</v>
      </c>
      <c r="W359" s="24" t="s">
        <v>294</v>
      </c>
    </row>
    <row r="360" spans="1:23" x14ac:dyDescent="0.2">
      <c r="A360" t="s">
        <v>193</v>
      </c>
      <c r="E360" t="s">
        <v>75</v>
      </c>
      <c r="F360" t="s">
        <v>109</v>
      </c>
      <c r="O360">
        <v>-13</v>
      </c>
      <c r="P360">
        <v>46</v>
      </c>
      <c r="R360">
        <f>28.2+7.1+2.4</f>
        <v>37.699999999999996</v>
      </c>
      <c r="T360" s="39">
        <v>43723</v>
      </c>
      <c r="U360" s="25" t="s">
        <v>383</v>
      </c>
      <c r="V360" s="41" t="s">
        <v>305</v>
      </c>
      <c r="W360" s="24" t="s">
        <v>285</v>
      </c>
    </row>
    <row r="361" spans="1:23" x14ac:dyDescent="0.2">
      <c r="A361" t="s">
        <v>193</v>
      </c>
      <c r="O361">
        <v>-1</v>
      </c>
      <c r="P361">
        <v>44.5</v>
      </c>
      <c r="R361">
        <v>4.5999999999999996</v>
      </c>
      <c r="T361" s="39">
        <v>43723</v>
      </c>
      <c r="U361" s="25" t="s">
        <v>383</v>
      </c>
      <c r="V361" s="41" t="s">
        <v>276</v>
      </c>
      <c r="W361" s="24" t="s">
        <v>296</v>
      </c>
    </row>
    <row r="362" spans="1:23" x14ac:dyDescent="0.2">
      <c r="A362" t="s">
        <v>193</v>
      </c>
      <c r="B362" t="s">
        <v>68</v>
      </c>
      <c r="C362">
        <v>10.9</v>
      </c>
      <c r="D362" t="s">
        <v>75</v>
      </c>
      <c r="E362" t="s">
        <v>76</v>
      </c>
      <c r="O362">
        <v>-6.5</v>
      </c>
      <c r="P362">
        <v>48</v>
      </c>
      <c r="Q362">
        <v>3.3</v>
      </c>
      <c r="R362">
        <v>20</v>
      </c>
      <c r="S362" s="1">
        <v>6.1</v>
      </c>
      <c r="T362" s="39">
        <v>43723</v>
      </c>
      <c r="U362" s="25" t="s">
        <v>383</v>
      </c>
      <c r="V362" t="s">
        <v>301</v>
      </c>
      <c r="W362" s="24" t="s">
        <v>284</v>
      </c>
    </row>
    <row r="363" spans="1:23" x14ac:dyDescent="0.2">
      <c r="A363" t="s">
        <v>193</v>
      </c>
      <c r="O363">
        <v>-3</v>
      </c>
      <c r="P363">
        <v>41</v>
      </c>
      <c r="R363">
        <f>5.4+4.4+2.5</f>
        <v>12.3</v>
      </c>
      <c r="T363" s="39">
        <v>43723</v>
      </c>
      <c r="U363" s="25" t="s">
        <v>383</v>
      </c>
      <c r="V363" t="s">
        <v>265</v>
      </c>
      <c r="W363" s="24" t="s">
        <v>278</v>
      </c>
    </row>
    <row r="364" spans="1:23" x14ac:dyDescent="0.2">
      <c r="A364" t="s">
        <v>193</v>
      </c>
      <c r="F364" t="s">
        <v>109</v>
      </c>
      <c r="O364">
        <v>-1</v>
      </c>
      <c r="P364">
        <v>46</v>
      </c>
      <c r="R364">
        <f>9.9+4.5</f>
        <v>14.4</v>
      </c>
      <c r="T364" s="39">
        <v>43723</v>
      </c>
      <c r="U364" s="25" t="s">
        <v>383</v>
      </c>
      <c r="V364" s="17" t="s">
        <v>272</v>
      </c>
      <c r="W364" s="24" t="s">
        <v>256</v>
      </c>
    </row>
    <row r="365" spans="1:23" x14ac:dyDescent="0.2">
      <c r="A365" t="s">
        <v>193</v>
      </c>
      <c r="O365">
        <v>-6.5</v>
      </c>
      <c r="P365">
        <v>45.5</v>
      </c>
      <c r="R365">
        <v>1.4</v>
      </c>
      <c r="T365" s="39">
        <v>43723</v>
      </c>
      <c r="U365" s="25" t="s">
        <v>383</v>
      </c>
      <c r="V365" t="s">
        <v>281</v>
      </c>
      <c r="W365" s="24" t="s">
        <v>298</v>
      </c>
    </row>
    <row r="366" spans="1:23" x14ac:dyDescent="0.2">
      <c r="A366" t="s">
        <v>193</v>
      </c>
      <c r="E366" t="s">
        <v>75</v>
      </c>
      <c r="O366">
        <v>-6</v>
      </c>
      <c r="P366">
        <v>46.5</v>
      </c>
      <c r="R366">
        <v>15.7</v>
      </c>
      <c r="T366" s="39">
        <v>43723</v>
      </c>
      <c r="U366" s="25" t="s">
        <v>383</v>
      </c>
      <c r="V366" t="s">
        <v>291</v>
      </c>
      <c r="W366" s="24" t="s">
        <v>306</v>
      </c>
    </row>
    <row r="367" spans="1:23" x14ac:dyDescent="0.2">
      <c r="A367" t="s">
        <v>193</v>
      </c>
      <c r="O367">
        <v>3</v>
      </c>
      <c r="P367">
        <v>41</v>
      </c>
      <c r="R367">
        <v>15.099999999999998</v>
      </c>
      <c r="T367" s="39">
        <v>43723</v>
      </c>
      <c r="U367" t="s">
        <v>383</v>
      </c>
      <c r="V367" t="s">
        <v>278</v>
      </c>
      <c r="W367" t="s">
        <v>265</v>
      </c>
    </row>
    <row r="368" spans="1:23" x14ac:dyDescent="0.2">
      <c r="A368" t="s">
        <v>193</v>
      </c>
      <c r="F368" t="s">
        <v>110</v>
      </c>
      <c r="O368">
        <v>1</v>
      </c>
      <c r="P368">
        <v>47</v>
      </c>
      <c r="R368">
        <f>4.8+1.7+1.7</f>
        <v>8.1999999999999993</v>
      </c>
      <c r="T368" s="39">
        <v>43723</v>
      </c>
      <c r="U368" s="25" t="s">
        <v>383</v>
      </c>
      <c r="V368" t="s">
        <v>299</v>
      </c>
      <c r="W368" s="24" t="s">
        <v>287</v>
      </c>
    </row>
    <row r="369" spans="1:23" x14ac:dyDescent="0.2">
      <c r="A369" t="s">
        <v>193</v>
      </c>
      <c r="F369" t="s">
        <v>110</v>
      </c>
      <c r="O369">
        <v>-3</v>
      </c>
      <c r="P369">
        <v>43</v>
      </c>
      <c r="R369">
        <v>0</v>
      </c>
      <c r="T369" s="39">
        <v>43723</v>
      </c>
      <c r="U369" s="25" t="s">
        <v>383</v>
      </c>
      <c r="V369" t="s">
        <v>300</v>
      </c>
      <c r="W369" s="24" t="s">
        <v>312</v>
      </c>
    </row>
    <row r="370" spans="1:23" x14ac:dyDescent="0.2">
      <c r="A370" t="s">
        <v>193</v>
      </c>
      <c r="O370">
        <v>-7.5</v>
      </c>
      <c r="P370">
        <v>43</v>
      </c>
      <c r="R370">
        <v>6.4</v>
      </c>
      <c r="T370" s="39">
        <v>43723</v>
      </c>
      <c r="U370" s="25" t="s">
        <v>383</v>
      </c>
      <c r="V370" t="s">
        <v>311</v>
      </c>
      <c r="W370" s="24" t="s">
        <v>297</v>
      </c>
    </row>
    <row r="371" spans="1:23" x14ac:dyDescent="0.2">
      <c r="A371" t="s">
        <v>193</v>
      </c>
      <c r="F371" t="s">
        <v>110</v>
      </c>
      <c r="O371">
        <v>3</v>
      </c>
      <c r="P371">
        <v>43.5</v>
      </c>
      <c r="R371">
        <f>11.5+4.1</f>
        <v>15.6</v>
      </c>
      <c r="T371" s="39">
        <v>43723</v>
      </c>
      <c r="U371" s="25" t="s">
        <v>383</v>
      </c>
      <c r="V371" t="s">
        <v>289</v>
      </c>
      <c r="W371" s="24" t="s">
        <v>310</v>
      </c>
    </row>
    <row r="372" spans="1:23" x14ac:dyDescent="0.2">
      <c r="A372" t="s">
        <v>193</v>
      </c>
      <c r="O372">
        <v>7.5</v>
      </c>
      <c r="P372">
        <v>43</v>
      </c>
      <c r="R372">
        <v>11.2</v>
      </c>
      <c r="T372" s="39">
        <v>43723</v>
      </c>
      <c r="U372" s="25" t="s">
        <v>383</v>
      </c>
      <c r="V372" t="s">
        <v>297</v>
      </c>
      <c r="W372" s="24" t="s">
        <v>311</v>
      </c>
    </row>
    <row r="373" spans="1:23" x14ac:dyDescent="0.2">
      <c r="A373" t="s">
        <v>193</v>
      </c>
      <c r="B373" t="s">
        <v>19</v>
      </c>
      <c r="E373" t="s">
        <v>75</v>
      </c>
      <c r="I373" t="s">
        <v>75</v>
      </c>
      <c r="J373" t="s">
        <v>76</v>
      </c>
      <c r="K373" t="s">
        <v>76</v>
      </c>
      <c r="L373" t="s">
        <v>75</v>
      </c>
      <c r="M373" t="s">
        <v>75</v>
      </c>
      <c r="N373" t="s">
        <v>134</v>
      </c>
      <c r="O373">
        <v>-7</v>
      </c>
      <c r="P373">
        <v>53.5</v>
      </c>
      <c r="Q373">
        <v>7.3</v>
      </c>
      <c r="R373">
        <v>26.7</v>
      </c>
      <c r="S373" s="1">
        <v>3.7</v>
      </c>
      <c r="T373" s="39">
        <v>43723</v>
      </c>
      <c r="U373" s="25" t="s">
        <v>383</v>
      </c>
      <c r="V373" t="s">
        <v>288</v>
      </c>
      <c r="W373" s="24" t="s">
        <v>303</v>
      </c>
    </row>
    <row r="374" spans="1:23" x14ac:dyDescent="0.2">
      <c r="A374" t="s">
        <v>193</v>
      </c>
      <c r="E374" t="s">
        <v>75</v>
      </c>
      <c r="O374">
        <v>7</v>
      </c>
      <c r="P374">
        <v>53.5</v>
      </c>
      <c r="R374">
        <f>12.3+6.3</f>
        <v>18.600000000000001</v>
      </c>
      <c r="T374" s="39">
        <v>43723</v>
      </c>
      <c r="U374" s="25" t="s">
        <v>383</v>
      </c>
      <c r="V374" t="s">
        <v>303</v>
      </c>
      <c r="W374" s="24" t="s">
        <v>288</v>
      </c>
    </row>
    <row r="375" spans="1:23" x14ac:dyDescent="0.2">
      <c r="A375" t="s">
        <v>193</v>
      </c>
      <c r="F375" t="s">
        <v>110</v>
      </c>
      <c r="O375">
        <v>-1</v>
      </c>
      <c r="P375">
        <v>47</v>
      </c>
      <c r="R375">
        <v>1.9</v>
      </c>
      <c r="T375" s="39">
        <v>43723</v>
      </c>
      <c r="U375" s="25" t="s">
        <v>383</v>
      </c>
      <c r="V375" t="s">
        <v>287</v>
      </c>
      <c r="W375" s="24" t="s">
        <v>299</v>
      </c>
    </row>
    <row r="376" spans="1:23" x14ac:dyDescent="0.2">
      <c r="A376" t="s">
        <v>193</v>
      </c>
      <c r="F376" t="s">
        <v>109</v>
      </c>
      <c r="O376">
        <v>-2</v>
      </c>
      <c r="P376">
        <v>52.5</v>
      </c>
      <c r="R376">
        <v>9.1999999999999993</v>
      </c>
      <c r="T376" s="39">
        <v>43723</v>
      </c>
      <c r="U376" s="25" t="s">
        <v>383</v>
      </c>
      <c r="V376" t="s">
        <v>304</v>
      </c>
      <c r="W376" s="24" t="s">
        <v>307</v>
      </c>
    </row>
    <row r="377" spans="1:23" x14ac:dyDescent="0.2">
      <c r="A377" t="s">
        <v>193</v>
      </c>
      <c r="B377" t="s">
        <v>8</v>
      </c>
      <c r="C377">
        <v>8.5</v>
      </c>
      <c r="D377" t="s">
        <v>76</v>
      </c>
      <c r="E377" t="s">
        <v>76</v>
      </c>
      <c r="O377">
        <v>18</v>
      </c>
      <c r="P377">
        <v>48.5</v>
      </c>
      <c r="Q377">
        <v>2.7</v>
      </c>
      <c r="R377">
        <v>2.1</v>
      </c>
      <c r="S377" s="1">
        <v>0.8</v>
      </c>
      <c r="T377" s="39">
        <v>43723</v>
      </c>
      <c r="U377" s="25" t="s">
        <v>383</v>
      </c>
      <c r="V377" t="s">
        <v>293</v>
      </c>
      <c r="W377" s="24" t="s">
        <v>302</v>
      </c>
    </row>
    <row r="378" spans="1:23" x14ac:dyDescent="0.2">
      <c r="A378" t="s">
        <v>193</v>
      </c>
      <c r="F378" t="s">
        <v>110</v>
      </c>
      <c r="O378">
        <v>3</v>
      </c>
      <c r="P378">
        <v>43</v>
      </c>
      <c r="R378">
        <v>4.8</v>
      </c>
      <c r="T378" s="39">
        <v>43723</v>
      </c>
      <c r="U378" s="25" t="s">
        <v>383</v>
      </c>
      <c r="V378" t="s">
        <v>312</v>
      </c>
      <c r="W378" s="24" t="s">
        <v>300</v>
      </c>
    </row>
    <row r="379" spans="1:23" x14ac:dyDescent="0.2">
      <c r="A379" t="s">
        <v>193</v>
      </c>
      <c r="O379">
        <v>-18</v>
      </c>
      <c r="P379">
        <v>48.5</v>
      </c>
      <c r="R379">
        <v>5.3</v>
      </c>
      <c r="T379" s="39">
        <v>43723</v>
      </c>
      <c r="U379" s="25" t="s">
        <v>383</v>
      </c>
      <c r="V379" t="s">
        <v>302</v>
      </c>
      <c r="W379" s="24" t="s">
        <v>293</v>
      </c>
    </row>
    <row r="380" spans="1:23" x14ac:dyDescent="0.2">
      <c r="A380" t="s">
        <v>193</v>
      </c>
      <c r="F380" t="s">
        <v>109</v>
      </c>
      <c r="O380">
        <v>2</v>
      </c>
      <c r="P380">
        <v>52.5</v>
      </c>
      <c r="R380">
        <v>4.5</v>
      </c>
      <c r="T380" s="39">
        <v>43723</v>
      </c>
      <c r="U380" s="25" t="s">
        <v>383</v>
      </c>
      <c r="V380" t="s">
        <v>307</v>
      </c>
      <c r="W380" s="24" t="s">
        <v>304</v>
      </c>
    </row>
    <row r="381" spans="1:23" x14ac:dyDescent="0.2">
      <c r="A381" t="s">
        <v>193</v>
      </c>
      <c r="B381" t="s">
        <v>16</v>
      </c>
      <c r="I381" t="s">
        <v>75</v>
      </c>
      <c r="J381" t="s">
        <v>76</v>
      </c>
      <c r="K381" t="s">
        <v>75</v>
      </c>
      <c r="L381" t="s">
        <v>76</v>
      </c>
      <c r="M381" t="s">
        <v>76</v>
      </c>
      <c r="N381" t="s">
        <v>132</v>
      </c>
      <c r="O381">
        <v>1</v>
      </c>
      <c r="P381">
        <v>44.5</v>
      </c>
      <c r="Q381">
        <v>5.2</v>
      </c>
      <c r="R381">
        <v>10.8</v>
      </c>
      <c r="S381" s="1">
        <v>2.1</v>
      </c>
      <c r="T381" s="39">
        <v>43723</v>
      </c>
      <c r="U381" s="25" t="s">
        <v>383</v>
      </c>
      <c r="V381" t="s">
        <v>296</v>
      </c>
      <c r="W381" s="24" t="s">
        <v>276</v>
      </c>
    </row>
    <row r="382" spans="1:23" x14ac:dyDescent="0.2">
      <c r="A382" t="s">
        <v>193</v>
      </c>
      <c r="D382" s="3"/>
      <c r="E382" s="3"/>
      <c r="F382" s="3"/>
      <c r="O382">
        <v>6.5</v>
      </c>
      <c r="P382">
        <v>45.5</v>
      </c>
      <c r="R382" s="3">
        <v>0</v>
      </c>
      <c r="T382" s="39">
        <v>43723</v>
      </c>
      <c r="U382" s="33" t="s">
        <v>383</v>
      </c>
      <c r="V382" t="s">
        <v>298</v>
      </c>
      <c r="W382" s="36" t="s">
        <v>281</v>
      </c>
    </row>
    <row r="383" spans="1:23" x14ac:dyDescent="0.2">
      <c r="A383" t="s">
        <v>193</v>
      </c>
      <c r="O383">
        <v>-1</v>
      </c>
      <c r="P383">
        <v>53</v>
      </c>
      <c r="R383">
        <v>17.2</v>
      </c>
      <c r="T383" s="39">
        <v>43723</v>
      </c>
      <c r="U383" s="25" t="s">
        <v>383</v>
      </c>
      <c r="V383" t="s">
        <v>294</v>
      </c>
      <c r="W383" s="24" t="s">
        <v>295</v>
      </c>
    </row>
    <row r="384" spans="1:23" x14ac:dyDescent="0.2">
      <c r="A384" t="s">
        <v>193</v>
      </c>
      <c r="O384">
        <v>-4</v>
      </c>
      <c r="P384">
        <v>47</v>
      </c>
      <c r="R384">
        <v>22.8</v>
      </c>
      <c r="T384" s="39">
        <v>43723</v>
      </c>
      <c r="U384" s="25" t="s">
        <v>383</v>
      </c>
      <c r="V384" t="s">
        <v>309</v>
      </c>
      <c r="W384" s="24" t="s">
        <v>308</v>
      </c>
    </row>
    <row r="385" spans="1:23" x14ac:dyDescent="0.2">
      <c r="A385" t="s">
        <v>193</v>
      </c>
      <c r="F385" t="s">
        <v>109</v>
      </c>
      <c r="O385">
        <v>1</v>
      </c>
      <c r="P385">
        <v>46</v>
      </c>
      <c r="R385" s="14">
        <v>8.4</v>
      </c>
      <c r="T385" s="39">
        <v>43723</v>
      </c>
      <c r="U385" s="25" t="s">
        <v>383</v>
      </c>
      <c r="V385" s="22" t="s">
        <v>256</v>
      </c>
      <c r="W385" s="24" t="s">
        <v>272</v>
      </c>
    </row>
    <row r="386" spans="1:23" x14ac:dyDescent="0.2">
      <c r="A386" t="s">
        <v>193</v>
      </c>
      <c r="O386">
        <v>4</v>
      </c>
      <c r="P386">
        <v>47</v>
      </c>
      <c r="R386">
        <v>22.3</v>
      </c>
      <c r="T386" s="39">
        <v>43723</v>
      </c>
      <c r="U386" s="25" t="s">
        <v>383</v>
      </c>
      <c r="V386" t="s">
        <v>308</v>
      </c>
      <c r="W386" s="24" t="s">
        <v>309</v>
      </c>
    </row>
    <row r="387" spans="1:23" x14ac:dyDescent="0.2">
      <c r="A387" t="s">
        <v>193</v>
      </c>
      <c r="B387" t="s">
        <v>74</v>
      </c>
      <c r="C387">
        <v>7.3</v>
      </c>
      <c r="D387" t="s">
        <v>76</v>
      </c>
      <c r="E387" t="s">
        <v>76</v>
      </c>
      <c r="O387">
        <v>6.5</v>
      </c>
      <c r="P387">
        <v>48</v>
      </c>
      <c r="Q387">
        <v>4.4000000000000004</v>
      </c>
      <c r="R387">
        <v>0</v>
      </c>
      <c r="S387" s="1">
        <v>0</v>
      </c>
      <c r="T387" s="39">
        <v>43723</v>
      </c>
      <c r="U387" s="25" t="s">
        <v>383</v>
      </c>
      <c r="V387" t="s">
        <v>284</v>
      </c>
      <c r="W387" s="24" t="s">
        <v>301</v>
      </c>
    </row>
    <row r="388" spans="1:23" x14ac:dyDescent="0.2">
      <c r="A388" t="s">
        <v>193</v>
      </c>
      <c r="F388" t="s">
        <v>110</v>
      </c>
      <c r="O388">
        <v>-3</v>
      </c>
      <c r="P388">
        <v>43.5</v>
      </c>
      <c r="R388">
        <v>7.9</v>
      </c>
      <c r="T388" s="39">
        <v>43723</v>
      </c>
      <c r="U388" s="25" t="s">
        <v>383</v>
      </c>
      <c r="V388" t="s">
        <v>310</v>
      </c>
      <c r="W388" s="24" t="s">
        <v>289</v>
      </c>
    </row>
    <row r="389" spans="1:23" x14ac:dyDescent="0.2">
      <c r="A389" t="s">
        <v>193</v>
      </c>
      <c r="E389" t="s">
        <v>75</v>
      </c>
      <c r="O389">
        <v>6</v>
      </c>
      <c r="P389">
        <v>46.5</v>
      </c>
      <c r="R389">
        <f>5.9+2.1</f>
        <v>8</v>
      </c>
      <c r="T389" s="39">
        <v>43723</v>
      </c>
      <c r="U389" s="25" t="s">
        <v>383</v>
      </c>
      <c r="V389" t="s">
        <v>306</v>
      </c>
      <c r="W389" s="24" t="s">
        <v>291</v>
      </c>
    </row>
    <row r="390" spans="1:23" x14ac:dyDescent="0.2">
      <c r="A390" t="s">
        <v>193</v>
      </c>
      <c r="E390" t="s">
        <v>75</v>
      </c>
      <c r="O390">
        <v>-2.5</v>
      </c>
      <c r="P390">
        <v>46</v>
      </c>
      <c r="R390">
        <v>1.9</v>
      </c>
      <c r="T390" s="39">
        <v>43730</v>
      </c>
      <c r="U390" s="25" t="s">
        <v>382</v>
      </c>
      <c r="V390" s="41" t="s">
        <v>285</v>
      </c>
      <c r="W390" s="22" t="s">
        <v>301</v>
      </c>
    </row>
    <row r="391" spans="1:23" x14ac:dyDescent="0.2">
      <c r="A391" t="s">
        <v>193</v>
      </c>
      <c r="E391" t="s">
        <v>75</v>
      </c>
      <c r="O391">
        <v>1</v>
      </c>
      <c r="P391">
        <v>48</v>
      </c>
      <c r="R391">
        <f>24.6+4.2</f>
        <v>28.8</v>
      </c>
      <c r="T391" s="39">
        <v>43730</v>
      </c>
      <c r="U391" s="25" t="s">
        <v>382</v>
      </c>
      <c r="V391" s="41" t="s">
        <v>295</v>
      </c>
      <c r="W391" s="34" t="s">
        <v>289</v>
      </c>
    </row>
    <row r="392" spans="1:23" x14ac:dyDescent="0.2">
      <c r="A392" t="s">
        <v>193</v>
      </c>
      <c r="E392" t="s">
        <v>75</v>
      </c>
      <c r="O392">
        <v>4.5</v>
      </c>
      <c r="P392">
        <v>52</v>
      </c>
      <c r="R392">
        <f>9.9+4.5+3.4</f>
        <v>17.8</v>
      </c>
      <c r="T392" s="39">
        <v>43730</v>
      </c>
      <c r="U392" s="25" t="s">
        <v>382</v>
      </c>
      <c r="V392" s="41" t="s">
        <v>305</v>
      </c>
      <c r="W392" s="22" t="s">
        <v>288</v>
      </c>
    </row>
    <row r="393" spans="1:23" x14ac:dyDescent="0.2">
      <c r="A393" t="s">
        <v>193</v>
      </c>
      <c r="O393">
        <v>-5.5</v>
      </c>
      <c r="P393">
        <v>43.5</v>
      </c>
      <c r="R393">
        <v>17.899999999999999</v>
      </c>
      <c r="T393" s="39">
        <v>43730</v>
      </c>
      <c r="U393" s="25" t="s">
        <v>382</v>
      </c>
      <c r="V393" s="41" t="s">
        <v>276</v>
      </c>
      <c r="W393" s="22" t="s">
        <v>272</v>
      </c>
    </row>
    <row r="394" spans="1:23" x14ac:dyDescent="0.2">
      <c r="A394" t="s">
        <v>193</v>
      </c>
      <c r="O394">
        <v>2.5</v>
      </c>
      <c r="P394">
        <v>46</v>
      </c>
      <c r="R394">
        <v>25.5</v>
      </c>
      <c r="T394" s="39">
        <v>43730</v>
      </c>
      <c r="U394" s="25" t="s">
        <v>382</v>
      </c>
      <c r="V394" s="41" t="s">
        <v>301</v>
      </c>
      <c r="W394" s="22" t="s">
        <v>285</v>
      </c>
    </row>
    <row r="395" spans="1:23" x14ac:dyDescent="0.2">
      <c r="A395" t="s">
        <v>193</v>
      </c>
      <c r="O395">
        <v>5</v>
      </c>
      <c r="P395">
        <v>41</v>
      </c>
      <c r="R395">
        <v>7.7</v>
      </c>
      <c r="T395" s="39">
        <v>43730</v>
      </c>
      <c r="U395" s="25" t="s">
        <v>382</v>
      </c>
      <c r="V395" s="41" t="s">
        <v>265</v>
      </c>
      <c r="W395" s="22" t="s">
        <v>306</v>
      </c>
    </row>
    <row r="396" spans="1:23" x14ac:dyDescent="0.2">
      <c r="A396" t="s">
        <v>193</v>
      </c>
      <c r="O396">
        <v>5.5</v>
      </c>
      <c r="P396">
        <v>43.5</v>
      </c>
      <c r="R396">
        <v>2.8</v>
      </c>
      <c r="T396" s="39">
        <v>43730</v>
      </c>
      <c r="U396" s="25" t="s">
        <v>382</v>
      </c>
      <c r="V396" s="17" t="s">
        <v>272</v>
      </c>
      <c r="W396" s="22" t="s">
        <v>276</v>
      </c>
    </row>
    <row r="397" spans="1:23" x14ac:dyDescent="0.2">
      <c r="A397" t="s">
        <v>193</v>
      </c>
      <c r="O397">
        <v>4</v>
      </c>
      <c r="P397">
        <v>48</v>
      </c>
      <c r="R397">
        <v>9.6</v>
      </c>
      <c r="T397" s="39">
        <v>43730</v>
      </c>
      <c r="U397" s="25" t="s">
        <v>382</v>
      </c>
      <c r="V397" s="41" t="s">
        <v>281</v>
      </c>
      <c r="W397" s="22" t="s">
        <v>304</v>
      </c>
    </row>
    <row r="398" spans="1:23" x14ac:dyDescent="0.2">
      <c r="A398" t="s">
        <v>193</v>
      </c>
      <c r="E398" t="s">
        <v>75</v>
      </c>
      <c r="O398">
        <v>-22</v>
      </c>
      <c r="P398">
        <v>46.5</v>
      </c>
      <c r="R398">
        <v>9.6999999999999993</v>
      </c>
      <c r="T398" s="39">
        <v>43730</v>
      </c>
      <c r="U398" s="25" t="s">
        <v>382</v>
      </c>
      <c r="V398" s="41" t="s">
        <v>291</v>
      </c>
      <c r="W398" s="22" t="s">
        <v>293</v>
      </c>
    </row>
    <row r="399" spans="1:23" x14ac:dyDescent="0.2">
      <c r="A399" t="s">
        <v>193</v>
      </c>
      <c r="O399">
        <v>7</v>
      </c>
      <c r="P399">
        <v>42</v>
      </c>
      <c r="R399">
        <v>9.6999999999999993</v>
      </c>
      <c r="T399" s="39">
        <v>43730</v>
      </c>
      <c r="U399" t="s">
        <v>382</v>
      </c>
      <c r="V399" s="41" t="s">
        <v>278</v>
      </c>
      <c r="W399" t="s">
        <v>300</v>
      </c>
    </row>
    <row r="400" spans="1:23" x14ac:dyDescent="0.2">
      <c r="A400" t="s">
        <v>193</v>
      </c>
      <c r="O400">
        <v>4</v>
      </c>
      <c r="P400">
        <v>45</v>
      </c>
      <c r="R400">
        <f>2.5+2.3+1.1</f>
        <v>5.9</v>
      </c>
      <c r="T400" s="39">
        <v>43730</v>
      </c>
      <c r="U400" s="25" t="s">
        <v>382</v>
      </c>
      <c r="V400" s="41" t="s">
        <v>299</v>
      </c>
      <c r="W400" s="22" t="s">
        <v>294</v>
      </c>
    </row>
    <row r="401" spans="1:23" x14ac:dyDescent="0.2">
      <c r="A401" t="s">
        <v>193</v>
      </c>
      <c r="B401" t="s">
        <v>81</v>
      </c>
      <c r="C401">
        <v>7.1</v>
      </c>
      <c r="D401" t="s">
        <v>76</v>
      </c>
      <c r="E401" t="s">
        <v>76</v>
      </c>
      <c r="O401">
        <v>-7</v>
      </c>
      <c r="P401">
        <v>42</v>
      </c>
      <c r="Q401">
        <v>4</v>
      </c>
      <c r="R401">
        <v>0</v>
      </c>
      <c r="S401" s="1">
        <v>0</v>
      </c>
      <c r="T401" s="39">
        <v>43730</v>
      </c>
      <c r="U401" s="25" t="s">
        <v>382</v>
      </c>
      <c r="V401" t="s">
        <v>300</v>
      </c>
      <c r="W401" s="22" t="s">
        <v>278</v>
      </c>
    </row>
    <row r="402" spans="1:23" x14ac:dyDescent="0.2">
      <c r="A402" t="s">
        <v>193</v>
      </c>
      <c r="E402" t="s">
        <v>75</v>
      </c>
      <c r="O402">
        <v>3</v>
      </c>
      <c r="P402">
        <v>49</v>
      </c>
      <c r="R402">
        <f>22.3+15.9</f>
        <v>38.200000000000003</v>
      </c>
      <c r="T402" s="39">
        <v>43730</v>
      </c>
      <c r="U402" s="25" t="s">
        <v>382</v>
      </c>
      <c r="V402" t="s">
        <v>311</v>
      </c>
      <c r="W402" s="22" t="s">
        <v>287</v>
      </c>
    </row>
    <row r="403" spans="1:23" x14ac:dyDescent="0.2">
      <c r="A403" t="s">
        <v>193</v>
      </c>
      <c r="E403" t="s">
        <v>75</v>
      </c>
      <c r="O403">
        <v>-1</v>
      </c>
      <c r="P403">
        <v>48</v>
      </c>
      <c r="R403">
        <f>8.8+7.7+4.5</f>
        <v>21</v>
      </c>
      <c r="T403" s="39">
        <v>43730</v>
      </c>
      <c r="U403" s="25" t="s">
        <v>382</v>
      </c>
      <c r="V403" t="s">
        <v>289</v>
      </c>
      <c r="W403" s="22" t="s">
        <v>295</v>
      </c>
    </row>
    <row r="404" spans="1:23" x14ac:dyDescent="0.2">
      <c r="A404" t="s">
        <v>193</v>
      </c>
      <c r="O404">
        <v>1.5</v>
      </c>
      <c r="P404">
        <v>38</v>
      </c>
      <c r="R404">
        <f>9.8+1.8</f>
        <v>11.600000000000001</v>
      </c>
      <c r="T404" s="39">
        <v>43730</v>
      </c>
      <c r="U404" s="25" t="s">
        <v>382</v>
      </c>
      <c r="V404" t="s">
        <v>297</v>
      </c>
      <c r="W404" s="22" t="s">
        <v>310</v>
      </c>
    </row>
    <row r="405" spans="1:23" x14ac:dyDescent="0.2">
      <c r="A405" t="s">
        <v>193</v>
      </c>
      <c r="B405" t="s">
        <v>19</v>
      </c>
      <c r="I405" t="s">
        <v>75</v>
      </c>
      <c r="J405" t="s">
        <v>76</v>
      </c>
      <c r="K405" t="s">
        <v>76</v>
      </c>
      <c r="L405" t="s">
        <v>76</v>
      </c>
      <c r="M405" t="s">
        <v>75</v>
      </c>
      <c r="N405" t="s">
        <v>132</v>
      </c>
      <c r="O405">
        <v>-4.5</v>
      </c>
      <c r="P405">
        <v>52</v>
      </c>
      <c r="Q405">
        <v>7.1</v>
      </c>
      <c r="R405">
        <v>15.9</v>
      </c>
      <c r="S405" s="1">
        <v>2.2000000000000002</v>
      </c>
      <c r="T405" s="39">
        <v>43730</v>
      </c>
      <c r="U405" s="25" t="s">
        <v>382</v>
      </c>
      <c r="V405" t="s">
        <v>288</v>
      </c>
      <c r="W405" s="22" t="s">
        <v>305</v>
      </c>
    </row>
    <row r="406" spans="1:23" x14ac:dyDescent="0.2">
      <c r="A406" t="s">
        <v>193</v>
      </c>
      <c r="O406">
        <v>8.5</v>
      </c>
      <c r="P406">
        <v>43</v>
      </c>
      <c r="R406">
        <f>30.1+1.1</f>
        <v>31.200000000000003</v>
      </c>
      <c r="T406" s="39">
        <v>43730</v>
      </c>
      <c r="U406" s="25" t="s">
        <v>382</v>
      </c>
      <c r="V406" t="s">
        <v>303</v>
      </c>
      <c r="W406" s="22" t="s">
        <v>312</v>
      </c>
    </row>
    <row r="407" spans="1:23" x14ac:dyDescent="0.2">
      <c r="A407" t="s">
        <v>193</v>
      </c>
      <c r="E407" t="s">
        <v>75</v>
      </c>
      <c r="O407">
        <v>-3</v>
      </c>
      <c r="P407">
        <v>49</v>
      </c>
      <c r="R407">
        <v>2.2999999999999998</v>
      </c>
      <c r="T407" s="39">
        <v>43730</v>
      </c>
      <c r="U407" s="25" t="s">
        <v>382</v>
      </c>
      <c r="V407" t="s">
        <v>287</v>
      </c>
      <c r="W407" s="22" t="s">
        <v>311</v>
      </c>
    </row>
    <row r="408" spans="1:23" x14ac:dyDescent="0.2">
      <c r="A408" t="s">
        <v>193</v>
      </c>
      <c r="O408">
        <v>-4</v>
      </c>
      <c r="P408">
        <v>48</v>
      </c>
      <c r="R408">
        <v>3.5</v>
      </c>
      <c r="T408" s="39">
        <v>43730</v>
      </c>
      <c r="U408" s="25" t="s">
        <v>382</v>
      </c>
      <c r="V408" t="s">
        <v>304</v>
      </c>
      <c r="W408" s="22" t="s">
        <v>281</v>
      </c>
    </row>
    <row r="409" spans="1:23" x14ac:dyDescent="0.2">
      <c r="A409" t="s">
        <v>193</v>
      </c>
      <c r="D409" s="3"/>
      <c r="E409" t="s">
        <v>75</v>
      </c>
      <c r="F409" s="3"/>
      <c r="O409" s="3">
        <v>22</v>
      </c>
      <c r="P409" s="3">
        <v>46.5</v>
      </c>
      <c r="R409" s="3">
        <f>3.9+2.9</f>
        <v>6.8</v>
      </c>
      <c r="T409" s="39">
        <v>43730</v>
      </c>
      <c r="U409" s="33" t="s">
        <v>382</v>
      </c>
      <c r="V409" t="s">
        <v>293</v>
      </c>
      <c r="W409" s="28" t="s">
        <v>291</v>
      </c>
    </row>
    <row r="410" spans="1:23" x14ac:dyDescent="0.2">
      <c r="A410" t="s">
        <v>193</v>
      </c>
      <c r="O410">
        <v>-8.5</v>
      </c>
      <c r="P410">
        <v>43</v>
      </c>
      <c r="R410">
        <f>9+2.1</f>
        <v>11.1</v>
      </c>
      <c r="T410" s="39">
        <v>43730</v>
      </c>
      <c r="U410" s="25" t="s">
        <v>382</v>
      </c>
      <c r="V410" t="s">
        <v>312</v>
      </c>
      <c r="W410" s="22" t="s">
        <v>303</v>
      </c>
    </row>
    <row r="411" spans="1:23" x14ac:dyDescent="0.2">
      <c r="A411" t="s">
        <v>193</v>
      </c>
      <c r="O411" s="8">
        <v>-20.5</v>
      </c>
      <c r="P411" s="8">
        <v>43</v>
      </c>
      <c r="R411">
        <v>5.0999999999999996</v>
      </c>
      <c r="T411" s="39">
        <v>43730</v>
      </c>
      <c r="U411" s="25" t="s">
        <v>382</v>
      </c>
      <c r="V411" t="s">
        <v>302</v>
      </c>
      <c r="W411" s="22" t="s">
        <v>298</v>
      </c>
    </row>
    <row r="412" spans="1:23" x14ac:dyDescent="0.2">
      <c r="A412" t="s">
        <v>193</v>
      </c>
      <c r="B412" t="s">
        <v>80</v>
      </c>
      <c r="C412">
        <v>7.4</v>
      </c>
      <c r="D412" t="s">
        <v>76</v>
      </c>
      <c r="E412" t="s">
        <v>76</v>
      </c>
      <c r="O412" s="8">
        <v>5</v>
      </c>
      <c r="P412" s="8">
        <v>44</v>
      </c>
      <c r="Q412">
        <v>3.8</v>
      </c>
      <c r="R412">
        <v>1.7</v>
      </c>
      <c r="S412" s="1">
        <v>0.4</v>
      </c>
      <c r="T412" s="39">
        <v>43730</v>
      </c>
      <c r="U412" s="25" t="s">
        <v>382</v>
      </c>
      <c r="V412" t="s">
        <v>307</v>
      </c>
      <c r="W412" s="22" t="s">
        <v>308</v>
      </c>
    </row>
    <row r="413" spans="1:23" x14ac:dyDescent="0.2">
      <c r="A413" t="s">
        <v>193</v>
      </c>
      <c r="D413" t="s">
        <v>75</v>
      </c>
      <c r="E413" t="s">
        <v>75</v>
      </c>
      <c r="O413">
        <v>5</v>
      </c>
      <c r="P413">
        <v>48</v>
      </c>
      <c r="R413">
        <f>27.6</f>
        <v>27.6</v>
      </c>
      <c r="T413" s="39">
        <v>43730</v>
      </c>
      <c r="U413" s="25" t="s">
        <v>382</v>
      </c>
      <c r="V413" t="s">
        <v>296</v>
      </c>
      <c r="W413" s="22" t="s">
        <v>284</v>
      </c>
    </row>
    <row r="414" spans="1:23" x14ac:dyDescent="0.2">
      <c r="A414" t="s">
        <v>193</v>
      </c>
      <c r="D414" s="3"/>
      <c r="E414" s="3"/>
      <c r="F414" s="3"/>
      <c r="O414" s="3">
        <v>20.5</v>
      </c>
      <c r="P414" s="3">
        <v>43</v>
      </c>
      <c r="R414" s="3">
        <v>1.5</v>
      </c>
      <c r="T414" s="39">
        <v>43730</v>
      </c>
      <c r="U414" s="33" t="s">
        <v>382</v>
      </c>
      <c r="V414" t="s">
        <v>298</v>
      </c>
      <c r="W414" s="28" t="s">
        <v>302</v>
      </c>
    </row>
    <row r="415" spans="1:23" x14ac:dyDescent="0.2">
      <c r="A415" t="s">
        <v>193</v>
      </c>
      <c r="B415" t="s">
        <v>11</v>
      </c>
      <c r="I415" t="s">
        <v>75</v>
      </c>
      <c r="J415" t="s">
        <v>76</v>
      </c>
      <c r="K415" t="s">
        <v>75</v>
      </c>
      <c r="L415" t="s">
        <v>76</v>
      </c>
      <c r="M415" t="s">
        <v>75</v>
      </c>
      <c r="N415" t="s">
        <v>132</v>
      </c>
      <c r="O415">
        <v>-4</v>
      </c>
      <c r="P415">
        <v>45</v>
      </c>
      <c r="Q415">
        <v>5.7</v>
      </c>
      <c r="R415">
        <v>10.4</v>
      </c>
      <c r="S415" s="1">
        <v>1.8</v>
      </c>
      <c r="T415" s="39">
        <v>43730</v>
      </c>
      <c r="U415" s="25" t="s">
        <v>382</v>
      </c>
      <c r="V415" t="s">
        <v>294</v>
      </c>
      <c r="W415" s="22" t="s">
        <v>299</v>
      </c>
    </row>
    <row r="416" spans="1:23" x14ac:dyDescent="0.2">
      <c r="A416" t="s">
        <v>193</v>
      </c>
      <c r="O416">
        <v>6</v>
      </c>
      <c r="P416">
        <v>44.5</v>
      </c>
      <c r="R416">
        <v>3.3</v>
      </c>
      <c r="T416" s="39">
        <v>43730</v>
      </c>
      <c r="U416" s="25" t="s">
        <v>382</v>
      </c>
      <c r="V416" t="s">
        <v>309</v>
      </c>
      <c r="W416" s="22" t="s">
        <v>256</v>
      </c>
    </row>
    <row r="417" spans="1:23" x14ac:dyDescent="0.2">
      <c r="A417" t="s">
        <v>193</v>
      </c>
      <c r="B417" t="s">
        <v>78</v>
      </c>
      <c r="C417">
        <v>11.1</v>
      </c>
      <c r="D417" t="s">
        <v>75</v>
      </c>
      <c r="E417" t="s">
        <v>76</v>
      </c>
      <c r="O417">
        <v>-6</v>
      </c>
      <c r="P417">
        <v>44.5</v>
      </c>
      <c r="Q417">
        <v>5.6</v>
      </c>
      <c r="R417">
        <v>11.7</v>
      </c>
      <c r="S417" s="1">
        <v>2.1</v>
      </c>
      <c r="T417" s="39">
        <v>43730</v>
      </c>
      <c r="U417" s="25" t="s">
        <v>382</v>
      </c>
      <c r="V417" s="22" t="s">
        <v>256</v>
      </c>
      <c r="W417" s="22" t="s">
        <v>309</v>
      </c>
    </row>
    <row r="418" spans="1:23" x14ac:dyDescent="0.2">
      <c r="A418" t="s">
        <v>193</v>
      </c>
      <c r="O418" s="8">
        <v>-5</v>
      </c>
      <c r="P418" s="8">
        <v>44</v>
      </c>
      <c r="R418">
        <f>18.2+1.9</f>
        <v>20.099999999999998</v>
      </c>
      <c r="T418" s="39">
        <v>43730</v>
      </c>
      <c r="U418" s="25" t="s">
        <v>382</v>
      </c>
      <c r="V418" t="s">
        <v>308</v>
      </c>
      <c r="W418" s="22" t="s">
        <v>307</v>
      </c>
    </row>
    <row r="419" spans="1:23" x14ac:dyDescent="0.2">
      <c r="A419" t="s">
        <v>193</v>
      </c>
      <c r="D419" t="s">
        <v>75</v>
      </c>
      <c r="E419" t="s">
        <v>75</v>
      </c>
      <c r="O419">
        <v>-5</v>
      </c>
      <c r="P419">
        <v>48</v>
      </c>
      <c r="R419">
        <f>9.6+2.7</f>
        <v>12.3</v>
      </c>
      <c r="T419" s="39">
        <v>43730</v>
      </c>
      <c r="U419" s="25" t="s">
        <v>382</v>
      </c>
      <c r="V419" t="s">
        <v>284</v>
      </c>
      <c r="W419" s="22" t="s">
        <v>296</v>
      </c>
    </row>
    <row r="420" spans="1:23" x14ac:dyDescent="0.2">
      <c r="A420" t="s">
        <v>193</v>
      </c>
      <c r="O420">
        <v>-1.5</v>
      </c>
      <c r="P420">
        <v>38</v>
      </c>
      <c r="R420">
        <v>17.399999999999999</v>
      </c>
      <c r="T420" s="39">
        <v>43730</v>
      </c>
      <c r="U420" s="25" t="s">
        <v>382</v>
      </c>
      <c r="V420" t="s">
        <v>310</v>
      </c>
      <c r="W420" s="22" t="s">
        <v>297</v>
      </c>
    </row>
    <row r="421" spans="1:23" x14ac:dyDescent="0.2">
      <c r="A421" t="s">
        <v>193</v>
      </c>
      <c r="O421">
        <v>5</v>
      </c>
      <c r="P421">
        <v>41</v>
      </c>
      <c r="R421">
        <v>8.9</v>
      </c>
      <c r="T421" s="39">
        <v>43730</v>
      </c>
      <c r="U421" s="25" t="s">
        <v>382</v>
      </c>
      <c r="V421" t="s">
        <v>306</v>
      </c>
      <c r="W421" s="22" t="s">
        <v>265</v>
      </c>
    </row>
    <row r="422" spans="1:23" x14ac:dyDescent="0.2">
      <c r="A422" t="s">
        <v>193</v>
      </c>
      <c r="F422" t="s">
        <v>109</v>
      </c>
      <c r="O422">
        <v>5.5</v>
      </c>
      <c r="P422">
        <v>49</v>
      </c>
      <c r="R422" s="14">
        <v>4.4000000000000004</v>
      </c>
      <c r="T422" s="39">
        <v>43737</v>
      </c>
      <c r="U422" s="26" t="s">
        <v>417</v>
      </c>
      <c r="V422" t="s">
        <v>285</v>
      </c>
      <c r="W422" s="26" t="s">
        <v>308</v>
      </c>
    </row>
    <row r="423" spans="1:23" x14ac:dyDescent="0.2">
      <c r="A423" t="s">
        <v>193</v>
      </c>
      <c r="O423">
        <v>-3.5</v>
      </c>
      <c r="P423">
        <v>46</v>
      </c>
      <c r="R423" s="14">
        <v>25</v>
      </c>
      <c r="T423" s="39">
        <v>43737</v>
      </c>
      <c r="U423" s="26" t="s">
        <v>417</v>
      </c>
      <c r="V423" t="s">
        <v>295</v>
      </c>
      <c r="W423" s="27" t="s">
        <v>310</v>
      </c>
    </row>
    <row r="424" spans="1:23" x14ac:dyDescent="0.2">
      <c r="A424" t="s">
        <v>193</v>
      </c>
      <c r="F424" t="s">
        <v>110</v>
      </c>
      <c r="O424">
        <v>-7.5</v>
      </c>
      <c r="P424">
        <v>47</v>
      </c>
      <c r="R424" s="14">
        <f>13.1+5.9+1.9</f>
        <v>20.9</v>
      </c>
      <c r="T424" s="39">
        <v>43737</v>
      </c>
      <c r="U424" s="26" t="s">
        <v>417</v>
      </c>
      <c r="V424" s="41" t="s">
        <v>305</v>
      </c>
      <c r="W424" s="27" t="s">
        <v>281</v>
      </c>
    </row>
    <row r="425" spans="1:23" x14ac:dyDescent="0.2">
      <c r="A425" t="s">
        <v>193</v>
      </c>
      <c r="O425">
        <v>7</v>
      </c>
      <c r="P425">
        <v>41.5</v>
      </c>
      <c r="R425" s="14">
        <v>8.8000000000000007</v>
      </c>
      <c r="T425" s="39">
        <v>43737</v>
      </c>
      <c r="U425" s="26" t="s">
        <v>417</v>
      </c>
      <c r="V425" t="s">
        <v>276</v>
      </c>
      <c r="W425" s="27" t="s">
        <v>302</v>
      </c>
    </row>
    <row r="426" spans="1:23" x14ac:dyDescent="0.2">
      <c r="A426" t="s">
        <v>193</v>
      </c>
      <c r="F426" t="s">
        <v>109</v>
      </c>
      <c r="O426">
        <v>5.5</v>
      </c>
      <c r="P426">
        <v>47.5</v>
      </c>
      <c r="R426" s="14">
        <v>2.5</v>
      </c>
      <c r="T426" s="39">
        <v>43737</v>
      </c>
      <c r="U426" s="26" t="s">
        <v>417</v>
      </c>
      <c r="V426" t="s">
        <v>301</v>
      </c>
      <c r="W426" s="27" t="s">
        <v>311</v>
      </c>
    </row>
    <row r="427" spans="1:23" x14ac:dyDescent="0.2">
      <c r="A427" t="s">
        <v>193</v>
      </c>
      <c r="F427" t="s">
        <v>110</v>
      </c>
      <c r="O427">
        <v>1</v>
      </c>
      <c r="P427">
        <v>38</v>
      </c>
      <c r="R427" s="14">
        <f>3.6+3.3+1.7</f>
        <v>8.6</v>
      </c>
      <c r="T427" s="39">
        <v>43737</v>
      </c>
      <c r="U427" s="26" t="s">
        <v>417</v>
      </c>
      <c r="V427" t="s">
        <v>265</v>
      </c>
      <c r="W427" s="27" t="s">
        <v>312</v>
      </c>
    </row>
    <row r="428" spans="1:23" x14ac:dyDescent="0.2">
      <c r="A428" t="s">
        <v>193</v>
      </c>
      <c r="O428">
        <v>3.5</v>
      </c>
      <c r="P428">
        <v>45.5</v>
      </c>
      <c r="R428" s="14">
        <v>4.7</v>
      </c>
      <c r="T428" s="39">
        <v>43737</v>
      </c>
      <c r="U428" s="26" t="s">
        <v>417</v>
      </c>
      <c r="V428" s="17" t="s">
        <v>272</v>
      </c>
      <c r="W428" s="27" t="s">
        <v>309</v>
      </c>
    </row>
    <row r="429" spans="1:23" x14ac:dyDescent="0.2">
      <c r="A429" t="s">
        <v>193</v>
      </c>
      <c r="F429" t="s">
        <v>110</v>
      </c>
      <c r="O429">
        <v>7.5</v>
      </c>
      <c r="P429">
        <v>47</v>
      </c>
      <c r="R429" s="14">
        <v>20</v>
      </c>
      <c r="T429" s="39">
        <v>43737</v>
      </c>
      <c r="U429" s="26" t="s">
        <v>417</v>
      </c>
      <c r="V429" t="s">
        <v>281</v>
      </c>
      <c r="W429" s="27" t="s">
        <v>305</v>
      </c>
    </row>
    <row r="430" spans="1:23" x14ac:dyDescent="0.2">
      <c r="A430" t="s">
        <v>193</v>
      </c>
      <c r="O430">
        <v>-2.5</v>
      </c>
      <c r="P430">
        <v>47</v>
      </c>
      <c r="R430" s="14">
        <v>15.9</v>
      </c>
      <c r="T430" s="39">
        <v>43737</v>
      </c>
      <c r="U430" s="26" t="s">
        <v>417</v>
      </c>
      <c r="V430" t="s">
        <v>291</v>
      </c>
      <c r="W430" s="27" t="s">
        <v>307</v>
      </c>
    </row>
    <row r="431" spans="1:23" x14ac:dyDescent="0.2">
      <c r="A431" t="s">
        <v>193</v>
      </c>
      <c r="O431">
        <v>-2.5</v>
      </c>
      <c r="P431">
        <v>37</v>
      </c>
      <c r="R431">
        <v>11.1</v>
      </c>
      <c r="T431" s="39">
        <v>43737</v>
      </c>
      <c r="U431" t="s">
        <v>417</v>
      </c>
      <c r="V431" t="s">
        <v>278</v>
      </c>
      <c r="W431" t="s">
        <v>297</v>
      </c>
    </row>
    <row r="432" spans="1:23" x14ac:dyDescent="0.2">
      <c r="A432" t="s">
        <v>193</v>
      </c>
      <c r="O432">
        <v>7.5</v>
      </c>
      <c r="P432">
        <v>54.5</v>
      </c>
      <c r="R432" s="14">
        <f>11.7+5.5</f>
        <v>17.2</v>
      </c>
      <c r="T432" s="39">
        <v>43737</v>
      </c>
      <c r="U432" s="26" t="s">
        <v>417</v>
      </c>
      <c r="V432" t="s">
        <v>299</v>
      </c>
      <c r="W432" s="27" t="s">
        <v>288</v>
      </c>
    </row>
    <row r="433" spans="1:23" x14ac:dyDescent="0.2">
      <c r="A433" t="s">
        <v>193</v>
      </c>
      <c r="D433" t="s">
        <v>75</v>
      </c>
      <c r="O433">
        <v>-3.5</v>
      </c>
      <c r="P433">
        <v>46</v>
      </c>
      <c r="R433" s="14">
        <f>18.1+3.9+2.1</f>
        <v>24.1</v>
      </c>
      <c r="T433" s="39">
        <v>43737</v>
      </c>
      <c r="U433" s="26" t="s">
        <v>417</v>
      </c>
      <c r="V433" t="s">
        <v>300</v>
      </c>
      <c r="W433" s="27" t="s">
        <v>294</v>
      </c>
    </row>
    <row r="434" spans="1:23" x14ac:dyDescent="0.2">
      <c r="A434" t="s">
        <v>193</v>
      </c>
      <c r="F434" t="s">
        <v>109</v>
      </c>
      <c r="O434">
        <v>-5.5</v>
      </c>
      <c r="P434">
        <v>47.5</v>
      </c>
      <c r="R434" s="14">
        <v>7.3</v>
      </c>
      <c r="T434" s="39">
        <v>43737</v>
      </c>
      <c r="U434" s="26" t="s">
        <v>417</v>
      </c>
      <c r="V434" t="s">
        <v>311</v>
      </c>
      <c r="W434" s="27" t="s">
        <v>301</v>
      </c>
    </row>
    <row r="435" spans="1:23" x14ac:dyDescent="0.2">
      <c r="A435" t="s">
        <v>193</v>
      </c>
      <c r="F435" t="s">
        <v>110</v>
      </c>
      <c r="O435">
        <v>-5</v>
      </c>
      <c r="P435">
        <v>46</v>
      </c>
      <c r="R435" s="14">
        <f>12.2+11.8</f>
        <v>24</v>
      </c>
      <c r="T435" s="39">
        <v>43737</v>
      </c>
      <c r="U435" s="26" t="s">
        <v>417</v>
      </c>
      <c r="V435" t="s">
        <v>289</v>
      </c>
      <c r="W435" s="27" t="s">
        <v>303</v>
      </c>
    </row>
    <row r="436" spans="1:23" x14ac:dyDescent="0.2">
      <c r="A436" t="s">
        <v>193</v>
      </c>
      <c r="O436">
        <v>2.5</v>
      </c>
      <c r="P436">
        <v>37</v>
      </c>
      <c r="R436" s="14">
        <f>8.8+4.7</f>
        <v>13.5</v>
      </c>
      <c r="T436" s="39">
        <v>43737</v>
      </c>
      <c r="U436" s="26" t="s">
        <v>417</v>
      </c>
      <c r="V436" t="s">
        <v>297</v>
      </c>
      <c r="W436" s="27" t="s">
        <v>278</v>
      </c>
    </row>
    <row r="437" spans="1:23" x14ac:dyDescent="0.2">
      <c r="A437" t="s">
        <v>193</v>
      </c>
      <c r="B437" t="s">
        <v>19</v>
      </c>
      <c r="I437" t="s">
        <v>75</v>
      </c>
      <c r="J437" t="s">
        <v>76</v>
      </c>
      <c r="K437" t="s">
        <v>76</v>
      </c>
      <c r="L437" t="s">
        <v>76</v>
      </c>
      <c r="M437" t="s">
        <v>76</v>
      </c>
      <c r="N437" t="s">
        <v>134</v>
      </c>
      <c r="O437">
        <v>-7.5</v>
      </c>
      <c r="P437">
        <v>54.5</v>
      </c>
      <c r="Q437">
        <v>7.2</v>
      </c>
      <c r="R437" s="14">
        <v>15.5</v>
      </c>
      <c r="S437" s="1">
        <v>2.2000000000000002</v>
      </c>
      <c r="T437" s="39">
        <v>43737</v>
      </c>
      <c r="U437" s="26" t="s">
        <v>417</v>
      </c>
      <c r="V437" t="s">
        <v>288</v>
      </c>
      <c r="W437" s="27" t="s">
        <v>299</v>
      </c>
    </row>
    <row r="438" spans="1:23" x14ac:dyDescent="0.2">
      <c r="A438" t="s">
        <v>193</v>
      </c>
      <c r="F438" t="s">
        <v>110</v>
      </c>
      <c r="O438">
        <v>5</v>
      </c>
      <c r="P438">
        <v>46</v>
      </c>
      <c r="R438" s="14">
        <f>12.3+12</f>
        <v>24.3</v>
      </c>
      <c r="T438" s="39">
        <v>43737</v>
      </c>
      <c r="U438" s="26" t="s">
        <v>417</v>
      </c>
      <c r="V438" t="s">
        <v>303</v>
      </c>
      <c r="W438" s="27" t="s">
        <v>289</v>
      </c>
    </row>
    <row r="439" spans="1:23" x14ac:dyDescent="0.2">
      <c r="A439" t="s">
        <v>193</v>
      </c>
      <c r="E439" t="s">
        <v>75</v>
      </c>
      <c r="O439" s="8">
        <v>-15</v>
      </c>
      <c r="P439" s="8">
        <v>43.5</v>
      </c>
      <c r="R439" s="14">
        <f>5.7+2.2</f>
        <v>7.9</v>
      </c>
      <c r="T439" s="39">
        <v>43737</v>
      </c>
      <c r="U439" s="26" t="s">
        <v>417</v>
      </c>
      <c r="V439" t="s">
        <v>287</v>
      </c>
      <c r="W439" s="26" t="s">
        <v>293</v>
      </c>
    </row>
    <row r="440" spans="1:23" x14ac:dyDescent="0.2">
      <c r="A440" t="s">
        <v>193</v>
      </c>
      <c r="F440" t="s">
        <v>109</v>
      </c>
      <c r="O440">
        <v>-9</v>
      </c>
      <c r="P440">
        <v>48.5</v>
      </c>
      <c r="R440" s="14">
        <f>15.4+8.1</f>
        <v>23.5</v>
      </c>
      <c r="T440" s="39">
        <v>43737</v>
      </c>
      <c r="U440" s="26" t="s">
        <v>417</v>
      </c>
      <c r="V440" t="s">
        <v>304</v>
      </c>
      <c r="W440" s="27" t="s">
        <v>284</v>
      </c>
    </row>
    <row r="441" spans="1:23" x14ac:dyDescent="0.2">
      <c r="A441" t="s">
        <v>193</v>
      </c>
      <c r="D441" s="3"/>
      <c r="E441" t="s">
        <v>75</v>
      </c>
      <c r="F441" s="3"/>
      <c r="O441" s="3">
        <v>15</v>
      </c>
      <c r="P441" s="3">
        <v>43.5</v>
      </c>
      <c r="R441" s="30">
        <v>1.9</v>
      </c>
      <c r="T441" s="39">
        <v>43737</v>
      </c>
      <c r="U441" s="31" t="s">
        <v>417</v>
      </c>
      <c r="V441" t="s">
        <v>293</v>
      </c>
      <c r="W441" s="32" t="s">
        <v>287</v>
      </c>
    </row>
    <row r="442" spans="1:23" x14ac:dyDescent="0.2">
      <c r="A442" t="s">
        <v>193</v>
      </c>
      <c r="F442" t="s">
        <v>110</v>
      </c>
      <c r="O442">
        <v>-1</v>
      </c>
      <c r="P442">
        <v>38</v>
      </c>
      <c r="R442" s="14">
        <f>2.2+1.5</f>
        <v>3.7</v>
      </c>
      <c r="T442" s="39">
        <v>43737</v>
      </c>
      <c r="U442" s="26" t="s">
        <v>417</v>
      </c>
      <c r="V442" t="s">
        <v>312</v>
      </c>
      <c r="W442" s="27" t="s">
        <v>265</v>
      </c>
    </row>
    <row r="443" spans="1:23" x14ac:dyDescent="0.2">
      <c r="A443" t="s">
        <v>193</v>
      </c>
      <c r="O443">
        <v>-7</v>
      </c>
      <c r="P443">
        <v>41.5</v>
      </c>
      <c r="R443" s="14">
        <v>0</v>
      </c>
      <c r="T443" s="39">
        <v>43737</v>
      </c>
      <c r="U443" s="26" t="s">
        <v>417</v>
      </c>
      <c r="V443" t="s">
        <v>302</v>
      </c>
      <c r="W443" s="27" t="s">
        <v>276</v>
      </c>
    </row>
    <row r="444" spans="1:23" x14ac:dyDescent="0.2">
      <c r="A444" t="s">
        <v>193</v>
      </c>
      <c r="O444">
        <v>2.5</v>
      </c>
      <c r="P444">
        <v>47</v>
      </c>
      <c r="R444" s="14">
        <v>11</v>
      </c>
      <c r="T444" s="39">
        <v>43737</v>
      </c>
      <c r="U444" s="26" t="s">
        <v>417</v>
      </c>
      <c r="V444" t="s">
        <v>307</v>
      </c>
      <c r="W444" s="27" t="s">
        <v>291</v>
      </c>
    </row>
    <row r="445" spans="1:23" x14ac:dyDescent="0.2">
      <c r="A445" t="s">
        <v>193</v>
      </c>
      <c r="O445">
        <v>-3</v>
      </c>
      <c r="P445">
        <v>48</v>
      </c>
      <c r="R445" s="14">
        <f>9.4+5.4</f>
        <v>14.8</v>
      </c>
      <c r="T445" s="39">
        <v>43737</v>
      </c>
      <c r="U445" s="26" t="s">
        <v>417</v>
      </c>
      <c r="V445" t="s">
        <v>296</v>
      </c>
      <c r="W445" s="27" t="s">
        <v>306</v>
      </c>
    </row>
    <row r="446" spans="1:23" x14ac:dyDescent="0.2">
      <c r="A446" t="s">
        <v>193</v>
      </c>
      <c r="B446" t="s">
        <v>11</v>
      </c>
      <c r="C446">
        <v>12.2</v>
      </c>
      <c r="D446" t="s">
        <v>75</v>
      </c>
      <c r="E446" t="s">
        <v>76</v>
      </c>
      <c r="O446">
        <v>3.5</v>
      </c>
      <c r="P446">
        <v>46</v>
      </c>
      <c r="Q446">
        <v>6.2</v>
      </c>
      <c r="R446" s="14">
        <v>13.5</v>
      </c>
      <c r="S446" s="1">
        <v>2.2000000000000002</v>
      </c>
      <c r="T446" s="39">
        <v>43737</v>
      </c>
      <c r="U446" s="26" t="s">
        <v>417</v>
      </c>
      <c r="V446" t="s">
        <v>294</v>
      </c>
      <c r="W446" s="27" t="s">
        <v>300</v>
      </c>
    </row>
    <row r="447" spans="1:23" x14ac:dyDescent="0.2">
      <c r="A447" t="s">
        <v>193</v>
      </c>
      <c r="O447">
        <v>-3.5</v>
      </c>
      <c r="P447">
        <v>45.5</v>
      </c>
      <c r="R447" s="14">
        <v>4.8</v>
      </c>
      <c r="T447" s="39">
        <v>43737</v>
      </c>
      <c r="U447" s="26" t="s">
        <v>417</v>
      </c>
      <c r="V447" t="s">
        <v>309</v>
      </c>
      <c r="W447" s="27" t="s">
        <v>272</v>
      </c>
    </row>
    <row r="448" spans="1:23" x14ac:dyDescent="0.2">
      <c r="A448" t="s">
        <v>193</v>
      </c>
      <c r="F448" t="s">
        <v>109</v>
      </c>
      <c r="O448">
        <v>-5.5</v>
      </c>
      <c r="P448">
        <v>49</v>
      </c>
      <c r="R448" s="14">
        <f>18.7+4.6</f>
        <v>23.299999999999997</v>
      </c>
      <c r="T448" s="39">
        <v>43737</v>
      </c>
      <c r="U448" s="26" t="s">
        <v>417</v>
      </c>
      <c r="V448" t="s">
        <v>308</v>
      </c>
      <c r="W448" s="27" t="s">
        <v>285</v>
      </c>
    </row>
    <row r="449" spans="1:23" x14ac:dyDescent="0.2">
      <c r="A449" t="s">
        <v>193</v>
      </c>
      <c r="F449" t="s">
        <v>109</v>
      </c>
      <c r="O449">
        <v>9</v>
      </c>
      <c r="P449">
        <v>48.5</v>
      </c>
      <c r="R449" s="14">
        <v>18.899999999999999</v>
      </c>
      <c r="T449" s="39">
        <v>43737</v>
      </c>
      <c r="U449" s="26" t="s">
        <v>417</v>
      </c>
      <c r="V449" t="s">
        <v>284</v>
      </c>
      <c r="W449" s="27" t="s">
        <v>304</v>
      </c>
    </row>
    <row r="450" spans="1:23" x14ac:dyDescent="0.2">
      <c r="A450" t="s">
        <v>193</v>
      </c>
      <c r="O450">
        <v>3.5</v>
      </c>
      <c r="P450">
        <v>46</v>
      </c>
      <c r="R450" s="14">
        <v>2.9</v>
      </c>
      <c r="T450" s="39">
        <v>43737</v>
      </c>
      <c r="U450" s="26" t="s">
        <v>417</v>
      </c>
      <c r="V450" t="s">
        <v>310</v>
      </c>
      <c r="W450" s="27" t="s">
        <v>295</v>
      </c>
    </row>
    <row r="451" spans="1:23" x14ac:dyDescent="0.2">
      <c r="A451" t="s">
        <v>193</v>
      </c>
      <c r="O451">
        <v>3</v>
      </c>
      <c r="P451">
        <v>48</v>
      </c>
      <c r="R451" s="14">
        <v>4.5</v>
      </c>
      <c r="T451" s="39">
        <v>43737</v>
      </c>
      <c r="U451" s="26" t="s">
        <v>417</v>
      </c>
      <c r="V451" t="s">
        <v>306</v>
      </c>
      <c r="W451" s="27" t="s">
        <v>296</v>
      </c>
    </row>
    <row r="452" spans="1:23" x14ac:dyDescent="0.2">
      <c r="A452" t="s">
        <v>193</v>
      </c>
      <c r="E452" t="s">
        <v>75</v>
      </c>
      <c r="F452" t="s">
        <v>109</v>
      </c>
      <c r="O452">
        <v>3</v>
      </c>
      <c r="P452">
        <v>45</v>
      </c>
      <c r="R452">
        <f>3.7+1.7</f>
        <v>5.4</v>
      </c>
      <c r="T452" s="39">
        <v>43744</v>
      </c>
      <c r="U452" s="22" t="s">
        <v>381</v>
      </c>
      <c r="V452" t="s">
        <v>285</v>
      </c>
      <c r="W452" s="22" t="s">
        <v>272</v>
      </c>
    </row>
    <row r="453" spans="1:23" x14ac:dyDescent="0.2">
      <c r="A453" t="s">
        <v>193</v>
      </c>
      <c r="D453" t="s">
        <v>75</v>
      </c>
      <c r="E453" t="s">
        <v>75</v>
      </c>
      <c r="F453" t="s">
        <v>109</v>
      </c>
      <c r="O453">
        <v>4</v>
      </c>
      <c r="P453">
        <v>49</v>
      </c>
      <c r="R453">
        <v>13.6</v>
      </c>
      <c r="T453" s="39">
        <v>43744</v>
      </c>
      <c r="U453" s="22" t="s">
        <v>381</v>
      </c>
      <c r="V453" t="s">
        <v>295</v>
      </c>
      <c r="W453" s="22" t="s">
        <v>311</v>
      </c>
    </row>
    <row r="454" spans="1:23" x14ac:dyDescent="0.2">
      <c r="A454" t="s">
        <v>193</v>
      </c>
      <c r="O454">
        <v>-3</v>
      </c>
      <c r="P454">
        <v>44</v>
      </c>
      <c r="R454">
        <f>9.5+7.2</f>
        <v>16.7</v>
      </c>
      <c r="T454" s="39">
        <v>43744</v>
      </c>
      <c r="U454" s="22" t="s">
        <v>381</v>
      </c>
      <c r="V454" s="41" t="s">
        <v>305</v>
      </c>
      <c r="W454" s="22" t="s">
        <v>309</v>
      </c>
    </row>
    <row r="455" spans="1:23" x14ac:dyDescent="0.2">
      <c r="A455" t="s">
        <v>193</v>
      </c>
      <c r="O455">
        <v>3.5</v>
      </c>
      <c r="P455">
        <v>39.5</v>
      </c>
      <c r="R455">
        <f>7.8+3.2</f>
        <v>11</v>
      </c>
      <c r="T455" s="39">
        <v>43744</v>
      </c>
      <c r="U455" s="22" t="s">
        <v>381</v>
      </c>
      <c r="V455" t="s">
        <v>276</v>
      </c>
      <c r="W455" s="22" t="s">
        <v>310</v>
      </c>
    </row>
    <row r="456" spans="1:23" x14ac:dyDescent="0.2">
      <c r="A456" t="s">
        <v>193</v>
      </c>
      <c r="O456">
        <v>-3</v>
      </c>
      <c r="P456">
        <v>41</v>
      </c>
      <c r="R456">
        <v>0</v>
      </c>
      <c r="T456" s="39">
        <v>43744</v>
      </c>
      <c r="U456" s="26" t="s">
        <v>381</v>
      </c>
      <c r="V456" t="s">
        <v>301</v>
      </c>
      <c r="W456" s="26" t="s">
        <v>297</v>
      </c>
    </row>
    <row r="457" spans="1:23" x14ac:dyDescent="0.2">
      <c r="A457" t="s">
        <v>193</v>
      </c>
      <c r="O457">
        <v>-6.5</v>
      </c>
      <c r="P457">
        <v>38.5</v>
      </c>
      <c r="R457">
        <v>7.2</v>
      </c>
      <c r="T457" s="39">
        <v>43744</v>
      </c>
      <c r="U457" s="22" t="s">
        <v>381</v>
      </c>
      <c r="V457" t="s">
        <v>265</v>
      </c>
      <c r="W457" s="22" t="s">
        <v>303</v>
      </c>
    </row>
    <row r="458" spans="1:23" x14ac:dyDescent="0.2">
      <c r="A458" t="s">
        <v>193</v>
      </c>
      <c r="E458" t="s">
        <v>75</v>
      </c>
      <c r="F458" t="s">
        <v>109</v>
      </c>
      <c r="O458">
        <v>-3</v>
      </c>
      <c r="P458">
        <v>45</v>
      </c>
      <c r="R458">
        <f>3.6+3.4</f>
        <v>7</v>
      </c>
      <c r="T458" s="39">
        <v>43744</v>
      </c>
      <c r="U458" s="22" t="s">
        <v>381</v>
      </c>
      <c r="V458" s="17" t="s">
        <v>272</v>
      </c>
      <c r="W458" s="22" t="s">
        <v>285</v>
      </c>
    </row>
    <row r="459" spans="1:23" x14ac:dyDescent="0.2">
      <c r="A459" t="s">
        <v>193</v>
      </c>
      <c r="O459">
        <v>5</v>
      </c>
      <c r="P459">
        <v>47.5</v>
      </c>
      <c r="R459">
        <v>1</v>
      </c>
      <c r="T459" s="39">
        <v>43744</v>
      </c>
      <c r="U459" s="22" t="s">
        <v>381</v>
      </c>
      <c r="V459" t="s">
        <v>281</v>
      </c>
      <c r="W459" s="22" t="s">
        <v>256</v>
      </c>
    </row>
    <row r="460" spans="1:23" x14ac:dyDescent="0.2">
      <c r="A460" t="s">
        <v>193</v>
      </c>
      <c r="O460">
        <v>-3.5</v>
      </c>
      <c r="P460">
        <v>46.5</v>
      </c>
      <c r="R460">
        <v>5.9</v>
      </c>
      <c r="T460" s="39">
        <v>43744</v>
      </c>
      <c r="U460" s="22" t="s">
        <v>381</v>
      </c>
      <c r="V460" t="s">
        <v>291</v>
      </c>
      <c r="W460" s="22" t="s">
        <v>300</v>
      </c>
    </row>
    <row r="461" spans="1:23" x14ac:dyDescent="0.2">
      <c r="A461" t="s">
        <v>193</v>
      </c>
      <c r="F461" t="s">
        <v>110</v>
      </c>
      <c r="O461">
        <v>4</v>
      </c>
      <c r="P461">
        <v>46</v>
      </c>
      <c r="R461">
        <v>7.1999999999999993</v>
      </c>
      <c r="T461" s="39">
        <v>43744</v>
      </c>
      <c r="U461" t="s">
        <v>381</v>
      </c>
      <c r="V461" t="s">
        <v>278</v>
      </c>
      <c r="W461" t="s">
        <v>287</v>
      </c>
    </row>
    <row r="462" spans="1:23" x14ac:dyDescent="0.2">
      <c r="A462" t="s">
        <v>193</v>
      </c>
      <c r="O462">
        <v>3.5</v>
      </c>
      <c r="P462">
        <v>46.5</v>
      </c>
      <c r="R462">
        <f>7.1+3.7+3.3</f>
        <v>14.100000000000001</v>
      </c>
      <c r="T462" s="39">
        <v>43744</v>
      </c>
      <c r="U462" s="22" t="s">
        <v>381</v>
      </c>
      <c r="V462" t="s">
        <v>300</v>
      </c>
      <c r="W462" s="22" t="s">
        <v>291</v>
      </c>
    </row>
    <row r="463" spans="1:23" x14ac:dyDescent="0.2">
      <c r="A463" t="s">
        <v>193</v>
      </c>
      <c r="D463" t="s">
        <v>75</v>
      </c>
      <c r="E463" t="s">
        <v>75</v>
      </c>
      <c r="F463" t="s">
        <v>109</v>
      </c>
      <c r="O463">
        <v>-4</v>
      </c>
      <c r="P463">
        <v>49</v>
      </c>
      <c r="R463">
        <v>19.100000000000001</v>
      </c>
      <c r="T463" s="39">
        <v>43744</v>
      </c>
      <c r="U463" s="22" t="s">
        <v>381</v>
      </c>
      <c r="V463" t="s">
        <v>311</v>
      </c>
      <c r="W463" s="22" t="s">
        <v>295</v>
      </c>
    </row>
    <row r="464" spans="1:23" x14ac:dyDescent="0.2">
      <c r="A464" t="s">
        <v>193</v>
      </c>
      <c r="E464" t="s">
        <v>75</v>
      </c>
      <c r="O464">
        <v>10.5</v>
      </c>
      <c r="P464">
        <v>55.5</v>
      </c>
      <c r="R464">
        <f>4.9+2+1.8</f>
        <v>8.7000000000000011</v>
      </c>
      <c r="T464" s="39">
        <v>43744</v>
      </c>
      <c r="U464" s="22" t="s">
        <v>381</v>
      </c>
      <c r="V464" t="s">
        <v>289</v>
      </c>
      <c r="W464" s="22" t="s">
        <v>288</v>
      </c>
    </row>
    <row r="465" spans="1:23" x14ac:dyDescent="0.2">
      <c r="A465" t="s">
        <v>193</v>
      </c>
      <c r="O465">
        <v>3</v>
      </c>
      <c r="P465">
        <v>41</v>
      </c>
      <c r="R465" s="14">
        <f>8.7+1.4</f>
        <v>10.1</v>
      </c>
      <c r="T465" s="39">
        <v>43744</v>
      </c>
      <c r="U465" s="26" t="s">
        <v>381</v>
      </c>
      <c r="V465" t="s">
        <v>297</v>
      </c>
      <c r="W465" s="26" t="s">
        <v>301</v>
      </c>
    </row>
    <row r="466" spans="1:23" x14ac:dyDescent="0.2">
      <c r="A466" t="s">
        <v>193</v>
      </c>
      <c r="B466" t="s">
        <v>19</v>
      </c>
      <c r="E466" t="s">
        <v>75</v>
      </c>
      <c r="I466" t="s">
        <v>75</v>
      </c>
      <c r="J466" t="s">
        <v>76</v>
      </c>
      <c r="K466" t="s">
        <v>76</v>
      </c>
      <c r="L466" t="s">
        <v>76</v>
      </c>
      <c r="M466" t="s">
        <v>75</v>
      </c>
      <c r="N466" t="s">
        <v>132</v>
      </c>
      <c r="O466">
        <v>-10.5</v>
      </c>
      <c r="P466">
        <v>55.5</v>
      </c>
      <c r="Q466">
        <v>7.3</v>
      </c>
      <c r="R466">
        <v>11</v>
      </c>
      <c r="S466" s="1">
        <v>1.5</v>
      </c>
      <c r="T466" s="39">
        <v>43744</v>
      </c>
      <c r="U466" s="22" t="s">
        <v>381</v>
      </c>
      <c r="V466" t="s">
        <v>288</v>
      </c>
      <c r="W466" s="22" t="s">
        <v>289</v>
      </c>
    </row>
    <row r="467" spans="1:23" x14ac:dyDescent="0.2">
      <c r="A467" t="s">
        <v>193</v>
      </c>
      <c r="B467" t="s">
        <v>107</v>
      </c>
      <c r="I467" t="s">
        <v>76</v>
      </c>
      <c r="J467" t="s">
        <v>75</v>
      </c>
      <c r="K467" t="s">
        <v>76</v>
      </c>
      <c r="L467" t="s">
        <v>76</v>
      </c>
      <c r="M467" t="s">
        <v>76</v>
      </c>
      <c r="N467" t="s">
        <v>134</v>
      </c>
      <c r="O467">
        <v>6.5</v>
      </c>
      <c r="P467">
        <v>38.5</v>
      </c>
      <c r="Q467">
        <v>5</v>
      </c>
      <c r="R467">
        <v>7.9</v>
      </c>
      <c r="S467" s="1">
        <v>1.6</v>
      </c>
      <c r="T467" s="39">
        <v>43744</v>
      </c>
      <c r="U467" s="22" t="s">
        <v>381</v>
      </c>
      <c r="V467" t="s">
        <v>303</v>
      </c>
      <c r="W467" s="22" t="s">
        <v>265</v>
      </c>
    </row>
    <row r="468" spans="1:23" x14ac:dyDescent="0.2">
      <c r="A468" t="s">
        <v>193</v>
      </c>
      <c r="F468" t="s">
        <v>110</v>
      </c>
      <c r="O468">
        <v>-4</v>
      </c>
      <c r="P468">
        <v>46</v>
      </c>
      <c r="R468">
        <v>1.5</v>
      </c>
      <c r="T468" s="39">
        <v>43744</v>
      </c>
      <c r="U468" s="22" t="s">
        <v>381</v>
      </c>
      <c r="V468" t="s">
        <v>287</v>
      </c>
      <c r="W468" s="22" t="s">
        <v>278</v>
      </c>
    </row>
    <row r="469" spans="1:23" x14ac:dyDescent="0.2">
      <c r="A469" t="s">
        <v>193</v>
      </c>
      <c r="D469" s="35"/>
      <c r="E469" s="35"/>
      <c r="F469" s="35"/>
      <c r="O469">
        <v>1.5</v>
      </c>
      <c r="P469">
        <v>49</v>
      </c>
      <c r="R469" s="14">
        <f>23.6+7.7</f>
        <v>31.3</v>
      </c>
      <c r="T469" s="39">
        <v>43744</v>
      </c>
      <c r="U469" s="26" t="s">
        <v>381</v>
      </c>
      <c r="V469" t="s">
        <v>304</v>
      </c>
      <c r="W469" s="26" t="s">
        <v>308</v>
      </c>
    </row>
    <row r="470" spans="1:23" x14ac:dyDescent="0.2">
      <c r="A470" t="s">
        <v>193</v>
      </c>
      <c r="D470" t="s">
        <v>75</v>
      </c>
      <c r="F470" t="s">
        <v>110</v>
      </c>
      <c r="O470" s="8">
        <v>-5.5</v>
      </c>
      <c r="P470" s="8">
        <v>44</v>
      </c>
      <c r="R470">
        <v>1.4</v>
      </c>
      <c r="T470" s="39">
        <v>43744</v>
      </c>
      <c r="U470" s="22" t="s">
        <v>381</v>
      </c>
      <c r="V470" s="18" t="s">
        <v>312</v>
      </c>
      <c r="W470" s="22" t="s">
        <v>296</v>
      </c>
    </row>
    <row r="471" spans="1:23" x14ac:dyDescent="0.2">
      <c r="A471" t="s">
        <v>193</v>
      </c>
      <c r="O471">
        <v>-15.5</v>
      </c>
      <c r="P471">
        <v>42</v>
      </c>
      <c r="R471">
        <f>11.9+3.2</f>
        <v>15.100000000000001</v>
      </c>
      <c r="T471" s="39">
        <v>43744</v>
      </c>
      <c r="U471" s="22" t="s">
        <v>381</v>
      </c>
      <c r="V471" s="18" t="s">
        <v>302</v>
      </c>
      <c r="W471" s="22" t="s">
        <v>306</v>
      </c>
    </row>
    <row r="472" spans="1:23" x14ac:dyDescent="0.2">
      <c r="A472" t="s">
        <v>193</v>
      </c>
      <c r="O472">
        <v>-3</v>
      </c>
      <c r="P472">
        <v>46</v>
      </c>
      <c r="R472">
        <f>14.1+6.9</f>
        <v>21</v>
      </c>
      <c r="T472" s="39">
        <v>43744</v>
      </c>
      <c r="U472" s="22" t="s">
        <v>381</v>
      </c>
      <c r="V472" s="18" t="s">
        <v>307</v>
      </c>
      <c r="W472" s="22" t="s">
        <v>284</v>
      </c>
    </row>
    <row r="473" spans="1:23" x14ac:dyDescent="0.2">
      <c r="A473" t="s">
        <v>193</v>
      </c>
      <c r="D473" s="3"/>
      <c r="E473" s="3"/>
      <c r="F473" t="s">
        <v>110</v>
      </c>
      <c r="O473" s="3">
        <v>5.5</v>
      </c>
      <c r="P473" s="3">
        <v>44</v>
      </c>
      <c r="R473" s="3">
        <v>12</v>
      </c>
      <c r="T473" s="39">
        <v>43744</v>
      </c>
      <c r="U473" s="28" t="s">
        <v>381</v>
      </c>
      <c r="V473" s="18" t="s">
        <v>296</v>
      </c>
      <c r="W473" s="28" t="s">
        <v>312</v>
      </c>
    </row>
    <row r="474" spans="1:23" x14ac:dyDescent="0.2">
      <c r="A474" t="s">
        <v>193</v>
      </c>
      <c r="D474" s="3"/>
      <c r="E474" t="s">
        <v>75</v>
      </c>
      <c r="F474" s="3"/>
      <c r="O474" s="3">
        <v>14</v>
      </c>
      <c r="P474" s="3">
        <v>43</v>
      </c>
      <c r="R474" s="3">
        <v>1.2</v>
      </c>
      <c r="T474" s="39">
        <v>43744</v>
      </c>
      <c r="U474" s="28" t="s">
        <v>381</v>
      </c>
      <c r="V474" s="18" t="s">
        <v>298</v>
      </c>
      <c r="W474" s="28" t="s">
        <v>294</v>
      </c>
    </row>
    <row r="475" spans="1:23" x14ac:dyDescent="0.2">
      <c r="A475" t="s">
        <v>193</v>
      </c>
      <c r="B475" t="s">
        <v>11</v>
      </c>
      <c r="C475">
        <v>13.2</v>
      </c>
      <c r="D475" t="s">
        <v>75</v>
      </c>
      <c r="E475" t="s">
        <v>75</v>
      </c>
      <c r="O475">
        <v>-14</v>
      </c>
      <c r="P475">
        <v>43</v>
      </c>
      <c r="Q475">
        <v>6</v>
      </c>
      <c r="R475">
        <v>16.7</v>
      </c>
      <c r="S475" s="1">
        <v>2.8</v>
      </c>
      <c r="T475" s="39">
        <v>43744</v>
      </c>
      <c r="U475" s="22" t="s">
        <v>381</v>
      </c>
      <c r="V475" s="18" t="s">
        <v>294</v>
      </c>
      <c r="W475" s="22" t="s">
        <v>298</v>
      </c>
    </row>
    <row r="476" spans="1:23" x14ac:dyDescent="0.2">
      <c r="A476" t="s">
        <v>193</v>
      </c>
      <c r="O476">
        <v>3</v>
      </c>
      <c r="P476">
        <v>44</v>
      </c>
      <c r="R476">
        <v>6.4</v>
      </c>
      <c r="T476" s="39">
        <v>43744</v>
      </c>
      <c r="U476" s="22" t="s">
        <v>381</v>
      </c>
      <c r="V476" s="18" t="s">
        <v>309</v>
      </c>
      <c r="W476" s="22" t="s">
        <v>305</v>
      </c>
    </row>
    <row r="477" spans="1:23" x14ac:dyDescent="0.2">
      <c r="A477" t="s">
        <v>193</v>
      </c>
      <c r="O477">
        <v>-5</v>
      </c>
      <c r="P477">
        <v>47.5</v>
      </c>
      <c r="R477">
        <f>20.8+1.7</f>
        <v>22.5</v>
      </c>
      <c r="T477" s="39">
        <v>43744</v>
      </c>
      <c r="U477" s="23" t="s">
        <v>381</v>
      </c>
      <c r="V477" s="38" t="s">
        <v>256</v>
      </c>
      <c r="W477" s="24" t="s">
        <v>281</v>
      </c>
    </row>
    <row r="478" spans="1:23" x14ac:dyDescent="0.2">
      <c r="A478" t="s">
        <v>193</v>
      </c>
      <c r="O478">
        <v>-1.5</v>
      </c>
      <c r="P478">
        <v>49</v>
      </c>
      <c r="R478" s="14">
        <v>14.8</v>
      </c>
      <c r="T478" s="39">
        <v>43744</v>
      </c>
      <c r="U478" s="26" t="s">
        <v>381</v>
      </c>
      <c r="V478" s="18" t="s">
        <v>308</v>
      </c>
      <c r="W478" s="26" t="s">
        <v>304</v>
      </c>
    </row>
    <row r="479" spans="1:23" x14ac:dyDescent="0.2">
      <c r="A479" t="s">
        <v>193</v>
      </c>
      <c r="O479">
        <v>3</v>
      </c>
      <c r="P479">
        <v>46</v>
      </c>
      <c r="R479">
        <v>4.0999999999999996</v>
      </c>
      <c r="T479" s="39">
        <v>43744</v>
      </c>
      <c r="U479" s="22" t="s">
        <v>381</v>
      </c>
      <c r="V479" s="18" t="s">
        <v>284</v>
      </c>
      <c r="W479" s="22" t="s">
        <v>307</v>
      </c>
    </row>
    <row r="480" spans="1:23" x14ac:dyDescent="0.2">
      <c r="A480" t="s">
        <v>193</v>
      </c>
      <c r="B480" t="s">
        <v>82</v>
      </c>
      <c r="C480">
        <v>8.6999999999999993</v>
      </c>
      <c r="D480" t="s">
        <v>76</v>
      </c>
      <c r="E480" t="s">
        <v>76</v>
      </c>
      <c r="O480">
        <v>-3.5</v>
      </c>
      <c r="P480">
        <v>39.5</v>
      </c>
      <c r="Q480">
        <v>3.9</v>
      </c>
      <c r="R480">
        <v>2</v>
      </c>
      <c r="S480" s="1">
        <v>0.5</v>
      </c>
      <c r="T480" s="39">
        <v>43744</v>
      </c>
      <c r="U480" s="22" t="s">
        <v>381</v>
      </c>
      <c r="V480" t="s">
        <v>310</v>
      </c>
      <c r="W480" s="22" t="s">
        <v>276</v>
      </c>
    </row>
    <row r="481" spans="1:23" x14ac:dyDescent="0.2">
      <c r="A481" t="s">
        <v>193</v>
      </c>
      <c r="O481">
        <v>15.5</v>
      </c>
      <c r="P481">
        <v>42</v>
      </c>
      <c r="R481">
        <v>3.7</v>
      </c>
      <c r="T481" s="39">
        <v>43744</v>
      </c>
      <c r="U481" s="22" t="s">
        <v>381</v>
      </c>
      <c r="V481" t="s">
        <v>306</v>
      </c>
      <c r="W481" s="22" t="s">
        <v>302</v>
      </c>
    </row>
    <row r="482" spans="1:23" x14ac:dyDescent="0.2">
      <c r="A482" t="s">
        <v>193</v>
      </c>
      <c r="F482" t="s">
        <v>109</v>
      </c>
      <c r="O482">
        <v>3</v>
      </c>
      <c r="P482">
        <v>52.5</v>
      </c>
      <c r="R482">
        <f>12.4+2.8</f>
        <v>15.2</v>
      </c>
      <c r="T482" s="39">
        <v>43751</v>
      </c>
      <c r="U482" s="22" t="s">
        <v>252</v>
      </c>
      <c r="V482" t="s">
        <v>285</v>
      </c>
      <c r="W482" s="22" t="s">
        <v>295</v>
      </c>
    </row>
    <row r="483" spans="1:23" x14ac:dyDescent="0.2">
      <c r="A483" t="s">
        <v>193</v>
      </c>
      <c r="F483" t="s">
        <v>109</v>
      </c>
      <c r="O483">
        <v>-3</v>
      </c>
      <c r="P483">
        <v>52.5</v>
      </c>
      <c r="R483">
        <f>28.7+3.1+1</f>
        <v>32.799999999999997</v>
      </c>
      <c r="T483" s="39">
        <v>43751</v>
      </c>
      <c r="U483" s="22" t="s">
        <v>252</v>
      </c>
      <c r="V483" t="s">
        <v>295</v>
      </c>
      <c r="W483" s="22" t="s">
        <v>285</v>
      </c>
    </row>
    <row r="484" spans="1:23" x14ac:dyDescent="0.2">
      <c r="A484" t="s">
        <v>193</v>
      </c>
      <c r="B484" t="s">
        <v>7</v>
      </c>
      <c r="C484">
        <v>9.8000000000000007</v>
      </c>
      <c r="D484" t="s">
        <v>75</v>
      </c>
      <c r="E484" t="s">
        <v>75</v>
      </c>
      <c r="I484" t="s">
        <v>76</v>
      </c>
      <c r="J484" t="s">
        <v>75</v>
      </c>
      <c r="K484" t="s">
        <v>76</v>
      </c>
      <c r="L484" t="s">
        <v>75</v>
      </c>
      <c r="M484" t="s">
        <v>75</v>
      </c>
      <c r="N484" t="s">
        <v>132</v>
      </c>
      <c r="O484">
        <v>-10.5</v>
      </c>
      <c r="P484">
        <v>47</v>
      </c>
      <c r="Q484">
        <v>6.2</v>
      </c>
      <c r="R484">
        <v>14.9</v>
      </c>
      <c r="S484" s="1">
        <v>2.4</v>
      </c>
      <c r="T484" s="39">
        <v>43751</v>
      </c>
      <c r="U484" s="22" t="s">
        <v>252</v>
      </c>
      <c r="V484" s="41" t="s">
        <v>305</v>
      </c>
      <c r="W484" s="22" t="s">
        <v>272</v>
      </c>
    </row>
    <row r="485" spans="1:23" x14ac:dyDescent="0.2">
      <c r="A485" t="s">
        <v>193</v>
      </c>
      <c r="O485">
        <v>-2</v>
      </c>
      <c r="P485">
        <v>48.5</v>
      </c>
      <c r="R485">
        <v>9.1999999999999993</v>
      </c>
      <c r="T485" s="39">
        <v>43751</v>
      </c>
      <c r="U485" s="22" t="s">
        <v>252</v>
      </c>
      <c r="V485" t="s">
        <v>301</v>
      </c>
      <c r="W485" s="22" t="s">
        <v>284</v>
      </c>
    </row>
    <row r="486" spans="1:23" x14ac:dyDescent="0.2">
      <c r="A486" t="s">
        <v>193</v>
      </c>
      <c r="O486">
        <v>10.5</v>
      </c>
      <c r="P486">
        <v>47</v>
      </c>
      <c r="R486">
        <f>4.6+3.3+0.9</f>
        <v>8.7999999999999989</v>
      </c>
      <c r="T486" s="39">
        <v>43751</v>
      </c>
      <c r="U486" s="22" t="s">
        <v>252</v>
      </c>
      <c r="V486" s="17" t="s">
        <v>272</v>
      </c>
      <c r="W486" s="22" t="s">
        <v>305</v>
      </c>
    </row>
    <row r="487" spans="1:23" x14ac:dyDescent="0.2">
      <c r="A487" t="s">
        <v>193</v>
      </c>
      <c r="F487" t="s">
        <v>110</v>
      </c>
      <c r="O487" s="22">
        <v>-1</v>
      </c>
      <c r="P487" s="22">
        <v>45.5</v>
      </c>
      <c r="R487">
        <f>13.7+2+1.9</f>
        <v>17.599999999999998</v>
      </c>
      <c r="T487" s="39">
        <v>43751</v>
      </c>
      <c r="U487" s="22" t="s">
        <v>252</v>
      </c>
      <c r="V487" t="s">
        <v>281</v>
      </c>
      <c r="W487" s="22" t="s">
        <v>308</v>
      </c>
    </row>
    <row r="488" spans="1:23" x14ac:dyDescent="0.2">
      <c r="A488" t="s">
        <v>193</v>
      </c>
      <c r="E488" t="s">
        <v>75</v>
      </c>
      <c r="O488">
        <v>-7</v>
      </c>
      <c r="P488">
        <v>43.5</v>
      </c>
      <c r="R488">
        <f>10.7+2.6+1.6</f>
        <v>14.899999999999999</v>
      </c>
      <c r="T488" s="39">
        <v>43751</v>
      </c>
      <c r="U488" s="22" t="s">
        <v>252</v>
      </c>
      <c r="V488" t="s">
        <v>291</v>
      </c>
      <c r="W488" s="22" t="s">
        <v>298</v>
      </c>
    </row>
    <row r="489" spans="1:23" x14ac:dyDescent="0.2">
      <c r="A489" t="s">
        <v>193</v>
      </c>
      <c r="O489">
        <v>-1</v>
      </c>
      <c r="P489">
        <v>41</v>
      </c>
      <c r="R489">
        <v>3.6</v>
      </c>
      <c r="T489" s="39">
        <v>43751</v>
      </c>
      <c r="U489" t="s">
        <v>252</v>
      </c>
      <c r="V489" t="s">
        <v>278</v>
      </c>
      <c r="W489" t="s">
        <v>310</v>
      </c>
    </row>
    <row r="490" spans="1:23" x14ac:dyDescent="0.2">
      <c r="A490" t="s">
        <v>193</v>
      </c>
      <c r="O490">
        <v>3.5</v>
      </c>
      <c r="P490">
        <v>47</v>
      </c>
      <c r="R490">
        <f>6.1+1.8</f>
        <v>7.8999999999999995</v>
      </c>
      <c r="T490" s="39">
        <v>43751</v>
      </c>
      <c r="U490" s="23" t="s">
        <v>252</v>
      </c>
      <c r="V490" t="s">
        <v>299</v>
      </c>
      <c r="W490" s="22" t="s">
        <v>300</v>
      </c>
    </row>
    <row r="491" spans="1:23" x14ac:dyDescent="0.2">
      <c r="A491" t="s">
        <v>193</v>
      </c>
      <c r="O491">
        <v>-3.5</v>
      </c>
      <c r="P491">
        <v>47</v>
      </c>
      <c r="R491">
        <v>10.7</v>
      </c>
      <c r="T491" s="39">
        <v>43751</v>
      </c>
      <c r="U491" s="22" t="s">
        <v>252</v>
      </c>
      <c r="V491" t="s">
        <v>300</v>
      </c>
      <c r="W491" s="22" t="s">
        <v>299</v>
      </c>
    </row>
    <row r="492" spans="1:23" x14ac:dyDescent="0.2">
      <c r="A492" t="s">
        <v>193</v>
      </c>
      <c r="F492" t="s">
        <v>109</v>
      </c>
      <c r="O492">
        <v>3.5</v>
      </c>
      <c r="P492">
        <v>54.5</v>
      </c>
      <c r="R492">
        <f>12.9+6.9</f>
        <v>19.8</v>
      </c>
      <c r="T492" s="39">
        <v>43751</v>
      </c>
      <c r="U492" s="22" t="s">
        <v>252</v>
      </c>
      <c r="V492" t="s">
        <v>311</v>
      </c>
      <c r="W492" s="22" t="s">
        <v>288</v>
      </c>
    </row>
    <row r="493" spans="1:23" x14ac:dyDescent="0.2">
      <c r="A493" t="s">
        <v>193</v>
      </c>
      <c r="F493" t="s">
        <v>110</v>
      </c>
      <c r="O493">
        <v>-2.5</v>
      </c>
      <c r="P493">
        <v>42.5</v>
      </c>
      <c r="R493">
        <f>2.6+1.5</f>
        <v>4.0999999999999996</v>
      </c>
      <c r="T493" s="39">
        <v>43751</v>
      </c>
      <c r="U493" s="22" t="s">
        <v>252</v>
      </c>
      <c r="V493" t="s">
        <v>297</v>
      </c>
      <c r="W493" s="22" t="s">
        <v>307</v>
      </c>
    </row>
    <row r="494" spans="1:23" x14ac:dyDescent="0.2">
      <c r="A494" t="s">
        <v>193</v>
      </c>
      <c r="F494" t="s">
        <v>109</v>
      </c>
      <c r="O494">
        <v>-3.5</v>
      </c>
      <c r="P494">
        <v>54.5</v>
      </c>
      <c r="R494">
        <v>9.8000000000000007</v>
      </c>
      <c r="T494" s="39">
        <v>43751</v>
      </c>
      <c r="U494" s="22" t="s">
        <v>252</v>
      </c>
      <c r="V494" t="s">
        <v>288</v>
      </c>
      <c r="W494" s="22" t="s">
        <v>311</v>
      </c>
    </row>
    <row r="495" spans="1:23" x14ac:dyDescent="0.2">
      <c r="A495" t="s">
        <v>193</v>
      </c>
      <c r="O495">
        <v>-6</v>
      </c>
      <c r="P495">
        <v>42.5</v>
      </c>
      <c r="R495">
        <f>33+2.5</f>
        <v>35.5</v>
      </c>
      <c r="T495" s="39">
        <v>43751</v>
      </c>
      <c r="U495" s="22" t="s">
        <v>252</v>
      </c>
      <c r="V495" t="s">
        <v>287</v>
      </c>
      <c r="W495" s="22" t="s">
        <v>309</v>
      </c>
    </row>
    <row r="496" spans="1:23" x14ac:dyDescent="0.2">
      <c r="A496" t="s">
        <v>193</v>
      </c>
      <c r="F496" t="s">
        <v>109</v>
      </c>
      <c r="O496">
        <v>-3</v>
      </c>
      <c r="P496">
        <v>49.5</v>
      </c>
      <c r="R496">
        <f>5.5+2.9</f>
        <v>8.4</v>
      </c>
      <c r="T496" s="39">
        <v>43751</v>
      </c>
      <c r="U496" s="22" t="s">
        <v>252</v>
      </c>
      <c r="V496" t="s">
        <v>304</v>
      </c>
      <c r="W496" s="22" t="s">
        <v>256</v>
      </c>
    </row>
    <row r="497" spans="1:23" x14ac:dyDescent="0.2">
      <c r="A497" t="s">
        <v>193</v>
      </c>
      <c r="D497" s="3" t="s">
        <v>75</v>
      </c>
      <c r="E497" t="s">
        <v>75</v>
      </c>
      <c r="F497" s="3"/>
      <c r="O497" s="3">
        <v>6</v>
      </c>
      <c r="P497" s="3">
        <v>42</v>
      </c>
      <c r="R497" s="3">
        <f>8.1+1.3</f>
        <v>9.4</v>
      </c>
      <c r="T497" s="39">
        <v>43751</v>
      </c>
      <c r="U497" s="28" t="s">
        <v>252</v>
      </c>
      <c r="V497" t="s">
        <v>293</v>
      </c>
      <c r="W497" s="28" t="s">
        <v>306</v>
      </c>
    </row>
    <row r="498" spans="1:23" x14ac:dyDescent="0.2">
      <c r="A498" t="s">
        <v>193</v>
      </c>
      <c r="F498" t="s">
        <v>110</v>
      </c>
      <c r="O498">
        <v>-3.5</v>
      </c>
      <c r="P498">
        <v>44</v>
      </c>
      <c r="R498">
        <f>6.6+4.9</f>
        <v>11.5</v>
      </c>
      <c r="T498" s="39">
        <v>43751</v>
      </c>
      <c r="U498" s="22" t="s">
        <v>252</v>
      </c>
      <c r="V498" t="s">
        <v>312</v>
      </c>
      <c r="W498" s="22" t="s">
        <v>294</v>
      </c>
    </row>
    <row r="499" spans="1:23" x14ac:dyDescent="0.2">
      <c r="A499" t="s">
        <v>193</v>
      </c>
      <c r="D499" t="s">
        <v>75</v>
      </c>
      <c r="O499">
        <v>-16.5</v>
      </c>
      <c r="P499">
        <v>43</v>
      </c>
      <c r="R499">
        <v>5.0999999999999996</v>
      </c>
      <c r="T499" s="39">
        <v>43751</v>
      </c>
      <c r="U499" s="22" t="s">
        <v>252</v>
      </c>
      <c r="V499" t="s">
        <v>302</v>
      </c>
      <c r="W499" s="22" t="s">
        <v>296</v>
      </c>
    </row>
    <row r="500" spans="1:23" x14ac:dyDescent="0.2">
      <c r="A500" t="s">
        <v>193</v>
      </c>
      <c r="F500" t="s">
        <v>110</v>
      </c>
      <c r="O500">
        <v>2.5</v>
      </c>
      <c r="P500">
        <v>42.5</v>
      </c>
      <c r="R500">
        <f>12.7+1.8</f>
        <v>14.5</v>
      </c>
      <c r="T500" s="39">
        <v>43751</v>
      </c>
      <c r="U500" s="22" t="s">
        <v>252</v>
      </c>
      <c r="V500" s="18" t="s">
        <v>307</v>
      </c>
      <c r="W500" s="22" t="s">
        <v>297</v>
      </c>
    </row>
    <row r="501" spans="1:23" x14ac:dyDescent="0.2">
      <c r="A501" t="s">
        <v>193</v>
      </c>
      <c r="B501" t="s">
        <v>140</v>
      </c>
      <c r="I501" t="s">
        <v>75</v>
      </c>
      <c r="J501" t="s">
        <v>75</v>
      </c>
      <c r="K501" t="s">
        <v>76</v>
      </c>
      <c r="L501" t="s">
        <v>76</v>
      </c>
      <c r="M501" t="s">
        <v>76</v>
      </c>
      <c r="N501" t="s">
        <v>134</v>
      </c>
      <c r="O501" s="3">
        <v>16.5</v>
      </c>
      <c r="P501" s="3">
        <v>43</v>
      </c>
      <c r="Q501">
        <v>2.6</v>
      </c>
      <c r="R501" s="3">
        <v>6</v>
      </c>
      <c r="S501" s="1">
        <v>2.2999999999999998</v>
      </c>
      <c r="T501" s="39">
        <v>43751</v>
      </c>
      <c r="U501" s="28" t="s">
        <v>252</v>
      </c>
      <c r="V501" s="18" t="s">
        <v>296</v>
      </c>
      <c r="W501" s="28" t="s">
        <v>302</v>
      </c>
    </row>
    <row r="502" spans="1:23" x14ac:dyDescent="0.2">
      <c r="A502" t="s">
        <v>193</v>
      </c>
      <c r="E502" t="s">
        <v>75</v>
      </c>
      <c r="F502" t="s">
        <v>110</v>
      </c>
      <c r="O502">
        <v>7</v>
      </c>
      <c r="P502">
        <v>43.5</v>
      </c>
      <c r="R502">
        <v>11.8</v>
      </c>
      <c r="T502" s="39">
        <v>43751</v>
      </c>
      <c r="U502" s="22" t="s">
        <v>252</v>
      </c>
      <c r="V502" s="18" t="s">
        <v>298</v>
      </c>
      <c r="W502" s="22" t="s">
        <v>291</v>
      </c>
    </row>
    <row r="503" spans="1:23" x14ac:dyDescent="0.2">
      <c r="A503" t="s">
        <v>193</v>
      </c>
      <c r="O503">
        <v>3.5</v>
      </c>
      <c r="P503">
        <v>44</v>
      </c>
      <c r="R503">
        <f>9.8+8.4</f>
        <v>18.200000000000003</v>
      </c>
      <c r="T503" s="39">
        <v>43751</v>
      </c>
      <c r="U503" s="22" t="s">
        <v>252</v>
      </c>
      <c r="V503" s="18" t="s">
        <v>294</v>
      </c>
      <c r="W503" s="22" t="s">
        <v>312</v>
      </c>
    </row>
    <row r="504" spans="1:23" x14ac:dyDescent="0.2">
      <c r="A504" t="s">
        <v>193</v>
      </c>
      <c r="O504">
        <v>6</v>
      </c>
      <c r="P504">
        <v>42.5</v>
      </c>
      <c r="R504">
        <v>3</v>
      </c>
      <c r="T504" s="39">
        <v>43751</v>
      </c>
      <c r="U504" s="22" t="s">
        <v>252</v>
      </c>
      <c r="V504" s="18" t="s">
        <v>309</v>
      </c>
      <c r="W504" s="22" t="s">
        <v>287</v>
      </c>
    </row>
    <row r="505" spans="1:23" x14ac:dyDescent="0.2">
      <c r="A505" t="s">
        <v>193</v>
      </c>
      <c r="F505" t="s">
        <v>109</v>
      </c>
      <c r="O505">
        <v>3</v>
      </c>
      <c r="P505">
        <v>49.5</v>
      </c>
      <c r="R505">
        <f>21.3+1.8</f>
        <v>23.1</v>
      </c>
      <c r="T505" s="39">
        <v>43751</v>
      </c>
      <c r="U505" s="22" t="s">
        <v>252</v>
      </c>
      <c r="V505" s="38" t="s">
        <v>256</v>
      </c>
      <c r="W505" s="22" t="s">
        <v>304</v>
      </c>
    </row>
    <row r="506" spans="1:23" x14ac:dyDescent="0.2">
      <c r="A506" t="s">
        <v>193</v>
      </c>
      <c r="F506" t="s">
        <v>110</v>
      </c>
      <c r="O506" s="22">
        <v>1</v>
      </c>
      <c r="P506" s="22">
        <v>45.5</v>
      </c>
      <c r="R506" s="22"/>
      <c r="T506" s="39">
        <v>43751</v>
      </c>
      <c r="U506" s="22" t="s">
        <v>252</v>
      </c>
      <c r="V506" s="18" t="s">
        <v>308</v>
      </c>
      <c r="W506" s="22" t="s">
        <v>281</v>
      </c>
    </row>
    <row r="507" spans="1:23" x14ac:dyDescent="0.2">
      <c r="A507" t="s">
        <v>193</v>
      </c>
      <c r="O507">
        <v>2</v>
      </c>
      <c r="P507">
        <v>48.5</v>
      </c>
      <c r="R507">
        <f>12.7+5.5</f>
        <v>18.2</v>
      </c>
      <c r="T507" s="39">
        <v>43751</v>
      </c>
      <c r="U507" s="22" t="s">
        <v>252</v>
      </c>
      <c r="V507" s="18" t="s">
        <v>284</v>
      </c>
      <c r="W507" s="22" t="s">
        <v>301</v>
      </c>
    </row>
    <row r="508" spans="1:23" x14ac:dyDescent="0.2">
      <c r="A508" t="s">
        <v>193</v>
      </c>
      <c r="O508">
        <v>1</v>
      </c>
      <c r="P508">
        <v>41</v>
      </c>
      <c r="R508">
        <f>7.3+3.5+1.8</f>
        <v>12.600000000000001</v>
      </c>
      <c r="T508" s="39">
        <v>43751</v>
      </c>
      <c r="U508" s="22" t="s">
        <v>252</v>
      </c>
      <c r="V508" s="18" t="s">
        <v>310</v>
      </c>
      <c r="W508" s="22" t="s">
        <v>278</v>
      </c>
    </row>
    <row r="509" spans="1:23" x14ac:dyDescent="0.2">
      <c r="A509" t="s">
        <v>193</v>
      </c>
      <c r="D509" t="s">
        <v>75</v>
      </c>
      <c r="E509" t="s">
        <v>75</v>
      </c>
      <c r="O509">
        <v>-6</v>
      </c>
      <c r="P509">
        <v>42</v>
      </c>
      <c r="R509">
        <v>4.4000000000000004</v>
      </c>
      <c r="T509" s="39">
        <v>43751</v>
      </c>
      <c r="U509" s="22" t="s">
        <v>252</v>
      </c>
      <c r="V509" s="18" t="s">
        <v>306</v>
      </c>
      <c r="W509" s="22" t="s">
        <v>293</v>
      </c>
    </row>
    <row r="510" spans="1:23" x14ac:dyDescent="0.2">
      <c r="A510" t="s">
        <v>193</v>
      </c>
      <c r="D510" t="s">
        <v>75</v>
      </c>
      <c r="F510" t="s">
        <v>109</v>
      </c>
      <c r="O510">
        <v>3.5</v>
      </c>
      <c r="P510">
        <v>49.5</v>
      </c>
      <c r="R510">
        <f>2.2+1.5</f>
        <v>3.7</v>
      </c>
      <c r="T510" s="39">
        <v>43758</v>
      </c>
      <c r="U510" s="22" t="s">
        <v>250</v>
      </c>
      <c r="V510" t="s">
        <v>285</v>
      </c>
      <c r="W510" s="22" t="s">
        <v>296</v>
      </c>
    </row>
    <row r="511" spans="1:23" x14ac:dyDescent="0.2">
      <c r="A511" t="s">
        <v>193</v>
      </c>
      <c r="F511" t="s">
        <v>109</v>
      </c>
      <c r="O511">
        <v>3</v>
      </c>
      <c r="P511">
        <v>54.5</v>
      </c>
      <c r="R511">
        <v>14.6</v>
      </c>
      <c r="T511" s="39">
        <v>43758</v>
      </c>
      <c r="U511" s="22" t="s">
        <v>250</v>
      </c>
      <c r="V511" t="s">
        <v>295</v>
      </c>
      <c r="W511" s="22" t="s">
        <v>304</v>
      </c>
    </row>
    <row r="512" spans="1:23" x14ac:dyDescent="0.2">
      <c r="A512" t="s">
        <v>193</v>
      </c>
      <c r="B512" t="s">
        <v>7</v>
      </c>
      <c r="I512" t="s">
        <v>76</v>
      </c>
      <c r="J512" t="s">
        <v>75</v>
      </c>
      <c r="K512" t="s">
        <v>76</v>
      </c>
      <c r="L512" t="s">
        <v>76</v>
      </c>
      <c r="M512" t="s">
        <v>76</v>
      </c>
      <c r="N512" t="s">
        <v>134</v>
      </c>
      <c r="O512">
        <v>3</v>
      </c>
      <c r="P512">
        <v>49</v>
      </c>
      <c r="Q512">
        <v>4.9000000000000004</v>
      </c>
      <c r="R512">
        <v>5.9</v>
      </c>
      <c r="S512" s="1">
        <v>1.2</v>
      </c>
      <c r="T512" s="39">
        <v>43758</v>
      </c>
      <c r="U512" s="22" t="s">
        <v>250</v>
      </c>
      <c r="V512" s="41" t="s">
        <v>305</v>
      </c>
      <c r="W512" s="22" t="s">
        <v>308</v>
      </c>
    </row>
    <row r="513" spans="1:23" x14ac:dyDescent="0.2">
      <c r="A513" t="s">
        <v>193</v>
      </c>
      <c r="D513" t="s">
        <v>75</v>
      </c>
      <c r="O513">
        <v>-17</v>
      </c>
      <c r="P513">
        <v>42.5</v>
      </c>
      <c r="R513">
        <f>4.2+1.9</f>
        <v>6.1</v>
      </c>
      <c r="T513" s="39">
        <v>43758</v>
      </c>
      <c r="U513" s="22" t="s">
        <v>250</v>
      </c>
      <c r="V513" t="s">
        <v>276</v>
      </c>
      <c r="W513" s="23" t="s">
        <v>293</v>
      </c>
    </row>
    <row r="514" spans="1:23" x14ac:dyDescent="0.2">
      <c r="A514" t="s">
        <v>193</v>
      </c>
      <c r="F514" t="s">
        <v>110</v>
      </c>
      <c r="O514">
        <v>-4</v>
      </c>
      <c r="P514">
        <v>37</v>
      </c>
      <c r="R514">
        <v>9.5</v>
      </c>
      <c r="T514" s="39">
        <v>43758</v>
      </c>
      <c r="U514" s="22" t="s">
        <v>250</v>
      </c>
      <c r="V514" t="s">
        <v>265</v>
      </c>
      <c r="W514" s="23" t="s">
        <v>307</v>
      </c>
    </row>
    <row r="515" spans="1:23" x14ac:dyDescent="0.2">
      <c r="A515" t="s">
        <v>193</v>
      </c>
      <c r="O515">
        <v>4</v>
      </c>
      <c r="P515">
        <v>44.5</v>
      </c>
      <c r="R515">
        <v>4.3</v>
      </c>
      <c r="T515" s="39">
        <v>43758</v>
      </c>
      <c r="U515" s="22" t="s">
        <v>250</v>
      </c>
      <c r="V515" s="17" t="s">
        <v>272</v>
      </c>
      <c r="W515" s="22" t="s">
        <v>297</v>
      </c>
    </row>
    <row r="516" spans="1:23" x14ac:dyDescent="0.2">
      <c r="A516" t="s">
        <v>193</v>
      </c>
      <c r="O516">
        <v>-3</v>
      </c>
      <c r="P516">
        <v>50</v>
      </c>
      <c r="R516">
        <v>14.4</v>
      </c>
      <c r="T516" s="39">
        <v>43758</v>
      </c>
      <c r="U516" s="22" t="s">
        <v>250</v>
      </c>
      <c r="V516" t="s">
        <v>291</v>
      </c>
      <c r="W516" s="22" t="s">
        <v>294</v>
      </c>
    </row>
    <row r="517" spans="1:23" x14ac:dyDescent="0.2">
      <c r="A517" t="s">
        <v>193</v>
      </c>
      <c r="O517">
        <v>3</v>
      </c>
      <c r="P517">
        <v>49.5</v>
      </c>
      <c r="R517">
        <v>1.7</v>
      </c>
      <c r="T517" s="39">
        <v>43758</v>
      </c>
      <c r="U517" t="s">
        <v>250</v>
      </c>
      <c r="V517" t="s">
        <v>278</v>
      </c>
      <c r="W517" t="s">
        <v>288</v>
      </c>
    </row>
    <row r="518" spans="1:23" x14ac:dyDescent="0.2">
      <c r="A518" t="s">
        <v>193</v>
      </c>
      <c r="O518">
        <v>2.5</v>
      </c>
      <c r="P518">
        <v>43.5</v>
      </c>
      <c r="R518">
        <f>6.2+1.7</f>
        <v>7.9</v>
      </c>
      <c r="T518" s="39">
        <v>43758</v>
      </c>
      <c r="U518" s="22" t="s">
        <v>250</v>
      </c>
      <c r="V518" t="s">
        <v>299</v>
      </c>
      <c r="W518" s="22" t="s">
        <v>312</v>
      </c>
    </row>
    <row r="519" spans="1:23" x14ac:dyDescent="0.2">
      <c r="A519" t="s">
        <v>193</v>
      </c>
      <c r="O519">
        <v>-5.5</v>
      </c>
      <c r="P519">
        <v>48</v>
      </c>
      <c r="R519">
        <v>16.5</v>
      </c>
      <c r="T519" s="39">
        <v>43758</v>
      </c>
      <c r="U519" s="22" t="s">
        <v>250</v>
      </c>
      <c r="V519" t="s">
        <v>300</v>
      </c>
      <c r="W519" s="22" t="s">
        <v>303</v>
      </c>
    </row>
    <row r="520" spans="1:23" x14ac:dyDescent="0.2">
      <c r="A520" t="s">
        <v>193</v>
      </c>
      <c r="O520">
        <v>1.5</v>
      </c>
      <c r="P520">
        <v>46.5</v>
      </c>
      <c r="R520">
        <f>4.7+3.7</f>
        <v>8.4</v>
      </c>
      <c r="T520" s="39">
        <v>43758</v>
      </c>
      <c r="U520" s="22" t="s">
        <v>250</v>
      </c>
      <c r="V520" t="s">
        <v>311</v>
      </c>
      <c r="W520" s="22" t="s">
        <v>289</v>
      </c>
    </row>
    <row r="521" spans="1:23" x14ac:dyDescent="0.2">
      <c r="A521" t="s">
        <v>193</v>
      </c>
      <c r="O521">
        <v>-1.5</v>
      </c>
      <c r="P521">
        <v>46.5</v>
      </c>
      <c r="R521">
        <v>22.1</v>
      </c>
      <c r="T521" s="39">
        <v>43758</v>
      </c>
      <c r="U521" s="22" t="s">
        <v>250</v>
      </c>
      <c r="V521" t="s">
        <v>289</v>
      </c>
      <c r="W521" s="22" t="s">
        <v>311</v>
      </c>
    </row>
    <row r="522" spans="1:23" x14ac:dyDescent="0.2">
      <c r="A522" t="s">
        <v>193</v>
      </c>
      <c r="O522">
        <v>-4</v>
      </c>
      <c r="P522">
        <v>44.5</v>
      </c>
      <c r="R522">
        <v>0</v>
      </c>
      <c r="T522" s="39">
        <v>43758</v>
      </c>
      <c r="U522" s="22" t="s">
        <v>250</v>
      </c>
      <c r="V522" t="s">
        <v>297</v>
      </c>
      <c r="W522" s="22" t="s">
        <v>272</v>
      </c>
    </row>
    <row r="523" spans="1:23" x14ac:dyDescent="0.2">
      <c r="A523" t="s">
        <v>193</v>
      </c>
      <c r="D523" s="3"/>
      <c r="E523" s="3"/>
      <c r="F523" s="3"/>
      <c r="O523">
        <v>-3</v>
      </c>
      <c r="P523">
        <v>49.5</v>
      </c>
      <c r="R523" s="3">
        <v>10.4</v>
      </c>
      <c r="T523" s="39">
        <v>43758</v>
      </c>
      <c r="U523" s="28" t="s">
        <v>250</v>
      </c>
      <c r="V523" t="s">
        <v>288</v>
      </c>
      <c r="W523" s="28" t="s">
        <v>278</v>
      </c>
    </row>
    <row r="524" spans="1:23" x14ac:dyDescent="0.2">
      <c r="A524" t="s">
        <v>193</v>
      </c>
      <c r="B524" t="s">
        <v>107</v>
      </c>
      <c r="I524" t="s">
        <v>76</v>
      </c>
      <c r="J524" t="s">
        <v>75</v>
      </c>
      <c r="K524" t="s">
        <v>76</v>
      </c>
      <c r="L524" t="s">
        <v>76</v>
      </c>
      <c r="M524" t="s">
        <v>76</v>
      </c>
      <c r="N524" t="s">
        <v>134</v>
      </c>
      <c r="O524">
        <v>5.5</v>
      </c>
      <c r="P524">
        <v>48</v>
      </c>
      <c r="Q524">
        <v>4.7</v>
      </c>
      <c r="R524">
        <v>34.6</v>
      </c>
      <c r="S524" s="1">
        <v>7.4</v>
      </c>
      <c r="T524" s="39">
        <v>43758</v>
      </c>
      <c r="U524" s="22" t="s">
        <v>250</v>
      </c>
      <c r="V524" t="s">
        <v>303</v>
      </c>
      <c r="W524" s="23" t="s">
        <v>300</v>
      </c>
    </row>
    <row r="525" spans="1:23" x14ac:dyDescent="0.2">
      <c r="A525" t="s">
        <v>193</v>
      </c>
      <c r="F525" t="s">
        <v>110</v>
      </c>
      <c r="O525">
        <v>3</v>
      </c>
      <c r="P525">
        <v>42.5</v>
      </c>
      <c r="R525">
        <f>15.7+1.9</f>
        <v>17.599999999999998</v>
      </c>
      <c r="T525" s="39">
        <v>43758</v>
      </c>
      <c r="U525" s="22" t="s">
        <v>250</v>
      </c>
      <c r="V525" t="s">
        <v>287</v>
      </c>
      <c r="W525" s="22" t="s">
        <v>310</v>
      </c>
    </row>
    <row r="526" spans="1:23" x14ac:dyDescent="0.2">
      <c r="A526" t="s">
        <v>193</v>
      </c>
      <c r="F526" t="s">
        <v>109</v>
      </c>
      <c r="O526">
        <v>-3</v>
      </c>
      <c r="P526">
        <v>54.5</v>
      </c>
      <c r="R526">
        <v>16.8</v>
      </c>
      <c r="T526" s="39">
        <v>43758</v>
      </c>
      <c r="U526" s="22" t="s">
        <v>250</v>
      </c>
      <c r="V526" t="s">
        <v>304</v>
      </c>
      <c r="W526" s="22" t="s">
        <v>295</v>
      </c>
    </row>
    <row r="527" spans="1:23" x14ac:dyDescent="0.2">
      <c r="A527" t="s">
        <v>193</v>
      </c>
      <c r="B527" t="s">
        <v>8</v>
      </c>
      <c r="C527">
        <v>9.5</v>
      </c>
      <c r="D527" t="s">
        <v>76</v>
      </c>
      <c r="E527" t="s">
        <v>76</v>
      </c>
      <c r="O527">
        <v>17</v>
      </c>
      <c r="P527">
        <v>42.5</v>
      </c>
      <c r="Q527">
        <v>2.6</v>
      </c>
      <c r="R527">
        <v>8.1</v>
      </c>
      <c r="S527" s="1">
        <v>3.1</v>
      </c>
      <c r="T527" s="39">
        <v>43758</v>
      </c>
      <c r="U527" s="22" t="s">
        <v>250</v>
      </c>
      <c r="V527" t="s">
        <v>293</v>
      </c>
      <c r="W527" s="22" t="s">
        <v>276</v>
      </c>
    </row>
    <row r="528" spans="1:23" x14ac:dyDescent="0.2">
      <c r="A528" t="s">
        <v>193</v>
      </c>
      <c r="O528">
        <v>-2.5</v>
      </c>
      <c r="P528">
        <v>43.5</v>
      </c>
      <c r="R528">
        <v>27.8</v>
      </c>
      <c r="T528" s="39">
        <v>43758</v>
      </c>
      <c r="U528" s="22" t="s">
        <v>250</v>
      </c>
      <c r="V528" t="s">
        <v>312</v>
      </c>
      <c r="W528" s="22" t="s">
        <v>299</v>
      </c>
    </row>
    <row r="529" spans="1:23" x14ac:dyDescent="0.2">
      <c r="A529" t="s">
        <v>193</v>
      </c>
      <c r="O529">
        <v>-9.5</v>
      </c>
      <c r="P529">
        <v>43</v>
      </c>
      <c r="R529">
        <v>5.9</v>
      </c>
      <c r="T529" s="39">
        <v>43758</v>
      </c>
      <c r="U529" s="22" t="s">
        <v>250</v>
      </c>
      <c r="V529" t="s">
        <v>302</v>
      </c>
      <c r="W529" s="22" t="s">
        <v>298</v>
      </c>
    </row>
    <row r="530" spans="1:23" x14ac:dyDescent="0.2">
      <c r="A530" t="s">
        <v>193</v>
      </c>
      <c r="F530" t="s">
        <v>110</v>
      </c>
      <c r="O530">
        <v>4</v>
      </c>
      <c r="P530">
        <v>37</v>
      </c>
      <c r="R530">
        <v>13.3</v>
      </c>
      <c r="T530" s="39">
        <v>43758</v>
      </c>
      <c r="U530" s="22" t="s">
        <v>250</v>
      </c>
      <c r="V530" t="s">
        <v>307</v>
      </c>
      <c r="W530" s="22" t="s">
        <v>265</v>
      </c>
    </row>
    <row r="531" spans="1:23" x14ac:dyDescent="0.2">
      <c r="A531" t="s">
        <v>193</v>
      </c>
      <c r="F531" t="s">
        <v>109</v>
      </c>
      <c r="O531">
        <v>-3.5</v>
      </c>
      <c r="P531">
        <v>49.5</v>
      </c>
      <c r="R531">
        <f>12.9</f>
        <v>12.9</v>
      </c>
      <c r="T531" s="39">
        <v>43758</v>
      </c>
      <c r="U531" s="22" t="s">
        <v>250</v>
      </c>
      <c r="V531" t="s">
        <v>296</v>
      </c>
      <c r="W531" s="22" t="s">
        <v>285</v>
      </c>
    </row>
    <row r="532" spans="1:23" x14ac:dyDescent="0.2">
      <c r="A532" t="s">
        <v>193</v>
      </c>
      <c r="O532">
        <v>9.5</v>
      </c>
      <c r="P532">
        <v>43</v>
      </c>
      <c r="R532">
        <v>1.1000000000000001</v>
      </c>
      <c r="T532" s="39">
        <v>43758</v>
      </c>
      <c r="U532" s="22" t="s">
        <v>250</v>
      </c>
      <c r="V532" t="s">
        <v>298</v>
      </c>
      <c r="W532" s="22" t="s">
        <v>302</v>
      </c>
    </row>
    <row r="533" spans="1:23" x14ac:dyDescent="0.2">
      <c r="A533" t="s">
        <v>193</v>
      </c>
      <c r="O533">
        <v>3</v>
      </c>
      <c r="P533">
        <v>50</v>
      </c>
      <c r="R533">
        <f>15.9+5.8</f>
        <v>21.7</v>
      </c>
      <c r="T533" s="39">
        <v>43758</v>
      </c>
      <c r="U533" s="22" t="s">
        <v>250</v>
      </c>
      <c r="V533" t="s">
        <v>294</v>
      </c>
      <c r="W533" s="22" t="s">
        <v>291</v>
      </c>
    </row>
    <row r="534" spans="1:23" x14ac:dyDescent="0.2">
      <c r="A534" t="s">
        <v>193</v>
      </c>
      <c r="F534" t="s">
        <v>110</v>
      </c>
      <c r="O534">
        <v>-10</v>
      </c>
      <c r="P534">
        <v>39</v>
      </c>
      <c r="R534">
        <f>6.8+2.4</f>
        <v>9.1999999999999993</v>
      </c>
      <c r="T534" s="39">
        <v>43758</v>
      </c>
      <c r="U534" s="22" t="s">
        <v>250</v>
      </c>
      <c r="V534" s="22" t="s">
        <v>256</v>
      </c>
      <c r="W534" s="22" t="s">
        <v>306</v>
      </c>
    </row>
    <row r="535" spans="1:23" x14ac:dyDescent="0.2">
      <c r="A535" t="s">
        <v>193</v>
      </c>
      <c r="O535">
        <v>-3</v>
      </c>
      <c r="P535">
        <v>49</v>
      </c>
      <c r="R535">
        <v>5</v>
      </c>
      <c r="T535" s="39">
        <v>43758</v>
      </c>
      <c r="U535" s="22" t="s">
        <v>250</v>
      </c>
      <c r="V535" t="s">
        <v>308</v>
      </c>
      <c r="W535" s="22" t="s">
        <v>305</v>
      </c>
    </row>
    <row r="536" spans="1:23" x14ac:dyDescent="0.2">
      <c r="A536" t="s">
        <v>193</v>
      </c>
      <c r="F536" t="s">
        <v>110</v>
      </c>
      <c r="O536">
        <v>-3</v>
      </c>
      <c r="P536">
        <v>42.5</v>
      </c>
      <c r="R536">
        <f>9.4+3.7</f>
        <v>13.100000000000001</v>
      </c>
      <c r="T536" s="39">
        <v>43758</v>
      </c>
      <c r="U536" s="22" t="s">
        <v>250</v>
      </c>
      <c r="V536" t="s">
        <v>310</v>
      </c>
      <c r="W536" s="22" t="s">
        <v>287</v>
      </c>
    </row>
    <row r="537" spans="1:23" x14ac:dyDescent="0.2">
      <c r="A537" t="s">
        <v>193</v>
      </c>
      <c r="F537" t="s">
        <v>110</v>
      </c>
      <c r="O537">
        <v>10</v>
      </c>
      <c r="P537">
        <v>39</v>
      </c>
      <c r="R537">
        <v>3.3</v>
      </c>
      <c r="T537" s="39">
        <v>43758</v>
      </c>
      <c r="U537" s="22" t="s">
        <v>250</v>
      </c>
      <c r="V537" t="s">
        <v>306</v>
      </c>
      <c r="W537" s="22" t="s">
        <v>256</v>
      </c>
    </row>
    <row r="538" spans="1:23" x14ac:dyDescent="0.2">
      <c r="A538" t="s">
        <v>193</v>
      </c>
      <c r="F538" t="s">
        <v>110</v>
      </c>
      <c r="O538">
        <v>12.5</v>
      </c>
      <c r="P538">
        <v>47.5</v>
      </c>
      <c r="R538">
        <f>11.8+1.9</f>
        <v>13.700000000000001</v>
      </c>
      <c r="T538" s="39">
        <v>43765</v>
      </c>
      <c r="U538" s="22" t="s">
        <v>248</v>
      </c>
      <c r="V538" t="s">
        <v>285</v>
      </c>
      <c r="W538" s="22" t="s">
        <v>307</v>
      </c>
    </row>
    <row r="539" spans="1:23" x14ac:dyDescent="0.2">
      <c r="A539" t="s">
        <v>193</v>
      </c>
      <c r="O539">
        <v>7.5</v>
      </c>
      <c r="P539">
        <v>48.5</v>
      </c>
      <c r="R539">
        <f>18.5+2.8+2.1</f>
        <v>23.400000000000002</v>
      </c>
      <c r="T539" s="39">
        <v>43765</v>
      </c>
      <c r="U539" s="22" t="s">
        <v>248</v>
      </c>
      <c r="V539" t="s">
        <v>295</v>
      </c>
      <c r="W539" s="22" t="s">
        <v>308</v>
      </c>
    </row>
    <row r="540" spans="1:23" x14ac:dyDescent="0.2">
      <c r="A540" t="s">
        <v>193</v>
      </c>
      <c r="O540">
        <v>-1</v>
      </c>
      <c r="P540">
        <v>39.5</v>
      </c>
      <c r="R540">
        <v>6.8</v>
      </c>
      <c r="T540" s="39">
        <v>43765</v>
      </c>
      <c r="U540" s="22" t="s">
        <v>248</v>
      </c>
      <c r="V540" t="s">
        <v>276</v>
      </c>
      <c r="W540" s="22" t="s">
        <v>294</v>
      </c>
    </row>
    <row r="541" spans="1:23" x14ac:dyDescent="0.2">
      <c r="A541" t="s">
        <v>193</v>
      </c>
      <c r="F541" t="s">
        <v>110</v>
      </c>
      <c r="O541">
        <v>4.5</v>
      </c>
      <c r="P541">
        <v>41</v>
      </c>
      <c r="R541">
        <v>3.3</v>
      </c>
      <c r="T541" s="39">
        <v>43765</v>
      </c>
      <c r="U541" s="22" t="s">
        <v>248</v>
      </c>
      <c r="V541" t="s">
        <v>301</v>
      </c>
      <c r="W541" s="22" t="s">
        <v>256</v>
      </c>
    </row>
    <row r="542" spans="1:23" x14ac:dyDescent="0.2">
      <c r="A542" t="s">
        <v>193</v>
      </c>
      <c r="F542" t="s">
        <v>110</v>
      </c>
      <c r="O542">
        <v>-3.5</v>
      </c>
      <c r="P542">
        <v>41</v>
      </c>
      <c r="R542">
        <v>2.6</v>
      </c>
      <c r="T542" s="39">
        <v>43765</v>
      </c>
      <c r="U542" s="22" t="s">
        <v>248</v>
      </c>
      <c r="V542" t="s">
        <v>265</v>
      </c>
      <c r="W542" s="22" t="s">
        <v>287</v>
      </c>
    </row>
    <row r="543" spans="1:23" x14ac:dyDescent="0.2">
      <c r="A543" t="s">
        <v>193</v>
      </c>
      <c r="F543" t="s">
        <v>109</v>
      </c>
      <c r="O543">
        <v>12</v>
      </c>
      <c r="P543">
        <v>48.5</v>
      </c>
      <c r="R543">
        <v>14.8</v>
      </c>
      <c r="T543" s="39">
        <v>43765</v>
      </c>
      <c r="U543" s="22" t="s">
        <v>248</v>
      </c>
      <c r="V543" s="17" t="s">
        <v>272</v>
      </c>
      <c r="W543" s="22" t="s">
        <v>304</v>
      </c>
    </row>
    <row r="544" spans="1:23" x14ac:dyDescent="0.2">
      <c r="A544" t="s">
        <v>193</v>
      </c>
      <c r="O544">
        <v>9.5</v>
      </c>
      <c r="P544">
        <v>43</v>
      </c>
      <c r="R544">
        <v>11.3</v>
      </c>
      <c r="T544" s="39">
        <v>43765</v>
      </c>
      <c r="U544" s="22" t="s">
        <v>248</v>
      </c>
      <c r="V544" t="s">
        <v>281</v>
      </c>
      <c r="W544" s="23" t="s">
        <v>302</v>
      </c>
    </row>
    <row r="545" spans="1:23" x14ac:dyDescent="0.2">
      <c r="A545" t="s">
        <v>193</v>
      </c>
      <c r="O545">
        <v>6</v>
      </c>
      <c r="P545">
        <v>41</v>
      </c>
      <c r="R545">
        <v>9.6999999999999993</v>
      </c>
      <c r="T545" s="39">
        <v>43765</v>
      </c>
      <c r="U545" t="s">
        <v>248</v>
      </c>
      <c r="V545" t="s">
        <v>278</v>
      </c>
      <c r="W545" t="s">
        <v>289</v>
      </c>
    </row>
    <row r="546" spans="1:23" x14ac:dyDescent="0.2">
      <c r="A546" t="s">
        <v>193</v>
      </c>
      <c r="D546" t="s">
        <v>75</v>
      </c>
      <c r="E546" t="s">
        <v>75</v>
      </c>
      <c r="F546" t="s">
        <v>109</v>
      </c>
      <c r="O546">
        <v>-6.5</v>
      </c>
      <c r="P546">
        <v>49</v>
      </c>
      <c r="R546">
        <v>5.8</v>
      </c>
      <c r="T546" s="39">
        <v>43765</v>
      </c>
      <c r="U546" s="22" t="s">
        <v>248</v>
      </c>
      <c r="V546" t="s">
        <v>299</v>
      </c>
      <c r="W546" s="22" t="s">
        <v>296</v>
      </c>
    </row>
    <row r="547" spans="1:23" x14ac:dyDescent="0.2">
      <c r="A547" t="s">
        <v>193</v>
      </c>
      <c r="O547">
        <v>-5</v>
      </c>
      <c r="P547">
        <v>48</v>
      </c>
      <c r="R547">
        <v>7.1</v>
      </c>
      <c r="T547" s="39">
        <v>43765</v>
      </c>
      <c r="U547" s="22" t="s">
        <v>248</v>
      </c>
      <c r="V547" t="s">
        <v>300</v>
      </c>
      <c r="W547" s="22" t="s">
        <v>288</v>
      </c>
    </row>
    <row r="548" spans="1:23" x14ac:dyDescent="0.2">
      <c r="A548" t="s">
        <v>193</v>
      </c>
      <c r="E548" t="s">
        <v>75</v>
      </c>
      <c r="F548" t="s">
        <v>109</v>
      </c>
      <c r="O548">
        <v>-5</v>
      </c>
      <c r="P548">
        <v>52</v>
      </c>
      <c r="R548">
        <f>23.8+3.1</f>
        <v>26.900000000000002</v>
      </c>
      <c r="T548" s="39">
        <v>43765</v>
      </c>
      <c r="U548" s="22" t="s">
        <v>248</v>
      </c>
      <c r="V548" t="s">
        <v>311</v>
      </c>
      <c r="W548" s="22" t="s">
        <v>303</v>
      </c>
    </row>
    <row r="549" spans="1:23" x14ac:dyDescent="0.2">
      <c r="A549" t="s">
        <v>193</v>
      </c>
      <c r="O549">
        <v>-6</v>
      </c>
      <c r="P549">
        <v>41</v>
      </c>
      <c r="R549">
        <v>15.7</v>
      </c>
      <c r="T549" s="39">
        <v>43765</v>
      </c>
      <c r="U549" s="22" t="s">
        <v>248</v>
      </c>
      <c r="V549" t="s">
        <v>289</v>
      </c>
      <c r="W549" s="22" t="s">
        <v>278</v>
      </c>
    </row>
    <row r="550" spans="1:23" x14ac:dyDescent="0.2">
      <c r="A550" t="s">
        <v>193</v>
      </c>
      <c r="O550">
        <v>-7</v>
      </c>
      <c r="P550">
        <v>39.5</v>
      </c>
      <c r="R550">
        <v>3.7</v>
      </c>
      <c r="T550" s="39">
        <v>43765</v>
      </c>
      <c r="U550" s="22" t="s">
        <v>248</v>
      </c>
      <c r="V550" s="18" t="s">
        <v>297</v>
      </c>
      <c r="W550" s="22" t="s">
        <v>298</v>
      </c>
    </row>
    <row r="551" spans="1:23" x14ac:dyDescent="0.2">
      <c r="A551" t="s">
        <v>193</v>
      </c>
      <c r="B551" t="s">
        <v>19</v>
      </c>
      <c r="C551">
        <v>11.1</v>
      </c>
      <c r="D551" t="s">
        <v>75</v>
      </c>
      <c r="E551" t="s">
        <v>76</v>
      </c>
      <c r="F551" s="3"/>
      <c r="O551" s="3">
        <v>5</v>
      </c>
      <c r="P551" s="3">
        <v>48</v>
      </c>
      <c r="Q551">
        <v>7.2</v>
      </c>
      <c r="R551" s="3">
        <v>16.3</v>
      </c>
      <c r="S551" s="1">
        <v>2.2999999999999998</v>
      </c>
      <c r="T551" s="39">
        <v>43765</v>
      </c>
      <c r="U551" s="28" t="s">
        <v>248</v>
      </c>
      <c r="V551" s="18" t="s">
        <v>288</v>
      </c>
      <c r="W551" s="28" t="s">
        <v>300</v>
      </c>
    </row>
    <row r="552" spans="1:23" x14ac:dyDescent="0.2">
      <c r="A552" t="s">
        <v>193</v>
      </c>
      <c r="E552" t="s">
        <v>75</v>
      </c>
      <c r="F552" t="s">
        <v>109</v>
      </c>
      <c r="O552">
        <v>5</v>
      </c>
      <c r="P552">
        <v>52</v>
      </c>
      <c r="R552">
        <v>11.1</v>
      </c>
      <c r="T552" s="39">
        <v>43765</v>
      </c>
      <c r="U552" s="22" t="s">
        <v>248</v>
      </c>
      <c r="V552" s="18" t="s">
        <v>303</v>
      </c>
      <c r="W552" s="22" t="s">
        <v>311</v>
      </c>
    </row>
    <row r="553" spans="1:23" x14ac:dyDescent="0.2">
      <c r="A553" t="s">
        <v>193</v>
      </c>
      <c r="F553" t="s">
        <v>110</v>
      </c>
      <c r="O553">
        <v>3.5</v>
      </c>
      <c r="P553">
        <v>41</v>
      </c>
      <c r="R553">
        <v>10.7</v>
      </c>
      <c r="T553" s="39">
        <v>43765</v>
      </c>
      <c r="U553" s="22" t="s">
        <v>248</v>
      </c>
      <c r="V553" s="18" t="s">
        <v>287</v>
      </c>
      <c r="W553" s="22" t="s">
        <v>265</v>
      </c>
    </row>
    <row r="554" spans="1:23" x14ac:dyDescent="0.2">
      <c r="A554" t="s">
        <v>193</v>
      </c>
      <c r="F554" t="s">
        <v>109</v>
      </c>
      <c r="O554">
        <v>-12</v>
      </c>
      <c r="P554">
        <v>48.5</v>
      </c>
      <c r="R554">
        <f>3.5+1.8</f>
        <v>5.3</v>
      </c>
      <c r="T554" s="39">
        <v>43765</v>
      </c>
      <c r="U554" s="22" t="s">
        <v>248</v>
      </c>
      <c r="V554" s="18" t="s">
        <v>304</v>
      </c>
      <c r="W554" s="22" t="s">
        <v>272</v>
      </c>
    </row>
    <row r="555" spans="1:23" x14ac:dyDescent="0.2">
      <c r="A555" t="s">
        <v>193</v>
      </c>
      <c r="O555">
        <v>14</v>
      </c>
      <c r="P555">
        <v>44</v>
      </c>
      <c r="R555">
        <v>3</v>
      </c>
      <c r="T555" s="39">
        <v>43765</v>
      </c>
      <c r="U555" s="22" t="s">
        <v>248</v>
      </c>
      <c r="V555" s="18" t="s">
        <v>293</v>
      </c>
      <c r="W555" s="22" t="s">
        <v>309</v>
      </c>
    </row>
    <row r="556" spans="1:23" x14ac:dyDescent="0.2">
      <c r="A556" t="s">
        <v>193</v>
      </c>
      <c r="B556" t="s">
        <v>148</v>
      </c>
      <c r="I556" t="s">
        <v>75</v>
      </c>
      <c r="J556" t="s">
        <v>76</v>
      </c>
      <c r="K556" t="s">
        <v>76</v>
      </c>
      <c r="L556" t="s">
        <v>76</v>
      </c>
      <c r="M556" t="s">
        <v>75</v>
      </c>
      <c r="N556" t="s">
        <v>132</v>
      </c>
      <c r="O556">
        <v>-16.5</v>
      </c>
      <c r="P556">
        <v>42</v>
      </c>
      <c r="Q556">
        <v>3.8</v>
      </c>
      <c r="R556">
        <v>4.7</v>
      </c>
      <c r="S556" s="1">
        <v>1.2</v>
      </c>
      <c r="T556" s="39">
        <v>43765</v>
      </c>
      <c r="U556" s="22" t="s">
        <v>248</v>
      </c>
      <c r="V556" s="18" t="s">
        <v>312</v>
      </c>
      <c r="W556" s="22" t="s">
        <v>306</v>
      </c>
    </row>
    <row r="557" spans="1:23" x14ac:dyDescent="0.2">
      <c r="A557" t="s">
        <v>193</v>
      </c>
      <c r="O557">
        <v>-9.5</v>
      </c>
      <c r="P557">
        <v>43</v>
      </c>
      <c r="R557">
        <v>3.6</v>
      </c>
      <c r="T557" s="39">
        <v>43765</v>
      </c>
      <c r="U557" s="22" t="s">
        <v>248</v>
      </c>
      <c r="V557" s="18" t="s">
        <v>302</v>
      </c>
      <c r="W557" s="22" t="s">
        <v>281</v>
      </c>
    </row>
    <row r="558" spans="1:23" x14ac:dyDescent="0.2">
      <c r="A558" t="s">
        <v>193</v>
      </c>
      <c r="F558" t="s">
        <v>110</v>
      </c>
      <c r="O558">
        <v>-12.5</v>
      </c>
      <c r="P558">
        <v>47.5</v>
      </c>
      <c r="R558">
        <f>6.9+4.5</f>
        <v>11.4</v>
      </c>
      <c r="T558" s="39">
        <v>43765</v>
      </c>
      <c r="U558" s="22" t="s">
        <v>248</v>
      </c>
      <c r="V558" s="18" t="s">
        <v>307</v>
      </c>
      <c r="W558" s="22" t="s">
        <v>285</v>
      </c>
    </row>
    <row r="559" spans="1:23" x14ac:dyDescent="0.2">
      <c r="A559" t="s">
        <v>193</v>
      </c>
      <c r="B559" t="s">
        <v>16</v>
      </c>
      <c r="C559">
        <v>8.6999999999999993</v>
      </c>
      <c r="D559" t="s">
        <v>76</v>
      </c>
      <c r="E559" t="s">
        <v>75</v>
      </c>
      <c r="F559" t="s">
        <v>109</v>
      </c>
      <c r="O559">
        <v>6.5</v>
      </c>
      <c r="P559">
        <v>49</v>
      </c>
      <c r="Q559">
        <v>5.3</v>
      </c>
      <c r="R559">
        <v>14</v>
      </c>
      <c r="S559" s="1">
        <v>2.6</v>
      </c>
      <c r="T559" s="39">
        <v>43765</v>
      </c>
      <c r="U559" s="22" t="s">
        <v>248</v>
      </c>
      <c r="V559" s="18" t="s">
        <v>296</v>
      </c>
      <c r="W559" s="22" t="s">
        <v>299</v>
      </c>
    </row>
    <row r="560" spans="1:23" x14ac:dyDescent="0.2">
      <c r="A560" t="s">
        <v>193</v>
      </c>
      <c r="O560">
        <v>7</v>
      </c>
      <c r="P560">
        <v>39.5</v>
      </c>
      <c r="R560">
        <v>24.6</v>
      </c>
      <c r="T560" s="39">
        <v>43765</v>
      </c>
      <c r="U560" s="22" t="s">
        <v>248</v>
      </c>
      <c r="V560" t="s">
        <v>298</v>
      </c>
      <c r="W560" s="22" t="s">
        <v>297</v>
      </c>
    </row>
    <row r="561" spans="1:23" x14ac:dyDescent="0.2">
      <c r="A561" t="s">
        <v>193</v>
      </c>
      <c r="O561">
        <v>1</v>
      </c>
      <c r="P561">
        <v>39.5</v>
      </c>
      <c r="R561">
        <v>15.2</v>
      </c>
      <c r="T561" s="39">
        <v>43765</v>
      </c>
      <c r="U561" s="22" t="s">
        <v>248</v>
      </c>
      <c r="V561" t="s">
        <v>294</v>
      </c>
      <c r="W561" s="22" t="s">
        <v>276</v>
      </c>
    </row>
    <row r="562" spans="1:23" x14ac:dyDescent="0.2">
      <c r="A562" t="s">
        <v>193</v>
      </c>
      <c r="D562" t="s">
        <v>75</v>
      </c>
      <c r="O562">
        <v>-14</v>
      </c>
      <c r="P562">
        <v>44</v>
      </c>
      <c r="R562">
        <f>4.9+2.5</f>
        <v>7.4</v>
      </c>
      <c r="T562" s="39">
        <v>43765</v>
      </c>
      <c r="U562" s="22" t="s">
        <v>248</v>
      </c>
      <c r="V562" t="s">
        <v>309</v>
      </c>
      <c r="W562" s="22" t="s">
        <v>293</v>
      </c>
    </row>
    <row r="563" spans="1:23" x14ac:dyDescent="0.2">
      <c r="A563" t="s">
        <v>193</v>
      </c>
      <c r="F563" t="s">
        <v>110</v>
      </c>
      <c r="O563">
        <v>-4.5</v>
      </c>
      <c r="P563">
        <v>41</v>
      </c>
      <c r="R563">
        <v>14.6</v>
      </c>
      <c r="T563" s="39">
        <v>43765</v>
      </c>
      <c r="U563" s="22" t="s">
        <v>248</v>
      </c>
      <c r="V563" s="22" t="s">
        <v>256</v>
      </c>
      <c r="W563" s="22" t="s">
        <v>301</v>
      </c>
    </row>
    <row r="564" spans="1:23" x14ac:dyDescent="0.2">
      <c r="A564" t="s">
        <v>193</v>
      </c>
      <c r="O564">
        <v>-7.5</v>
      </c>
      <c r="P564">
        <v>48.5</v>
      </c>
      <c r="R564">
        <f>3.8+1.7</f>
        <v>5.5</v>
      </c>
      <c r="T564" s="39">
        <v>43765</v>
      </c>
      <c r="U564" s="22" t="s">
        <v>248</v>
      </c>
      <c r="V564" t="s">
        <v>308</v>
      </c>
      <c r="W564" s="22" t="s">
        <v>295</v>
      </c>
    </row>
    <row r="565" spans="1:23" x14ac:dyDescent="0.2">
      <c r="A565" t="s">
        <v>193</v>
      </c>
      <c r="O565">
        <v>2</v>
      </c>
      <c r="P565">
        <v>45.5</v>
      </c>
      <c r="R565">
        <v>6.2</v>
      </c>
      <c r="T565" s="39">
        <v>43765</v>
      </c>
      <c r="U565" s="22" t="s">
        <v>248</v>
      </c>
      <c r="V565" t="s">
        <v>284</v>
      </c>
      <c r="W565" s="23" t="s">
        <v>310</v>
      </c>
    </row>
    <row r="566" spans="1:23" x14ac:dyDescent="0.2">
      <c r="A566" t="s">
        <v>193</v>
      </c>
      <c r="O566">
        <v>-2</v>
      </c>
      <c r="P566">
        <v>45.5</v>
      </c>
      <c r="R566">
        <f>19.8+7.3</f>
        <v>27.1</v>
      </c>
      <c r="T566" s="39">
        <v>43765</v>
      </c>
      <c r="U566" s="22" t="s">
        <v>248</v>
      </c>
      <c r="V566" t="s">
        <v>310</v>
      </c>
      <c r="W566" s="22" t="s">
        <v>284</v>
      </c>
    </row>
    <row r="567" spans="1:23" x14ac:dyDescent="0.2">
      <c r="A567" t="s">
        <v>193</v>
      </c>
      <c r="O567">
        <v>16.5</v>
      </c>
      <c r="P567">
        <v>42</v>
      </c>
      <c r="R567">
        <v>5.5</v>
      </c>
      <c r="T567" s="39">
        <v>43765</v>
      </c>
      <c r="U567" s="22" t="s">
        <v>248</v>
      </c>
      <c r="V567" t="s">
        <v>306</v>
      </c>
      <c r="W567" s="22" t="s">
        <v>312</v>
      </c>
    </row>
    <row r="568" spans="1:23" x14ac:dyDescent="0.2">
      <c r="A568" t="s">
        <v>193</v>
      </c>
      <c r="O568">
        <v>10.5</v>
      </c>
      <c r="P568">
        <v>43.5</v>
      </c>
      <c r="R568">
        <v>3.8</v>
      </c>
      <c r="T568" s="39">
        <v>43772</v>
      </c>
      <c r="U568" s="22" t="s">
        <v>246</v>
      </c>
      <c r="V568" t="s">
        <v>285</v>
      </c>
      <c r="W568" s="22" t="s">
        <v>256</v>
      </c>
    </row>
    <row r="569" spans="1:23" x14ac:dyDescent="0.2">
      <c r="A569" t="s">
        <v>193</v>
      </c>
      <c r="B569" t="s">
        <v>7</v>
      </c>
      <c r="C569">
        <v>12.5</v>
      </c>
      <c r="D569" t="s">
        <v>76</v>
      </c>
      <c r="E569" t="s">
        <v>76</v>
      </c>
      <c r="O569">
        <v>3</v>
      </c>
      <c r="P569">
        <v>44.5</v>
      </c>
      <c r="Q569">
        <v>4.9000000000000004</v>
      </c>
      <c r="R569">
        <v>4.0999999999999996</v>
      </c>
      <c r="S569" s="1">
        <v>0.8</v>
      </c>
      <c r="T569" s="39">
        <v>43772</v>
      </c>
      <c r="U569" s="22" t="s">
        <v>246</v>
      </c>
      <c r="V569" s="41" t="s">
        <v>305</v>
      </c>
      <c r="W569" s="22" t="s">
        <v>302</v>
      </c>
    </row>
    <row r="570" spans="1:23" x14ac:dyDescent="0.2">
      <c r="A570" t="s">
        <v>193</v>
      </c>
      <c r="O570">
        <v>-10.5</v>
      </c>
      <c r="P570">
        <v>37</v>
      </c>
      <c r="R570">
        <v>3.4</v>
      </c>
      <c r="T570" s="39">
        <v>43772</v>
      </c>
      <c r="U570" s="22" t="s">
        <v>246</v>
      </c>
      <c r="V570" t="s">
        <v>276</v>
      </c>
      <c r="W570" s="22" t="s">
        <v>306</v>
      </c>
    </row>
    <row r="571" spans="1:23" x14ac:dyDescent="0.2">
      <c r="A571" t="s">
        <v>193</v>
      </c>
      <c r="O571">
        <v>-3.5</v>
      </c>
      <c r="P571">
        <v>43</v>
      </c>
      <c r="R571">
        <v>7</v>
      </c>
      <c r="T571" s="39">
        <v>43772</v>
      </c>
      <c r="U571" s="22" t="s">
        <v>246</v>
      </c>
      <c r="V571" t="s">
        <v>301</v>
      </c>
      <c r="W571" s="22" t="s">
        <v>310</v>
      </c>
    </row>
    <row r="572" spans="1:23" x14ac:dyDescent="0.2">
      <c r="A572" t="s">
        <v>193</v>
      </c>
      <c r="O572">
        <v>5</v>
      </c>
      <c r="P572">
        <v>41</v>
      </c>
      <c r="R572">
        <v>0</v>
      </c>
      <c r="T572" s="39">
        <v>43772</v>
      </c>
      <c r="U572" s="22" t="s">
        <v>246</v>
      </c>
      <c r="V572" t="s">
        <v>265</v>
      </c>
      <c r="W572" s="22" t="s">
        <v>294</v>
      </c>
    </row>
    <row r="573" spans="1:23" x14ac:dyDescent="0.2">
      <c r="A573" t="s">
        <v>193</v>
      </c>
      <c r="D573" t="s">
        <v>75</v>
      </c>
      <c r="F573" t="s">
        <v>110</v>
      </c>
      <c r="O573">
        <v>-4</v>
      </c>
      <c r="P573">
        <v>39</v>
      </c>
      <c r="R573">
        <v>8.6999999999999993</v>
      </c>
      <c r="T573" s="39">
        <v>43772</v>
      </c>
      <c r="U573" s="22" t="s">
        <v>246</v>
      </c>
      <c r="V573" t="s">
        <v>281</v>
      </c>
      <c r="W573" s="22" t="s">
        <v>278</v>
      </c>
    </row>
    <row r="574" spans="1:23" x14ac:dyDescent="0.2">
      <c r="A574" t="s">
        <v>193</v>
      </c>
      <c r="B574" t="s">
        <v>86</v>
      </c>
      <c r="C574">
        <v>9.1999999999999993</v>
      </c>
      <c r="D574" t="s">
        <v>76</v>
      </c>
      <c r="E574" t="s">
        <v>76</v>
      </c>
      <c r="F574" t="s">
        <v>109</v>
      </c>
      <c r="O574">
        <v>-6.5</v>
      </c>
      <c r="P574">
        <v>48.5</v>
      </c>
      <c r="Q574">
        <v>3.8</v>
      </c>
      <c r="R574">
        <v>13.8</v>
      </c>
      <c r="S574" s="1">
        <v>3.6</v>
      </c>
      <c r="T574" s="39">
        <v>43772</v>
      </c>
      <c r="U574" s="22" t="s">
        <v>246</v>
      </c>
      <c r="V574" t="s">
        <v>291</v>
      </c>
      <c r="W574" s="22" t="s">
        <v>296</v>
      </c>
    </row>
    <row r="575" spans="1:23" x14ac:dyDescent="0.2">
      <c r="A575" t="s">
        <v>193</v>
      </c>
      <c r="D575" t="s">
        <v>75</v>
      </c>
      <c r="F575" t="s">
        <v>110</v>
      </c>
      <c r="O575">
        <v>4</v>
      </c>
      <c r="P575">
        <v>39</v>
      </c>
      <c r="R575">
        <v>25.4</v>
      </c>
      <c r="T575" s="39">
        <v>43772</v>
      </c>
      <c r="U575" t="s">
        <v>246</v>
      </c>
      <c r="V575" t="s">
        <v>278</v>
      </c>
      <c r="W575" t="s">
        <v>281</v>
      </c>
    </row>
    <row r="576" spans="1:23" x14ac:dyDescent="0.2">
      <c r="A576" t="s">
        <v>193</v>
      </c>
      <c r="E576" t="s">
        <v>75</v>
      </c>
      <c r="O576">
        <v>2.5</v>
      </c>
      <c r="P576">
        <v>51.5</v>
      </c>
      <c r="R576">
        <f>8.6+2.3+1.3</f>
        <v>12.2</v>
      </c>
      <c r="T576" s="39">
        <v>43772</v>
      </c>
      <c r="U576" s="22" t="s">
        <v>246</v>
      </c>
      <c r="V576" t="s">
        <v>299</v>
      </c>
      <c r="W576" s="22" t="s">
        <v>303</v>
      </c>
    </row>
    <row r="577" spans="1:23" x14ac:dyDescent="0.2">
      <c r="A577" t="s">
        <v>193</v>
      </c>
      <c r="E577" t="s">
        <v>75</v>
      </c>
      <c r="F577" t="s">
        <v>110</v>
      </c>
      <c r="O577">
        <v>-4</v>
      </c>
      <c r="P577">
        <v>50</v>
      </c>
      <c r="R577">
        <v>5.7</v>
      </c>
      <c r="T577" s="39">
        <v>43772</v>
      </c>
      <c r="U577" s="22" t="s">
        <v>246</v>
      </c>
      <c r="V577" t="s">
        <v>300</v>
      </c>
      <c r="W577" s="22" t="s">
        <v>287</v>
      </c>
    </row>
    <row r="578" spans="1:23" x14ac:dyDescent="0.2">
      <c r="A578" t="s">
        <v>193</v>
      </c>
      <c r="F578" t="s">
        <v>109</v>
      </c>
      <c r="O578">
        <v>1</v>
      </c>
      <c r="P578">
        <v>46</v>
      </c>
      <c r="R578">
        <v>12.6</v>
      </c>
      <c r="T578" s="39">
        <v>43772</v>
      </c>
      <c r="U578" s="22" t="s">
        <v>246</v>
      </c>
      <c r="V578" t="s">
        <v>311</v>
      </c>
      <c r="W578" s="22" t="s">
        <v>297</v>
      </c>
    </row>
    <row r="579" spans="1:23" x14ac:dyDescent="0.2">
      <c r="A579" t="s">
        <v>193</v>
      </c>
      <c r="D579" s="3"/>
      <c r="E579" s="3"/>
      <c r="F579" s="3" t="s">
        <v>110</v>
      </c>
      <c r="O579" s="3">
        <v>1</v>
      </c>
      <c r="P579" s="3">
        <v>39.5</v>
      </c>
      <c r="R579" s="3">
        <f>11.2+3.6+2.1</f>
        <v>16.899999999999999</v>
      </c>
      <c r="T579" s="39">
        <v>43772</v>
      </c>
      <c r="U579" s="28" t="s">
        <v>246</v>
      </c>
      <c r="V579" t="s">
        <v>289</v>
      </c>
      <c r="W579" s="28" t="s">
        <v>309</v>
      </c>
    </row>
    <row r="580" spans="1:23" x14ac:dyDescent="0.2">
      <c r="A580" t="s">
        <v>193</v>
      </c>
      <c r="F580" t="s">
        <v>109</v>
      </c>
      <c r="O580">
        <v>-1</v>
      </c>
      <c r="P580">
        <v>46</v>
      </c>
      <c r="R580">
        <v>9.5</v>
      </c>
      <c r="T580" s="39">
        <v>43772</v>
      </c>
      <c r="U580" s="22" t="s">
        <v>246</v>
      </c>
      <c r="V580" t="s">
        <v>297</v>
      </c>
      <c r="W580" s="22" t="s">
        <v>311</v>
      </c>
    </row>
    <row r="581" spans="1:23" x14ac:dyDescent="0.2">
      <c r="A581" t="s">
        <v>193</v>
      </c>
      <c r="D581" s="3"/>
      <c r="E581" s="3"/>
      <c r="F581" s="3"/>
      <c r="O581" s="3">
        <v>5.5</v>
      </c>
      <c r="P581" s="3">
        <v>46</v>
      </c>
      <c r="R581" s="3">
        <v>14.4</v>
      </c>
      <c r="T581" s="39">
        <v>43772</v>
      </c>
      <c r="U581" s="28" t="s">
        <v>246</v>
      </c>
      <c r="V581" t="s">
        <v>288</v>
      </c>
      <c r="W581" s="28" t="s">
        <v>312</v>
      </c>
    </row>
    <row r="582" spans="1:23" x14ac:dyDescent="0.2">
      <c r="A582" t="s">
        <v>193</v>
      </c>
      <c r="E582" t="s">
        <v>75</v>
      </c>
      <c r="O582">
        <v>-2.5</v>
      </c>
      <c r="P582">
        <v>51.5</v>
      </c>
      <c r="R582">
        <f>7.3+7.2+2.7</f>
        <v>17.2</v>
      </c>
      <c r="T582" s="39">
        <v>43772</v>
      </c>
      <c r="U582" s="22" t="s">
        <v>246</v>
      </c>
      <c r="V582" t="s">
        <v>303</v>
      </c>
      <c r="W582" s="22" t="s">
        <v>299</v>
      </c>
    </row>
    <row r="583" spans="1:23" x14ac:dyDescent="0.2">
      <c r="A583" t="s">
        <v>193</v>
      </c>
      <c r="E583" t="s">
        <v>75</v>
      </c>
      <c r="F583" t="s">
        <v>110</v>
      </c>
      <c r="O583" s="3">
        <v>4</v>
      </c>
      <c r="P583" s="3">
        <v>50</v>
      </c>
      <c r="R583">
        <v>15.4</v>
      </c>
      <c r="T583" s="39">
        <v>43772</v>
      </c>
      <c r="U583" s="22" t="s">
        <v>246</v>
      </c>
      <c r="V583" t="s">
        <v>287</v>
      </c>
      <c r="W583" s="22" t="s">
        <v>300</v>
      </c>
    </row>
    <row r="584" spans="1:23" x14ac:dyDescent="0.2">
      <c r="A584" t="s">
        <v>193</v>
      </c>
      <c r="D584" t="s">
        <v>75</v>
      </c>
      <c r="E584" t="s">
        <v>75</v>
      </c>
      <c r="O584">
        <v>3.5</v>
      </c>
      <c r="P584">
        <v>42.5</v>
      </c>
      <c r="R584">
        <v>15.5</v>
      </c>
      <c r="T584" s="39">
        <v>43772</v>
      </c>
      <c r="U584" s="22" t="s">
        <v>246</v>
      </c>
      <c r="V584" t="s">
        <v>293</v>
      </c>
      <c r="W584" s="22" t="s">
        <v>298</v>
      </c>
    </row>
    <row r="585" spans="1:23" x14ac:dyDescent="0.2">
      <c r="A585" t="s">
        <v>193</v>
      </c>
      <c r="B585" t="s">
        <v>148</v>
      </c>
      <c r="I585" t="s">
        <v>75</v>
      </c>
      <c r="J585" t="s">
        <v>76</v>
      </c>
      <c r="K585" t="s">
        <v>76</v>
      </c>
      <c r="L585" t="s">
        <v>76</v>
      </c>
      <c r="M585" t="s">
        <v>76</v>
      </c>
      <c r="N585" t="s">
        <v>134</v>
      </c>
      <c r="O585">
        <v>-5.5</v>
      </c>
      <c r="P585">
        <v>46</v>
      </c>
      <c r="Q585">
        <v>3.3</v>
      </c>
      <c r="R585">
        <v>11.3</v>
      </c>
      <c r="S585" s="1">
        <v>3.4</v>
      </c>
      <c r="T585" s="39">
        <v>43772</v>
      </c>
      <c r="U585" s="22" t="s">
        <v>246</v>
      </c>
      <c r="V585" t="s">
        <v>312</v>
      </c>
      <c r="W585" s="22" t="s">
        <v>288</v>
      </c>
    </row>
    <row r="586" spans="1:23" x14ac:dyDescent="0.2">
      <c r="A586" t="s">
        <v>193</v>
      </c>
      <c r="O586">
        <v>-3</v>
      </c>
      <c r="P586">
        <v>44.5</v>
      </c>
      <c r="R586">
        <v>6.8</v>
      </c>
      <c r="T586" s="39">
        <v>43772</v>
      </c>
      <c r="U586" s="22" t="s">
        <v>246</v>
      </c>
      <c r="V586" t="s">
        <v>302</v>
      </c>
      <c r="W586" s="22" t="s">
        <v>305</v>
      </c>
    </row>
    <row r="587" spans="1:23" x14ac:dyDescent="0.2">
      <c r="A587" t="s">
        <v>193</v>
      </c>
      <c r="F587" t="s">
        <v>109</v>
      </c>
      <c r="O587">
        <v>6.5</v>
      </c>
      <c r="P587">
        <v>48.5</v>
      </c>
      <c r="R587">
        <v>14.7</v>
      </c>
      <c r="T587" s="39">
        <v>43772</v>
      </c>
      <c r="U587" s="22" t="s">
        <v>246</v>
      </c>
      <c r="V587" t="s">
        <v>296</v>
      </c>
      <c r="W587" s="22" t="s">
        <v>291</v>
      </c>
    </row>
    <row r="588" spans="1:23" x14ac:dyDescent="0.2">
      <c r="A588" t="s">
        <v>193</v>
      </c>
      <c r="D588" t="s">
        <v>75</v>
      </c>
      <c r="E588" t="s">
        <v>75</v>
      </c>
      <c r="O588">
        <v>-3.5</v>
      </c>
      <c r="P588">
        <v>42.5</v>
      </c>
      <c r="R588">
        <v>11</v>
      </c>
      <c r="T588" s="39">
        <v>43772</v>
      </c>
      <c r="U588" s="22" t="s">
        <v>246</v>
      </c>
      <c r="V588" t="s">
        <v>298</v>
      </c>
      <c r="W588" s="22" t="s">
        <v>293</v>
      </c>
    </row>
    <row r="589" spans="1:23" x14ac:dyDescent="0.2">
      <c r="A589" t="s">
        <v>193</v>
      </c>
      <c r="B589" t="s">
        <v>11</v>
      </c>
      <c r="C589">
        <v>8</v>
      </c>
      <c r="D589" t="s">
        <v>76</v>
      </c>
      <c r="E589" t="s">
        <v>76</v>
      </c>
      <c r="O589">
        <v>-5</v>
      </c>
      <c r="P589">
        <v>41</v>
      </c>
      <c r="Q589">
        <v>4.7</v>
      </c>
      <c r="R589">
        <v>28.3</v>
      </c>
      <c r="S589" s="1">
        <v>6</v>
      </c>
      <c r="T589" s="39">
        <v>43772</v>
      </c>
      <c r="U589" s="22" t="s">
        <v>246</v>
      </c>
      <c r="V589" t="s">
        <v>294</v>
      </c>
      <c r="W589" s="22" t="s">
        <v>265</v>
      </c>
    </row>
    <row r="590" spans="1:23" x14ac:dyDescent="0.2">
      <c r="A590" t="s">
        <v>193</v>
      </c>
      <c r="F590" t="s">
        <v>110</v>
      </c>
      <c r="O590">
        <v>-1</v>
      </c>
      <c r="P590">
        <v>39.5</v>
      </c>
      <c r="R590">
        <v>14</v>
      </c>
      <c r="T590" s="39">
        <v>43772</v>
      </c>
      <c r="U590" s="22" t="s">
        <v>246</v>
      </c>
      <c r="V590" t="s">
        <v>309</v>
      </c>
      <c r="W590" s="22" t="s">
        <v>289</v>
      </c>
    </row>
    <row r="591" spans="1:23" x14ac:dyDescent="0.2">
      <c r="A591" t="s">
        <v>193</v>
      </c>
      <c r="O591">
        <v>-10.5</v>
      </c>
      <c r="P591">
        <v>43.5</v>
      </c>
      <c r="R591">
        <f>19.9+6.9</f>
        <v>26.799999999999997</v>
      </c>
      <c r="T591" s="39">
        <v>43772</v>
      </c>
      <c r="U591" s="22" t="s">
        <v>246</v>
      </c>
      <c r="V591" s="22" t="s">
        <v>256</v>
      </c>
      <c r="W591" s="22" t="s">
        <v>285</v>
      </c>
    </row>
    <row r="592" spans="1:23" x14ac:dyDescent="0.2">
      <c r="A592" t="s">
        <v>193</v>
      </c>
      <c r="E592" t="s">
        <v>75</v>
      </c>
      <c r="F592" t="s">
        <v>109</v>
      </c>
      <c r="O592">
        <v>-4</v>
      </c>
      <c r="P592">
        <v>50.5</v>
      </c>
      <c r="R592">
        <v>23.7</v>
      </c>
      <c r="T592" s="39">
        <v>43772</v>
      </c>
      <c r="U592" s="22" t="s">
        <v>246</v>
      </c>
      <c r="V592" t="s">
        <v>308</v>
      </c>
      <c r="W592" s="22" t="s">
        <v>284</v>
      </c>
    </row>
    <row r="593" spans="1:23" x14ac:dyDescent="0.2">
      <c r="A593" t="s">
        <v>193</v>
      </c>
      <c r="E593" t="s">
        <v>75</v>
      </c>
      <c r="F593" t="s">
        <v>109</v>
      </c>
      <c r="O593">
        <v>4</v>
      </c>
      <c r="P593">
        <v>50.5</v>
      </c>
      <c r="R593">
        <v>4.3</v>
      </c>
      <c r="T593" s="39">
        <v>43772</v>
      </c>
      <c r="U593" s="22" t="s">
        <v>246</v>
      </c>
      <c r="V593" t="s">
        <v>284</v>
      </c>
      <c r="W593" s="22" t="s">
        <v>308</v>
      </c>
    </row>
    <row r="594" spans="1:23" x14ac:dyDescent="0.2">
      <c r="A594" t="s">
        <v>193</v>
      </c>
      <c r="O594">
        <v>3.5</v>
      </c>
      <c r="P594">
        <v>43</v>
      </c>
      <c r="R594">
        <v>4.8</v>
      </c>
      <c r="T594" s="39">
        <v>43772</v>
      </c>
      <c r="U594" s="22" t="s">
        <v>246</v>
      </c>
      <c r="V594" t="s">
        <v>310</v>
      </c>
      <c r="W594" s="22" t="s">
        <v>301</v>
      </c>
    </row>
    <row r="595" spans="1:23" x14ac:dyDescent="0.2">
      <c r="A595" t="s">
        <v>193</v>
      </c>
      <c r="O595">
        <v>10.5</v>
      </c>
      <c r="P595">
        <v>37</v>
      </c>
      <c r="R595">
        <v>2.6</v>
      </c>
      <c r="T595" s="39">
        <v>43772</v>
      </c>
      <c r="U595" s="22" t="s">
        <v>246</v>
      </c>
      <c r="V595" t="s">
        <v>306</v>
      </c>
      <c r="W595" s="22" t="s">
        <v>276</v>
      </c>
    </row>
    <row r="596" spans="1:23" x14ac:dyDescent="0.2">
      <c r="A596" t="s">
        <v>193</v>
      </c>
      <c r="E596" t="s">
        <v>75</v>
      </c>
      <c r="F596" t="s">
        <v>109</v>
      </c>
      <c r="O596">
        <v>5.5</v>
      </c>
      <c r="P596">
        <v>51</v>
      </c>
      <c r="R596">
        <v>4</v>
      </c>
      <c r="T596" s="39">
        <v>43779</v>
      </c>
      <c r="U596" s="22" t="s">
        <v>244</v>
      </c>
      <c r="V596" t="s">
        <v>285</v>
      </c>
      <c r="W596" s="22" t="s">
        <v>284</v>
      </c>
    </row>
    <row r="597" spans="1:23" x14ac:dyDescent="0.2">
      <c r="A597" t="s">
        <v>193</v>
      </c>
      <c r="F597" t="s">
        <v>109</v>
      </c>
      <c r="O597">
        <v>14</v>
      </c>
      <c r="P597">
        <v>51.5</v>
      </c>
      <c r="R597">
        <v>11.7</v>
      </c>
      <c r="T597" s="39">
        <v>43779</v>
      </c>
      <c r="U597" s="22" t="s">
        <v>244</v>
      </c>
      <c r="V597" t="s">
        <v>295</v>
      </c>
      <c r="W597" s="22" t="s">
        <v>307</v>
      </c>
    </row>
    <row r="598" spans="1:23" x14ac:dyDescent="0.2">
      <c r="A598" t="s">
        <v>193</v>
      </c>
      <c r="B598" t="s">
        <v>7</v>
      </c>
      <c r="C598">
        <v>8.4</v>
      </c>
      <c r="D598" t="s">
        <v>75</v>
      </c>
      <c r="E598" t="s">
        <v>76</v>
      </c>
      <c r="O598">
        <v>-10.5</v>
      </c>
      <c r="P598">
        <v>44</v>
      </c>
      <c r="Q598">
        <v>5.2</v>
      </c>
      <c r="R598">
        <v>23.3</v>
      </c>
      <c r="S598" s="1">
        <v>4.5</v>
      </c>
      <c r="T598" s="39">
        <v>43779</v>
      </c>
      <c r="U598" s="22" t="s">
        <v>244</v>
      </c>
      <c r="V598" s="41" t="s">
        <v>305</v>
      </c>
      <c r="W598" s="22" t="s">
        <v>272</v>
      </c>
    </row>
    <row r="599" spans="1:23" x14ac:dyDescent="0.2">
      <c r="A599" t="s">
        <v>193</v>
      </c>
      <c r="F599" t="s">
        <v>110</v>
      </c>
      <c r="O599">
        <v>3</v>
      </c>
      <c r="P599">
        <v>42</v>
      </c>
      <c r="R599">
        <v>9.5</v>
      </c>
      <c r="T599" s="39">
        <v>43779</v>
      </c>
      <c r="U599" s="22" t="s">
        <v>244</v>
      </c>
      <c r="V599" s="41" t="s">
        <v>276</v>
      </c>
      <c r="W599" s="22" t="s">
        <v>281</v>
      </c>
    </row>
    <row r="600" spans="1:23" x14ac:dyDescent="0.2">
      <c r="A600" t="s">
        <v>193</v>
      </c>
      <c r="D600" t="s">
        <v>75</v>
      </c>
      <c r="O600">
        <v>5</v>
      </c>
      <c r="P600">
        <v>49</v>
      </c>
      <c r="R600">
        <v>17.8</v>
      </c>
      <c r="T600" s="39">
        <v>43779</v>
      </c>
      <c r="U600" s="22" t="s">
        <v>244</v>
      </c>
      <c r="V600" t="s">
        <v>301</v>
      </c>
      <c r="W600" s="22" t="s">
        <v>300</v>
      </c>
    </row>
    <row r="601" spans="1:23" x14ac:dyDescent="0.2">
      <c r="A601" t="s">
        <v>193</v>
      </c>
      <c r="O601">
        <v>-6</v>
      </c>
      <c r="P601">
        <v>38</v>
      </c>
      <c r="R601">
        <v>8.8000000000000007</v>
      </c>
      <c r="T601" s="39">
        <v>43779</v>
      </c>
      <c r="U601" s="22" t="s">
        <v>244</v>
      </c>
      <c r="V601" s="41" t="s">
        <v>265</v>
      </c>
      <c r="W601" s="22" t="s">
        <v>299</v>
      </c>
    </row>
    <row r="602" spans="1:23" x14ac:dyDescent="0.2">
      <c r="A602" t="s">
        <v>193</v>
      </c>
      <c r="D602" s="3" t="s">
        <v>75</v>
      </c>
      <c r="E602" s="3"/>
      <c r="F602" s="3"/>
      <c r="O602" s="3">
        <v>10.5</v>
      </c>
      <c r="P602" s="3">
        <v>44</v>
      </c>
      <c r="R602" s="3">
        <v>11.3</v>
      </c>
      <c r="T602" s="39">
        <v>43779</v>
      </c>
      <c r="U602" s="28" t="s">
        <v>244</v>
      </c>
      <c r="V602" s="17" t="s">
        <v>272</v>
      </c>
      <c r="W602" s="28" t="s">
        <v>305</v>
      </c>
    </row>
    <row r="603" spans="1:23" x14ac:dyDescent="0.2">
      <c r="A603" t="s">
        <v>193</v>
      </c>
      <c r="F603" t="s">
        <v>110</v>
      </c>
      <c r="O603">
        <v>-3</v>
      </c>
      <c r="P603">
        <v>42</v>
      </c>
      <c r="R603">
        <v>4.8</v>
      </c>
      <c r="T603" s="39">
        <v>43779</v>
      </c>
      <c r="U603" s="22" t="s">
        <v>244</v>
      </c>
      <c r="V603" t="s">
        <v>281</v>
      </c>
      <c r="W603" s="22" t="s">
        <v>276</v>
      </c>
    </row>
    <row r="604" spans="1:23" x14ac:dyDescent="0.2">
      <c r="A604" t="s">
        <v>193</v>
      </c>
      <c r="O604">
        <v>-3.5</v>
      </c>
      <c r="P604">
        <v>48.5</v>
      </c>
      <c r="R604">
        <f>6.5+3.7</f>
        <v>10.199999999999999</v>
      </c>
      <c r="T604" s="39">
        <v>43779</v>
      </c>
      <c r="U604" s="22" t="s">
        <v>244</v>
      </c>
      <c r="V604" t="s">
        <v>291</v>
      </c>
      <c r="W604" s="22" t="s">
        <v>312</v>
      </c>
    </row>
    <row r="605" spans="1:23" x14ac:dyDescent="0.2">
      <c r="A605" t="s">
        <v>193</v>
      </c>
      <c r="O605">
        <v>6</v>
      </c>
      <c r="P605">
        <v>38</v>
      </c>
      <c r="R605">
        <f>7.7+3.9</f>
        <v>11.6</v>
      </c>
      <c r="T605" s="39">
        <v>43779</v>
      </c>
      <c r="U605" s="22" t="s">
        <v>244</v>
      </c>
      <c r="V605" t="s">
        <v>299</v>
      </c>
      <c r="W605" s="22" t="s">
        <v>265</v>
      </c>
    </row>
    <row r="606" spans="1:23" x14ac:dyDescent="0.2">
      <c r="A606" t="s">
        <v>193</v>
      </c>
      <c r="O606">
        <v>-5</v>
      </c>
      <c r="P606">
        <v>49</v>
      </c>
      <c r="R606">
        <v>7.9</v>
      </c>
      <c r="T606" s="39">
        <v>43779</v>
      </c>
      <c r="U606" s="22" t="s">
        <v>244</v>
      </c>
      <c r="V606" t="s">
        <v>300</v>
      </c>
      <c r="W606" s="22" t="s">
        <v>301</v>
      </c>
    </row>
    <row r="607" spans="1:23" x14ac:dyDescent="0.2">
      <c r="A607" t="s">
        <v>193</v>
      </c>
      <c r="D607" s="3" t="s">
        <v>75</v>
      </c>
      <c r="E607" s="3"/>
      <c r="F607" t="s">
        <v>110</v>
      </c>
      <c r="O607">
        <v>-11</v>
      </c>
      <c r="P607">
        <v>44.5</v>
      </c>
      <c r="R607" s="3">
        <f>13.4+10.6</f>
        <v>24</v>
      </c>
      <c r="T607" s="39">
        <v>43779</v>
      </c>
      <c r="U607" s="28" t="s">
        <v>244</v>
      </c>
      <c r="V607" t="s">
        <v>289</v>
      </c>
      <c r="W607" s="28" t="s">
        <v>293</v>
      </c>
    </row>
    <row r="608" spans="1:23" x14ac:dyDescent="0.2">
      <c r="A608" t="s">
        <v>193</v>
      </c>
      <c r="O608">
        <v>-5</v>
      </c>
      <c r="P608">
        <v>49</v>
      </c>
      <c r="R608">
        <v>22.2</v>
      </c>
      <c r="T608" s="39">
        <v>43779</v>
      </c>
      <c r="U608" s="22" t="s">
        <v>244</v>
      </c>
      <c r="V608" t="s">
        <v>288</v>
      </c>
      <c r="W608" s="22" t="s">
        <v>310</v>
      </c>
    </row>
    <row r="609" spans="1:23" x14ac:dyDescent="0.2">
      <c r="A609" t="s">
        <v>193</v>
      </c>
      <c r="O609">
        <v>1</v>
      </c>
      <c r="P609">
        <v>49</v>
      </c>
      <c r="R609">
        <v>7</v>
      </c>
      <c r="T609" s="39">
        <v>43779</v>
      </c>
      <c r="U609" s="22" t="s">
        <v>244</v>
      </c>
      <c r="V609" t="s">
        <v>303</v>
      </c>
      <c r="W609" s="22" t="s">
        <v>287</v>
      </c>
    </row>
    <row r="610" spans="1:23" x14ac:dyDescent="0.2">
      <c r="A610" t="s">
        <v>193</v>
      </c>
      <c r="D610" t="s">
        <v>75</v>
      </c>
      <c r="O610">
        <v>-1</v>
      </c>
      <c r="P610">
        <v>49</v>
      </c>
      <c r="R610">
        <v>13</v>
      </c>
      <c r="T610" s="39">
        <v>43779</v>
      </c>
      <c r="U610" s="22" t="s">
        <v>244</v>
      </c>
      <c r="V610" t="s">
        <v>287</v>
      </c>
      <c r="W610" s="22" t="s">
        <v>303</v>
      </c>
    </row>
    <row r="611" spans="1:23" x14ac:dyDescent="0.2">
      <c r="A611" t="s">
        <v>193</v>
      </c>
      <c r="F611" t="s">
        <v>110</v>
      </c>
      <c r="O611">
        <v>-4</v>
      </c>
      <c r="P611">
        <v>43</v>
      </c>
      <c r="R611">
        <f>14.8+5.2+1.9</f>
        <v>21.9</v>
      </c>
      <c r="T611" s="39">
        <v>43779</v>
      </c>
      <c r="U611" s="22" t="s">
        <v>244</v>
      </c>
      <c r="V611" s="18" t="s">
        <v>304</v>
      </c>
      <c r="W611" s="22" t="s">
        <v>309</v>
      </c>
    </row>
    <row r="612" spans="1:23" x14ac:dyDescent="0.2">
      <c r="A612" t="s">
        <v>193</v>
      </c>
      <c r="B612" t="s">
        <v>8</v>
      </c>
      <c r="F612" t="s">
        <v>110</v>
      </c>
      <c r="I612" t="s">
        <v>75</v>
      </c>
      <c r="J612" t="s">
        <v>76</v>
      </c>
      <c r="K612" t="s">
        <v>76</v>
      </c>
      <c r="L612" t="s">
        <v>76</v>
      </c>
      <c r="M612" t="s">
        <v>75</v>
      </c>
      <c r="N612" t="s">
        <v>134</v>
      </c>
      <c r="O612">
        <v>11</v>
      </c>
      <c r="P612">
        <v>44.5</v>
      </c>
      <c r="Q612">
        <v>3.1</v>
      </c>
      <c r="R612">
        <v>4.8</v>
      </c>
      <c r="S612" s="1">
        <v>1.5</v>
      </c>
      <c r="T612" s="39">
        <v>43779</v>
      </c>
      <c r="U612" s="22" t="s">
        <v>244</v>
      </c>
      <c r="V612" s="18" t="s">
        <v>293</v>
      </c>
      <c r="W612" s="22" t="s">
        <v>289</v>
      </c>
    </row>
    <row r="613" spans="1:23" x14ac:dyDescent="0.2">
      <c r="A613" t="s">
        <v>193</v>
      </c>
      <c r="B613" t="s">
        <v>148</v>
      </c>
      <c r="I613" t="s">
        <v>75</v>
      </c>
      <c r="J613" t="s">
        <v>76</v>
      </c>
      <c r="K613" t="s">
        <v>76</v>
      </c>
      <c r="L613" t="s">
        <v>76</v>
      </c>
      <c r="M613" t="s">
        <v>75</v>
      </c>
      <c r="N613" t="s">
        <v>134</v>
      </c>
      <c r="O613">
        <v>3.5</v>
      </c>
      <c r="P613">
        <v>48.5</v>
      </c>
      <c r="Q613">
        <v>3.4</v>
      </c>
      <c r="R613">
        <v>19.399999999999999</v>
      </c>
      <c r="S613" s="1">
        <v>5.7</v>
      </c>
      <c r="T613" s="39">
        <v>43779</v>
      </c>
      <c r="U613" s="22" t="s">
        <v>244</v>
      </c>
      <c r="V613" s="18" t="s">
        <v>312</v>
      </c>
      <c r="W613" s="22" t="s">
        <v>291</v>
      </c>
    </row>
    <row r="614" spans="1:23" x14ac:dyDescent="0.2">
      <c r="A614" t="s">
        <v>193</v>
      </c>
      <c r="F614" t="s">
        <v>109</v>
      </c>
      <c r="O614">
        <v>-14</v>
      </c>
      <c r="P614">
        <v>51.5</v>
      </c>
      <c r="R614">
        <v>13.4</v>
      </c>
      <c r="T614" s="39">
        <v>43779</v>
      </c>
      <c r="U614" s="22" t="s">
        <v>244</v>
      </c>
      <c r="V614" s="18" t="s">
        <v>307</v>
      </c>
      <c r="W614" s="22" t="s">
        <v>295</v>
      </c>
    </row>
    <row r="615" spans="1:23" x14ac:dyDescent="0.2">
      <c r="A615" t="s">
        <v>193</v>
      </c>
      <c r="B615" t="s">
        <v>140</v>
      </c>
      <c r="D615" t="s">
        <v>75</v>
      </c>
      <c r="F615" t="s">
        <v>109</v>
      </c>
      <c r="I615" t="s">
        <v>75</v>
      </c>
      <c r="J615" t="s">
        <v>75</v>
      </c>
      <c r="K615" t="s">
        <v>76</v>
      </c>
      <c r="L615" t="s">
        <v>76</v>
      </c>
      <c r="M615" t="s">
        <v>76</v>
      </c>
      <c r="N615" t="s">
        <v>132</v>
      </c>
      <c r="O615">
        <v>-3</v>
      </c>
      <c r="P615">
        <v>43</v>
      </c>
      <c r="Q615">
        <v>2.5</v>
      </c>
      <c r="R615">
        <v>7.2</v>
      </c>
      <c r="S615" s="1">
        <v>2.9</v>
      </c>
      <c r="T615" s="39">
        <v>43779</v>
      </c>
      <c r="U615" s="22" t="s">
        <v>244</v>
      </c>
      <c r="V615" s="18" t="s">
        <v>296</v>
      </c>
      <c r="W615" s="22" t="s">
        <v>298</v>
      </c>
    </row>
    <row r="616" spans="1:23" x14ac:dyDescent="0.2">
      <c r="A616" t="s">
        <v>193</v>
      </c>
      <c r="D616" t="s">
        <v>75</v>
      </c>
      <c r="F616" t="s">
        <v>109</v>
      </c>
      <c r="O616">
        <v>3</v>
      </c>
      <c r="P616">
        <v>43</v>
      </c>
      <c r="R616">
        <v>4.4000000000000004</v>
      </c>
      <c r="T616" s="39">
        <v>43779</v>
      </c>
      <c r="U616" s="22" t="s">
        <v>244</v>
      </c>
      <c r="V616" s="18" t="s">
        <v>298</v>
      </c>
      <c r="W616" s="22" t="s">
        <v>296</v>
      </c>
    </row>
    <row r="617" spans="1:23" x14ac:dyDescent="0.2">
      <c r="A617" t="s">
        <v>193</v>
      </c>
      <c r="F617" t="s">
        <v>110</v>
      </c>
      <c r="O617">
        <v>4</v>
      </c>
      <c r="P617">
        <v>43</v>
      </c>
      <c r="R617">
        <f>4.3+1.8</f>
        <v>6.1</v>
      </c>
      <c r="T617" s="39">
        <v>43779</v>
      </c>
      <c r="U617" s="22" t="s">
        <v>244</v>
      </c>
      <c r="V617" s="18" t="s">
        <v>309</v>
      </c>
      <c r="W617" s="22" t="s">
        <v>304</v>
      </c>
    </row>
    <row r="618" spans="1:23" x14ac:dyDescent="0.2">
      <c r="A618" t="s">
        <v>193</v>
      </c>
      <c r="B618" t="s">
        <v>130</v>
      </c>
      <c r="I618" t="s">
        <v>75</v>
      </c>
      <c r="J618" t="s">
        <v>76</v>
      </c>
      <c r="K618" t="s">
        <v>76</v>
      </c>
      <c r="L618" t="s">
        <v>75</v>
      </c>
      <c r="M618" t="s">
        <v>75</v>
      </c>
      <c r="N618" t="s">
        <v>132</v>
      </c>
      <c r="O618">
        <v>-6.5</v>
      </c>
      <c r="P618">
        <v>47</v>
      </c>
      <c r="Q618">
        <v>3.2</v>
      </c>
      <c r="R618">
        <v>5.4</v>
      </c>
      <c r="S618" s="1">
        <v>1.7</v>
      </c>
      <c r="T618" s="39">
        <v>43779</v>
      </c>
      <c r="U618" s="22" t="s">
        <v>244</v>
      </c>
      <c r="V618" s="38" t="s">
        <v>256</v>
      </c>
      <c r="W618" s="22" t="s">
        <v>308</v>
      </c>
    </row>
    <row r="619" spans="1:23" x14ac:dyDescent="0.2">
      <c r="A619" t="s">
        <v>193</v>
      </c>
      <c r="O619">
        <v>6.5</v>
      </c>
      <c r="P619">
        <v>47</v>
      </c>
      <c r="R619">
        <v>20.2</v>
      </c>
      <c r="T619" s="39">
        <v>43779</v>
      </c>
      <c r="U619" s="22" t="s">
        <v>244</v>
      </c>
      <c r="V619" s="18" t="s">
        <v>308</v>
      </c>
      <c r="W619" s="22" t="s">
        <v>256</v>
      </c>
    </row>
    <row r="620" spans="1:23" x14ac:dyDescent="0.2">
      <c r="A620" t="s">
        <v>193</v>
      </c>
      <c r="E620" t="s">
        <v>75</v>
      </c>
      <c r="F620" t="s">
        <v>109</v>
      </c>
      <c r="O620">
        <v>-5.5</v>
      </c>
      <c r="P620">
        <v>51</v>
      </c>
      <c r="R620">
        <v>14.7</v>
      </c>
      <c r="T620" s="39">
        <v>43779</v>
      </c>
      <c r="U620" s="22" t="s">
        <v>244</v>
      </c>
      <c r="V620" s="18" t="s">
        <v>284</v>
      </c>
      <c r="W620" s="22" t="s">
        <v>285</v>
      </c>
    </row>
    <row r="621" spans="1:23" x14ac:dyDescent="0.2">
      <c r="A621" t="s">
        <v>193</v>
      </c>
      <c r="O621">
        <v>5</v>
      </c>
      <c r="P621">
        <v>49</v>
      </c>
      <c r="R621">
        <f>12.6+7</f>
        <v>19.600000000000001</v>
      </c>
      <c r="T621" s="39">
        <v>43779</v>
      </c>
      <c r="U621" s="22" t="s">
        <v>244</v>
      </c>
      <c r="V621" t="s">
        <v>310</v>
      </c>
      <c r="W621" s="22" t="s">
        <v>288</v>
      </c>
    </row>
    <row r="622" spans="1:23" x14ac:dyDescent="0.2">
      <c r="A622" t="s">
        <v>193</v>
      </c>
      <c r="O622">
        <v>10</v>
      </c>
      <c r="P622">
        <v>44</v>
      </c>
      <c r="R622">
        <v>1.4</v>
      </c>
      <c r="T622" s="39">
        <v>43786</v>
      </c>
      <c r="U622" s="22" t="s">
        <v>259</v>
      </c>
      <c r="V622" t="s">
        <v>285</v>
      </c>
      <c r="W622" s="22" t="s">
        <v>256</v>
      </c>
    </row>
    <row r="623" spans="1:23" x14ac:dyDescent="0.2">
      <c r="A623" t="s">
        <v>193</v>
      </c>
      <c r="E623" t="s">
        <v>75</v>
      </c>
      <c r="F623" t="s">
        <v>109</v>
      </c>
      <c r="O623">
        <v>3.5</v>
      </c>
      <c r="P623">
        <v>49</v>
      </c>
      <c r="R623">
        <v>4.3</v>
      </c>
      <c r="T623" s="39">
        <v>43786</v>
      </c>
      <c r="U623" s="22" t="s">
        <v>259</v>
      </c>
      <c r="V623" t="s">
        <v>295</v>
      </c>
      <c r="W623" s="22" t="s">
        <v>301</v>
      </c>
    </row>
    <row r="624" spans="1:23" x14ac:dyDescent="0.2">
      <c r="A624" t="s">
        <v>193</v>
      </c>
      <c r="O624">
        <v>-4</v>
      </c>
      <c r="P624">
        <v>51</v>
      </c>
      <c r="R624">
        <f>17.5+4+3.6</f>
        <v>25.1</v>
      </c>
      <c r="T624" s="39">
        <v>43786</v>
      </c>
      <c r="U624" s="22" t="s">
        <v>259</v>
      </c>
      <c r="V624" s="41" t="s">
        <v>305</v>
      </c>
      <c r="W624" s="22" t="s">
        <v>311</v>
      </c>
    </row>
    <row r="625" spans="1:23" x14ac:dyDescent="0.2">
      <c r="A625" t="s">
        <v>193</v>
      </c>
      <c r="D625" t="s">
        <v>75</v>
      </c>
      <c r="F625" t="s">
        <v>110</v>
      </c>
      <c r="O625">
        <v>-7</v>
      </c>
      <c r="P625">
        <v>41.5</v>
      </c>
      <c r="R625">
        <v>12.8</v>
      </c>
      <c r="T625" s="39">
        <v>43786</v>
      </c>
      <c r="U625" s="22" t="s">
        <v>259</v>
      </c>
      <c r="V625" t="s">
        <v>276</v>
      </c>
      <c r="W625" s="22" t="s">
        <v>293</v>
      </c>
    </row>
    <row r="626" spans="1:23" x14ac:dyDescent="0.2">
      <c r="A626" t="s">
        <v>193</v>
      </c>
      <c r="E626" t="s">
        <v>75</v>
      </c>
      <c r="F626" t="s">
        <v>109</v>
      </c>
      <c r="O626">
        <v>-3.5</v>
      </c>
      <c r="P626">
        <v>49</v>
      </c>
      <c r="R626">
        <v>10.7</v>
      </c>
      <c r="T626" s="39">
        <v>43786</v>
      </c>
      <c r="U626" s="22" t="s">
        <v>259</v>
      </c>
      <c r="V626" t="s">
        <v>301</v>
      </c>
      <c r="W626" s="22" t="s">
        <v>295</v>
      </c>
    </row>
    <row r="627" spans="1:23" x14ac:dyDescent="0.2">
      <c r="A627" t="s">
        <v>193</v>
      </c>
      <c r="O627">
        <v>5</v>
      </c>
      <c r="P627">
        <v>40</v>
      </c>
      <c r="R627">
        <v>1.8</v>
      </c>
      <c r="T627" s="39">
        <v>43786</v>
      </c>
      <c r="U627" s="22" t="s">
        <v>259</v>
      </c>
      <c r="V627" t="s">
        <v>265</v>
      </c>
      <c r="W627" s="22" t="s">
        <v>304</v>
      </c>
    </row>
    <row r="628" spans="1:23" x14ac:dyDescent="0.2">
      <c r="A628" t="s">
        <v>193</v>
      </c>
      <c r="D628" s="3"/>
      <c r="E628" t="s">
        <v>75</v>
      </c>
      <c r="F628" t="s">
        <v>110</v>
      </c>
      <c r="O628" s="3">
        <v>13</v>
      </c>
      <c r="P628" s="3">
        <v>48</v>
      </c>
      <c r="R628" s="3">
        <v>2.6</v>
      </c>
      <c r="T628" s="39">
        <v>43786</v>
      </c>
      <c r="U628" s="28" t="s">
        <v>259</v>
      </c>
      <c r="V628" s="17" t="s">
        <v>272</v>
      </c>
      <c r="W628" s="28" t="s">
        <v>303</v>
      </c>
    </row>
    <row r="629" spans="1:23" x14ac:dyDescent="0.2">
      <c r="A629" t="s">
        <v>193</v>
      </c>
      <c r="O629">
        <v>-3</v>
      </c>
      <c r="P629">
        <v>41.5</v>
      </c>
      <c r="R629">
        <v>7.8</v>
      </c>
      <c r="T629" s="39">
        <v>43786</v>
      </c>
      <c r="U629" s="22" t="s">
        <v>259</v>
      </c>
      <c r="V629" t="s">
        <v>281</v>
      </c>
      <c r="W629" s="22" t="s">
        <v>309</v>
      </c>
    </row>
    <row r="630" spans="1:23" x14ac:dyDescent="0.2">
      <c r="A630" t="s">
        <v>193</v>
      </c>
      <c r="F630" t="s">
        <v>109</v>
      </c>
      <c r="O630">
        <v>-7.5</v>
      </c>
      <c r="P630">
        <v>46.5</v>
      </c>
      <c r="R630">
        <f>8.3+5.8</f>
        <v>14.100000000000001</v>
      </c>
      <c r="T630" s="39">
        <v>43786</v>
      </c>
      <c r="U630" s="22" t="s">
        <v>259</v>
      </c>
      <c r="V630" t="s">
        <v>291</v>
      </c>
      <c r="W630" s="22" t="s">
        <v>299</v>
      </c>
    </row>
    <row r="631" spans="1:23" x14ac:dyDescent="0.2">
      <c r="A631" t="s">
        <v>193</v>
      </c>
      <c r="O631">
        <v>10</v>
      </c>
      <c r="P631">
        <v>40.5</v>
      </c>
      <c r="R631">
        <v>16.600000000000001</v>
      </c>
      <c r="T631" s="39">
        <v>43786</v>
      </c>
      <c r="U631" t="s">
        <v>259</v>
      </c>
      <c r="V631" t="s">
        <v>278</v>
      </c>
      <c r="W631" t="s">
        <v>312</v>
      </c>
    </row>
    <row r="632" spans="1:23" x14ac:dyDescent="0.2">
      <c r="A632" t="s">
        <v>193</v>
      </c>
      <c r="F632" t="s">
        <v>109</v>
      </c>
      <c r="O632">
        <v>7.5</v>
      </c>
      <c r="P632">
        <v>46.5</v>
      </c>
      <c r="R632">
        <v>1.6</v>
      </c>
      <c r="T632" s="39">
        <v>43786</v>
      </c>
      <c r="U632" s="22" t="s">
        <v>259</v>
      </c>
      <c r="V632" t="s">
        <v>299</v>
      </c>
      <c r="W632" s="22" t="s">
        <v>291</v>
      </c>
    </row>
    <row r="633" spans="1:23" x14ac:dyDescent="0.2">
      <c r="A633" t="s">
        <v>193</v>
      </c>
      <c r="O633">
        <v>4</v>
      </c>
      <c r="P633">
        <v>51</v>
      </c>
      <c r="R633">
        <v>5.3</v>
      </c>
      <c r="T633" s="39">
        <v>43786</v>
      </c>
      <c r="U633" s="22" t="s">
        <v>259</v>
      </c>
      <c r="V633" t="s">
        <v>311</v>
      </c>
      <c r="W633" s="22" t="s">
        <v>305</v>
      </c>
    </row>
    <row r="634" spans="1:23" x14ac:dyDescent="0.2">
      <c r="A634" t="s">
        <v>193</v>
      </c>
      <c r="F634" t="s">
        <v>110</v>
      </c>
      <c r="O634">
        <v>-2.5</v>
      </c>
      <c r="P634">
        <v>41.5</v>
      </c>
      <c r="R634">
        <v>6.7</v>
      </c>
      <c r="T634" s="39">
        <v>43786</v>
      </c>
      <c r="U634" s="22" t="s">
        <v>259</v>
      </c>
      <c r="V634" t="s">
        <v>289</v>
      </c>
      <c r="W634" s="22" t="s">
        <v>297</v>
      </c>
    </row>
    <row r="635" spans="1:23" x14ac:dyDescent="0.2">
      <c r="A635" t="s">
        <v>193</v>
      </c>
      <c r="F635" t="s">
        <v>110</v>
      </c>
      <c r="O635">
        <v>2.5</v>
      </c>
      <c r="P635">
        <v>41.5</v>
      </c>
      <c r="R635">
        <f>1.9+1.5</f>
        <v>3.4</v>
      </c>
      <c r="T635" s="39">
        <v>43786</v>
      </c>
      <c r="U635" s="22" t="s">
        <v>259</v>
      </c>
      <c r="V635" t="s">
        <v>297</v>
      </c>
      <c r="W635" s="22" t="s">
        <v>289</v>
      </c>
    </row>
    <row r="636" spans="1:23" x14ac:dyDescent="0.2">
      <c r="A636" t="s">
        <v>193</v>
      </c>
      <c r="O636">
        <v>-5.5</v>
      </c>
      <c r="P636">
        <v>52.5</v>
      </c>
      <c r="R636">
        <v>22.2</v>
      </c>
      <c r="T636" s="39">
        <v>43786</v>
      </c>
      <c r="U636" s="22" t="s">
        <v>259</v>
      </c>
      <c r="V636" t="s">
        <v>288</v>
      </c>
      <c r="W636" s="22" t="s">
        <v>287</v>
      </c>
    </row>
    <row r="637" spans="1:23" x14ac:dyDescent="0.2">
      <c r="A637" t="s">
        <v>193</v>
      </c>
      <c r="E637" t="s">
        <v>75</v>
      </c>
      <c r="F637" t="s">
        <v>110</v>
      </c>
      <c r="O637">
        <v>-13</v>
      </c>
      <c r="P637">
        <v>48</v>
      </c>
      <c r="R637">
        <f>12.6+8.8</f>
        <v>21.4</v>
      </c>
      <c r="T637" s="39">
        <v>43786</v>
      </c>
      <c r="U637" s="22" t="s">
        <v>259</v>
      </c>
      <c r="V637" t="s">
        <v>303</v>
      </c>
      <c r="W637" s="22" t="s">
        <v>272</v>
      </c>
    </row>
    <row r="638" spans="1:23" x14ac:dyDescent="0.2">
      <c r="A638" t="s">
        <v>193</v>
      </c>
      <c r="O638">
        <v>5.5</v>
      </c>
      <c r="P638">
        <v>52.5</v>
      </c>
      <c r="R638">
        <f>14.9+1.8</f>
        <v>16.7</v>
      </c>
      <c r="T638" s="39">
        <v>43786</v>
      </c>
      <c r="U638" s="22" t="s">
        <v>259</v>
      </c>
      <c r="V638" t="s">
        <v>287</v>
      </c>
      <c r="W638" s="22" t="s">
        <v>288</v>
      </c>
    </row>
    <row r="639" spans="1:23" x14ac:dyDescent="0.2">
      <c r="A639" t="s">
        <v>193</v>
      </c>
      <c r="O639">
        <v>-5</v>
      </c>
      <c r="P639">
        <v>40</v>
      </c>
      <c r="R639">
        <v>3</v>
      </c>
      <c r="T639" s="39">
        <v>43786</v>
      </c>
      <c r="U639" s="22" t="s">
        <v>259</v>
      </c>
      <c r="V639" t="s">
        <v>304</v>
      </c>
      <c r="W639" s="22" t="s">
        <v>265</v>
      </c>
    </row>
    <row r="640" spans="1:23" x14ac:dyDescent="0.2">
      <c r="A640" t="s">
        <v>193</v>
      </c>
      <c r="B640" t="s">
        <v>8</v>
      </c>
      <c r="F640" t="s">
        <v>110</v>
      </c>
      <c r="I640" t="s">
        <v>75</v>
      </c>
      <c r="J640" t="s">
        <v>76</v>
      </c>
      <c r="K640" t="s">
        <v>76</v>
      </c>
      <c r="L640" t="s">
        <v>75</v>
      </c>
      <c r="M640" t="s">
        <v>75</v>
      </c>
      <c r="N640" t="s">
        <v>132</v>
      </c>
      <c r="O640">
        <v>7</v>
      </c>
      <c r="P640">
        <v>41.5</v>
      </c>
      <c r="Q640">
        <v>3.5</v>
      </c>
      <c r="R640">
        <v>5.8</v>
      </c>
      <c r="S640" s="1">
        <v>1.7</v>
      </c>
      <c r="T640" s="39">
        <v>43786</v>
      </c>
      <c r="U640" s="22" t="s">
        <v>259</v>
      </c>
      <c r="V640" t="s">
        <v>293</v>
      </c>
      <c r="W640" s="22" t="s">
        <v>276</v>
      </c>
    </row>
    <row r="641" spans="1:23" x14ac:dyDescent="0.2">
      <c r="A641" t="s">
        <v>193</v>
      </c>
      <c r="B641" t="s">
        <v>148</v>
      </c>
      <c r="I641" t="s">
        <v>75</v>
      </c>
      <c r="J641" t="s">
        <v>76</v>
      </c>
      <c r="K641" t="s">
        <v>76</v>
      </c>
      <c r="L641" t="s">
        <v>76</v>
      </c>
      <c r="M641" t="s">
        <v>76</v>
      </c>
      <c r="N641" t="s">
        <v>132</v>
      </c>
      <c r="O641">
        <v>-10</v>
      </c>
      <c r="P641">
        <v>40.5</v>
      </c>
      <c r="Q641">
        <v>3.6</v>
      </c>
      <c r="R641">
        <v>17.7</v>
      </c>
      <c r="S641" s="1">
        <v>4.9000000000000004</v>
      </c>
      <c r="T641" s="39">
        <v>43786</v>
      </c>
      <c r="U641" s="22" t="s">
        <v>259</v>
      </c>
      <c r="V641" t="s">
        <v>312</v>
      </c>
      <c r="W641" s="22" t="s">
        <v>278</v>
      </c>
    </row>
    <row r="642" spans="1:23" x14ac:dyDescent="0.2">
      <c r="A642" t="s">
        <v>193</v>
      </c>
      <c r="O642">
        <v>-4.5</v>
      </c>
      <c r="P642">
        <v>45</v>
      </c>
      <c r="R642">
        <v>10.5</v>
      </c>
      <c r="T642" s="39">
        <v>43786</v>
      </c>
      <c r="U642" s="22" t="s">
        <v>259</v>
      </c>
      <c r="V642" t="s">
        <v>302</v>
      </c>
      <c r="W642" s="22" t="s">
        <v>294</v>
      </c>
    </row>
    <row r="643" spans="1:23" x14ac:dyDescent="0.2">
      <c r="A643" t="s">
        <v>193</v>
      </c>
      <c r="F643" t="s">
        <v>109</v>
      </c>
      <c r="O643">
        <v>-5</v>
      </c>
      <c r="P643">
        <v>50.5</v>
      </c>
      <c r="R643">
        <f>11.3+2.8</f>
        <v>14.100000000000001</v>
      </c>
      <c r="T643" s="39">
        <v>43786</v>
      </c>
      <c r="U643" s="22" t="s">
        <v>259</v>
      </c>
      <c r="V643" t="s">
        <v>307</v>
      </c>
      <c r="W643" s="22" t="s">
        <v>284</v>
      </c>
    </row>
    <row r="644" spans="1:23" x14ac:dyDescent="0.2">
      <c r="A644" t="s">
        <v>193</v>
      </c>
      <c r="O644">
        <v>1</v>
      </c>
      <c r="P644">
        <v>37.5</v>
      </c>
      <c r="R644">
        <f>24.9+9</f>
        <v>33.9</v>
      </c>
      <c r="T644" s="39">
        <v>43786</v>
      </c>
      <c r="U644" s="22" t="s">
        <v>259</v>
      </c>
      <c r="V644" t="s">
        <v>298</v>
      </c>
      <c r="W644" s="22" t="s">
        <v>306</v>
      </c>
    </row>
    <row r="645" spans="1:23" x14ac:dyDescent="0.2">
      <c r="A645" t="s">
        <v>193</v>
      </c>
      <c r="B645" t="s">
        <v>11</v>
      </c>
      <c r="I645" t="s">
        <v>75</v>
      </c>
      <c r="J645" t="s">
        <v>76</v>
      </c>
      <c r="K645" t="s">
        <v>75</v>
      </c>
      <c r="L645" t="s">
        <v>76</v>
      </c>
      <c r="M645" t="s">
        <v>76</v>
      </c>
      <c r="N645" t="s">
        <v>132</v>
      </c>
      <c r="O645">
        <v>4.5</v>
      </c>
      <c r="P645">
        <v>45</v>
      </c>
      <c r="Q645">
        <v>5</v>
      </c>
      <c r="R645">
        <v>18.399999999999999</v>
      </c>
      <c r="S645" s="1">
        <v>3.7</v>
      </c>
      <c r="T645" s="39">
        <v>43786</v>
      </c>
      <c r="U645" s="22" t="s">
        <v>259</v>
      </c>
      <c r="V645" t="s">
        <v>294</v>
      </c>
      <c r="W645" s="22" t="s">
        <v>302</v>
      </c>
    </row>
    <row r="646" spans="1:23" x14ac:dyDescent="0.2">
      <c r="A646" t="s">
        <v>193</v>
      </c>
      <c r="O646">
        <v>3</v>
      </c>
      <c r="P646">
        <v>41.5</v>
      </c>
      <c r="R646">
        <v>8</v>
      </c>
      <c r="T646" s="39">
        <v>43786</v>
      </c>
      <c r="U646" s="22" t="s">
        <v>259</v>
      </c>
      <c r="V646" t="s">
        <v>309</v>
      </c>
      <c r="W646" s="22" t="s">
        <v>281</v>
      </c>
    </row>
    <row r="647" spans="1:23" x14ac:dyDescent="0.2">
      <c r="A647" t="s">
        <v>193</v>
      </c>
      <c r="B647" t="s">
        <v>130</v>
      </c>
      <c r="I647" t="s">
        <v>75</v>
      </c>
      <c r="J647" t="s">
        <v>75</v>
      </c>
      <c r="K647" t="s">
        <v>76</v>
      </c>
      <c r="L647" t="s">
        <v>75</v>
      </c>
      <c r="M647" t="s">
        <v>75</v>
      </c>
      <c r="N647" t="s">
        <v>132</v>
      </c>
      <c r="O647">
        <v>-10</v>
      </c>
      <c r="P647">
        <v>44</v>
      </c>
      <c r="Q647">
        <v>3.4</v>
      </c>
      <c r="R647">
        <v>17.399999999999999</v>
      </c>
      <c r="S647" s="1">
        <v>5.0999999999999996</v>
      </c>
      <c r="T647" s="39">
        <v>43786</v>
      </c>
      <c r="U647" s="22" t="s">
        <v>259</v>
      </c>
      <c r="V647" s="22" t="s">
        <v>256</v>
      </c>
      <c r="W647" s="22" t="s">
        <v>285</v>
      </c>
    </row>
    <row r="648" spans="1:23" x14ac:dyDescent="0.2">
      <c r="A648" t="s">
        <v>193</v>
      </c>
      <c r="F648" t="s">
        <v>109</v>
      </c>
      <c r="O648">
        <v>5</v>
      </c>
      <c r="P648">
        <v>50.5</v>
      </c>
      <c r="R648">
        <v>17.3</v>
      </c>
      <c r="T648" s="39">
        <v>43786</v>
      </c>
      <c r="U648" s="22" t="s">
        <v>259</v>
      </c>
      <c r="V648" t="s">
        <v>284</v>
      </c>
      <c r="W648" s="22" t="s">
        <v>307</v>
      </c>
    </row>
    <row r="649" spans="1:23" x14ac:dyDescent="0.2">
      <c r="A649" t="s">
        <v>193</v>
      </c>
      <c r="D649" t="s">
        <v>75</v>
      </c>
      <c r="O649">
        <v>-1</v>
      </c>
      <c r="P649">
        <v>37.5</v>
      </c>
      <c r="R649">
        <v>10.6</v>
      </c>
      <c r="T649" s="39">
        <v>43786</v>
      </c>
      <c r="U649" s="22" t="s">
        <v>259</v>
      </c>
      <c r="V649" t="s">
        <v>306</v>
      </c>
      <c r="W649" s="22" t="s">
        <v>298</v>
      </c>
    </row>
    <row r="650" spans="1:23" x14ac:dyDescent="0.2">
      <c r="A650" t="s">
        <v>193</v>
      </c>
      <c r="D650" t="s">
        <v>75</v>
      </c>
      <c r="E650" t="s">
        <v>75</v>
      </c>
      <c r="F650" s="20" t="s">
        <v>109</v>
      </c>
      <c r="O650">
        <v>-3.5</v>
      </c>
      <c r="P650">
        <v>51.5</v>
      </c>
      <c r="R650">
        <v>6.3</v>
      </c>
      <c r="T650" s="39">
        <v>43793</v>
      </c>
      <c r="U650" s="22" t="s">
        <v>242</v>
      </c>
      <c r="V650" t="s">
        <v>295</v>
      </c>
      <c r="W650" s="22" t="s">
        <v>284</v>
      </c>
    </row>
    <row r="651" spans="1:23" x14ac:dyDescent="0.2">
      <c r="A651" t="s">
        <v>193</v>
      </c>
      <c r="O651">
        <v>-3.5</v>
      </c>
      <c r="P651">
        <v>47</v>
      </c>
      <c r="R651">
        <v>8.1999999999999993</v>
      </c>
      <c r="T651" s="39">
        <v>43793</v>
      </c>
      <c r="U651" s="22" t="s">
        <v>242</v>
      </c>
      <c r="V651" s="41" t="s">
        <v>305</v>
      </c>
      <c r="W651" s="22" t="s">
        <v>304</v>
      </c>
    </row>
    <row r="652" spans="1:23" x14ac:dyDescent="0.2">
      <c r="A652" t="s">
        <v>193</v>
      </c>
      <c r="F652" t="s">
        <v>110</v>
      </c>
      <c r="O652">
        <v>-3.5</v>
      </c>
      <c r="P652">
        <v>37</v>
      </c>
      <c r="R652">
        <f>3.1+2.4</f>
        <v>5.5</v>
      </c>
      <c r="T652" s="39">
        <v>43793</v>
      </c>
      <c r="U652" s="22" t="s">
        <v>242</v>
      </c>
      <c r="V652" t="s">
        <v>276</v>
      </c>
      <c r="W652" s="22" t="s">
        <v>278</v>
      </c>
    </row>
    <row r="653" spans="1:23" x14ac:dyDescent="0.2">
      <c r="A653" t="s">
        <v>193</v>
      </c>
      <c r="O653">
        <v>10</v>
      </c>
      <c r="P653">
        <v>46</v>
      </c>
      <c r="R653">
        <v>10.8</v>
      </c>
      <c r="T653" s="39">
        <v>43793</v>
      </c>
      <c r="U653" s="22" t="s">
        <v>242</v>
      </c>
      <c r="V653" t="s">
        <v>301</v>
      </c>
      <c r="W653" s="22" t="s">
        <v>307</v>
      </c>
    </row>
    <row r="654" spans="1:23" x14ac:dyDescent="0.2">
      <c r="A654" t="s">
        <v>193</v>
      </c>
      <c r="D654" t="s">
        <v>75</v>
      </c>
      <c r="O654">
        <v>-6</v>
      </c>
      <c r="P654">
        <v>41</v>
      </c>
      <c r="R654">
        <f>2.9+1.4</f>
        <v>4.3</v>
      </c>
      <c r="T654" s="39">
        <v>43793</v>
      </c>
      <c r="U654" s="22" t="s">
        <v>242</v>
      </c>
      <c r="V654" t="s">
        <v>265</v>
      </c>
      <c r="W654" s="22" t="s">
        <v>296</v>
      </c>
    </row>
    <row r="655" spans="1:23" x14ac:dyDescent="0.2">
      <c r="A655" t="s">
        <v>193</v>
      </c>
      <c r="D655" s="3"/>
      <c r="E655" s="3"/>
      <c r="F655" s="3"/>
      <c r="O655" s="3">
        <v>5.5</v>
      </c>
      <c r="P655" s="3">
        <v>37.5</v>
      </c>
      <c r="R655" s="3">
        <v>1.7</v>
      </c>
      <c r="T655" s="39">
        <v>43793</v>
      </c>
      <c r="U655" s="28" t="s">
        <v>242</v>
      </c>
      <c r="V655" s="17" t="s">
        <v>272</v>
      </c>
      <c r="W655" s="28" t="s">
        <v>309</v>
      </c>
    </row>
    <row r="656" spans="1:23" x14ac:dyDescent="0.2">
      <c r="A656" t="s">
        <v>193</v>
      </c>
      <c r="D656" t="s">
        <v>75</v>
      </c>
      <c r="F656" s="20" t="s">
        <v>109</v>
      </c>
      <c r="O656">
        <v>-11</v>
      </c>
      <c r="P656">
        <v>45.5</v>
      </c>
      <c r="R656">
        <v>5.8</v>
      </c>
      <c r="T656" s="39">
        <v>43793</v>
      </c>
      <c r="U656" s="22" t="s">
        <v>242</v>
      </c>
      <c r="V656" t="s">
        <v>281</v>
      </c>
      <c r="W656" s="22" t="s">
        <v>293</v>
      </c>
    </row>
    <row r="657" spans="1:23" x14ac:dyDescent="0.2">
      <c r="A657" t="s">
        <v>193</v>
      </c>
      <c r="F657" t="s">
        <v>109</v>
      </c>
      <c r="O657">
        <v>5.5</v>
      </c>
      <c r="P657">
        <v>44.5</v>
      </c>
      <c r="R657">
        <v>6.2</v>
      </c>
      <c r="T657" s="39">
        <v>43793</v>
      </c>
      <c r="U657" s="22" t="s">
        <v>242</v>
      </c>
      <c r="V657" t="s">
        <v>291</v>
      </c>
      <c r="W657" s="22" t="s">
        <v>302</v>
      </c>
    </row>
    <row r="658" spans="1:23" x14ac:dyDescent="0.2">
      <c r="A658" t="s">
        <v>193</v>
      </c>
      <c r="F658" t="s">
        <v>110</v>
      </c>
      <c r="O658">
        <v>3.5</v>
      </c>
      <c r="P658">
        <v>37</v>
      </c>
      <c r="R658">
        <v>7.2</v>
      </c>
      <c r="T658" s="39">
        <v>43793</v>
      </c>
      <c r="U658" t="s">
        <v>242</v>
      </c>
      <c r="V658" t="s">
        <v>278</v>
      </c>
      <c r="W658" t="s">
        <v>276</v>
      </c>
    </row>
    <row r="659" spans="1:23" x14ac:dyDescent="0.2">
      <c r="A659" t="s">
        <v>193</v>
      </c>
      <c r="F659" t="s">
        <v>110</v>
      </c>
      <c r="O659">
        <v>-4</v>
      </c>
      <c r="P659">
        <v>39</v>
      </c>
      <c r="R659">
        <v>12.1</v>
      </c>
      <c r="T659" s="39">
        <v>43793</v>
      </c>
      <c r="U659" s="22" t="s">
        <v>242</v>
      </c>
      <c r="V659" t="s">
        <v>299</v>
      </c>
      <c r="W659" s="22" t="s">
        <v>306</v>
      </c>
    </row>
    <row r="660" spans="1:23" x14ac:dyDescent="0.2">
      <c r="A660" t="s">
        <v>193</v>
      </c>
      <c r="O660">
        <v>3</v>
      </c>
      <c r="P660">
        <v>48</v>
      </c>
      <c r="R660">
        <f>2.8+1.7</f>
        <v>4.5</v>
      </c>
      <c r="T660" s="39">
        <v>43793</v>
      </c>
      <c r="U660" s="22" t="s">
        <v>242</v>
      </c>
      <c r="V660" t="s">
        <v>300</v>
      </c>
      <c r="W660" s="22" t="s">
        <v>256</v>
      </c>
    </row>
    <row r="661" spans="1:23" x14ac:dyDescent="0.2">
      <c r="A661" t="s">
        <v>193</v>
      </c>
      <c r="O661">
        <v>3.5</v>
      </c>
      <c r="P661">
        <v>46</v>
      </c>
      <c r="R661">
        <f>5.6+3.4</f>
        <v>9</v>
      </c>
      <c r="T661" s="39">
        <v>43793</v>
      </c>
      <c r="U661" s="22" t="s">
        <v>242</v>
      </c>
      <c r="V661" t="s">
        <v>311</v>
      </c>
      <c r="W661" s="22" t="s">
        <v>289</v>
      </c>
    </row>
    <row r="662" spans="1:23" x14ac:dyDescent="0.2">
      <c r="A662" t="s">
        <v>193</v>
      </c>
      <c r="B662" t="s">
        <v>100</v>
      </c>
      <c r="C662">
        <v>8.1</v>
      </c>
      <c r="D662" t="s">
        <v>76</v>
      </c>
      <c r="E662" t="s">
        <v>76</v>
      </c>
      <c r="O662">
        <v>-3.5</v>
      </c>
      <c r="P662">
        <v>46</v>
      </c>
      <c r="Q662">
        <v>3.7</v>
      </c>
      <c r="R662">
        <v>8.4</v>
      </c>
      <c r="S662" s="1">
        <v>2.2999999999999998</v>
      </c>
      <c r="T662" s="39">
        <v>43793</v>
      </c>
      <c r="U662" s="22" t="s">
        <v>242</v>
      </c>
      <c r="V662" t="s">
        <v>289</v>
      </c>
      <c r="W662" s="22" t="s">
        <v>311</v>
      </c>
    </row>
    <row r="663" spans="1:23" x14ac:dyDescent="0.2">
      <c r="A663" t="s">
        <v>193</v>
      </c>
      <c r="E663" t="s">
        <v>75</v>
      </c>
      <c r="F663" t="s">
        <v>110</v>
      </c>
      <c r="O663">
        <v>4.5</v>
      </c>
      <c r="P663">
        <v>42</v>
      </c>
      <c r="R663">
        <v>7.6</v>
      </c>
      <c r="T663" s="39">
        <v>43793</v>
      </c>
      <c r="U663" s="22" t="s">
        <v>242</v>
      </c>
      <c r="V663" t="s">
        <v>297</v>
      </c>
      <c r="W663" s="22" t="s">
        <v>310</v>
      </c>
    </row>
    <row r="664" spans="1:23" x14ac:dyDescent="0.2">
      <c r="A664" t="s">
        <v>193</v>
      </c>
      <c r="E664" t="s">
        <v>75</v>
      </c>
      <c r="O664">
        <v>-3.5</v>
      </c>
      <c r="P664">
        <v>45</v>
      </c>
      <c r="R664">
        <v>8.4</v>
      </c>
      <c r="T664" s="39">
        <v>43793</v>
      </c>
      <c r="U664" s="22" t="s">
        <v>242</v>
      </c>
      <c r="V664" t="s">
        <v>303</v>
      </c>
      <c r="W664" s="22" t="s">
        <v>298</v>
      </c>
    </row>
    <row r="665" spans="1:23" x14ac:dyDescent="0.2">
      <c r="A665" t="s">
        <v>193</v>
      </c>
      <c r="B665" t="s">
        <v>99</v>
      </c>
      <c r="C665">
        <v>9.8000000000000007</v>
      </c>
      <c r="D665" t="s">
        <v>76</v>
      </c>
      <c r="E665" t="s">
        <v>76</v>
      </c>
      <c r="O665">
        <v>3.5</v>
      </c>
      <c r="P665">
        <v>47</v>
      </c>
      <c r="Q665">
        <v>4</v>
      </c>
      <c r="R665">
        <v>4.3</v>
      </c>
      <c r="S665" s="1">
        <v>1.1000000000000001</v>
      </c>
      <c r="T665" s="39">
        <v>43793</v>
      </c>
      <c r="U665" s="22" t="s">
        <v>242</v>
      </c>
      <c r="V665" t="s">
        <v>304</v>
      </c>
      <c r="W665" s="22" t="s">
        <v>305</v>
      </c>
    </row>
    <row r="666" spans="1:23" x14ac:dyDescent="0.2">
      <c r="A666" t="s">
        <v>193</v>
      </c>
      <c r="B666" t="s">
        <v>8</v>
      </c>
      <c r="C666">
        <v>9.4</v>
      </c>
      <c r="D666" t="s">
        <v>75</v>
      </c>
      <c r="E666" t="s">
        <v>76</v>
      </c>
      <c r="F666" t="s">
        <v>109</v>
      </c>
      <c r="I666" t="s">
        <v>75</v>
      </c>
      <c r="J666" t="s">
        <v>76</v>
      </c>
      <c r="K666" t="s">
        <v>76</v>
      </c>
      <c r="L666" t="s">
        <v>76</v>
      </c>
      <c r="M666" t="s">
        <v>75</v>
      </c>
      <c r="N666" t="s">
        <v>134</v>
      </c>
      <c r="O666">
        <v>11</v>
      </c>
      <c r="P666">
        <v>45.5</v>
      </c>
      <c r="Q666">
        <v>3.4</v>
      </c>
      <c r="R666">
        <v>11.8</v>
      </c>
      <c r="S666" s="1">
        <v>3.5</v>
      </c>
      <c r="T666" s="39">
        <v>43793</v>
      </c>
      <c r="U666" s="22" t="s">
        <v>242</v>
      </c>
      <c r="V666" t="s">
        <v>293</v>
      </c>
      <c r="W666" s="22" t="s">
        <v>281</v>
      </c>
    </row>
    <row r="667" spans="1:23" x14ac:dyDescent="0.2">
      <c r="A667" t="s">
        <v>193</v>
      </c>
      <c r="F667" t="s">
        <v>109</v>
      </c>
      <c r="O667">
        <v>-5.5</v>
      </c>
      <c r="P667">
        <v>44.5</v>
      </c>
      <c r="R667">
        <v>1.5</v>
      </c>
      <c r="T667" s="39">
        <v>43793</v>
      </c>
      <c r="U667" s="22" t="s">
        <v>242</v>
      </c>
      <c r="V667" t="s">
        <v>302</v>
      </c>
      <c r="W667" s="22" t="s">
        <v>291</v>
      </c>
    </row>
    <row r="668" spans="1:23" x14ac:dyDescent="0.2">
      <c r="A668" t="s">
        <v>193</v>
      </c>
      <c r="O668">
        <v>-10</v>
      </c>
      <c r="P668">
        <v>46</v>
      </c>
      <c r="R668">
        <v>24.1</v>
      </c>
      <c r="T668" s="39">
        <v>43793</v>
      </c>
      <c r="U668" s="22" t="s">
        <v>242</v>
      </c>
      <c r="V668" t="s">
        <v>307</v>
      </c>
      <c r="W668" s="22" t="s">
        <v>301</v>
      </c>
    </row>
    <row r="669" spans="1:23" x14ac:dyDescent="0.2">
      <c r="A669" t="s">
        <v>193</v>
      </c>
      <c r="O669">
        <v>6</v>
      </c>
      <c r="P669">
        <v>41</v>
      </c>
      <c r="R669">
        <v>14.7</v>
      </c>
      <c r="T669" s="39">
        <v>43793</v>
      </c>
      <c r="U669" s="22" t="s">
        <v>242</v>
      </c>
      <c r="V669" t="s">
        <v>296</v>
      </c>
      <c r="W669" s="22" t="s">
        <v>265</v>
      </c>
    </row>
    <row r="670" spans="1:23" x14ac:dyDescent="0.2">
      <c r="A670" t="s">
        <v>193</v>
      </c>
      <c r="E670" t="s">
        <v>75</v>
      </c>
      <c r="O670">
        <v>3.5</v>
      </c>
      <c r="P670">
        <v>45</v>
      </c>
      <c r="R670">
        <v>10.3</v>
      </c>
      <c r="T670" s="39">
        <v>43793</v>
      </c>
      <c r="U670" s="22" t="s">
        <v>242</v>
      </c>
      <c r="V670" t="s">
        <v>298</v>
      </c>
      <c r="W670" s="22" t="s">
        <v>303</v>
      </c>
    </row>
    <row r="671" spans="1:23" x14ac:dyDescent="0.2">
      <c r="A671" t="s">
        <v>193</v>
      </c>
      <c r="B671" t="s">
        <v>11</v>
      </c>
      <c r="I671" t="s">
        <v>75</v>
      </c>
      <c r="J671" t="s">
        <v>75</v>
      </c>
      <c r="K671" t="s">
        <v>75</v>
      </c>
      <c r="L671" t="s">
        <v>76</v>
      </c>
      <c r="M671" t="s">
        <v>75</v>
      </c>
      <c r="N671" t="s">
        <v>132</v>
      </c>
      <c r="O671">
        <v>1</v>
      </c>
      <c r="P671">
        <v>45.5</v>
      </c>
      <c r="Q671">
        <v>6</v>
      </c>
      <c r="R671">
        <v>27.1</v>
      </c>
      <c r="S671" s="1">
        <v>4.5</v>
      </c>
      <c r="T671" s="39">
        <v>43793</v>
      </c>
      <c r="U671" s="22" t="s">
        <v>242</v>
      </c>
      <c r="V671" t="s">
        <v>294</v>
      </c>
      <c r="W671" s="22" t="s">
        <v>308</v>
      </c>
    </row>
    <row r="672" spans="1:23" x14ac:dyDescent="0.2">
      <c r="A672" t="s">
        <v>193</v>
      </c>
      <c r="O672" s="8">
        <v>-5.5</v>
      </c>
      <c r="P672" s="8">
        <v>37.5</v>
      </c>
      <c r="R672">
        <v>1.1000000000000001</v>
      </c>
      <c r="T672" s="39">
        <v>43793</v>
      </c>
      <c r="U672" s="22" t="s">
        <v>242</v>
      </c>
      <c r="V672" t="s">
        <v>309</v>
      </c>
      <c r="W672" s="22" t="s">
        <v>272</v>
      </c>
    </row>
    <row r="673" spans="1:23" x14ac:dyDescent="0.2">
      <c r="A673" t="s">
        <v>193</v>
      </c>
      <c r="O673">
        <v>-3</v>
      </c>
      <c r="P673">
        <v>48</v>
      </c>
      <c r="R673">
        <v>27.9</v>
      </c>
      <c r="T673" s="39">
        <v>43793</v>
      </c>
      <c r="U673" s="22" t="s">
        <v>242</v>
      </c>
      <c r="V673" s="22" t="s">
        <v>256</v>
      </c>
      <c r="W673" s="22" t="s">
        <v>300</v>
      </c>
    </row>
    <row r="674" spans="1:23" x14ac:dyDescent="0.2">
      <c r="A674" t="s">
        <v>193</v>
      </c>
      <c r="O674">
        <v>-1</v>
      </c>
      <c r="P674">
        <v>45.5</v>
      </c>
      <c r="R674">
        <v>4.2</v>
      </c>
      <c r="T674" s="39">
        <v>43793</v>
      </c>
      <c r="U674" s="22" t="s">
        <v>242</v>
      </c>
      <c r="V674" t="s">
        <v>308</v>
      </c>
      <c r="W674" s="22" t="s">
        <v>294</v>
      </c>
    </row>
    <row r="675" spans="1:23" x14ac:dyDescent="0.2">
      <c r="A675" t="s">
        <v>193</v>
      </c>
      <c r="E675" t="s">
        <v>75</v>
      </c>
      <c r="F675" s="20" t="s">
        <v>109</v>
      </c>
      <c r="O675">
        <v>3.5</v>
      </c>
      <c r="P675">
        <v>51.5</v>
      </c>
      <c r="R675">
        <v>2</v>
      </c>
      <c r="T675" s="39">
        <v>43793</v>
      </c>
      <c r="U675" s="22" t="s">
        <v>242</v>
      </c>
      <c r="V675" t="s">
        <v>284</v>
      </c>
      <c r="W675" s="22" t="s">
        <v>295</v>
      </c>
    </row>
    <row r="676" spans="1:23" x14ac:dyDescent="0.2">
      <c r="A676" t="s">
        <v>193</v>
      </c>
      <c r="E676" t="s">
        <v>75</v>
      </c>
      <c r="F676" t="s">
        <v>110</v>
      </c>
      <c r="O676">
        <v>-4.5</v>
      </c>
      <c r="P676">
        <v>42</v>
      </c>
      <c r="R676">
        <v>3.4</v>
      </c>
      <c r="T676" s="39">
        <v>43793</v>
      </c>
      <c r="U676" s="22" t="s">
        <v>242</v>
      </c>
      <c r="V676" t="s">
        <v>310</v>
      </c>
      <c r="W676" s="22" t="s">
        <v>297</v>
      </c>
    </row>
    <row r="677" spans="1:23" x14ac:dyDescent="0.2">
      <c r="A677" t="s">
        <v>193</v>
      </c>
      <c r="F677" t="s">
        <v>110</v>
      </c>
      <c r="O677">
        <v>4</v>
      </c>
      <c r="P677">
        <v>39</v>
      </c>
      <c r="R677">
        <v>1.4</v>
      </c>
      <c r="T677" s="39">
        <v>43793</v>
      </c>
      <c r="U677" s="22" t="s">
        <v>242</v>
      </c>
      <c r="V677" t="s">
        <v>306</v>
      </c>
      <c r="W677" s="22" t="s">
        <v>299</v>
      </c>
    </row>
    <row r="678" spans="1:23" x14ac:dyDescent="0.2">
      <c r="A678" t="s">
        <v>193</v>
      </c>
      <c r="F678" t="s">
        <v>109</v>
      </c>
      <c r="O678">
        <v>2.5</v>
      </c>
      <c r="P678">
        <v>47</v>
      </c>
      <c r="R678">
        <v>4.9000000000000004</v>
      </c>
      <c r="T678" s="39">
        <v>43800</v>
      </c>
      <c r="U678" s="22" t="s">
        <v>241</v>
      </c>
      <c r="V678" t="s">
        <v>285</v>
      </c>
      <c r="W678" s="22" t="s">
        <v>304</v>
      </c>
    </row>
    <row r="679" spans="1:23" x14ac:dyDescent="0.2">
      <c r="A679" t="s">
        <v>193</v>
      </c>
      <c r="B679" t="s">
        <v>138</v>
      </c>
      <c r="I679" t="s">
        <v>75</v>
      </c>
      <c r="J679" t="s">
        <v>75</v>
      </c>
      <c r="K679" t="s">
        <v>76</v>
      </c>
      <c r="L679" t="s">
        <v>75</v>
      </c>
      <c r="M679" t="s">
        <v>75</v>
      </c>
      <c r="O679">
        <v>7</v>
      </c>
      <c r="P679">
        <v>48</v>
      </c>
      <c r="Q679">
        <v>3.1</v>
      </c>
      <c r="R679">
        <v>14.1</v>
      </c>
      <c r="S679" s="1">
        <v>4.5</v>
      </c>
      <c r="T679" s="39">
        <v>43800</v>
      </c>
      <c r="U679" s="22" t="s">
        <v>241</v>
      </c>
      <c r="V679" t="s">
        <v>295</v>
      </c>
      <c r="W679" s="22" t="s">
        <v>307</v>
      </c>
    </row>
    <row r="680" spans="1:23" x14ac:dyDescent="0.2">
      <c r="A680" t="s">
        <v>193</v>
      </c>
      <c r="F680" t="s">
        <v>110</v>
      </c>
      <c r="O680">
        <v>-5.5</v>
      </c>
      <c r="P680">
        <v>45</v>
      </c>
      <c r="R680">
        <f>14+5.1+1.4</f>
        <v>20.5</v>
      </c>
      <c r="T680" s="39">
        <v>43800</v>
      </c>
      <c r="U680" s="22" t="s">
        <v>241</v>
      </c>
      <c r="V680" s="41" t="s">
        <v>305</v>
      </c>
      <c r="W680" s="22" t="s">
        <v>256</v>
      </c>
    </row>
    <row r="681" spans="1:23" x14ac:dyDescent="0.2">
      <c r="A681" t="s">
        <v>193</v>
      </c>
      <c r="O681">
        <v>6.5</v>
      </c>
      <c r="P681">
        <v>46.5</v>
      </c>
      <c r="R681">
        <v>4.7</v>
      </c>
      <c r="T681" s="39">
        <v>43800</v>
      </c>
      <c r="U681" s="22" t="s">
        <v>241</v>
      </c>
      <c r="V681" t="s">
        <v>276</v>
      </c>
      <c r="W681" s="22" t="s">
        <v>291</v>
      </c>
    </row>
    <row r="682" spans="1:23" x14ac:dyDescent="0.2">
      <c r="A682" t="s">
        <v>193</v>
      </c>
      <c r="F682" t="s">
        <v>110</v>
      </c>
      <c r="O682">
        <v>10.5</v>
      </c>
      <c r="P682">
        <v>38.5</v>
      </c>
      <c r="R682">
        <f>6.4+5.2</f>
        <v>11.600000000000001</v>
      </c>
      <c r="T682" s="39">
        <v>43800</v>
      </c>
      <c r="U682" s="22" t="s">
        <v>241</v>
      </c>
      <c r="V682" t="s">
        <v>301</v>
      </c>
      <c r="W682" s="22" t="s">
        <v>306</v>
      </c>
    </row>
    <row r="683" spans="1:23" x14ac:dyDescent="0.2">
      <c r="A683" t="s">
        <v>193</v>
      </c>
      <c r="O683">
        <v>-5.5</v>
      </c>
      <c r="P683">
        <v>37.5</v>
      </c>
      <c r="R683">
        <v>8.8000000000000007</v>
      </c>
      <c r="T683" s="39">
        <v>43800</v>
      </c>
      <c r="U683" s="22" t="s">
        <v>241</v>
      </c>
      <c r="V683" t="s">
        <v>265</v>
      </c>
      <c r="W683" s="22" t="s">
        <v>299</v>
      </c>
    </row>
    <row r="684" spans="1:23" x14ac:dyDescent="0.2">
      <c r="A684" t="s">
        <v>193</v>
      </c>
      <c r="D684" t="s">
        <v>75</v>
      </c>
      <c r="F684" t="s">
        <v>109</v>
      </c>
      <c r="O684">
        <v>2.5</v>
      </c>
      <c r="P684">
        <v>43</v>
      </c>
      <c r="R684">
        <v>12.3</v>
      </c>
      <c r="T684" s="39">
        <v>43800</v>
      </c>
      <c r="U684" s="22" t="s">
        <v>241</v>
      </c>
      <c r="V684" s="17" t="s">
        <v>272</v>
      </c>
      <c r="W684" s="22" t="s">
        <v>298</v>
      </c>
    </row>
    <row r="685" spans="1:23" x14ac:dyDescent="0.2">
      <c r="A685" t="s">
        <v>193</v>
      </c>
      <c r="O685">
        <v>-1</v>
      </c>
      <c r="P685">
        <v>40</v>
      </c>
      <c r="R685">
        <v>8.1</v>
      </c>
      <c r="T685" s="39">
        <v>43800</v>
      </c>
      <c r="U685" s="22" t="s">
        <v>241</v>
      </c>
      <c r="V685" t="s">
        <v>281</v>
      </c>
      <c r="W685" s="22" t="s">
        <v>309</v>
      </c>
    </row>
    <row r="686" spans="1:23" x14ac:dyDescent="0.2">
      <c r="A686" t="s">
        <v>193</v>
      </c>
      <c r="O686">
        <v>-6.5</v>
      </c>
      <c r="P686">
        <v>46.5</v>
      </c>
      <c r="R686">
        <f>18.2+2.9</f>
        <v>21.099999999999998</v>
      </c>
      <c r="T686" s="39">
        <v>43800</v>
      </c>
      <c r="U686" s="22" t="s">
        <v>241</v>
      </c>
      <c r="V686" t="s">
        <v>291</v>
      </c>
      <c r="W686" s="22" t="s">
        <v>276</v>
      </c>
    </row>
    <row r="687" spans="1:23" x14ac:dyDescent="0.2">
      <c r="A687" t="s">
        <v>193</v>
      </c>
      <c r="B687" t="s">
        <v>106</v>
      </c>
      <c r="C687">
        <v>8.9</v>
      </c>
      <c r="D687" t="s">
        <v>76</v>
      </c>
      <c r="E687" t="s">
        <v>76</v>
      </c>
      <c r="F687" t="s">
        <v>110</v>
      </c>
      <c r="O687">
        <v>4.5</v>
      </c>
      <c r="P687">
        <v>39</v>
      </c>
      <c r="Q687">
        <v>3.7</v>
      </c>
      <c r="R687">
        <v>1.5</v>
      </c>
      <c r="S687" s="1">
        <v>0.4</v>
      </c>
      <c r="T687" s="39">
        <v>43800</v>
      </c>
      <c r="U687" t="s">
        <v>241</v>
      </c>
      <c r="V687" t="s">
        <v>278</v>
      </c>
      <c r="W687" t="s">
        <v>287</v>
      </c>
    </row>
    <row r="688" spans="1:23" x14ac:dyDescent="0.2">
      <c r="A688" t="s">
        <v>193</v>
      </c>
      <c r="O688">
        <v>5.5</v>
      </c>
      <c r="P688">
        <v>37.5</v>
      </c>
      <c r="R688">
        <v>7.8</v>
      </c>
      <c r="T688" s="39">
        <v>43800</v>
      </c>
      <c r="U688" s="22" t="s">
        <v>241</v>
      </c>
      <c r="V688" t="s">
        <v>299</v>
      </c>
      <c r="W688" s="22" t="s">
        <v>265</v>
      </c>
    </row>
    <row r="689" spans="1:23" x14ac:dyDescent="0.2">
      <c r="A689" t="s">
        <v>193</v>
      </c>
      <c r="D689" t="s">
        <v>75</v>
      </c>
      <c r="O689">
        <v>-6.5</v>
      </c>
      <c r="P689">
        <v>43.5</v>
      </c>
      <c r="R689">
        <v>9.6999999999999993</v>
      </c>
      <c r="T689" s="39">
        <v>43800</v>
      </c>
      <c r="U689" s="22" t="s">
        <v>241</v>
      </c>
      <c r="V689" t="s">
        <v>300</v>
      </c>
      <c r="W689" s="22" t="s">
        <v>296</v>
      </c>
    </row>
    <row r="690" spans="1:23" x14ac:dyDescent="0.2">
      <c r="A690" t="s">
        <v>193</v>
      </c>
      <c r="O690">
        <v>3.5</v>
      </c>
      <c r="P690">
        <v>47</v>
      </c>
      <c r="R690">
        <f>10.3+2.9</f>
        <v>13.200000000000001</v>
      </c>
      <c r="T690" s="39">
        <v>43800</v>
      </c>
      <c r="U690" s="22" t="s">
        <v>241</v>
      </c>
      <c r="V690" t="s">
        <v>311</v>
      </c>
      <c r="W690" s="22" t="s">
        <v>302</v>
      </c>
    </row>
    <row r="691" spans="1:23" x14ac:dyDescent="0.2">
      <c r="A691" t="s">
        <v>193</v>
      </c>
      <c r="B691" t="s">
        <v>136</v>
      </c>
      <c r="I691" t="s">
        <v>75</v>
      </c>
      <c r="J691" t="s">
        <v>75</v>
      </c>
      <c r="K691" t="s">
        <v>76</v>
      </c>
      <c r="L691" t="s">
        <v>75</v>
      </c>
      <c r="M691" t="s">
        <v>75</v>
      </c>
      <c r="N691" t="s">
        <v>132</v>
      </c>
      <c r="O691">
        <v>1</v>
      </c>
      <c r="P691">
        <v>41.5</v>
      </c>
      <c r="Q691">
        <v>3.3</v>
      </c>
      <c r="R691">
        <v>19.3</v>
      </c>
      <c r="S691" s="1">
        <v>5.8</v>
      </c>
      <c r="T691" s="39">
        <v>43800</v>
      </c>
      <c r="U691" s="22" t="s">
        <v>241</v>
      </c>
      <c r="V691" t="s">
        <v>289</v>
      </c>
      <c r="W691" s="22" t="s">
        <v>310</v>
      </c>
    </row>
    <row r="692" spans="1:23" x14ac:dyDescent="0.2">
      <c r="A692" t="s">
        <v>193</v>
      </c>
      <c r="F692" t="s">
        <v>109</v>
      </c>
      <c r="O692">
        <v>3</v>
      </c>
      <c r="P692">
        <v>46.5</v>
      </c>
      <c r="R692">
        <v>1.6</v>
      </c>
      <c r="T692" s="39">
        <v>43800</v>
      </c>
      <c r="U692" s="22" t="s">
        <v>241</v>
      </c>
      <c r="V692" t="s">
        <v>297</v>
      </c>
      <c r="W692" s="22" t="s">
        <v>284</v>
      </c>
    </row>
    <row r="693" spans="1:23" x14ac:dyDescent="0.2">
      <c r="A693" t="s">
        <v>193</v>
      </c>
      <c r="O693">
        <v>-11.5</v>
      </c>
      <c r="P693">
        <v>49.5</v>
      </c>
      <c r="R693">
        <v>14</v>
      </c>
      <c r="T693" s="39">
        <v>43800</v>
      </c>
      <c r="U693" s="22" t="s">
        <v>241</v>
      </c>
      <c r="V693" t="s">
        <v>288</v>
      </c>
      <c r="W693" s="22" t="s">
        <v>303</v>
      </c>
    </row>
    <row r="694" spans="1:23" x14ac:dyDescent="0.2">
      <c r="A694" t="s">
        <v>193</v>
      </c>
      <c r="B694" t="s">
        <v>107</v>
      </c>
      <c r="C694">
        <v>9.3000000000000007</v>
      </c>
      <c r="D694" t="s">
        <v>76</v>
      </c>
      <c r="E694" t="s">
        <v>76</v>
      </c>
      <c r="O694">
        <v>11.5</v>
      </c>
      <c r="P694">
        <v>49.5</v>
      </c>
      <c r="Q694">
        <v>5.5</v>
      </c>
      <c r="R694">
        <v>20</v>
      </c>
      <c r="S694" s="1">
        <v>3.6</v>
      </c>
      <c r="T694" s="39">
        <v>43800</v>
      </c>
      <c r="U694" s="22" t="s">
        <v>241</v>
      </c>
      <c r="V694" t="s">
        <v>303</v>
      </c>
      <c r="W694" s="22" t="s">
        <v>288</v>
      </c>
    </row>
    <row r="695" spans="1:23" x14ac:dyDescent="0.2">
      <c r="A695" t="s">
        <v>193</v>
      </c>
      <c r="F695" t="s">
        <v>110</v>
      </c>
      <c r="O695">
        <v>-4.5</v>
      </c>
      <c r="P695">
        <v>39</v>
      </c>
      <c r="R695">
        <v>3</v>
      </c>
      <c r="T695" s="39">
        <v>43800</v>
      </c>
      <c r="U695" s="22" t="s">
        <v>241</v>
      </c>
      <c r="V695" t="s">
        <v>287</v>
      </c>
      <c r="W695" s="22" t="s">
        <v>278</v>
      </c>
    </row>
    <row r="696" spans="1:23" x14ac:dyDescent="0.2">
      <c r="A696" t="s">
        <v>193</v>
      </c>
      <c r="F696" t="s">
        <v>109</v>
      </c>
      <c r="O696">
        <v>-2.5</v>
      </c>
      <c r="P696">
        <v>47</v>
      </c>
      <c r="R696">
        <v>26.7</v>
      </c>
      <c r="T696" s="39">
        <v>43800</v>
      </c>
      <c r="U696" s="22" t="s">
        <v>241</v>
      </c>
      <c r="V696" t="s">
        <v>304</v>
      </c>
      <c r="W696" s="22" t="s">
        <v>285</v>
      </c>
    </row>
    <row r="697" spans="1:23" x14ac:dyDescent="0.2">
      <c r="A697" t="s">
        <v>193</v>
      </c>
      <c r="B697" t="s">
        <v>8</v>
      </c>
      <c r="I697" t="s">
        <v>75</v>
      </c>
      <c r="J697" t="s">
        <v>76</v>
      </c>
      <c r="K697" t="s">
        <v>76</v>
      </c>
      <c r="L697" t="s">
        <v>76</v>
      </c>
      <c r="M697" t="s">
        <v>76</v>
      </c>
      <c r="N697" t="s">
        <v>132</v>
      </c>
      <c r="O697">
        <v>10.5</v>
      </c>
      <c r="P697">
        <v>45</v>
      </c>
      <c r="Q697">
        <v>3.6</v>
      </c>
      <c r="R697">
        <v>18.899999999999999</v>
      </c>
      <c r="S697" s="1">
        <v>5.3</v>
      </c>
      <c r="T697" s="39">
        <v>43800</v>
      </c>
      <c r="U697" s="22" t="s">
        <v>241</v>
      </c>
      <c r="V697" t="s">
        <v>293</v>
      </c>
      <c r="W697" s="22" t="s">
        <v>294</v>
      </c>
    </row>
    <row r="698" spans="1:23" x14ac:dyDescent="0.2">
      <c r="A698" t="s">
        <v>193</v>
      </c>
      <c r="O698">
        <v>2.5</v>
      </c>
      <c r="P698">
        <v>48</v>
      </c>
      <c r="R698">
        <f>15+2.8+1.6</f>
        <v>19.400000000000002</v>
      </c>
      <c r="T698" s="39">
        <v>43800</v>
      </c>
      <c r="U698" s="22" t="s">
        <v>241</v>
      </c>
      <c r="V698" t="s">
        <v>312</v>
      </c>
      <c r="W698" s="22" t="s">
        <v>308</v>
      </c>
    </row>
    <row r="699" spans="1:23" x14ac:dyDescent="0.2">
      <c r="A699" t="s">
        <v>193</v>
      </c>
      <c r="O699">
        <v>-3.5</v>
      </c>
      <c r="P699">
        <v>47</v>
      </c>
      <c r="R699">
        <v>6.7</v>
      </c>
      <c r="T699" s="39">
        <v>43800</v>
      </c>
      <c r="U699" s="22" t="s">
        <v>241</v>
      </c>
      <c r="V699" t="s">
        <v>302</v>
      </c>
      <c r="W699" s="22" t="s">
        <v>311</v>
      </c>
    </row>
    <row r="700" spans="1:23" x14ac:dyDescent="0.2">
      <c r="A700" t="s">
        <v>193</v>
      </c>
      <c r="O700">
        <v>-7</v>
      </c>
      <c r="P700">
        <v>48</v>
      </c>
      <c r="R700">
        <v>12.7</v>
      </c>
      <c r="T700" s="39">
        <v>43800</v>
      </c>
      <c r="U700" s="22" t="s">
        <v>241</v>
      </c>
      <c r="V700" t="s">
        <v>307</v>
      </c>
      <c r="W700" s="22" t="s">
        <v>295</v>
      </c>
    </row>
    <row r="701" spans="1:23" x14ac:dyDescent="0.2">
      <c r="A701" t="s">
        <v>193</v>
      </c>
      <c r="B701" t="s">
        <v>141</v>
      </c>
      <c r="I701" t="s">
        <v>76</v>
      </c>
      <c r="J701" t="s">
        <v>75</v>
      </c>
      <c r="K701" t="s">
        <v>75</v>
      </c>
      <c r="L701" t="s">
        <v>76</v>
      </c>
      <c r="M701" t="s">
        <v>75</v>
      </c>
      <c r="N701" t="s">
        <v>132</v>
      </c>
      <c r="O701">
        <v>6.5</v>
      </c>
      <c r="P701">
        <v>43.5</v>
      </c>
      <c r="Q701">
        <v>2.9</v>
      </c>
      <c r="R701">
        <v>13</v>
      </c>
      <c r="S701" s="1">
        <v>4.5</v>
      </c>
      <c r="T701" s="39">
        <v>43800</v>
      </c>
      <c r="U701" s="22" t="s">
        <v>241</v>
      </c>
      <c r="V701" t="s">
        <v>296</v>
      </c>
      <c r="W701" s="22" t="s">
        <v>300</v>
      </c>
    </row>
    <row r="702" spans="1:23" x14ac:dyDescent="0.2">
      <c r="A702" t="s">
        <v>193</v>
      </c>
      <c r="F702" t="s">
        <v>109</v>
      </c>
      <c r="O702">
        <v>-2.5</v>
      </c>
      <c r="P702">
        <v>43</v>
      </c>
      <c r="R702">
        <v>9.9</v>
      </c>
      <c r="T702" s="39">
        <v>43800</v>
      </c>
      <c r="U702" s="22" t="s">
        <v>241</v>
      </c>
      <c r="V702" t="s">
        <v>298</v>
      </c>
      <c r="W702" s="22" t="s">
        <v>272</v>
      </c>
    </row>
    <row r="703" spans="1:23" x14ac:dyDescent="0.2">
      <c r="A703" t="s">
        <v>193</v>
      </c>
      <c r="D703" t="s">
        <v>75</v>
      </c>
      <c r="O703">
        <v>-10.5</v>
      </c>
      <c r="P703">
        <v>45</v>
      </c>
      <c r="R703">
        <v>18</v>
      </c>
      <c r="T703" s="39">
        <v>43800</v>
      </c>
      <c r="U703" s="22" t="s">
        <v>241</v>
      </c>
      <c r="V703" t="s">
        <v>294</v>
      </c>
      <c r="W703" s="22" t="s">
        <v>293</v>
      </c>
    </row>
    <row r="704" spans="1:23" x14ac:dyDescent="0.2">
      <c r="A704" t="s">
        <v>193</v>
      </c>
      <c r="O704">
        <v>1</v>
      </c>
      <c r="P704">
        <v>40</v>
      </c>
      <c r="R704">
        <v>6.8</v>
      </c>
      <c r="T704" s="39">
        <v>43800</v>
      </c>
      <c r="U704" s="22" t="s">
        <v>241</v>
      </c>
      <c r="V704" t="s">
        <v>309</v>
      </c>
      <c r="W704" s="22" t="s">
        <v>281</v>
      </c>
    </row>
    <row r="705" spans="1:23" x14ac:dyDescent="0.2">
      <c r="A705" t="s">
        <v>193</v>
      </c>
      <c r="F705" t="s">
        <v>110</v>
      </c>
      <c r="O705">
        <v>5.5</v>
      </c>
      <c r="P705">
        <v>45</v>
      </c>
      <c r="R705">
        <v>3.4</v>
      </c>
      <c r="T705" s="39">
        <v>43800</v>
      </c>
      <c r="U705" s="22" t="s">
        <v>241</v>
      </c>
      <c r="V705" s="22" t="s">
        <v>256</v>
      </c>
      <c r="W705" s="22" t="s">
        <v>305</v>
      </c>
    </row>
    <row r="706" spans="1:23" x14ac:dyDescent="0.2">
      <c r="A706" t="s">
        <v>193</v>
      </c>
      <c r="O706">
        <v>-2.5</v>
      </c>
      <c r="P706">
        <v>48</v>
      </c>
      <c r="R706">
        <v>10.4</v>
      </c>
      <c r="T706" s="39">
        <v>43800</v>
      </c>
      <c r="U706" s="22" t="s">
        <v>241</v>
      </c>
      <c r="V706" t="s">
        <v>308</v>
      </c>
      <c r="W706" s="22" t="s">
        <v>312</v>
      </c>
    </row>
    <row r="707" spans="1:23" x14ac:dyDescent="0.2">
      <c r="A707" t="s">
        <v>193</v>
      </c>
      <c r="F707" t="s">
        <v>109</v>
      </c>
      <c r="O707">
        <v>-3</v>
      </c>
      <c r="P707">
        <v>46.5</v>
      </c>
      <c r="R707">
        <v>12.6</v>
      </c>
      <c r="T707" s="39">
        <v>43800</v>
      </c>
      <c r="U707" s="22" t="s">
        <v>241</v>
      </c>
      <c r="V707" t="s">
        <v>284</v>
      </c>
      <c r="W707" s="22" t="s">
        <v>297</v>
      </c>
    </row>
    <row r="708" spans="1:23" x14ac:dyDescent="0.2">
      <c r="A708" t="s">
        <v>193</v>
      </c>
      <c r="O708">
        <v>-1</v>
      </c>
      <c r="P708">
        <v>41.5</v>
      </c>
      <c r="R708">
        <v>7.2</v>
      </c>
      <c r="T708" s="39">
        <v>43800</v>
      </c>
      <c r="U708" s="22" t="s">
        <v>241</v>
      </c>
      <c r="V708" t="s">
        <v>310</v>
      </c>
      <c r="W708" s="22" t="s">
        <v>289</v>
      </c>
    </row>
    <row r="709" spans="1:23" x14ac:dyDescent="0.2">
      <c r="A709" t="s">
        <v>193</v>
      </c>
      <c r="F709" t="s">
        <v>110</v>
      </c>
      <c r="O709">
        <v>-10.5</v>
      </c>
      <c r="P709">
        <v>38.5</v>
      </c>
      <c r="R709">
        <v>5.6</v>
      </c>
      <c r="T709" s="39">
        <v>43800</v>
      </c>
      <c r="U709" s="22" t="s">
        <v>241</v>
      </c>
      <c r="V709" t="s">
        <v>306</v>
      </c>
      <c r="W709" s="22" t="s">
        <v>301</v>
      </c>
    </row>
    <row r="710" spans="1:23" x14ac:dyDescent="0.2">
      <c r="A710" t="s">
        <v>193</v>
      </c>
      <c r="B710" t="s">
        <v>117</v>
      </c>
      <c r="C710">
        <v>8.6999999999999993</v>
      </c>
      <c r="D710" t="s">
        <v>76</v>
      </c>
      <c r="E710" t="s">
        <v>76</v>
      </c>
      <c r="F710" t="s">
        <v>110</v>
      </c>
      <c r="O710">
        <v>-3.5</v>
      </c>
      <c r="P710">
        <v>42</v>
      </c>
      <c r="Q710">
        <v>5.0999999999999996</v>
      </c>
      <c r="R710">
        <v>11.9</v>
      </c>
      <c r="S710" s="1">
        <f>R710/Q710</f>
        <v>2.3333333333333335</v>
      </c>
      <c r="T710" s="39">
        <v>43807</v>
      </c>
      <c r="U710" t="s">
        <v>239</v>
      </c>
      <c r="V710" s="1" t="s">
        <v>287</v>
      </c>
      <c r="W710" s="1" t="s">
        <v>297</v>
      </c>
    </row>
    <row r="711" spans="1:23" x14ac:dyDescent="0.2">
      <c r="A711" t="s">
        <v>193</v>
      </c>
      <c r="B711" t="s">
        <v>136</v>
      </c>
      <c r="I711" s="1" t="s">
        <v>75</v>
      </c>
      <c r="J711" s="1" t="s">
        <v>75</v>
      </c>
      <c r="K711" s="1" t="s">
        <v>76</v>
      </c>
      <c r="L711" s="1" t="s">
        <v>76</v>
      </c>
      <c r="M711" s="1" t="s">
        <v>76</v>
      </c>
      <c r="N711" s="1" t="s">
        <v>134</v>
      </c>
      <c r="O711">
        <v>3</v>
      </c>
      <c r="P711">
        <v>46.5</v>
      </c>
      <c r="Q711">
        <v>4.5999999999999996</v>
      </c>
      <c r="R711">
        <v>4.7</v>
      </c>
      <c r="S711" s="1">
        <f>R711/Q711</f>
        <v>1.0217391304347827</v>
      </c>
      <c r="T711" s="39">
        <v>43807</v>
      </c>
      <c r="U711" t="s">
        <v>239</v>
      </c>
      <c r="V711" s="1" t="s">
        <v>289</v>
      </c>
      <c r="W711" s="1" t="s">
        <v>284</v>
      </c>
    </row>
  </sheetData>
  <autoFilter ref="A1:W387" xr:uid="{0B0584D9-C60F-8D45-BF6D-442927B7F18F}">
    <sortState xmlns:xlrd2="http://schemas.microsoft.com/office/spreadsheetml/2017/richdata2" ref="A2:W387">
      <sortCondition ref="T2:T387"/>
    </sortState>
  </autoFilter>
  <sortState xmlns:xlrd2="http://schemas.microsoft.com/office/spreadsheetml/2017/richdata2" ref="A2:W711">
    <sortCondition ref="T2:T711"/>
  </sortState>
  <conditionalFormatting sqref="V66:V76">
    <cfRule type="cellIs" dxfId="183" priority="17" operator="between">
      <formula>21</formula>
      <formula>26</formula>
    </cfRule>
    <cfRule type="cellIs" dxfId="182" priority="18" operator="between">
      <formula>27</formula>
      <formula>32</formula>
    </cfRule>
    <cfRule type="cellIs" dxfId="181" priority="19" operator="between">
      <formula>7</formula>
      <formula>12</formula>
    </cfRule>
    <cfRule type="cellIs" dxfId="180" priority="20" operator="between">
      <formula>1</formula>
      <formula>6</formula>
    </cfRule>
  </conditionalFormatting>
  <conditionalFormatting sqref="V470:V479">
    <cfRule type="cellIs" dxfId="179" priority="13" operator="between">
      <formula>21</formula>
      <formula>26</formula>
    </cfRule>
    <cfRule type="cellIs" dxfId="178" priority="14" operator="between">
      <formula>27</formula>
      <formula>32</formula>
    </cfRule>
    <cfRule type="cellIs" dxfId="177" priority="15" operator="between">
      <formula>7</formula>
      <formula>12</formula>
    </cfRule>
    <cfRule type="cellIs" dxfId="176" priority="16" operator="between">
      <formula>1</formula>
      <formula>6</formula>
    </cfRule>
  </conditionalFormatting>
  <conditionalFormatting sqref="V500:V509">
    <cfRule type="cellIs" dxfId="175" priority="9" operator="between">
      <formula>21</formula>
      <formula>26</formula>
    </cfRule>
    <cfRule type="cellIs" dxfId="174" priority="10" operator="between">
      <formula>27</formula>
      <formula>32</formula>
    </cfRule>
    <cfRule type="cellIs" dxfId="173" priority="11" operator="between">
      <formula>7</formula>
      <formula>12</formula>
    </cfRule>
    <cfRule type="cellIs" dxfId="172" priority="12" operator="between">
      <formula>1</formula>
      <formula>6</formula>
    </cfRule>
  </conditionalFormatting>
  <conditionalFormatting sqref="V550:V559">
    <cfRule type="cellIs" dxfId="171" priority="5" operator="between">
      <formula>21</formula>
      <formula>26</formula>
    </cfRule>
    <cfRule type="cellIs" dxfId="170" priority="6" operator="between">
      <formula>27</formula>
      <formula>32</formula>
    </cfRule>
    <cfRule type="cellIs" dxfId="169" priority="7" operator="between">
      <formula>7</formula>
      <formula>12</formula>
    </cfRule>
    <cfRule type="cellIs" dxfId="168" priority="8" operator="between">
      <formula>1</formula>
      <formula>6</formula>
    </cfRule>
  </conditionalFormatting>
  <conditionalFormatting sqref="V611:V620">
    <cfRule type="cellIs" dxfId="167" priority="1" operator="between">
      <formula>21</formula>
      <formula>26</formula>
    </cfRule>
    <cfRule type="cellIs" dxfId="166" priority="2" operator="between">
      <formula>27</formula>
      <formula>32</formula>
    </cfRule>
    <cfRule type="cellIs" dxfId="165" priority="3" operator="between">
      <formula>7</formula>
      <formula>12</formula>
    </cfRule>
    <cfRule type="cellIs" dxfId="164" priority="4" operator="between">
      <formula>1</formula>
      <formula>6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58E1F-7ABB-514A-8F5C-449950EC25A6}">
  <dimension ref="A1:CF403"/>
  <sheetViews>
    <sheetView tabSelected="1" workbookViewId="0">
      <selection activeCell="S10" sqref="S10"/>
    </sheetView>
  </sheetViews>
  <sheetFormatPr baseColWidth="10" defaultRowHeight="16" x14ac:dyDescent="0.2"/>
  <cols>
    <col min="12" max="12" width="19" bestFit="1" customWidth="1"/>
    <col min="16" max="16" width="12.83203125" bestFit="1" customWidth="1"/>
    <col min="17" max="17" width="13.33203125" bestFit="1" customWidth="1"/>
    <col min="18" max="20" width="13.33203125" customWidth="1"/>
    <col min="24" max="24" width="17" bestFit="1" customWidth="1"/>
    <col min="25" max="25" width="15.5" bestFit="1" customWidth="1"/>
    <col min="26" max="26" width="16.5" bestFit="1" customWidth="1"/>
    <col min="28" max="28" width="13" bestFit="1" customWidth="1"/>
    <col min="30" max="30" width="16.5" bestFit="1" customWidth="1"/>
    <col min="31" max="31" width="12.83203125" bestFit="1" customWidth="1"/>
    <col min="32" max="32" width="15.6640625" bestFit="1" customWidth="1"/>
    <col min="33" max="35" width="12.83203125" bestFit="1" customWidth="1"/>
    <col min="37" max="38" width="12.83203125" bestFit="1" customWidth="1"/>
    <col min="39" max="39" width="13" bestFit="1" customWidth="1"/>
    <col min="40" max="40" width="15.33203125" bestFit="1" customWidth="1"/>
    <col min="41" max="41" width="14.83203125" bestFit="1" customWidth="1"/>
    <col min="42" max="42" width="12.5" bestFit="1" customWidth="1"/>
    <col min="43" max="43" width="12.83203125" bestFit="1" customWidth="1"/>
    <col min="45" max="45" width="16.83203125" bestFit="1" customWidth="1"/>
    <col min="46" max="46" width="14.5" bestFit="1" customWidth="1"/>
    <col min="47" max="47" width="12.83203125" bestFit="1" customWidth="1"/>
    <col min="48" max="48" width="14.83203125" bestFit="1" customWidth="1"/>
    <col min="49" max="49" width="12.83203125" bestFit="1" customWidth="1"/>
    <col min="53" max="53" width="12.83203125" bestFit="1" customWidth="1"/>
    <col min="61" max="61" width="12.83203125" bestFit="1" customWidth="1"/>
    <col min="62" max="62" width="15.1640625" bestFit="1" customWidth="1"/>
    <col min="63" max="63" width="15.5" bestFit="1" customWidth="1"/>
    <col min="64" max="64" width="14.6640625" bestFit="1" customWidth="1"/>
    <col min="65" max="65" width="12.83203125" bestFit="1" customWidth="1"/>
    <col min="82" max="82" width="14.33203125" bestFit="1" customWidth="1"/>
    <col min="83" max="83" width="15" bestFit="1" customWidth="1"/>
  </cols>
  <sheetData>
    <row r="1" spans="1:84" x14ac:dyDescent="0.2">
      <c r="A1" t="s">
        <v>226</v>
      </c>
      <c r="B1" t="s">
        <v>255</v>
      </c>
      <c r="C1" t="s">
        <v>254</v>
      </c>
      <c r="D1" t="s">
        <v>227</v>
      </c>
      <c r="E1" t="s">
        <v>191</v>
      </c>
      <c r="F1" t="s">
        <v>192</v>
      </c>
      <c r="G1" t="s">
        <v>395</v>
      </c>
      <c r="H1" t="s">
        <v>193</v>
      </c>
      <c r="I1" t="s">
        <v>9</v>
      </c>
      <c r="J1" t="s">
        <v>13</v>
      </c>
      <c r="K1" t="s">
        <v>108</v>
      </c>
      <c r="L1" t="s">
        <v>254</v>
      </c>
      <c r="M1" t="s">
        <v>736</v>
      </c>
      <c r="N1" t="s">
        <v>873</v>
      </c>
      <c r="O1" t="s">
        <v>874</v>
      </c>
      <c r="P1" t="s">
        <v>875</v>
      </c>
      <c r="Q1" t="s">
        <v>876</v>
      </c>
      <c r="R1" t="s">
        <v>894</v>
      </c>
      <c r="S1" t="s">
        <v>895</v>
      </c>
      <c r="T1" t="s">
        <v>896</v>
      </c>
      <c r="U1" t="s">
        <v>863</v>
      </c>
      <c r="V1" t="s">
        <v>864</v>
      </c>
      <c r="W1" t="s">
        <v>865</v>
      </c>
      <c r="X1" t="s">
        <v>867</v>
      </c>
      <c r="Y1" t="s">
        <v>868</v>
      </c>
      <c r="Z1" t="s">
        <v>869</v>
      </c>
      <c r="AA1" t="s">
        <v>870</v>
      </c>
      <c r="AB1" t="s">
        <v>871</v>
      </c>
      <c r="AC1" t="s">
        <v>234</v>
      </c>
      <c r="AD1" t="s">
        <v>872</v>
      </c>
      <c r="AE1" t="s">
        <v>880</v>
      </c>
      <c r="AF1" t="s">
        <v>881</v>
      </c>
      <c r="AG1" t="s">
        <v>866</v>
      </c>
      <c r="AH1" t="s">
        <v>877</v>
      </c>
      <c r="AI1" t="s">
        <v>882</v>
      </c>
      <c r="AJ1" t="s">
        <v>883</v>
      </c>
      <c r="AK1" t="s">
        <v>884</v>
      </c>
      <c r="AL1" t="s">
        <v>885</v>
      </c>
      <c r="AM1" t="s">
        <v>886</v>
      </c>
      <c r="AN1" t="s">
        <v>887</v>
      </c>
      <c r="AO1" t="s">
        <v>888</v>
      </c>
      <c r="AP1" t="s">
        <v>889</v>
      </c>
      <c r="AQ1" t="s">
        <v>890</v>
      </c>
      <c r="AR1" t="s">
        <v>878</v>
      </c>
      <c r="AS1" t="s">
        <v>891</v>
      </c>
      <c r="AT1" t="s">
        <v>892</v>
      </c>
      <c r="AU1" t="s">
        <v>893</v>
      </c>
      <c r="AV1" t="s">
        <v>788</v>
      </c>
      <c r="AW1" t="s">
        <v>897</v>
      </c>
      <c r="AX1" s="1" t="s">
        <v>227</v>
      </c>
      <c r="AY1" t="s">
        <v>844</v>
      </c>
      <c r="AZ1" t="s">
        <v>228</v>
      </c>
      <c r="BA1" t="s">
        <v>784</v>
      </c>
      <c r="BB1" t="s">
        <v>785</v>
      </c>
      <c r="BC1" t="s">
        <v>787</v>
      </c>
      <c r="BD1" t="s">
        <v>898</v>
      </c>
      <c r="BE1" t="s">
        <v>899</v>
      </c>
      <c r="BF1" t="s">
        <v>900</v>
      </c>
      <c r="BG1" t="s">
        <v>861</v>
      </c>
      <c r="BH1" t="s">
        <v>767</v>
      </c>
      <c r="BI1" t="s">
        <v>232</v>
      </c>
      <c r="BJ1" t="s">
        <v>811</v>
      </c>
      <c r="BK1" t="s">
        <v>812</v>
      </c>
      <c r="BL1" t="s">
        <v>772</v>
      </c>
      <c r="BM1" t="s">
        <v>233</v>
      </c>
      <c r="BN1" t="s">
        <v>773</v>
      </c>
      <c r="BO1" t="s">
        <v>234</v>
      </c>
      <c r="BP1" t="s">
        <v>774</v>
      </c>
      <c r="BQ1" t="s">
        <v>403</v>
      </c>
      <c r="BR1" t="s">
        <v>775</v>
      </c>
      <c r="BS1" t="s">
        <v>404</v>
      </c>
      <c r="BT1" t="s">
        <v>408</v>
      </c>
      <c r="BU1" t="s">
        <v>409</v>
      </c>
      <c r="BV1" t="s">
        <v>410</v>
      </c>
      <c r="BW1" t="s">
        <v>411</v>
      </c>
      <c r="BX1" t="s">
        <v>412</v>
      </c>
      <c r="BY1" t="s">
        <v>413</v>
      </c>
      <c r="BZ1" t="s">
        <v>414</v>
      </c>
      <c r="CA1" t="s">
        <v>415</v>
      </c>
      <c r="CB1" t="s">
        <v>776</v>
      </c>
      <c r="CC1" t="s">
        <v>777</v>
      </c>
      <c r="CD1" t="s">
        <v>862</v>
      </c>
      <c r="CE1" t="s">
        <v>814</v>
      </c>
      <c r="CF1" t="s">
        <v>789</v>
      </c>
    </row>
    <row r="2" spans="1:84" x14ac:dyDescent="0.2">
      <c r="A2" s="39">
        <v>43737</v>
      </c>
      <c r="B2" s="26" t="s">
        <v>417</v>
      </c>
      <c r="C2" s="41" t="s">
        <v>285</v>
      </c>
      <c r="D2" s="26" t="s">
        <v>308</v>
      </c>
      <c r="E2">
        <v>9.6999999999999993</v>
      </c>
      <c r="F2">
        <v>8.3000000000000007</v>
      </c>
      <c r="G2" s="14">
        <v>3.9</v>
      </c>
      <c r="H2" s="14">
        <v>4.4000000000000004</v>
      </c>
      <c r="I2">
        <v>5.5</v>
      </c>
      <c r="J2">
        <v>49</v>
      </c>
      <c r="K2" t="s">
        <v>109</v>
      </c>
      <c r="L2" s="1" t="s">
        <v>285</v>
      </c>
      <c r="M2">
        <v>14</v>
      </c>
      <c r="N2">
        <v>3.3666666666666671</v>
      </c>
      <c r="O2">
        <v>-2.822222222222222</v>
      </c>
      <c r="P2">
        <v>-30.333333333333336</v>
      </c>
      <c r="Q2">
        <v>1.7777777777777777</v>
      </c>
      <c r="R2">
        <v>2.3666666666666676</v>
      </c>
      <c r="S2">
        <v>1.6666666666666679</v>
      </c>
      <c r="T2">
        <v>2.3333333333333335</v>
      </c>
      <c r="U2">
        <v>21</v>
      </c>
      <c r="V2">
        <v>20</v>
      </c>
      <c r="W2">
        <v>-1</v>
      </c>
      <c r="X2">
        <v>9</v>
      </c>
      <c r="Y2">
        <v>12.25</v>
      </c>
      <c r="Z2">
        <v>20</v>
      </c>
      <c r="AA2">
        <v>-5.1070390420544141E-2</v>
      </c>
      <c r="AB2">
        <v>7</v>
      </c>
      <c r="AC2">
        <v>2.9384362811953973E-2</v>
      </c>
      <c r="AD2">
        <v>4</v>
      </c>
      <c r="AE2">
        <v>-3.6111111111111072</v>
      </c>
      <c r="AF2">
        <v>18</v>
      </c>
      <c r="AG2">
        <v>0.33333333333333331</v>
      </c>
      <c r="AH2">
        <v>5</v>
      </c>
      <c r="AI2">
        <v>0.1111111111111119</v>
      </c>
      <c r="AJ2">
        <v>0</v>
      </c>
      <c r="AK2">
        <v>-3.555555555555562</v>
      </c>
      <c r="AL2">
        <v>16.666666666666668</v>
      </c>
      <c r="AM2">
        <v>-31.444444444444446</v>
      </c>
      <c r="AN2">
        <v>0</v>
      </c>
      <c r="AO2">
        <v>11.222222222222223</v>
      </c>
      <c r="AP2">
        <v>5</v>
      </c>
      <c r="AQ2">
        <v>6.1888888888888891</v>
      </c>
      <c r="AR2">
        <v>2.5577777777777779</v>
      </c>
      <c r="AS2">
        <v>48.111111111111114</v>
      </c>
      <c r="AT2">
        <v>-6.1888888888888891</v>
      </c>
      <c r="AU2">
        <v>0.55833333333333357</v>
      </c>
      <c r="AV2">
        <v>1.2626388888888886</v>
      </c>
      <c r="AW2">
        <v>1.5663888888888884</v>
      </c>
      <c r="AX2" t="s">
        <v>308</v>
      </c>
      <c r="AY2">
        <v>17</v>
      </c>
      <c r="AZ2">
        <v>1.4155555555555548</v>
      </c>
      <c r="BA2">
        <v>4.0444444444444443</v>
      </c>
      <c r="BB2">
        <v>-5.1111111111111089</v>
      </c>
      <c r="BC2">
        <v>0.44444444444444453</v>
      </c>
      <c r="BD2">
        <v>3.3222222222222211</v>
      </c>
      <c r="BE2">
        <v>-11</v>
      </c>
      <c r="BF2">
        <v>-0.11111111111111049</v>
      </c>
      <c r="BG2">
        <v>12</v>
      </c>
      <c r="BH2">
        <v>12.5</v>
      </c>
      <c r="BI2">
        <v>3.1111111111111112</v>
      </c>
      <c r="BJ2">
        <v>21</v>
      </c>
      <c r="BK2">
        <v>17.25</v>
      </c>
      <c r="BL2">
        <v>30</v>
      </c>
      <c r="BM2">
        <v>3.4214371210566773E-2</v>
      </c>
      <c r="BN2">
        <v>28</v>
      </c>
      <c r="BO2">
        <v>-1.0483201266009351E-2</v>
      </c>
      <c r="BP2">
        <v>4</v>
      </c>
      <c r="BQ2">
        <v>10.688888888888885</v>
      </c>
      <c r="BR2">
        <v>7</v>
      </c>
      <c r="BS2">
        <v>-1.2222222222222223</v>
      </c>
      <c r="BT2">
        <v>-1.5555555555555571</v>
      </c>
      <c r="BU2">
        <v>3.7777777777777786</v>
      </c>
      <c r="BV2">
        <v>3.1111111111111107</v>
      </c>
      <c r="BW2">
        <v>-2.3333333333333335</v>
      </c>
      <c r="BX2">
        <v>-2.1111111111111143</v>
      </c>
      <c r="BY2">
        <v>-0.3333333333333357</v>
      </c>
      <c r="BZ2">
        <v>-1</v>
      </c>
      <c r="CA2">
        <v>1.1111111111111114</v>
      </c>
      <c r="CB2">
        <v>20</v>
      </c>
      <c r="CC2">
        <v>-2.6288888888888895</v>
      </c>
      <c r="CD2">
        <v>-1.0746666666666669</v>
      </c>
      <c r="CE2">
        <v>-1.7777777777777786</v>
      </c>
      <c r="CF2">
        <v>0.95888888888888868</v>
      </c>
    </row>
    <row r="3" spans="1:84" x14ac:dyDescent="0.2">
      <c r="A3" s="39">
        <v>43737</v>
      </c>
      <c r="B3" s="26" t="s">
        <v>417</v>
      </c>
      <c r="C3" s="41" t="s">
        <v>295</v>
      </c>
      <c r="D3" s="27" t="s">
        <v>310</v>
      </c>
      <c r="E3">
        <v>9.3000000000000007</v>
      </c>
      <c r="F3">
        <v>6.2</v>
      </c>
      <c r="G3" s="14">
        <v>18.100000000000001</v>
      </c>
      <c r="H3" s="14">
        <v>25</v>
      </c>
      <c r="I3">
        <v>-3.5</v>
      </c>
      <c r="J3">
        <v>46</v>
      </c>
      <c r="L3" s="1" t="s">
        <v>295</v>
      </c>
      <c r="M3">
        <v>20</v>
      </c>
      <c r="N3">
        <v>3.8422222222222224</v>
      </c>
      <c r="O3">
        <v>-8.0222222222222221</v>
      </c>
      <c r="P3">
        <v>-6.4444444444444446</v>
      </c>
      <c r="Q3">
        <v>-1.2777777777777781</v>
      </c>
      <c r="R3">
        <v>14.733333333333333</v>
      </c>
      <c r="S3">
        <v>45.55555555555555</v>
      </c>
      <c r="T3">
        <v>4.5555555555555554</v>
      </c>
      <c r="U3">
        <v>4</v>
      </c>
      <c r="V3">
        <v>7</v>
      </c>
      <c r="W3">
        <v>-1.3333333333333333</v>
      </c>
      <c r="X3">
        <v>14</v>
      </c>
      <c r="Y3">
        <v>14</v>
      </c>
      <c r="Z3">
        <v>7</v>
      </c>
      <c r="AA3">
        <v>-3.2837872775953271E-2</v>
      </c>
      <c r="AB3">
        <v>9</v>
      </c>
      <c r="AC3">
        <v>-2.2233183636692411E-2</v>
      </c>
      <c r="AD3">
        <v>26</v>
      </c>
      <c r="AE3">
        <v>-3.0555555555555522</v>
      </c>
      <c r="AF3">
        <v>14</v>
      </c>
      <c r="AG3">
        <v>2.4444444444444446</v>
      </c>
      <c r="AH3">
        <v>0.44444444444444287</v>
      </c>
      <c r="AI3">
        <v>-1.0000000000000007</v>
      </c>
      <c r="AJ3">
        <v>-0.77777777777777779</v>
      </c>
      <c r="AK3">
        <v>21.000000000000018</v>
      </c>
      <c r="AL3">
        <v>37.44444444444445</v>
      </c>
      <c r="AM3">
        <v>-18.111111111111111</v>
      </c>
      <c r="AN3">
        <v>-0.66666666666666663</v>
      </c>
      <c r="AO3">
        <v>2.3333333333333335</v>
      </c>
      <c r="AP3">
        <v>1</v>
      </c>
      <c r="AQ3">
        <v>11.864444444444445</v>
      </c>
      <c r="AR3">
        <v>7.7262222222222228</v>
      </c>
      <c r="AS3">
        <v>55.555555555555557</v>
      </c>
      <c r="AT3">
        <v>-11.864444444444445</v>
      </c>
      <c r="AU3">
        <v>1.1802777777777778</v>
      </c>
      <c r="AV3">
        <v>-0.95666666666666678</v>
      </c>
      <c r="AW3">
        <v>-0.26166666666666699</v>
      </c>
      <c r="AX3" t="s">
        <v>310</v>
      </c>
      <c r="AY3">
        <v>11</v>
      </c>
      <c r="AZ3">
        <v>-2.0355555555555553</v>
      </c>
      <c r="BA3">
        <v>-3.9000000000000004</v>
      </c>
      <c r="BB3">
        <v>-15.555555555555557</v>
      </c>
      <c r="BC3">
        <v>-0.11111111111111122</v>
      </c>
      <c r="BD3">
        <v>-4.3888888888888893</v>
      </c>
      <c r="BE3">
        <v>-37.222222222222221</v>
      </c>
      <c r="BF3">
        <v>2.7777777777777777</v>
      </c>
      <c r="BG3">
        <v>3</v>
      </c>
      <c r="BH3">
        <v>3.5</v>
      </c>
      <c r="BI3">
        <v>0.55555555555555569</v>
      </c>
      <c r="BJ3">
        <v>15</v>
      </c>
      <c r="BK3">
        <v>15.75</v>
      </c>
      <c r="BL3">
        <v>16</v>
      </c>
      <c r="BM3">
        <v>-7.6362473526896207E-2</v>
      </c>
      <c r="BN3">
        <v>21</v>
      </c>
      <c r="BO3">
        <v>-3.0467477427901742E-3</v>
      </c>
      <c r="BP3">
        <v>13</v>
      </c>
      <c r="BQ3">
        <v>2.9888888888888943</v>
      </c>
      <c r="BR3">
        <v>13</v>
      </c>
      <c r="BS3">
        <v>3.5555555555555558</v>
      </c>
      <c r="BT3">
        <v>0.22222222222222379</v>
      </c>
      <c r="BU3">
        <v>-2.3333333333333321</v>
      </c>
      <c r="BV3">
        <v>0</v>
      </c>
      <c r="BW3">
        <v>-25.555555555555543</v>
      </c>
      <c r="BX3">
        <v>-34.777777777777771</v>
      </c>
      <c r="BY3">
        <v>5.7777777777777812</v>
      </c>
      <c r="BZ3">
        <v>2.1111111111111107</v>
      </c>
      <c r="CA3">
        <v>1.3333333333333333</v>
      </c>
      <c r="CB3">
        <v>11</v>
      </c>
      <c r="CC3">
        <v>1.8644444444444452</v>
      </c>
      <c r="CD3">
        <v>0.66511111111111121</v>
      </c>
      <c r="CE3">
        <v>-40.55555555555555</v>
      </c>
      <c r="CF3">
        <v>-1.6516666666666666</v>
      </c>
    </row>
    <row r="4" spans="1:84" x14ac:dyDescent="0.2">
      <c r="A4" s="39">
        <v>43737</v>
      </c>
      <c r="B4" s="26" t="s">
        <v>417</v>
      </c>
      <c r="C4" s="41" t="s">
        <v>305</v>
      </c>
      <c r="D4" s="27" t="s">
        <v>281</v>
      </c>
      <c r="E4">
        <v>6.2</v>
      </c>
      <c r="F4">
        <v>14.1</v>
      </c>
      <c r="G4" s="14">
        <v>7.6</v>
      </c>
      <c r="H4" s="14">
        <f>13.1+5.9+1.9</f>
        <v>20.9</v>
      </c>
      <c r="I4">
        <v>-7.5</v>
      </c>
      <c r="J4">
        <v>47</v>
      </c>
      <c r="K4" t="s">
        <v>110</v>
      </c>
      <c r="L4" s="1" t="s">
        <v>305</v>
      </c>
      <c r="M4">
        <v>1</v>
      </c>
      <c r="N4">
        <v>5.797777777777779</v>
      </c>
      <c r="O4">
        <v>4.4555555555555557</v>
      </c>
      <c r="P4">
        <v>1.6666666666666661</v>
      </c>
      <c r="Q4">
        <v>-1.2222222222222223</v>
      </c>
      <c r="R4">
        <v>2.5111111111111093</v>
      </c>
      <c r="S4">
        <v>21.666666666666668</v>
      </c>
      <c r="T4">
        <v>1.3333333333333339</v>
      </c>
      <c r="U4">
        <v>8</v>
      </c>
      <c r="V4">
        <v>8.5</v>
      </c>
      <c r="W4">
        <v>-3.7777777777777781</v>
      </c>
      <c r="X4">
        <v>31</v>
      </c>
      <c r="Y4">
        <v>29.25</v>
      </c>
      <c r="Z4">
        <v>27</v>
      </c>
      <c r="AA4">
        <v>-1.2336664744011017E-2</v>
      </c>
      <c r="AB4">
        <v>31</v>
      </c>
      <c r="AC4">
        <v>-4.3416705918081777E-3</v>
      </c>
      <c r="AD4">
        <v>27</v>
      </c>
      <c r="AE4">
        <v>6.5999999999999988</v>
      </c>
      <c r="AF4">
        <v>32</v>
      </c>
      <c r="AG4">
        <v>-2.8888888888888888</v>
      </c>
      <c r="AH4">
        <v>7.2222222222222259</v>
      </c>
      <c r="AI4">
        <v>6.5555555555555571</v>
      </c>
      <c r="AJ4">
        <v>-1.5555555555555556</v>
      </c>
      <c r="AK4">
        <v>38.666666666666664</v>
      </c>
      <c r="AL4">
        <v>2.444444444444438</v>
      </c>
      <c r="AM4">
        <v>4.5555555555555527</v>
      </c>
      <c r="AN4">
        <v>-2.6666666666666665</v>
      </c>
      <c r="AO4">
        <v>34.333333333333336</v>
      </c>
      <c r="AP4">
        <v>15</v>
      </c>
      <c r="AQ4">
        <v>1.3422222222222231</v>
      </c>
      <c r="AR4">
        <v>-0.56600000000000006</v>
      </c>
      <c r="AS4">
        <v>-2.1111111111111147</v>
      </c>
      <c r="AT4">
        <v>-1.3422222222222233</v>
      </c>
      <c r="AU4">
        <v>1.7483333333333331</v>
      </c>
      <c r="AV4">
        <v>0.66152777777777805</v>
      </c>
      <c r="AW4">
        <v>-0.30194444444444396</v>
      </c>
      <c r="AX4" t="s">
        <v>281</v>
      </c>
      <c r="AY4">
        <v>11</v>
      </c>
      <c r="AZ4">
        <v>2.2888888888888892</v>
      </c>
      <c r="BA4">
        <v>1.788888888888887</v>
      </c>
      <c r="BB4">
        <v>-3.2222222222222268</v>
      </c>
      <c r="BC4">
        <v>1.6666666666666665</v>
      </c>
      <c r="BD4">
        <v>6.5888888888888903</v>
      </c>
      <c r="BE4">
        <v>16.555555555555554</v>
      </c>
      <c r="BF4">
        <v>-2.666666666666667</v>
      </c>
      <c r="BG4">
        <v>29</v>
      </c>
      <c r="BH4">
        <v>27</v>
      </c>
      <c r="BI4">
        <v>1.555555555555556</v>
      </c>
      <c r="BJ4">
        <v>9</v>
      </c>
      <c r="BK4">
        <v>12.5</v>
      </c>
      <c r="BL4">
        <v>8</v>
      </c>
      <c r="BM4">
        <v>-8.2226814052850927E-3</v>
      </c>
      <c r="BN4">
        <v>16</v>
      </c>
      <c r="BO4">
        <v>-8.3821000018702001E-3</v>
      </c>
      <c r="BP4">
        <v>7</v>
      </c>
      <c r="BQ4">
        <v>5.6666666666666643</v>
      </c>
      <c r="BR4">
        <v>19</v>
      </c>
      <c r="BS4">
        <v>-0.66666666666666696</v>
      </c>
      <c r="BT4">
        <v>-2.1111111111111143</v>
      </c>
      <c r="BU4">
        <v>1.4444444444444435</v>
      </c>
      <c r="BV4">
        <v>-0.55555555555555569</v>
      </c>
      <c r="BW4">
        <v>28.111111111111114</v>
      </c>
      <c r="BX4">
        <v>26.222222222222218</v>
      </c>
      <c r="BY4">
        <v>-3.2222222222222192</v>
      </c>
      <c r="BZ4">
        <v>3.7777777777777772</v>
      </c>
      <c r="CA4">
        <v>1.3333333333333333</v>
      </c>
      <c r="CB4">
        <v>13</v>
      </c>
      <c r="CC4">
        <v>0.50000000000000222</v>
      </c>
      <c r="CD4">
        <v>0.88111111111111251</v>
      </c>
      <c r="CE4">
        <v>29.444444444444436</v>
      </c>
      <c r="CF4">
        <v>1.625</v>
      </c>
    </row>
    <row r="5" spans="1:84" x14ac:dyDescent="0.2">
      <c r="A5" s="39">
        <v>43737</v>
      </c>
      <c r="B5" s="26" t="s">
        <v>417</v>
      </c>
      <c r="C5" s="41" t="s">
        <v>276</v>
      </c>
      <c r="D5" s="27" t="s">
        <v>302</v>
      </c>
      <c r="E5">
        <v>11.9</v>
      </c>
      <c r="F5">
        <v>14.5</v>
      </c>
      <c r="G5" s="14">
        <v>2.4</v>
      </c>
      <c r="H5" s="14">
        <v>8.8000000000000007</v>
      </c>
      <c r="I5">
        <v>7</v>
      </c>
      <c r="J5">
        <v>41.5</v>
      </c>
      <c r="L5" s="1" t="s">
        <v>276</v>
      </c>
      <c r="M5">
        <v>5</v>
      </c>
      <c r="N5">
        <v>-2.7688888888888896</v>
      </c>
      <c r="O5">
        <v>-2.5666666666666647</v>
      </c>
      <c r="P5">
        <v>4.5555555555555571</v>
      </c>
      <c r="Q5">
        <v>-0.77777777777777768</v>
      </c>
      <c r="R5">
        <v>-7.1888888888888882</v>
      </c>
      <c r="S5">
        <v>-31.999999999999996</v>
      </c>
      <c r="T5">
        <v>1</v>
      </c>
      <c r="U5">
        <v>25</v>
      </c>
      <c r="V5">
        <v>23</v>
      </c>
      <c r="W5">
        <v>-0.33333333333333365</v>
      </c>
      <c r="X5">
        <v>24</v>
      </c>
      <c r="Y5">
        <v>20.75</v>
      </c>
      <c r="Z5">
        <v>25</v>
      </c>
      <c r="AA5">
        <v>6.1993532630206571E-2</v>
      </c>
      <c r="AB5">
        <v>25</v>
      </c>
      <c r="AC5">
        <v>-8.6372878861758432E-3</v>
      </c>
      <c r="AD5">
        <v>5</v>
      </c>
      <c r="AE5">
        <v>14.066666666666668</v>
      </c>
      <c r="AF5">
        <v>28</v>
      </c>
      <c r="AG5">
        <v>2.3333333333333335</v>
      </c>
      <c r="AH5">
        <v>2.4444444444444451</v>
      </c>
      <c r="AI5">
        <v>-5.4444444444444438</v>
      </c>
      <c r="AJ5">
        <v>0</v>
      </c>
      <c r="AK5">
        <v>-26</v>
      </c>
      <c r="AL5">
        <v>-47.000000000000007</v>
      </c>
      <c r="AM5">
        <v>0.55555555555555713</v>
      </c>
      <c r="AN5">
        <v>0.44444444444444436</v>
      </c>
      <c r="AO5">
        <v>19.999999999999996</v>
      </c>
      <c r="AP5">
        <v>18</v>
      </c>
      <c r="AQ5">
        <v>-0.20222222222222519</v>
      </c>
      <c r="AR5">
        <v>-0.70822222222222297</v>
      </c>
      <c r="AS5">
        <v>-47.555555555555564</v>
      </c>
      <c r="AT5">
        <v>0.20222222222222497</v>
      </c>
      <c r="AU5">
        <v>-1.8155555555555551</v>
      </c>
      <c r="AV5">
        <v>-1.9338194444444445</v>
      </c>
      <c r="AW5">
        <v>-1.7031944444444447</v>
      </c>
      <c r="AX5" t="s">
        <v>302</v>
      </c>
      <c r="AY5">
        <v>28</v>
      </c>
      <c r="AZ5">
        <v>-4.2155555555555564</v>
      </c>
      <c r="BA5">
        <v>-3.833333333333333</v>
      </c>
      <c r="BB5">
        <v>-16.444444444444446</v>
      </c>
      <c r="BC5">
        <v>-0.11111111111111105</v>
      </c>
      <c r="BD5">
        <v>-6.6</v>
      </c>
      <c r="BE5">
        <v>-20.55555555555555</v>
      </c>
      <c r="BF5">
        <v>-0.44444444444444486</v>
      </c>
      <c r="BG5">
        <v>24</v>
      </c>
      <c r="BH5">
        <v>23</v>
      </c>
      <c r="BI5">
        <v>-0.22222222222222202</v>
      </c>
      <c r="BJ5">
        <v>5</v>
      </c>
      <c r="BK5">
        <v>9.75</v>
      </c>
      <c r="BL5">
        <v>1</v>
      </c>
      <c r="BM5">
        <v>-1.829281353090877E-2</v>
      </c>
      <c r="BN5">
        <v>12</v>
      </c>
      <c r="BO5">
        <v>2.9238302237289068E-2</v>
      </c>
      <c r="BP5">
        <v>23</v>
      </c>
      <c r="BQ5">
        <v>-4.4111111111111088</v>
      </c>
      <c r="BR5">
        <v>3</v>
      </c>
      <c r="BS5">
        <v>6.4444444444444438</v>
      </c>
      <c r="BT5">
        <v>-0.44444444444444525</v>
      </c>
      <c r="BU5">
        <v>-7.333333333333333</v>
      </c>
      <c r="BV5">
        <v>2.1111111111111112</v>
      </c>
      <c r="BW5">
        <v>-25.555555555555543</v>
      </c>
      <c r="BX5">
        <v>-4</v>
      </c>
      <c r="BY5">
        <v>-16.111111111111111</v>
      </c>
      <c r="BZ5">
        <v>-3.5555555555555554</v>
      </c>
      <c r="CA5">
        <v>-1.8888888888888886</v>
      </c>
      <c r="CB5">
        <v>15</v>
      </c>
      <c r="CC5">
        <v>-0.38222222222222335</v>
      </c>
      <c r="CD5">
        <v>-0.24644444444444469</v>
      </c>
      <c r="CE5">
        <v>12.111111111111111</v>
      </c>
      <c r="CF5">
        <v>-2.1644444444444444</v>
      </c>
    </row>
    <row r="6" spans="1:84" x14ac:dyDescent="0.2">
      <c r="A6" s="39">
        <v>43737</v>
      </c>
      <c r="B6" s="26" t="s">
        <v>417</v>
      </c>
      <c r="C6" s="41" t="s">
        <v>301</v>
      </c>
      <c r="D6" s="27" t="s">
        <v>311</v>
      </c>
      <c r="E6">
        <v>7.4</v>
      </c>
      <c r="F6">
        <v>6.3</v>
      </c>
      <c r="G6">
        <v>10.9</v>
      </c>
      <c r="H6" s="14">
        <v>2.5</v>
      </c>
      <c r="I6">
        <v>5.5</v>
      </c>
      <c r="J6">
        <v>47.5</v>
      </c>
      <c r="K6" t="s">
        <v>109</v>
      </c>
      <c r="L6" s="1" t="s">
        <v>301</v>
      </c>
      <c r="M6">
        <v>13</v>
      </c>
      <c r="N6">
        <v>-4.6666666666666652</v>
      </c>
      <c r="O6">
        <v>12.977777777777778</v>
      </c>
      <c r="P6">
        <v>28.444444444444443</v>
      </c>
      <c r="Q6">
        <v>2.7777777777777781</v>
      </c>
      <c r="R6">
        <v>-1.4999999999999996</v>
      </c>
      <c r="S6">
        <v>5.444444444444442</v>
      </c>
      <c r="T6">
        <v>1.0000000000000002</v>
      </c>
      <c r="U6">
        <v>32</v>
      </c>
      <c r="V6">
        <v>31.5</v>
      </c>
      <c r="W6">
        <v>-1.4444444444444446</v>
      </c>
      <c r="X6">
        <v>4</v>
      </c>
      <c r="Y6">
        <v>8.5</v>
      </c>
      <c r="Z6">
        <v>4</v>
      </c>
      <c r="AA6">
        <v>-3.4218211211845373E-2</v>
      </c>
      <c r="AB6">
        <v>6</v>
      </c>
      <c r="AC6">
        <v>-3.6591025562411083E-3</v>
      </c>
      <c r="AD6">
        <v>17</v>
      </c>
      <c r="AE6">
        <v>-5.6888888888888927</v>
      </c>
      <c r="AF6">
        <v>7</v>
      </c>
      <c r="AG6">
        <v>-1.1111111111111107</v>
      </c>
      <c r="AH6">
        <v>2.3684757858670005E-15</v>
      </c>
      <c r="AI6">
        <v>3.6666666666666679</v>
      </c>
      <c r="AJ6">
        <v>-1.1111111111111109</v>
      </c>
      <c r="AK6">
        <v>19</v>
      </c>
      <c r="AL6">
        <v>12.111111111111114</v>
      </c>
      <c r="AM6">
        <v>26.333333333333332</v>
      </c>
      <c r="AN6">
        <v>0.33333333333333331</v>
      </c>
      <c r="AO6">
        <v>-19.777777777777775</v>
      </c>
      <c r="AP6">
        <v>32</v>
      </c>
      <c r="AQ6">
        <v>-17.644444444444446</v>
      </c>
      <c r="AR6">
        <v>-7.7222222222222214</v>
      </c>
      <c r="AS6">
        <v>-14.222222222222218</v>
      </c>
      <c r="AT6">
        <v>17.644444444444442</v>
      </c>
      <c r="AU6">
        <v>1.0041666666666667</v>
      </c>
      <c r="AV6">
        <v>7.4861111111111489E-2</v>
      </c>
      <c r="AW6">
        <v>-1.0888888888888884</v>
      </c>
      <c r="AX6" t="s">
        <v>311</v>
      </c>
      <c r="AY6">
        <v>6</v>
      </c>
      <c r="AZ6">
        <v>2.2866666666666675</v>
      </c>
      <c r="BA6">
        <v>-1.3000000000000007</v>
      </c>
      <c r="BB6">
        <v>-0.44444444444444298</v>
      </c>
      <c r="BC6">
        <v>1.1111111111111109</v>
      </c>
      <c r="BD6">
        <v>6.9222222222222234</v>
      </c>
      <c r="BE6">
        <v>28.000000000000004</v>
      </c>
      <c r="BF6">
        <v>3.4444444444444446</v>
      </c>
      <c r="BG6">
        <v>22</v>
      </c>
      <c r="BH6">
        <v>21.5</v>
      </c>
      <c r="BI6">
        <v>-0.22222222222222202</v>
      </c>
      <c r="BJ6">
        <v>27</v>
      </c>
      <c r="BK6">
        <v>22.75</v>
      </c>
      <c r="BL6">
        <v>31</v>
      </c>
      <c r="BM6">
        <v>2.4838427582504263E-2</v>
      </c>
      <c r="BN6">
        <v>30</v>
      </c>
      <c r="BO6">
        <v>2.3582286807539501E-2</v>
      </c>
      <c r="BP6">
        <v>2</v>
      </c>
      <c r="BQ6">
        <v>-11.211111111111114</v>
      </c>
      <c r="BR6">
        <v>28</v>
      </c>
      <c r="BS6">
        <v>0.88888888888888895</v>
      </c>
      <c r="BT6">
        <v>6.2222222222222214</v>
      </c>
      <c r="BU6">
        <v>1.1111111111111118</v>
      </c>
      <c r="BV6">
        <v>-1.5555555555555556</v>
      </c>
      <c r="BW6">
        <v>35.222222222222229</v>
      </c>
      <c r="BX6">
        <v>26.888888888888886</v>
      </c>
      <c r="BY6">
        <v>-0.7777777777777809</v>
      </c>
      <c r="BZ6">
        <v>0</v>
      </c>
      <c r="CA6">
        <v>9.1111111111111107</v>
      </c>
      <c r="CB6">
        <v>10</v>
      </c>
      <c r="CC6">
        <v>3.5866666666666682</v>
      </c>
      <c r="CD6">
        <v>2.4917777777777785</v>
      </c>
      <c r="CE6">
        <v>27.666666666666668</v>
      </c>
      <c r="CF6">
        <v>1.2386111111111113</v>
      </c>
    </row>
    <row r="7" spans="1:84" x14ac:dyDescent="0.2">
      <c r="A7" s="39">
        <v>43737</v>
      </c>
      <c r="B7" s="26" t="s">
        <v>417</v>
      </c>
      <c r="C7" s="41" t="s">
        <v>265</v>
      </c>
      <c r="D7" s="27" t="s">
        <v>312</v>
      </c>
      <c r="E7">
        <v>14.7</v>
      </c>
      <c r="F7">
        <v>9.6</v>
      </c>
      <c r="G7">
        <v>3.1</v>
      </c>
      <c r="H7" s="14">
        <f>3.6+3.3+1.7</f>
        <v>8.6</v>
      </c>
      <c r="I7">
        <v>1</v>
      </c>
      <c r="J7">
        <v>38</v>
      </c>
      <c r="K7" t="s">
        <v>110</v>
      </c>
      <c r="L7" s="1" t="s">
        <v>265</v>
      </c>
      <c r="M7">
        <v>26</v>
      </c>
      <c r="N7">
        <v>-3.66</v>
      </c>
      <c r="O7">
        <v>-6.8333333333333339</v>
      </c>
      <c r="P7">
        <v>-40.888888888888886</v>
      </c>
      <c r="Q7">
        <v>3</v>
      </c>
      <c r="R7">
        <v>-7.7444444444444462</v>
      </c>
      <c r="S7">
        <v>-41.111111111111114</v>
      </c>
      <c r="T7">
        <v>-1.4444444444444451</v>
      </c>
      <c r="U7">
        <v>30</v>
      </c>
      <c r="V7">
        <v>29.5</v>
      </c>
      <c r="W7">
        <v>5</v>
      </c>
      <c r="X7">
        <v>18</v>
      </c>
      <c r="Y7">
        <v>15.5</v>
      </c>
      <c r="Z7">
        <v>20</v>
      </c>
      <c r="AA7">
        <v>-3.5161517787359708E-2</v>
      </c>
      <c r="AB7">
        <v>11</v>
      </c>
      <c r="AC7">
        <v>1.2802051563860939E-2</v>
      </c>
      <c r="AD7">
        <v>20</v>
      </c>
      <c r="AE7">
        <v>-19.499999999999996</v>
      </c>
      <c r="AF7">
        <v>11</v>
      </c>
      <c r="AG7">
        <v>1.4444444444444444</v>
      </c>
      <c r="AH7">
        <v>-1.8888888888888904</v>
      </c>
      <c r="AI7">
        <v>-6.666666666666667</v>
      </c>
      <c r="AJ7">
        <v>1.5555555555555554</v>
      </c>
      <c r="AK7">
        <v>-71.222222222222229</v>
      </c>
      <c r="AL7">
        <v>-40.111111111111107</v>
      </c>
      <c r="AM7">
        <v>-42</v>
      </c>
      <c r="AN7">
        <v>17</v>
      </c>
      <c r="AO7">
        <v>-6.1111111111111107</v>
      </c>
      <c r="AP7">
        <v>12</v>
      </c>
      <c r="AQ7">
        <v>3.1733333333333333</v>
      </c>
      <c r="AR7">
        <v>1.1357777777777778</v>
      </c>
      <c r="AS7">
        <v>1.8888888888888928</v>
      </c>
      <c r="AT7">
        <v>-3.1733333333333338</v>
      </c>
      <c r="AU7">
        <v>-2.1130555555555559</v>
      </c>
      <c r="AV7">
        <v>-0.35375000000000001</v>
      </c>
      <c r="AW7">
        <v>-0.77333333333333287</v>
      </c>
      <c r="AX7" t="s">
        <v>312</v>
      </c>
      <c r="AY7">
        <v>7</v>
      </c>
      <c r="AZ7">
        <v>0.79333333333333178</v>
      </c>
      <c r="BA7">
        <v>2.4333333333333336</v>
      </c>
      <c r="BB7">
        <v>6.3333333333333339</v>
      </c>
      <c r="BC7">
        <v>2</v>
      </c>
      <c r="BD7">
        <v>0.52222222222222037</v>
      </c>
      <c r="BE7">
        <v>-7.6666666666666625</v>
      </c>
      <c r="BF7">
        <v>0.66666666666666696</v>
      </c>
      <c r="BG7">
        <v>11</v>
      </c>
      <c r="BH7">
        <v>12</v>
      </c>
      <c r="BI7">
        <v>-2.5555555555555554</v>
      </c>
      <c r="BJ7">
        <v>7</v>
      </c>
      <c r="BK7">
        <v>12.25</v>
      </c>
      <c r="BL7">
        <v>19</v>
      </c>
      <c r="BM7">
        <v>6.3690128019434092E-2</v>
      </c>
      <c r="BN7">
        <v>13</v>
      </c>
      <c r="BO7">
        <v>2.684466941912882E-2</v>
      </c>
      <c r="BP7">
        <v>1</v>
      </c>
      <c r="BQ7">
        <v>-8.9222222222222189</v>
      </c>
      <c r="BR7">
        <v>16</v>
      </c>
      <c r="BS7">
        <v>3.2222222222222219</v>
      </c>
      <c r="BT7">
        <v>5.5555555555555545</v>
      </c>
      <c r="BU7">
        <v>-2.7777777777777772</v>
      </c>
      <c r="BV7">
        <v>0</v>
      </c>
      <c r="BW7">
        <v>11.111111111111105</v>
      </c>
      <c r="BX7">
        <v>-0.99999999999999056</v>
      </c>
      <c r="BY7">
        <v>9.3333333333333339</v>
      </c>
      <c r="BZ7">
        <v>1.1111111111111109</v>
      </c>
      <c r="CA7">
        <v>1.6666666666666667</v>
      </c>
      <c r="CB7">
        <v>19</v>
      </c>
      <c r="CC7">
        <v>-1.6400000000000017</v>
      </c>
      <c r="CD7">
        <v>-0.95355555555555627</v>
      </c>
      <c r="CE7">
        <v>-10.333333333333325</v>
      </c>
      <c r="CF7">
        <v>6.5833333333332911E-2</v>
      </c>
    </row>
    <row r="8" spans="1:84" x14ac:dyDescent="0.2">
      <c r="A8" s="39">
        <v>43737</v>
      </c>
      <c r="B8" s="26" t="s">
        <v>417</v>
      </c>
      <c r="C8" s="17" t="s">
        <v>272</v>
      </c>
      <c r="D8" s="27" t="s">
        <v>309</v>
      </c>
      <c r="E8">
        <v>6.3</v>
      </c>
      <c r="F8">
        <v>6.6</v>
      </c>
      <c r="G8">
        <v>4</v>
      </c>
      <c r="H8" s="14">
        <v>4.7</v>
      </c>
      <c r="I8">
        <v>3.5</v>
      </c>
      <c r="J8">
        <v>45.5</v>
      </c>
      <c r="L8" s="1" t="s">
        <v>272</v>
      </c>
      <c r="M8">
        <v>24</v>
      </c>
      <c r="N8">
        <v>5.3466666666666667</v>
      </c>
      <c r="O8">
        <v>-5.4111111111111114</v>
      </c>
      <c r="P8">
        <v>-23</v>
      </c>
      <c r="Q8">
        <v>-0.66666666666666696</v>
      </c>
      <c r="R8">
        <v>15.233333333333336</v>
      </c>
      <c r="S8">
        <v>90.333333333333343</v>
      </c>
      <c r="T8">
        <v>5.5555555555555554</v>
      </c>
      <c r="U8">
        <v>12</v>
      </c>
      <c r="V8">
        <v>11.5</v>
      </c>
      <c r="W8">
        <v>-5.1111111111111116</v>
      </c>
      <c r="X8">
        <v>10</v>
      </c>
      <c r="Y8">
        <v>12.75</v>
      </c>
      <c r="Z8">
        <v>13</v>
      </c>
      <c r="AA8">
        <v>-3.4031099041706794E-3</v>
      </c>
      <c r="AB8">
        <v>15</v>
      </c>
      <c r="AC8">
        <v>1.6852793720378963E-2</v>
      </c>
      <c r="AD8">
        <v>11</v>
      </c>
      <c r="AE8">
        <v>18.400000000000002</v>
      </c>
      <c r="AF8">
        <v>12</v>
      </c>
      <c r="AG8">
        <v>0.55555555555555569</v>
      </c>
      <c r="AH8">
        <v>4.1111111111111116</v>
      </c>
      <c r="AI8">
        <v>1.3333333333333333</v>
      </c>
      <c r="AJ8">
        <v>-3.3333333333333335</v>
      </c>
      <c r="AK8">
        <v>53.888888888888893</v>
      </c>
      <c r="AL8">
        <v>88.777777777777771</v>
      </c>
      <c r="AM8">
        <v>-25.888888888888886</v>
      </c>
      <c r="AN8">
        <v>-3.6666666666666665</v>
      </c>
      <c r="AO8">
        <v>-5.333333333333333</v>
      </c>
      <c r="AP8">
        <v>2</v>
      </c>
      <c r="AQ8">
        <v>10.757777777777777</v>
      </c>
      <c r="AR8">
        <v>6.8215555555555563</v>
      </c>
      <c r="AS8">
        <v>114.66666666666666</v>
      </c>
      <c r="AT8">
        <v>-10.757777777777779</v>
      </c>
      <c r="AU8">
        <v>2.0350000000000006</v>
      </c>
      <c r="AV8">
        <v>0.19138888888888889</v>
      </c>
      <c r="AW8">
        <v>0.13861111111111113</v>
      </c>
      <c r="AX8" t="s">
        <v>309</v>
      </c>
      <c r="AY8">
        <v>31</v>
      </c>
      <c r="AZ8">
        <v>-0.55333333333333401</v>
      </c>
      <c r="BA8">
        <v>-4.1444444444444439</v>
      </c>
      <c r="BB8">
        <v>4.3333333333333357</v>
      </c>
      <c r="BC8">
        <v>-0.44444444444444442</v>
      </c>
      <c r="BD8">
        <v>5.5400000000000009</v>
      </c>
      <c r="BE8">
        <v>13.888888888888889</v>
      </c>
      <c r="BF8">
        <v>0.66666666666666696</v>
      </c>
      <c r="BG8">
        <v>30</v>
      </c>
      <c r="BH8">
        <v>27.5</v>
      </c>
      <c r="BI8">
        <v>-6.2222222222222214</v>
      </c>
      <c r="BJ8">
        <v>1</v>
      </c>
      <c r="BK8">
        <v>5.25</v>
      </c>
      <c r="BL8">
        <v>2</v>
      </c>
      <c r="BM8">
        <v>4.4741636543804586E-2</v>
      </c>
      <c r="BN8">
        <v>1</v>
      </c>
      <c r="BO8">
        <v>4.5260496480008724E-3</v>
      </c>
      <c r="BP8">
        <v>16</v>
      </c>
      <c r="BQ8">
        <v>3.2333333333333392</v>
      </c>
      <c r="BR8">
        <v>2</v>
      </c>
      <c r="BS8">
        <v>-1.4444444444444444</v>
      </c>
      <c r="BT8">
        <v>3.6666666666666665</v>
      </c>
      <c r="BU8">
        <v>0.55555555555555591</v>
      </c>
      <c r="BV8">
        <v>-3.1111111111111112</v>
      </c>
      <c r="BW8">
        <v>30.666666666666668</v>
      </c>
      <c r="BX8">
        <v>20.777777777777782</v>
      </c>
      <c r="BY8">
        <v>14.333333333333334</v>
      </c>
      <c r="BZ8">
        <v>-2.7777777777777781</v>
      </c>
      <c r="CA8">
        <v>-1.6666666666666667</v>
      </c>
      <c r="CB8">
        <v>9</v>
      </c>
      <c r="CC8">
        <v>3.5911111111111103</v>
      </c>
      <c r="CD8">
        <v>3.0695555555555551</v>
      </c>
      <c r="CE8">
        <v>6.4444444444444482</v>
      </c>
      <c r="CF8">
        <v>0.24416666666666662</v>
      </c>
    </row>
    <row r="9" spans="1:84" x14ac:dyDescent="0.2">
      <c r="A9" s="39">
        <v>43737</v>
      </c>
      <c r="B9" s="26" t="s">
        <v>417</v>
      </c>
      <c r="C9" s="41" t="s">
        <v>281</v>
      </c>
      <c r="D9" s="27" t="s">
        <v>305</v>
      </c>
      <c r="E9">
        <v>4</v>
      </c>
      <c r="F9">
        <v>27.7</v>
      </c>
      <c r="G9">
        <v>2</v>
      </c>
      <c r="H9" s="14">
        <v>20</v>
      </c>
      <c r="I9">
        <v>7.5</v>
      </c>
      <c r="J9">
        <v>47</v>
      </c>
      <c r="K9" t="s">
        <v>110</v>
      </c>
      <c r="L9" s="1" t="s">
        <v>281</v>
      </c>
      <c r="M9">
        <v>10</v>
      </c>
      <c r="N9">
        <v>-1.4822222222222219</v>
      </c>
      <c r="O9">
        <v>-0.11111111111111013</v>
      </c>
      <c r="P9">
        <v>3.8888888888888884</v>
      </c>
      <c r="Q9">
        <v>0</v>
      </c>
      <c r="R9">
        <v>0.21111111111110975</v>
      </c>
      <c r="S9">
        <v>21.55555555555555</v>
      </c>
      <c r="T9">
        <v>-1.5555555555555551</v>
      </c>
      <c r="U9">
        <v>4</v>
      </c>
      <c r="V9">
        <v>7</v>
      </c>
      <c r="W9">
        <v>-0.66666666666666696</v>
      </c>
      <c r="X9">
        <v>30</v>
      </c>
      <c r="Y9">
        <v>29</v>
      </c>
      <c r="Z9">
        <v>31</v>
      </c>
      <c r="AA9">
        <v>7.7855185749922604E-2</v>
      </c>
      <c r="AB9">
        <v>30</v>
      </c>
      <c r="AC9">
        <v>4.0026932132195291E-2</v>
      </c>
      <c r="AD9">
        <v>24</v>
      </c>
      <c r="AE9">
        <v>-11.766666666666667</v>
      </c>
      <c r="AF9">
        <v>31</v>
      </c>
      <c r="AG9">
        <v>1.555555555555556</v>
      </c>
      <c r="AH9">
        <v>-0.22222222222222379</v>
      </c>
      <c r="AI9">
        <v>-2.6666666666666656</v>
      </c>
      <c r="AJ9">
        <v>0</v>
      </c>
      <c r="AK9">
        <v>16.111111111111104</v>
      </c>
      <c r="AL9">
        <v>27.111111111111104</v>
      </c>
      <c r="AM9">
        <v>-2</v>
      </c>
      <c r="AN9">
        <v>0.44444444444444436</v>
      </c>
      <c r="AO9">
        <v>-9.4444444444444446</v>
      </c>
      <c r="AP9">
        <v>20</v>
      </c>
      <c r="AQ9">
        <v>-1.3711111111111118</v>
      </c>
      <c r="AR9">
        <v>-0.19866666666666738</v>
      </c>
      <c r="AS9">
        <v>29.111111111111104</v>
      </c>
      <c r="AT9">
        <v>1.3711111111111118</v>
      </c>
      <c r="AU9">
        <v>-0.24222222222222228</v>
      </c>
      <c r="AV9">
        <v>0.66152777777777805</v>
      </c>
      <c r="AW9">
        <v>1.625</v>
      </c>
      <c r="AX9" t="s">
        <v>305</v>
      </c>
      <c r="AY9">
        <v>32</v>
      </c>
      <c r="AZ9">
        <v>-0.3377777777777749</v>
      </c>
      <c r="BA9">
        <v>-0.4777777777777763</v>
      </c>
      <c r="BB9">
        <v>-7.8888888888888893</v>
      </c>
      <c r="BC9">
        <v>-2.5555555555555558</v>
      </c>
      <c r="BD9">
        <v>-1.6</v>
      </c>
      <c r="BE9">
        <v>13.333333333333337</v>
      </c>
      <c r="BF9">
        <v>-2.1111111111111107</v>
      </c>
      <c r="BG9">
        <v>23</v>
      </c>
      <c r="BH9">
        <v>22.5</v>
      </c>
      <c r="BI9">
        <v>-2.8888888888888888</v>
      </c>
      <c r="BJ9">
        <v>5</v>
      </c>
      <c r="BK9">
        <v>9.75</v>
      </c>
      <c r="BL9">
        <v>15</v>
      </c>
      <c r="BM9">
        <v>4.9308211162426514E-2</v>
      </c>
      <c r="BN9">
        <v>8</v>
      </c>
      <c r="BO9">
        <v>-1.5181852963881526E-2</v>
      </c>
      <c r="BP9">
        <v>15</v>
      </c>
      <c r="BQ9">
        <v>6.6555555555555559</v>
      </c>
      <c r="BR9">
        <v>1</v>
      </c>
      <c r="BS9">
        <v>-3.7777777777777781</v>
      </c>
      <c r="BT9">
        <v>-9.1111111111111125</v>
      </c>
      <c r="BU9">
        <v>-0.11111111111110983</v>
      </c>
      <c r="BV9">
        <v>0</v>
      </c>
      <c r="BW9">
        <v>-2.3333333333333237</v>
      </c>
      <c r="BX9">
        <v>12.111111111111114</v>
      </c>
      <c r="BY9">
        <v>-7.666666666666667</v>
      </c>
      <c r="BZ9">
        <v>-0.11111111111111109</v>
      </c>
      <c r="CA9">
        <v>-6.666666666666667</v>
      </c>
      <c r="CB9">
        <v>14</v>
      </c>
      <c r="CC9">
        <v>0.14000000000000146</v>
      </c>
      <c r="CD9">
        <v>-0.14866666666666678</v>
      </c>
      <c r="CE9">
        <v>19.777777777777782</v>
      </c>
      <c r="CF9">
        <v>-0.30194444444444396</v>
      </c>
    </row>
    <row r="10" spans="1:84" x14ac:dyDescent="0.2">
      <c r="A10" s="39">
        <v>43737</v>
      </c>
      <c r="B10" s="26" t="s">
        <v>417</v>
      </c>
      <c r="C10" s="41" t="s">
        <v>291</v>
      </c>
      <c r="D10" s="27" t="s">
        <v>307</v>
      </c>
      <c r="E10">
        <v>9.8000000000000007</v>
      </c>
      <c r="F10">
        <v>0</v>
      </c>
      <c r="G10" s="14">
        <v>4.3</v>
      </c>
      <c r="H10" s="14">
        <v>15.9</v>
      </c>
      <c r="I10">
        <v>-2.5</v>
      </c>
      <c r="J10">
        <v>47</v>
      </c>
      <c r="L10" s="1" t="s">
        <v>291</v>
      </c>
      <c r="M10">
        <v>3</v>
      </c>
      <c r="N10">
        <v>0.96666666666666379</v>
      </c>
      <c r="O10">
        <v>4.0000000000000009</v>
      </c>
      <c r="P10">
        <v>25.333333333333329</v>
      </c>
      <c r="Q10">
        <v>0.11111111111111116</v>
      </c>
      <c r="R10">
        <v>4.8777777777777738</v>
      </c>
      <c r="S10">
        <v>19.888888888888886</v>
      </c>
      <c r="T10">
        <v>1.5555555555555549</v>
      </c>
      <c r="U10">
        <v>11</v>
      </c>
      <c r="V10">
        <v>9.5</v>
      </c>
      <c r="W10">
        <v>-5.3333333333333348</v>
      </c>
      <c r="X10">
        <v>26</v>
      </c>
      <c r="Y10">
        <v>22.25</v>
      </c>
      <c r="Z10">
        <v>18</v>
      </c>
      <c r="AA10">
        <v>-7.1518775401973614E-2</v>
      </c>
      <c r="AB10">
        <v>32</v>
      </c>
      <c r="AC10">
        <v>-3.021483217005555E-2</v>
      </c>
      <c r="AD10">
        <v>16</v>
      </c>
      <c r="AE10">
        <v>-7.6999999999999984</v>
      </c>
      <c r="AF10">
        <v>23</v>
      </c>
      <c r="AG10">
        <v>-1.6666666666666667</v>
      </c>
      <c r="AH10">
        <v>-2.1111111111111094</v>
      </c>
      <c r="AI10">
        <v>-0.99999999999999878</v>
      </c>
      <c r="AJ10">
        <v>-2.3333333333333335</v>
      </c>
      <c r="AK10">
        <v>34.444444444444436</v>
      </c>
      <c r="AL10">
        <v>8.3333333333333339</v>
      </c>
      <c r="AM10">
        <v>14.444444444444448</v>
      </c>
      <c r="AN10">
        <v>-2.6666666666666665</v>
      </c>
      <c r="AO10">
        <v>14.333333333333336</v>
      </c>
      <c r="AP10">
        <v>25</v>
      </c>
      <c r="AQ10">
        <v>-3.0333333333333372</v>
      </c>
      <c r="AR10">
        <v>-0.83111111111111313</v>
      </c>
      <c r="AS10">
        <v>-6.1111111111111143</v>
      </c>
      <c r="AT10">
        <v>3.0333333333333372</v>
      </c>
      <c r="AU10">
        <v>1.0499999999999994</v>
      </c>
      <c r="AV10">
        <v>0.80895833333333367</v>
      </c>
      <c r="AW10">
        <v>-6.4305555555555644E-2</v>
      </c>
      <c r="AX10" t="s">
        <v>307</v>
      </c>
      <c r="AY10">
        <v>18</v>
      </c>
      <c r="AZ10">
        <v>8.58</v>
      </c>
      <c r="BA10">
        <v>0.85555555555555507</v>
      </c>
      <c r="BB10">
        <v>7.5555555555555536</v>
      </c>
      <c r="BC10">
        <v>1.7777777777777779</v>
      </c>
      <c r="BD10">
        <v>5.1333333333333346</v>
      </c>
      <c r="BE10">
        <v>33.333333333333343</v>
      </c>
      <c r="BF10">
        <v>-0.44444444444444542</v>
      </c>
      <c r="BG10">
        <v>8</v>
      </c>
      <c r="BH10">
        <v>8.5</v>
      </c>
      <c r="BI10">
        <v>-3</v>
      </c>
      <c r="BJ10">
        <v>17</v>
      </c>
      <c r="BK10">
        <v>16</v>
      </c>
      <c r="BL10">
        <v>6</v>
      </c>
      <c r="BM10">
        <v>4.4562022339800132E-2</v>
      </c>
      <c r="BN10">
        <v>18</v>
      </c>
      <c r="BO10">
        <v>4.4292642174541957E-4</v>
      </c>
      <c r="BP10">
        <v>21</v>
      </c>
      <c r="BQ10">
        <v>-0.31111111111110529</v>
      </c>
      <c r="BR10">
        <v>19</v>
      </c>
      <c r="BS10">
        <v>1.5555555555555556</v>
      </c>
      <c r="BT10">
        <v>1.8888888888888857</v>
      </c>
      <c r="BU10">
        <v>2.7777777777777772</v>
      </c>
      <c r="BV10">
        <v>0</v>
      </c>
      <c r="BW10">
        <v>68.555555555555557</v>
      </c>
      <c r="BX10">
        <v>50.333333333333336</v>
      </c>
      <c r="BY10">
        <v>6.7777777777777759</v>
      </c>
      <c r="BZ10">
        <v>-0.88888888888888928</v>
      </c>
      <c r="CA10">
        <v>12.333333333333334</v>
      </c>
      <c r="CB10">
        <v>5</v>
      </c>
      <c r="CC10">
        <v>7.7244444444444458</v>
      </c>
      <c r="CD10">
        <v>2.3148888888888899</v>
      </c>
      <c r="CE10">
        <v>43.555555555555557</v>
      </c>
      <c r="CF10">
        <v>1.682222222222223</v>
      </c>
    </row>
    <row r="11" spans="1:84" x14ac:dyDescent="0.2">
      <c r="A11" s="39">
        <v>43737</v>
      </c>
      <c r="B11" t="s">
        <v>417</v>
      </c>
      <c r="C11" s="41" t="s">
        <v>278</v>
      </c>
      <c r="D11" t="s">
        <v>297</v>
      </c>
      <c r="E11">
        <v>24.2</v>
      </c>
      <c r="F11">
        <v>18.399999999999999</v>
      </c>
      <c r="G11">
        <v>8.6999999999999993</v>
      </c>
      <c r="H11">
        <v>11.1</v>
      </c>
      <c r="I11">
        <v>-2.5</v>
      </c>
      <c r="J11">
        <v>37</v>
      </c>
      <c r="L11" s="1" t="s">
        <v>278</v>
      </c>
      <c r="M11">
        <v>30</v>
      </c>
      <c r="N11">
        <v>-2.7511111111111117</v>
      </c>
      <c r="O11">
        <v>3.8888888888888893</v>
      </c>
      <c r="P11">
        <v>18.333333333333336</v>
      </c>
      <c r="Q11">
        <v>2.666666666666667</v>
      </c>
      <c r="R11">
        <v>2.2555555555555546</v>
      </c>
      <c r="S11">
        <v>23.666666666666668</v>
      </c>
      <c r="T11">
        <v>3.4444444444444446</v>
      </c>
      <c r="U11">
        <v>10</v>
      </c>
      <c r="V11">
        <v>9</v>
      </c>
      <c r="W11">
        <v>-5.5555555555555562</v>
      </c>
      <c r="X11">
        <v>22</v>
      </c>
      <c r="Y11">
        <v>20.25</v>
      </c>
      <c r="Z11">
        <v>15</v>
      </c>
      <c r="AA11">
        <v>-2.0131300757497508E-3</v>
      </c>
      <c r="AB11">
        <v>19</v>
      </c>
      <c r="AC11">
        <v>2.1452605264472912E-2</v>
      </c>
      <c r="AD11">
        <v>28</v>
      </c>
      <c r="AE11">
        <v>9.3555555555555614</v>
      </c>
      <c r="AF11">
        <v>19</v>
      </c>
      <c r="AG11">
        <v>-1.5555555555555554</v>
      </c>
      <c r="AH11">
        <v>3.888888888888888</v>
      </c>
      <c r="AI11">
        <v>-1.5555555555555554</v>
      </c>
      <c r="AJ11">
        <v>0</v>
      </c>
      <c r="AK11">
        <v>0.22222222222222854</v>
      </c>
      <c r="AL11">
        <v>-7.1111111111111143</v>
      </c>
      <c r="AM11">
        <v>12.777777777777777</v>
      </c>
      <c r="AN11">
        <v>-1.0000000000000002</v>
      </c>
      <c r="AO11">
        <v>-4.4444444444444438</v>
      </c>
      <c r="AP11">
        <v>28</v>
      </c>
      <c r="AQ11">
        <v>-6.6400000000000015</v>
      </c>
      <c r="AR11">
        <v>-2.0435555555555558</v>
      </c>
      <c r="AS11">
        <v>-19.888888888888893</v>
      </c>
      <c r="AT11">
        <v>6.6400000000000006</v>
      </c>
      <c r="AU11">
        <v>0.5908333333333331</v>
      </c>
      <c r="AV11">
        <v>-0.77874999999999983</v>
      </c>
      <c r="AW11">
        <v>0.28583333333333316</v>
      </c>
      <c r="AX11" t="s">
        <v>297</v>
      </c>
      <c r="AY11">
        <v>20</v>
      </c>
      <c r="AZ11">
        <v>-4.691111111111109</v>
      </c>
      <c r="BA11">
        <v>-3.2777777777777768</v>
      </c>
      <c r="BB11">
        <v>8.9999999999999982</v>
      </c>
      <c r="BC11">
        <v>-1.4444444444444446</v>
      </c>
      <c r="BD11">
        <v>-7.8888888888888884</v>
      </c>
      <c r="BE11">
        <v>-15.888888888888888</v>
      </c>
      <c r="BF11">
        <v>1</v>
      </c>
      <c r="BG11">
        <v>26</v>
      </c>
      <c r="BH11">
        <v>25</v>
      </c>
      <c r="BI11">
        <v>-2.4444444444444442</v>
      </c>
      <c r="BJ11">
        <v>20</v>
      </c>
      <c r="BK11">
        <v>16.75</v>
      </c>
      <c r="BL11">
        <v>21</v>
      </c>
      <c r="BM11">
        <v>6.905806273540714E-3</v>
      </c>
      <c r="BN11">
        <v>5</v>
      </c>
      <c r="BO11">
        <v>4.9756123671378556E-3</v>
      </c>
      <c r="BP11">
        <v>32</v>
      </c>
      <c r="BQ11">
        <v>-9.5222222222222239</v>
      </c>
      <c r="BR11">
        <v>9</v>
      </c>
      <c r="BS11">
        <v>2.1111111111111112</v>
      </c>
      <c r="BT11">
        <v>4.2222222222222214</v>
      </c>
      <c r="BU11">
        <v>-2.3333333333333335</v>
      </c>
      <c r="BV11">
        <v>-1</v>
      </c>
      <c r="BW11">
        <v>-14.666666666666648</v>
      </c>
      <c r="BX11">
        <v>-17.333333333333325</v>
      </c>
      <c r="BY11">
        <v>8</v>
      </c>
      <c r="BZ11">
        <v>-0.88888888888888884</v>
      </c>
      <c r="CA11">
        <v>-4.4444444444444446</v>
      </c>
      <c r="CB11">
        <v>18</v>
      </c>
      <c r="CC11">
        <v>-1.4133333333333322</v>
      </c>
      <c r="CD11">
        <v>-0.87711111111111117</v>
      </c>
      <c r="CE11">
        <v>-25.333333333333325</v>
      </c>
      <c r="CF11">
        <v>-1.8433333333333328</v>
      </c>
    </row>
    <row r="12" spans="1:84" x14ac:dyDescent="0.2">
      <c r="A12" s="39">
        <v>43737</v>
      </c>
      <c r="B12" s="26" t="s">
        <v>417</v>
      </c>
      <c r="C12" s="41" t="s">
        <v>299</v>
      </c>
      <c r="D12" s="27" t="s">
        <v>288</v>
      </c>
      <c r="E12">
        <v>23.7</v>
      </c>
      <c r="F12" s="14">
        <v>10.7</v>
      </c>
      <c r="G12">
        <v>6.7</v>
      </c>
      <c r="H12" s="14">
        <f>11.7+5.5</f>
        <v>17.2</v>
      </c>
      <c r="I12">
        <v>7.5</v>
      </c>
      <c r="J12">
        <v>54.5</v>
      </c>
      <c r="L12" s="1" t="s">
        <v>299</v>
      </c>
      <c r="M12">
        <v>4</v>
      </c>
      <c r="N12">
        <v>-4.3533333333333308</v>
      </c>
      <c r="O12">
        <v>-4.7666666666666675</v>
      </c>
      <c r="P12">
        <v>-25.222222222222218</v>
      </c>
      <c r="Q12">
        <v>-1.8888888888888891</v>
      </c>
      <c r="R12">
        <v>-3.911111111111111</v>
      </c>
      <c r="S12">
        <v>-2.4444444444444446</v>
      </c>
      <c r="T12">
        <v>2</v>
      </c>
      <c r="U12">
        <v>23</v>
      </c>
      <c r="V12">
        <v>22.5</v>
      </c>
      <c r="W12">
        <v>1.7777777777777777</v>
      </c>
      <c r="X12">
        <v>5</v>
      </c>
      <c r="Y12">
        <v>9</v>
      </c>
      <c r="Z12">
        <v>6</v>
      </c>
      <c r="AA12">
        <v>2.7048694867672549E-3</v>
      </c>
      <c r="AB12">
        <v>12</v>
      </c>
      <c r="AC12">
        <v>-1.7407178087598282E-2</v>
      </c>
      <c r="AD12">
        <v>9</v>
      </c>
      <c r="AE12">
        <v>-9.6333333333333346</v>
      </c>
      <c r="AF12">
        <v>9</v>
      </c>
      <c r="AG12">
        <v>2</v>
      </c>
      <c r="AH12">
        <v>3.2222222222222237</v>
      </c>
      <c r="AI12">
        <v>-4.7777777777777777</v>
      </c>
      <c r="AJ12">
        <v>1.5555555555555554</v>
      </c>
      <c r="AK12">
        <v>-23.777777777777771</v>
      </c>
      <c r="AL12">
        <v>-12.444444444444438</v>
      </c>
      <c r="AM12">
        <v>-1.5555555555555547</v>
      </c>
      <c r="AN12">
        <v>-1.2222222222222221</v>
      </c>
      <c r="AO12">
        <v>-8.5555555555555554</v>
      </c>
      <c r="AP12">
        <v>17</v>
      </c>
      <c r="AQ12">
        <v>0.41333333333333622</v>
      </c>
      <c r="AR12">
        <v>0.73044444444444556</v>
      </c>
      <c r="AS12">
        <v>-10.888888888888882</v>
      </c>
      <c r="AT12">
        <v>-0.41333333333333666</v>
      </c>
      <c r="AU12">
        <v>-1.7122222222222216</v>
      </c>
      <c r="AV12">
        <v>-0.53541666666666665</v>
      </c>
      <c r="AW12">
        <v>-0.67555555555555535</v>
      </c>
      <c r="AX12" t="s">
        <v>288</v>
      </c>
      <c r="AY12">
        <v>7</v>
      </c>
      <c r="AZ12">
        <v>-2.295555555555556</v>
      </c>
      <c r="BA12">
        <v>4.5222222222222221</v>
      </c>
      <c r="BB12">
        <v>20.111111111111111</v>
      </c>
      <c r="BC12">
        <v>1.1111111111111109</v>
      </c>
      <c r="BD12">
        <v>-3.5000000000000009</v>
      </c>
      <c r="BE12">
        <v>3.0000000000000124</v>
      </c>
      <c r="BF12">
        <v>3.4444444444444446</v>
      </c>
      <c r="BG12">
        <v>20</v>
      </c>
      <c r="BH12">
        <v>21</v>
      </c>
      <c r="BI12">
        <v>-5</v>
      </c>
      <c r="BJ12">
        <v>2</v>
      </c>
      <c r="BK12">
        <v>7.25</v>
      </c>
      <c r="BL12">
        <v>4</v>
      </c>
      <c r="BM12">
        <v>2.972728522164127E-2</v>
      </c>
      <c r="BN12">
        <v>13</v>
      </c>
      <c r="BO12">
        <v>3.959466044329364E-3</v>
      </c>
      <c r="BP12">
        <v>3</v>
      </c>
      <c r="BQ12">
        <v>7.2888888888888914</v>
      </c>
      <c r="BR12">
        <v>9</v>
      </c>
      <c r="BS12">
        <v>2.1111111111111112</v>
      </c>
      <c r="BT12">
        <v>1.2222222222222239</v>
      </c>
      <c r="BU12">
        <v>-2.6666666666666656</v>
      </c>
      <c r="BV12">
        <v>0</v>
      </c>
      <c r="BW12">
        <v>19.777777777777789</v>
      </c>
      <c r="BX12">
        <v>12.888888888888886</v>
      </c>
      <c r="BY12">
        <v>15.555555555555552</v>
      </c>
      <c r="BZ12">
        <v>-0.77777777777777779</v>
      </c>
      <c r="CA12">
        <v>-7.8888888888888902</v>
      </c>
      <c r="CB12">
        <v>29</v>
      </c>
      <c r="CC12">
        <v>-6.8177777777777777</v>
      </c>
      <c r="CD12">
        <v>-3.4202222222222223</v>
      </c>
      <c r="CE12">
        <v>-2.6666666666666661</v>
      </c>
      <c r="CF12">
        <v>-0.39527777777777806</v>
      </c>
    </row>
    <row r="13" spans="1:84" x14ac:dyDescent="0.2">
      <c r="A13" s="39">
        <v>43737</v>
      </c>
      <c r="B13" s="26" t="s">
        <v>417</v>
      </c>
      <c r="C13" s="41" t="s">
        <v>300</v>
      </c>
      <c r="D13" s="27" t="s">
        <v>294</v>
      </c>
      <c r="E13">
        <v>31</v>
      </c>
      <c r="F13">
        <v>7.7</v>
      </c>
      <c r="G13" s="14">
        <v>14.9</v>
      </c>
      <c r="H13" s="14">
        <f>18.1+3.9+2.1</f>
        <v>24.1</v>
      </c>
      <c r="I13">
        <v>-3.5</v>
      </c>
      <c r="J13">
        <v>46</v>
      </c>
      <c r="L13" s="1" t="s">
        <v>300</v>
      </c>
      <c r="M13">
        <v>19</v>
      </c>
      <c r="N13">
        <v>-1.5</v>
      </c>
      <c r="O13">
        <v>4.7222222222222232</v>
      </c>
      <c r="P13">
        <v>9.888888888888884</v>
      </c>
      <c r="Q13">
        <v>-1</v>
      </c>
      <c r="R13">
        <v>-9.4333333333333353</v>
      </c>
      <c r="S13">
        <v>-24.444444444444443</v>
      </c>
      <c r="T13">
        <v>-3.2222222222222219</v>
      </c>
      <c r="U13">
        <v>31</v>
      </c>
      <c r="V13">
        <v>31</v>
      </c>
      <c r="W13">
        <v>7.1111111111111107</v>
      </c>
      <c r="X13">
        <v>16</v>
      </c>
      <c r="Y13">
        <v>14.5</v>
      </c>
      <c r="Z13">
        <v>17</v>
      </c>
      <c r="AA13">
        <v>8.5286119491604487E-2</v>
      </c>
      <c r="AB13">
        <v>14</v>
      </c>
      <c r="AC13">
        <v>9.1005310303555933E-3</v>
      </c>
      <c r="AD13">
        <v>3</v>
      </c>
      <c r="AE13">
        <v>-3.4111111111111092</v>
      </c>
      <c r="AF13">
        <v>24</v>
      </c>
      <c r="AG13">
        <v>-2.2222222222222219</v>
      </c>
      <c r="AH13">
        <v>-2.5555555555555571</v>
      </c>
      <c r="AI13">
        <v>2.3333333333333339</v>
      </c>
      <c r="AJ13">
        <v>0</v>
      </c>
      <c r="AK13">
        <v>-32.222222222222207</v>
      </c>
      <c r="AL13">
        <v>-28.333333333333332</v>
      </c>
      <c r="AM13">
        <v>6.4444444444444429</v>
      </c>
      <c r="AN13">
        <v>-7.7777777777777777</v>
      </c>
      <c r="AO13">
        <v>-2.5555555555555554</v>
      </c>
      <c r="AP13">
        <v>27</v>
      </c>
      <c r="AQ13">
        <v>-6.2222222222222232</v>
      </c>
      <c r="AR13">
        <v>-4.5477777777777781</v>
      </c>
      <c r="AS13">
        <v>-34.777777777777771</v>
      </c>
      <c r="AT13">
        <v>6.2222222222222232</v>
      </c>
      <c r="AU13">
        <v>-0.73472222222222239</v>
      </c>
      <c r="AV13">
        <v>-0.66527777777777741</v>
      </c>
      <c r="AW13">
        <v>-1.8408333333333331</v>
      </c>
      <c r="AX13" t="s">
        <v>294</v>
      </c>
      <c r="AY13">
        <v>30</v>
      </c>
      <c r="AZ13">
        <v>-1.7777777777778187E-2</v>
      </c>
      <c r="BA13">
        <v>0.74444444444444557</v>
      </c>
      <c r="BB13">
        <v>-21</v>
      </c>
      <c r="BC13">
        <v>1.5555555555555558</v>
      </c>
      <c r="BD13">
        <v>-0.19999999999999751</v>
      </c>
      <c r="BE13">
        <v>-2.7777777777777768</v>
      </c>
      <c r="BF13">
        <v>0.33333333333333348</v>
      </c>
      <c r="BG13">
        <v>31</v>
      </c>
      <c r="BH13">
        <v>28.5</v>
      </c>
      <c r="BI13">
        <v>2.4444444444444446</v>
      </c>
      <c r="BJ13">
        <v>4</v>
      </c>
      <c r="BK13">
        <v>8.75</v>
      </c>
      <c r="BL13">
        <v>3</v>
      </c>
      <c r="BM13">
        <v>5.2407494609506999E-2</v>
      </c>
      <c r="BN13">
        <v>4</v>
      </c>
      <c r="BO13">
        <v>-1.7389648916996698E-2</v>
      </c>
      <c r="BP13">
        <v>14</v>
      </c>
      <c r="BQ13">
        <v>-6.3333333333333313</v>
      </c>
      <c r="BR13">
        <v>14</v>
      </c>
      <c r="BS13">
        <v>-3.8888888888888893</v>
      </c>
      <c r="BT13">
        <v>-2.6666666666666665</v>
      </c>
      <c r="BU13">
        <v>3.3333333333333335</v>
      </c>
      <c r="BV13">
        <v>1.5555555555555554</v>
      </c>
      <c r="BW13">
        <v>-14.777777777777791</v>
      </c>
      <c r="BX13">
        <v>1.2222222222222285</v>
      </c>
      <c r="BY13">
        <v>-7.4444444444444429</v>
      </c>
      <c r="BZ13">
        <v>-2.3333333333333335</v>
      </c>
      <c r="CA13">
        <v>-6.2222222222222223</v>
      </c>
      <c r="CB13">
        <v>16</v>
      </c>
      <c r="CC13">
        <v>-0.7622222222222238</v>
      </c>
      <c r="CD13">
        <v>-0.41577777777777802</v>
      </c>
      <c r="CE13">
        <v>8.6666666666666714</v>
      </c>
      <c r="CF13">
        <v>0.51027777777777816</v>
      </c>
    </row>
    <row r="14" spans="1:84" x14ac:dyDescent="0.2">
      <c r="A14" s="39">
        <v>43737</v>
      </c>
      <c r="B14" s="26" t="s">
        <v>417</v>
      </c>
      <c r="C14" s="41" t="s">
        <v>311</v>
      </c>
      <c r="D14" s="27" t="s">
        <v>301</v>
      </c>
      <c r="E14">
        <v>8.1</v>
      </c>
      <c r="F14" s="14">
        <v>5.3</v>
      </c>
      <c r="G14">
        <v>4.4000000000000004</v>
      </c>
      <c r="H14" s="14">
        <v>7.3</v>
      </c>
      <c r="I14">
        <v>-5.5</v>
      </c>
      <c r="J14">
        <v>47.5</v>
      </c>
      <c r="K14" t="s">
        <v>109</v>
      </c>
      <c r="L14" s="1" t="s">
        <v>311</v>
      </c>
      <c r="M14">
        <v>6</v>
      </c>
      <c r="N14">
        <v>0.21111111111111094</v>
      </c>
      <c r="O14">
        <v>-4.1222222222222218</v>
      </c>
      <c r="P14">
        <v>0.66666666666666763</v>
      </c>
      <c r="Q14">
        <v>-0.88888888888888873</v>
      </c>
      <c r="R14">
        <v>-0.26666666666666305</v>
      </c>
      <c r="S14">
        <v>-8.0000000000000036</v>
      </c>
      <c r="T14">
        <v>-0.5555555555555558</v>
      </c>
      <c r="U14">
        <v>22</v>
      </c>
      <c r="V14">
        <v>20.5</v>
      </c>
      <c r="W14">
        <v>0.88888888888888895</v>
      </c>
      <c r="X14">
        <v>20</v>
      </c>
      <c r="Y14">
        <v>17.5</v>
      </c>
      <c r="Z14">
        <v>1</v>
      </c>
      <c r="AA14">
        <v>0.10107117619804891</v>
      </c>
      <c r="AB14">
        <v>24</v>
      </c>
      <c r="AC14">
        <v>3.4632654493779058E-2</v>
      </c>
      <c r="AD14">
        <v>15</v>
      </c>
      <c r="AE14">
        <v>-0.44444444444444287</v>
      </c>
      <c r="AF14">
        <v>30</v>
      </c>
      <c r="AG14">
        <v>-0.22222222222222202</v>
      </c>
      <c r="AH14">
        <v>-4.2222222222222214</v>
      </c>
      <c r="AI14">
        <v>-1.6666666666666654</v>
      </c>
      <c r="AJ14">
        <v>0</v>
      </c>
      <c r="AK14">
        <v>-31.777777777777789</v>
      </c>
      <c r="AL14">
        <v>-27.777777777777771</v>
      </c>
      <c r="AM14">
        <v>-2.8888888888888857</v>
      </c>
      <c r="AN14">
        <v>-3.2222222222222228</v>
      </c>
      <c r="AO14">
        <v>2.1111111111111107</v>
      </c>
      <c r="AP14">
        <v>10</v>
      </c>
      <c r="AQ14">
        <v>4.333333333333333</v>
      </c>
      <c r="AR14">
        <v>2.0500000000000007</v>
      </c>
      <c r="AS14">
        <v>-24.888888888888886</v>
      </c>
      <c r="AT14">
        <v>-4.333333333333333</v>
      </c>
      <c r="AU14">
        <v>-0.63333333333333286</v>
      </c>
      <c r="AV14">
        <v>7.4861111111111489E-2</v>
      </c>
      <c r="AW14">
        <v>1.2386111111111113</v>
      </c>
      <c r="AX14" t="s">
        <v>301</v>
      </c>
      <c r="AY14">
        <v>14</v>
      </c>
      <c r="AZ14">
        <v>-3.9333333333333322</v>
      </c>
      <c r="BA14">
        <v>3.5888888888888895</v>
      </c>
      <c r="BB14">
        <v>10.777777777777775</v>
      </c>
      <c r="BC14">
        <v>0.11111111111111105</v>
      </c>
      <c r="BD14">
        <v>-8.6999999999999993</v>
      </c>
      <c r="BE14">
        <v>-56.111111111111107</v>
      </c>
      <c r="BF14">
        <v>-0.88888888888888928</v>
      </c>
      <c r="BG14">
        <v>10</v>
      </c>
      <c r="BH14">
        <v>11.5</v>
      </c>
      <c r="BI14">
        <v>-1.1111111111111107</v>
      </c>
      <c r="BJ14">
        <v>18</v>
      </c>
      <c r="BK14">
        <v>16.25</v>
      </c>
      <c r="BL14">
        <v>18</v>
      </c>
      <c r="BM14">
        <v>-4.7521502819219035E-3</v>
      </c>
      <c r="BN14">
        <v>16</v>
      </c>
      <c r="BO14">
        <v>9.7597416314279765E-3</v>
      </c>
      <c r="BP14">
        <v>8</v>
      </c>
      <c r="BQ14">
        <v>1.8444444444444461</v>
      </c>
      <c r="BR14">
        <v>23</v>
      </c>
      <c r="BS14">
        <v>-1.5555555555555554</v>
      </c>
      <c r="BT14">
        <v>1.222222222222219</v>
      </c>
      <c r="BU14">
        <v>0.88888888888888928</v>
      </c>
      <c r="BV14">
        <v>-0.77777777777777779</v>
      </c>
      <c r="BW14">
        <v>-53</v>
      </c>
      <c r="BX14">
        <v>-72.111111111111128</v>
      </c>
      <c r="BY14">
        <v>10.777777777777779</v>
      </c>
      <c r="BZ14">
        <v>-4</v>
      </c>
      <c r="CA14">
        <v>12.33333333333333</v>
      </c>
      <c r="CB14">
        <v>31</v>
      </c>
      <c r="CC14">
        <v>-7.5222222222222213</v>
      </c>
      <c r="CD14">
        <v>-4.3211111111111107</v>
      </c>
      <c r="CE14">
        <v>-82.888888888888914</v>
      </c>
      <c r="CF14">
        <v>-1.0888888888888884</v>
      </c>
    </row>
    <row r="15" spans="1:84" x14ac:dyDescent="0.2">
      <c r="A15" s="39">
        <v>43737</v>
      </c>
      <c r="B15" s="26" t="s">
        <v>417</v>
      </c>
      <c r="C15" s="41" t="s">
        <v>289</v>
      </c>
      <c r="D15" s="27" t="s">
        <v>303</v>
      </c>
      <c r="E15">
        <v>11.2</v>
      </c>
      <c r="F15">
        <v>13.8</v>
      </c>
      <c r="G15">
        <v>6.5</v>
      </c>
      <c r="H15" s="14">
        <f>12.2+11.8</f>
        <v>24</v>
      </c>
      <c r="I15">
        <v>-5</v>
      </c>
      <c r="J15">
        <v>46</v>
      </c>
      <c r="K15" t="s">
        <v>110</v>
      </c>
      <c r="L15" s="1" t="s">
        <v>289</v>
      </c>
      <c r="M15">
        <v>22</v>
      </c>
      <c r="N15">
        <v>0.57333333333333536</v>
      </c>
      <c r="O15">
        <v>2.9444444444444451</v>
      </c>
      <c r="P15">
        <v>27.222222222222225</v>
      </c>
      <c r="Q15">
        <v>0.33333333333333326</v>
      </c>
      <c r="R15">
        <v>1.4222222222222221</v>
      </c>
      <c r="S15">
        <v>-16.333333333333332</v>
      </c>
      <c r="T15">
        <v>2.3333333333333344</v>
      </c>
      <c r="U15">
        <v>19</v>
      </c>
      <c r="V15">
        <v>19.5</v>
      </c>
      <c r="W15">
        <v>-3</v>
      </c>
      <c r="X15">
        <v>3</v>
      </c>
      <c r="Y15">
        <v>7.75</v>
      </c>
      <c r="Z15">
        <v>4</v>
      </c>
      <c r="AA15">
        <v>-4.3274460607674377E-2</v>
      </c>
      <c r="AB15">
        <v>8</v>
      </c>
      <c r="AC15">
        <v>-1.4720414289998267E-3</v>
      </c>
      <c r="AD15">
        <v>13</v>
      </c>
      <c r="AE15">
        <v>-9.9111111111111132</v>
      </c>
      <c r="AF15">
        <v>6</v>
      </c>
      <c r="AG15">
        <v>-2.6666666666666665</v>
      </c>
      <c r="AH15">
        <v>3.4444444444444429</v>
      </c>
      <c r="AI15">
        <v>2.111111111111112</v>
      </c>
      <c r="AJ15">
        <v>0</v>
      </c>
      <c r="AK15">
        <v>23.111111111111104</v>
      </c>
      <c r="AL15">
        <v>-16.222222222222218</v>
      </c>
      <c r="AM15">
        <v>37.111111111111114</v>
      </c>
      <c r="AN15">
        <v>-2.9605947323337506E-16</v>
      </c>
      <c r="AO15">
        <v>2.2222222222222219</v>
      </c>
      <c r="AP15">
        <v>23</v>
      </c>
      <c r="AQ15">
        <v>-2.3711111111111096</v>
      </c>
      <c r="AR15">
        <v>-1.0731111111111109</v>
      </c>
      <c r="AS15">
        <v>-53.333333333333329</v>
      </c>
      <c r="AT15">
        <v>2.3711111111111096</v>
      </c>
      <c r="AU15">
        <v>0.70083333333333353</v>
      </c>
      <c r="AV15">
        <v>3.6250000000000282E-2</v>
      </c>
      <c r="AW15">
        <v>0.32944444444444476</v>
      </c>
      <c r="AX15" t="s">
        <v>303</v>
      </c>
      <c r="AY15">
        <v>13</v>
      </c>
      <c r="AZ15">
        <v>1.6555555555555579</v>
      </c>
      <c r="BA15">
        <v>-6.6555555555555577</v>
      </c>
      <c r="BB15">
        <v>-22.222222222222221</v>
      </c>
      <c r="BC15">
        <v>-0.44444444444444442</v>
      </c>
      <c r="BD15">
        <v>2.2777777777777795</v>
      </c>
      <c r="BE15">
        <v>-7.2222222222222126</v>
      </c>
      <c r="BF15">
        <v>-2</v>
      </c>
      <c r="BG15">
        <v>27</v>
      </c>
      <c r="BH15">
        <v>25.5</v>
      </c>
      <c r="BI15">
        <v>0.66666666666666685</v>
      </c>
      <c r="BJ15">
        <v>10</v>
      </c>
      <c r="BK15">
        <v>13.25</v>
      </c>
      <c r="BL15">
        <v>12</v>
      </c>
      <c r="BM15">
        <v>-8.6705940329128775E-2</v>
      </c>
      <c r="BN15">
        <v>11</v>
      </c>
      <c r="BO15">
        <v>-1.0207184120227595E-2</v>
      </c>
      <c r="BP15">
        <v>12</v>
      </c>
      <c r="BQ15">
        <v>-2.9111111111111163</v>
      </c>
      <c r="BR15">
        <v>18</v>
      </c>
      <c r="BS15">
        <v>-1.5555555555555554</v>
      </c>
      <c r="BT15">
        <v>-1.5555555555555571</v>
      </c>
      <c r="BU15">
        <v>1.0000000000000007</v>
      </c>
      <c r="BV15">
        <v>0</v>
      </c>
      <c r="BW15">
        <v>-0.44444444444443815</v>
      </c>
      <c r="BX15">
        <v>20.555555555555554</v>
      </c>
      <c r="BY15">
        <v>-17.777777777777775</v>
      </c>
      <c r="BZ15">
        <v>-2.2222222222222219</v>
      </c>
      <c r="CA15">
        <v>-1</v>
      </c>
      <c r="CB15">
        <v>4</v>
      </c>
      <c r="CC15">
        <v>8.3111111111111153</v>
      </c>
      <c r="CD15">
        <v>4.1144444444444463</v>
      </c>
      <c r="CE15">
        <v>38.333333333333329</v>
      </c>
      <c r="CF15">
        <v>-0.2569444444444442</v>
      </c>
    </row>
    <row r="16" spans="1:84" x14ac:dyDescent="0.2">
      <c r="A16" s="39">
        <v>43737</v>
      </c>
      <c r="B16" s="26" t="s">
        <v>417</v>
      </c>
      <c r="C16" s="41" t="s">
        <v>297</v>
      </c>
      <c r="D16" s="27" t="s">
        <v>278</v>
      </c>
      <c r="E16">
        <v>11.6</v>
      </c>
      <c r="F16">
        <v>8.4</v>
      </c>
      <c r="G16">
        <v>2.7</v>
      </c>
      <c r="H16" s="14">
        <f>8.8+4.7</f>
        <v>13.5</v>
      </c>
      <c r="I16">
        <v>2.5</v>
      </c>
      <c r="J16">
        <v>37</v>
      </c>
      <c r="L16" s="1" t="s">
        <v>297</v>
      </c>
      <c r="M16">
        <v>27</v>
      </c>
      <c r="N16">
        <v>1.3888888888888893</v>
      </c>
      <c r="O16">
        <v>-7.4888888888888889</v>
      </c>
      <c r="P16">
        <v>-25.222222222222221</v>
      </c>
      <c r="Q16">
        <v>0</v>
      </c>
      <c r="R16">
        <v>3.9444444444444442</v>
      </c>
      <c r="S16">
        <v>9.7777777777777839</v>
      </c>
      <c r="T16">
        <v>-3.888888888888888</v>
      </c>
      <c r="U16">
        <v>27</v>
      </c>
      <c r="V16">
        <v>27</v>
      </c>
      <c r="W16">
        <v>2.1111111111111112</v>
      </c>
      <c r="X16">
        <v>7</v>
      </c>
      <c r="Y16">
        <v>11.25</v>
      </c>
      <c r="Z16">
        <v>7</v>
      </c>
      <c r="AA16">
        <v>2.342107916190117E-2</v>
      </c>
      <c r="AB16">
        <v>17</v>
      </c>
      <c r="AC16">
        <v>-1.9556832313889508E-2</v>
      </c>
      <c r="AD16">
        <v>18</v>
      </c>
      <c r="AE16">
        <v>1.6444444444444457</v>
      </c>
      <c r="AF16">
        <v>3</v>
      </c>
      <c r="AG16">
        <v>-2.4444444444444442</v>
      </c>
      <c r="AH16">
        <v>-9.3333333333333339</v>
      </c>
      <c r="AI16">
        <v>-0.44444444444444403</v>
      </c>
      <c r="AJ16">
        <v>0</v>
      </c>
      <c r="AK16">
        <v>-36.444444444444436</v>
      </c>
      <c r="AL16">
        <v>-5.5555555555555527</v>
      </c>
      <c r="AM16">
        <v>-36.777777777777779</v>
      </c>
      <c r="AN16">
        <v>-0.11111111111111116</v>
      </c>
      <c r="AO16">
        <v>6.0000000000000009</v>
      </c>
      <c r="AP16">
        <v>3</v>
      </c>
      <c r="AQ16">
        <v>8.8777777777777764</v>
      </c>
      <c r="AR16">
        <v>4.8111111111111109</v>
      </c>
      <c r="AS16">
        <v>31.222222222222225</v>
      </c>
      <c r="AT16">
        <v>-8.8777777777777782</v>
      </c>
      <c r="AU16">
        <v>-4.7222222222222221E-2</v>
      </c>
      <c r="AV16">
        <v>-0.77874999999999983</v>
      </c>
      <c r="AW16">
        <v>-1.8433333333333328</v>
      </c>
      <c r="AX16" t="s">
        <v>278</v>
      </c>
      <c r="AY16">
        <v>15</v>
      </c>
      <c r="AZ16">
        <v>-2.1577777777777771</v>
      </c>
      <c r="BA16">
        <v>3.5000000000000009</v>
      </c>
      <c r="BB16">
        <v>7.2222222222222241</v>
      </c>
      <c r="BC16">
        <v>-1.6666666666666665</v>
      </c>
      <c r="BD16">
        <v>-3.6111111111111134</v>
      </c>
      <c r="BE16">
        <v>-0.11111111111111222</v>
      </c>
      <c r="BF16">
        <v>-2.1111111111111112</v>
      </c>
      <c r="BG16">
        <v>9</v>
      </c>
      <c r="BH16">
        <v>9.5</v>
      </c>
      <c r="BI16">
        <v>-1.5555555555555554</v>
      </c>
      <c r="BJ16">
        <v>12</v>
      </c>
      <c r="BK16">
        <v>14.5</v>
      </c>
      <c r="BL16">
        <v>25</v>
      </c>
      <c r="BM16">
        <v>-5.7999190067827743E-2</v>
      </c>
      <c r="BN16">
        <v>6</v>
      </c>
      <c r="BO16">
        <v>-6.1172051050811277E-2</v>
      </c>
      <c r="BP16">
        <v>10</v>
      </c>
      <c r="BQ16">
        <v>-5.4555555555555557</v>
      </c>
      <c r="BR16">
        <v>17</v>
      </c>
      <c r="BS16">
        <v>-5.5555555555555562</v>
      </c>
      <c r="BT16">
        <v>-4.7777777777777786</v>
      </c>
      <c r="BU16">
        <v>5.7777777777777786</v>
      </c>
      <c r="BV16">
        <v>-0.77777777777777779</v>
      </c>
      <c r="BW16">
        <v>3.2222222222222285</v>
      </c>
      <c r="BX16">
        <v>-9.2222222222222197</v>
      </c>
      <c r="BY16">
        <v>3.4444444444444451</v>
      </c>
      <c r="BZ16">
        <v>11.33333333333333</v>
      </c>
      <c r="CA16">
        <v>-2.3333333333333335</v>
      </c>
      <c r="CB16">
        <v>25</v>
      </c>
      <c r="CC16">
        <v>-5.6577777777777785</v>
      </c>
      <c r="CD16">
        <v>-2.9037777777777789</v>
      </c>
      <c r="CE16">
        <v>-12.666666666666664</v>
      </c>
      <c r="CF16">
        <v>0.28583333333333316</v>
      </c>
    </row>
    <row r="17" spans="1:84" x14ac:dyDescent="0.2">
      <c r="A17" s="39">
        <v>43737</v>
      </c>
      <c r="B17" s="26" t="s">
        <v>417</v>
      </c>
      <c r="C17" s="41" t="s">
        <v>288</v>
      </c>
      <c r="D17" s="27" t="s">
        <v>299</v>
      </c>
      <c r="E17">
        <v>7.4</v>
      </c>
      <c r="F17">
        <v>7.5</v>
      </c>
      <c r="G17" s="14">
        <v>1.9</v>
      </c>
      <c r="H17" s="14">
        <v>21.8</v>
      </c>
      <c r="I17">
        <v>-7.5</v>
      </c>
      <c r="J17">
        <v>54.5</v>
      </c>
      <c r="L17" s="1" t="s">
        <v>288</v>
      </c>
      <c r="M17">
        <v>8</v>
      </c>
      <c r="N17">
        <v>11.582222222222223</v>
      </c>
      <c r="O17">
        <v>6.7444444444444436</v>
      </c>
      <c r="P17">
        <v>4.0000000000000018</v>
      </c>
      <c r="Q17">
        <v>2.5555555555555554</v>
      </c>
      <c r="R17">
        <v>24.788888888888895</v>
      </c>
      <c r="S17">
        <v>101.66666666666669</v>
      </c>
      <c r="T17">
        <v>3.8888888888888888</v>
      </c>
      <c r="U17">
        <v>15</v>
      </c>
      <c r="V17">
        <v>14.5</v>
      </c>
      <c r="W17">
        <v>2.1111111111111112</v>
      </c>
      <c r="X17">
        <v>29</v>
      </c>
      <c r="Y17">
        <v>25</v>
      </c>
      <c r="Z17">
        <v>26</v>
      </c>
      <c r="AA17">
        <v>-0.10158049686351572</v>
      </c>
      <c r="AB17">
        <v>23</v>
      </c>
      <c r="AC17">
        <v>-4.2315071888492727E-2</v>
      </c>
      <c r="AD17">
        <v>25</v>
      </c>
      <c r="AE17">
        <v>18.255555555555556</v>
      </c>
      <c r="AF17">
        <v>26</v>
      </c>
      <c r="AG17">
        <v>-5</v>
      </c>
      <c r="AH17">
        <v>3.2222222222222214</v>
      </c>
      <c r="AI17">
        <v>10.222222222222223</v>
      </c>
      <c r="AJ17">
        <v>0</v>
      </c>
      <c r="AK17">
        <v>105.77777777777777</v>
      </c>
      <c r="AL17">
        <v>105.11111111111113</v>
      </c>
      <c r="AM17">
        <v>2.7777777777777808</v>
      </c>
      <c r="AN17">
        <v>3</v>
      </c>
      <c r="AO17">
        <v>-5.1111111111111107</v>
      </c>
      <c r="AP17">
        <v>7</v>
      </c>
      <c r="AQ17">
        <v>4.8377777777777791</v>
      </c>
      <c r="AR17">
        <v>3.9020000000000019</v>
      </c>
      <c r="AS17">
        <v>102.33333333333334</v>
      </c>
      <c r="AT17">
        <v>-4.8377777777777791</v>
      </c>
      <c r="AU17">
        <v>5.6255555555555565</v>
      </c>
      <c r="AV17">
        <v>-0.53541666666666665</v>
      </c>
      <c r="AW17">
        <v>-0.39527777777777806</v>
      </c>
      <c r="AX17" t="s">
        <v>299</v>
      </c>
      <c r="AY17">
        <v>3</v>
      </c>
      <c r="AZ17">
        <v>-2.3155555555555534</v>
      </c>
      <c r="BA17">
        <v>3.9444444444444451</v>
      </c>
      <c r="BB17">
        <v>28.777777777777779</v>
      </c>
      <c r="BC17">
        <v>-1.0000000000000002</v>
      </c>
      <c r="BD17">
        <v>-7.1444444444444457</v>
      </c>
      <c r="BE17">
        <v>-20.222222222222221</v>
      </c>
      <c r="BF17">
        <v>0.66666666666666674</v>
      </c>
      <c r="BG17">
        <v>12</v>
      </c>
      <c r="BH17">
        <v>12.5</v>
      </c>
      <c r="BI17">
        <v>2</v>
      </c>
      <c r="BJ17">
        <v>24</v>
      </c>
      <c r="BK17">
        <v>21</v>
      </c>
      <c r="BL17">
        <v>26</v>
      </c>
      <c r="BM17">
        <v>-3.1128417857400632E-2</v>
      </c>
      <c r="BN17">
        <v>23</v>
      </c>
      <c r="BO17">
        <v>-1.4308179436437694E-2</v>
      </c>
      <c r="BP17">
        <v>5</v>
      </c>
      <c r="BQ17">
        <v>-13.433333333333332</v>
      </c>
      <c r="BR17">
        <v>30</v>
      </c>
      <c r="BS17">
        <v>1.7777777777777777</v>
      </c>
      <c r="BT17">
        <v>3.1111111111111072</v>
      </c>
      <c r="BU17">
        <v>-1.8888888888888882</v>
      </c>
      <c r="BV17">
        <v>0</v>
      </c>
      <c r="BW17">
        <v>23.777777777777789</v>
      </c>
      <c r="BX17">
        <v>-2.3333333333333521</v>
      </c>
      <c r="BY17">
        <v>21.777777777777782</v>
      </c>
      <c r="BZ17">
        <v>2.1111111111111112</v>
      </c>
      <c r="CA17">
        <v>2.2222222222222228</v>
      </c>
      <c r="CB17">
        <v>27</v>
      </c>
      <c r="CC17">
        <v>-6.259999999999998</v>
      </c>
      <c r="CD17">
        <v>-3.8642222222222227</v>
      </c>
      <c r="CE17">
        <v>-24.111111111111136</v>
      </c>
      <c r="CF17">
        <v>-0.67555555555555535</v>
      </c>
    </row>
    <row r="18" spans="1:84" x14ac:dyDescent="0.2">
      <c r="A18" s="39">
        <v>43737</v>
      </c>
      <c r="B18" s="26" t="s">
        <v>417</v>
      </c>
      <c r="C18" s="41" t="s">
        <v>303</v>
      </c>
      <c r="D18" s="27" t="s">
        <v>289</v>
      </c>
      <c r="E18">
        <v>12.6</v>
      </c>
      <c r="F18">
        <v>3.8</v>
      </c>
      <c r="G18">
        <v>13.4</v>
      </c>
      <c r="H18" s="14">
        <f>12.3+12</f>
        <v>24.3</v>
      </c>
      <c r="I18">
        <v>5</v>
      </c>
      <c r="J18">
        <v>46</v>
      </c>
      <c r="K18" t="s">
        <v>110</v>
      </c>
      <c r="L18" s="1" t="s">
        <v>303</v>
      </c>
      <c r="M18">
        <v>29</v>
      </c>
      <c r="N18">
        <v>-2.42</v>
      </c>
      <c r="O18">
        <v>-6.8</v>
      </c>
      <c r="P18">
        <v>-9.2222222222222214</v>
      </c>
      <c r="Q18">
        <v>-2.3333333333333339</v>
      </c>
      <c r="R18">
        <v>4.4444444444444446</v>
      </c>
      <c r="S18">
        <v>4.3333333333333357</v>
      </c>
      <c r="T18">
        <v>1.3333333333333337</v>
      </c>
      <c r="U18">
        <v>19</v>
      </c>
      <c r="V18">
        <v>19.5</v>
      </c>
      <c r="W18">
        <v>-1.5555555555555554</v>
      </c>
      <c r="X18">
        <v>19</v>
      </c>
      <c r="Y18">
        <v>17.25</v>
      </c>
      <c r="Z18">
        <v>14</v>
      </c>
      <c r="AA18">
        <v>-7.8911514042612305E-2</v>
      </c>
      <c r="AB18">
        <v>21</v>
      </c>
      <c r="AC18">
        <v>1.4589587861721679E-2</v>
      </c>
      <c r="AD18">
        <v>32</v>
      </c>
      <c r="AE18">
        <v>13.333333333333337</v>
      </c>
      <c r="AF18">
        <v>2</v>
      </c>
      <c r="AG18">
        <v>0.66666666666666685</v>
      </c>
      <c r="AH18">
        <v>-3.111111111111112</v>
      </c>
      <c r="AI18">
        <v>-3.7777777777777768</v>
      </c>
      <c r="AJ18">
        <v>0</v>
      </c>
      <c r="AK18">
        <v>-20.888888888888875</v>
      </c>
      <c r="AL18">
        <v>-9.6666666666666661</v>
      </c>
      <c r="AM18">
        <v>-0.7777777777777809</v>
      </c>
      <c r="AN18">
        <v>-5.666666666666667</v>
      </c>
      <c r="AO18">
        <v>-4.7777777777777777</v>
      </c>
      <c r="AP18">
        <v>9</v>
      </c>
      <c r="AQ18">
        <v>4.38</v>
      </c>
      <c r="AR18">
        <v>3.8048888888888888</v>
      </c>
      <c r="AS18">
        <v>-8.8888888888888857</v>
      </c>
      <c r="AT18">
        <v>-4.38</v>
      </c>
      <c r="AU18">
        <v>-0.83305555555555555</v>
      </c>
      <c r="AV18">
        <v>3.6250000000000282E-2</v>
      </c>
      <c r="AW18">
        <v>-0.2569444444444442</v>
      </c>
      <c r="AX18" t="s">
        <v>289</v>
      </c>
      <c r="AY18">
        <v>25</v>
      </c>
      <c r="AZ18">
        <v>0.93555555555555614</v>
      </c>
      <c r="BA18">
        <v>3.6222222222222227</v>
      </c>
      <c r="BB18">
        <v>16.333333333333332</v>
      </c>
      <c r="BC18">
        <v>-0.11111111111111122</v>
      </c>
      <c r="BD18">
        <v>-2.2555555555555542</v>
      </c>
      <c r="BE18">
        <v>-15.111111111111111</v>
      </c>
      <c r="BF18">
        <v>-3.5555555555555562</v>
      </c>
      <c r="BG18">
        <v>5</v>
      </c>
      <c r="BH18">
        <v>4.5</v>
      </c>
      <c r="BI18">
        <v>-2.6666666666666665</v>
      </c>
      <c r="BJ18">
        <v>28</v>
      </c>
      <c r="BK18">
        <v>23</v>
      </c>
      <c r="BL18">
        <v>27</v>
      </c>
      <c r="BM18">
        <v>-5.3848962439806913E-2</v>
      </c>
      <c r="BN18">
        <v>18</v>
      </c>
      <c r="BO18">
        <v>-9.9161924054343795E-3</v>
      </c>
      <c r="BP18">
        <v>26</v>
      </c>
      <c r="BQ18">
        <v>21.211111111111112</v>
      </c>
      <c r="BR18">
        <v>21</v>
      </c>
      <c r="BS18">
        <v>-3</v>
      </c>
      <c r="BT18">
        <v>-5.7777777777777786</v>
      </c>
      <c r="BU18">
        <v>2.4444444444444442</v>
      </c>
      <c r="BV18">
        <v>-1</v>
      </c>
      <c r="BW18">
        <v>-8.4444444444444375</v>
      </c>
      <c r="BX18">
        <v>-22.777777777777782</v>
      </c>
      <c r="BY18">
        <v>17.666666666666668</v>
      </c>
      <c r="BZ18">
        <v>-0.66666666666666663</v>
      </c>
      <c r="CA18">
        <v>-2.6666666666666665</v>
      </c>
      <c r="CB18">
        <v>21</v>
      </c>
      <c r="CC18">
        <v>-2.6866666666666665</v>
      </c>
      <c r="CD18">
        <v>-2.0751111111111111</v>
      </c>
      <c r="CE18">
        <v>-40.44444444444445</v>
      </c>
      <c r="CF18">
        <v>0.32944444444444476</v>
      </c>
    </row>
    <row r="19" spans="1:84" x14ac:dyDescent="0.2">
      <c r="A19" s="39">
        <v>43737</v>
      </c>
      <c r="B19" s="26" t="s">
        <v>417</v>
      </c>
      <c r="C19" s="41" t="s">
        <v>287</v>
      </c>
      <c r="D19" s="26" t="s">
        <v>293</v>
      </c>
      <c r="E19">
        <v>9.8000000000000007</v>
      </c>
      <c r="F19">
        <v>12.6</v>
      </c>
      <c r="G19">
        <v>4.5</v>
      </c>
      <c r="H19" s="14">
        <f>5.7+2.2</f>
        <v>7.9</v>
      </c>
      <c r="I19" s="8">
        <v>-15</v>
      </c>
      <c r="J19" s="8">
        <v>43.5</v>
      </c>
      <c r="L19" s="1" t="s">
        <v>287</v>
      </c>
      <c r="M19">
        <v>28</v>
      </c>
      <c r="N19">
        <v>-0.53333333333333444</v>
      </c>
      <c r="O19">
        <v>7.5777777777777793</v>
      </c>
      <c r="P19">
        <v>6.8888888888888875</v>
      </c>
      <c r="Q19">
        <v>1.9999999999999996</v>
      </c>
      <c r="R19">
        <v>-1.2888888888888883</v>
      </c>
      <c r="S19">
        <v>19.666666666666664</v>
      </c>
      <c r="T19">
        <v>-1.555555555555556</v>
      </c>
      <c r="U19">
        <v>4</v>
      </c>
      <c r="V19">
        <v>7</v>
      </c>
      <c r="W19">
        <v>-0.55555555555555547</v>
      </c>
      <c r="X19">
        <v>10</v>
      </c>
      <c r="Y19">
        <v>12.75</v>
      </c>
      <c r="Z19">
        <v>24</v>
      </c>
      <c r="AA19">
        <v>5.5579323250103653E-2</v>
      </c>
      <c r="AB19">
        <v>12</v>
      </c>
      <c r="AC19">
        <v>6.6920502656906758E-3</v>
      </c>
      <c r="AD19">
        <v>7</v>
      </c>
      <c r="AE19">
        <v>7.1444444444444484</v>
      </c>
      <c r="AF19">
        <v>8</v>
      </c>
      <c r="AG19">
        <v>1</v>
      </c>
      <c r="AH19">
        <v>-0.44444444444444525</v>
      </c>
      <c r="AI19">
        <v>-1.555555555555556</v>
      </c>
      <c r="AJ19">
        <v>0</v>
      </c>
      <c r="AK19">
        <v>26.444444444444457</v>
      </c>
      <c r="AL19">
        <v>31.111111111111104</v>
      </c>
      <c r="AM19">
        <v>6.4444444444444429</v>
      </c>
      <c r="AN19">
        <v>-1</v>
      </c>
      <c r="AO19">
        <v>-10.111111111111109</v>
      </c>
      <c r="AP19">
        <v>29</v>
      </c>
      <c r="AQ19">
        <v>-8.1111111111111143</v>
      </c>
      <c r="AR19">
        <v>-4.1533333333333342</v>
      </c>
      <c r="AS19">
        <v>24.666666666666661</v>
      </c>
      <c r="AT19">
        <v>8.1111111111111143</v>
      </c>
      <c r="AU19">
        <v>0.52500000000000024</v>
      </c>
      <c r="AV19">
        <v>0.45972222222222225</v>
      </c>
      <c r="AW19">
        <v>0.36416666666666669</v>
      </c>
      <c r="AX19" t="s">
        <v>293</v>
      </c>
      <c r="AY19">
        <v>2</v>
      </c>
      <c r="AZ19">
        <v>1.3511111111111116</v>
      </c>
      <c r="BA19">
        <v>6.6555555555555532</v>
      </c>
      <c r="BB19">
        <v>50</v>
      </c>
      <c r="BC19">
        <v>-0.88888888888888884</v>
      </c>
      <c r="BD19">
        <v>-3.4533333333333323</v>
      </c>
      <c r="BE19">
        <v>-10.777777777777771</v>
      </c>
      <c r="BF19">
        <v>-3.8888888888888884</v>
      </c>
      <c r="BG19">
        <v>1</v>
      </c>
      <c r="BH19">
        <v>1.5</v>
      </c>
      <c r="BI19">
        <v>10.222222222222223</v>
      </c>
      <c r="BJ19">
        <v>31</v>
      </c>
      <c r="BK19">
        <v>29</v>
      </c>
      <c r="BL19">
        <v>29</v>
      </c>
      <c r="BM19">
        <v>-4.5517251399603459E-4</v>
      </c>
      <c r="BN19">
        <v>32</v>
      </c>
      <c r="BO19">
        <v>1.1200092376562968E-2</v>
      </c>
      <c r="BP19">
        <v>30</v>
      </c>
      <c r="BQ19">
        <v>2.8000000000000043</v>
      </c>
      <c r="BR19">
        <v>25</v>
      </c>
      <c r="BS19">
        <v>-1.5555555555555554</v>
      </c>
      <c r="BT19">
        <v>-0.77777777777777624</v>
      </c>
      <c r="BU19">
        <v>6.4444444444444438</v>
      </c>
      <c r="BV19">
        <v>3.1111111111111107</v>
      </c>
      <c r="BW19">
        <v>9</v>
      </c>
      <c r="BX19">
        <v>-22.888888888888896</v>
      </c>
      <c r="BY19">
        <v>55.333333333333336</v>
      </c>
      <c r="BZ19">
        <v>-1.2222222222222221</v>
      </c>
      <c r="CA19">
        <v>-22.222222222222225</v>
      </c>
      <c r="CB19">
        <v>24</v>
      </c>
      <c r="CC19">
        <v>-5.3044444444444423</v>
      </c>
      <c r="CD19">
        <v>-3.7482222222222208</v>
      </c>
      <c r="CE19">
        <v>-78.222222222222229</v>
      </c>
      <c r="CF19">
        <v>0.55527777777777776</v>
      </c>
    </row>
    <row r="20" spans="1:84" x14ac:dyDescent="0.2">
      <c r="A20" s="39">
        <v>43737</v>
      </c>
      <c r="B20" s="26" t="s">
        <v>417</v>
      </c>
      <c r="C20" s="41" t="s">
        <v>304</v>
      </c>
      <c r="D20" s="27" t="s">
        <v>284</v>
      </c>
      <c r="E20" s="14">
        <v>29.9</v>
      </c>
      <c r="F20">
        <v>32.4</v>
      </c>
      <c r="G20">
        <v>13.1</v>
      </c>
      <c r="H20" s="14">
        <f>15.4+8.1</f>
        <v>23.5</v>
      </c>
      <c r="I20">
        <v>-9</v>
      </c>
      <c r="J20">
        <v>48.5</v>
      </c>
      <c r="K20" t="s">
        <v>109</v>
      </c>
      <c r="L20" s="1" t="s">
        <v>304</v>
      </c>
      <c r="M20">
        <v>25</v>
      </c>
      <c r="N20">
        <v>-5.1111111111111116</v>
      </c>
      <c r="O20">
        <v>-3.133333333333332</v>
      </c>
      <c r="P20">
        <v>8.3333333333333357</v>
      </c>
      <c r="Q20">
        <v>-3</v>
      </c>
      <c r="R20">
        <v>8.1555555555555603</v>
      </c>
      <c r="S20">
        <v>31.777777777777779</v>
      </c>
      <c r="T20">
        <v>5.4444444444444446</v>
      </c>
      <c r="U20">
        <v>16</v>
      </c>
      <c r="V20">
        <v>15.5</v>
      </c>
      <c r="W20">
        <v>1.2222222222222221</v>
      </c>
      <c r="X20">
        <v>23</v>
      </c>
      <c r="Y20">
        <v>20.5</v>
      </c>
      <c r="Z20">
        <v>32</v>
      </c>
      <c r="AA20">
        <v>1.6943779085167737E-2</v>
      </c>
      <c r="AB20">
        <v>29</v>
      </c>
      <c r="AC20">
        <v>-3.5877558081643772E-2</v>
      </c>
      <c r="AD20">
        <v>8</v>
      </c>
      <c r="AE20">
        <v>-8.5888888888888868</v>
      </c>
      <c r="AF20">
        <v>13</v>
      </c>
      <c r="AG20">
        <v>-1.8888888888888886</v>
      </c>
      <c r="AH20">
        <v>1.3333333333333357</v>
      </c>
      <c r="AI20">
        <v>2.4444444444444451</v>
      </c>
      <c r="AJ20">
        <v>-1</v>
      </c>
      <c r="AK20">
        <v>-1.5555555555555618</v>
      </c>
      <c r="AL20">
        <v>-3.1111111111111143</v>
      </c>
      <c r="AM20">
        <v>8.3333333333333339</v>
      </c>
      <c r="AN20">
        <v>12</v>
      </c>
      <c r="AO20">
        <v>-18.777777777777779</v>
      </c>
      <c r="AP20">
        <v>22</v>
      </c>
      <c r="AQ20">
        <v>-1.9777777777777796</v>
      </c>
      <c r="AR20">
        <v>2.1755555555555555</v>
      </c>
      <c r="AS20">
        <v>-11.444444444444448</v>
      </c>
      <c r="AT20">
        <v>1.9777777777777796</v>
      </c>
      <c r="AU20">
        <v>0.3500000000000007</v>
      </c>
      <c r="AV20">
        <v>-1.4768055555555555</v>
      </c>
      <c r="AW20">
        <v>-2.2025000000000001</v>
      </c>
      <c r="AX20" t="s">
        <v>284</v>
      </c>
      <c r="AY20">
        <v>4</v>
      </c>
      <c r="AZ20">
        <v>3.5688888888888908</v>
      </c>
      <c r="BA20">
        <v>-16.033333333333331</v>
      </c>
      <c r="BB20">
        <v>-60.5</v>
      </c>
      <c r="BC20">
        <v>-0.83333333333333337</v>
      </c>
      <c r="BD20">
        <v>3.7888888888888892</v>
      </c>
      <c r="BE20">
        <v>25.555555555555557</v>
      </c>
      <c r="BF20">
        <v>3.7777777777777777</v>
      </c>
      <c r="BG20">
        <v>16</v>
      </c>
      <c r="BH20">
        <v>14</v>
      </c>
      <c r="BI20">
        <v>5.666666666666667</v>
      </c>
      <c r="BJ20">
        <v>10</v>
      </c>
      <c r="BK20">
        <v>13.25</v>
      </c>
      <c r="BL20">
        <v>9</v>
      </c>
      <c r="BM20">
        <v>4.8739003752895228E-2</v>
      </c>
      <c r="BN20">
        <v>26</v>
      </c>
      <c r="BO20">
        <v>2.4291530231678918E-2</v>
      </c>
      <c r="BP20">
        <v>6</v>
      </c>
      <c r="BQ20">
        <v>5.8999999999999986</v>
      </c>
      <c r="BR20">
        <v>12</v>
      </c>
      <c r="BS20">
        <v>3.1111111111111107</v>
      </c>
      <c r="BT20">
        <v>-1.1111111111111096</v>
      </c>
      <c r="BU20">
        <v>-4.333333333333333</v>
      </c>
      <c r="BV20">
        <v>3.5555555555555554</v>
      </c>
      <c r="BW20">
        <v>-62.777777777777771</v>
      </c>
      <c r="BX20">
        <v>2.5555555555555522</v>
      </c>
      <c r="BY20">
        <v>-69.555555555555557</v>
      </c>
      <c r="BZ20">
        <v>0.77777777777777779</v>
      </c>
      <c r="CA20">
        <v>3.4444444444444446</v>
      </c>
      <c r="CB20">
        <v>1</v>
      </c>
      <c r="CC20">
        <v>19.602222222222224</v>
      </c>
      <c r="CD20">
        <v>9.4882222222222214</v>
      </c>
      <c r="CE20">
        <v>72.111111111111114</v>
      </c>
      <c r="CF20">
        <v>-0.75111111111111084</v>
      </c>
    </row>
    <row r="21" spans="1:84" x14ac:dyDescent="0.2">
      <c r="A21" s="39">
        <v>43737</v>
      </c>
      <c r="B21" s="31" t="s">
        <v>417</v>
      </c>
      <c r="C21" s="41" t="s">
        <v>293</v>
      </c>
      <c r="D21" s="32" t="s">
        <v>287</v>
      </c>
      <c r="E21" s="30">
        <v>8.6</v>
      </c>
      <c r="F21" s="3">
        <v>17</v>
      </c>
      <c r="G21" s="30">
        <v>1.4</v>
      </c>
      <c r="H21" s="30">
        <v>1.9</v>
      </c>
      <c r="I21" s="3">
        <v>15</v>
      </c>
      <c r="J21" s="3">
        <v>43.5</v>
      </c>
      <c r="K21" s="3"/>
      <c r="L21" s="1" t="s">
        <v>293</v>
      </c>
      <c r="M21">
        <v>2</v>
      </c>
      <c r="N21">
        <v>-5.339999999999999</v>
      </c>
      <c r="O21">
        <v>-6.3</v>
      </c>
      <c r="P21">
        <v>-19.555555555555557</v>
      </c>
      <c r="Q21">
        <v>0.77777777777777768</v>
      </c>
      <c r="R21">
        <v>-10.677777777777777</v>
      </c>
      <c r="S21">
        <v>-38.555555555555557</v>
      </c>
      <c r="T21">
        <v>-0.8888888888888884</v>
      </c>
      <c r="U21">
        <v>13</v>
      </c>
      <c r="V21">
        <v>12</v>
      </c>
      <c r="W21">
        <v>-1.5555555555555554</v>
      </c>
      <c r="X21">
        <v>16</v>
      </c>
      <c r="Y21">
        <v>14.5</v>
      </c>
      <c r="Z21">
        <v>12</v>
      </c>
      <c r="AA21">
        <v>8.8135235478719362E-2</v>
      </c>
      <c r="AB21">
        <v>10</v>
      </c>
      <c r="AC21">
        <v>2.7663112087251276E-2</v>
      </c>
      <c r="AD21">
        <v>14</v>
      </c>
      <c r="AE21">
        <v>-20.599999999999998</v>
      </c>
      <c r="AF21">
        <v>22</v>
      </c>
      <c r="AG21">
        <v>10.222222222222223</v>
      </c>
      <c r="AH21">
        <v>0.5555555555555548</v>
      </c>
      <c r="AI21">
        <v>-6.5555555555555545</v>
      </c>
      <c r="AJ21">
        <v>-1.5555555555555556</v>
      </c>
      <c r="AK21">
        <v>-65.222222222222243</v>
      </c>
      <c r="AL21">
        <v>-47.888888888888886</v>
      </c>
      <c r="AM21">
        <v>-17.666666666666668</v>
      </c>
      <c r="AN21">
        <v>-2.3333333333333335</v>
      </c>
      <c r="AO21">
        <v>2.6666666666666665</v>
      </c>
      <c r="AP21">
        <v>16</v>
      </c>
      <c r="AQ21">
        <v>0.96000000000000085</v>
      </c>
      <c r="AR21">
        <v>-5.355555555555469E-2</v>
      </c>
      <c r="AS21">
        <v>-30.222222222222218</v>
      </c>
      <c r="AT21">
        <v>-0.96000000000000085</v>
      </c>
      <c r="AU21">
        <v>-2.9008333333333329</v>
      </c>
      <c r="AV21">
        <v>0.45972222222222225</v>
      </c>
      <c r="AW21">
        <v>0.55527777777777776</v>
      </c>
      <c r="AX21" t="s">
        <v>287</v>
      </c>
      <c r="AY21">
        <v>26</v>
      </c>
      <c r="AZ21">
        <v>-0.3977777777777784</v>
      </c>
      <c r="BA21">
        <v>3.9444444444444455</v>
      </c>
      <c r="BB21">
        <v>2.8888888888888893</v>
      </c>
      <c r="BC21">
        <v>-0.5</v>
      </c>
      <c r="BD21">
        <v>2.0333333333333332</v>
      </c>
      <c r="BE21">
        <v>14.111111111111109</v>
      </c>
      <c r="BF21">
        <v>-2.0000000000000004</v>
      </c>
      <c r="BG21">
        <v>3</v>
      </c>
      <c r="BH21">
        <v>3.5</v>
      </c>
      <c r="BI21">
        <v>1</v>
      </c>
      <c r="BJ21">
        <v>25</v>
      </c>
      <c r="BK21">
        <v>21.5</v>
      </c>
      <c r="BL21">
        <v>20</v>
      </c>
      <c r="BM21">
        <v>-5.6021144884129105E-2</v>
      </c>
      <c r="BN21">
        <v>25</v>
      </c>
      <c r="BO21">
        <v>-2.0321506042264178E-2</v>
      </c>
      <c r="BP21">
        <v>18</v>
      </c>
      <c r="BQ21">
        <v>3.8555555555555592</v>
      </c>
      <c r="BR21">
        <v>23</v>
      </c>
      <c r="BS21">
        <v>-0.55555555555555547</v>
      </c>
      <c r="BT21">
        <v>-4.333333333333333</v>
      </c>
      <c r="BU21">
        <v>-0.66666666666666663</v>
      </c>
      <c r="BV21">
        <v>-0.77777777777777779</v>
      </c>
      <c r="BW21">
        <v>3</v>
      </c>
      <c r="BX21">
        <v>11.444444444444448</v>
      </c>
      <c r="BY21">
        <v>-7.6666666666666616</v>
      </c>
      <c r="BZ21">
        <v>1.1111111111111109</v>
      </c>
      <c r="CA21">
        <v>-1.8888888888888886</v>
      </c>
      <c r="CB21">
        <v>22</v>
      </c>
      <c r="CC21">
        <v>-4.3422222222222242</v>
      </c>
      <c r="CD21">
        <v>-1.6451111111111119</v>
      </c>
      <c r="CE21">
        <v>19.111111111111111</v>
      </c>
      <c r="CF21">
        <v>0.36416666666666669</v>
      </c>
    </row>
    <row r="22" spans="1:84" x14ac:dyDescent="0.2">
      <c r="A22" s="39">
        <v>43737</v>
      </c>
      <c r="B22" s="26" t="s">
        <v>417</v>
      </c>
      <c r="C22" s="41" t="s">
        <v>312</v>
      </c>
      <c r="D22" s="27" t="s">
        <v>265</v>
      </c>
      <c r="E22">
        <v>2.6</v>
      </c>
      <c r="F22">
        <v>19.8</v>
      </c>
      <c r="G22">
        <v>7.5</v>
      </c>
      <c r="H22" s="14">
        <f>2.2+1.5</f>
        <v>3.7</v>
      </c>
      <c r="I22">
        <v>-1</v>
      </c>
      <c r="J22">
        <v>38</v>
      </c>
      <c r="K22" t="s">
        <v>110</v>
      </c>
      <c r="L22" s="1" t="s">
        <v>312</v>
      </c>
      <c r="M22">
        <v>16</v>
      </c>
      <c r="N22">
        <v>-3.7133333333333329</v>
      </c>
      <c r="O22">
        <v>10.111111111111112</v>
      </c>
      <c r="P22">
        <v>68.555555555555557</v>
      </c>
      <c r="Q22">
        <v>-3.333333333333333</v>
      </c>
      <c r="R22">
        <v>-9.8777777777777764</v>
      </c>
      <c r="S22">
        <v>-39.777777777777786</v>
      </c>
      <c r="T22">
        <v>-6.5555555555555554</v>
      </c>
      <c r="U22">
        <v>26</v>
      </c>
      <c r="V22">
        <v>25</v>
      </c>
      <c r="W22">
        <v>3.2222222222222219</v>
      </c>
      <c r="X22">
        <v>28</v>
      </c>
      <c r="Y22">
        <v>24.5</v>
      </c>
      <c r="Z22">
        <v>22</v>
      </c>
      <c r="AA22">
        <v>0.10612963571833745</v>
      </c>
      <c r="AB22">
        <v>27</v>
      </c>
      <c r="AC22">
        <v>-2.6189150220419826E-2</v>
      </c>
      <c r="AD22">
        <v>22</v>
      </c>
      <c r="AE22">
        <v>7.5555555555555527</v>
      </c>
      <c r="AF22">
        <v>27</v>
      </c>
      <c r="AG22">
        <v>-2.5555555555555554</v>
      </c>
      <c r="AH22">
        <v>-6.7777777777777786</v>
      </c>
      <c r="AI22">
        <v>5.1111111111111116</v>
      </c>
      <c r="AJ22">
        <v>0</v>
      </c>
      <c r="AK22">
        <v>0</v>
      </c>
      <c r="AL22">
        <v>-79.222222222222214</v>
      </c>
      <c r="AM22">
        <v>73</v>
      </c>
      <c r="AN22">
        <v>0.99999999999999989</v>
      </c>
      <c r="AO22">
        <v>5.2222222222222223</v>
      </c>
      <c r="AP22">
        <v>31</v>
      </c>
      <c r="AQ22">
        <v>-13.824444444444445</v>
      </c>
      <c r="AR22">
        <v>-7.7737777777777772</v>
      </c>
      <c r="AS22">
        <v>-152.22222222222223</v>
      </c>
      <c r="AT22">
        <v>13.824444444444445</v>
      </c>
      <c r="AU22">
        <v>-0.40722222222222171</v>
      </c>
      <c r="AV22">
        <v>-0.35375000000000001</v>
      </c>
      <c r="AW22">
        <v>6.5833333333332911E-2</v>
      </c>
      <c r="AX22" t="s">
        <v>265</v>
      </c>
      <c r="AY22">
        <v>29</v>
      </c>
      <c r="AZ22">
        <v>0.10222222222222281</v>
      </c>
      <c r="BA22">
        <v>-6.8</v>
      </c>
      <c r="BB22">
        <v>-14.555555555555557</v>
      </c>
      <c r="BC22">
        <v>-0.3333333333333332</v>
      </c>
      <c r="BD22">
        <v>2.0666666666666682</v>
      </c>
      <c r="BE22">
        <v>-4.8888888888888928</v>
      </c>
      <c r="BF22">
        <v>2.5555555555555554</v>
      </c>
      <c r="BG22">
        <v>15</v>
      </c>
      <c r="BH22">
        <v>13</v>
      </c>
      <c r="BI22">
        <v>1.4444444444444444</v>
      </c>
      <c r="BJ22">
        <v>32</v>
      </c>
      <c r="BK22">
        <v>29.25</v>
      </c>
      <c r="BL22">
        <v>28</v>
      </c>
      <c r="BM22">
        <v>-4.8340381159497924E-2</v>
      </c>
      <c r="BN22">
        <v>29</v>
      </c>
      <c r="BO22">
        <v>1.8488278137400949E-2</v>
      </c>
      <c r="BP22">
        <v>29</v>
      </c>
      <c r="BQ22">
        <v>-4.9666666666666712</v>
      </c>
      <c r="BR22">
        <v>31</v>
      </c>
      <c r="BS22">
        <v>5</v>
      </c>
      <c r="BT22">
        <v>4.2222222222222188</v>
      </c>
      <c r="BU22">
        <v>-5.5555555555555545</v>
      </c>
      <c r="BV22">
        <v>0</v>
      </c>
      <c r="BW22">
        <v>0</v>
      </c>
      <c r="BX22">
        <v>14.22222222222222</v>
      </c>
      <c r="BY22">
        <v>-15</v>
      </c>
      <c r="BZ22">
        <v>-1.2222222222222221</v>
      </c>
      <c r="CA22">
        <v>2</v>
      </c>
      <c r="CB22">
        <v>6</v>
      </c>
      <c r="CC22">
        <v>6.9022222222222229</v>
      </c>
      <c r="CD22">
        <v>3.8337777777777782</v>
      </c>
      <c r="CE22">
        <v>29.222222222222221</v>
      </c>
      <c r="CF22">
        <v>-0.77333333333333287</v>
      </c>
    </row>
    <row r="23" spans="1:84" x14ac:dyDescent="0.2">
      <c r="A23" s="39">
        <v>43737</v>
      </c>
      <c r="B23" s="26" t="s">
        <v>417</v>
      </c>
      <c r="C23" s="41" t="s">
        <v>302</v>
      </c>
      <c r="D23" s="27" t="s">
        <v>276</v>
      </c>
      <c r="E23">
        <v>7</v>
      </c>
      <c r="F23" s="14">
        <v>7.6</v>
      </c>
      <c r="G23">
        <v>3.9</v>
      </c>
      <c r="H23" s="14">
        <v>0</v>
      </c>
      <c r="I23">
        <v>-7</v>
      </c>
      <c r="J23">
        <v>41.5</v>
      </c>
      <c r="L23" s="1" t="s">
        <v>302</v>
      </c>
      <c r="M23">
        <v>18</v>
      </c>
      <c r="N23">
        <v>0.58444444444444221</v>
      </c>
      <c r="O23">
        <v>-3.2777777777777777</v>
      </c>
      <c r="P23">
        <v>-48.222222222222229</v>
      </c>
      <c r="Q23">
        <v>1.1111111111111114</v>
      </c>
      <c r="R23">
        <v>-2.9933333333333323</v>
      </c>
      <c r="S23">
        <v>-17.777777777777779</v>
      </c>
      <c r="T23">
        <v>-0.44444444444444509</v>
      </c>
      <c r="U23">
        <v>2</v>
      </c>
      <c r="V23">
        <v>5</v>
      </c>
      <c r="W23">
        <v>6.4444444444444438</v>
      </c>
      <c r="X23">
        <v>27</v>
      </c>
      <c r="Y23">
        <v>23.25</v>
      </c>
      <c r="Z23">
        <v>23</v>
      </c>
      <c r="AA23">
        <v>-3.5195760125911912E-2</v>
      </c>
      <c r="AB23">
        <v>26</v>
      </c>
      <c r="AC23">
        <v>-1.1919701121543601E-2</v>
      </c>
      <c r="AD23">
        <v>23</v>
      </c>
      <c r="AE23">
        <v>-17.633333333333333</v>
      </c>
      <c r="AF23">
        <v>21</v>
      </c>
      <c r="AG23">
        <v>-0.22222222222222202</v>
      </c>
      <c r="AH23">
        <v>0.33333333333333331</v>
      </c>
      <c r="AI23">
        <v>0.22222222222222379</v>
      </c>
      <c r="AJ23">
        <v>3.1111111111111107</v>
      </c>
      <c r="AK23">
        <v>-29.444444444444457</v>
      </c>
      <c r="AL23">
        <v>13.777777777777771</v>
      </c>
      <c r="AM23">
        <v>-37.777777777777779</v>
      </c>
      <c r="AN23">
        <v>4</v>
      </c>
      <c r="AO23">
        <v>-9.4444444444444446</v>
      </c>
      <c r="AP23">
        <v>11</v>
      </c>
      <c r="AQ23">
        <v>3.8622222222222202</v>
      </c>
      <c r="AR23">
        <v>1.157111111111111</v>
      </c>
      <c r="AS23">
        <v>51.55555555555555</v>
      </c>
      <c r="AT23">
        <v>-3.8622222222222198</v>
      </c>
      <c r="AU23">
        <v>-0.55805555555555564</v>
      </c>
      <c r="AV23">
        <v>-1.9338194444444445</v>
      </c>
      <c r="AW23">
        <v>-2.1644444444444444</v>
      </c>
      <c r="AX23" t="s">
        <v>276</v>
      </c>
      <c r="AY23">
        <v>24</v>
      </c>
      <c r="AZ23">
        <v>-3.4311111111111123</v>
      </c>
      <c r="BA23">
        <v>1.8388888888888881</v>
      </c>
      <c r="BB23">
        <v>3.5555555555555554</v>
      </c>
      <c r="BC23">
        <v>-0.83333333333333348</v>
      </c>
      <c r="BD23">
        <v>-10.477777777777778</v>
      </c>
      <c r="BE23">
        <v>-45.555555555555543</v>
      </c>
      <c r="BF23">
        <v>1.2222222222222221</v>
      </c>
      <c r="BG23">
        <v>32</v>
      </c>
      <c r="BH23">
        <v>32</v>
      </c>
      <c r="BI23">
        <v>2.4444444444444442</v>
      </c>
      <c r="BJ23">
        <v>7</v>
      </c>
      <c r="BK23">
        <v>12.25</v>
      </c>
      <c r="BL23">
        <v>24</v>
      </c>
      <c r="BM23">
        <v>-5.4327220246194102E-2</v>
      </c>
      <c r="BN23">
        <v>3</v>
      </c>
      <c r="BO23">
        <v>-2.9017429643450537E-2</v>
      </c>
      <c r="BP23">
        <v>17</v>
      </c>
      <c r="BQ23">
        <v>-20.211111111111112</v>
      </c>
      <c r="BR23">
        <v>5</v>
      </c>
      <c r="BS23">
        <v>-0.33333333333333365</v>
      </c>
      <c r="BT23">
        <v>1.2222222222222214</v>
      </c>
      <c r="BU23">
        <v>-1.4444444444444446</v>
      </c>
      <c r="BV23">
        <v>0.44444444444444436</v>
      </c>
      <c r="BW23">
        <v>-24.666666666666657</v>
      </c>
      <c r="BX23">
        <v>-37.666666666666664</v>
      </c>
      <c r="BY23">
        <v>14.222222222222223</v>
      </c>
      <c r="BZ23">
        <v>2.6666666666666665</v>
      </c>
      <c r="CA23">
        <v>-3.8888888888888888</v>
      </c>
      <c r="CB23">
        <v>23</v>
      </c>
      <c r="CC23">
        <v>-5.2700000000000014</v>
      </c>
      <c r="CD23">
        <v>-3.7012222222222224</v>
      </c>
      <c r="CE23">
        <v>-51.888888888888886</v>
      </c>
      <c r="CF23">
        <v>-1.7031944444444447</v>
      </c>
    </row>
    <row r="24" spans="1:84" x14ac:dyDescent="0.2">
      <c r="A24" s="39">
        <v>43737</v>
      </c>
      <c r="B24" s="26" t="s">
        <v>417</v>
      </c>
      <c r="C24" s="41" t="s">
        <v>307</v>
      </c>
      <c r="D24" s="27" t="s">
        <v>291</v>
      </c>
      <c r="E24">
        <v>18.5</v>
      </c>
      <c r="F24">
        <v>4.9000000000000004</v>
      </c>
      <c r="G24">
        <v>1</v>
      </c>
      <c r="H24" s="14">
        <v>11</v>
      </c>
      <c r="I24">
        <v>2.5</v>
      </c>
      <c r="J24">
        <v>47</v>
      </c>
      <c r="L24" s="1" t="s">
        <v>307</v>
      </c>
      <c r="M24">
        <v>17</v>
      </c>
      <c r="N24">
        <v>1.5888888888888879</v>
      </c>
      <c r="O24">
        <v>3.9666666666666672</v>
      </c>
      <c r="P24">
        <v>12.22222222222222</v>
      </c>
      <c r="Q24">
        <v>0.44444444444444436</v>
      </c>
      <c r="R24">
        <v>-5.0333333333333332</v>
      </c>
      <c r="S24">
        <v>-20.999999999999996</v>
      </c>
      <c r="T24">
        <v>-4.2222222222222214</v>
      </c>
      <c r="U24">
        <v>4</v>
      </c>
      <c r="V24">
        <v>7</v>
      </c>
      <c r="W24">
        <v>1.5555555555555556</v>
      </c>
      <c r="X24">
        <v>32</v>
      </c>
      <c r="Y24">
        <v>29.5</v>
      </c>
      <c r="Z24">
        <v>30</v>
      </c>
      <c r="AA24">
        <v>-3.9288092822865606E-2</v>
      </c>
      <c r="AB24">
        <v>28</v>
      </c>
      <c r="AC24">
        <v>-2.9232522687254292E-2</v>
      </c>
      <c r="AD24">
        <v>31</v>
      </c>
      <c r="AE24">
        <v>3.1444444444444435</v>
      </c>
      <c r="AF24">
        <v>29</v>
      </c>
      <c r="AG24">
        <v>-3</v>
      </c>
      <c r="AH24">
        <v>-3.4444444444444451</v>
      </c>
      <c r="AI24">
        <v>-0.22222222222222263</v>
      </c>
      <c r="AJ24">
        <v>3.1111111111111107</v>
      </c>
      <c r="AK24">
        <v>0.44444444444445708</v>
      </c>
      <c r="AL24">
        <v>-7.7777777777777812</v>
      </c>
      <c r="AM24">
        <v>9.8888888888888875</v>
      </c>
      <c r="AN24">
        <v>-0.66666666666666663</v>
      </c>
      <c r="AO24">
        <v>-1</v>
      </c>
      <c r="AP24">
        <v>24</v>
      </c>
      <c r="AQ24">
        <v>-2.3777777777777795</v>
      </c>
      <c r="AR24">
        <v>-2.6722222222222225</v>
      </c>
      <c r="AS24">
        <v>-17.666666666666668</v>
      </c>
      <c r="AT24">
        <v>2.3777777777777791</v>
      </c>
      <c r="AU24">
        <v>0.17638888888888871</v>
      </c>
      <c r="AV24">
        <v>0.80895833333333367</v>
      </c>
      <c r="AW24">
        <v>1.682222222222223</v>
      </c>
      <c r="AX24" t="s">
        <v>291</v>
      </c>
      <c r="AY24">
        <v>19</v>
      </c>
      <c r="AZ24">
        <v>-2.7088888888888882</v>
      </c>
      <c r="BA24">
        <v>3.3611111111111112</v>
      </c>
      <c r="BB24">
        <v>9</v>
      </c>
      <c r="BC24">
        <v>0.38888888888888884</v>
      </c>
      <c r="BD24">
        <v>-1.1666666666666681</v>
      </c>
      <c r="BE24">
        <v>-1.0000000000000018</v>
      </c>
      <c r="BF24">
        <v>2</v>
      </c>
      <c r="BG24">
        <v>7</v>
      </c>
      <c r="BH24">
        <v>7</v>
      </c>
      <c r="BI24">
        <v>-1.5555555555555556</v>
      </c>
      <c r="BJ24">
        <v>15</v>
      </c>
      <c r="BK24">
        <v>15.75</v>
      </c>
      <c r="BL24">
        <v>7</v>
      </c>
      <c r="BM24">
        <v>-5.697472558024317E-2</v>
      </c>
      <c r="BN24">
        <v>7</v>
      </c>
      <c r="BO24">
        <v>-2.7657356522814768E-2</v>
      </c>
      <c r="BP24">
        <v>28</v>
      </c>
      <c r="BQ24">
        <v>4.7666666666666684</v>
      </c>
      <c r="BR24">
        <v>21</v>
      </c>
      <c r="BS24">
        <v>-5.3333333333333348</v>
      </c>
      <c r="BT24">
        <v>2</v>
      </c>
      <c r="BU24">
        <v>-1.1111111111111109</v>
      </c>
      <c r="BV24">
        <v>0</v>
      </c>
      <c r="BW24">
        <v>5.6666666666666758</v>
      </c>
      <c r="BX24">
        <v>-14.22222222222222</v>
      </c>
      <c r="BY24">
        <v>19.777777777777779</v>
      </c>
      <c r="BZ24">
        <v>0.22222222222222263</v>
      </c>
      <c r="CA24">
        <v>-0.11111111111111087</v>
      </c>
      <c r="CB24">
        <v>26</v>
      </c>
      <c r="CC24">
        <v>-6.0699999999999994</v>
      </c>
      <c r="CD24">
        <v>-2.4556666666666667</v>
      </c>
      <c r="CE24">
        <v>-34</v>
      </c>
      <c r="CF24">
        <v>-6.4305555555555644E-2</v>
      </c>
    </row>
    <row r="25" spans="1:84" x14ac:dyDescent="0.2">
      <c r="A25" s="39">
        <v>43737</v>
      </c>
      <c r="B25" s="26" t="s">
        <v>417</v>
      </c>
      <c r="C25" s="41" t="s">
        <v>296</v>
      </c>
      <c r="D25" s="27" t="s">
        <v>306</v>
      </c>
      <c r="E25">
        <v>16.899999999999999</v>
      </c>
      <c r="F25">
        <v>3.3</v>
      </c>
      <c r="G25">
        <v>1.3</v>
      </c>
      <c r="H25" s="14">
        <f>9.4+5.4</f>
        <v>14.8</v>
      </c>
      <c r="I25">
        <v>-3</v>
      </c>
      <c r="J25">
        <v>48</v>
      </c>
      <c r="L25" s="1" t="s">
        <v>296</v>
      </c>
      <c r="M25">
        <v>9</v>
      </c>
      <c r="N25">
        <v>6.1755555555555555</v>
      </c>
      <c r="O25">
        <v>1.3888888888888893</v>
      </c>
      <c r="P25">
        <v>15.333333333333332</v>
      </c>
      <c r="Q25">
        <v>-0.88888888888888917</v>
      </c>
      <c r="R25">
        <v>13.8</v>
      </c>
      <c r="S25">
        <v>49.555555555555564</v>
      </c>
      <c r="T25">
        <v>1.2222222222222219</v>
      </c>
      <c r="U25">
        <v>28</v>
      </c>
      <c r="V25">
        <v>27.5</v>
      </c>
      <c r="W25">
        <v>-5.5555555555555562</v>
      </c>
      <c r="X25">
        <v>2</v>
      </c>
      <c r="Y25">
        <v>7.5</v>
      </c>
      <c r="Z25">
        <v>3</v>
      </c>
      <c r="AA25">
        <v>1.8294546056538897E-2</v>
      </c>
      <c r="AB25">
        <v>16</v>
      </c>
      <c r="AC25">
        <v>-1.6983809518569676E-3</v>
      </c>
      <c r="AD25">
        <v>10</v>
      </c>
      <c r="AE25">
        <v>-7.4555555555555557</v>
      </c>
      <c r="AF25">
        <v>1</v>
      </c>
      <c r="AG25">
        <v>-1.6666666666666663</v>
      </c>
      <c r="AH25">
        <v>0.55555555555555713</v>
      </c>
      <c r="AI25">
        <v>5.1111111111111116</v>
      </c>
      <c r="AJ25">
        <v>-2.7777777777777772</v>
      </c>
      <c r="AK25">
        <v>84.222222222222214</v>
      </c>
      <c r="AL25">
        <v>49.44444444444445</v>
      </c>
      <c r="AM25">
        <v>20.666666666666664</v>
      </c>
      <c r="AN25">
        <v>6.2222222222222214</v>
      </c>
      <c r="AO25">
        <v>7.8888888888888893</v>
      </c>
      <c r="AP25">
        <v>8</v>
      </c>
      <c r="AQ25">
        <v>4.7866666666666662</v>
      </c>
      <c r="AR25">
        <v>3.3006666666666673</v>
      </c>
      <c r="AS25">
        <v>28.777777777777786</v>
      </c>
      <c r="AT25">
        <v>-4.7866666666666662</v>
      </c>
      <c r="AU25">
        <v>2.4344444444444444</v>
      </c>
      <c r="AV25">
        <v>2.1629166666666664</v>
      </c>
      <c r="AW25">
        <v>2.565833333333333</v>
      </c>
      <c r="AX25" t="s">
        <v>306</v>
      </c>
      <c r="AY25">
        <v>22</v>
      </c>
      <c r="AZ25">
        <v>4.1466666666666692</v>
      </c>
      <c r="BA25">
        <v>-1.6222222222222218</v>
      </c>
      <c r="BB25">
        <v>2.1111111111111125</v>
      </c>
      <c r="BC25">
        <v>-1</v>
      </c>
      <c r="BD25">
        <v>11.888888888888886</v>
      </c>
      <c r="BE25">
        <v>20.44444444444445</v>
      </c>
      <c r="BF25">
        <v>0.11111111111111105</v>
      </c>
      <c r="BG25">
        <v>12</v>
      </c>
      <c r="BH25">
        <v>12.5</v>
      </c>
      <c r="BI25">
        <v>0.5555555555555558</v>
      </c>
      <c r="BJ25">
        <v>3</v>
      </c>
      <c r="BK25">
        <v>8</v>
      </c>
      <c r="BL25">
        <v>13</v>
      </c>
      <c r="BM25">
        <v>-1.2234604379661498E-2</v>
      </c>
      <c r="BN25">
        <v>2</v>
      </c>
      <c r="BO25">
        <v>3.5392942731672095E-3</v>
      </c>
      <c r="BP25">
        <v>9</v>
      </c>
      <c r="BQ25">
        <v>18.433333333333337</v>
      </c>
      <c r="BR25">
        <v>8</v>
      </c>
      <c r="BS25">
        <v>-2.4444444444444446</v>
      </c>
      <c r="BT25">
        <v>-0.3333333333333357</v>
      </c>
      <c r="BU25">
        <v>4.9999999999999991</v>
      </c>
      <c r="BV25">
        <v>1.5555555555555554</v>
      </c>
      <c r="BW25">
        <v>29.555555555555561</v>
      </c>
      <c r="BX25">
        <v>12.555555555555543</v>
      </c>
      <c r="BY25">
        <v>7.6666666666666687</v>
      </c>
      <c r="BZ25">
        <v>0.66666666666666652</v>
      </c>
      <c r="CA25">
        <v>8.6666666666666696</v>
      </c>
      <c r="CB25">
        <v>7</v>
      </c>
      <c r="CC25">
        <v>5.768888888888891</v>
      </c>
      <c r="CD25">
        <v>4.0182222222222226</v>
      </c>
      <c r="CE25">
        <v>4.8888888888888742</v>
      </c>
      <c r="CF25">
        <v>1.76</v>
      </c>
    </row>
    <row r="26" spans="1:84" x14ac:dyDescent="0.2">
      <c r="A26" s="39">
        <v>43737</v>
      </c>
      <c r="B26" s="26" t="s">
        <v>417</v>
      </c>
      <c r="C26" s="41" t="s">
        <v>294</v>
      </c>
      <c r="D26" s="27" t="s">
        <v>300</v>
      </c>
      <c r="E26">
        <v>12.8</v>
      </c>
      <c r="F26">
        <v>0</v>
      </c>
      <c r="G26">
        <v>2.2999999999999998</v>
      </c>
      <c r="H26" s="14">
        <f>13.5+9.6</f>
        <v>23.1</v>
      </c>
      <c r="I26">
        <v>3.5</v>
      </c>
      <c r="J26">
        <v>46</v>
      </c>
      <c r="L26" s="1" t="s">
        <v>294</v>
      </c>
      <c r="M26">
        <v>23</v>
      </c>
      <c r="N26">
        <v>1.7333333333333332</v>
      </c>
      <c r="O26">
        <v>-6.8333333333333339</v>
      </c>
      <c r="P26">
        <v>-29.666666666666664</v>
      </c>
      <c r="Q26">
        <v>0.11111111111111099</v>
      </c>
      <c r="R26">
        <v>7.8444444444444423</v>
      </c>
      <c r="S26">
        <v>21.555555555555554</v>
      </c>
      <c r="T26">
        <v>6.1111111111111116</v>
      </c>
      <c r="U26">
        <v>23</v>
      </c>
      <c r="V26">
        <v>22.5</v>
      </c>
      <c r="W26">
        <v>-3.8888888888888893</v>
      </c>
      <c r="X26">
        <v>6</v>
      </c>
      <c r="Y26">
        <v>10.25</v>
      </c>
      <c r="Z26">
        <v>16</v>
      </c>
      <c r="AA26">
        <v>5.6447084682020492E-3</v>
      </c>
      <c r="AB26">
        <v>4</v>
      </c>
      <c r="AC26">
        <v>-4.0961448523102488E-3</v>
      </c>
      <c r="AD26">
        <v>6</v>
      </c>
      <c r="AE26">
        <v>2.7666666666666679</v>
      </c>
      <c r="AF26">
        <v>15</v>
      </c>
      <c r="AG26">
        <v>2.4444444444444446</v>
      </c>
      <c r="AH26">
        <v>5.1111111111111098</v>
      </c>
      <c r="AI26">
        <v>0.55555555555555591</v>
      </c>
      <c r="AJ26">
        <v>-0.77777777777777779</v>
      </c>
      <c r="AK26">
        <v>-6.333333333333333</v>
      </c>
      <c r="AL26">
        <v>16.111111111111104</v>
      </c>
      <c r="AM26">
        <v>-15.555555555555552</v>
      </c>
      <c r="AN26">
        <v>-4.4444444444444446</v>
      </c>
      <c r="AO26">
        <v>-2.4444444444444433</v>
      </c>
      <c r="AP26">
        <v>4</v>
      </c>
      <c r="AQ26">
        <v>8.5666666666666664</v>
      </c>
      <c r="AR26">
        <v>5.3322222222222226</v>
      </c>
      <c r="AS26">
        <v>31.666666666666657</v>
      </c>
      <c r="AT26">
        <v>-8.5666666666666664</v>
      </c>
      <c r="AU26">
        <v>0.23194444444444423</v>
      </c>
      <c r="AV26">
        <v>-0.66527777777777741</v>
      </c>
      <c r="AW26">
        <v>0.51027777777777816</v>
      </c>
      <c r="AX26" t="s">
        <v>300</v>
      </c>
      <c r="AY26">
        <v>21</v>
      </c>
      <c r="AZ26">
        <v>-3.1266666666666656</v>
      </c>
      <c r="BA26">
        <v>3.81111111111111</v>
      </c>
      <c r="BB26">
        <v>2.2222222222222232</v>
      </c>
      <c r="BC26">
        <v>0.55555555555555569</v>
      </c>
      <c r="BD26">
        <v>-11.744444444444444</v>
      </c>
      <c r="BE26">
        <v>-30.111111111111114</v>
      </c>
      <c r="BF26">
        <v>-2.2222222222222223</v>
      </c>
      <c r="BG26">
        <v>6</v>
      </c>
      <c r="BH26">
        <v>5</v>
      </c>
      <c r="BI26">
        <v>-2.2222222222222219</v>
      </c>
      <c r="BJ26">
        <v>29</v>
      </c>
      <c r="BK26">
        <v>24</v>
      </c>
      <c r="BL26">
        <v>17</v>
      </c>
      <c r="BM26">
        <v>0.11052110775177466</v>
      </c>
      <c r="BN26">
        <v>23</v>
      </c>
      <c r="BO26">
        <v>3.0648358506294136E-2</v>
      </c>
      <c r="BP26">
        <v>27</v>
      </c>
      <c r="BQ26">
        <v>-3.6444444444444457</v>
      </c>
      <c r="BR26">
        <v>29</v>
      </c>
      <c r="BS26">
        <v>7.1111111111111107</v>
      </c>
      <c r="BT26">
        <v>4.5555555555555545</v>
      </c>
      <c r="BU26">
        <v>-6.8888888888888893</v>
      </c>
      <c r="BV26">
        <v>-0.77777777777777779</v>
      </c>
      <c r="BW26">
        <v>14.888888888888895</v>
      </c>
      <c r="BX26">
        <v>17.666666666666657</v>
      </c>
      <c r="BY26">
        <v>2.5555555555555594</v>
      </c>
      <c r="BZ26">
        <v>-9.4444444444444446</v>
      </c>
      <c r="CA26">
        <v>4.1111111111111116</v>
      </c>
      <c r="CB26">
        <v>30</v>
      </c>
      <c r="CC26">
        <v>-6.9377777777777752</v>
      </c>
      <c r="CD26">
        <v>-4.8797777777777771</v>
      </c>
      <c r="CE26">
        <v>15.111111111111098</v>
      </c>
      <c r="CF26">
        <v>-1.8408333333333331</v>
      </c>
    </row>
    <row r="27" spans="1:84" x14ac:dyDescent="0.2">
      <c r="A27" s="39">
        <v>43737</v>
      </c>
      <c r="B27" s="26" t="s">
        <v>417</v>
      </c>
      <c r="C27" s="41" t="s">
        <v>309</v>
      </c>
      <c r="D27" s="27" t="s">
        <v>272</v>
      </c>
      <c r="E27">
        <v>4.5</v>
      </c>
      <c r="F27">
        <v>18.7</v>
      </c>
      <c r="G27">
        <v>0</v>
      </c>
      <c r="H27" s="14">
        <v>4.8</v>
      </c>
      <c r="I27">
        <v>-3.5</v>
      </c>
      <c r="J27">
        <v>45.5</v>
      </c>
      <c r="L27" s="1" t="s">
        <v>309</v>
      </c>
      <c r="M27">
        <v>31</v>
      </c>
      <c r="N27">
        <v>-0.15999999999999984</v>
      </c>
      <c r="O27">
        <v>-2.0555555555555567</v>
      </c>
      <c r="P27">
        <v>-5.5555555555555554</v>
      </c>
      <c r="Q27">
        <v>-1.4444444444444446</v>
      </c>
      <c r="R27">
        <v>-1.2333333333333296</v>
      </c>
      <c r="S27">
        <v>-11.555555555555557</v>
      </c>
      <c r="T27">
        <v>-0.11111111111111072</v>
      </c>
      <c r="U27">
        <v>3</v>
      </c>
      <c r="V27">
        <v>5.5</v>
      </c>
      <c r="W27">
        <v>-1.4444444444444444</v>
      </c>
      <c r="X27">
        <v>12</v>
      </c>
      <c r="Y27">
        <v>13.25</v>
      </c>
      <c r="Z27">
        <v>9</v>
      </c>
      <c r="AA27">
        <v>-6.3561794529897089E-2</v>
      </c>
      <c r="AB27">
        <v>20</v>
      </c>
      <c r="AC27">
        <v>-3.7543013480196875E-2</v>
      </c>
      <c r="AD27">
        <v>19</v>
      </c>
      <c r="AE27">
        <v>-9.3444444444444414</v>
      </c>
      <c r="AF27">
        <v>5</v>
      </c>
      <c r="AG27">
        <v>-6.2222222222222214</v>
      </c>
      <c r="AH27">
        <v>-3.3333333333333335</v>
      </c>
      <c r="AI27">
        <v>3.5555555555555554</v>
      </c>
      <c r="AJ27">
        <v>-3.8888888888888893</v>
      </c>
      <c r="AK27">
        <v>-7.9999999999999902</v>
      </c>
      <c r="AL27">
        <v>-12.222222222222229</v>
      </c>
      <c r="AM27">
        <v>-1.4444444444444429</v>
      </c>
      <c r="AN27">
        <v>3.4444444444444446</v>
      </c>
      <c r="AO27">
        <v>2.2222222222222223</v>
      </c>
      <c r="AP27">
        <v>14</v>
      </c>
      <c r="AQ27">
        <v>1.8955555555555565</v>
      </c>
      <c r="AR27">
        <v>0.74911111111111239</v>
      </c>
      <c r="AS27">
        <v>-10.777777777777786</v>
      </c>
      <c r="AT27">
        <v>-1.8955555555555568</v>
      </c>
      <c r="AU27">
        <v>-0.16722222222222188</v>
      </c>
      <c r="AV27">
        <v>0.19138888888888889</v>
      </c>
      <c r="AW27">
        <v>0.24416666666666662</v>
      </c>
      <c r="AX27" t="s">
        <v>272</v>
      </c>
      <c r="AY27">
        <v>10</v>
      </c>
      <c r="AZ27">
        <v>-2.1355555555555568</v>
      </c>
      <c r="BA27">
        <v>7.1777777777777771</v>
      </c>
      <c r="BB27">
        <v>11.777777777777777</v>
      </c>
      <c r="BC27">
        <v>0.88888888888888884</v>
      </c>
      <c r="BD27">
        <v>-4.9333333333333327</v>
      </c>
      <c r="BE27">
        <v>-13.444444444444441</v>
      </c>
      <c r="BF27">
        <v>-4.333333333333333</v>
      </c>
      <c r="BG27">
        <v>20</v>
      </c>
      <c r="BH27">
        <v>21</v>
      </c>
      <c r="BI27">
        <v>0.55555555555555569</v>
      </c>
      <c r="BJ27">
        <v>22</v>
      </c>
      <c r="BK27">
        <v>18.25</v>
      </c>
      <c r="BL27">
        <v>13</v>
      </c>
      <c r="BM27">
        <v>7.6136575459068684E-2</v>
      </c>
      <c r="BN27">
        <v>15</v>
      </c>
      <c r="BO27">
        <v>1.2497213716725913E-2</v>
      </c>
      <c r="BP27">
        <v>19</v>
      </c>
      <c r="BQ27">
        <v>-11.255555555555551</v>
      </c>
      <c r="BR27">
        <v>26</v>
      </c>
      <c r="BS27">
        <v>-5.1111111111111116</v>
      </c>
      <c r="BT27">
        <v>-3.4444444444444478</v>
      </c>
      <c r="BU27">
        <v>2.7777777777777786</v>
      </c>
      <c r="BV27">
        <v>-1.5555555555555556</v>
      </c>
      <c r="BW27">
        <v>0.55555555555556191</v>
      </c>
      <c r="BX27">
        <v>-20.444444444444446</v>
      </c>
      <c r="BY27">
        <v>17.777777777777782</v>
      </c>
      <c r="BZ27">
        <v>4.2222222222222223</v>
      </c>
      <c r="CA27">
        <v>-1</v>
      </c>
      <c r="CB27">
        <v>32</v>
      </c>
      <c r="CC27">
        <v>-9.3133333333333344</v>
      </c>
      <c r="CD27">
        <v>-5.0026666666666664</v>
      </c>
      <c r="CE27">
        <v>-38.222222222222229</v>
      </c>
      <c r="CF27">
        <v>0.13861111111111113</v>
      </c>
    </row>
    <row r="28" spans="1:84" x14ac:dyDescent="0.2">
      <c r="A28" s="39">
        <v>43737</v>
      </c>
      <c r="B28" s="26" t="s">
        <v>417</v>
      </c>
      <c r="C28" s="41" t="s">
        <v>308</v>
      </c>
      <c r="D28" s="27" t="s">
        <v>285</v>
      </c>
      <c r="E28">
        <v>9.1</v>
      </c>
      <c r="F28">
        <v>1.6</v>
      </c>
      <c r="G28" s="14">
        <v>8</v>
      </c>
      <c r="H28" s="14">
        <f>18.7+4.6</f>
        <v>23.299999999999997</v>
      </c>
      <c r="I28">
        <v>-5.5</v>
      </c>
      <c r="J28">
        <v>49</v>
      </c>
      <c r="K28" t="s">
        <v>109</v>
      </c>
      <c r="L28" s="1" t="s">
        <v>308</v>
      </c>
      <c r="M28">
        <v>11</v>
      </c>
      <c r="N28">
        <v>4.7222222222222223</v>
      </c>
      <c r="O28">
        <v>-1.033333333333331</v>
      </c>
      <c r="P28">
        <v>-27.666666666666664</v>
      </c>
      <c r="Q28">
        <v>0.2222222222222221</v>
      </c>
      <c r="R28">
        <v>2.8466666666666685</v>
      </c>
      <c r="S28">
        <v>14.777777777777773</v>
      </c>
      <c r="T28">
        <v>2.5555555555555554</v>
      </c>
      <c r="U28">
        <v>8</v>
      </c>
      <c r="V28">
        <v>8.5</v>
      </c>
      <c r="W28">
        <v>-1.2222222222222223</v>
      </c>
      <c r="X28">
        <v>12</v>
      </c>
      <c r="Y28">
        <v>13.25</v>
      </c>
      <c r="Z28">
        <v>11</v>
      </c>
      <c r="AA28">
        <v>-6.0784377010664296E-2</v>
      </c>
      <c r="AB28">
        <v>5</v>
      </c>
      <c r="AC28">
        <v>2.1676694053138212E-2</v>
      </c>
      <c r="AD28">
        <v>21</v>
      </c>
      <c r="AE28">
        <v>7.4000000000000057</v>
      </c>
      <c r="AF28">
        <v>16</v>
      </c>
      <c r="AG28">
        <v>3.1111111111111112</v>
      </c>
      <c r="AH28">
        <v>-0.77777777777777857</v>
      </c>
      <c r="AI28">
        <v>-2.4444444444444442</v>
      </c>
      <c r="AJ28">
        <v>0</v>
      </c>
      <c r="AK28">
        <v>-24.444444444444457</v>
      </c>
      <c r="AL28">
        <v>10.555555555555552</v>
      </c>
      <c r="AM28">
        <v>-38.222222222222221</v>
      </c>
      <c r="AN28">
        <v>-4.2222222222222223</v>
      </c>
      <c r="AO28">
        <v>7.4444444444444438</v>
      </c>
      <c r="AP28">
        <v>6</v>
      </c>
      <c r="AQ28">
        <v>5.7555555555555529</v>
      </c>
      <c r="AR28">
        <v>2.0304444444444436</v>
      </c>
      <c r="AS28">
        <v>48.777777777777771</v>
      </c>
      <c r="AT28">
        <v>-5.7555555555555529</v>
      </c>
      <c r="AU28">
        <v>0.34472222222222287</v>
      </c>
      <c r="AV28">
        <v>1.2626388888888886</v>
      </c>
      <c r="AW28">
        <v>0.95888888888888868</v>
      </c>
      <c r="AX28" t="s">
        <v>285</v>
      </c>
      <c r="AY28">
        <v>1</v>
      </c>
      <c r="AZ28">
        <v>7.1977777777777776</v>
      </c>
      <c r="BA28">
        <v>-6.5000000000000018</v>
      </c>
      <c r="BB28">
        <v>6.4444444444444429</v>
      </c>
      <c r="BC28">
        <v>-1.2777777777777777</v>
      </c>
      <c r="BD28">
        <v>10.611111111111111</v>
      </c>
      <c r="BE28">
        <v>15.777777777777782</v>
      </c>
      <c r="BF28">
        <v>-1.4444444444444442</v>
      </c>
      <c r="BG28">
        <v>19</v>
      </c>
      <c r="BH28">
        <v>20.5</v>
      </c>
      <c r="BI28">
        <v>0.33333333333333331</v>
      </c>
      <c r="BJ28">
        <v>26</v>
      </c>
      <c r="BK28">
        <v>22</v>
      </c>
      <c r="BL28">
        <v>5</v>
      </c>
      <c r="BM28">
        <v>3.971072096024255E-2</v>
      </c>
      <c r="BN28">
        <v>31</v>
      </c>
      <c r="BO28">
        <v>1.6283341921904438E-2</v>
      </c>
      <c r="BP28">
        <v>20</v>
      </c>
      <c r="BQ28">
        <v>5.3222222222222229</v>
      </c>
      <c r="BR28">
        <v>32</v>
      </c>
      <c r="BS28">
        <v>-1</v>
      </c>
      <c r="BT28">
        <v>1.777777777777781</v>
      </c>
      <c r="BU28">
        <v>1.8888888888888893</v>
      </c>
      <c r="BV28">
        <v>-1</v>
      </c>
      <c r="BW28">
        <v>44.888888888888893</v>
      </c>
      <c r="BX28">
        <v>25.222222222222211</v>
      </c>
      <c r="BY28">
        <v>-6.8888888888888902</v>
      </c>
      <c r="BZ28">
        <v>3.3333333333333335</v>
      </c>
      <c r="CA28">
        <v>23.222222222222218</v>
      </c>
      <c r="CB28">
        <v>2</v>
      </c>
      <c r="CC28">
        <v>13.697777777777778</v>
      </c>
      <c r="CD28">
        <v>6.8117777777777784</v>
      </c>
      <c r="CE28">
        <v>32.1111111111111</v>
      </c>
      <c r="CF28">
        <v>1.5663888888888884</v>
      </c>
    </row>
    <row r="29" spans="1:84" x14ac:dyDescent="0.2">
      <c r="A29" s="39">
        <v>43737</v>
      </c>
      <c r="B29" s="26" t="s">
        <v>417</v>
      </c>
      <c r="C29" s="41" t="s">
        <v>284</v>
      </c>
      <c r="D29" s="27" t="s">
        <v>304</v>
      </c>
      <c r="E29">
        <v>18.899999999999999</v>
      </c>
      <c r="F29">
        <v>44.2</v>
      </c>
      <c r="G29">
        <v>2.4</v>
      </c>
      <c r="H29" s="14">
        <v>18.899999999999999</v>
      </c>
      <c r="I29">
        <v>9</v>
      </c>
      <c r="J29">
        <v>48.5</v>
      </c>
      <c r="K29" t="s">
        <v>109</v>
      </c>
      <c r="L29" s="1" t="s">
        <v>284</v>
      </c>
      <c r="M29">
        <v>12</v>
      </c>
      <c r="N29">
        <v>-2.2600000000000002</v>
      </c>
      <c r="O29">
        <v>-0.33333333333333148</v>
      </c>
      <c r="P29">
        <v>20.111111111111111</v>
      </c>
      <c r="Q29">
        <v>-1.2222222222222223</v>
      </c>
      <c r="R29">
        <v>-4.6333333333333329</v>
      </c>
      <c r="S29">
        <v>-9.0000000000000036</v>
      </c>
      <c r="T29">
        <v>-1.3333333333333337</v>
      </c>
      <c r="U29">
        <v>18</v>
      </c>
      <c r="V29">
        <v>17.5</v>
      </c>
      <c r="W29">
        <v>3.1111111111111107</v>
      </c>
      <c r="X29">
        <v>14</v>
      </c>
      <c r="Y29">
        <v>14</v>
      </c>
      <c r="Z29">
        <v>29</v>
      </c>
      <c r="AA29">
        <v>9.2542215370832112E-2</v>
      </c>
      <c r="AB29">
        <v>22</v>
      </c>
      <c r="AC29">
        <v>1.5212182214898439E-2</v>
      </c>
      <c r="AD29">
        <v>1</v>
      </c>
      <c r="AE29">
        <v>-3.2555555555555529</v>
      </c>
      <c r="AF29">
        <v>4</v>
      </c>
      <c r="AG29">
        <v>5.8888888888888893</v>
      </c>
      <c r="AH29">
        <v>2.3684757858670005E-15</v>
      </c>
      <c r="AI29">
        <v>-3.1111111111111103</v>
      </c>
      <c r="AJ29">
        <v>1.5555555555555554</v>
      </c>
      <c r="AK29">
        <v>17.888888888888896</v>
      </c>
      <c r="AL29">
        <v>6.8888888888888857</v>
      </c>
      <c r="AM29">
        <v>19.666666666666668</v>
      </c>
      <c r="AN29">
        <v>-1</v>
      </c>
      <c r="AO29">
        <v>-7.666666666666667</v>
      </c>
      <c r="AP29">
        <v>21</v>
      </c>
      <c r="AQ29">
        <v>-1.9266666666666687</v>
      </c>
      <c r="AR29">
        <v>-1.2120000000000006</v>
      </c>
      <c r="AS29">
        <v>-12.777777777777782</v>
      </c>
      <c r="AT29">
        <v>1.9266666666666687</v>
      </c>
      <c r="AU29">
        <v>-0.72277777777777741</v>
      </c>
      <c r="AV29">
        <v>-1.4768055555555555</v>
      </c>
      <c r="AW29">
        <v>-0.75111111111111084</v>
      </c>
      <c r="AX29" t="s">
        <v>304</v>
      </c>
      <c r="AY29">
        <v>16</v>
      </c>
      <c r="AZ29">
        <v>-6.586666666666666</v>
      </c>
      <c r="BA29">
        <v>-0.23333333333333517</v>
      </c>
      <c r="BB29">
        <v>0</v>
      </c>
      <c r="BC29">
        <v>-0.22222222222222221</v>
      </c>
      <c r="BD29">
        <v>-11.466666666666667</v>
      </c>
      <c r="BE29">
        <v>-43.777777777777771</v>
      </c>
      <c r="BF29">
        <v>-0.22222222222222199</v>
      </c>
      <c r="BG29">
        <v>28</v>
      </c>
      <c r="BH29">
        <v>26.5</v>
      </c>
      <c r="BI29">
        <v>-1.8888888888888886</v>
      </c>
      <c r="BJ29">
        <v>14</v>
      </c>
      <c r="BK29">
        <v>15</v>
      </c>
      <c r="BL29">
        <v>22</v>
      </c>
      <c r="BM29">
        <v>2.1353134012792301E-2</v>
      </c>
      <c r="BN29">
        <v>10</v>
      </c>
      <c r="BO29">
        <v>1.1964506708197428E-3</v>
      </c>
      <c r="BP29">
        <v>22</v>
      </c>
      <c r="BQ29">
        <v>2.111111111111112</v>
      </c>
      <c r="BR29">
        <v>6</v>
      </c>
      <c r="BS29">
        <v>1.2222222222222221</v>
      </c>
      <c r="BT29">
        <v>-0.11111111111110954</v>
      </c>
      <c r="BU29">
        <v>-4.1111111111111107</v>
      </c>
      <c r="BV29">
        <v>-1.7777777777777779</v>
      </c>
      <c r="BW29">
        <v>-60.111111111111107</v>
      </c>
      <c r="BX29">
        <v>-53</v>
      </c>
      <c r="BY29">
        <v>-2.2222222222222237</v>
      </c>
      <c r="BZ29">
        <v>-2.6666666666666665</v>
      </c>
      <c r="CA29">
        <v>-2.2222222222222223</v>
      </c>
      <c r="CB29">
        <v>28</v>
      </c>
      <c r="CC29">
        <v>-6.3533333333333308</v>
      </c>
      <c r="CD29">
        <v>-3.4939999999999993</v>
      </c>
      <c r="CE29">
        <v>-50.777777777777779</v>
      </c>
      <c r="CF29">
        <v>-2.2025000000000001</v>
      </c>
    </row>
    <row r="30" spans="1:84" x14ac:dyDescent="0.2">
      <c r="A30" s="39">
        <v>43737</v>
      </c>
      <c r="B30" s="26" t="s">
        <v>417</v>
      </c>
      <c r="C30" s="41" t="s">
        <v>310</v>
      </c>
      <c r="D30" s="27" t="s">
        <v>295</v>
      </c>
      <c r="E30">
        <v>20.100000000000001</v>
      </c>
      <c r="F30">
        <v>24.4</v>
      </c>
      <c r="G30" s="14">
        <v>3.5</v>
      </c>
      <c r="H30" s="14">
        <v>2.9</v>
      </c>
      <c r="I30">
        <v>3.5</v>
      </c>
      <c r="J30">
        <v>46</v>
      </c>
      <c r="L30" s="1" t="s">
        <v>310</v>
      </c>
      <c r="M30">
        <v>7</v>
      </c>
      <c r="N30">
        <v>-1.1466666666666672</v>
      </c>
      <c r="O30">
        <v>-2.2222222222221255E-2</v>
      </c>
      <c r="P30">
        <v>-10.888888888888889</v>
      </c>
      <c r="Q30">
        <v>-1.333333333333333</v>
      </c>
      <c r="R30">
        <v>-11.177777777777777</v>
      </c>
      <c r="S30">
        <v>-42.777777777777786</v>
      </c>
      <c r="T30">
        <v>-2</v>
      </c>
      <c r="U30">
        <v>29</v>
      </c>
      <c r="V30">
        <v>29</v>
      </c>
      <c r="W30">
        <v>3.5555555555555558</v>
      </c>
      <c r="X30">
        <v>25</v>
      </c>
      <c r="Y30">
        <v>21</v>
      </c>
      <c r="Z30">
        <v>27</v>
      </c>
      <c r="AA30">
        <v>1.2002167274087391E-2</v>
      </c>
      <c r="AB30">
        <v>2</v>
      </c>
      <c r="AC30">
        <v>5.0678461999216717E-2</v>
      </c>
      <c r="AD30">
        <v>30</v>
      </c>
      <c r="AE30">
        <v>1.0000000000000024</v>
      </c>
      <c r="AF30">
        <v>25</v>
      </c>
      <c r="AG30">
        <v>0.55555555555555569</v>
      </c>
      <c r="AH30">
        <v>1.6666666666666667</v>
      </c>
      <c r="AI30">
        <v>1.3333333333333333</v>
      </c>
      <c r="AJ30">
        <v>2</v>
      </c>
      <c r="AK30">
        <v>-21.666666666666668</v>
      </c>
      <c r="AL30">
        <v>-25.777777777777782</v>
      </c>
      <c r="AM30">
        <v>-11.333333333333334</v>
      </c>
      <c r="AN30">
        <v>-1.2222222222222223</v>
      </c>
      <c r="AO30">
        <v>16.666666666666668</v>
      </c>
      <c r="AP30">
        <v>19</v>
      </c>
      <c r="AQ30">
        <v>-1.1244444444444459</v>
      </c>
      <c r="AR30">
        <v>-2.4537777777777783</v>
      </c>
      <c r="AS30">
        <v>-14.444444444444448</v>
      </c>
      <c r="AT30">
        <v>1.1244444444444459</v>
      </c>
      <c r="AU30">
        <v>-1.6961111111111107</v>
      </c>
      <c r="AV30">
        <v>-0.95666666666666678</v>
      </c>
      <c r="AW30">
        <v>-1.6516666666666666</v>
      </c>
      <c r="AX30" t="s">
        <v>295</v>
      </c>
      <c r="AY30">
        <v>27</v>
      </c>
      <c r="AZ30">
        <v>0.91777777777777858</v>
      </c>
      <c r="BA30">
        <v>-2.6888888888888896</v>
      </c>
      <c r="BB30">
        <v>-25.111111111111114</v>
      </c>
      <c r="BC30">
        <v>0.55555555555555536</v>
      </c>
      <c r="BD30">
        <v>-1.2111111111111132</v>
      </c>
      <c r="BE30">
        <v>7.8888888888888848</v>
      </c>
      <c r="BF30">
        <v>-1.3333333333333333</v>
      </c>
      <c r="BG30">
        <v>17</v>
      </c>
      <c r="BH30">
        <v>14.5</v>
      </c>
      <c r="BI30">
        <v>2.4444444444444446</v>
      </c>
      <c r="BJ30">
        <v>19</v>
      </c>
      <c r="BK30">
        <v>16.5</v>
      </c>
      <c r="BL30">
        <v>10</v>
      </c>
      <c r="BM30">
        <v>4.8788263559643901E-3</v>
      </c>
      <c r="BN30">
        <v>20</v>
      </c>
      <c r="BO30">
        <v>1.1394169356866634E-2</v>
      </c>
      <c r="BP30">
        <v>25</v>
      </c>
      <c r="BQ30">
        <v>2.3555555555555565</v>
      </c>
      <c r="BR30">
        <v>11</v>
      </c>
      <c r="BS30">
        <v>-1.3333333333333333</v>
      </c>
      <c r="BT30">
        <v>-2.2222222222222237</v>
      </c>
      <c r="BU30">
        <v>0.1111111111111119</v>
      </c>
      <c r="BV30">
        <v>0</v>
      </c>
      <c r="BW30">
        <v>-46.111111111111107</v>
      </c>
      <c r="BX30">
        <v>1.5555555555555429</v>
      </c>
      <c r="BY30">
        <v>-37.55555555555555</v>
      </c>
      <c r="BZ30">
        <v>-1.1111111111111112</v>
      </c>
      <c r="CA30">
        <v>-9</v>
      </c>
      <c r="CB30">
        <v>8</v>
      </c>
      <c r="CC30">
        <v>3.6066666666666682</v>
      </c>
      <c r="CD30">
        <v>1.2857777777777779</v>
      </c>
      <c r="CE30">
        <v>39.111111111111093</v>
      </c>
      <c r="CF30">
        <v>-0.26166666666666699</v>
      </c>
    </row>
    <row r="31" spans="1:84" x14ac:dyDescent="0.2">
      <c r="A31" s="39">
        <v>43737</v>
      </c>
      <c r="B31" s="26" t="s">
        <v>417</v>
      </c>
      <c r="C31" s="41" t="s">
        <v>306</v>
      </c>
      <c r="D31" s="27" t="s">
        <v>296</v>
      </c>
      <c r="E31">
        <v>4.4000000000000004</v>
      </c>
      <c r="F31" s="14">
        <v>3</v>
      </c>
      <c r="G31">
        <v>3.4</v>
      </c>
      <c r="H31" s="14">
        <v>4.5</v>
      </c>
      <c r="I31">
        <v>3</v>
      </c>
      <c r="J31">
        <v>48</v>
      </c>
      <c r="L31" s="1" t="s">
        <v>306</v>
      </c>
      <c r="M31">
        <v>32</v>
      </c>
      <c r="N31">
        <v>4.0999999999999988</v>
      </c>
      <c r="O31">
        <v>1.1444444444444448</v>
      </c>
      <c r="P31">
        <v>-15.222222222222221</v>
      </c>
      <c r="Q31">
        <v>1.8333333333333333</v>
      </c>
      <c r="R31">
        <v>4.3111111111111118</v>
      </c>
      <c r="S31">
        <v>5.4444444444444429</v>
      </c>
      <c r="T31">
        <v>-1.3333333333333333</v>
      </c>
      <c r="U31">
        <v>1</v>
      </c>
      <c r="V31">
        <v>1</v>
      </c>
      <c r="W31">
        <v>-2.4444444444444446</v>
      </c>
      <c r="X31">
        <v>1</v>
      </c>
      <c r="Y31">
        <v>5.25</v>
      </c>
      <c r="Z31">
        <v>9</v>
      </c>
      <c r="AA31">
        <v>-5.8147898320922342E-4</v>
      </c>
      <c r="AB31">
        <v>1</v>
      </c>
      <c r="AC31">
        <v>-2.1408433206075036E-3</v>
      </c>
      <c r="AD31">
        <v>2</v>
      </c>
      <c r="AE31">
        <v>9.8666666666666689</v>
      </c>
      <c r="AF31">
        <v>9</v>
      </c>
      <c r="AG31">
        <v>0.5555555555555558</v>
      </c>
      <c r="AH31">
        <v>-2.888888888888888</v>
      </c>
      <c r="AI31">
        <v>3.8888888888888888</v>
      </c>
      <c r="AJ31">
        <v>-0.77777777777777779</v>
      </c>
      <c r="AK31">
        <v>9.2222222222222285</v>
      </c>
      <c r="AL31">
        <v>33.111111111111107</v>
      </c>
      <c r="AM31">
        <v>-23.444444444444446</v>
      </c>
      <c r="AN31">
        <v>3.1111111111111107</v>
      </c>
      <c r="AO31">
        <v>-3.5555555555555558</v>
      </c>
      <c r="AP31">
        <v>13</v>
      </c>
      <c r="AQ31">
        <v>2.9555555555555535</v>
      </c>
      <c r="AR31">
        <v>1.1099999999999994</v>
      </c>
      <c r="AS31">
        <v>56.555555555555557</v>
      </c>
      <c r="AT31">
        <v>-2.9555555555555539</v>
      </c>
      <c r="AU31">
        <v>1.125</v>
      </c>
      <c r="AV31">
        <v>2.1629166666666664</v>
      </c>
      <c r="AW31">
        <v>1.76</v>
      </c>
      <c r="AX31" t="s">
        <v>296</v>
      </c>
      <c r="AY31">
        <v>5</v>
      </c>
      <c r="AZ31">
        <v>6.7711111111111109</v>
      </c>
      <c r="BA31">
        <v>-1.6444444444444453</v>
      </c>
      <c r="BB31">
        <v>-10.666666666666668</v>
      </c>
      <c r="BC31">
        <v>-1.3333333333333333</v>
      </c>
      <c r="BD31">
        <v>14.511111111111109</v>
      </c>
      <c r="BE31">
        <v>69.777777777777786</v>
      </c>
      <c r="BF31">
        <v>0.33333333333333315</v>
      </c>
      <c r="BG31">
        <v>2</v>
      </c>
      <c r="BH31">
        <v>3</v>
      </c>
      <c r="BI31">
        <v>-1.6666666666666663</v>
      </c>
      <c r="BJ31">
        <v>29</v>
      </c>
      <c r="BK31">
        <v>24</v>
      </c>
      <c r="BL31">
        <v>11</v>
      </c>
      <c r="BM31">
        <v>-3.3299145915671374E-2</v>
      </c>
      <c r="BN31">
        <v>27</v>
      </c>
      <c r="BO31">
        <v>7.8893354850343139E-3</v>
      </c>
      <c r="BP31">
        <v>31</v>
      </c>
      <c r="BQ31">
        <v>7.7888888888888914</v>
      </c>
      <c r="BR31">
        <v>27</v>
      </c>
      <c r="BS31">
        <v>-5.333333333333333</v>
      </c>
      <c r="BT31">
        <v>1.5555555555555525</v>
      </c>
      <c r="BU31">
        <v>6.4444444444444438</v>
      </c>
      <c r="BV31">
        <v>-0.77777777777777779</v>
      </c>
      <c r="BW31">
        <v>51.888888888888893</v>
      </c>
      <c r="BX31">
        <v>73.555555555555543</v>
      </c>
      <c r="BY31">
        <v>-10.444444444444443</v>
      </c>
      <c r="BZ31">
        <v>1.0000000000000004</v>
      </c>
      <c r="CA31">
        <v>-12.222222222222223</v>
      </c>
      <c r="CB31">
        <v>3</v>
      </c>
      <c r="CC31">
        <v>8.4155555555555566</v>
      </c>
      <c r="CD31">
        <v>5.0786666666666669</v>
      </c>
      <c r="CE31">
        <v>83.999999999999986</v>
      </c>
      <c r="CF31">
        <v>2.565833333333333</v>
      </c>
    </row>
    <row r="32" spans="1:84" x14ac:dyDescent="0.2">
      <c r="A32" s="39">
        <v>43744</v>
      </c>
      <c r="B32" s="22" t="s">
        <v>381</v>
      </c>
      <c r="C32" s="41" t="s">
        <v>285</v>
      </c>
      <c r="D32" s="22" t="s">
        <v>272</v>
      </c>
      <c r="E32">
        <v>11.8</v>
      </c>
      <c r="F32">
        <v>5.5</v>
      </c>
      <c r="G32">
        <v>5.3</v>
      </c>
      <c r="H32">
        <f>3.7+1.7</f>
        <v>5.4</v>
      </c>
      <c r="I32">
        <v>3</v>
      </c>
      <c r="J32">
        <v>45</v>
      </c>
      <c r="K32" t="s">
        <v>109</v>
      </c>
      <c r="L32" s="1" t="s">
        <v>285</v>
      </c>
      <c r="M32">
        <v>14</v>
      </c>
      <c r="N32">
        <v>2.1599999999999993</v>
      </c>
      <c r="O32">
        <v>-4.2250000000000014</v>
      </c>
      <c r="P32">
        <v>-25.9375</v>
      </c>
      <c r="Q32">
        <v>1.625</v>
      </c>
      <c r="R32">
        <v>-1.3437500000000009</v>
      </c>
      <c r="S32">
        <v>-12.75</v>
      </c>
      <c r="T32">
        <v>0.4375</v>
      </c>
      <c r="U32">
        <v>21</v>
      </c>
      <c r="V32">
        <v>20</v>
      </c>
      <c r="W32">
        <v>-3</v>
      </c>
      <c r="X32">
        <v>9</v>
      </c>
      <c r="Y32">
        <v>12.25</v>
      </c>
      <c r="Z32">
        <v>20</v>
      </c>
      <c r="AA32">
        <v>-2.8023001145171686E-2</v>
      </c>
      <c r="AB32">
        <v>7</v>
      </c>
      <c r="AC32">
        <v>3.7832335829783265E-2</v>
      </c>
      <c r="AD32">
        <v>4</v>
      </c>
      <c r="AE32">
        <v>2.7687500000000025</v>
      </c>
      <c r="AF32">
        <v>18</v>
      </c>
      <c r="AG32">
        <v>2.5</v>
      </c>
      <c r="AH32">
        <v>4.375</v>
      </c>
      <c r="AI32">
        <v>-2.9375</v>
      </c>
      <c r="AJ32">
        <v>-1.3125</v>
      </c>
      <c r="AK32">
        <v>-8.4375</v>
      </c>
      <c r="AL32">
        <v>6.5</v>
      </c>
      <c r="AM32">
        <v>-28</v>
      </c>
      <c r="AN32">
        <v>2</v>
      </c>
      <c r="AO32">
        <v>11.0625</v>
      </c>
      <c r="AP32">
        <v>5</v>
      </c>
      <c r="AQ32">
        <v>6.3850000000000007</v>
      </c>
      <c r="AR32">
        <v>2.2757500000000004</v>
      </c>
      <c r="AS32">
        <v>34.5</v>
      </c>
      <c r="AT32">
        <v>-6.3850000000000007</v>
      </c>
      <c r="AU32">
        <v>-0.33234375000000038</v>
      </c>
      <c r="AV32">
        <v>1.0528124999999999</v>
      </c>
      <c r="AW32">
        <v>1.1064062499999998</v>
      </c>
      <c r="AX32" t="s">
        <v>272</v>
      </c>
      <c r="AY32">
        <v>10</v>
      </c>
      <c r="AZ32">
        <v>0.28624999999999901</v>
      </c>
      <c r="BA32">
        <v>10.469999999999999</v>
      </c>
      <c r="BB32">
        <v>8.375</v>
      </c>
      <c r="BC32">
        <v>2.8125</v>
      </c>
      <c r="BD32">
        <v>-3.8874999999999988</v>
      </c>
      <c r="BE32">
        <v>-9.625</v>
      </c>
      <c r="BF32">
        <v>-6.0625</v>
      </c>
      <c r="BG32">
        <v>20</v>
      </c>
      <c r="BH32">
        <v>21</v>
      </c>
      <c r="BI32">
        <v>2.25</v>
      </c>
      <c r="BJ32">
        <v>22</v>
      </c>
      <c r="BK32">
        <v>18.25</v>
      </c>
      <c r="BL32">
        <v>13</v>
      </c>
      <c r="BM32">
        <v>4.2566615486467445E-2</v>
      </c>
      <c r="BN32">
        <v>15</v>
      </c>
      <c r="BO32">
        <v>-5.223575102446202E-3</v>
      </c>
      <c r="BP32">
        <v>19</v>
      </c>
      <c r="BQ32">
        <v>2.6500000000000021</v>
      </c>
      <c r="BR32">
        <v>26</v>
      </c>
      <c r="BS32">
        <v>-5.1875</v>
      </c>
      <c r="BT32">
        <v>-2.3125</v>
      </c>
      <c r="BU32">
        <v>4.9375</v>
      </c>
      <c r="BV32">
        <v>-1.3125</v>
      </c>
      <c r="BW32">
        <v>4.25</v>
      </c>
      <c r="BX32">
        <v>-6.1875</v>
      </c>
      <c r="BY32">
        <v>10.6875</v>
      </c>
      <c r="BZ32">
        <v>0.6875</v>
      </c>
      <c r="CA32">
        <v>-0.9375</v>
      </c>
      <c r="CB32">
        <v>30</v>
      </c>
      <c r="CC32">
        <v>-10.18375</v>
      </c>
      <c r="CD32">
        <v>-5.9552499999999995</v>
      </c>
      <c r="CE32">
        <v>-16.875</v>
      </c>
      <c r="CF32">
        <v>0.99921875000000004</v>
      </c>
    </row>
    <row r="33" spans="1:84" x14ac:dyDescent="0.2">
      <c r="A33" s="39">
        <v>43744</v>
      </c>
      <c r="B33" s="22" t="s">
        <v>381</v>
      </c>
      <c r="C33" s="41" t="s">
        <v>295</v>
      </c>
      <c r="D33" s="22" t="s">
        <v>311</v>
      </c>
      <c r="E33">
        <v>7.2</v>
      </c>
      <c r="F33">
        <v>19.8</v>
      </c>
      <c r="G33" s="14">
        <v>15.3</v>
      </c>
      <c r="H33">
        <v>13.6</v>
      </c>
      <c r="I33">
        <v>4</v>
      </c>
      <c r="J33">
        <v>49</v>
      </c>
      <c r="K33" t="s">
        <v>109</v>
      </c>
      <c r="L33" s="1" t="s">
        <v>295</v>
      </c>
      <c r="M33">
        <v>20</v>
      </c>
      <c r="N33">
        <v>3.9087499999999995</v>
      </c>
      <c r="O33">
        <v>-2.9312499999999999</v>
      </c>
      <c r="P33">
        <v>-8.5</v>
      </c>
      <c r="Q33">
        <v>0.15625</v>
      </c>
      <c r="R33">
        <v>13.256249999999998</v>
      </c>
      <c r="S33">
        <v>57.0625</v>
      </c>
      <c r="T33">
        <v>4.875</v>
      </c>
      <c r="U33">
        <v>4</v>
      </c>
      <c r="V33">
        <v>7</v>
      </c>
      <c r="W33">
        <v>-2.9375</v>
      </c>
      <c r="X33">
        <v>14</v>
      </c>
      <c r="Y33">
        <v>14</v>
      </c>
      <c r="Z33">
        <v>7</v>
      </c>
      <c r="AA33">
        <v>8.6407846699750601E-3</v>
      </c>
      <c r="AB33">
        <v>9</v>
      </c>
      <c r="AC33">
        <v>-6.3238579316578867E-3</v>
      </c>
      <c r="AD33">
        <v>26</v>
      </c>
      <c r="AE33">
        <v>-0.31875000000000142</v>
      </c>
      <c r="AF33">
        <v>14</v>
      </c>
      <c r="AG33">
        <v>2.375</v>
      </c>
      <c r="AH33">
        <v>1.75</v>
      </c>
      <c r="AI33">
        <v>-2.375</v>
      </c>
      <c r="AJ33">
        <v>-0.875</v>
      </c>
      <c r="AK33">
        <v>35.125</v>
      </c>
      <c r="AL33">
        <v>62.875</v>
      </c>
      <c r="AM33">
        <v>-22.3125</v>
      </c>
      <c r="AN33">
        <v>-6.3125</v>
      </c>
      <c r="AO33">
        <v>0.875</v>
      </c>
      <c r="AP33">
        <v>3</v>
      </c>
      <c r="AQ33">
        <v>6.84</v>
      </c>
      <c r="AR33">
        <v>4.898625</v>
      </c>
      <c r="AS33">
        <v>85.1875</v>
      </c>
      <c r="AT33">
        <v>-6.84</v>
      </c>
      <c r="AU33">
        <v>1.6307812499999996</v>
      </c>
      <c r="AV33">
        <v>0.38820312499999987</v>
      </c>
      <c r="AW33">
        <v>0.4342187500000001</v>
      </c>
      <c r="AX33" t="s">
        <v>311</v>
      </c>
      <c r="AY33">
        <v>6</v>
      </c>
      <c r="AZ33">
        <v>0.65000000000000036</v>
      </c>
      <c r="BA33">
        <v>-1.7000000000000024</v>
      </c>
      <c r="BB33">
        <v>-14.3125</v>
      </c>
      <c r="BC33">
        <v>1.9375</v>
      </c>
      <c r="BD33">
        <v>3.3499999999999988</v>
      </c>
      <c r="BE33">
        <v>11.8125</v>
      </c>
      <c r="BF33">
        <v>1.625</v>
      </c>
      <c r="BG33">
        <v>22</v>
      </c>
      <c r="BH33">
        <v>21.5</v>
      </c>
      <c r="BI33">
        <v>0.75</v>
      </c>
      <c r="BJ33">
        <v>27</v>
      </c>
      <c r="BK33">
        <v>22.75</v>
      </c>
      <c r="BL33">
        <v>31</v>
      </c>
      <c r="BM33">
        <v>1.7938899789888649E-2</v>
      </c>
      <c r="BN33">
        <v>30</v>
      </c>
      <c r="BO33">
        <v>1.2299206837006839E-2</v>
      </c>
      <c r="BP33">
        <v>2</v>
      </c>
      <c r="BQ33">
        <v>-10.268749999999999</v>
      </c>
      <c r="BR33">
        <v>28</v>
      </c>
      <c r="BS33">
        <v>1.5</v>
      </c>
      <c r="BT33">
        <v>2.75</v>
      </c>
      <c r="BU33">
        <v>-1.5625</v>
      </c>
      <c r="BV33">
        <v>-1</v>
      </c>
      <c r="BW33">
        <v>10.0625</v>
      </c>
      <c r="BX33">
        <v>17.6875</v>
      </c>
      <c r="BY33">
        <v>-14.8125</v>
      </c>
      <c r="BZ33">
        <v>-1.125</v>
      </c>
      <c r="CA33">
        <v>8.3125</v>
      </c>
      <c r="CB33">
        <v>14</v>
      </c>
      <c r="CC33">
        <v>2.3500000000000028</v>
      </c>
      <c r="CD33">
        <v>1.6500000000000008</v>
      </c>
      <c r="CE33">
        <v>32.5</v>
      </c>
      <c r="CF33">
        <v>0.34218749999999964</v>
      </c>
    </row>
    <row r="34" spans="1:84" x14ac:dyDescent="0.2">
      <c r="A34" s="39">
        <v>43744</v>
      </c>
      <c r="B34" s="22" t="s">
        <v>381</v>
      </c>
      <c r="C34" s="41" t="s">
        <v>305</v>
      </c>
      <c r="D34" s="22" t="s">
        <v>309</v>
      </c>
      <c r="E34">
        <v>11.2</v>
      </c>
      <c r="F34">
        <v>9.1</v>
      </c>
      <c r="G34" s="14">
        <v>0</v>
      </c>
      <c r="H34">
        <f>9.5+7.2</f>
        <v>16.7</v>
      </c>
      <c r="I34">
        <v>-3</v>
      </c>
      <c r="J34">
        <v>44</v>
      </c>
      <c r="L34" s="1" t="s">
        <v>305</v>
      </c>
      <c r="M34">
        <v>1</v>
      </c>
      <c r="N34">
        <v>7.4250000000000025</v>
      </c>
      <c r="O34">
        <v>0.63749999999999929</v>
      </c>
      <c r="P34">
        <v>7</v>
      </c>
      <c r="Q34">
        <v>-2.125</v>
      </c>
      <c r="R34">
        <v>5.0187500000000007</v>
      </c>
      <c r="S34">
        <v>25.4375</v>
      </c>
      <c r="T34">
        <v>2.625</v>
      </c>
      <c r="U34">
        <v>8</v>
      </c>
      <c r="V34">
        <v>8.5</v>
      </c>
      <c r="W34">
        <v>-5.5625</v>
      </c>
      <c r="X34">
        <v>31</v>
      </c>
      <c r="Y34">
        <v>29.25</v>
      </c>
      <c r="Z34">
        <v>27</v>
      </c>
      <c r="AA34">
        <v>-2.6148085628996856E-2</v>
      </c>
      <c r="AB34">
        <v>31</v>
      </c>
      <c r="AC34">
        <v>-8.4598196901805311E-3</v>
      </c>
      <c r="AD34">
        <v>27</v>
      </c>
      <c r="AE34">
        <v>5.0000000000000036</v>
      </c>
      <c r="AF34">
        <v>32</v>
      </c>
      <c r="AG34">
        <v>-2.125</v>
      </c>
      <c r="AH34">
        <v>7.0625</v>
      </c>
      <c r="AI34">
        <v>6.6875</v>
      </c>
      <c r="AJ34">
        <v>-1.875</v>
      </c>
      <c r="AK34">
        <v>50.4375</v>
      </c>
      <c r="AL34">
        <v>3.75</v>
      </c>
      <c r="AM34">
        <v>11.3125</v>
      </c>
      <c r="AN34">
        <v>-3.75</v>
      </c>
      <c r="AO34">
        <v>39.125</v>
      </c>
      <c r="AP34">
        <v>4</v>
      </c>
      <c r="AQ34">
        <v>6.7875000000000032</v>
      </c>
      <c r="AR34">
        <v>2.1700000000000008</v>
      </c>
      <c r="AS34">
        <v>-7.5625</v>
      </c>
      <c r="AT34">
        <v>-6.7875000000000032</v>
      </c>
      <c r="AU34">
        <v>1.5570312500000001</v>
      </c>
      <c r="AV34">
        <v>0.45164062499999996</v>
      </c>
      <c r="AW34">
        <v>1.5029687499999997</v>
      </c>
      <c r="AX34" t="s">
        <v>309</v>
      </c>
      <c r="AY34">
        <v>31</v>
      </c>
      <c r="AZ34">
        <v>-1.2000000000000002</v>
      </c>
      <c r="BA34">
        <v>-4.21875</v>
      </c>
      <c r="BB34">
        <v>2.5</v>
      </c>
      <c r="BC34">
        <v>0.5625</v>
      </c>
      <c r="BD34">
        <v>0.30875000000000186</v>
      </c>
      <c r="BE34">
        <v>1.3125</v>
      </c>
      <c r="BF34">
        <v>-1</v>
      </c>
      <c r="BG34">
        <v>30</v>
      </c>
      <c r="BH34">
        <v>27.5</v>
      </c>
      <c r="BI34">
        <v>-6.1875</v>
      </c>
      <c r="BJ34">
        <v>1</v>
      </c>
      <c r="BK34">
        <v>5.25</v>
      </c>
      <c r="BL34">
        <v>2</v>
      </c>
      <c r="BM34">
        <v>2.9386065628514507E-2</v>
      </c>
      <c r="BN34">
        <v>1</v>
      </c>
      <c r="BO34">
        <v>2.037718056225957E-2</v>
      </c>
      <c r="BP34">
        <v>16</v>
      </c>
      <c r="BQ34">
        <v>0.71250000000000036</v>
      </c>
      <c r="BR34">
        <v>2</v>
      </c>
      <c r="BS34">
        <v>1.375</v>
      </c>
      <c r="BT34">
        <v>3.3125</v>
      </c>
      <c r="BU34">
        <v>-0.9375</v>
      </c>
      <c r="BV34">
        <v>-2.625</v>
      </c>
      <c r="BW34">
        <v>12.3125</v>
      </c>
      <c r="BX34">
        <v>4.3125</v>
      </c>
      <c r="BY34">
        <v>10.5</v>
      </c>
      <c r="BZ34">
        <v>-4.375</v>
      </c>
      <c r="CA34">
        <v>1.875</v>
      </c>
      <c r="CB34">
        <v>12</v>
      </c>
      <c r="CC34">
        <v>3.0187499999999998</v>
      </c>
      <c r="CD34">
        <v>1.9311250000000004</v>
      </c>
      <c r="CE34">
        <v>-6.1875</v>
      </c>
      <c r="CF34">
        <v>-0.59968749999999982</v>
      </c>
    </row>
    <row r="35" spans="1:84" x14ac:dyDescent="0.2">
      <c r="A35" s="39">
        <v>43744</v>
      </c>
      <c r="B35" s="22" t="s">
        <v>381</v>
      </c>
      <c r="C35" s="41" t="s">
        <v>276</v>
      </c>
      <c r="D35" s="22" t="s">
        <v>310</v>
      </c>
      <c r="E35">
        <v>12.5</v>
      </c>
      <c r="F35">
        <v>5.0999999999999996</v>
      </c>
      <c r="G35" s="14">
        <v>7.2</v>
      </c>
      <c r="H35">
        <f>7.8+3.2</f>
        <v>11</v>
      </c>
      <c r="I35">
        <v>3.5</v>
      </c>
      <c r="J35">
        <v>39.5</v>
      </c>
      <c r="L35" s="1" t="s">
        <v>276</v>
      </c>
      <c r="M35">
        <v>5</v>
      </c>
      <c r="N35">
        <v>2.0812499999999998</v>
      </c>
      <c r="O35">
        <v>-8.3749999999997993E-2</v>
      </c>
      <c r="P35">
        <v>26.625</v>
      </c>
      <c r="Q35">
        <v>-1.6875</v>
      </c>
      <c r="R35">
        <v>2.5562500000000021</v>
      </c>
      <c r="S35">
        <v>18.5</v>
      </c>
      <c r="T35">
        <v>4.0625</v>
      </c>
      <c r="U35">
        <v>25</v>
      </c>
      <c r="V35">
        <v>23</v>
      </c>
      <c r="W35">
        <v>-3.0625</v>
      </c>
      <c r="X35">
        <v>24</v>
      </c>
      <c r="Y35">
        <v>20.75</v>
      </c>
      <c r="Z35">
        <v>25</v>
      </c>
      <c r="AA35">
        <v>4.8865664055347965E-2</v>
      </c>
      <c r="AB35">
        <v>25</v>
      </c>
      <c r="AC35">
        <v>-8.1191325016074806E-3</v>
      </c>
      <c r="AD35">
        <v>5</v>
      </c>
      <c r="AE35">
        <v>13.156250000000002</v>
      </c>
      <c r="AF35">
        <v>28</v>
      </c>
      <c r="AG35">
        <v>2.0625</v>
      </c>
      <c r="AH35">
        <v>6.625</v>
      </c>
      <c r="AI35">
        <v>-0.1875</v>
      </c>
      <c r="AJ35">
        <v>-1.75</v>
      </c>
      <c r="AK35">
        <v>48.0625</v>
      </c>
      <c r="AL35">
        <v>2.8125</v>
      </c>
      <c r="AM35">
        <v>23.1875</v>
      </c>
      <c r="AN35">
        <v>1.625</v>
      </c>
      <c r="AO35">
        <v>20.4375</v>
      </c>
      <c r="AP35">
        <v>15</v>
      </c>
      <c r="AQ35">
        <v>2.1649999999999978</v>
      </c>
      <c r="AR35">
        <v>0.96937499999999943</v>
      </c>
      <c r="AS35">
        <v>-20.375</v>
      </c>
      <c r="AT35">
        <v>-2.1649999999999978</v>
      </c>
      <c r="AU35">
        <v>0.49109375000000055</v>
      </c>
      <c r="AV35">
        <v>-1.8165625000000001</v>
      </c>
      <c r="AW35">
        <v>-1.8807812500000001</v>
      </c>
      <c r="AX35" t="s">
        <v>310</v>
      </c>
      <c r="AY35">
        <v>11</v>
      </c>
      <c r="AZ35">
        <v>-2.8562500000000011</v>
      </c>
      <c r="BA35">
        <v>-3.3125000000000004</v>
      </c>
      <c r="BB35">
        <v>-32.125</v>
      </c>
      <c r="BC35">
        <v>1.4375</v>
      </c>
      <c r="BD35">
        <v>-5.0374999999999979</v>
      </c>
      <c r="BE35">
        <v>-23.0625</v>
      </c>
      <c r="BF35">
        <v>2.8125</v>
      </c>
      <c r="BG35">
        <v>3</v>
      </c>
      <c r="BH35">
        <v>3.5</v>
      </c>
      <c r="BI35">
        <v>-6.25E-2</v>
      </c>
      <c r="BJ35">
        <v>15</v>
      </c>
      <c r="BK35">
        <v>15.75</v>
      </c>
      <c r="BL35">
        <v>16</v>
      </c>
      <c r="BM35">
        <v>-4.5311423022476961E-2</v>
      </c>
      <c r="BN35">
        <v>21</v>
      </c>
      <c r="BO35">
        <v>8.4223789839801139E-3</v>
      </c>
      <c r="BP35">
        <v>13</v>
      </c>
      <c r="BQ35">
        <v>1.6312500000000014</v>
      </c>
      <c r="BR35">
        <v>13</v>
      </c>
      <c r="BS35">
        <v>3.625</v>
      </c>
      <c r="BT35">
        <v>1.0625</v>
      </c>
      <c r="BU35">
        <v>-5.5625</v>
      </c>
      <c r="BV35">
        <v>0</v>
      </c>
      <c r="BW35">
        <v>-24.1875</v>
      </c>
      <c r="BX35">
        <v>-14.6875</v>
      </c>
      <c r="BY35">
        <v>-15.25</v>
      </c>
      <c r="BZ35">
        <v>2.1875</v>
      </c>
      <c r="CA35">
        <v>3.5625</v>
      </c>
      <c r="CB35">
        <v>17</v>
      </c>
      <c r="CC35">
        <v>0.45624999999999938</v>
      </c>
      <c r="CD35">
        <v>7.7500000000000346E-2</v>
      </c>
      <c r="CE35">
        <v>0.5625</v>
      </c>
      <c r="CF35">
        <v>-1.7523437500000001</v>
      </c>
    </row>
    <row r="36" spans="1:84" x14ac:dyDescent="0.2">
      <c r="A36" s="39">
        <v>43744</v>
      </c>
      <c r="B36" s="26" t="s">
        <v>381</v>
      </c>
      <c r="C36" s="41" t="s">
        <v>301</v>
      </c>
      <c r="D36" s="26" t="s">
        <v>297</v>
      </c>
      <c r="E36">
        <v>15.1</v>
      </c>
      <c r="F36">
        <v>7.4</v>
      </c>
      <c r="G36">
        <v>1.6</v>
      </c>
      <c r="H36">
        <v>0</v>
      </c>
      <c r="I36">
        <v>-3</v>
      </c>
      <c r="J36">
        <v>41</v>
      </c>
      <c r="L36" s="1" t="s">
        <v>301</v>
      </c>
      <c r="M36">
        <v>13</v>
      </c>
      <c r="N36">
        <v>-7.4162500000000016</v>
      </c>
      <c r="O36">
        <v>10.025</v>
      </c>
      <c r="P36">
        <v>23.9375</v>
      </c>
      <c r="Q36">
        <v>1.9375</v>
      </c>
      <c r="R36">
        <v>-10.86875</v>
      </c>
      <c r="S36">
        <v>-34.1875</v>
      </c>
      <c r="T36">
        <v>-1.8125</v>
      </c>
      <c r="U36">
        <v>32</v>
      </c>
      <c r="V36">
        <v>31.5</v>
      </c>
      <c r="W36">
        <v>-0.25</v>
      </c>
      <c r="X36">
        <v>4</v>
      </c>
      <c r="Y36">
        <v>8.5</v>
      </c>
      <c r="Z36">
        <v>4</v>
      </c>
      <c r="AA36">
        <v>-4.5584458250567242E-2</v>
      </c>
      <c r="AB36">
        <v>6</v>
      </c>
      <c r="AC36">
        <v>-1.2075379876415326E-3</v>
      </c>
      <c r="AD36">
        <v>17</v>
      </c>
      <c r="AE36">
        <v>-7.2249999999999961</v>
      </c>
      <c r="AF36">
        <v>7</v>
      </c>
      <c r="AG36">
        <v>-0.4375</v>
      </c>
      <c r="AH36">
        <v>-0.875</v>
      </c>
      <c r="AI36">
        <v>-0.3125</v>
      </c>
      <c r="AJ36">
        <v>-1.8125</v>
      </c>
      <c r="AK36">
        <v>-17.375</v>
      </c>
      <c r="AL36">
        <v>-25.3125</v>
      </c>
      <c r="AM36">
        <v>23</v>
      </c>
      <c r="AN36">
        <v>1.1875</v>
      </c>
      <c r="AO36">
        <v>-16.25</v>
      </c>
      <c r="AP36">
        <v>32</v>
      </c>
      <c r="AQ36">
        <v>-17.44125</v>
      </c>
      <c r="AR36">
        <v>-8.6695000000000011</v>
      </c>
      <c r="AS36">
        <v>-48.3125</v>
      </c>
      <c r="AT36">
        <v>17.441250000000004</v>
      </c>
      <c r="AU36">
        <v>-0.9231250000000002</v>
      </c>
      <c r="AV36">
        <v>-1.8827343749999996</v>
      </c>
      <c r="AW36">
        <v>-2.5043749999999996</v>
      </c>
      <c r="AX36" t="s">
        <v>297</v>
      </c>
      <c r="AY36">
        <v>20</v>
      </c>
      <c r="AZ36">
        <v>0.13625000000000131</v>
      </c>
      <c r="BA36">
        <v>-5.4562499999999989</v>
      </c>
      <c r="BB36">
        <v>-3.6875</v>
      </c>
      <c r="BC36">
        <v>-2.1875</v>
      </c>
      <c r="BD36">
        <v>-5.3937500000000007</v>
      </c>
      <c r="BE36">
        <v>-6.6875</v>
      </c>
      <c r="BF36">
        <v>-0.6875</v>
      </c>
      <c r="BG36">
        <v>26</v>
      </c>
      <c r="BH36">
        <v>25</v>
      </c>
      <c r="BI36">
        <v>-1.625</v>
      </c>
      <c r="BJ36">
        <v>20</v>
      </c>
      <c r="BK36">
        <v>16.75</v>
      </c>
      <c r="BL36">
        <v>21</v>
      </c>
      <c r="BM36">
        <v>-4.544422223147021E-3</v>
      </c>
      <c r="BN36">
        <v>5</v>
      </c>
      <c r="BO36">
        <v>-6.5513804596851015E-3</v>
      </c>
      <c r="BP36">
        <v>32</v>
      </c>
      <c r="BQ36">
        <v>-2.6062499999999975</v>
      </c>
      <c r="BR36">
        <v>9</v>
      </c>
      <c r="BS36">
        <v>0.1875</v>
      </c>
      <c r="BT36">
        <v>0.125</v>
      </c>
      <c r="BU36">
        <v>1.0625</v>
      </c>
      <c r="BV36">
        <v>-1</v>
      </c>
      <c r="BW36">
        <v>-3.3125</v>
      </c>
      <c r="BX36">
        <v>7.4375</v>
      </c>
      <c r="BY36">
        <v>-4.25</v>
      </c>
      <c r="BZ36">
        <v>-0.5</v>
      </c>
      <c r="CA36">
        <v>-6</v>
      </c>
      <c r="CB36">
        <v>6</v>
      </c>
      <c r="CC36">
        <v>5.5925000000000011</v>
      </c>
      <c r="CD36">
        <v>1.6766249999999996</v>
      </c>
      <c r="CE36">
        <v>11.6875</v>
      </c>
      <c r="CF36">
        <v>-1.2610937499999999</v>
      </c>
    </row>
    <row r="37" spans="1:84" x14ac:dyDescent="0.2">
      <c r="A37" s="39">
        <v>43744</v>
      </c>
      <c r="B37" s="22" t="s">
        <v>381</v>
      </c>
      <c r="C37" s="41" t="s">
        <v>265</v>
      </c>
      <c r="D37" s="22" t="s">
        <v>303</v>
      </c>
      <c r="E37">
        <v>28.7</v>
      </c>
      <c r="F37">
        <v>9.1999999999999993</v>
      </c>
      <c r="G37">
        <v>0</v>
      </c>
      <c r="H37">
        <v>7.2</v>
      </c>
      <c r="I37">
        <v>-6.5</v>
      </c>
      <c r="J37">
        <v>38.5</v>
      </c>
      <c r="L37" s="1" t="s">
        <v>265</v>
      </c>
      <c r="M37">
        <v>26</v>
      </c>
      <c r="N37">
        <v>-4.1449999999999996</v>
      </c>
      <c r="O37">
        <v>-7.7812499999999982</v>
      </c>
      <c r="P37">
        <v>-49.25</v>
      </c>
      <c r="Q37">
        <v>3</v>
      </c>
      <c r="R37">
        <v>-7.8187499999999988</v>
      </c>
      <c r="S37">
        <v>-30.3125</v>
      </c>
      <c r="T37">
        <v>-2.5625</v>
      </c>
      <c r="U37">
        <v>30</v>
      </c>
      <c r="V37">
        <v>29.5</v>
      </c>
      <c r="W37">
        <v>5.5625</v>
      </c>
      <c r="X37">
        <v>18</v>
      </c>
      <c r="Y37">
        <v>15.5</v>
      </c>
      <c r="Z37">
        <v>20</v>
      </c>
      <c r="AA37">
        <v>-4.3696668204843511E-2</v>
      </c>
      <c r="AB37">
        <v>11</v>
      </c>
      <c r="AC37">
        <v>1.6936227348068079E-3</v>
      </c>
      <c r="AD37">
        <v>20</v>
      </c>
      <c r="AE37">
        <v>-12.6</v>
      </c>
      <c r="AF37">
        <v>11</v>
      </c>
      <c r="AG37">
        <v>-0.1875</v>
      </c>
      <c r="AH37">
        <v>-2.1875</v>
      </c>
      <c r="AI37">
        <v>-5.8125</v>
      </c>
      <c r="AJ37">
        <v>0.875</v>
      </c>
      <c r="AK37">
        <v>-75.75</v>
      </c>
      <c r="AL37">
        <v>-32.6875</v>
      </c>
      <c r="AM37">
        <v>-50.875</v>
      </c>
      <c r="AN37">
        <v>13.6875</v>
      </c>
      <c r="AO37">
        <v>-5.875</v>
      </c>
      <c r="AP37">
        <v>11</v>
      </c>
      <c r="AQ37">
        <v>3.6362499999999986</v>
      </c>
      <c r="AR37">
        <v>1.4978749999999996</v>
      </c>
      <c r="AS37">
        <v>18.1875</v>
      </c>
      <c r="AT37">
        <v>-3.6362499999999986</v>
      </c>
      <c r="AU37">
        <v>-2.1790624999999997</v>
      </c>
      <c r="AV37">
        <v>-0.49359374999999994</v>
      </c>
      <c r="AW37">
        <v>-1.1498437500000001</v>
      </c>
      <c r="AX37" t="s">
        <v>303</v>
      </c>
      <c r="AY37">
        <v>13</v>
      </c>
      <c r="AZ37">
        <v>2.151250000000001</v>
      </c>
      <c r="BA37">
        <v>-5.4562499999999998</v>
      </c>
      <c r="BB37">
        <v>-16.8125</v>
      </c>
      <c r="BC37">
        <v>-0.375</v>
      </c>
      <c r="BD37">
        <v>3.5437500000000006</v>
      </c>
      <c r="BE37">
        <v>0.5625</v>
      </c>
      <c r="BF37">
        <v>-0.875</v>
      </c>
      <c r="BG37">
        <v>27</v>
      </c>
      <c r="BH37">
        <v>25.5</v>
      </c>
      <c r="BI37">
        <v>-6.25E-2</v>
      </c>
      <c r="BJ37">
        <v>10</v>
      </c>
      <c r="BK37">
        <v>13.25</v>
      </c>
      <c r="BL37">
        <v>12</v>
      </c>
      <c r="BM37">
        <v>-5.9665727717543776E-2</v>
      </c>
      <c r="BN37">
        <v>11</v>
      </c>
      <c r="BO37">
        <v>-1.5936237675368108E-2</v>
      </c>
      <c r="BP37">
        <v>12</v>
      </c>
      <c r="BQ37">
        <v>0.55625000000000036</v>
      </c>
      <c r="BR37">
        <v>18</v>
      </c>
      <c r="BS37">
        <v>-0.8125</v>
      </c>
      <c r="BT37">
        <v>0.5625</v>
      </c>
      <c r="BU37">
        <v>2</v>
      </c>
      <c r="BV37">
        <v>-0.4375</v>
      </c>
      <c r="BW37">
        <v>4.9375</v>
      </c>
      <c r="BX37">
        <v>23</v>
      </c>
      <c r="BY37">
        <v>-14.3125</v>
      </c>
      <c r="BZ37">
        <v>-1.9375</v>
      </c>
      <c r="CA37">
        <v>-1.8125</v>
      </c>
      <c r="CB37">
        <v>2</v>
      </c>
      <c r="CC37">
        <v>7.6075000000000008</v>
      </c>
      <c r="CD37">
        <v>3.8671250000000006</v>
      </c>
      <c r="CE37">
        <v>37.3125</v>
      </c>
      <c r="CF37">
        <v>0.16265625000000011</v>
      </c>
    </row>
    <row r="38" spans="1:84" x14ac:dyDescent="0.2">
      <c r="A38" s="39">
        <v>43744</v>
      </c>
      <c r="B38" s="22" t="s">
        <v>381</v>
      </c>
      <c r="C38" s="17" t="s">
        <v>272</v>
      </c>
      <c r="D38" s="22" t="s">
        <v>285</v>
      </c>
      <c r="E38">
        <v>31.3</v>
      </c>
      <c r="F38">
        <v>11.6</v>
      </c>
      <c r="G38">
        <v>7.8</v>
      </c>
      <c r="H38">
        <f>3.6+3.4</f>
        <v>7</v>
      </c>
      <c r="I38">
        <v>-3</v>
      </c>
      <c r="J38">
        <v>45</v>
      </c>
      <c r="K38" t="s">
        <v>109</v>
      </c>
      <c r="L38" s="1" t="s">
        <v>272</v>
      </c>
      <c r="M38">
        <v>24</v>
      </c>
      <c r="N38">
        <v>2.4499999999999993</v>
      </c>
      <c r="O38">
        <v>-4.6312499999999996</v>
      </c>
      <c r="P38">
        <v>-26.8125</v>
      </c>
      <c r="Q38">
        <v>0.4375</v>
      </c>
      <c r="R38">
        <v>9.5824999999999996</v>
      </c>
      <c r="S38">
        <v>67.5</v>
      </c>
      <c r="T38">
        <v>5.625</v>
      </c>
      <c r="U38">
        <v>12</v>
      </c>
      <c r="V38">
        <v>11.5</v>
      </c>
      <c r="W38">
        <v>-5.1875</v>
      </c>
      <c r="X38">
        <v>10</v>
      </c>
      <c r="Y38">
        <v>12.75</v>
      </c>
      <c r="Z38">
        <v>13</v>
      </c>
      <c r="AA38">
        <v>-6.2125562085284108E-3</v>
      </c>
      <c r="AB38">
        <v>15</v>
      </c>
      <c r="AC38">
        <v>2.9286278912009522E-2</v>
      </c>
      <c r="AD38">
        <v>11</v>
      </c>
      <c r="AE38">
        <v>11.950000000000001</v>
      </c>
      <c r="AF38">
        <v>12</v>
      </c>
      <c r="AG38">
        <v>2.25</v>
      </c>
      <c r="AH38">
        <v>2.625</v>
      </c>
      <c r="AI38">
        <v>-2</v>
      </c>
      <c r="AJ38">
        <v>-2.3125</v>
      </c>
      <c r="AK38">
        <v>13.1875</v>
      </c>
      <c r="AL38">
        <v>55.0625</v>
      </c>
      <c r="AM38">
        <v>-33.4375</v>
      </c>
      <c r="AN38">
        <v>-4.0625</v>
      </c>
      <c r="AO38">
        <v>-4.375</v>
      </c>
      <c r="AP38">
        <v>2</v>
      </c>
      <c r="AQ38">
        <v>7.0812499999999989</v>
      </c>
      <c r="AR38">
        <v>4.7221250000000001</v>
      </c>
      <c r="AS38">
        <v>88.5</v>
      </c>
      <c r="AT38">
        <v>-7.0812499999999989</v>
      </c>
      <c r="AU38">
        <v>0.9329687499999999</v>
      </c>
      <c r="AV38">
        <v>1.0528124999999999</v>
      </c>
      <c r="AW38">
        <v>0.99921875000000004</v>
      </c>
      <c r="AX38" t="s">
        <v>285</v>
      </c>
      <c r="AY38">
        <v>1</v>
      </c>
      <c r="AZ38">
        <v>3.2575000000000003</v>
      </c>
      <c r="BA38">
        <v>-3.6125000000000007</v>
      </c>
      <c r="BB38">
        <v>5.625</v>
      </c>
      <c r="BC38">
        <v>-1.53125</v>
      </c>
      <c r="BD38">
        <v>7.581249999999998</v>
      </c>
      <c r="BE38">
        <v>11.125</v>
      </c>
      <c r="BF38">
        <v>-0.875</v>
      </c>
      <c r="BG38">
        <v>19</v>
      </c>
      <c r="BH38">
        <v>20.5</v>
      </c>
      <c r="BI38">
        <v>2.5</v>
      </c>
      <c r="BJ38">
        <v>26</v>
      </c>
      <c r="BK38">
        <v>22</v>
      </c>
      <c r="BL38">
        <v>5</v>
      </c>
      <c r="BM38">
        <v>5.8014033271198306E-2</v>
      </c>
      <c r="BN38">
        <v>31</v>
      </c>
      <c r="BO38">
        <v>7.8038762471132062E-3</v>
      </c>
      <c r="BP38">
        <v>20</v>
      </c>
      <c r="BQ38">
        <v>6.0812500000000007</v>
      </c>
      <c r="BR38">
        <v>32</v>
      </c>
      <c r="BS38">
        <v>-3</v>
      </c>
      <c r="BT38">
        <v>0.125</v>
      </c>
      <c r="BU38">
        <v>1.125</v>
      </c>
      <c r="BV38">
        <v>0.75</v>
      </c>
      <c r="BW38">
        <v>24.6875</v>
      </c>
      <c r="BX38">
        <v>12.0625</v>
      </c>
      <c r="BY38">
        <v>-3.0625</v>
      </c>
      <c r="BZ38">
        <v>2.8125</v>
      </c>
      <c r="CA38">
        <v>12.875</v>
      </c>
      <c r="CB38">
        <v>3</v>
      </c>
      <c r="CC38">
        <v>6.87</v>
      </c>
      <c r="CD38">
        <v>3.9740000000000002</v>
      </c>
      <c r="CE38">
        <v>15.125</v>
      </c>
      <c r="CF38">
        <v>1.1064062499999998</v>
      </c>
    </row>
    <row r="39" spans="1:84" x14ac:dyDescent="0.2">
      <c r="A39" s="39">
        <v>43744</v>
      </c>
      <c r="B39" s="22" t="s">
        <v>381</v>
      </c>
      <c r="C39" s="41" t="s">
        <v>281</v>
      </c>
      <c r="D39" s="22" t="s">
        <v>256</v>
      </c>
      <c r="E39">
        <v>6</v>
      </c>
      <c r="F39">
        <v>11.5</v>
      </c>
      <c r="G39">
        <v>0</v>
      </c>
      <c r="H39">
        <v>1</v>
      </c>
      <c r="I39">
        <v>5</v>
      </c>
      <c r="J39">
        <v>47.5</v>
      </c>
      <c r="L39" s="1" t="s">
        <v>281</v>
      </c>
      <c r="M39">
        <v>10</v>
      </c>
      <c r="N39">
        <v>-2.3975000000000004</v>
      </c>
      <c r="O39">
        <v>6.1625000000000005</v>
      </c>
      <c r="P39">
        <v>31.75</v>
      </c>
      <c r="Q39">
        <v>0.4375</v>
      </c>
      <c r="R39">
        <v>-1.8562500000000013</v>
      </c>
      <c r="S39">
        <v>12.4375</v>
      </c>
      <c r="T39">
        <v>-2.125</v>
      </c>
      <c r="U39">
        <v>4</v>
      </c>
      <c r="V39">
        <v>7</v>
      </c>
      <c r="W39">
        <v>-0.3125</v>
      </c>
      <c r="X39">
        <v>30</v>
      </c>
      <c r="Y39">
        <v>29</v>
      </c>
      <c r="Z39">
        <v>31</v>
      </c>
      <c r="AA39">
        <v>9.5083369728665573E-3</v>
      </c>
      <c r="AB39">
        <v>30</v>
      </c>
      <c r="AC39">
        <v>2.4155765469367922E-2</v>
      </c>
      <c r="AD39">
        <v>24</v>
      </c>
      <c r="AE39">
        <v>-10.837499999999999</v>
      </c>
      <c r="AF39">
        <v>31</v>
      </c>
      <c r="AG39">
        <v>0.625</v>
      </c>
      <c r="AH39">
        <v>-0.375</v>
      </c>
      <c r="AI39">
        <v>0.625</v>
      </c>
      <c r="AJ39">
        <v>-1.3125</v>
      </c>
      <c r="AK39">
        <v>32.9375</v>
      </c>
      <c r="AL39">
        <v>11.9375</v>
      </c>
      <c r="AM39">
        <v>28.4375</v>
      </c>
      <c r="AN39">
        <v>0.3125</v>
      </c>
      <c r="AO39">
        <v>-7.75</v>
      </c>
      <c r="AP39">
        <v>28</v>
      </c>
      <c r="AQ39">
        <v>-8.5600000000000023</v>
      </c>
      <c r="AR39">
        <v>-3.9320000000000004</v>
      </c>
      <c r="AS39">
        <v>-16.5</v>
      </c>
      <c r="AT39">
        <v>8.56</v>
      </c>
      <c r="AU39">
        <v>0.21515624999999994</v>
      </c>
      <c r="AV39">
        <v>-1.7214062500000002</v>
      </c>
      <c r="AW39">
        <v>-0.1839062500000001</v>
      </c>
      <c r="AX39" t="s">
        <v>256</v>
      </c>
      <c r="AY39">
        <v>22</v>
      </c>
      <c r="AZ39">
        <v>-5</v>
      </c>
      <c r="BA39">
        <v>-9.8587500000000006</v>
      </c>
      <c r="BB39">
        <v>-10.75</v>
      </c>
      <c r="BC39">
        <v>-1.25</v>
      </c>
      <c r="BD39">
        <v>-8.5874999999999986</v>
      </c>
      <c r="BE39">
        <v>-46.75</v>
      </c>
      <c r="BF39">
        <v>-3.25</v>
      </c>
      <c r="BG39">
        <v>18</v>
      </c>
      <c r="BH39">
        <v>20</v>
      </c>
      <c r="BI39">
        <v>-1.75</v>
      </c>
      <c r="BJ39">
        <v>13</v>
      </c>
      <c r="BK39">
        <v>14.75</v>
      </c>
      <c r="BL39">
        <v>23</v>
      </c>
      <c r="BM39">
        <v>5.5721404286772871E-2</v>
      </c>
      <c r="BN39">
        <v>8</v>
      </c>
      <c r="BO39">
        <v>2.3556784810244046E-2</v>
      </c>
      <c r="BP39">
        <v>24</v>
      </c>
      <c r="BQ39">
        <v>-20.75</v>
      </c>
      <c r="BR39">
        <v>4</v>
      </c>
      <c r="BS39">
        <v>5.375</v>
      </c>
      <c r="BT39">
        <v>-5.5625</v>
      </c>
      <c r="BU39">
        <v>-8.1875</v>
      </c>
      <c r="BV39">
        <v>0.875</v>
      </c>
      <c r="BW39">
        <v>-79.6875</v>
      </c>
      <c r="BX39">
        <v>-75.8125</v>
      </c>
      <c r="BY39">
        <v>-12.5</v>
      </c>
      <c r="BZ39">
        <v>4.9375</v>
      </c>
      <c r="CA39">
        <v>3.6875</v>
      </c>
      <c r="CB39">
        <v>7</v>
      </c>
      <c r="CC39">
        <v>4.8587500000000006</v>
      </c>
      <c r="CD39">
        <v>2.211875</v>
      </c>
      <c r="CE39">
        <v>-63.3125</v>
      </c>
      <c r="CF39">
        <v>-3.2589062500000003</v>
      </c>
    </row>
    <row r="40" spans="1:84" x14ac:dyDescent="0.2">
      <c r="A40" s="39">
        <v>43744</v>
      </c>
      <c r="B40" s="22" t="s">
        <v>381</v>
      </c>
      <c r="C40" s="41" t="s">
        <v>291</v>
      </c>
      <c r="D40" s="22" t="s">
        <v>300</v>
      </c>
      <c r="E40">
        <v>42.6</v>
      </c>
      <c r="F40">
        <v>27.3</v>
      </c>
      <c r="G40" s="14">
        <v>8.3000000000000007</v>
      </c>
      <c r="H40">
        <v>5.9</v>
      </c>
      <c r="I40">
        <v>-3.5</v>
      </c>
      <c r="J40">
        <v>46.5</v>
      </c>
      <c r="L40" s="1" t="s">
        <v>291</v>
      </c>
      <c r="M40">
        <v>3</v>
      </c>
      <c r="N40">
        <v>-0.92375000000000007</v>
      </c>
      <c r="O40">
        <v>1.975000000000001</v>
      </c>
      <c r="P40">
        <v>16.5625</v>
      </c>
      <c r="Q40">
        <v>-0.1875</v>
      </c>
      <c r="R40">
        <v>4.53125</v>
      </c>
      <c r="S40">
        <v>21.0625</v>
      </c>
      <c r="T40">
        <v>1.0625</v>
      </c>
      <c r="U40">
        <v>11</v>
      </c>
      <c r="V40">
        <v>9.5</v>
      </c>
      <c r="W40">
        <v>-3.25</v>
      </c>
      <c r="X40">
        <v>26</v>
      </c>
      <c r="Y40">
        <v>22.25</v>
      </c>
      <c r="Z40">
        <v>18</v>
      </c>
      <c r="AA40">
        <v>-7.1058141249733878E-2</v>
      </c>
      <c r="AB40">
        <v>32</v>
      </c>
      <c r="AC40">
        <v>-3.133226881716418E-2</v>
      </c>
      <c r="AD40">
        <v>16</v>
      </c>
      <c r="AE40">
        <v>0.66250000000000142</v>
      </c>
      <c r="AF40">
        <v>23</v>
      </c>
      <c r="AG40">
        <v>-2.5625</v>
      </c>
      <c r="AH40">
        <v>-2.5</v>
      </c>
      <c r="AI40">
        <v>-0.875</v>
      </c>
      <c r="AJ40">
        <v>-1.75</v>
      </c>
      <c r="AK40">
        <v>14.125</v>
      </c>
      <c r="AL40">
        <v>1.3125</v>
      </c>
      <c r="AM40">
        <v>9.6875</v>
      </c>
      <c r="AN40">
        <v>-2.75</v>
      </c>
      <c r="AO40">
        <v>5.875</v>
      </c>
      <c r="AP40">
        <v>24</v>
      </c>
      <c r="AQ40">
        <v>-2.898750000000001</v>
      </c>
      <c r="AR40">
        <v>-0.26600000000000057</v>
      </c>
      <c r="AS40">
        <v>-8.375</v>
      </c>
      <c r="AT40">
        <v>2.898750000000001</v>
      </c>
      <c r="AU40">
        <v>0.51812500000000006</v>
      </c>
      <c r="AV40">
        <v>-0.69109374999999984</v>
      </c>
      <c r="AW40">
        <v>0.10984374999999991</v>
      </c>
      <c r="AX40" t="s">
        <v>300</v>
      </c>
      <c r="AY40">
        <v>21</v>
      </c>
      <c r="AZ40">
        <v>-3.6237499999999994</v>
      </c>
      <c r="BA40">
        <v>8.8375000000000021</v>
      </c>
      <c r="BB40">
        <v>29.6875</v>
      </c>
      <c r="BC40">
        <v>-0.125</v>
      </c>
      <c r="BD40">
        <v>-14.337499999999999</v>
      </c>
      <c r="BE40">
        <v>-50.9375</v>
      </c>
      <c r="BF40">
        <v>-4.0625</v>
      </c>
      <c r="BG40">
        <v>6</v>
      </c>
      <c r="BH40">
        <v>5</v>
      </c>
      <c r="BI40">
        <v>-1.5</v>
      </c>
      <c r="BJ40">
        <v>29</v>
      </c>
      <c r="BK40">
        <v>24</v>
      </c>
      <c r="BL40">
        <v>17</v>
      </c>
      <c r="BM40">
        <v>9.4257367118214808E-2</v>
      </c>
      <c r="BN40">
        <v>23</v>
      </c>
      <c r="BO40">
        <v>1.479146605227087E-2</v>
      </c>
      <c r="BP40">
        <v>27</v>
      </c>
      <c r="BQ40">
        <v>-8.0374999999999979</v>
      </c>
      <c r="BR40">
        <v>29</v>
      </c>
      <c r="BS40">
        <v>3.5</v>
      </c>
      <c r="BT40">
        <v>1.75</v>
      </c>
      <c r="BU40">
        <v>-2.9375</v>
      </c>
      <c r="BV40">
        <v>-0.4375</v>
      </c>
      <c r="BW40">
        <v>10</v>
      </c>
      <c r="BX40">
        <v>-16.0625</v>
      </c>
      <c r="BY40">
        <v>27.8125</v>
      </c>
      <c r="BZ40">
        <v>-5.8125</v>
      </c>
      <c r="CA40">
        <v>4.0625</v>
      </c>
      <c r="CB40">
        <v>32</v>
      </c>
      <c r="CC40">
        <v>-12.46125</v>
      </c>
      <c r="CD40">
        <v>-8.0109999999999992</v>
      </c>
      <c r="CE40">
        <v>-43.875</v>
      </c>
      <c r="CF40">
        <v>-1.4920312499999997</v>
      </c>
    </row>
    <row r="41" spans="1:84" x14ac:dyDescent="0.2">
      <c r="A41" s="39">
        <v>43744</v>
      </c>
      <c r="B41" t="s">
        <v>381</v>
      </c>
      <c r="C41" s="41" t="s">
        <v>278</v>
      </c>
      <c r="D41" t="s">
        <v>287</v>
      </c>
      <c r="E41">
        <v>19.2</v>
      </c>
      <c r="F41">
        <v>1.9</v>
      </c>
      <c r="G41">
        <v>0.9</v>
      </c>
      <c r="H41">
        <v>7.1999999999999993</v>
      </c>
      <c r="I41">
        <v>4</v>
      </c>
      <c r="J41">
        <v>46</v>
      </c>
      <c r="K41" t="s">
        <v>110</v>
      </c>
      <c r="L41" s="1" t="s">
        <v>278</v>
      </c>
      <c r="M41">
        <v>30</v>
      </c>
      <c r="N41">
        <v>-1.3399999999999994</v>
      </c>
      <c r="O41">
        <v>2.2437500000000004</v>
      </c>
      <c r="P41">
        <v>11</v>
      </c>
      <c r="Q41">
        <v>2.875</v>
      </c>
      <c r="R41">
        <v>5.9687499999999982</v>
      </c>
      <c r="S41">
        <v>26.0625</v>
      </c>
      <c r="T41">
        <v>2.9375</v>
      </c>
      <c r="U41">
        <v>10</v>
      </c>
      <c r="V41">
        <v>9</v>
      </c>
      <c r="W41">
        <v>-3.75</v>
      </c>
      <c r="X41">
        <v>22</v>
      </c>
      <c r="Y41">
        <v>20.25</v>
      </c>
      <c r="Z41">
        <v>15</v>
      </c>
      <c r="AA41">
        <v>-6.9159849038503141E-3</v>
      </c>
      <c r="AB41">
        <v>19</v>
      </c>
      <c r="AC41">
        <v>3.5601100203233108E-3</v>
      </c>
      <c r="AD41">
        <v>28</v>
      </c>
      <c r="AE41">
        <v>8.3312500000000025</v>
      </c>
      <c r="AF41">
        <v>19</v>
      </c>
      <c r="AG41">
        <v>-1.9375</v>
      </c>
      <c r="AH41">
        <v>1.125</v>
      </c>
      <c r="AI41">
        <v>-2.0625</v>
      </c>
      <c r="AJ41">
        <v>0</v>
      </c>
      <c r="AK41">
        <v>5.9375</v>
      </c>
      <c r="AL41">
        <v>7.4375</v>
      </c>
      <c r="AM41">
        <v>6.5625</v>
      </c>
      <c r="AN41">
        <v>-1.1875</v>
      </c>
      <c r="AO41">
        <v>-6.875</v>
      </c>
      <c r="AP41">
        <v>25</v>
      </c>
      <c r="AQ41">
        <v>-3.5837499999999998</v>
      </c>
      <c r="AR41">
        <v>-0.19612500000000055</v>
      </c>
      <c r="AS41">
        <v>0.875</v>
      </c>
      <c r="AT41">
        <v>3.5837499999999998</v>
      </c>
      <c r="AU41">
        <v>0.98406250000000006</v>
      </c>
      <c r="AV41">
        <v>0.227109375</v>
      </c>
      <c r="AW41">
        <v>-3.1093750000000031E-2</v>
      </c>
      <c r="AX41" t="s">
        <v>287</v>
      </c>
      <c r="AY41">
        <v>26</v>
      </c>
      <c r="AZ41">
        <v>0.26375000000000037</v>
      </c>
      <c r="BA41">
        <v>3.1937500000000005</v>
      </c>
      <c r="BB41">
        <v>4.9375</v>
      </c>
      <c r="BC41">
        <v>-1.03125</v>
      </c>
      <c r="BD41">
        <v>2.9250000000000003</v>
      </c>
      <c r="BE41">
        <v>12.4375</v>
      </c>
      <c r="BF41">
        <v>-3.4375</v>
      </c>
      <c r="BG41">
        <v>3</v>
      </c>
      <c r="BH41">
        <v>3.5</v>
      </c>
      <c r="BI41">
        <v>0.8125</v>
      </c>
      <c r="BJ41">
        <v>25</v>
      </c>
      <c r="BK41">
        <v>21.5</v>
      </c>
      <c r="BL41">
        <v>20</v>
      </c>
      <c r="BM41">
        <v>-5.824845928300082E-2</v>
      </c>
      <c r="BN41">
        <v>25</v>
      </c>
      <c r="BO41">
        <v>-1.0973697045152294E-2</v>
      </c>
      <c r="BP41">
        <v>18</v>
      </c>
      <c r="BQ41">
        <v>8.8062500000000021</v>
      </c>
      <c r="BR41">
        <v>23</v>
      </c>
      <c r="BS41">
        <v>-3.5625</v>
      </c>
      <c r="BT41">
        <v>-6.4375</v>
      </c>
      <c r="BU41">
        <v>0.5</v>
      </c>
      <c r="BV41">
        <v>-0.4375</v>
      </c>
      <c r="BW41">
        <v>2.875</v>
      </c>
      <c r="BX41">
        <v>6.75</v>
      </c>
      <c r="BY41">
        <v>-0.5625</v>
      </c>
      <c r="BZ41">
        <v>0</v>
      </c>
      <c r="CA41">
        <v>-3.3125</v>
      </c>
      <c r="CB41">
        <v>23</v>
      </c>
      <c r="CC41">
        <v>-2.9300000000000006</v>
      </c>
      <c r="CD41">
        <v>-0.95912500000000023</v>
      </c>
      <c r="CE41">
        <v>7.3125</v>
      </c>
      <c r="CF41">
        <v>0.48531250000000004</v>
      </c>
    </row>
    <row r="42" spans="1:84" x14ac:dyDescent="0.2">
      <c r="A42" s="39">
        <v>43744</v>
      </c>
      <c r="B42" s="22" t="s">
        <v>381</v>
      </c>
      <c r="C42" s="41" t="s">
        <v>300</v>
      </c>
      <c r="D42" s="22" t="s">
        <v>291</v>
      </c>
      <c r="E42" s="3">
        <v>2.8</v>
      </c>
      <c r="F42" s="30">
        <v>4.8</v>
      </c>
      <c r="G42" s="3">
        <v>1.9</v>
      </c>
      <c r="H42">
        <f>7.1+3.7+3.3</f>
        <v>14.100000000000001</v>
      </c>
      <c r="I42">
        <v>3.5</v>
      </c>
      <c r="J42">
        <v>46.5</v>
      </c>
      <c r="L42" s="1" t="s">
        <v>300</v>
      </c>
      <c r="M42">
        <v>19</v>
      </c>
      <c r="N42">
        <v>0.90500000000000025</v>
      </c>
      <c r="O42">
        <v>2.6125000000000012</v>
      </c>
      <c r="P42">
        <v>-2.875</v>
      </c>
      <c r="Q42">
        <v>-0.96875</v>
      </c>
      <c r="R42">
        <v>-1.7687500000000018</v>
      </c>
      <c r="S42">
        <v>8.125</v>
      </c>
      <c r="T42">
        <v>-0.125</v>
      </c>
      <c r="U42">
        <v>31</v>
      </c>
      <c r="V42">
        <v>31</v>
      </c>
      <c r="W42">
        <v>3.5</v>
      </c>
      <c r="X42">
        <v>16</v>
      </c>
      <c r="Y42">
        <v>14.5</v>
      </c>
      <c r="Z42">
        <v>17</v>
      </c>
      <c r="AA42">
        <v>5.2866029622550437E-2</v>
      </c>
      <c r="AB42">
        <v>14</v>
      </c>
      <c r="AC42">
        <v>-1.3163459789658442E-3</v>
      </c>
      <c r="AD42">
        <v>3</v>
      </c>
      <c r="AE42">
        <v>-1.7874999999999979</v>
      </c>
      <c r="AF42">
        <v>24</v>
      </c>
      <c r="AG42">
        <v>-1.5</v>
      </c>
      <c r="AH42">
        <v>-0.1875</v>
      </c>
      <c r="AI42">
        <v>2.5625</v>
      </c>
      <c r="AJ42">
        <v>-0.4375</v>
      </c>
      <c r="AK42">
        <v>1</v>
      </c>
      <c r="AL42">
        <v>6.6875</v>
      </c>
      <c r="AM42">
        <v>-9.1875</v>
      </c>
      <c r="AN42">
        <v>-3.3125</v>
      </c>
      <c r="AO42">
        <v>6.8125</v>
      </c>
      <c r="AP42">
        <v>23</v>
      </c>
      <c r="AQ42">
        <v>-1.7075000000000009</v>
      </c>
      <c r="AR42">
        <v>-1.479000000000001</v>
      </c>
      <c r="AS42">
        <v>15.875</v>
      </c>
      <c r="AT42">
        <v>1.7075000000000009</v>
      </c>
      <c r="AU42">
        <v>0.17953124999999998</v>
      </c>
      <c r="AV42">
        <v>-0.69109374999999984</v>
      </c>
      <c r="AW42">
        <v>-1.4920312499999997</v>
      </c>
      <c r="AX42" t="s">
        <v>291</v>
      </c>
      <c r="AY42">
        <v>19</v>
      </c>
      <c r="AZ42">
        <v>-2.2837500000000013</v>
      </c>
      <c r="BA42">
        <v>0.18124999999999991</v>
      </c>
      <c r="BB42">
        <v>6.2916666666666652</v>
      </c>
      <c r="BC42">
        <v>0</v>
      </c>
      <c r="BD42">
        <v>2.1687499999999993</v>
      </c>
      <c r="BE42">
        <v>12.875</v>
      </c>
      <c r="BF42">
        <v>3.75</v>
      </c>
      <c r="BG42">
        <v>7</v>
      </c>
      <c r="BH42">
        <v>7</v>
      </c>
      <c r="BI42">
        <v>-2.5</v>
      </c>
      <c r="BJ42">
        <v>15</v>
      </c>
      <c r="BK42">
        <v>15.75</v>
      </c>
      <c r="BL42">
        <v>7</v>
      </c>
      <c r="BM42">
        <v>-3.3389166531780784E-2</v>
      </c>
      <c r="BN42">
        <v>7</v>
      </c>
      <c r="BO42">
        <v>-2.5958088269064754E-3</v>
      </c>
      <c r="BP42">
        <v>28</v>
      </c>
      <c r="BQ42">
        <v>11.243749999999999</v>
      </c>
      <c r="BR42">
        <v>21</v>
      </c>
      <c r="BS42">
        <v>-3.25</v>
      </c>
      <c r="BT42">
        <v>3.625</v>
      </c>
      <c r="BU42">
        <v>-1.125</v>
      </c>
      <c r="BV42">
        <v>-1.3125</v>
      </c>
      <c r="BW42">
        <v>8.8125</v>
      </c>
      <c r="BX42">
        <v>-4.6875</v>
      </c>
      <c r="BY42">
        <v>11.0625</v>
      </c>
      <c r="BZ42">
        <v>1.9375</v>
      </c>
      <c r="CA42">
        <v>0.5</v>
      </c>
      <c r="CB42">
        <v>22</v>
      </c>
      <c r="CC42">
        <v>-2.4650000000000012</v>
      </c>
      <c r="CD42">
        <v>-0.11362500000000017</v>
      </c>
      <c r="CE42">
        <v>-15.75</v>
      </c>
      <c r="CF42">
        <v>0.10984374999999991</v>
      </c>
    </row>
    <row r="43" spans="1:84" x14ac:dyDescent="0.2">
      <c r="A43" s="39">
        <v>43744</v>
      </c>
      <c r="B43" s="22" t="s">
        <v>381</v>
      </c>
      <c r="C43" s="41" t="s">
        <v>311</v>
      </c>
      <c r="D43" s="22" t="s">
        <v>295</v>
      </c>
      <c r="E43">
        <v>15.8</v>
      </c>
      <c r="F43" s="14">
        <v>56.7</v>
      </c>
      <c r="G43">
        <v>10.199999999999999</v>
      </c>
      <c r="H43">
        <v>19.100000000000001</v>
      </c>
      <c r="I43">
        <v>-4</v>
      </c>
      <c r="J43">
        <v>49</v>
      </c>
      <c r="K43" t="s">
        <v>109</v>
      </c>
      <c r="L43" s="1" t="s">
        <v>311</v>
      </c>
      <c r="M43">
        <v>6</v>
      </c>
      <c r="N43">
        <v>1.6125000000000003</v>
      </c>
      <c r="O43">
        <v>-2.8749999999999996</v>
      </c>
      <c r="P43">
        <v>10.375</v>
      </c>
      <c r="Q43">
        <v>-0.5</v>
      </c>
      <c r="R43">
        <v>0.74999999999999956</v>
      </c>
      <c r="S43">
        <v>0.5</v>
      </c>
      <c r="T43">
        <v>0</v>
      </c>
      <c r="U43">
        <v>22</v>
      </c>
      <c r="V43">
        <v>20.5</v>
      </c>
      <c r="W43">
        <v>1.5</v>
      </c>
      <c r="X43">
        <v>20</v>
      </c>
      <c r="Y43">
        <v>17.5</v>
      </c>
      <c r="Z43">
        <v>1</v>
      </c>
      <c r="AA43">
        <v>9.0228201742385009E-2</v>
      </c>
      <c r="AB43">
        <v>24</v>
      </c>
      <c r="AC43">
        <v>3.8531538831282047E-2</v>
      </c>
      <c r="AD43">
        <v>15</v>
      </c>
      <c r="AE43">
        <v>-2.3374999999999968</v>
      </c>
      <c r="AF43">
        <v>30</v>
      </c>
      <c r="AG43">
        <v>0.75</v>
      </c>
      <c r="AH43">
        <v>-2.125</v>
      </c>
      <c r="AI43">
        <v>-1.9375</v>
      </c>
      <c r="AJ43">
        <v>0</v>
      </c>
      <c r="AK43">
        <v>-7.5</v>
      </c>
      <c r="AL43">
        <v>-16.5625</v>
      </c>
      <c r="AM43">
        <v>7.9375</v>
      </c>
      <c r="AN43">
        <v>-1</v>
      </c>
      <c r="AO43">
        <v>2.125</v>
      </c>
      <c r="AP43">
        <v>8</v>
      </c>
      <c r="AQ43">
        <v>4.4875000000000007</v>
      </c>
      <c r="AR43">
        <v>1.9099999999999997</v>
      </c>
      <c r="AS43">
        <v>-24.5</v>
      </c>
      <c r="AT43">
        <v>-4.4874999999999998</v>
      </c>
      <c r="AU43">
        <v>-0.29062499999999997</v>
      </c>
      <c r="AV43">
        <v>0.38820312499999987</v>
      </c>
      <c r="AW43">
        <v>0.34218749999999964</v>
      </c>
      <c r="AX43" t="s">
        <v>295</v>
      </c>
      <c r="AY43">
        <v>27</v>
      </c>
      <c r="AZ43">
        <v>1.8112500000000007</v>
      </c>
      <c r="BA43">
        <v>-2.4312499999999995</v>
      </c>
      <c r="BB43">
        <v>-5.9375</v>
      </c>
      <c r="BC43">
        <v>0.625</v>
      </c>
      <c r="BD43">
        <v>2.84375</v>
      </c>
      <c r="BE43">
        <v>15.3125</v>
      </c>
      <c r="BF43">
        <v>-2</v>
      </c>
      <c r="BG43">
        <v>17</v>
      </c>
      <c r="BH43">
        <v>14.5</v>
      </c>
      <c r="BI43">
        <v>2.375</v>
      </c>
      <c r="BJ43">
        <v>19</v>
      </c>
      <c r="BK43">
        <v>16.5</v>
      </c>
      <c r="BL43">
        <v>10</v>
      </c>
      <c r="BM43">
        <v>2.0144377666318353E-3</v>
      </c>
      <c r="BN43">
        <v>20</v>
      </c>
      <c r="BO43">
        <v>-1.7647896316076654E-2</v>
      </c>
      <c r="BP43">
        <v>25</v>
      </c>
      <c r="BQ43">
        <v>-0.20000000000000107</v>
      </c>
      <c r="BR43">
        <v>11</v>
      </c>
      <c r="BS43">
        <v>-2.9375</v>
      </c>
      <c r="BT43">
        <v>-1.75</v>
      </c>
      <c r="BU43">
        <v>0.8125</v>
      </c>
      <c r="BV43">
        <v>-0.5625</v>
      </c>
      <c r="BW43">
        <v>-22.3125</v>
      </c>
      <c r="BX43">
        <v>-0.375</v>
      </c>
      <c r="BY43">
        <v>-12.75</v>
      </c>
      <c r="BZ43">
        <v>-1.3125</v>
      </c>
      <c r="CA43">
        <v>-7.875</v>
      </c>
      <c r="CB43">
        <v>11</v>
      </c>
      <c r="CC43">
        <v>4.2425000000000006</v>
      </c>
      <c r="CD43">
        <v>2.1466250000000002</v>
      </c>
      <c r="CE43">
        <v>12.375</v>
      </c>
      <c r="CF43">
        <v>0.4342187500000001</v>
      </c>
    </row>
    <row r="44" spans="1:84" x14ac:dyDescent="0.2">
      <c r="A44" s="39">
        <v>43744</v>
      </c>
      <c r="B44" s="22" t="s">
        <v>381</v>
      </c>
      <c r="C44" s="41" t="s">
        <v>289</v>
      </c>
      <c r="D44" s="22" t="s">
        <v>288</v>
      </c>
      <c r="E44">
        <v>7.7</v>
      </c>
      <c r="F44">
        <v>3</v>
      </c>
      <c r="G44">
        <v>1.7</v>
      </c>
      <c r="H44">
        <f>4.9+2+1.8</f>
        <v>8.7000000000000011</v>
      </c>
      <c r="I44">
        <v>10.5</v>
      </c>
      <c r="J44">
        <v>55.5</v>
      </c>
      <c r="L44" s="1" t="s">
        <v>289</v>
      </c>
      <c r="M44">
        <v>22</v>
      </c>
      <c r="N44">
        <v>1.1337499999999991</v>
      </c>
      <c r="O44">
        <v>5.6249999999999356E-2</v>
      </c>
      <c r="P44">
        <v>11.5</v>
      </c>
      <c r="Q44">
        <v>-0.625</v>
      </c>
      <c r="R44">
        <v>2.2874999999999979</v>
      </c>
      <c r="S44">
        <v>-15.6875</v>
      </c>
      <c r="T44">
        <v>5.125</v>
      </c>
      <c r="U44">
        <v>19</v>
      </c>
      <c r="V44">
        <v>19.5</v>
      </c>
      <c r="W44">
        <v>-2.0625</v>
      </c>
      <c r="X44">
        <v>3</v>
      </c>
      <c r="Y44">
        <v>7.75</v>
      </c>
      <c r="Z44">
        <v>4</v>
      </c>
      <c r="AA44">
        <v>-3.9028860658478569E-2</v>
      </c>
      <c r="AB44">
        <v>8</v>
      </c>
      <c r="AC44">
        <v>-1.3698802886548504E-2</v>
      </c>
      <c r="AD44">
        <v>13</v>
      </c>
      <c r="AE44">
        <v>-12.831250000000002</v>
      </c>
      <c r="AF44">
        <v>6</v>
      </c>
      <c r="AG44">
        <v>-0.6875</v>
      </c>
      <c r="AH44">
        <v>3.75</v>
      </c>
      <c r="AI44">
        <v>2.4375</v>
      </c>
      <c r="AJ44">
        <v>0</v>
      </c>
      <c r="AK44">
        <v>2.9375</v>
      </c>
      <c r="AL44">
        <v>-24.625</v>
      </c>
      <c r="AM44">
        <v>23</v>
      </c>
      <c r="AN44">
        <v>0.75</v>
      </c>
      <c r="AO44">
        <v>3.8125</v>
      </c>
      <c r="AP44">
        <v>17</v>
      </c>
      <c r="AQ44">
        <v>1.0774999999999997</v>
      </c>
      <c r="AR44">
        <v>0.65612499999999963</v>
      </c>
      <c r="AS44">
        <v>-47.625</v>
      </c>
      <c r="AT44">
        <v>-1.0774999999999997</v>
      </c>
      <c r="AU44">
        <v>0.41906249999999956</v>
      </c>
      <c r="AV44">
        <v>0.32062500000000016</v>
      </c>
      <c r="AW44">
        <v>0.21109375000000036</v>
      </c>
      <c r="AX44" t="s">
        <v>288</v>
      </c>
      <c r="AY44">
        <v>7</v>
      </c>
      <c r="AZ44">
        <v>-0.26500000000000012</v>
      </c>
      <c r="BA44">
        <v>4.5812499999999989</v>
      </c>
      <c r="BB44">
        <v>23.4375</v>
      </c>
      <c r="BC44">
        <v>1.34375</v>
      </c>
      <c r="BD44">
        <v>-0.56249999999999956</v>
      </c>
      <c r="BE44">
        <v>15.25</v>
      </c>
      <c r="BF44">
        <v>1.875</v>
      </c>
      <c r="BG44">
        <v>20</v>
      </c>
      <c r="BH44">
        <v>21</v>
      </c>
      <c r="BI44">
        <v>-4.4375</v>
      </c>
      <c r="BJ44">
        <v>2</v>
      </c>
      <c r="BK44">
        <v>7.25</v>
      </c>
      <c r="BL44">
        <v>4</v>
      </c>
      <c r="BM44">
        <v>9.304079698647813E-3</v>
      </c>
      <c r="BN44">
        <v>13</v>
      </c>
      <c r="BO44">
        <v>1.0771103366013234E-2</v>
      </c>
      <c r="BP44">
        <v>3</v>
      </c>
      <c r="BQ44">
        <v>7.6125000000000025</v>
      </c>
      <c r="BR44">
        <v>9</v>
      </c>
      <c r="BS44">
        <v>2.5625</v>
      </c>
      <c r="BT44">
        <v>0.8125</v>
      </c>
      <c r="BU44">
        <v>-0.3125</v>
      </c>
      <c r="BV44">
        <v>-0.875</v>
      </c>
      <c r="BW44">
        <v>27.3125</v>
      </c>
      <c r="BX44">
        <v>20.25</v>
      </c>
      <c r="BY44">
        <v>15.375</v>
      </c>
      <c r="BZ44">
        <v>-5.1875</v>
      </c>
      <c r="CA44">
        <v>-3.125</v>
      </c>
      <c r="CB44">
        <v>26</v>
      </c>
      <c r="CC44">
        <v>-4.8462499999999995</v>
      </c>
      <c r="CD44">
        <v>-2.4561249999999992</v>
      </c>
      <c r="CE44">
        <v>4.875</v>
      </c>
      <c r="CF44">
        <v>0.43015625000000002</v>
      </c>
    </row>
    <row r="45" spans="1:84" x14ac:dyDescent="0.2">
      <c r="A45" s="39">
        <v>43744</v>
      </c>
      <c r="B45" s="26" t="s">
        <v>381</v>
      </c>
      <c r="C45" s="41" t="s">
        <v>297</v>
      </c>
      <c r="D45" s="26" t="s">
        <v>301</v>
      </c>
      <c r="E45">
        <v>15.2</v>
      </c>
      <c r="F45">
        <v>39.4</v>
      </c>
      <c r="G45">
        <v>3.6</v>
      </c>
      <c r="H45" s="14">
        <f>8.7+1.4</f>
        <v>10.1</v>
      </c>
      <c r="I45">
        <v>3</v>
      </c>
      <c r="J45">
        <v>41</v>
      </c>
      <c r="L45" s="1" t="s">
        <v>297</v>
      </c>
      <c r="M45">
        <v>27</v>
      </c>
      <c r="N45">
        <v>2.6549999999999998</v>
      </c>
      <c r="O45">
        <v>-3.6750000000000003</v>
      </c>
      <c r="P45">
        <v>14.1875</v>
      </c>
      <c r="Q45">
        <v>-0.4375</v>
      </c>
      <c r="R45">
        <v>3.1374999999999997</v>
      </c>
      <c r="S45">
        <v>3.375</v>
      </c>
      <c r="T45">
        <v>-1.8125</v>
      </c>
      <c r="U45">
        <v>27</v>
      </c>
      <c r="V45">
        <v>27</v>
      </c>
      <c r="W45">
        <v>0.1875</v>
      </c>
      <c r="X45">
        <v>7</v>
      </c>
      <c r="Y45">
        <v>11.25</v>
      </c>
      <c r="Z45">
        <v>7</v>
      </c>
      <c r="AA45">
        <v>4.4411077337813756E-2</v>
      </c>
      <c r="AB45">
        <v>17</v>
      </c>
      <c r="AC45">
        <v>4.0619070604809952E-3</v>
      </c>
      <c r="AD45">
        <v>18</v>
      </c>
      <c r="AE45">
        <v>5.6625000000000014</v>
      </c>
      <c r="AF45">
        <v>3</v>
      </c>
      <c r="AG45">
        <v>-1.625</v>
      </c>
      <c r="AH45">
        <v>-4.5625</v>
      </c>
      <c r="AI45">
        <v>0.5625</v>
      </c>
      <c r="AJ45">
        <v>0</v>
      </c>
      <c r="AK45">
        <v>-2.6875</v>
      </c>
      <c r="AL45">
        <v>-11.125</v>
      </c>
      <c r="AM45">
        <v>6.3125</v>
      </c>
      <c r="AN45">
        <v>-3.8125</v>
      </c>
      <c r="AO45">
        <v>5.9375</v>
      </c>
      <c r="AP45">
        <v>6</v>
      </c>
      <c r="AQ45">
        <v>6.33</v>
      </c>
      <c r="AR45">
        <v>2.9960000000000004</v>
      </c>
      <c r="AS45">
        <v>-17.4375</v>
      </c>
      <c r="AT45">
        <v>-6.33</v>
      </c>
      <c r="AU45">
        <v>0.42874999999999991</v>
      </c>
      <c r="AV45">
        <v>-1.8827343749999996</v>
      </c>
      <c r="AW45">
        <v>-1.2610937499999999</v>
      </c>
      <c r="AX45" t="s">
        <v>301</v>
      </c>
      <c r="AY45">
        <v>14</v>
      </c>
      <c r="AZ45">
        <v>-6.6787499999999991</v>
      </c>
      <c r="BA45">
        <v>2.3187500000000005</v>
      </c>
      <c r="BB45">
        <v>15.9375</v>
      </c>
      <c r="BC45">
        <v>0.1875</v>
      </c>
      <c r="BD45">
        <v>-15.549999999999999</v>
      </c>
      <c r="BE45">
        <v>-80.125</v>
      </c>
      <c r="BF45">
        <v>-2.5625</v>
      </c>
      <c r="BG45">
        <v>10</v>
      </c>
      <c r="BH45">
        <v>11.5</v>
      </c>
      <c r="BI45">
        <v>-0.4375</v>
      </c>
      <c r="BJ45">
        <v>18</v>
      </c>
      <c r="BK45">
        <v>16.25</v>
      </c>
      <c r="BL45">
        <v>18</v>
      </c>
      <c r="BM45">
        <v>-1.2107173340031321E-2</v>
      </c>
      <c r="BN45">
        <v>16</v>
      </c>
      <c r="BO45">
        <v>1.8024688447968378E-2</v>
      </c>
      <c r="BP45">
        <v>8</v>
      </c>
      <c r="BQ45">
        <v>-5.4999999999999982</v>
      </c>
      <c r="BR45">
        <v>23</v>
      </c>
      <c r="BS45">
        <v>-0.3125</v>
      </c>
      <c r="BT45">
        <v>0.6875</v>
      </c>
      <c r="BU45">
        <v>-3.1875</v>
      </c>
      <c r="BV45">
        <v>-1.3125</v>
      </c>
      <c r="BW45">
        <v>-70.75</v>
      </c>
      <c r="BX45">
        <v>-95.1875</v>
      </c>
      <c r="BY45">
        <v>15.875</v>
      </c>
      <c r="BZ45">
        <v>6.25E-2</v>
      </c>
      <c r="CA45">
        <v>8.5</v>
      </c>
      <c r="CB45">
        <v>29</v>
      </c>
      <c r="CC45">
        <v>-8.9974999999999987</v>
      </c>
      <c r="CD45">
        <v>-5.6051249999999992</v>
      </c>
      <c r="CE45">
        <v>-111.0625</v>
      </c>
      <c r="CF45">
        <v>-2.5043749999999996</v>
      </c>
    </row>
    <row r="46" spans="1:84" x14ac:dyDescent="0.2">
      <c r="A46" s="39">
        <v>43744</v>
      </c>
      <c r="B46" s="22" t="s">
        <v>381</v>
      </c>
      <c r="C46" s="41" t="s">
        <v>288</v>
      </c>
      <c r="D46" s="22" t="s">
        <v>289</v>
      </c>
      <c r="E46">
        <v>25.3</v>
      </c>
      <c r="F46">
        <v>6.1</v>
      </c>
      <c r="G46" s="14">
        <v>11.3</v>
      </c>
      <c r="H46">
        <v>11</v>
      </c>
      <c r="I46">
        <v>-10.5</v>
      </c>
      <c r="J46">
        <v>55.5</v>
      </c>
      <c r="L46" s="1" t="s">
        <v>288</v>
      </c>
      <c r="M46">
        <v>8</v>
      </c>
      <c r="N46">
        <v>8.4712499999999995</v>
      </c>
      <c r="O46">
        <v>5.28125</v>
      </c>
      <c r="P46">
        <v>-6.9375</v>
      </c>
      <c r="Q46">
        <v>1.9375</v>
      </c>
      <c r="R46">
        <v>17.387500000000003</v>
      </c>
      <c r="S46">
        <v>79.1875</v>
      </c>
      <c r="T46">
        <v>2.6875</v>
      </c>
      <c r="U46">
        <v>15</v>
      </c>
      <c r="V46">
        <v>14.5</v>
      </c>
      <c r="W46">
        <v>2.5625</v>
      </c>
      <c r="X46">
        <v>29</v>
      </c>
      <c r="Y46">
        <v>25</v>
      </c>
      <c r="Z46">
        <v>26</v>
      </c>
      <c r="AA46">
        <v>-6.0474799440369556E-2</v>
      </c>
      <c r="AB46">
        <v>23</v>
      </c>
      <c r="AC46">
        <v>-3.2841030256247732E-2</v>
      </c>
      <c r="AD46">
        <v>25</v>
      </c>
      <c r="AE46">
        <v>10.856249999999999</v>
      </c>
      <c r="AF46">
        <v>26</v>
      </c>
      <c r="AG46">
        <v>-4.4375</v>
      </c>
      <c r="AH46">
        <v>1.5625</v>
      </c>
      <c r="AI46">
        <v>7.8125</v>
      </c>
      <c r="AJ46">
        <v>1.3125</v>
      </c>
      <c r="AK46">
        <v>78.8125</v>
      </c>
      <c r="AL46">
        <v>82.25</v>
      </c>
      <c r="AM46">
        <v>-8.1875</v>
      </c>
      <c r="AN46">
        <v>1.6875</v>
      </c>
      <c r="AO46">
        <v>3.0625</v>
      </c>
      <c r="AP46">
        <v>13</v>
      </c>
      <c r="AQ46">
        <v>3.1899999999999995</v>
      </c>
      <c r="AR46">
        <v>2.5311250000000003</v>
      </c>
      <c r="AS46">
        <v>90.4375</v>
      </c>
      <c r="AT46">
        <v>-3.1899999999999995</v>
      </c>
      <c r="AU46">
        <v>4.1581250000000001</v>
      </c>
      <c r="AV46">
        <v>0.32062500000000016</v>
      </c>
      <c r="AW46">
        <v>0.43015625000000002</v>
      </c>
      <c r="AX46" t="s">
        <v>289</v>
      </c>
      <c r="AY46">
        <v>25</v>
      </c>
      <c r="AZ46">
        <v>0.63874999999999993</v>
      </c>
      <c r="BA46">
        <v>1.6937500000000001</v>
      </c>
      <c r="BB46">
        <v>15.4375</v>
      </c>
      <c r="BC46">
        <v>-0.1875</v>
      </c>
      <c r="BD46">
        <v>-0.8312499999999976</v>
      </c>
      <c r="BE46">
        <v>-27.6875</v>
      </c>
      <c r="BF46">
        <v>-3.5625</v>
      </c>
      <c r="BG46">
        <v>5</v>
      </c>
      <c r="BH46">
        <v>4.5</v>
      </c>
      <c r="BI46">
        <v>-0.6875</v>
      </c>
      <c r="BJ46">
        <v>28</v>
      </c>
      <c r="BK46">
        <v>23</v>
      </c>
      <c r="BL46">
        <v>27</v>
      </c>
      <c r="BM46">
        <v>-4.2868291082606216E-2</v>
      </c>
      <c r="BN46">
        <v>18</v>
      </c>
      <c r="BO46">
        <v>-4.3292445252348065E-3</v>
      </c>
      <c r="BP46">
        <v>26</v>
      </c>
      <c r="BQ46">
        <v>11.875000000000004</v>
      </c>
      <c r="BR46">
        <v>21</v>
      </c>
      <c r="BS46">
        <v>-2.0625</v>
      </c>
      <c r="BT46">
        <v>-4</v>
      </c>
      <c r="BU46">
        <v>3.3125</v>
      </c>
      <c r="BV46">
        <v>0.75</v>
      </c>
      <c r="BW46">
        <v>-2.6875</v>
      </c>
      <c r="BX46">
        <v>-30.4375</v>
      </c>
      <c r="BY46">
        <v>17.375</v>
      </c>
      <c r="BZ46">
        <v>13.1875</v>
      </c>
      <c r="CA46">
        <v>-2.8125</v>
      </c>
      <c r="CB46">
        <v>20</v>
      </c>
      <c r="CC46">
        <v>-1.0550000000000002</v>
      </c>
      <c r="CD46">
        <v>-0.88537499999999958</v>
      </c>
      <c r="CE46">
        <v>-47.8125</v>
      </c>
      <c r="CF46">
        <v>0.21109375000000036</v>
      </c>
    </row>
    <row r="47" spans="1:84" x14ac:dyDescent="0.2">
      <c r="A47" s="39">
        <v>43744</v>
      </c>
      <c r="B47" s="22" t="s">
        <v>381</v>
      </c>
      <c r="C47" s="41" t="s">
        <v>303</v>
      </c>
      <c r="D47" s="22" t="s">
        <v>265</v>
      </c>
      <c r="E47" s="3">
        <v>2.2000000000000002</v>
      </c>
      <c r="F47" s="3">
        <v>7.2</v>
      </c>
      <c r="G47" s="3">
        <v>3.1</v>
      </c>
      <c r="H47">
        <f>8.6+7.9+4.2</f>
        <v>20.7</v>
      </c>
      <c r="I47">
        <v>6.5</v>
      </c>
      <c r="J47">
        <v>38.5</v>
      </c>
      <c r="L47" s="1" t="s">
        <v>303</v>
      </c>
      <c r="M47">
        <v>29</v>
      </c>
      <c r="N47">
        <v>-3.5562499999999986</v>
      </c>
      <c r="O47">
        <v>-7.96875</v>
      </c>
      <c r="P47">
        <v>-20.125</v>
      </c>
      <c r="Q47">
        <v>-2.1875</v>
      </c>
      <c r="R47">
        <v>5.1749999999999998</v>
      </c>
      <c r="S47">
        <v>-8.0625</v>
      </c>
      <c r="T47">
        <v>1.3125</v>
      </c>
      <c r="U47">
        <v>19</v>
      </c>
      <c r="V47">
        <v>19.5</v>
      </c>
      <c r="W47">
        <v>-0.8125</v>
      </c>
      <c r="X47">
        <v>19</v>
      </c>
      <c r="Y47">
        <v>17.25</v>
      </c>
      <c r="Z47">
        <v>14</v>
      </c>
      <c r="AA47">
        <v>-8.2473910443931306E-2</v>
      </c>
      <c r="AB47">
        <v>21</v>
      </c>
      <c r="AC47">
        <v>-4.7636284090154957E-3</v>
      </c>
      <c r="AD47">
        <v>32</v>
      </c>
      <c r="AE47">
        <v>2.2312500000000028</v>
      </c>
      <c r="AF47">
        <v>2</v>
      </c>
      <c r="AG47">
        <v>-6.25E-2</v>
      </c>
      <c r="AH47">
        <v>-3.0625</v>
      </c>
      <c r="AI47">
        <v>-3.5625</v>
      </c>
      <c r="AJ47">
        <v>1.3125</v>
      </c>
      <c r="AK47">
        <v>-25.625</v>
      </c>
      <c r="AL47">
        <v>-20</v>
      </c>
      <c r="AM47">
        <v>-10.625</v>
      </c>
      <c r="AN47">
        <v>10.6875</v>
      </c>
      <c r="AO47">
        <v>-5.6875</v>
      </c>
      <c r="AP47">
        <v>9</v>
      </c>
      <c r="AQ47">
        <v>4.4125000000000014</v>
      </c>
      <c r="AR47">
        <v>4.3081250000000004</v>
      </c>
      <c r="AS47">
        <v>-9.375</v>
      </c>
      <c r="AT47">
        <v>-4.4125000000000014</v>
      </c>
      <c r="AU47">
        <v>-1.1296875</v>
      </c>
      <c r="AV47">
        <v>-0.49359374999999994</v>
      </c>
      <c r="AW47">
        <v>0.16265625000000011</v>
      </c>
      <c r="AX47" t="s">
        <v>265</v>
      </c>
      <c r="AY47">
        <v>29</v>
      </c>
      <c r="AZ47">
        <v>-1.5175000000000001</v>
      </c>
      <c r="BA47">
        <v>-6.1312499999999996</v>
      </c>
      <c r="BB47">
        <v>-27.8125</v>
      </c>
      <c r="BC47">
        <v>1.1875</v>
      </c>
      <c r="BD47">
        <v>0.82499999999999996</v>
      </c>
      <c r="BE47">
        <v>-0.25</v>
      </c>
      <c r="BF47">
        <v>2</v>
      </c>
      <c r="BG47">
        <v>15</v>
      </c>
      <c r="BH47">
        <v>13</v>
      </c>
      <c r="BI47">
        <v>-0.1875</v>
      </c>
      <c r="BJ47">
        <v>32</v>
      </c>
      <c r="BK47">
        <v>29.25</v>
      </c>
      <c r="BL47">
        <v>28</v>
      </c>
      <c r="BM47">
        <v>-4.4184995537152452E-2</v>
      </c>
      <c r="BN47">
        <v>29</v>
      </c>
      <c r="BO47">
        <v>3.9269433097488406E-2</v>
      </c>
      <c r="BP47">
        <v>29</v>
      </c>
      <c r="BQ47">
        <v>1.6437500000000007</v>
      </c>
      <c r="BR47">
        <v>31</v>
      </c>
      <c r="BS47">
        <v>5.5625</v>
      </c>
      <c r="BT47">
        <v>4.3125</v>
      </c>
      <c r="BU47">
        <v>-7.8125</v>
      </c>
      <c r="BV47">
        <v>0</v>
      </c>
      <c r="BW47">
        <v>-18.6875</v>
      </c>
      <c r="BX47">
        <v>17.6875</v>
      </c>
      <c r="BY47">
        <v>-30.625</v>
      </c>
      <c r="BZ47">
        <v>-1.1875</v>
      </c>
      <c r="CA47">
        <v>-4.5625</v>
      </c>
      <c r="CB47">
        <v>10</v>
      </c>
      <c r="CC47">
        <v>4.6137499999999996</v>
      </c>
      <c r="CD47">
        <v>2.9271249999999998</v>
      </c>
      <c r="CE47">
        <v>48.3125</v>
      </c>
      <c r="CF47">
        <v>-1.1498437500000001</v>
      </c>
    </row>
    <row r="48" spans="1:84" x14ac:dyDescent="0.2">
      <c r="A48" s="39">
        <v>43744</v>
      </c>
      <c r="B48" s="22" t="s">
        <v>381</v>
      </c>
      <c r="C48" s="41" t="s">
        <v>287</v>
      </c>
      <c r="D48" s="22" t="s">
        <v>278</v>
      </c>
      <c r="E48">
        <v>5.8</v>
      </c>
      <c r="F48">
        <v>13.4</v>
      </c>
      <c r="G48">
        <v>2.2999999999999998</v>
      </c>
      <c r="H48">
        <v>1.5</v>
      </c>
      <c r="I48">
        <v>-4</v>
      </c>
      <c r="J48">
        <v>46</v>
      </c>
      <c r="K48" t="s">
        <v>110</v>
      </c>
      <c r="L48" s="1" t="s">
        <v>287</v>
      </c>
      <c r="M48">
        <v>28</v>
      </c>
      <c r="N48">
        <v>-0.29625000000000012</v>
      </c>
      <c r="O48">
        <v>6.3812499999999996</v>
      </c>
      <c r="P48">
        <v>-8.8125</v>
      </c>
      <c r="Q48">
        <v>2.125</v>
      </c>
      <c r="R48">
        <v>-3.3249999999999993</v>
      </c>
      <c r="S48">
        <v>14.9375</v>
      </c>
      <c r="T48">
        <v>-1.25</v>
      </c>
      <c r="U48">
        <v>4</v>
      </c>
      <c r="V48">
        <v>7</v>
      </c>
      <c r="W48">
        <v>-3.5625</v>
      </c>
      <c r="X48">
        <v>10</v>
      </c>
      <c r="Y48">
        <v>12.75</v>
      </c>
      <c r="Z48">
        <v>24</v>
      </c>
      <c r="AA48">
        <v>5.6148618558789984E-2</v>
      </c>
      <c r="AB48">
        <v>12</v>
      </c>
      <c r="AC48">
        <v>8.5061476531864775E-3</v>
      </c>
      <c r="AD48">
        <v>7</v>
      </c>
      <c r="AE48">
        <v>11.531250000000002</v>
      </c>
      <c r="AF48">
        <v>8</v>
      </c>
      <c r="AG48">
        <v>0.8125</v>
      </c>
      <c r="AH48">
        <v>-1.25</v>
      </c>
      <c r="AI48">
        <v>-3.125</v>
      </c>
      <c r="AJ48">
        <v>-1.75</v>
      </c>
      <c r="AK48">
        <v>10.0625</v>
      </c>
      <c r="AL48">
        <v>37.8125</v>
      </c>
      <c r="AM48">
        <v>-13.375</v>
      </c>
      <c r="AN48">
        <v>-5.4375</v>
      </c>
      <c r="AO48">
        <v>-8.9375</v>
      </c>
      <c r="AP48">
        <v>27</v>
      </c>
      <c r="AQ48">
        <v>-6.6775000000000002</v>
      </c>
      <c r="AR48">
        <v>-3.9148749999999994</v>
      </c>
      <c r="AS48">
        <v>51.1875</v>
      </c>
      <c r="AT48">
        <v>6.6775000000000002</v>
      </c>
      <c r="AU48">
        <v>0.3293750000000002</v>
      </c>
      <c r="AV48">
        <v>0.227109375</v>
      </c>
      <c r="AW48">
        <v>0.48531250000000004</v>
      </c>
      <c r="AX48" t="s">
        <v>278</v>
      </c>
      <c r="AY48">
        <v>15</v>
      </c>
      <c r="AZ48">
        <v>-3.5612500000000007</v>
      </c>
      <c r="BA48">
        <v>7.9874999999999998</v>
      </c>
      <c r="BB48">
        <v>46.5</v>
      </c>
      <c r="BC48">
        <v>-2.1875</v>
      </c>
      <c r="BD48">
        <v>-8.8625000000000007</v>
      </c>
      <c r="BE48">
        <v>-23.125</v>
      </c>
      <c r="BF48">
        <v>-2</v>
      </c>
      <c r="BG48">
        <v>9</v>
      </c>
      <c r="BH48">
        <v>9.5</v>
      </c>
      <c r="BI48">
        <v>-1.9375</v>
      </c>
      <c r="BJ48">
        <v>12</v>
      </c>
      <c r="BK48">
        <v>14.5</v>
      </c>
      <c r="BL48">
        <v>25</v>
      </c>
      <c r="BM48">
        <v>-2.552080867802195E-2</v>
      </c>
      <c r="BN48">
        <v>6</v>
      </c>
      <c r="BO48">
        <v>-2.2886453811001312E-2</v>
      </c>
      <c r="BP48">
        <v>10</v>
      </c>
      <c r="BQ48">
        <v>-5.2249999999999979</v>
      </c>
      <c r="BR48">
        <v>17</v>
      </c>
      <c r="BS48">
        <v>-3.75</v>
      </c>
      <c r="BT48">
        <v>-1</v>
      </c>
      <c r="BU48">
        <v>4.5</v>
      </c>
      <c r="BV48">
        <v>-0.875</v>
      </c>
      <c r="BW48">
        <v>14.1875</v>
      </c>
      <c r="BX48">
        <v>-25.75</v>
      </c>
      <c r="BY48">
        <v>43.625</v>
      </c>
      <c r="BZ48">
        <v>4.6875</v>
      </c>
      <c r="CA48">
        <v>-8.375</v>
      </c>
      <c r="CB48">
        <v>31</v>
      </c>
      <c r="CC48">
        <v>-11.54875</v>
      </c>
      <c r="CD48">
        <v>-6.4785000000000004</v>
      </c>
      <c r="CE48">
        <v>-69.375</v>
      </c>
      <c r="CF48">
        <v>-3.1093750000000031E-2</v>
      </c>
    </row>
    <row r="49" spans="1:84" x14ac:dyDescent="0.2">
      <c r="A49" s="39">
        <v>43744</v>
      </c>
      <c r="B49" s="26" t="s">
        <v>381</v>
      </c>
      <c r="C49" s="41" t="s">
        <v>304</v>
      </c>
      <c r="D49" s="26" t="s">
        <v>308</v>
      </c>
      <c r="E49" s="14">
        <v>29.7</v>
      </c>
      <c r="F49">
        <v>9.8000000000000007</v>
      </c>
      <c r="G49">
        <v>6.6</v>
      </c>
      <c r="H49" s="14">
        <f>23.6+7.7</f>
        <v>31.3</v>
      </c>
      <c r="I49">
        <v>1.5</v>
      </c>
      <c r="J49">
        <v>49</v>
      </c>
      <c r="K49" s="35"/>
      <c r="L49" s="1" t="s">
        <v>304</v>
      </c>
      <c r="M49">
        <v>25</v>
      </c>
      <c r="N49">
        <v>-1.8062500000000008</v>
      </c>
      <c r="O49">
        <v>2.1125000000000016</v>
      </c>
      <c r="P49">
        <v>4.8125</v>
      </c>
      <c r="Q49">
        <v>-0.625</v>
      </c>
      <c r="R49">
        <v>17.512499999999999</v>
      </c>
      <c r="S49">
        <v>68.5</v>
      </c>
      <c r="T49">
        <v>9.1875</v>
      </c>
      <c r="U49">
        <v>16</v>
      </c>
      <c r="V49">
        <v>15.5</v>
      </c>
      <c r="W49">
        <v>-0.3125</v>
      </c>
      <c r="X49">
        <v>23</v>
      </c>
      <c r="Y49">
        <v>20.5</v>
      </c>
      <c r="Z49">
        <v>32</v>
      </c>
      <c r="AA49">
        <v>3.7003244735545643E-2</v>
      </c>
      <c r="AB49">
        <v>29</v>
      </c>
      <c r="AC49">
        <v>-3.4302893118874883E-2</v>
      </c>
      <c r="AD49">
        <v>8</v>
      </c>
      <c r="AE49">
        <v>-3.9312499999999986</v>
      </c>
      <c r="AF49">
        <v>13</v>
      </c>
      <c r="AG49">
        <v>-1.125</v>
      </c>
      <c r="AH49">
        <v>4.75</v>
      </c>
      <c r="AI49">
        <v>5.75</v>
      </c>
      <c r="AJ49">
        <v>-0.25</v>
      </c>
      <c r="AK49">
        <v>43.875</v>
      </c>
      <c r="AL49">
        <v>49.75</v>
      </c>
      <c r="AM49">
        <v>3.0625</v>
      </c>
      <c r="AN49">
        <v>7.8125</v>
      </c>
      <c r="AO49">
        <v>-16.75</v>
      </c>
      <c r="AP49">
        <v>26</v>
      </c>
      <c r="AQ49">
        <v>-3.918750000000002</v>
      </c>
      <c r="AR49">
        <v>2.0849999999999995</v>
      </c>
      <c r="AS49">
        <v>46.6875</v>
      </c>
      <c r="AT49">
        <v>3.9187500000000024</v>
      </c>
      <c r="AU49">
        <v>2.7195312499999997</v>
      </c>
      <c r="AV49">
        <v>-0.1513281250000004</v>
      </c>
      <c r="AW49">
        <v>-0.20390625000000051</v>
      </c>
      <c r="AX49" t="s">
        <v>308</v>
      </c>
      <c r="AY49">
        <v>17</v>
      </c>
      <c r="AZ49">
        <v>1.4249999999999994</v>
      </c>
      <c r="BA49">
        <v>-1.0212500000000009</v>
      </c>
      <c r="BB49">
        <v>-11.4375</v>
      </c>
      <c r="BC49">
        <v>0.1875</v>
      </c>
      <c r="BD49">
        <v>1.118749999999999</v>
      </c>
      <c r="BE49">
        <v>-22.4375</v>
      </c>
      <c r="BF49">
        <v>-0.8125</v>
      </c>
      <c r="BG49">
        <v>12</v>
      </c>
      <c r="BH49">
        <v>12.5</v>
      </c>
      <c r="BI49">
        <v>0.875</v>
      </c>
      <c r="BJ49">
        <v>21</v>
      </c>
      <c r="BK49">
        <v>17.25</v>
      </c>
      <c r="BL49">
        <v>30</v>
      </c>
      <c r="BM49">
        <v>2.6924081064694919E-2</v>
      </c>
      <c r="BN49">
        <v>28</v>
      </c>
      <c r="BO49">
        <v>-8.6634742761005565E-3</v>
      </c>
      <c r="BP49">
        <v>4</v>
      </c>
      <c r="BQ49">
        <v>6.6125000000000025</v>
      </c>
      <c r="BR49">
        <v>7</v>
      </c>
      <c r="BS49">
        <v>0.875</v>
      </c>
      <c r="BT49">
        <v>-2.75</v>
      </c>
      <c r="BU49">
        <v>0.4375</v>
      </c>
      <c r="BV49">
        <v>2.625</v>
      </c>
      <c r="BW49">
        <v>-8.3125</v>
      </c>
      <c r="BX49">
        <v>-7.9375</v>
      </c>
      <c r="BY49">
        <v>-7.375</v>
      </c>
      <c r="BZ49">
        <v>1.5625</v>
      </c>
      <c r="CA49">
        <v>5.4375</v>
      </c>
      <c r="CB49">
        <v>13</v>
      </c>
      <c r="CC49">
        <v>2.44625</v>
      </c>
      <c r="CD49">
        <v>1.0193750000000001</v>
      </c>
      <c r="CE49">
        <v>-0.5625</v>
      </c>
      <c r="CF49">
        <v>-9.8750000000000282E-2</v>
      </c>
    </row>
    <row r="50" spans="1:84" x14ac:dyDescent="0.2">
      <c r="A50" s="39">
        <v>43744</v>
      </c>
      <c r="B50" s="22" t="s">
        <v>381</v>
      </c>
      <c r="C50" s="41" t="s">
        <v>312</v>
      </c>
      <c r="D50" s="22" t="s">
        <v>296</v>
      </c>
      <c r="E50">
        <v>35</v>
      </c>
      <c r="F50">
        <v>7.4</v>
      </c>
      <c r="G50">
        <v>8.3000000000000007</v>
      </c>
      <c r="H50">
        <v>1.4</v>
      </c>
      <c r="I50" s="8">
        <v>-5.5</v>
      </c>
      <c r="J50" s="8">
        <v>44</v>
      </c>
      <c r="K50" t="s">
        <v>110</v>
      </c>
      <c r="L50" s="1" t="s">
        <v>312</v>
      </c>
      <c r="M50">
        <v>16</v>
      </c>
      <c r="N50">
        <v>-5.3337500000000002</v>
      </c>
      <c r="O50">
        <v>8.3249999999999993</v>
      </c>
      <c r="P50">
        <v>45.5625</v>
      </c>
      <c r="Q50">
        <v>-2.1875</v>
      </c>
      <c r="R50">
        <v>-11.36875</v>
      </c>
      <c r="S50">
        <v>-29.5</v>
      </c>
      <c r="T50">
        <v>-7.5</v>
      </c>
      <c r="U50">
        <v>26</v>
      </c>
      <c r="V50">
        <v>25</v>
      </c>
      <c r="W50">
        <v>1.5625</v>
      </c>
      <c r="X50">
        <v>28</v>
      </c>
      <c r="Y50">
        <v>24.5</v>
      </c>
      <c r="Z50">
        <v>22</v>
      </c>
      <c r="AA50">
        <v>0.10377375237813549</v>
      </c>
      <c r="AB50">
        <v>27</v>
      </c>
      <c r="AC50">
        <v>3.2291147115255589E-3</v>
      </c>
      <c r="AD50">
        <v>22</v>
      </c>
      <c r="AE50">
        <v>13.993749999999997</v>
      </c>
      <c r="AF50">
        <v>27</v>
      </c>
      <c r="AG50">
        <v>-0.3125</v>
      </c>
      <c r="AH50">
        <v>-6.875</v>
      </c>
      <c r="AI50">
        <v>1.3125</v>
      </c>
      <c r="AJ50">
        <v>0</v>
      </c>
      <c r="AK50">
        <v>-11.125</v>
      </c>
      <c r="AL50">
        <v>-61.9375</v>
      </c>
      <c r="AM50">
        <v>49.125</v>
      </c>
      <c r="AN50">
        <v>0.625</v>
      </c>
      <c r="AO50">
        <v>1.0625</v>
      </c>
      <c r="AP50">
        <v>31</v>
      </c>
      <c r="AQ50">
        <v>-13.658750000000001</v>
      </c>
      <c r="AR50">
        <v>-7.5030000000000001</v>
      </c>
      <c r="AS50">
        <v>-111.0625</v>
      </c>
      <c r="AT50">
        <v>13.65875</v>
      </c>
      <c r="AU50">
        <v>-1.1174999999999999</v>
      </c>
      <c r="AV50">
        <v>8.414062500000008E-2</v>
      </c>
      <c r="AW50">
        <v>-0.31296875000000007</v>
      </c>
      <c r="AX50" t="s">
        <v>296</v>
      </c>
      <c r="AY50">
        <v>5</v>
      </c>
      <c r="AZ50">
        <v>2.3124999999999996</v>
      </c>
      <c r="BA50">
        <v>-2.4749999999999996</v>
      </c>
      <c r="BB50">
        <v>-1.5625</v>
      </c>
      <c r="BC50">
        <v>-2.1875</v>
      </c>
      <c r="BD50">
        <v>3.950000000000002</v>
      </c>
      <c r="BE50">
        <v>22</v>
      </c>
      <c r="BF50">
        <v>-2.5</v>
      </c>
      <c r="BG50">
        <v>2</v>
      </c>
      <c r="BH50">
        <v>3</v>
      </c>
      <c r="BI50">
        <v>-0.25</v>
      </c>
      <c r="BJ50">
        <v>29</v>
      </c>
      <c r="BK50">
        <v>24</v>
      </c>
      <c r="BL50">
        <v>11</v>
      </c>
      <c r="BM50">
        <v>-3.7839309191765716E-2</v>
      </c>
      <c r="BN50">
        <v>27</v>
      </c>
      <c r="BO50">
        <v>1.3561227098648571E-2</v>
      </c>
      <c r="BP50">
        <v>31</v>
      </c>
      <c r="BQ50">
        <v>-5.7687500000000007</v>
      </c>
      <c r="BR50">
        <v>27</v>
      </c>
      <c r="BS50">
        <v>-2.1875</v>
      </c>
      <c r="BT50">
        <v>-1.1875</v>
      </c>
      <c r="BU50">
        <v>1.875</v>
      </c>
      <c r="BV50">
        <v>-0.875</v>
      </c>
      <c r="BW50">
        <v>15.8125</v>
      </c>
      <c r="BX50">
        <v>19.4375</v>
      </c>
      <c r="BY50">
        <v>-1.625</v>
      </c>
      <c r="BZ50">
        <v>0.4375</v>
      </c>
      <c r="CA50">
        <v>-2.4375</v>
      </c>
      <c r="CB50">
        <v>9</v>
      </c>
      <c r="CC50">
        <v>4.7874999999999996</v>
      </c>
      <c r="CD50">
        <v>2.4900000000000002</v>
      </c>
      <c r="CE50">
        <v>21.0625</v>
      </c>
      <c r="CF50">
        <v>0.48125000000000023</v>
      </c>
    </row>
    <row r="51" spans="1:84" x14ac:dyDescent="0.2">
      <c r="A51" s="39">
        <v>43744</v>
      </c>
      <c r="B51" s="22" t="s">
        <v>381</v>
      </c>
      <c r="C51" s="41" t="s">
        <v>302</v>
      </c>
      <c r="D51" s="22" t="s">
        <v>306</v>
      </c>
      <c r="E51">
        <v>28</v>
      </c>
      <c r="F51" s="14">
        <v>10.9</v>
      </c>
      <c r="G51">
        <v>0</v>
      </c>
      <c r="H51">
        <f>11.9+3.2</f>
        <v>15.100000000000001</v>
      </c>
      <c r="I51">
        <v>-15.5</v>
      </c>
      <c r="J51">
        <v>42</v>
      </c>
      <c r="L51" s="1" t="s">
        <v>302</v>
      </c>
      <c r="M51">
        <v>18</v>
      </c>
      <c r="N51">
        <v>0.68750000000000111</v>
      </c>
      <c r="O51">
        <v>-3.2749999999999995</v>
      </c>
      <c r="P51">
        <v>-31.75</v>
      </c>
      <c r="Q51">
        <v>0.9375</v>
      </c>
      <c r="R51">
        <v>-1.17875</v>
      </c>
      <c r="S51">
        <v>-14.5</v>
      </c>
      <c r="T51">
        <v>-1.0625</v>
      </c>
      <c r="U51">
        <v>2</v>
      </c>
      <c r="V51">
        <v>5</v>
      </c>
      <c r="W51">
        <v>7.375</v>
      </c>
      <c r="X51">
        <v>27</v>
      </c>
      <c r="Y51">
        <v>23.25</v>
      </c>
      <c r="Z51">
        <v>23</v>
      </c>
      <c r="AA51">
        <v>-4.3647272099159848E-2</v>
      </c>
      <c r="AB51">
        <v>26</v>
      </c>
      <c r="AC51">
        <v>-2.5718117579474509E-2</v>
      </c>
      <c r="AD51">
        <v>23</v>
      </c>
      <c r="AE51">
        <v>-15.481249999999999</v>
      </c>
      <c r="AF51">
        <v>21</v>
      </c>
      <c r="AG51">
        <v>-1.5</v>
      </c>
      <c r="AH51">
        <v>1.0625</v>
      </c>
      <c r="AI51">
        <v>2.0625</v>
      </c>
      <c r="AJ51">
        <v>2.5</v>
      </c>
      <c r="AK51">
        <v>-14.6875</v>
      </c>
      <c r="AL51">
        <v>9.25</v>
      </c>
      <c r="AM51">
        <v>-20.8125</v>
      </c>
      <c r="AN51">
        <v>3.5625</v>
      </c>
      <c r="AO51">
        <v>-6.6875</v>
      </c>
      <c r="AP51">
        <v>10</v>
      </c>
      <c r="AQ51">
        <v>3.9625000000000012</v>
      </c>
      <c r="AR51">
        <v>1.53925</v>
      </c>
      <c r="AS51">
        <v>30.0625</v>
      </c>
      <c r="AT51">
        <v>-3.9625000000000004</v>
      </c>
      <c r="AU51">
        <v>-0.33015624999999987</v>
      </c>
      <c r="AV51">
        <v>-0.42484374999999974</v>
      </c>
      <c r="AW51">
        <v>-2.0526562500000001</v>
      </c>
      <c r="AX51" t="s">
        <v>306</v>
      </c>
      <c r="AY51">
        <v>22</v>
      </c>
      <c r="AZ51">
        <v>2.88625</v>
      </c>
      <c r="BA51">
        <v>-1.9187499999999986</v>
      </c>
      <c r="BB51">
        <v>-2.3958333333333348</v>
      </c>
      <c r="BC51">
        <v>-1.1875</v>
      </c>
      <c r="BD51">
        <v>8.4062500000000036</v>
      </c>
      <c r="BE51">
        <v>9.375</v>
      </c>
      <c r="BF51">
        <v>-0.3125</v>
      </c>
      <c r="BG51">
        <v>12</v>
      </c>
      <c r="BH51">
        <v>12.5</v>
      </c>
      <c r="BI51">
        <v>3.875</v>
      </c>
      <c r="BJ51">
        <v>3</v>
      </c>
      <c r="BK51">
        <v>8</v>
      </c>
      <c r="BL51">
        <v>13</v>
      </c>
      <c r="BM51">
        <v>-2.2658186774165881E-2</v>
      </c>
      <c r="BN51">
        <v>2</v>
      </c>
      <c r="BO51">
        <v>-2.3435810295597418E-3</v>
      </c>
      <c r="BP51">
        <v>9</v>
      </c>
      <c r="BQ51">
        <v>17.350000000000001</v>
      </c>
      <c r="BR51">
        <v>8</v>
      </c>
      <c r="BS51">
        <v>-1.25</v>
      </c>
      <c r="BT51">
        <v>1.375</v>
      </c>
      <c r="BU51">
        <v>3.75</v>
      </c>
      <c r="BV51">
        <v>2.625</v>
      </c>
      <c r="BW51">
        <v>33.1875</v>
      </c>
      <c r="BX51">
        <v>6.5625</v>
      </c>
      <c r="BY51">
        <v>11.0625</v>
      </c>
      <c r="BZ51">
        <v>3.8125</v>
      </c>
      <c r="CA51">
        <v>11.75</v>
      </c>
      <c r="CB51">
        <v>8</v>
      </c>
      <c r="CC51">
        <v>4.8049999999999988</v>
      </c>
      <c r="CD51">
        <v>3.2178749999999998</v>
      </c>
      <c r="CE51">
        <v>-4.5</v>
      </c>
      <c r="CF51">
        <v>1.2029687500000006</v>
      </c>
    </row>
    <row r="52" spans="1:84" x14ac:dyDescent="0.2">
      <c r="A52" s="39">
        <v>43744</v>
      </c>
      <c r="B52" s="22" t="s">
        <v>381</v>
      </c>
      <c r="C52" s="41" t="s">
        <v>307</v>
      </c>
      <c r="D52" s="22" t="s">
        <v>284</v>
      </c>
      <c r="E52">
        <v>44.2</v>
      </c>
      <c r="F52">
        <v>11.6</v>
      </c>
      <c r="G52">
        <v>0</v>
      </c>
      <c r="H52">
        <f>14.1+6.9</f>
        <v>21</v>
      </c>
      <c r="I52">
        <v>-3</v>
      </c>
      <c r="J52">
        <v>46</v>
      </c>
      <c r="L52" s="1" t="s">
        <v>307</v>
      </c>
      <c r="M52">
        <v>17</v>
      </c>
      <c r="N52">
        <v>-0.26875000000000115</v>
      </c>
      <c r="O52">
        <v>0.61250000000000093</v>
      </c>
      <c r="P52">
        <v>8.9375</v>
      </c>
      <c r="Q52">
        <v>-0.625</v>
      </c>
      <c r="R52">
        <v>-6.0249999999999986</v>
      </c>
      <c r="S52">
        <v>-24.75</v>
      </c>
      <c r="T52">
        <v>-3.75</v>
      </c>
      <c r="U52">
        <v>4</v>
      </c>
      <c r="V52">
        <v>7</v>
      </c>
      <c r="W52">
        <v>2.5</v>
      </c>
      <c r="X52">
        <v>32</v>
      </c>
      <c r="Y52">
        <v>29.5</v>
      </c>
      <c r="Z52">
        <v>30</v>
      </c>
      <c r="AA52">
        <v>-2.3869973650483947E-2</v>
      </c>
      <c r="AB52">
        <v>28</v>
      </c>
      <c r="AC52">
        <v>-7.8929538436459702E-3</v>
      </c>
      <c r="AD52">
        <v>31</v>
      </c>
      <c r="AE52">
        <v>9.1937500000000014</v>
      </c>
      <c r="AF52">
        <v>29</v>
      </c>
      <c r="AG52">
        <v>-2.0625</v>
      </c>
      <c r="AH52">
        <v>-3.6875</v>
      </c>
      <c r="AI52">
        <v>-1.625</v>
      </c>
      <c r="AJ52">
        <v>2.1875</v>
      </c>
      <c r="AK52">
        <v>-13.8125</v>
      </c>
      <c r="AL52">
        <v>-23.25</v>
      </c>
      <c r="AM52">
        <v>7.1875</v>
      </c>
      <c r="AN52">
        <v>-0.5</v>
      </c>
      <c r="AO52">
        <v>2.75</v>
      </c>
      <c r="AP52">
        <v>20</v>
      </c>
      <c r="AQ52">
        <v>-0.88125000000000209</v>
      </c>
      <c r="AR52">
        <v>-1.5650000000000004</v>
      </c>
      <c r="AS52">
        <v>-30.4375</v>
      </c>
      <c r="AT52">
        <v>0.88125000000000209</v>
      </c>
      <c r="AU52">
        <v>-0.44453124999999982</v>
      </c>
      <c r="AV52">
        <v>0.48656250000000006</v>
      </c>
      <c r="AW52">
        <v>-0.5673437499999997</v>
      </c>
      <c r="AX52" t="s">
        <v>284</v>
      </c>
      <c r="AY52">
        <v>4</v>
      </c>
      <c r="AZ52">
        <v>6.1174999999999997</v>
      </c>
      <c r="BA52">
        <v>-10.475000000000001</v>
      </c>
      <c r="BB52">
        <v>-61.916666666666664</v>
      </c>
      <c r="BC52">
        <v>1.6666666666666667</v>
      </c>
      <c r="BD52">
        <v>13.68125</v>
      </c>
      <c r="BE52">
        <v>70.4375</v>
      </c>
      <c r="BF52">
        <v>7.875</v>
      </c>
      <c r="BG52">
        <v>16</v>
      </c>
      <c r="BH52">
        <v>14</v>
      </c>
      <c r="BI52">
        <v>1.625</v>
      </c>
      <c r="BJ52">
        <v>10</v>
      </c>
      <c r="BK52">
        <v>13.25</v>
      </c>
      <c r="BL52">
        <v>9</v>
      </c>
      <c r="BM52">
        <v>4.2310847394900111E-2</v>
      </c>
      <c r="BN52">
        <v>26</v>
      </c>
      <c r="BO52">
        <v>1.2275670410929539E-2</v>
      </c>
      <c r="BP52">
        <v>6</v>
      </c>
      <c r="BQ52">
        <v>7.1999999999999993</v>
      </c>
      <c r="BR52">
        <v>12</v>
      </c>
      <c r="BS52">
        <v>3.875</v>
      </c>
      <c r="BT52">
        <v>1.5625</v>
      </c>
      <c r="BU52">
        <v>-1.25</v>
      </c>
      <c r="BV52">
        <v>3.875</v>
      </c>
      <c r="BW52">
        <v>-10.375</v>
      </c>
      <c r="BX52">
        <v>64.5625</v>
      </c>
      <c r="BY52">
        <v>-70.125</v>
      </c>
      <c r="BZ52">
        <v>-5.75</v>
      </c>
      <c r="CA52">
        <v>0.9375</v>
      </c>
      <c r="CB52">
        <v>1</v>
      </c>
      <c r="CC52">
        <v>16.592500000000001</v>
      </c>
      <c r="CD52">
        <v>9.1972500000000004</v>
      </c>
      <c r="CE52">
        <v>134.6875</v>
      </c>
      <c r="CF52">
        <v>1.5404687499999998</v>
      </c>
    </row>
    <row r="53" spans="1:84" x14ac:dyDescent="0.2">
      <c r="A53" s="39">
        <v>43744</v>
      </c>
      <c r="B53" s="28" t="s">
        <v>381</v>
      </c>
      <c r="C53" s="41" t="s">
        <v>296</v>
      </c>
      <c r="D53" s="28" t="s">
        <v>312</v>
      </c>
      <c r="E53" s="3">
        <v>9.6999999999999993</v>
      </c>
      <c r="F53" s="3">
        <v>4.3</v>
      </c>
      <c r="G53" s="3">
        <v>16.2</v>
      </c>
      <c r="H53" s="3">
        <v>12</v>
      </c>
      <c r="I53" s="3">
        <v>5.5</v>
      </c>
      <c r="J53" s="3">
        <v>44</v>
      </c>
      <c r="K53" t="s">
        <v>110</v>
      </c>
      <c r="L53" s="1" t="s">
        <v>296</v>
      </c>
      <c r="M53">
        <v>9</v>
      </c>
      <c r="N53">
        <v>3.13375</v>
      </c>
      <c r="O53">
        <v>2.8687500000000008</v>
      </c>
      <c r="P53">
        <v>14</v>
      </c>
      <c r="Q53">
        <v>-0.6875</v>
      </c>
      <c r="R53">
        <v>3.59375</v>
      </c>
      <c r="S53">
        <v>19.3125</v>
      </c>
      <c r="T53">
        <v>-0.375</v>
      </c>
      <c r="U53">
        <v>28</v>
      </c>
      <c r="V53">
        <v>27.5</v>
      </c>
      <c r="W53">
        <v>-2.375</v>
      </c>
      <c r="X53">
        <v>2</v>
      </c>
      <c r="Y53">
        <v>7.5</v>
      </c>
      <c r="Z53">
        <v>3</v>
      </c>
      <c r="AA53">
        <v>2.2311277933480887E-2</v>
      </c>
      <c r="AB53">
        <v>16</v>
      </c>
      <c r="AC53">
        <v>-1.0591404744577763E-2</v>
      </c>
      <c r="AD53">
        <v>10</v>
      </c>
      <c r="AE53">
        <v>-11.112499999999999</v>
      </c>
      <c r="AF53">
        <v>1</v>
      </c>
      <c r="AG53">
        <v>-0.25</v>
      </c>
      <c r="AH53">
        <v>0.125</v>
      </c>
      <c r="AI53">
        <v>1.1875</v>
      </c>
      <c r="AJ53">
        <v>-1.5625</v>
      </c>
      <c r="AK53">
        <v>54.25</v>
      </c>
      <c r="AL53">
        <v>22.25</v>
      </c>
      <c r="AM53">
        <v>17.6875</v>
      </c>
      <c r="AN53">
        <v>7.1875</v>
      </c>
      <c r="AO53">
        <v>7.125</v>
      </c>
      <c r="AP53">
        <v>18</v>
      </c>
      <c r="AQ53">
        <v>0.26499999999999924</v>
      </c>
      <c r="AR53">
        <v>-8.8875000000000259E-2</v>
      </c>
      <c r="AS53">
        <v>4.5625</v>
      </c>
      <c r="AT53">
        <v>-0.26499999999999924</v>
      </c>
      <c r="AU53">
        <v>0.87921875000000016</v>
      </c>
      <c r="AV53">
        <v>8.414062500000008E-2</v>
      </c>
      <c r="AW53">
        <v>0.48125000000000023</v>
      </c>
      <c r="AX53" t="s">
        <v>312</v>
      </c>
      <c r="AY53">
        <v>7</v>
      </c>
      <c r="AZ53">
        <v>3.374999999999817E-2</v>
      </c>
      <c r="BA53">
        <v>1.5249999999999999</v>
      </c>
      <c r="BB53">
        <v>11.375</v>
      </c>
      <c r="BC53">
        <v>1</v>
      </c>
      <c r="BD53">
        <v>-1.5624999999999987</v>
      </c>
      <c r="BE53">
        <v>-9.375</v>
      </c>
      <c r="BF53">
        <v>-0.125</v>
      </c>
      <c r="BG53">
        <v>11</v>
      </c>
      <c r="BH53">
        <v>12</v>
      </c>
      <c r="BI53">
        <v>-0.3125</v>
      </c>
      <c r="BJ53">
        <v>7</v>
      </c>
      <c r="BK53">
        <v>12.25</v>
      </c>
      <c r="BL53">
        <v>19</v>
      </c>
      <c r="BM53">
        <v>5.4742186902560164E-2</v>
      </c>
      <c r="BN53">
        <v>13</v>
      </c>
      <c r="BO53">
        <v>1.609280693807278E-2</v>
      </c>
      <c r="BP53">
        <v>1</v>
      </c>
      <c r="BQ53">
        <v>-3.0499999999999972</v>
      </c>
      <c r="BR53">
        <v>16</v>
      </c>
      <c r="BS53">
        <v>1.5625</v>
      </c>
      <c r="BT53">
        <v>3.3125</v>
      </c>
      <c r="BU53">
        <v>-2.125</v>
      </c>
      <c r="BV53">
        <v>-0.875</v>
      </c>
      <c r="BW53">
        <v>-13.125</v>
      </c>
      <c r="BX53">
        <v>-14.3125</v>
      </c>
      <c r="BY53">
        <v>11.75</v>
      </c>
      <c r="BZ53">
        <v>-8.5625</v>
      </c>
      <c r="CA53">
        <v>-2</v>
      </c>
      <c r="CB53">
        <v>21</v>
      </c>
      <c r="CC53">
        <v>-1.4912500000000017</v>
      </c>
      <c r="CD53">
        <v>-1.0682499999999999</v>
      </c>
      <c r="CE53">
        <v>-26.0625</v>
      </c>
      <c r="CF53">
        <v>-0.31296875000000007</v>
      </c>
    </row>
    <row r="54" spans="1:84" x14ac:dyDescent="0.2">
      <c r="A54" s="39">
        <v>43744</v>
      </c>
      <c r="B54" s="28" t="s">
        <v>381</v>
      </c>
      <c r="C54" s="41" t="s">
        <v>298</v>
      </c>
      <c r="D54" s="28" t="s">
        <v>294</v>
      </c>
      <c r="E54" s="3">
        <v>3</v>
      </c>
      <c r="F54" s="3">
        <v>2.6</v>
      </c>
      <c r="G54" s="3">
        <v>8.6999999999999993</v>
      </c>
      <c r="H54" s="3">
        <v>1.2</v>
      </c>
      <c r="I54" s="3">
        <v>14</v>
      </c>
      <c r="J54" s="3">
        <v>43</v>
      </c>
      <c r="K54" s="3"/>
      <c r="L54" s="1" t="s">
        <v>298</v>
      </c>
      <c r="M54">
        <v>21</v>
      </c>
      <c r="N54">
        <v>-9.52</v>
      </c>
      <c r="O54">
        <v>1.0875000000000008</v>
      </c>
      <c r="P54">
        <v>1.375</v>
      </c>
      <c r="Q54">
        <v>1.96875</v>
      </c>
      <c r="R54">
        <v>-21</v>
      </c>
      <c r="S54">
        <v>-86.5</v>
      </c>
      <c r="T54">
        <v>-7.25</v>
      </c>
      <c r="U54">
        <v>14</v>
      </c>
      <c r="V54">
        <v>13.5</v>
      </c>
      <c r="W54">
        <v>2.625</v>
      </c>
      <c r="X54">
        <v>8</v>
      </c>
      <c r="Y54">
        <v>12</v>
      </c>
      <c r="Z54">
        <v>2</v>
      </c>
      <c r="AA54">
        <v>9.2541107826202368E-2</v>
      </c>
      <c r="AB54">
        <v>17</v>
      </c>
      <c r="AC54">
        <v>9.235518978510357E-2</v>
      </c>
      <c r="AD54">
        <v>12</v>
      </c>
      <c r="AE54">
        <v>15.2125</v>
      </c>
      <c r="AF54">
        <v>17</v>
      </c>
      <c r="AG54">
        <v>7.25</v>
      </c>
      <c r="AH54">
        <v>-5.125</v>
      </c>
      <c r="AI54">
        <v>-11</v>
      </c>
      <c r="AJ54">
        <v>2.875</v>
      </c>
      <c r="AK54">
        <v>-114.4375</v>
      </c>
      <c r="AL54">
        <v>-98.5</v>
      </c>
      <c r="AM54">
        <v>-5.1875</v>
      </c>
      <c r="AN54">
        <v>1.25</v>
      </c>
      <c r="AO54">
        <v>-12</v>
      </c>
      <c r="AP54">
        <v>29</v>
      </c>
      <c r="AQ54">
        <v>-10.6075</v>
      </c>
      <c r="AR54">
        <v>-6.6477500000000012</v>
      </c>
      <c r="AS54">
        <v>-93.3125</v>
      </c>
      <c r="AT54">
        <v>10.6075</v>
      </c>
      <c r="AU54">
        <v>-4.2103124999999997</v>
      </c>
      <c r="AV54">
        <v>0.90898437500000029</v>
      </c>
      <c r="AW54">
        <v>-0.18249999999999988</v>
      </c>
      <c r="AX54" t="s">
        <v>294</v>
      </c>
      <c r="AY54">
        <v>30</v>
      </c>
      <c r="AZ54">
        <v>4.3099999999999996</v>
      </c>
      <c r="BA54">
        <v>-1.7937499999999991</v>
      </c>
      <c r="BB54">
        <v>-32.8125</v>
      </c>
      <c r="BC54">
        <v>1.40625</v>
      </c>
      <c r="BD54">
        <v>10.612500000000004</v>
      </c>
      <c r="BE54">
        <v>43.5</v>
      </c>
      <c r="BF54">
        <v>3.8125</v>
      </c>
      <c r="BG54">
        <v>31</v>
      </c>
      <c r="BH54">
        <v>28.5</v>
      </c>
      <c r="BI54">
        <v>-0.6875</v>
      </c>
      <c r="BJ54">
        <v>4</v>
      </c>
      <c r="BK54">
        <v>8.75</v>
      </c>
      <c r="BL54">
        <v>3</v>
      </c>
      <c r="BM54">
        <v>3.9893190126744665E-2</v>
      </c>
      <c r="BN54">
        <v>4</v>
      </c>
      <c r="BO54">
        <v>-3.30250190854234E-2</v>
      </c>
      <c r="BP54">
        <v>14</v>
      </c>
      <c r="BQ54">
        <v>3.5874999999999986</v>
      </c>
      <c r="BR54">
        <v>14</v>
      </c>
      <c r="BS54">
        <v>-4.5625</v>
      </c>
      <c r="BT54">
        <v>0.1875</v>
      </c>
      <c r="BU54">
        <v>5.0625</v>
      </c>
      <c r="BV54">
        <v>1.3125</v>
      </c>
      <c r="BW54">
        <v>24.1875</v>
      </c>
      <c r="BX54">
        <v>43.6875</v>
      </c>
      <c r="BY54">
        <v>-20.5</v>
      </c>
      <c r="BZ54">
        <v>-6.25E-2</v>
      </c>
      <c r="CA54">
        <v>1.0625</v>
      </c>
      <c r="CB54">
        <v>5</v>
      </c>
      <c r="CC54">
        <v>6.103749999999998</v>
      </c>
      <c r="CD54">
        <v>3.8813750000000002</v>
      </c>
      <c r="CE54">
        <v>64.1875</v>
      </c>
      <c r="CF54">
        <v>2.0004687500000005</v>
      </c>
    </row>
    <row r="55" spans="1:84" x14ac:dyDescent="0.2">
      <c r="A55" s="39">
        <v>43744</v>
      </c>
      <c r="B55" s="22" t="s">
        <v>381</v>
      </c>
      <c r="C55" s="41" t="s">
        <v>294</v>
      </c>
      <c r="D55" s="22" t="s">
        <v>298</v>
      </c>
      <c r="E55">
        <v>11.2</v>
      </c>
      <c r="F55">
        <v>3</v>
      </c>
      <c r="G55">
        <v>0</v>
      </c>
      <c r="H55">
        <v>18.8</v>
      </c>
      <c r="I55">
        <v>-14</v>
      </c>
      <c r="J55">
        <v>43</v>
      </c>
      <c r="L55" s="1" t="s">
        <v>294</v>
      </c>
      <c r="M55">
        <v>23</v>
      </c>
      <c r="N55">
        <v>3.6349999999999993</v>
      </c>
      <c r="O55">
        <v>-4.7249999999999996</v>
      </c>
      <c r="P55">
        <v>-13.875</v>
      </c>
      <c r="Q55">
        <v>-1</v>
      </c>
      <c r="R55">
        <v>10.356249999999999</v>
      </c>
      <c r="S55">
        <v>18.5</v>
      </c>
      <c r="T55">
        <v>6.0625</v>
      </c>
      <c r="U55">
        <v>23</v>
      </c>
      <c r="V55">
        <v>22.5</v>
      </c>
      <c r="W55">
        <v>-4.5625</v>
      </c>
      <c r="X55">
        <v>6</v>
      </c>
      <c r="Y55">
        <v>10.25</v>
      </c>
      <c r="Z55">
        <v>16</v>
      </c>
      <c r="AA55">
        <v>-2.9679942997754991E-2</v>
      </c>
      <c r="AB55">
        <v>4</v>
      </c>
      <c r="AC55">
        <v>-1.073754230047636E-2</v>
      </c>
      <c r="AD55">
        <v>6</v>
      </c>
      <c r="AE55">
        <v>2.3687499999999986</v>
      </c>
      <c r="AF55">
        <v>15</v>
      </c>
      <c r="AG55">
        <v>-0.6875</v>
      </c>
      <c r="AH55">
        <v>2.75</v>
      </c>
      <c r="AI55">
        <v>5</v>
      </c>
      <c r="AJ55">
        <v>-1.3125</v>
      </c>
      <c r="AK55">
        <v>-11.1875</v>
      </c>
      <c r="AL55">
        <v>0.875</v>
      </c>
      <c r="AM55">
        <v>-3.125</v>
      </c>
      <c r="AN55">
        <v>-3.6875</v>
      </c>
      <c r="AO55">
        <v>-5.25</v>
      </c>
      <c r="AP55">
        <v>1</v>
      </c>
      <c r="AQ55">
        <v>8.36</v>
      </c>
      <c r="AR55">
        <v>5.1607500000000002</v>
      </c>
      <c r="AS55">
        <v>4</v>
      </c>
      <c r="AT55">
        <v>-8.36</v>
      </c>
      <c r="AU55">
        <v>1.0645312499999999</v>
      </c>
      <c r="AV55">
        <v>0.90898437500000029</v>
      </c>
      <c r="AW55">
        <v>2.0004687500000005</v>
      </c>
      <c r="AX55" t="s">
        <v>298</v>
      </c>
      <c r="AY55">
        <v>9</v>
      </c>
      <c r="AZ55">
        <v>-0.9300000000000006</v>
      </c>
      <c r="BA55">
        <v>-0.85625000000000018</v>
      </c>
      <c r="BB55">
        <v>-18.3125</v>
      </c>
      <c r="BC55">
        <v>0.75</v>
      </c>
      <c r="BD55">
        <v>-0.73624999999999807</v>
      </c>
      <c r="BE55">
        <v>1.75</v>
      </c>
      <c r="BF55">
        <v>-1.1875</v>
      </c>
      <c r="BG55">
        <v>24</v>
      </c>
      <c r="BH55">
        <v>23</v>
      </c>
      <c r="BI55">
        <v>7.25</v>
      </c>
      <c r="BJ55">
        <v>23</v>
      </c>
      <c r="BK55">
        <v>20</v>
      </c>
      <c r="BL55">
        <v>32</v>
      </c>
      <c r="BM55">
        <v>1.6821021542653435E-2</v>
      </c>
      <c r="BN55">
        <v>22</v>
      </c>
      <c r="BO55">
        <v>-1.4997920054752232E-2</v>
      </c>
      <c r="BP55">
        <v>11</v>
      </c>
      <c r="BQ55">
        <v>4.84375</v>
      </c>
      <c r="BR55">
        <v>15</v>
      </c>
      <c r="BS55">
        <v>2.625</v>
      </c>
      <c r="BT55">
        <v>-2.6875</v>
      </c>
      <c r="BU55">
        <v>-1.75</v>
      </c>
      <c r="BV55">
        <v>2.1875</v>
      </c>
      <c r="BW55">
        <v>-22.75</v>
      </c>
      <c r="BX55">
        <v>7.0625</v>
      </c>
      <c r="BY55">
        <v>-27.875</v>
      </c>
      <c r="BZ55">
        <v>-0.5625</v>
      </c>
      <c r="CA55">
        <v>-1.375</v>
      </c>
      <c r="CB55">
        <v>18</v>
      </c>
      <c r="CC55">
        <v>-7.3750000000000426E-2</v>
      </c>
      <c r="CD55">
        <v>9.4875000000000376E-2</v>
      </c>
      <c r="CE55">
        <v>34.9375</v>
      </c>
      <c r="CF55">
        <v>-0.18249999999999988</v>
      </c>
    </row>
    <row r="56" spans="1:84" x14ac:dyDescent="0.2">
      <c r="A56" s="39">
        <v>43744</v>
      </c>
      <c r="B56" s="22" t="s">
        <v>381</v>
      </c>
      <c r="C56" s="41" t="s">
        <v>309</v>
      </c>
      <c r="D56" s="22" t="s">
        <v>305</v>
      </c>
      <c r="E56">
        <v>19.5</v>
      </c>
      <c r="F56">
        <v>7.7</v>
      </c>
      <c r="G56">
        <v>8.1999999999999993</v>
      </c>
      <c r="H56">
        <v>6.4</v>
      </c>
      <c r="I56">
        <v>3</v>
      </c>
      <c r="J56">
        <v>44</v>
      </c>
      <c r="L56" s="1" t="s">
        <v>309</v>
      </c>
      <c r="M56">
        <v>31</v>
      </c>
      <c r="N56">
        <v>-0.20375000000000076</v>
      </c>
      <c r="O56">
        <v>1.05125</v>
      </c>
      <c r="P56">
        <v>-23.1875</v>
      </c>
      <c r="Q56">
        <v>1</v>
      </c>
      <c r="R56">
        <v>-1.3624999999999985</v>
      </c>
      <c r="S56">
        <v>-19</v>
      </c>
      <c r="T56">
        <v>-0.9375</v>
      </c>
      <c r="U56">
        <v>3</v>
      </c>
      <c r="V56">
        <v>5.5</v>
      </c>
      <c r="W56">
        <v>1.375</v>
      </c>
      <c r="X56">
        <v>12</v>
      </c>
      <c r="Y56">
        <v>13.25</v>
      </c>
      <c r="Z56">
        <v>9</v>
      </c>
      <c r="AA56">
        <v>-9.0025054165740137E-2</v>
      </c>
      <c r="AB56">
        <v>20</v>
      </c>
      <c r="AC56">
        <v>-4.846344925852937E-2</v>
      </c>
      <c r="AD56">
        <v>19</v>
      </c>
      <c r="AE56">
        <v>-2.2312499999999993</v>
      </c>
      <c r="AF56">
        <v>5</v>
      </c>
      <c r="AG56">
        <v>-6.1875</v>
      </c>
      <c r="AH56">
        <v>-4.0625</v>
      </c>
      <c r="AI56">
        <v>3.5</v>
      </c>
      <c r="AJ56">
        <v>-2.1875</v>
      </c>
      <c r="AK56">
        <v>-35.25</v>
      </c>
      <c r="AL56">
        <v>-8.9375</v>
      </c>
      <c r="AM56">
        <v>-21.5625</v>
      </c>
      <c r="AN56">
        <v>-6.25E-2</v>
      </c>
      <c r="AO56">
        <v>-4.6875</v>
      </c>
      <c r="AP56">
        <v>21</v>
      </c>
      <c r="AQ56">
        <v>-1.2550000000000008</v>
      </c>
      <c r="AR56">
        <v>-0.83887499999999982</v>
      </c>
      <c r="AS56">
        <v>12.625</v>
      </c>
      <c r="AT56">
        <v>1.2550000000000008</v>
      </c>
      <c r="AU56">
        <v>0.2168750000000001</v>
      </c>
      <c r="AV56">
        <v>0.45164062499999996</v>
      </c>
      <c r="AW56">
        <v>-0.59968749999999982</v>
      </c>
      <c r="AX56" t="s">
        <v>305</v>
      </c>
      <c r="AY56">
        <v>32</v>
      </c>
      <c r="AZ56">
        <v>1.6925000000000008</v>
      </c>
      <c r="BA56">
        <v>4.8562499999999993</v>
      </c>
      <c r="BB56">
        <v>11.875</v>
      </c>
      <c r="BC56">
        <v>-2.125</v>
      </c>
      <c r="BD56">
        <v>4.3499999999999988</v>
      </c>
      <c r="BE56">
        <v>39</v>
      </c>
      <c r="BF56">
        <v>-0.25</v>
      </c>
      <c r="BG56">
        <v>23</v>
      </c>
      <c r="BH56">
        <v>22.5</v>
      </c>
      <c r="BI56">
        <v>-2.125</v>
      </c>
      <c r="BJ56">
        <v>5</v>
      </c>
      <c r="BK56">
        <v>9.75</v>
      </c>
      <c r="BL56">
        <v>15</v>
      </c>
      <c r="BM56">
        <v>4.4246787171674379E-3</v>
      </c>
      <c r="BN56">
        <v>8</v>
      </c>
      <c r="BO56">
        <v>-2.4100616343961358E-2</v>
      </c>
      <c r="BP56">
        <v>15</v>
      </c>
      <c r="BQ56">
        <v>7.2124999999999986</v>
      </c>
      <c r="BR56">
        <v>1</v>
      </c>
      <c r="BS56">
        <v>-5.5625</v>
      </c>
      <c r="BT56">
        <v>-5.75</v>
      </c>
      <c r="BU56">
        <v>5.1875</v>
      </c>
      <c r="BV56">
        <v>-0.4375</v>
      </c>
      <c r="BW56">
        <v>35</v>
      </c>
      <c r="BX56">
        <v>31.6875</v>
      </c>
      <c r="BY56">
        <v>11.3125</v>
      </c>
      <c r="BZ56">
        <v>-0.75</v>
      </c>
      <c r="CA56">
        <v>-7.25</v>
      </c>
      <c r="CB56">
        <v>24</v>
      </c>
      <c r="CC56">
        <v>-3.163749999999999</v>
      </c>
      <c r="CD56">
        <v>-1.219625</v>
      </c>
      <c r="CE56">
        <v>20.375</v>
      </c>
      <c r="CF56">
        <v>1.5029687499999997</v>
      </c>
    </row>
    <row r="57" spans="1:84" x14ac:dyDescent="0.2">
      <c r="A57" s="39">
        <v>43744</v>
      </c>
      <c r="B57" s="23" t="s">
        <v>381</v>
      </c>
      <c r="C57" s="40" t="s">
        <v>256</v>
      </c>
      <c r="D57" s="24" t="s">
        <v>281</v>
      </c>
      <c r="E57">
        <v>8.6</v>
      </c>
      <c r="F57">
        <v>2.1</v>
      </c>
      <c r="G57">
        <v>1.3</v>
      </c>
      <c r="H57">
        <f>20.8+1.7</f>
        <v>22.5</v>
      </c>
      <c r="I57">
        <v>-5</v>
      </c>
      <c r="J57">
        <v>47.5</v>
      </c>
      <c r="L57" s="1" t="s">
        <v>256</v>
      </c>
      <c r="M57">
        <v>15</v>
      </c>
      <c r="N57">
        <v>-4.4612500000000015</v>
      </c>
      <c r="O57">
        <v>8.8787500000000001</v>
      </c>
      <c r="P57">
        <v>83.3125</v>
      </c>
      <c r="Q57">
        <v>-2.5</v>
      </c>
      <c r="R57">
        <v>-10.861250000000002</v>
      </c>
      <c r="S57">
        <v>-59.1875</v>
      </c>
      <c r="T57">
        <v>-5.8125</v>
      </c>
      <c r="U57">
        <v>17</v>
      </c>
      <c r="V57">
        <v>16</v>
      </c>
      <c r="W57">
        <v>5.4375</v>
      </c>
      <c r="X57">
        <v>21</v>
      </c>
      <c r="Y57">
        <v>17.75</v>
      </c>
      <c r="Z57">
        <v>19</v>
      </c>
      <c r="AA57">
        <v>-0.12820437202890633</v>
      </c>
      <c r="AB57">
        <v>3</v>
      </c>
      <c r="AC57">
        <v>-3.9220625223300783E-2</v>
      </c>
      <c r="AD57">
        <v>29</v>
      </c>
      <c r="AE57">
        <v>-5.7999999999999954</v>
      </c>
      <c r="AF57">
        <v>20</v>
      </c>
      <c r="AG57">
        <v>-1.75</v>
      </c>
      <c r="AH57">
        <v>2.875</v>
      </c>
      <c r="AI57">
        <v>4.875</v>
      </c>
      <c r="AJ57">
        <v>1.5</v>
      </c>
      <c r="AK57">
        <v>46.8125</v>
      </c>
      <c r="AL57">
        <v>-42.9375</v>
      </c>
      <c r="AM57">
        <v>97</v>
      </c>
      <c r="AN57">
        <v>5.125</v>
      </c>
      <c r="AO57">
        <v>-12.375</v>
      </c>
      <c r="AP57">
        <v>30</v>
      </c>
      <c r="AQ57">
        <v>-13.340000000000003</v>
      </c>
      <c r="AR57">
        <v>-7.5038750000000007</v>
      </c>
      <c r="AS57">
        <v>-139.9375</v>
      </c>
      <c r="AT57">
        <v>13.340000000000002</v>
      </c>
      <c r="AU57">
        <v>-0.78203125000000018</v>
      </c>
      <c r="AV57">
        <v>-1.7214062500000002</v>
      </c>
      <c r="AW57">
        <v>-3.2589062500000003</v>
      </c>
      <c r="AX57" t="s">
        <v>281</v>
      </c>
      <c r="AY57">
        <v>11</v>
      </c>
      <c r="AZ57">
        <v>-0.12750000000000083</v>
      </c>
      <c r="BA57">
        <v>-1.8437500000000007</v>
      </c>
      <c r="BB57">
        <v>-4.1875</v>
      </c>
      <c r="BC57">
        <v>0.375</v>
      </c>
      <c r="BD57">
        <v>-0.37499999999999933</v>
      </c>
      <c r="BE57">
        <v>-14.4375</v>
      </c>
      <c r="BF57">
        <v>-3.25</v>
      </c>
      <c r="BG57">
        <v>29</v>
      </c>
      <c r="BH57">
        <v>27</v>
      </c>
      <c r="BI57">
        <v>0.625</v>
      </c>
      <c r="BJ57">
        <v>9</v>
      </c>
      <c r="BK57">
        <v>12.5</v>
      </c>
      <c r="BL57">
        <v>8</v>
      </c>
      <c r="BM57">
        <v>-1.9480553856975322E-2</v>
      </c>
      <c r="BN57">
        <v>16</v>
      </c>
      <c r="BO57">
        <v>6.2880241269033885E-3</v>
      </c>
      <c r="BP57">
        <v>7</v>
      </c>
      <c r="BQ57">
        <v>3.6187500000000021</v>
      </c>
      <c r="BR57">
        <v>19</v>
      </c>
      <c r="BS57">
        <v>-0.3125</v>
      </c>
      <c r="BT57">
        <v>-3.6875</v>
      </c>
      <c r="BU57">
        <v>-1.75</v>
      </c>
      <c r="BV57">
        <v>-0.1875</v>
      </c>
      <c r="BW57">
        <v>-0.6875</v>
      </c>
      <c r="BX57">
        <v>-2</v>
      </c>
      <c r="BY57">
        <v>-4.8125</v>
      </c>
      <c r="BZ57">
        <v>3.3125</v>
      </c>
      <c r="CA57">
        <v>2.8125</v>
      </c>
      <c r="CB57">
        <v>15</v>
      </c>
      <c r="CC57">
        <v>1.7162499999999998</v>
      </c>
      <c r="CD57">
        <v>0.8213750000000003</v>
      </c>
      <c r="CE57">
        <v>2.8125</v>
      </c>
      <c r="CF57">
        <v>-0.1839062500000001</v>
      </c>
    </row>
    <row r="58" spans="1:84" x14ac:dyDescent="0.2">
      <c r="A58" s="39">
        <v>43744</v>
      </c>
      <c r="B58" s="26" t="s">
        <v>381</v>
      </c>
      <c r="C58" s="41" t="s">
        <v>308</v>
      </c>
      <c r="D58" s="26" t="s">
        <v>304</v>
      </c>
      <c r="E58">
        <v>14.3</v>
      </c>
      <c r="F58">
        <v>12.4</v>
      </c>
      <c r="G58" s="14">
        <v>4.5999999999999996</v>
      </c>
      <c r="H58" s="14">
        <v>14.8</v>
      </c>
      <c r="I58">
        <v>-1.5</v>
      </c>
      <c r="J58">
        <v>49</v>
      </c>
      <c r="L58" s="1" t="s">
        <v>308</v>
      </c>
      <c r="M58">
        <v>11</v>
      </c>
      <c r="N58">
        <v>3.2900000000000009</v>
      </c>
      <c r="O58">
        <v>7.8750000000001208E-2</v>
      </c>
      <c r="P58">
        <v>-9.25</v>
      </c>
      <c r="Q58">
        <v>-0.75</v>
      </c>
      <c r="R58">
        <v>2.376249999999998</v>
      </c>
      <c r="S58">
        <v>12.625</v>
      </c>
      <c r="T58">
        <v>1.4375</v>
      </c>
      <c r="U58">
        <v>8</v>
      </c>
      <c r="V58">
        <v>8.5</v>
      </c>
      <c r="W58">
        <v>-0.125</v>
      </c>
      <c r="X58">
        <v>12</v>
      </c>
      <c r="Y58">
        <v>13.25</v>
      </c>
      <c r="Z58">
        <v>11</v>
      </c>
      <c r="AA58">
        <v>-1.8536306254826516E-2</v>
      </c>
      <c r="AB58">
        <v>5</v>
      </c>
      <c r="AC58">
        <v>2.7283187566742247E-2</v>
      </c>
      <c r="AD58">
        <v>21</v>
      </c>
      <c r="AE58">
        <v>6.2375000000000043</v>
      </c>
      <c r="AF58">
        <v>16</v>
      </c>
      <c r="AG58">
        <v>1.625</v>
      </c>
      <c r="AH58">
        <v>-1.125</v>
      </c>
      <c r="AI58">
        <v>-0.875</v>
      </c>
      <c r="AJ58">
        <v>1.3125</v>
      </c>
      <c r="AK58">
        <v>-6.9375</v>
      </c>
      <c r="AL58">
        <v>11</v>
      </c>
      <c r="AM58">
        <v>-15.375</v>
      </c>
      <c r="AN58">
        <v>-3.5625</v>
      </c>
      <c r="AO58">
        <v>1</v>
      </c>
      <c r="AP58">
        <v>12</v>
      </c>
      <c r="AQ58">
        <v>3.2112499999999997</v>
      </c>
      <c r="AR58">
        <v>1.0938749999999993</v>
      </c>
      <c r="AS58">
        <v>26.375</v>
      </c>
      <c r="AT58">
        <v>-3.2112499999999997</v>
      </c>
      <c r="AU58">
        <v>0.35875000000000012</v>
      </c>
      <c r="AV58">
        <v>-0.1513281250000004</v>
      </c>
      <c r="AW58">
        <v>-9.8750000000000282E-2</v>
      </c>
      <c r="AX58" t="s">
        <v>304</v>
      </c>
      <c r="AY58">
        <v>16</v>
      </c>
      <c r="AZ58">
        <v>-1.1625000000000008</v>
      </c>
      <c r="BA58">
        <v>-0.73125000000000107</v>
      </c>
      <c r="BB58">
        <v>-9.4375</v>
      </c>
      <c r="BC58">
        <v>-0.25</v>
      </c>
      <c r="BD58">
        <v>-0.61250000000000249</v>
      </c>
      <c r="BE58">
        <v>-7.125</v>
      </c>
      <c r="BF58">
        <v>1.4375</v>
      </c>
      <c r="BG58">
        <v>28</v>
      </c>
      <c r="BH58">
        <v>26.5</v>
      </c>
      <c r="BI58">
        <v>-1.125</v>
      </c>
      <c r="BJ58">
        <v>14</v>
      </c>
      <c r="BK58">
        <v>15</v>
      </c>
      <c r="BL58">
        <v>22</v>
      </c>
      <c r="BM58">
        <v>4.3455078870373171E-3</v>
      </c>
      <c r="BN58">
        <v>10</v>
      </c>
      <c r="BO58">
        <v>-1.1827450233645396E-2</v>
      </c>
      <c r="BP58">
        <v>22</v>
      </c>
      <c r="BQ58">
        <v>3.375</v>
      </c>
      <c r="BR58">
        <v>6</v>
      </c>
      <c r="BS58">
        <v>-0.375</v>
      </c>
      <c r="BT58">
        <v>1.1875</v>
      </c>
      <c r="BU58">
        <v>1.6875</v>
      </c>
      <c r="BV58">
        <v>-0.125</v>
      </c>
      <c r="BW58">
        <v>-32.8125</v>
      </c>
      <c r="BX58">
        <v>-14.625</v>
      </c>
      <c r="BY58">
        <v>-10.75</v>
      </c>
      <c r="BZ58">
        <v>-3</v>
      </c>
      <c r="CA58">
        <v>-4.4375</v>
      </c>
      <c r="CB58">
        <v>19</v>
      </c>
      <c r="CC58">
        <v>-0.43124999999999969</v>
      </c>
      <c r="CD58">
        <v>1.062499999999994E-2</v>
      </c>
      <c r="CE58">
        <v>-3.875</v>
      </c>
      <c r="CF58">
        <v>-0.20390625000000051</v>
      </c>
    </row>
    <row r="59" spans="1:84" x14ac:dyDescent="0.2">
      <c r="A59" s="39">
        <v>43744</v>
      </c>
      <c r="B59" s="22" t="s">
        <v>381</v>
      </c>
      <c r="C59" s="41" t="s">
        <v>284</v>
      </c>
      <c r="D59" s="22" t="s">
        <v>307</v>
      </c>
      <c r="E59">
        <v>0</v>
      </c>
      <c r="F59">
        <v>34.5</v>
      </c>
      <c r="G59">
        <v>2.1</v>
      </c>
      <c r="H59">
        <v>4.0999999999999996</v>
      </c>
      <c r="I59">
        <v>3</v>
      </c>
      <c r="J59">
        <v>46</v>
      </c>
      <c r="L59" s="1" t="s">
        <v>284</v>
      </c>
      <c r="M59">
        <v>12</v>
      </c>
      <c r="N59">
        <v>5.3712499999999981</v>
      </c>
      <c r="O59">
        <v>-0.29999999999999893</v>
      </c>
      <c r="P59">
        <v>16.5625</v>
      </c>
      <c r="Q59">
        <v>-2.0625</v>
      </c>
      <c r="R59">
        <v>12.262500000000001</v>
      </c>
      <c r="S59">
        <v>50.9375</v>
      </c>
      <c r="T59">
        <v>1.4375</v>
      </c>
      <c r="U59">
        <v>18</v>
      </c>
      <c r="V59">
        <v>17.5</v>
      </c>
      <c r="W59">
        <v>3.875</v>
      </c>
      <c r="X59">
        <v>14</v>
      </c>
      <c r="Y59">
        <v>14</v>
      </c>
      <c r="Z59">
        <v>29</v>
      </c>
      <c r="AA59">
        <v>4.8222279477570462E-2</v>
      </c>
      <c r="AB59">
        <v>22</v>
      </c>
      <c r="AC59">
        <v>-1.1932460423095918E-3</v>
      </c>
      <c r="AD59">
        <v>1</v>
      </c>
      <c r="AE59">
        <v>6.6750000000000007</v>
      </c>
      <c r="AF59">
        <v>4</v>
      </c>
      <c r="AG59">
        <v>1.8125</v>
      </c>
      <c r="AH59">
        <v>4.625</v>
      </c>
      <c r="AI59">
        <v>7</v>
      </c>
      <c r="AJ59">
        <v>2.625</v>
      </c>
      <c r="AK59">
        <v>69.6875</v>
      </c>
      <c r="AL59">
        <v>59.875</v>
      </c>
      <c r="AM59">
        <v>16.375</v>
      </c>
      <c r="AN59">
        <v>-1.3125</v>
      </c>
      <c r="AO59">
        <v>-5.25</v>
      </c>
      <c r="AP59">
        <v>7</v>
      </c>
      <c r="AQ59">
        <v>5.671249999999997</v>
      </c>
      <c r="AR59">
        <v>3.6767499999999993</v>
      </c>
      <c r="AS59">
        <v>43.5</v>
      </c>
      <c r="AT59">
        <v>-5.671249999999997</v>
      </c>
      <c r="AU59">
        <v>2.5339062499999998</v>
      </c>
      <c r="AV59">
        <v>0.48656250000000006</v>
      </c>
      <c r="AW59">
        <v>1.5404687499999998</v>
      </c>
      <c r="AX59" t="s">
        <v>307</v>
      </c>
      <c r="AY59">
        <v>18</v>
      </c>
      <c r="AZ59">
        <v>3.5050000000000003</v>
      </c>
      <c r="BA59">
        <v>-2.6812500000000004</v>
      </c>
      <c r="BB59">
        <v>-13.625</v>
      </c>
      <c r="BC59">
        <v>1.1875</v>
      </c>
      <c r="BD59">
        <v>-3.424999999999998</v>
      </c>
      <c r="BE59">
        <v>5.375</v>
      </c>
      <c r="BF59">
        <v>-2</v>
      </c>
      <c r="BG59">
        <v>8</v>
      </c>
      <c r="BH59">
        <v>8.5</v>
      </c>
      <c r="BI59">
        <v>-2.0625</v>
      </c>
      <c r="BJ59">
        <v>17</v>
      </c>
      <c r="BK59">
        <v>16</v>
      </c>
      <c r="BL59">
        <v>6</v>
      </c>
      <c r="BM59">
        <v>6.1982681330107814E-2</v>
      </c>
      <c r="BN59">
        <v>18</v>
      </c>
      <c r="BO59">
        <v>-4.6531655680710597E-4</v>
      </c>
      <c r="BP59">
        <v>21</v>
      </c>
      <c r="BQ59">
        <v>-0.13749999999999574</v>
      </c>
      <c r="BR59">
        <v>19</v>
      </c>
      <c r="BS59">
        <v>2.5</v>
      </c>
      <c r="BT59">
        <v>-1.3125</v>
      </c>
      <c r="BU59">
        <v>-1.4375</v>
      </c>
      <c r="BV59">
        <v>-0.875</v>
      </c>
      <c r="BW59">
        <v>8.0625</v>
      </c>
      <c r="BX59">
        <v>15.125</v>
      </c>
      <c r="BY59">
        <v>-14.125</v>
      </c>
      <c r="BZ59">
        <v>-6.25E-2</v>
      </c>
      <c r="CA59">
        <v>7.125</v>
      </c>
      <c r="CB59">
        <v>4</v>
      </c>
      <c r="CC59">
        <v>6.1862500000000011</v>
      </c>
      <c r="CD59">
        <v>1.3566250000000009</v>
      </c>
      <c r="CE59">
        <v>29.25</v>
      </c>
      <c r="CF59">
        <v>-0.5673437499999997</v>
      </c>
    </row>
    <row r="60" spans="1:84" x14ac:dyDescent="0.2">
      <c r="A60" s="39">
        <v>43744</v>
      </c>
      <c r="B60" s="22" t="s">
        <v>381</v>
      </c>
      <c r="C60" s="41" t="s">
        <v>310</v>
      </c>
      <c r="D60" s="22" t="s">
        <v>276</v>
      </c>
      <c r="E60">
        <v>4.8</v>
      </c>
      <c r="F60" s="14">
        <v>7</v>
      </c>
      <c r="G60">
        <v>4.7</v>
      </c>
      <c r="H60">
        <v>8.6999999999999993</v>
      </c>
      <c r="I60">
        <v>-3.5</v>
      </c>
      <c r="J60">
        <v>39.5</v>
      </c>
      <c r="L60" s="1" t="s">
        <v>310</v>
      </c>
      <c r="M60">
        <v>7</v>
      </c>
      <c r="N60">
        <v>-0.61500000000000021</v>
      </c>
      <c r="O60">
        <v>1.0499999999999998</v>
      </c>
      <c r="P60">
        <v>-2.625</v>
      </c>
      <c r="Q60">
        <v>-0.5</v>
      </c>
      <c r="R60">
        <v>-7.5</v>
      </c>
      <c r="S60">
        <v>-23.375</v>
      </c>
      <c r="T60">
        <v>-2.8125</v>
      </c>
      <c r="U60">
        <v>29</v>
      </c>
      <c r="V60">
        <v>29</v>
      </c>
      <c r="W60">
        <v>3.625</v>
      </c>
      <c r="X60">
        <v>25</v>
      </c>
      <c r="Y60">
        <v>21</v>
      </c>
      <c r="Z60">
        <v>27</v>
      </c>
      <c r="AA60">
        <v>1.8200072353711932E-2</v>
      </c>
      <c r="AB60">
        <v>2</v>
      </c>
      <c r="AC60">
        <v>3.5271798615045695E-2</v>
      </c>
      <c r="AD60">
        <v>30</v>
      </c>
      <c r="AE60">
        <v>3.1750000000000025</v>
      </c>
      <c r="AF60">
        <v>25</v>
      </c>
      <c r="AG60">
        <v>-6.25E-2</v>
      </c>
      <c r="AH60">
        <v>1.0625</v>
      </c>
      <c r="AI60">
        <v>0.4375</v>
      </c>
      <c r="AJ60">
        <v>1.25</v>
      </c>
      <c r="AK60">
        <v>-11.625</v>
      </c>
      <c r="AL60">
        <v>-15.4375</v>
      </c>
      <c r="AM60">
        <v>-6</v>
      </c>
      <c r="AN60">
        <v>-4.625</v>
      </c>
      <c r="AO60">
        <v>14.4375</v>
      </c>
      <c r="AP60">
        <v>22</v>
      </c>
      <c r="AQ60">
        <v>-1.665</v>
      </c>
      <c r="AR60">
        <v>-2.1479999999999997</v>
      </c>
      <c r="AS60">
        <v>-9.4375</v>
      </c>
      <c r="AT60">
        <v>1.665</v>
      </c>
      <c r="AU60">
        <v>-0.96125000000000016</v>
      </c>
      <c r="AV60">
        <v>-1.8165625000000001</v>
      </c>
      <c r="AW60">
        <v>-1.7523437500000001</v>
      </c>
      <c r="AX60" t="s">
        <v>276</v>
      </c>
      <c r="AY60">
        <v>24</v>
      </c>
      <c r="AZ60">
        <v>-4.4537500000000012</v>
      </c>
      <c r="BA60">
        <v>1.0437500000000011</v>
      </c>
      <c r="BB60">
        <v>4.2916666666666643</v>
      </c>
      <c r="BC60">
        <v>-0.12500000000000006</v>
      </c>
      <c r="BD60">
        <v>-9.6362500000000004</v>
      </c>
      <c r="BE60">
        <v>-43.5625</v>
      </c>
      <c r="BF60">
        <v>2.1875</v>
      </c>
      <c r="BG60">
        <v>32</v>
      </c>
      <c r="BH60">
        <v>32</v>
      </c>
      <c r="BI60">
        <v>2.125</v>
      </c>
      <c r="BJ60">
        <v>7</v>
      </c>
      <c r="BK60">
        <v>12.25</v>
      </c>
      <c r="BL60">
        <v>24</v>
      </c>
      <c r="BM60">
        <v>-5.1053919056739359E-2</v>
      </c>
      <c r="BN60">
        <v>3</v>
      </c>
      <c r="BO60">
        <v>-3.9151835546562014E-2</v>
      </c>
      <c r="BP60">
        <v>17</v>
      </c>
      <c r="BQ60">
        <v>-18.462500000000002</v>
      </c>
      <c r="BR60">
        <v>5</v>
      </c>
      <c r="BS60">
        <v>-3.0625</v>
      </c>
      <c r="BT60">
        <v>-0.375</v>
      </c>
      <c r="BU60">
        <v>-4.125</v>
      </c>
      <c r="BV60">
        <v>0.8125</v>
      </c>
      <c r="BW60">
        <v>-40.0625</v>
      </c>
      <c r="BX60">
        <v>-41</v>
      </c>
      <c r="BY60">
        <v>5.125</v>
      </c>
      <c r="BZ60">
        <v>0.9375</v>
      </c>
      <c r="CA60">
        <v>-5.125</v>
      </c>
      <c r="CB60">
        <v>27</v>
      </c>
      <c r="CC60">
        <v>-5.4975000000000023</v>
      </c>
      <c r="CD60">
        <v>-3.339875000000001</v>
      </c>
      <c r="CE60">
        <v>-46.125</v>
      </c>
      <c r="CF60">
        <v>-1.8807812500000001</v>
      </c>
    </row>
    <row r="61" spans="1:84" x14ac:dyDescent="0.2">
      <c r="A61" s="39">
        <v>43744</v>
      </c>
      <c r="B61" s="22" t="s">
        <v>381</v>
      </c>
      <c r="C61" s="41" t="s">
        <v>306</v>
      </c>
      <c r="D61" s="22" t="s">
        <v>302</v>
      </c>
      <c r="E61">
        <v>8.1</v>
      </c>
      <c r="F61">
        <v>3.4</v>
      </c>
      <c r="G61" s="14">
        <v>3.5</v>
      </c>
      <c r="H61">
        <v>3.7</v>
      </c>
      <c r="I61">
        <v>15.5</v>
      </c>
      <c r="J61">
        <v>42</v>
      </c>
      <c r="L61" s="1" t="s">
        <v>306</v>
      </c>
      <c r="M61">
        <v>32</v>
      </c>
      <c r="N61">
        <v>-1.2775000000000007</v>
      </c>
      <c r="O61">
        <v>-0.52499999999999858</v>
      </c>
      <c r="P61">
        <v>-24.5625</v>
      </c>
      <c r="Q61">
        <v>2.15625</v>
      </c>
      <c r="R61">
        <v>-6.2937500000000011</v>
      </c>
      <c r="S61">
        <v>-47.375</v>
      </c>
      <c r="T61">
        <v>-1.75</v>
      </c>
      <c r="U61">
        <v>1</v>
      </c>
      <c r="V61">
        <v>1</v>
      </c>
      <c r="W61">
        <v>-1.25</v>
      </c>
      <c r="X61">
        <v>1</v>
      </c>
      <c r="Y61">
        <v>5.25</v>
      </c>
      <c r="Z61">
        <v>9</v>
      </c>
      <c r="AA61">
        <v>-7.9610955567034764E-3</v>
      </c>
      <c r="AB61">
        <v>1</v>
      </c>
      <c r="AC61">
        <v>-5.3729369881807924E-3</v>
      </c>
      <c r="AD61">
        <v>2</v>
      </c>
      <c r="AE61">
        <v>-12.599999999999998</v>
      </c>
      <c r="AF61">
        <v>9</v>
      </c>
      <c r="AG61">
        <v>3.8125</v>
      </c>
      <c r="AH61">
        <v>-6.0625</v>
      </c>
      <c r="AI61">
        <v>-2</v>
      </c>
      <c r="AJ61">
        <v>-0.4375</v>
      </c>
      <c r="AK61">
        <v>-46.625</v>
      </c>
      <c r="AL61">
        <v>-13.9375</v>
      </c>
      <c r="AM61">
        <v>-29.1875</v>
      </c>
      <c r="AN61">
        <v>0.625</v>
      </c>
      <c r="AO61">
        <v>-4.125</v>
      </c>
      <c r="AP61">
        <v>19</v>
      </c>
      <c r="AQ61">
        <v>-0.75250000000000217</v>
      </c>
      <c r="AR61">
        <v>-1.2517500000000013</v>
      </c>
      <c r="AS61">
        <v>15.25</v>
      </c>
      <c r="AT61">
        <v>0.75250000000000217</v>
      </c>
      <c r="AU61">
        <v>-1.2229687500000002</v>
      </c>
      <c r="AV61">
        <v>-0.42484374999999974</v>
      </c>
      <c r="AW61">
        <v>1.2029687500000006</v>
      </c>
      <c r="AX61" t="s">
        <v>302</v>
      </c>
      <c r="AY61">
        <v>28</v>
      </c>
      <c r="AZ61">
        <v>-3.95</v>
      </c>
      <c r="BA61">
        <v>-4.7149999999999999</v>
      </c>
      <c r="BB61">
        <v>-14.875</v>
      </c>
      <c r="BC61">
        <v>-0.5625</v>
      </c>
      <c r="BD61">
        <v>-5.5062499999999988</v>
      </c>
      <c r="BE61">
        <v>-11.4375</v>
      </c>
      <c r="BF61">
        <v>3.5625</v>
      </c>
      <c r="BG61">
        <v>24</v>
      </c>
      <c r="BH61">
        <v>23</v>
      </c>
      <c r="BI61">
        <v>-1.5</v>
      </c>
      <c r="BJ61">
        <v>5</v>
      </c>
      <c r="BK61">
        <v>9.75</v>
      </c>
      <c r="BL61">
        <v>1</v>
      </c>
      <c r="BM61">
        <v>-2.3661413072460939E-2</v>
      </c>
      <c r="BN61">
        <v>12</v>
      </c>
      <c r="BO61">
        <v>2.3066948167724727E-2</v>
      </c>
      <c r="BP61">
        <v>23</v>
      </c>
      <c r="BQ61">
        <v>-14.30625</v>
      </c>
      <c r="BR61">
        <v>3</v>
      </c>
      <c r="BS61">
        <v>7.375</v>
      </c>
      <c r="BT61">
        <v>1.0625</v>
      </c>
      <c r="BU61">
        <v>-8.875</v>
      </c>
      <c r="BV61">
        <v>2.0625</v>
      </c>
      <c r="BW61">
        <v>-15.25</v>
      </c>
      <c r="BX61">
        <v>5.3125</v>
      </c>
      <c r="BY61">
        <v>-14.375</v>
      </c>
      <c r="BZ61">
        <v>-4.4375</v>
      </c>
      <c r="CA61">
        <v>-1.75</v>
      </c>
      <c r="CB61">
        <v>16</v>
      </c>
      <c r="CC61">
        <v>0.76499999999999968</v>
      </c>
      <c r="CD61">
        <v>0.4662500000000005</v>
      </c>
      <c r="CE61">
        <v>19.6875</v>
      </c>
      <c r="CF61">
        <v>-2.0526562500000001</v>
      </c>
    </row>
    <row r="62" spans="1:84" x14ac:dyDescent="0.2">
      <c r="A62" s="39">
        <v>43751</v>
      </c>
      <c r="B62" s="22" t="s">
        <v>252</v>
      </c>
      <c r="C62" s="41" t="s">
        <v>285</v>
      </c>
      <c r="D62" s="22" t="s">
        <v>295</v>
      </c>
      <c r="E62">
        <v>12.9</v>
      </c>
      <c r="F62">
        <v>8</v>
      </c>
      <c r="G62">
        <v>4.8</v>
      </c>
      <c r="H62">
        <f>12.4+2.8</f>
        <v>15.2</v>
      </c>
      <c r="I62">
        <v>3</v>
      </c>
      <c r="J62">
        <v>52.5</v>
      </c>
      <c r="K62" t="s">
        <v>109</v>
      </c>
      <c r="L62" s="1" t="s">
        <v>285</v>
      </c>
      <c r="M62">
        <v>8</v>
      </c>
      <c r="N62">
        <v>2.3816000000000002</v>
      </c>
      <c r="O62">
        <v>-3.0720000000000001</v>
      </c>
      <c r="P62">
        <v>-14.320000000000004</v>
      </c>
      <c r="Q62">
        <v>1.2800000000000002</v>
      </c>
      <c r="R62">
        <v>-4.952</v>
      </c>
      <c r="S62">
        <v>-28.040000000000003</v>
      </c>
      <c r="T62">
        <v>0.20000000000000018</v>
      </c>
      <c r="U62">
        <v>21</v>
      </c>
      <c r="V62">
        <v>20</v>
      </c>
      <c r="W62">
        <v>-4</v>
      </c>
      <c r="X62">
        <v>9</v>
      </c>
      <c r="Y62">
        <v>12.25</v>
      </c>
      <c r="Z62">
        <v>20</v>
      </c>
      <c r="AA62">
        <v>-4.455822094190507E-2</v>
      </c>
      <c r="AB62">
        <v>7</v>
      </c>
      <c r="AC62">
        <v>3.3326114534736988E-2</v>
      </c>
      <c r="AD62">
        <v>4</v>
      </c>
      <c r="AE62">
        <v>-5.6360000000000001</v>
      </c>
      <c r="AF62">
        <v>18</v>
      </c>
      <c r="AG62">
        <v>1.7600000000000002</v>
      </c>
      <c r="AH62">
        <v>4.4800000000000022</v>
      </c>
      <c r="AI62">
        <v>-3.2399999999999998</v>
      </c>
      <c r="AJ62">
        <v>-0.83999999999999986</v>
      </c>
      <c r="AK62">
        <v>4.9199999999999928</v>
      </c>
      <c r="AL62">
        <v>-1.1600000000000079</v>
      </c>
      <c r="AM62">
        <v>-17.28</v>
      </c>
      <c r="AN62">
        <v>2.16</v>
      </c>
      <c r="AO62">
        <v>21.2</v>
      </c>
      <c r="AP62">
        <v>7</v>
      </c>
      <c r="AQ62">
        <v>5.4535999999999998</v>
      </c>
      <c r="AR62">
        <v>1.0219200000000002</v>
      </c>
      <c r="AS62">
        <v>16.119999999999994</v>
      </c>
      <c r="AT62">
        <v>-5.4535999999999998</v>
      </c>
      <c r="AU62">
        <v>-0.57030000000000003</v>
      </c>
      <c r="AV62">
        <v>1.9186500000000004</v>
      </c>
      <c r="AW62">
        <v>1.4955000000000003</v>
      </c>
      <c r="AX62" t="s">
        <v>295</v>
      </c>
      <c r="AY62">
        <v>27</v>
      </c>
      <c r="AZ62">
        <v>5.8664000000000023</v>
      </c>
      <c r="BA62">
        <v>-1.851999999999999</v>
      </c>
      <c r="BB62">
        <v>-4.6000000000000023</v>
      </c>
      <c r="BC62">
        <v>0</v>
      </c>
      <c r="BD62">
        <v>12.920000000000002</v>
      </c>
      <c r="BE62">
        <v>50.800000000000004</v>
      </c>
      <c r="BF62">
        <v>0.55999999999999961</v>
      </c>
      <c r="BG62">
        <v>17</v>
      </c>
      <c r="BH62">
        <v>14.5</v>
      </c>
      <c r="BI62">
        <v>0.64</v>
      </c>
      <c r="BJ62">
        <v>19</v>
      </c>
      <c r="BK62">
        <v>16.5</v>
      </c>
      <c r="BL62">
        <v>10</v>
      </c>
      <c r="BM62">
        <v>-5.3170540967374821E-2</v>
      </c>
      <c r="BN62">
        <v>20</v>
      </c>
      <c r="BO62">
        <v>-3.4445334301213867E-2</v>
      </c>
      <c r="BP62">
        <v>25</v>
      </c>
      <c r="BQ62">
        <v>4.4120000000000044</v>
      </c>
      <c r="BR62">
        <v>11</v>
      </c>
      <c r="BS62">
        <v>-4</v>
      </c>
      <c r="BT62">
        <v>-0.24000000000000199</v>
      </c>
      <c r="BU62">
        <v>5.96</v>
      </c>
      <c r="BV62">
        <v>0.12</v>
      </c>
      <c r="BW62">
        <v>20.560000000000002</v>
      </c>
      <c r="BX62">
        <v>32.839999999999996</v>
      </c>
      <c r="BY62">
        <v>-10.239999999999998</v>
      </c>
      <c r="BZ62">
        <v>-1.72</v>
      </c>
      <c r="CA62">
        <v>-0.31999999999999956</v>
      </c>
      <c r="CB62">
        <v>2</v>
      </c>
      <c r="CC62">
        <v>7.7184000000000008</v>
      </c>
      <c r="CD62">
        <v>4.6832799999999999</v>
      </c>
      <c r="CE62">
        <v>43.08</v>
      </c>
      <c r="CF62">
        <v>2.3418000000000005</v>
      </c>
    </row>
    <row r="63" spans="1:84" x14ac:dyDescent="0.2">
      <c r="A63" s="39">
        <v>43751</v>
      </c>
      <c r="B63" s="22" t="s">
        <v>252</v>
      </c>
      <c r="C63" s="41" t="s">
        <v>295</v>
      </c>
      <c r="D63" s="22" t="s">
        <v>285</v>
      </c>
      <c r="E63">
        <v>21.8</v>
      </c>
      <c r="F63">
        <v>14.8</v>
      </c>
      <c r="G63" s="14">
        <v>5.9</v>
      </c>
      <c r="H63">
        <f>28.7+3.1+1</f>
        <v>32.799999999999997</v>
      </c>
      <c r="I63">
        <v>-3</v>
      </c>
      <c r="J63">
        <v>52.5</v>
      </c>
      <c r="K63" t="s">
        <v>109</v>
      </c>
      <c r="L63" s="1" t="s">
        <v>295</v>
      </c>
      <c r="M63">
        <v>2</v>
      </c>
      <c r="N63">
        <v>6.9256000000000002</v>
      </c>
      <c r="O63">
        <v>-0.47199999999999998</v>
      </c>
      <c r="P63">
        <v>-9.7999999999999989</v>
      </c>
      <c r="Q63">
        <v>0.53999999999999981</v>
      </c>
      <c r="R63">
        <v>14.496</v>
      </c>
      <c r="S63">
        <v>54.16</v>
      </c>
      <c r="T63">
        <v>5.1599999999999993</v>
      </c>
      <c r="U63">
        <v>4</v>
      </c>
      <c r="V63">
        <v>7</v>
      </c>
      <c r="W63">
        <v>-4</v>
      </c>
      <c r="X63">
        <v>14</v>
      </c>
      <c r="Y63">
        <v>14</v>
      </c>
      <c r="Z63">
        <v>7</v>
      </c>
      <c r="AA63">
        <v>2.6640458395730373E-3</v>
      </c>
      <c r="AB63">
        <v>9</v>
      </c>
      <c r="AC63">
        <v>-2.3328999920988677E-2</v>
      </c>
      <c r="AD63">
        <v>26</v>
      </c>
      <c r="AE63">
        <v>5.171999999999997</v>
      </c>
      <c r="AF63">
        <v>14</v>
      </c>
      <c r="AG63">
        <v>0.64</v>
      </c>
      <c r="AH63">
        <v>2.5200000000000005</v>
      </c>
      <c r="AI63">
        <v>1.5599999999999998</v>
      </c>
      <c r="AJ63">
        <v>-0.55999999999999994</v>
      </c>
      <c r="AK63">
        <v>42.080000000000005</v>
      </c>
      <c r="AL63">
        <v>67.039999999999992</v>
      </c>
      <c r="AM63">
        <v>-18.72</v>
      </c>
      <c r="AN63">
        <v>-4.6800000000000006</v>
      </c>
      <c r="AO63">
        <v>-1.56</v>
      </c>
      <c r="AP63">
        <v>3</v>
      </c>
      <c r="AQ63">
        <v>7.3975999999999988</v>
      </c>
      <c r="AR63">
        <v>4.520319999999999</v>
      </c>
      <c r="AS63">
        <v>85.759999999999991</v>
      </c>
      <c r="AT63">
        <v>-7.3976000000000006</v>
      </c>
      <c r="AU63">
        <v>2.4536999999999995</v>
      </c>
      <c r="AV63">
        <v>1.9186500000000004</v>
      </c>
      <c r="AW63">
        <v>2.3418000000000005</v>
      </c>
      <c r="AX63" t="s">
        <v>285</v>
      </c>
      <c r="AY63">
        <v>1</v>
      </c>
      <c r="AZ63">
        <v>3.7440000000000007</v>
      </c>
      <c r="BA63">
        <v>-3.5679999999999996</v>
      </c>
      <c r="BB63">
        <v>9.3199999999999967</v>
      </c>
      <c r="BC63">
        <v>-1.94</v>
      </c>
      <c r="BD63">
        <v>9.9879999999999995</v>
      </c>
      <c r="BE63">
        <v>13.840000000000002</v>
      </c>
      <c r="BF63">
        <v>0.4</v>
      </c>
      <c r="BG63">
        <v>19</v>
      </c>
      <c r="BH63">
        <v>20.5</v>
      </c>
      <c r="BI63">
        <v>1.7600000000000002</v>
      </c>
      <c r="BJ63">
        <v>26</v>
      </c>
      <c r="BK63">
        <v>22</v>
      </c>
      <c r="BL63">
        <v>5</v>
      </c>
      <c r="BM63">
        <v>3.5615549927246658E-2</v>
      </c>
      <c r="BN63">
        <v>31</v>
      </c>
      <c r="BO63">
        <v>-7.7865905667242078E-3</v>
      </c>
      <c r="BP63">
        <v>20</v>
      </c>
      <c r="BQ63">
        <v>7.0039999999999996</v>
      </c>
      <c r="BR63">
        <v>32</v>
      </c>
      <c r="BS63">
        <v>-4</v>
      </c>
      <c r="BT63">
        <v>0.32000000000000028</v>
      </c>
      <c r="BU63">
        <v>2.2399999999999998</v>
      </c>
      <c r="BV63">
        <v>0.48</v>
      </c>
      <c r="BW63">
        <v>30.119999999999994</v>
      </c>
      <c r="BX63">
        <v>15.000000000000011</v>
      </c>
      <c r="BY63">
        <v>3.8400000000000034</v>
      </c>
      <c r="BZ63">
        <v>1.36</v>
      </c>
      <c r="CA63">
        <v>9.92</v>
      </c>
      <c r="CB63">
        <v>3</v>
      </c>
      <c r="CC63">
        <v>7.3120000000000003</v>
      </c>
      <c r="CD63">
        <v>4.5304000000000002</v>
      </c>
      <c r="CE63">
        <v>11.160000000000007</v>
      </c>
      <c r="CF63">
        <v>1.4955000000000003</v>
      </c>
    </row>
    <row r="64" spans="1:84" x14ac:dyDescent="0.2">
      <c r="A64" s="39">
        <v>43751</v>
      </c>
      <c r="B64" s="22" t="s">
        <v>252</v>
      </c>
      <c r="C64" s="41" t="s">
        <v>305</v>
      </c>
      <c r="D64" s="22" t="s">
        <v>272</v>
      </c>
      <c r="H64">
        <f>14.9+3.8+1.4</f>
        <v>20.099999999999998</v>
      </c>
      <c r="I64">
        <v>-10.5</v>
      </c>
      <c r="J64">
        <v>47</v>
      </c>
      <c r="L64" s="1" t="s">
        <v>305</v>
      </c>
      <c r="M64">
        <v>3</v>
      </c>
      <c r="N64">
        <v>6.62</v>
      </c>
      <c r="O64">
        <v>-0.42400000000000126</v>
      </c>
      <c r="P64">
        <v>-4.6800000000000006</v>
      </c>
      <c r="Q64">
        <v>-2.3200000000000003</v>
      </c>
      <c r="R64">
        <v>5.1128000000000018</v>
      </c>
      <c r="S64">
        <v>25.439999999999998</v>
      </c>
      <c r="T64">
        <v>2.8400000000000007</v>
      </c>
      <c r="U64">
        <v>8</v>
      </c>
      <c r="V64">
        <v>8.5</v>
      </c>
      <c r="W64">
        <v>-4.5999999999999996</v>
      </c>
      <c r="X64">
        <v>31</v>
      </c>
      <c r="Y64">
        <v>29.25</v>
      </c>
      <c r="Z64">
        <v>27</v>
      </c>
      <c r="AA64">
        <v>-7.4389902506587727E-3</v>
      </c>
      <c r="AB64">
        <v>31</v>
      </c>
      <c r="AC64">
        <v>7.5765835039474944E-3</v>
      </c>
      <c r="AD64">
        <v>27</v>
      </c>
      <c r="AE64">
        <v>2.8960000000000008</v>
      </c>
      <c r="AF64">
        <v>32</v>
      </c>
      <c r="AG64">
        <v>-0.95999999999999974</v>
      </c>
      <c r="AH64">
        <v>6.160000000000001</v>
      </c>
      <c r="AI64">
        <v>6.7199999999999989</v>
      </c>
      <c r="AJ64">
        <v>-1.2</v>
      </c>
      <c r="AK64">
        <v>33.440000000000012</v>
      </c>
      <c r="AL64">
        <v>-1.3999999999999944</v>
      </c>
      <c r="AM64">
        <v>-4.8799999999999955</v>
      </c>
      <c r="AN64">
        <v>-4.24</v>
      </c>
      <c r="AO64">
        <v>43.959999999999994</v>
      </c>
      <c r="AP64">
        <v>4</v>
      </c>
      <c r="AQ64">
        <v>7.0440000000000014</v>
      </c>
      <c r="AR64">
        <v>2.5585600000000008</v>
      </c>
      <c r="AS64">
        <v>3.4800000000000013</v>
      </c>
      <c r="AT64">
        <v>-7.0440000000000014</v>
      </c>
      <c r="AU64">
        <v>1.5186000000000002</v>
      </c>
      <c r="AV64">
        <v>1.3869999999999998</v>
      </c>
      <c r="AW64">
        <v>1.6721999999999997</v>
      </c>
      <c r="AX64" t="s">
        <v>272</v>
      </c>
      <c r="AY64">
        <v>10</v>
      </c>
      <c r="AZ64">
        <v>0.9663999999999987</v>
      </c>
      <c r="BA64">
        <v>11.327999999999999</v>
      </c>
      <c r="BB64">
        <v>25.24</v>
      </c>
      <c r="BC64">
        <v>2.4</v>
      </c>
      <c r="BD64">
        <v>-5.1199999999999992</v>
      </c>
      <c r="BE64">
        <v>-14.64</v>
      </c>
      <c r="BF64">
        <v>-5.6</v>
      </c>
      <c r="BG64">
        <v>20</v>
      </c>
      <c r="BH64">
        <v>21</v>
      </c>
      <c r="BI64">
        <v>1.6400000000000006</v>
      </c>
      <c r="BJ64">
        <v>22</v>
      </c>
      <c r="BK64">
        <v>18.25</v>
      </c>
      <c r="BL64">
        <v>13</v>
      </c>
      <c r="BM64">
        <v>4.6908794813689033E-3</v>
      </c>
      <c r="BN64">
        <v>15</v>
      </c>
      <c r="BO64">
        <v>-1.6213987792158518E-2</v>
      </c>
      <c r="BP64">
        <v>19</v>
      </c>
      <c r="BQ64">
        <v>-4.743999999999998</v>
      </c>
      <c r="BR64">
        <v>26</v>
      </c>
      <c r="BS64">
        <v>-5.1599999999999993</v>
      </c>
      <c r="BT64">
        <v>-1.2799999999999983</v>
      </c>
      <c r="BU64">
        <v>5.2799999999999994</v>
      </c>
      <c r="BV64">
        <v>-0.83999999999999986</v>
      </c>
      <c r="BW64">
        <v>34.079999999999984</v>
      </c>
      <c r="BX64">
        <v>-4.880000000000007</v>
      </c>
      <c r="BY64">
        <v>27.839999999999996</v>
      </c>
      <c r="BZ64">
        <v>2.3199999999999998</v>
      </c>
      <c r="CA64">
        <v>8.7999999999999989</v>
      </c>
      <c r="CB64">
        <v>32</v>
      </c>
      <c r="CC64">
        <v>-10.361600000000001</v>
      </c>
      <c r="CD64">
        <v>-6.49472</v>
      </c>
      <c r="CE64">
        <v>-32.720000000000006</v>
      </c>
      <c r="CF64">
        <v>1.1017999999999999</v>
      </c>
    </row>
    <row r="65" spans="1:84" x14ac:dyDescent="0.2">
      <c r="A65" s="39">
        <v>43751</v>
      </c>
      <c r="B65" s="22" t="s">
        <v>252</v>
      </c>
      <c r="C65" s="41" t="s">
        <v>301</v>
      </c>
      <c r="D65" s="22" t="s">
        <v>284</v>
      </c>
      <c r="E65">
        <v>15.6</v>
      </c>
      <c r="F65">
        <v>23.8</v>
      </c>
      <c r="G65">
        <v>1.6</v>
      </c>
      <c r="H65">
        <v>9.1999999999999993</v>
      </c>
      <c r="I65">
        <v>-2</v>
      </c>
      <c r="J65">
        <v>48.5</v>
      </c>
      <c r="L65" s="1" t="s">
        <v>301</v>
      </c>
      <c r="M65">
        <v>32</v>
      </c>
      <c r="N65">
        <v>-8.8647999999999989</v>
      </c>
      <c r="O65">
        <v>14.955200000000001</v>
      </c>
      <c r="P65">
        <v>43.639999999999993</v>
      </c>
      <c r="Q65">
        <v>2.2799999999999998</v>
      </c>
      <c r="R65">
        <v>-12.708000000000002</v>
      </c>
      <c r="S65">
        <v>-44.16</v>
      </c>
      <c r="T65">
        <v>-1.76</v>
      </c>
      <c r="U65">
        <v>32</v>
      </c>
      <c r="V65">
        <v>31.5</v>
      </c>
      <c r="W65">
        <v>2.4</v>
      </c>
      <c r="X65">
        <v>4</v>
      </c>
      <c r="Y65">
        <v>8.5</v>
      </c>
      <c r="Z65">
        <v>4</v>
      </c>
      <c r="AA65">
        <v>-5.0478967816341355E-2</v>
      </c>
      <c r="AB65">
        <v>6</v>
      </c>
      <c r="AC65">
        <v>8.1600907059733978E-3</v>
      </c>
      <c r="AD65">
        <v>17</v>
      </c>
      <c r="AE65">
        <v>-10.247999999999998</v>
      </c>
      <c r="AF65">
        <v>7</v>
      </c>
      <c r="AG65">
        <v>0.12000000000000011</v>
      </c>
      <c r="AH65">
        <v>-1.0000000000000013</v>
      </c>
      <c r="AI65">
        <v>-0.67999999999999972</v>
      </c>
      <c r="AJ65">
        <v>3.9999999999999945E-2</v>
      </c>
      <c r="AK65">
        <v>-3.8400000000000203</v>
      </c>
      <c r="AL65">
        <v>-38.080000000000005</v>
      </c>
      <c r="AM65">
        <v>43.2</v>
      </c>
      <c r="AN65">
        <v>5.1199999999999992</v>
      </c>
      <c r="AO65">
        <v>-14.080000000000002</v>
      </c>
      <c r="AP65">
        <v>32</v>
      </c>
      <c r="AQ65">
        <v>-23.82</v>
      </c>
      <c r="AR65">
        <v>-11.792159999999999</v>
      </c>
      <c r="AS65">
        <v>-81.28</v>
      </c>
      <c r="AT65">
        <v>23.82</v>
      </c>
      <c r="AU65">
        <v>-0.74719999999999964</v>
      </c>
      <c r="AV65">
        <v>0.22703749999999989</v>
      </c>
      <c r="AW65">
        <v>-1.7878000000000001</v>
      </c>
      <c r="AX65" t="s">
        <v>284</v>
      </c>
      <c r="AY65">
        <v>4</v>
      </c>
      <c r="AZ65">
        <v>7.6519999999999984</v>
      </c>
      <c r="BA65">
        <v>-9.7009999999999987</v>
      </c>
      <c r="BB65">
        <v>-47.7</v>
      </c>
      <c r="BC65">
        <v>1.3499999999999999</v>
      </c>
      <c r="BD65">
        <v>17.783999999999999</v>
      </c>
      <c r="BE65">
        <v>77.559999999999988</v>
      </c>
      <c r="BF65">
        <v>6.4399999999999995</v>
      </c>
      <c r="BG65">
        <v>16</v>
      </c>
      <c r="BH65">
        <v>14</v>
      </c>
      <c r="BI65">
        <v>1.1200000000000003</v>
      </c>
      <c r="BJ65">
        <v>10</v>
      </c>
      <c r="BK65">
        <v>13.25</v>
      </c>
      <c r="BL65">
        <v>9</v>
      </c>
      <c r="BM65">
        <v>3.7245682924897218E-3</v>
      </c>
      <c r="BN65">
        <v>26</v>
      </c>
      <c r="BO65">
        <v>-7.65381626492527E-4</v>
      </c>
      <c r="BP65">
        <v>6</v>
      </c>
      <c r="BQ65">
        <v>10.315999999999997</v>
      </c>
      <c r="BR65">
        <v>12</v>
      </c>
      <c r="BS65">
        <v>2.44</v>
      </c>
      <c r="BT65">
        <v>2.6799999999999984</v>
      </c>
      <c r="BU65">
        <v>1.6799999999999997</v>
      </c>
      <c r="BV65">
        <v>2.5599999999999996</v>
      </c>
      <c r="BW65">
        <v>12.8</v>
      </c>
      <c r="BX65">
        <v>70.760000000000005</v>
      </c>
      <c r="BY65">
        <v>-54.839999999999996</v>
      </c>
      <c r="BZ65">
        <v>-5.1199999999999992</v>
      </c>
      <c r="CA65">
        <v>2.0000000000000004</v>
      </c>
      <c r="CB65">
        <v>1</v>
      </c>
      <c r="CC65">
        <v>17.352999999999998</v>
      </c>
      <c r="CD65">
        <v>9.9376999999999995</v>
      </c>
      <c r="CE65">
        <v>125.6</v>
      </c>
      <c r="CF65">
        <v>2.2418749999999998</v>
      </c>
    </row>
    <row r="66" spans="1:84" x14ac:dyDescent="0.2">
      <c r="A66" s="39">
        <v>43751</v>
      </c>
      <c r="B66" s="22" t="s">
        <v>252</v>
      </c>
      <c r="C66" s="17" t="s">
        <v>272</v>
      </c>
      <c r="D66" s="22" t="s">
        <v>305</v>
      </c>
      <c r="E66">
        <v>4</v>
      </c>
      <c r="F66">
        <v>14.1</v>
      </c>
      <c r="G66">
        <v>10.4</v>
      </c>
      <c r="H66">
        <f>4.6+3.3+0.9</f>
        <v>8.7999999999999989</v>
      </c>
      <c r="I66">
        <v>10.5</v>
      </c>
      <c r="J66">
        <v>47</v>
      </c>
      <c r="L66" s="1" t="s">
        <v>272</v>
      </c>
      <c r="M66">
        <v>14</v>
      </c>
      <c r="N66">
        <v>1.3992000000000004</v>
      </c>
      <c r="O66">
        <v>-3.7919999999999994</v>
      </c>
      <c r="P66">
        <v>-20.880000000000003</v>
      </c>
      <c r="Q66">
        <v>0.99999999999999989</v>
      </c>
      <c r="R66">
        <v>6.9327999999999994</v>
      </c>
      <c r="S66">
        <v>47.48</v>
      </c>
      <c r="T66">
        <v>4.9200000000000008</v>
      </c>
      <c r="U66">
        <v>12</v>
      </c>
      <c r="V66">
        <v>11.5</v>
      </c>
      <c r="W66">
        <v>-5.1599999999999993</v>
      </c>
      <c r="X66">
        <v>10</v>
      </c>
      <c r="Y66">
        <v>12.75</v>
      </c>
      <c r="Z66">
        <v>13</v>
      </c>
      <c r="AA66">
        <v>-2.9043167287131355E-2</v>
      </c>
      <c r="AB66">
        <v>15</v>
      </c>
      <c r="AC66">
        <v>9.3674410248068881E-3</v>
      </c>
      <c r="AD66">
        <v>11</v>
      </c>
      <c r="AE66">
        <v>8.1760000000000019</v>
      </c>
      <c r="AF66">
        <v>12</v>
      </c>
      <c r="AG66">
        <v>1.6400000000000006</v>
      </c>
      <c r="AH66">
        <v>1.2799999999999998</v>
      </c>
      <c r="AI66">
        <v>-2.4000000000000004</v>
      </c>
      <c r="AJ66">
        <v>-1.7600000000000002</v>
      </c>
      <c r="AK66">
        <v>2.119999999999993</v>
      </c>
      <c r="AL66">
        <v>44.11999999999999</v>
      </c>
      <c r="AM66">
        <v>-25.759999999999998</v>
      </c>
      <c r="AN66">
        <v>-5.4</v>
      </c>
      <c r="AO66">
        <v>-10.84</v>
      </c>
      <c r="AP66">
        <v>8</v>
      </c>
      <c r="AQ66">
        <v>5.1911999999999994</v>
      </c>
      <c r="AR66">
        <v>3.5623999999999998</v>
      </c>
      <c r="AS66">
        <v>69.88</v>
      </c>
      <c r="AT66">
        <v>-5.1912000000000003</v>
      </c>
      <c r="AU66">
        <v>0.5675</v>
      </c>
      <c r="AV66">
        <v>1.3869999999999998</v>
      </c>
      <c r="AW66">
        <v>1.1017999999999999</v>
      </c>
      <c r="AX66" t="s">
        <v>305</v>
      </c>
      <c r="AY66">
        <v>32</v>
      </c>
      <c r="AZ66">
        <v>1.869599999999999</v>
      </c>
      <c r="BA66">
        <v>3.3279999999999981</v>
      </c>
      <c r="BB66">
        <v>8.4400000000000031</v>
      </c>
      <c r="BC66">
        <v>-2.4</v>
      </c>
      <c r="BD66">
        <v>6.4599999999999991</v>
      </c>
      <c r="BE66">
        <v>46.2</v>
      </c>
      <c r="BF66">
        <v>0.71999999999999975</v>
      </c>
      <c r="BG66">
        <v>23</v>
      </c>
      <c r="BH66">
        <v>22.5</v>
      </c>
      <c r="BI66">
        <v>-0.95999999999999974</v>
      </c>
      <c r="BJ66">
        <v>5</v>
      </c>
      <c r="BK66">
        <v>9.75</v>
      </c>
      <c r="BL66">
        <v>15</v>
      </c>
      <c r="BM66">
        <v>1.0378535092778574E-2</v>
      </c>
      <c r="BN66">
        <v>8</v>
      </c>
      <c r="BO66">
        <v>-2.1270772680937453E-2</v>
      </c>
      <c r="BP66">
        <v>15</v>
      </c>
      <c r="BQ66">
        <v>8.94</v>
      </c>
      <c r="BR66">
        <v>1</v>
      </c>
      <c r="BS66">
        <v>-4.5999999999999996</v>
      </c>
      <c r="BT66">
        <v>-4.9599999999999991</v>
      </c>
      <c r="BU66">
        <v>5.6400000000000006</v>
      </c>
      <c r="BV66">
        <v>-0.27999999999999997</v>
      </c>
      <c r="BW66">
        <v>31.599999999999987</v>
      </c>
      <c r="BX66">
        <v>32.04</v>
      </c>
      <c r="BY66">
        <v>7.4399999999999951</v>
      </c>
      <c r="BZ66">
        <v>-1.6800000000000004</v>
      </c>
      <c r="CA66">
        <v>-6.2</v>
      </c>
      <c r="CB66">
        <v>20</v>
      </c>
      <c r="CC66">
        <v>-1.4583999999999993</v>
      </c>
      <c r="CD66">
        <v>1.9200000000003659E-3</v>
      </c>
      <c r="CE66">
        <v>24.600000000000005</v>
      </c>
      <c r="CF66">
        <v>1.6721999999999997</v>
      </c>
    </row>
    <row r="67" spans="1:84" x14ac:dyDescent="0.2">
      <c r="A67" s="39">
        <v>43751</v>
      </c>
      <c r="B67" s="22" t="s">
        <v>252</v>
      </c>
      <c r="C67" s="41" t="s">
        <v>281</v>
      </c>
      <c r="D67" s="22" t="s">
        <v>308</v>
      </c>
      <c r="E67">
        <v>19.100000000000001</v>
      </c>
      <c r="F67">
        <v>6.6</v>
      </c>
      <c r="G67">
        <v>4.2</v>
      </c>
      <c r="H67">
        <f>13.7+2+1.9</f>
        <v>17.599999999999998</v>
      </c>
      <c r="I67" s="22">
        <v>-1</v>
      </c>
      <c r="J67" s="22">
        <v>45.5</v>
      </c>
      <c r="K67" t="s">
        <v>110</v>
      </c>
      <c r="L67" s="1" t="s">
        <v>281</v>
      </c>
      <c r="M67">
        <v>27</v>
      </c>
      <c r="N67">
        <v>-4.1528000000000009</v>
      </c>
      <c r="O67">
        <v>5.4096000000000011</v>
      </c>
      <c r="P67">
        <v>26.04</v>
      </c>
      <c r="Q67">
        <v>7.999999999999996E-2</v>
      </c>
      <c r="R67">
        <v>-3.760000000000002</v>
      </c>
      <c r="S67">
        <v>5.240000000000002</v>
      </c>
      <c r="T67">
        <v>-1.5999999999999994</v>
      </c>
      <c r="U67">
        <v>4</v>
      </c>
      <c r="V67">
        <v>7</v>
      </c>
      <c r="W67">
        <v>-0.72000000000000008</v>
      </c>
      <c r="X67">
        <v>30</v>
      </c>
      <c r="Y67">
        <v>29</v>
      </c>
      <c r="Z67">
        <v>31</v>
      </c>
      <c r="AA67">
        <v>1.3657467104589927E-2</v>
      </c>
      <c r="AB67">
        <v>30</v>
      </c>
      <c r="AC67">
        <v>3.0226944669430201E-2</v>
      </c>
      <c r="AD67">
        <v>24</v>
      </c>
      <c r="AE67">
        <v>-11.651999999999997</v>
      </c>
      <c r="AF67">
        <v>31</v>
      </c>
      <c r="AG67">
        <v>2.2399999999999998</v>
      </c>
      <c r="AH67">
        <v>-2.4399999999999991</v>
      </c>
      <c r="AI67">
        <v>-1.28</v>
      </c>
      <c r="AJ67">
        <v>-1.1199999999999999</v>
      </c>
      <c r="AK67">
        <v>16.239999999999988</v>
      </c>
      <c r="AL67">
        <v>0.71999999999999886</v>
      </c>
      <c r="AM67">
        <v>24.32</v>
      </c>
      <c r="AN67">
        <v>0.96</v>
      </c>
      <c r="AO67">
        <v>-9.76</v>
      </c>
      <c r="AP67">
        <v>29</v>
      </c>
      <c r="AQ67">
        <v>-9.562400000000002</v>
      </c>
      <c r="AR67">
        <v>-4.2873600000000014</v>
      </c>
      <c r="AS67">
        <v>-23.6</v>
      </c>
      <c r="AT67">
        <v>9.562400000000002</v>
      </c>
      <c r="AU67">
        <v>-0.38290000000000024</v>
      </c>
      <c r="AV67">
        <v>9.4999999999999599E-2</v>
      </c>
      <c r="AW67">
        <v>0.17069999999999955</v>
      </c>
      <c r="AX67" t="s">
        <v>308</v>
      </c>
      <c r="AY67">
        <v>17</v>
      </c>
      <c r="AZ67">
        <v>1.6471999999999993</v>
      </c>
      <c r="BA67">
        <v>-0.47679999999999945</v>
      </c>
      <c r="BB67">
        <v>-14.16</v>
      </c>
      <c r="BC67">
        <v>-0.16000000000000014</v>
      </c>
      <c r="BD67">
        <v>1.1839999999999975</v>
      </c>
      <c r="BE67">
        <v>-5.0799999999999983</v>
      </c>
      <c r="BF67">
        <v>0.20000000000000018</v>
      </c>
      <c r="BG67">
        <v>12</v>
      </c>
      <c r="BH67">
        <v>12.5</v>
      </c>
      <c r="BI67">
        <v>-0.43999999999999978</v>
      </c>
      <c r="BJ67">
        <v>21</v>
      </c>
      <c r="BK67">
        <v>17.25</v>
      </c>
      <c r="BL67">
        <v>30</v>
      </c>
      <c r="BM67">
        <v>2.4450760577108977E-2</v>
      </c>
      <c r="BN67">
        <v>28</v>
      </c>
      <c r="BO67">
        <v>-7.4550356626637056E-3</v>
      </c>
      <c r="BP67">
        <v>4</v>
      </c>
      <c r="BQ67">
        <v>3.7439999999999984</v>
      </c>
      <c r="BR67">
        <v>7</v>
      </c>
      <c r="BS67">
        <v>0.28000000000000008</v>
      </c>
      <c r="BT67">
        <v>-2.72</v>
      </c>
      <c r="BU67">
        <v>0.2</v>
      </c>
      <c r="BV67">
        <v>1.6799999999999997</v>
      </c>
      <c r="BW67">
        <v>5.0399999999999974</v>
      </c>
      <c r="BX67">
        <v>8.6800000000000068</v>
      </c>
      <c r="BY67">
        <v>-10.68</v>
      </c>
      <c r="BZ67">
        <v>3.56</v>
      </c>
      <c r="CA67">
        <v>3.4799999999999995</v>
      </c>
      <c r="CB67">
        <v>15</v>
      </c>
      <c r="CC67">
        <v>2.1239999999999988</v>
      </c>
      <c r="CD67">
        <v>0.80463999999999913</v>
      </c>
      <c r="CE67">
        <v>19.360000000000007</v>
      </c>
      <c r="CF67">
        <v>1.9299999999999651E-2</v>
      </c>
    </row>
    <row r="68" spans="1:84" x14ac:dyDescent="0.2">
      <c r="A68" s="39">
        <v>43751</v>
      </c>
      <c r="B68" s="22" t="s">
        <v>252</v>
      </c>
      <c r="C68" s="41" t="s">
        <v>291</v>
      </c>
      <c r="D68" s="22" t="s">
        <v>298</v>
      </c>
      <c r="F68">
        <v>8.8000000000000007</v>
      </c>
      <c r="G68">
        <v>11.4</v>
      </c>
      <c r="H68">
        <f>10.7+2.6+1.6</f>
        <v>14.899999999999999</v>
      </c>
      <c r="I68">
        <v>-7</v>
      </c>
      <c r="J68">
        <v>43.5</v>
      </c>
      <c r="L68" s="1" t="s">
        <v>291</v>
      </c>
      <c r="M68">
        <v>7</v>
      </c>
      <c r="N68">
        <v>2.6767999999999992</v>
      </c>
      <c r="O68">
        <v>-1.2320000000000002</v>
      </c>
      <c r="P68">
        <v>2.5599999999999974</v>
      </c>
      <c r="Q68">
        <v>-0.96000000000000019</v>
      </c>
      <c r="R68">
        <v>13.988</v>
      </c>
      <c r="S68">
        <v>71.84</v>
      </c>
      <c r="T68">
        <v>4.72</v>
      </c>
      <c r="U68">
        <v>11</v>
      </c>
      <c r="V68">
        <v>9.5</v>
      </c>
      <c r="W68">
        <v>-3</v>
      </c>
      <c r="X68">
        <v>26</v>
      </c>
      <c r="Y68">
        <v>22.25</v>
      </c>
      <c r="Z68">
        <v>18</v>
      </c>
      <c r="AA68">
        <v>-6.6962746718900318E-2</v>
      </c>
      <c r="AB68">
        <v>32</v>
      </c>
      <c r="AC68">
        <v>-3.2708442387240619E-2</v>
      </c>
      <c r="AD68">
        <v>16</v>
      </c>
      <c r="AE68">
        <v>-0.69599999999999651</v>
      </c>
      <c r="AF68">
        <v>23</v>
      </c>
      <c r="AG68">
        <v>-1.9600000000000002</v>
      </c>
      <c r="AH68">
        <v>-1.1599999999999995</v>
      </c>
      <c r="AI68">
        <v>0.79999999999999927</v>
      </c>
      <c r="AJ68">
        <v>-1.2</v>
      </c>
      <c r="AK68">
        <v>51.6</v>
      </c>
      <c r="AL68">
        <v>46.44</v>
      </c>
      <c r="AM68">
        <v>-4.3199999999999985</v>
      </c>
      <c r="AN68">
        <v>0.47999999999999982</v>
      </c>
      <c r="AO68">
        <v>9.0000000000000018</v>
      </c>
      <c r="AP68">
        <v>11</v>
      </c>
      <c r="AQ68">
        <v>3.9087999999999994</v>
      </c>
      <c r="AR68">
        <v>3.94896</v>
      </c>
      <c r="AS68">
        <v>50.76</v>
      </c>
      <c r="AT68">
        <v>-3.9087999999999994</v>
      </c>
      <c r="AU68">
        <v>1.7890999999999999</v>
      </c>
      <c r="AV68">
        <v>0.45087499999999991</v>
      </c>
      <c r="AW68">
        <v>0.43969999999999987</v>
      </c>
      <c r="AX68" t="s">
        <v>298</v>
      </c>
      <c r="AY68">
        <v>9</v>
      </c>
      <c r="AZ68">
        <v>-1.4456000000000007</v>
      </c>
      <c r="BA68">
        <v>0.97199999999999931</v>
      </c>
      <c r="BB68">
        <v>-12.720000000000002</v>
      </c>
      <c r="BC68">
        <v>0.83999999999999986</v>
      </c>
      <c r="BD68">
        <v>1.4100000000000006</v>
      </c>
      <c r="BE68">
        <v>13.799999999999999</v>
      </c>
      <c r="BF68">
        <v>1.4900000000000004</v>
      </c>
      <c r="BG68">
        <v>24</v>
      </c>
      <c r="BH68">
        <v>23</v>
      </c>
      <c r="BI68">
        <v>4.4400000000000004</v>
      </c>
      <c r="BJ68">
        <v>23</v>
      </c>
      <c r="BK68">
        <v>20</v>
      </c>
      <c r="BL68">
        <v>32</v>
      </c>
      <c r="BM68">
        <v>5.2129441364179227E-2</v>
      </c>
      <c r="BN68">
        <v>22</v>
      </c>
      <c r="BO68">
        <v>-2.0188714594689506E-2</v>
      </c>
      <c r="BP68">
        <v>11</v>
      </c>
      <c r="BQ68">
        <v>7.572000000000001</v>
      </c>
      <c r="BR68">
        <v>15</v>
      </c>
      <c r="BS68">
        <v>1.4</v>
      </c>
      <c r="BT68">
        <v>1.1199999999999974</v>
      </c>
      <c r="BU68">
        <v>-1.1599999999999995</v>
      </c>
      <c r="BV68">
        <v>1.4</v>
      </c>
      <c r="BW68">
        <v>-19.520000000000003</v>
      </c>
      <c r="BX68">
        <v>4.9599999999999964</v>
      </c>
      <c r="BY68">
        <v>-19.440000000000001</v>
      </c>
      <c r="BZ68">
        <v>-1.8800000000000001</v>
      </c>
      <c r="CA68">
        <v>-3.1599999999999993</v>
      </c>
      <c r="CB68">
        <v>21</v>
      </c>
      <c r="CC68">
        <v>-2.4176000000000002</v>
      </c>
      <c r="CD68">
        <v>-0.49311999999999967</v>
      </c>
      <c r="CE68">
        <v>24.4</v>
      </c>
      <c r="CF68">
        <v>0.46204999999999991</v>
      </c>
    </row>
    <row r="69" spans="1:84" x14ac:dyDescent="0.2">
      <c r="A69" s="39">
        <v>43751</v>
      </c>
      <c r="B69" t="s">
        <v>252</v>
      </c>
      <c r="C69" s="41" t="s">
        <v>278</v>
      </c>
      <c r="D69" t="s">
        <v>310</v>
      </c>
      <c r="E69">
        <v>11.6</v>
      </c>
      <c r="F69">
        <v>1</v>
      </c>
      <c r="G69">
        <v>4.5</v>
      </c>
      <c r="H69">
        <v>3.6</v>
      </c>
      <c r="I69">
        <v>-1</v>
      </c>
      <c r="J69">
        <v>41</v>
      </c>
      <c r="L69" s="4" t="s">
        <v>278</v>
      </c>
      <c r="M69" s="3">
        <v>24</v>
      </c>
      <c r="N69" s="3">
        <v>-2.2351999999999999</v>
      </c>
      <c r="O69">
        <v>2.2060000000000004</v>
      </c>
      <c r="P69">
        <v>17.479999999999997</v>
      </c>
      <c r="Q69">
        <v>2.4500000000000002</v>
      </c>
      <c r="R69">
        <v>0.90099999999999758</v>
      </c>
      <c r="S69">
        <v>5.6200000000000028</v>
      </c>
      <c r="T69">
        <v>0.40000000000000036</v>
      </c>
      <c r="U69">
        <v>10</v>
      </c>
      <c r="V69">
        <v>9</v>
      </c>
      <c r="W69">
        <v>-2.2800000000000002</v>
      </c>
      <c r="X69">
        <v>22</v>
      </c>
      <c r="Y69">
        <v>20.25</v>
      </c>
      <c r="Z69">
        <v>15</v>
      </c>
      <c r="AA69">
        <v>2.3213101329641141E-2</v>
      </c>
      <c r="AB69">
        <v>19</v>
      </c>
      <c r="AC69">
        <v>1.245320076793814E-2</v>
      </c>
      <c r="AD69">
        <v>28</v>
      </c>
      <c r="AE69">
        <v>6.3480000000000061</v>
      </c>
      <c r="AF69">
        <v>19</v>
      </c>
      <c r="AG69">
        <v>-3.9999999999999855E-2</v>
      </c>
      <c r="AH69">
        <v>1</v>
      </c>
      <c r="AI69">
        <v>-2.120000000000001</v>
      </c>
      <c r="AJ69">
        <v>-0.27999999999999997</v>
      </c>
      <c r="AK69">
        <v>-1.0799999999999954</v>
      </c>
      <c r="AL69">
        <v>-5.8800000000000008</v>
      </c>
      <c r="AM69">
        <v>12.6</v>
      </c>
      <c r="AN69">
        <v>-1.48</v>
      </c>
      <c r="AO69">
        <v>-6.32</v>
      </c>
      <c r="AP69">
        <v>26</v>
      </c>
      <c r="AQ69">
        <v>-4.4412000000000003</v>
      </c>
      <c r="AR69">
        <v>-1.3698400000000006</v>
      </c>
      <c r="AS69">
        <v>-18.48</v>
      </c>
      <c r="AT69">
        <v>4.4412000000000003</v>
      </c>
      <c r="AU69">
        <v>0.35897499999999977</v>
      </c>
      <c r="AV69">
        <v>-1.1117000000000001</v>
      </c>
      <c r="AW69">
        <v>-1.1539000000000004</v>
      </c>
      <c r="AX69" t="s">
        <v>310</v>
      </c>
      <c r="AY69">
        <v>11</v>
      </c>
      <c r="AZ69">
        <v>-0.70399999999999885</v>
      </c>
      <c r="BA69">
        <v>-4.3359999999999994</v>
      </c>
      <c r="BB69">
        <v>-26.36</v>
      </c>
      <c r="BC69">
        <v>1.0399999999999998</v>
      </c>
      <c r="BD69">
        <v>-1.0360000000000018</v>
      </c>
      <c r="BE69">
        <v>-8.2399999999999984</v>
      </c>
      <c r="BF69">
        <v>1.3599999999999994</v>
      </c>
      <c r="BG69">
        <v>3</v>
      </c>
      <c r="BH69">
        <v>3.5</v>
      </c>
      <c r="BI69">
        <v>7.9999999999999891E-2</v>
      </c>
      <c r="BJ69">
        <v>15</v>
      </c>
      <c r="BK69">
        <v>15.75</v>
      </c>
      <c r="BL69">
        <v>16</v>
      </c>
      <c r="BM69">
        <v>-5.0217051769135469E-2</v>
      </c>
      <c r="BN69">
        <v>21</v>
      </c>
      <c r="BO69">
        <v>1.2881196572488837E-2</v>
      </c>
      <c r="BP69">
        <v>13</v>
      </c>
      <c r="BQ69">
        <v>3.6360000000000001</v>
      </c>
      <c r="BR69">
        <v>13</v>
      </c>
      <c r="BS69">
        <v>2</v>
      </c>
      <c r="BT69">
        <v>0.59999999999999853</v>
      </c>
      <c r="BU69">
        <v>-3.6799999999999997</v>
      </c>
      <c r="BV69">
        <v>-0.64</v>
      </c>
      <c r="BW69">
        <v>-7.6</v>
      </c>
      <c r="BX69">
        <v>-2.8000000000000056</v>
      </c>
      <c r="BY69">
        <v>-13.040000000000001</v>
      </c>
      <c r="BZ69">
        <v>0.96000000000000019</v>
      </c>
      <c r="CA69">
        <v>7.2799999999999994</v>
      </c>
      <c r="CB69">
        <v>8</v>
      </c>
      <c r="CC69">
        <v>3.632000000000001</v>
      </c>
      <c r="CD69">
        <v>1.8199999999999996</v>
      </c>
      <c r="CE69">
        <v>10.239999999999995</v>
      </c>
      <c r="CF69">
        <v>-1.0694999999999999</v>
      </c>
    </row>
    <row r="70" spans="1:84" x14ac:dyDescent="0.2">
      <c r="A70" s="39">
        <v>43751</v>
      </c>
      <c r="B70" s="23" t="s">
        <v>252</v>
      </c>
      <c r="C70" s="41" t="s">
        <v>299</v>
      </c>
      <c r="D70" s="22" t="s">
        <v>300</v>
      </c>
      <c r="E70">
        <v>20.100000000000001</v>
      </c>
      <c r="F70" s="14">
        <v>3.7</v>
      </c>
      <c r="G70">
        <v>6.8</v>
      </c>
      <c r="H70">
        <f>6.1+1.8</f>
        <v>7.8999999999999995</v>
      </c>
      <c r="I70">
        <v>3.5</v>
      </c>
      <c r="J70">
        <v>47</v>
      </c>
      <c r="L70" s="1" t="s">
        <v>299</v>
      </c>
      <c r="M70">
        <v>15</v>
      </c>
      <c r="N70">
        <v>5.6799999999999427E-2</v>
      </c>
      <c r="O70">
        <v>-6.3639999999999999</v>
      </c>
      <c r="P70">
        <v>-28.120000000000005</v>
      </c>
      <c r="Q70">
        <v>-1.56</v>
      </c>
      <c r="R70">
        <v>4.9679999999999991</v>
      </c>
      <c r="S70">
        <v>29.959999999999997</v>
      </c>
      <c r="T70">
        <v>2.2800000000000002</v>
      </c>
      <c r="U70">
        <v>23</v>
      </c>
      <c r="V70">
        <v>22.5</v>
      </c>
      <c r="W70">
        <v>2.6800000000000006</v>
      </c>
      <c r="X70">
        <v>5</v>
      </c>
      <c r="Y70">
        <v>9</v>
      </c>
      <c r="Z70">
        <v>6</v>
      </c>
      <c r="AA70">
        <v>-4.6671000339999956E-2</v>
      </c>
      <c r="AB70">
        <v>12</v>
      </c>
      <c r="AC70">
        <v>-1.6341383249389139E-2</v>
      </c>
      <c r="AD70">
        <v>9</v>
      </c>
      <c r="AE70">
        <v>-14.811999999999998</v>
      </c>
      <c r="AF70">
        <v>9</v>
      </c>
      <c r="AG70">
        <v>-0.75999999999999979</v>
      </c>
      <c r="AH70">
        <v>2.0799999999999983</v>
      </c>
      <c r="AI70">
        <v>0.99999999999999933</v>
      </c>
      <c r="AJ70">
        <v>0.83999999999999986</v>
      </c>
      <c r="AK70">
        <v>-3.3199999999999932</v>
      </c>
      <c r="AL70">
        <v>14.919999999999993</v>
      </c>
      <c r="AM70">
        <v>-11.599999999999998</v>
      </c>
      <c r="AN70">
        <v>-2.4799999999999995</v>
      </c>
      <c r="AO70">
        <v>-4.16</v>
      </c>
      <c r="AP70">
        <v>5</v>
      </c>
      <c r="AQ70">
        <v>6.420799999999999</v>
      </c>
      <c r="AR70">
        <v>4.1869599999999991</v>
      </c>
      <c r="AS70">
        <v>26.519999999999989</v>
      </c>
      <c r="AT70">
        <v>-6.420799999999999</v>
      </c>
      <c r="AU70">
        <v>0.3675999999999997</v>
      </c>
      <c r="AV70">
        <v>-0.45779999999999993</v>
      </c>
      <c r="AW70">
        <v>-0.10460000000000007</v>
      </c>
      <c r="AX70" t="s">
        <v>300</v>
      </c>
      <c r="AY70">
        <v>21</v>
      </c>
      <c r="AZ70">
        <v>-2.0599999999999996</v>
      </c>
      <c r="BA70">
        <v>5.22</v>
      </c>
      <c r="BB70">
        <v>14.199999999999996</v>
      </c>
      <c r="BC70">
        <v>-4.0000000000000063E-2</v>
      </c>
      <c r="BD70">
        <v>-7.0479999999999983</v>
      </c>
      <c r="BE70">
        <v>-13.24</v>
      </c>
      <c r="BF70">
        <v>-0.43999999999999972</v>
      </c>
      <c r="BG70">
        <v>6</v>
      </c>
      <c r="BH70">
        <v>5</v>
      </c>
      <c r="BI70">
        <v>-3.7199999999999998</v>
      </c>
      <c r="BJ70">
        <v>29</v>
      </c>
      <c r="BK70">
        <v>24</v>
      </c>
      <c r="BL70">
        <v>17</v>
      </c>
      <c r="BM70">
        <v>8.8121797504564878E-2</v>
      </c>
      <c r="BN70">
        <v>23</v>
      </c>
      <c r="BO70">
        <v>1.2524227984281152E-2</v>
      </c>
      <c r="BP70">
        <v>27</v>
      </c>
      <c r="BQ70">
        <v>-9.5479999999999929</v>
      </c>
      <c r="BR70">
        <v>29</v>
      </c>
      <c r="BS70">
        <v>3.5200000000000005</v>
      </c>
      <c r="BT70">
        <v>3.2399999999999993</v>
      </c>
      <c r="BU70">
        <v>-2.9199999999999995</v>
      </c>
      <c r="BV70">
        <v>-0.91999999999999993</v>
      </c>
      <c r="BW70">
        <v>29.560000000000002</v>
      </c>
      <c r="BX70">
        <v>15.000000000000005</v>
      </c>
      <c r="BY70">
        <v>12.88</v>
      </c>
      <c r="BZ70">
        <v>-2.6799999999999997</v>
      </c>
      <c r="CA70">
        <v>4.3600000000000012</v>
      </c>
      <c r="CB70">
        <v>28</v>
      </c>
      <c r="CC70">
        <v>-7.2799999999999994</v>
      </c>
      <c r="CD70">
        <v>-4.4315999999999995</v>
      </c>
      <c r="CE70">
        <v>2.1200000000000045</v>
      </c>
      <c r="CF70">
        <v>-0.81099999999999983</v>
      </c>
    </row>
    <row r="71" spans="1:84" x14ac:dyDescent="0.2">
      <c r="A71" s="39">
        <v>43751</v>
      </c>
      <c r="B71" s="22" t="s">
        <v>252</v>
      </c>
      <c r="C71" s="41" t="s">
        <v>300</v>
      </c>
      <c r="D71" s="22" t="s">
        <v>299</v>
      </c>
      <c r="E71" s="30">
        <v>7</v>
      </c>
      <c r="F71" s="3">
        <v>16.5</v>
      </c>
      <c r="G71" s="3">
        <v>7.7</v>
      </c>
      <c r="H71">
        <v>10.7</v>
      </c>
      <c r="I71">
        <v>-3.5</v>
      </c>
      <c r="J71">
        <v>47</v>
      </c>
      <c r="L71" s="1" t="s">
        <v>300</v>
      </c>
      <c r="M71">
        <v>12</v>
      </c>
      <c r="N71">
        <v>1.6271999999999998</v>
      </c>
      <c r="O71">
        <v>7.5740000000000016</v>
      </c>
      <c r="P71">
        <v>5.5200000000000014</v>
      </c>
      <c r="Q71">
        <v>-0.68999999999999984</v>
      </c>
      <c r="R71">
        <v>-2.2190000000000012</v>
      </c>
      <c r="S71">
        <v>9.5000000000000018</v>
      </c>
      <c r="T71">
        <v>-1.5599999999999996</v>
      </c>
      <c r="U71">
        <v>31</v>
      </c>
      <c r="V71">
        <v>31</v>
      </c>
      <c r="W71">
        <v>3.5200000000000005</v>
      </c>
      <c r="X71">
        <v>16</v>
      </c>
      <c r="Y71">
        <v>14.5</v>
      </c>
      <c r="Z71">
        <v>17</v>
      </c>
      <c r="AA71">
        <v>4.9381937038810844E-2</v>
      </c>
      <c r="AB71">
        <v>14</v>
      </c>
      <c r="AC71">
        <v>-7.6003156759539532E-3</v>
      </c>
      <c r="AD71">
        <v>3</v>
      </c>
      <c r="AE71">
        <v>2.644000000000001</v>
      </c>
      <c r="AF71">
        <v>24</v>
      </c>
      <c r="AG71">
        <v>-3.7199999999999998</v>
      </c>
      <c r="AH71">
        <v>0.24000000000000057</v>
      </c>
      <c r="AI71">
        <v>6.3999999999999995</v>
      </c>
      <c r="AJ71">
        <v>-0.55999999999999994</v>
      </c>
      <c r="AK71">
        <v>17.600000000000012</v>
      </c>
      <c r="AL71">
        <v>16.799999999999994</v>
      </c>
      <c r="AM71">
        <v>0.8</v>
      </c>
      <c r="AN71">
        <v>-3.72</v>
      </c>
      <c r="AO71">
        <v>3.72</v>
      </c>
      <c r="AP71">
        <v>27</v>
      </c>
      <c r="AQ71">
        <v>-5.9468000000000014</v>
      </c>
      <c r="AR71">
        <v>-3.9053600000000013</v>
      </c>
      <c r="AS71">
        <v>15.999999999999993</v>
      </c>
      <c r="AT71">
        <v>5.9468000000000014</v>
      </c>
      <c r="AU71">
        <v>0.94777499999999992</v>
      </c>
      <c r="AV71">
        <v>-0.45779999999999993</v>
      </c>
      <c r="AW71">
        <v>-0.81099999999999983</v>
      </c>
      <c r="AX71" t="s">
        <v>299</v>
      </c>
      <c r="AY71">
        <v>3</v>
      </c>
      <c r="AZ71">
        <v>-1.0287999999999999</v>
      </c>
      <c r="BA71">
        <v>3.2319999999999984</v>
      </c>
      <c r="BB71">
        <v>24.96</v>
      </c>
      <c r="BC71">
        <v>-7.9999999999999793E-2</v>
      </c>
      <c r="BD71">
        <v>-4.0399999999999983</v>
      </c>
      <c r="BE71">
        <v>-3.7199999999999962</v>
      </c>
      <c r="BF71">
        <v>2.0799999999999996</v>
      </c>
      <c r="BG71">
        <v>12</v>
      </c>
      <c r="BH71">
        <v>12.5</v>
      </c>
      <c r="BI71">
        <v>-0.75999999999999979</v>
      </c>
      <c r="BJ71">
        <v>24</v>
      </c>
      <c r="BK71">
        <v>21</v>
      </c>
      <c r="BL71">
        <v>26</v>
      </c>
      <c r="BM71">
        <v>-6.0338078712177411E-2</v>
      </c>
      <c r="BN71">
        <v>23</v>
      </c>
      <c r="BO71">
        <v>-1.0454141513245056E-2</v>
      </c>
      <c r="BP71">
        <v>5</v>
      </c>
      <c r="BQ71">
        <v>-7.5119999999999987</v>
      </c>
      <c r="BR71">
        <v>30</v>
      </c>
      <c r="BS71">
        <v>2.6800000000000006</v>
      </c>
      <c r="BT71">
        <v>4.92</v>
      </c>
      <c r="BU71">
        <v>-1.1199999999999997</v>
      </c>
      <c r="BV71">
        <v>0.27999999999999997</v>
      </c>
      <c r="BW71">
        <v>38.519999999999996</v>
      </c>
      <c r="BX71">
        <v>7.2000000000000117</v>
      </c>
      <c r="BY71">
        <v>21.639999999999997</v>
      </c>
      <c r="BZ71">
        <v>2</v>
      </c>
      <c r="CA71">
        <v>7.6799999999999979</v>
      </c>
      <c r="CB71">
        <v>24</v>
      </c>
      <c r="CC71">
        <v>-4.2607999999999979</v>
      </c>
      <c r="CD71">
        <v>-2.6297599999999988</v>
      </c>
      <c r="CE71">
        <v>-14.439999999999985</v>
      </c>
      <c r="CF71">
        <v>-0.10460000000000007</v>
      </c>
    </row>
    <row r="72" spans="1:84" x14ac:dyDescent="0.2">
      <c r="A72" s="39">
        <v>43751</v>
      </c>
      <c r="B72" s="22" t="s">
        <v>252</v>
      </c>
      <c r="C72" s="41" t="s">
        <v>311</v>
      </c>
      <c r="D72" s="22" t="s">
        <v>288</v>
      </c>
      <c r="E72">
        <v>16.5</v>
      </c>
      <c r="F72" s="14">
        <v>9.4</v>
      </c>
      <c r="G72">
        <v>7.9</v>
      </c>
      <c r="H72">
        <f>12.9+6.9</f>
        <v>19.8</v>
      </c>
      <c r="I72">
        <v>3.5</v>
      </c>
      <c r="J72">
        <v>54.5</v>
      </c>
      <c r="K72" t="s">
        <v>109</v>
      </c>
      <c r="L72" s="1" t="s">
        <v>311</v>
      </c>
      <c r="M72">
        <v>4</v>
      </c>
      <c r="N72">
        <v>5.7455999999999978</v>
      </c>
      <c r="O72">
        <v>-5.3520000000000003</v>
      </c>
      <c r="P72">
        <v>2.0800000000000018</v>
      </c>
      <c r="Q72">
        <v>-1.3199999999999998</v>
      </c>
      <c r="R72">
        <v>10.976000000000003</v>
      </c>
      <c r="S72">
        <v>42.72</v>
      </c>
      <c r="T72">
        <v>2.52</v>
      </c>
      <c r="U72">
        <v>22</v>
      </c>
      <c r="V72">
        <v>20.5</v>
      </c>
      <c r="W72">
        <v>0.91999999999999993</v>
      </c>
      <c r="X72">
        <v>20</v>
      </c>
      <c r="Y72">
        <v>17.5</v>
      </c>
      <c r="Z72">
        <v>1</v>
      </c>
      <c r="AA72">
        <v>4.2425775435519626E-2</v>
      </c>
      <c r="AB72">
        <v>24</v>
      </c>
      <c r="AC72">
        <v>1.9633256402785942E-2</v>
      </c>
      <c r="AD72">
        <v>15</v>
      </c>
      <c r="AE72">
        <v>4.788000000000002</v>
      </c>
      <c r="AF72">
        <v>30</v>
      </c>
      <c r="AG72">
        <v>-0.4799999999999997</v>
      </c>
      <c r="AH72">
        <v>-0.75999999999999945</v>
      </c>
      <c r="AI72">
        <v>1.36</v>
      </c>
      <c r="AJ72">
        <v>0.83999999999999986</v>
      </c>
      <c r="AK72">
        <v>27.279999999999994</v>
      </c>
      <c r="AL72">
        <v>21.840000000000003</v>
      </c>
      <c r="AM72">
        <v>-0.27999999999999831</v>
      </c>
      <c r="AN72">
        <v>-2.2000000000000002</v>
      </c>
      <c r="AO72">
        <v>7.92</v>
      </c>
      <c r="AP72">
        <v>1</v>
      </c>
      <c r="AQ72">
        <v>11.097599999999998</v>
      </c>
      <c r="AR72">
        <v>6.0203200000000008</v>
      </c>
      <c r="AS72">
        <v>22.12</v>
      </c>
      <c r="AT72">
        <v>-11.097599999999998</v>
      </c>
      <c r="AU72">
        <v>1.3362000000000001</v>
      </c>
      <c r="AV72">
        <v>0.19089999999999996</v>
      </c>
      <c r="AW72">
        <v>0.40449999999999997</v>
      </c>
      <c r="AX72" t="s">
        <v>288</v>
      </c>
      <c r="AY72">
        <v>7</v>
      </c>
      <c r="AZ72">
        <v>-0.58559999999999945</v>
      </c>
      <c r="BA72">
        <v>3.984</v>
      </c>
      <c r="BB72">
        <v>26.799999999999997</v>
      </c>
      <c r="BC72">
        <v>1.1000000000000001</v>
      </c>
      <c r="BD72">
        <v>-3.7000000000000006</v>
      </c>
      <c r="BE72">
        <v>-3.5600000000000005</v>
      </c>
      <c r="BF72">
        <v>-1.0399999999999998</v>
      </c>
      <c r="BG72">
        <v>20</v>
      </c>
      <c r="BH72">
        <v>21</v>
      </c>
      <c r="BI72">
        <v>-2.7199999999999998</v>
      </c>
      <c r="BJ72">
        <v>2</v>
      </c>
      <c r="BK72">
        <v>7.25</v>
      </c>
      <c r="BL72">
        <v>4</v>
      </c>
      <c r="BM72">
        <v>2.9779749585955716E-2</v>
      </c>
      <c r="BN72">
        <v>13</v>
      </c>
      <c r="BO72">
        <v>1.3153321774424756E-3</v>
      </c>
      <c r="BP72">
        <v>3</v>
      </c>
      <c r="BQ72">
        <v>9.4640000000000022</v>
      </c>
      <c r="BR72">
        <v>9</v>
      </c>
      <c r="BS72">
        <v>1.2399999999999998</v>
      </c>
      <c r="BT72">
        <v>1.4399999999999991</v>
      </c>
      <c r="BU72">
        <v>-1.1200000000000003</v>
      </c>
      <c r="BV72">
        <v>-0.55999999999999994</v>
      </c>
      <c r="BW72">
        <v>19.880000000000006</v>
      </c>
      <c r="BX72">
        <v>3.7600000000000025</v>
      </c>
      <c r="BY72">
        <v>22.2</v>
      </c>
      <c r="BZ72">
        <v>-1.6</v>
      </c>
      <c r="CA72">
        <v>-4.4799999999999995</v>
      </c>
      <c r="CB72">
        <v>25</v>
      </c>
      <c r="CC72">
        <v>-4.5695999999999994</v>
      </c>
      <c r="CD72">
        <v>-2.8491200000000001</v>
      </c>
      <c r="CE72">
        <v>-18.439999999999998</v>
      </c>
      <c r="CF72">
        <v>-2.2700000000000043E-2</v>
      </c>
    </row>
    <row r="73" spans="1:84" x14ac:dyDescent="0.2">
      <c r="A73" s="39">
        <v>43751</v>
      </c>
      <c r="B73" s="22" t="s">
        <v>252</v>
      </c>
      <c r="C73" s="41" t="s">
        <v>297</v>
      </c>
      <c r="D73" s="22" t="s">
        <v>307</v>
      </c>
      <c r="E73">
        <v>8.3000000000000007</v>
      </c>
      <c r="F73">
        <v>7.3</v>
      </c>
      <c r="G73">
        <v>0</v>
      </c>
      <c r="H73">
        <f>2.6+1.5</f>
        <v>4.0999999999999996</v>
      </c>
      <c r="I73">
        <v>-2.5</v>
      </c>
      <c r="J73">
        <v>42.5</v>
      </c>
      <c r="K73" t="s">
        <v>110</v>
      </c>
      <c r="L73" s="1" t="s">
        <v>297</v>
      </c>
      <c r="M73">
        <v>6</v>
      </c>
      <c r="N73">
        <v>4.1199999999999992</v>
      </c>
      <c r="O73">
        <v>-2.2839999999999985</v>
      </c>
      <c r="P73">
        <v>16.32</v>
      </c>
      <c r="Q73">
        <v>-0.75999999999999979</v>
      </c>
      <c r="R73">
        <v>9.452</v>
      </c>
      <c r="S73">
        <v>40.840000000000003</v>
      </c>
      <c r="T73">
        <v>0.35999999999999976</v>
      </c>
      <c r="U73">
        <v>27</v>
      </c>
      <c r="V73">
        <v>27</v>
      </c>
      <c r="W73">
        <v>-0.83999999999999986</v>
      </c>
      <c r="X73">
        <v>7</v>
      </c>
      <c r="Y73">
        <v>11.25</v>
      </c>
      <c r="Z73">
        <v>7</v>
      </c>
      <c r="AA73">
        <v>3.020129333117717E-2</v>
      </c>
      <c r="AB73">
        <v>17</v>
      </c>
      <c r="AC73">
        <v>-3.3467236141587987E-3</v>
      </c>
      <c r="AD73">
        <v>18</v>
      </c>
      <c r="AE73">
        <v>3.883999999999999</v>
      </c>
      <c r="AF73">
        <v>3</v>
      </c>
      <c r="AG73">
        <v>-0.67999999999999972</v>
      </c>
      <c r="AH73">
        <v>-2.6399999999999992</v>
      </c>
      <c r="AI73">
        <v>2</v>
      </c>
      <c r="AJ73">
        <v>-0.27999999999999997</v>
      </c>
      <c r="AK73">
        <v>41.11999999999999</v>
      </c>
      <c r="AL73">
        <v>26.4</v>
      </c>
      <c r="AM73">
        <v>10.159999999999997</v>
      </c>
      <c r="AN73">
        <v>-4.04</v>
      </c>
      <c r="AO73">
        <v>8.6</v>
      </c>
      <c r="AP73">
        <v>6</v>
      </c>
      <c r="AQ73">
        <v>6.4039999999999981</v>
      </c>
      <c r="AR73">
        <v>3.8563999999999998</v>
      </c>
      <c r="AS73">
        <v>16.240000000000002</v>
      </c>
      <c r="AT73">
        <v>-6.4039999999999981</v>
      </c>
      <c r="AU73">
        <v>1.5660000000000003</v>
      </c>
      <c r="AV73">
        <v>-1.2846499999999998</v>
      </c>
      <c r="AW73">
        <v>-0.94689999999999996</v>
      </c>
      <c r="AX73" t="s">
        <v>307</v>
      </c>
      <c r="AY73">
        <v>18</v>
      </c>
      <c r="AZ73">
        <v>0.73280000000000245</v>
      </c>
      <c r="BA73">
        <v>-2.46</v>
      </c>
      <c r="BB73">
        <v>-16.920000000000002</v>
      </c>
      <c r="BC73">
        <v>1.3199999999999998</v>
      </c>
      <c r="BD73">
        <v>-8.6120000000000019</v>
      </c>
      <c r="BE73">
        <v>-27.480000000000008</v>
      </c>
      <c r="BF73">
        <v>-3.7200000000000006</v>
      </c>
      <c r="BG73">
        <v>8</v>
      </c>
      <c r="BH73">
        <v>8.5</v>
      </c>
      <c r="BI73">
        <v>-2.6</v>
      </c>
      <c r="BJ73">
        <v>17</v>
      </c>
      <c r="BK73">
        <v>16</v>
      </c>
      <c r="BL73">
        <v>6</v>
      </c>
      <c r="BM73">
        <v>4.0878567474878627E-2</v>
      </c>
      <c r="BN73">
        <v>18</v>
      </c>
      <c r="BO73">
        <v>2.1314766936584725E-2</v>
      </c>
      <c r="BP73">
        <v>21</v>
      </c>
      <c r="BQ73">
        <v>-5.4600000000000009</v>
      </c>
      <c r="BR73">
        <v>19</v>
      </c>
      <c r="BS73">
        <v>1.6800000000000002</v>
      </c>
      <c r="BT73">
        <v>-3.5199999999999987</v>
      </c>
      <c r="BU73">
        <v>-2.9200000000000004</v>
      </c>
      <c r="BV73">
        <v>-1.4</v>
      </c>
      <c r="BW73">
        <v>-30.839999999999996</v>
      </c>
      <c r="BX73">
        <v>-19.239999999999998</v>
      </c>
      <c r="BY73">
        <v>-17.88</v>
      </c>
      <c r="BZ73">
        <v>1.04</v>
      </c>
      <c r="CA73">
        <v>5.24</v>
      </c>
      <c r="CB73">
        <v>9</v>
      </c>
      <c r="CC73">
        <v>3.1928000000000023</v>
      </c>
      <c r="CD73">
        <v>-0.3458399999999997</v>
      </c>
      <c r="CE73">
        <v>-1.3599999999999994</v>
      </c>
      <c r="CF73">
        <v>-1.6223999999999998</v>
      </c>
    </row>
    <row r="74" spans="1:84" x14ac:dyDescent="0.2">
      <c r="A74" s="39">
        <v>43751</v>
      </c>
      <c r="B74" s="22" t="s">
        <v>252</v>
      </c>
      <c r="C74" s="41" t="s">
        <v>288</v>
      </c>
      <c r="D74" s="22" t="s">
        <v>311</v>
      </c>
      <c r="E74">
        <v>25</v>
      </c>
      <c r="F74" s="14">
        <v>8.5</v>
      </c>
      <c r="G74">
        <v>4.4000000000000004</v>
      </c>
      <c r="H74">
        <v>9.8000000000000007</v>
      </c>
      <c r="I74">
        <v>-3.5</v>
      </c>
      <c r="J74">
        <v>54.5</v>
      </c>
      <c r="K74" t="s">
        <v>109</v>
      </c>
      <c r="L74" s="1" t="s">
        <v>288</v>
      </c>
      <c r="M74">
        <v>1</v>
      </c>
      <c r="N74">
        <v>7.8775999999999984</v>
      </c>
      <c r="O74">
        <v>0.34959999999999924</v>
      </c>
      <c r="P74">
        <v>-23.4</v>
      </c>
      <c r="Q74">
        <v>1.1200000000000001</v>
      </c>
      <c r="R74">
        <v>16.004000000000001</v>
      </c>
      <c r="S74">
        <v>86.4</v>
      </c>
      <c r="T74">
        <v>4.2799999999999994</v>
      </c>
      <c r="U74">
        <v>15</v>
      </c>
      <c r="V74">
        <v>14.5</v>
      </c>
      <c r="W74">
        <v>1.2399999999999998</v>
      </c>
      <c r="X74">
        <v>29</v>
      </c>
      <c r="Y74">
        <v>25</v>
      </c>
      <c r="Z74">
        <v>26</v>
      </c>
      <c r="AA74">
        <v>-2.272091929463993E-2</v>
      </c>
      <c r="AB74">
        <v>23</v>
      </c>
      <c r="AC74">
        <v>-2.4195046901238412E-2</v>
      </c>
      <c r="AD74">
        <v>25</v>
      </c>
      <c r="AE74">
        <v>4.7959999999999976</v>
      </c>
      <c r="AF74">
        <v>26</v>
      </c>
      <c r="AG74">
        <v>-2.7199999999999998</v>
      </c>
      <c r="AH74">
        <v>1.8800000000000012</v>
      </c>
      <c r="AI74">
        <v>4.6399999999999988</v>
      </c>
      <c r="AJ74">
        <v>0.55999999999999983</v>
      </c>
      <c r="AK74">
        <v>65.2</v>
      </c>
      <c r="AL74">
        <v>89.44</v>
      </c>
      <c r="AM74">
        <v>-24.4</v>
      </c>
      <c r="AN74">
        <v>-4.04</v>
      </c>
      <c r="AO74">
        <v>4.2000000000000011</v>
      </c>
      <c r="AP74">
        <v>2</v>
      </c>
      <c r="AQ74">
        <v>7.5279999999999987</v>
      </c>
      <c r="AR74">
        <v>4.6015200000000007</v>
      </c>
      <c r="AS74">
        <v>113.84</v>
      </c>
      <c r="AT74">
        <v>-7.5279999999999987</v>
      </c>
      <c r="AU74">
        <v>3.2639</v>
      </c>
      <c r="AV74">
        <v>0.19089999999999996</v>
      </c>
      <c r="AW74">
        <v>-2.2700000000000043E-2</v>
      </c>
      <c r="AX74" t="s">
        <v>311</v>
      </c>
      <c r="AY74">
        <v>6</v>
      </c>
      <c r="AZ74">
        <v>2.3008000000000002</v>
      </c>
      <c r="BA74">
        <v>-0.62880000000000036</v>
      </c>
      <c r="BB74">
        <v>-16.520000000000003</v>
      </c>
      <c r="BC74">
        <v>1.3600000000000003</v>
      </c>
      <c r="BD74">
        <v>0.44399999999999995</v>
      </c>
      <c r="BE74">
        <v>0.83999999999999986</v>
      </c>
      <c r="BF74">
        <v>0.91999999999999904</v>
      </c>
      <c r="BG74">
        <v>22</v>
      </c>
      <c r="BH74">
        <v>21.5</v>
      </c>
      <c r="BI74">
        <v>-0.4799999999999997</v>
      </c>
      <c r="BJ74">
        <v>27</v>
      </c>
      <c r="BK74">
        <v>22.75</v>
      </c>
      <c r="BL74">
        <v>31</v>
      </c>
      <c r="BM74">
        <v>3.7047734958900881E-2</v>
      </c>
      <c r="BN74">
        <v>30</v>
      </c>
      <c r="BO74">
        <v>1.3651769396303429E-2</v>
      </c>
      <c r="BP74">
        <v>2</v>
      </c>
      <c r="BQ74">
        <v>-5.3160000000000043</v>
      </c>
      <c r="BR74">
        <v>28</v>
      </c>
      <c r="BS74">
        <v>0.91999999999999993</v>
      </c>
      <c r="BT74">
        <v>1.8799999999999983</v>
      </c>
      <c r="BU74">
        <v>0.80000000000000071</v>
      </c>
      <c r="BV74">
        <v>-1.2</v>
      </c>
      <c r="BW74">
        <v>-1.0000000000000113</v>
      </c>
      <c r="BX74">
        <v>12.520000000000005</v>
      </c>
      <c r="BY74">
        <v>-16.88</v>
      </c>
      <c r="BZ74">
        <v>-1.52</v>
      </c>
      <c r="CA74">
        <v>4.88</v>
      </c>
      <c r="CB74">
        <v>12</v>
      </c>
      <c r="CC74">
        <v>2.9296000000000006</v>
      </c>
      <c r="CD74">
        <v>0.86336000000000013</v>
      </c>
      <c r="CE74">
        <v>29.400000000000006</v>
      </c>
      <c r="CF74">
        <v>0.40449999999999997</v>
      </c>
    </row>
    <row r="75" spans="1:84" x14ac:dyDescent="0.2">
      <c r="A75" s="39">
        <v>43751</v>
      </c>
      <c r="B75" s="22" t="s">
        <v>252</v>
      </c>
      <c r="C75" s="41" t="s">
        <v>287</v>
      </c>
      <c r="D75" s="22" t="s">
        <v>309</v>
      </c>
      <c r="E75">
        <v>5.3</v>
      </c>
      <c r="F75">
        <v>12.2</v>
      </c>
      <c r="G75">
        <v>6.3</v>
      </c>
      <c r="H75">
        <f>33+2.5</f>
        <v>35.5</v>
      </c>
      <c r="I75">
        <v>-6</v>
      </c>
      <c r="J75">
        <v>42.5</v>
      </c>
      <c r="L75" s="1" t="s">
        <v>287</v>
      </c>
      <c r="M75">
        <v>22</v>
      </c>
      <c r="N75">
        <v>-1.4359999999999999</v>
      </c>
      <c r="O75">
        <v>6.34</v>
      </c>
      <c r="P75">
        <v>-18.920000000000002</v>
      </c>
      <c r="Q75">
        <v>4.2799999999999994</v>
      </c>
      <c r="R75">
        <v>-4.791999999999998</v>
      </c>
      <c r="S75">
        <v>2.1600000000000072</v>
      </c>
      <c r="T75">
        <v>-1.1599999999999993</v>
      </c>
      <c r="U75">
        <v>4</v>
      </c>
      <c r="V75">
        <v>7</v>
      </c>
      <c r="W75">
        <v>-0.56000000000000016</v>
      </c>
      <c r="X75">
        <v>10</v>
      </c>
      <c r="Y75">
        <v>12.75</v>
      </c>
      <c r="Z75">
        <v>24</v>
      </c>
      <c r="AA75">
        <v>4.762281287089546E-2</v>
      </c>
      <c r="AB75">
        <v>12</v>
      </c>
      <c r="AC75">
        <v>4.3710141647736196E-3</v>
      </c>
      <c r="AD75">
        <v>7</v>
      </c>
      <c r="AE75">
        <v>6.6559999999999988</v>
      </c>
      <c r="AF75">
        <v>8</v>
      </c>
      <c r="AG75">
        <v>2.08</v>
      </c>
      <c r="AH75">
        <v>4.0000000000001992E-2</v>
      </c>
      <c r="AI75">
        <v>-4.5600000000000005</v>
      </c>
      <c r="AJ75">
        <v>0</v>
      </c>
      <c r="AK75">
        <v>-4.5999999999999996</v>
      </c>
      <c r="AL75">
        <v>31.32</v>
      </c>
      <c r="AM75">
        <v>-22.439999999999998</v>
      </c>
      <c r="AN75">
        <v>-6.12</v>
      </c>
      <c r="AO75">
        <v>-7.3599999999999994</v>
      </c>
      <c r="AP75">
        <v>28</v>
      </c>
      <c r="AQ75">
        <v>-7.7759999999999998</v>
      </c>
      <c r="AR75">
        <v>-4.4155999999999995</v>
      </c>
      <c r="AS75">
        <v>53.76</v>
      </c>
      <c r="AT75">
        <v>7.7759999999999998</v>
      </c>
      <c r="AU75">
        <v>-4.0999999999999856E-2</v>
      </c>
      <c r="AV75">
        <v>-1.0772999999999999</v>
      </c>
      <c r="AW75">
        <v>-0.62259999999999982</v>
      </c>
      <c r="AX75" t="s">
        <v>309</v>
      </c>
      <c r="AY75">
        <v>31</v>
      </c>
      <c r="AZ75">
        <v>-4.1128</v>
      </c>
      <c r="BA75">
        <v>-5.548</v>
      </c>
      <c r="BB75">
        <v>-10.200000000000006</v>
      </c>
      <c r="BC75">
        <v>0.39999999999999986</v>
      </c>
      <c r="BD75">
        <v>-3.7152000000000007</v>
      </c>
      <c r="BE75">
        <v>-17.039999999999996</v>
      </c>
      <c r="BF75">
        <v>-1.3199999999999998</v>
      </c>
      <c r="BG75">
        <v>30</v>
      </c>
      <c r="BH75">
        <v>27.5</v>
      </c>
      <c r="BI75">
        <v>-4.04</v>
      </c>
      <c r="BJ75">
        <v>1</v>
      </c>
      <c r="BK75">
        <v>5.25</v>
      </c>
      <c r="BL75">
        <v>2</v>
      </c>
      <c r="BM75">
        <v>2.01642254272612E-2</v>
      </c>
      <c r="BN75">
        <v>1</v>
      </c>
      <c r="BO75">
        <v>2.8321291752997892E-2</v>
      </c>
      <c r="BP75">
        <v>16</v>
      </c>
      <c r="BQ75">
        <v>-6.7520000000000007</v>
      </c>
      <c r="BR75">
        <v>2</v>
      </c>
      <c r="BS75">
        <v>3.0799999999999992</v>
      </c>
      <c r="BT75">
        <v>2.0800000000000027</v>
      </c>
      <c r="BU75">
        <v>-2.5600000000000009</v>
      </c>
      <c r="BV75">
        <v>-1.6799999999999997</v>
      </c>
      <c r="BW75">
        <v>-21.320000000000004</v>
      </c>
      <c r="BX75">
        <v>-17.160000000000004</v>
      </c>
      <c r="BY75">
        <v>-3.5599999999999978</v>
      </c>
      <c r="BZ75">
        <v>-2.8</v>
      </c>
      <c r="CA75">
        <v>2.2000000000000002</v>
      </c>
      <c r="CB75">
        <v>16</v>
      </c>
      <c r="CC75">
        <v>1.4351999999999996</v>
      </c>
      <c r="CD75">
        <v>1.2083999999999997</v>
      </c>
      <c r="CE75">
        <v>-13.600000000000005</v>
      </c>
      <c r="CF75">
        <v>-1.532</v>
      </c>
    </row>
    <row r="76" spans="1:84" x14ac:dyDescent="0.2">
      <c r="A76" s="39">
        <v>43751</v>
      </c>
      <c r="B76" s="22" t="s">
        <v>252</v>
      </c>
      <c r="C76" s="41" t="s">
        <v>304</v>
      </c>
      <c r="D76" s="22" t="s">
        <v>256</v>
      </c>
      <c r="E76" s="14">
        <v>5.7</v>
      </c>
      <c r="F76">
        <v>7.6</v>
      </c>
      <c r="G76">
        <v>6.2</v>
      </c>
      <c r="H76">
        <f>5.5+2.9</f>
        <v>8.4</v>
      </c>
      <c r="I76">
        <v>-3</v>
      </c>
      <c r="J76">
        <v>49.5</v>
      </c>
      <c r="K76" t="s">
        <v>109</v>
      </c>
      <c r="L76" s="1" t="s">
        <v>304</v>
      </c>
      <c r="M76">
        <v>21</v>
      </c>
      <c r="N76">
        <v>-1.3296000000000003</v>
      </c>
      <c r="O76">
        <v>-0.45680000000000015</v>
      </c>
      <c r="P76">
        <v>-3.319999999999999</v>
      </c>
      <c r="Q76">
        <v>-1.0399999999999998</v>
      </c>
      <c r="R76">
        <v>18.723999999999997</v>
      </c>
      <c r="S76">
        <v>86.36</v>
      </c>
      <c r="T76">
        <v>11.2</v>
      </c>
      <c r="U76">
        <v>16</v>
      </c>
      <c r="V76">
        <v>15.5</v>
      </c>
      <c r="W76">
        <v>-1.04</v>
      </c>
      <c r="X76">
        <v>23</v>
      </c>
      <c r="Y76">
        <v>20.5</v>
      </c>
      <c r="Z76">
        <v>32</v>
      </c>
      <c r="AA76">
        <v>5.6831637156475913E-2</v>
      </c>
      <c r="AB76">
        <v>29</v>
      </c>
      <c r="AC76">
        <v>-3.317534235534414E-2</v>
      </c>
      <c r="AD76">
        <v>8</v>
      </c>
      <c r="AE76">
        <v>-5.1519999999999992</v>
      </c>
      <c r="AF76">
        <v>13</v>
      </c>
      <c r="AG76">
        <v>-1.1999999999999997</v>
      </c>
      <c r="AH76">
        <v>4.8800000000000008</v>
      </c>
      <c r="AI76">
        <v>5.2</v>
      </c>
      <c r="AJ76">
        <v>-0.43999999999999984</v>
      </c>
      <c r="AK76">
        <v>48.199999999999989</v>
      </c>
      <c r="AL76">
        <v>60.679999999999993</v>
      </c>
      <c r="AM76">
        <v>-6.5199999999999987</v>
      </c>
      <c r="AN76">
        <v>9.0800000000000018</v>
      </c>
      <c r="AO76">
        <v>-15.039999999999997</v>
      </c>
      <c r="AP76">
        <v>22</v>
      </c>
      <c r="AQ76">
        <v>-0.87280000000000013</v>
      </c>
      <c r="AR76">
        <v>3.7072799999999995</v>
      </c>
      <c r="AS76">
        <v>67.199999999999989</v>
      </c>
      <c r="AT76">
        <v>0.87280000000000024</v>
      </c>
      <c r="AU76">
        <v>2.6521999999999997</v>
      </c>
      <c r="AV76">
        <v>-2.0659999999999998</v>
      </c>
      <c r="AW76">
        <v>0.17100000000000018</v>
      </c>
      <c r="AX76" t="s">
        <v>256</v>
      </c>
      <c r="AY76">
        <v>22</v>
      </c>
      <c r="AZ76">
        <v>-6.7359999999999989</v>
      </c>
      <c r="BA76">
        <v>-9.08</v>
      </c>
      <c r="BB76">
        <v>-8.4</v>
      </c>
      <c r="BC76">
        <v>-1.1600000000000004</v>
      </c>
      <c r="BD76">
        <v>-14.128000000000002</v>
      </c>
      <c r="BE76">
        <v>-77.199999999999989</v>
      </c>
      <c r="BF76">
        <v>-5.44</v>
      </c>
      <c r="BG76">
        <v>18</v>
      </c>
      <c r="BH76">
        <v>20</v>
      </c>
      <c r="BI76">
        <v>-0.76</v>
      </c>
      <c r="BJ76">
        <v>13</v>
      </c>
      <c r="BK76">
        <v>14.75</v>
      </c>
      <c r="BL76">
        <v>23</v>
      </c>
      <c r="BM76">
        <v>4.3640317582626875E-2</v>
      </c>
      <c r="BN76">
        <v>8</v>
      </c>
      <c r="BO76">
        <v>3.5577552373849519E-2</v>
      </c>
      <c r="BP76">
        <v>24</v>
      </c>
      <c r="BQ76">
        <v>-18.596000000000004</v>
      </c>
      <c r="BR76">
        <v>4</v>
      </c>
      <c r="BS76">
        <v>5.1599999999999993</v>
      </c>
      <c r="BT76">
        <v>-6.919999999999999</v>
      </c>
      <c r="BU76">
        <v>-10.32</v>
      </c>
      <c r="BV76">
        <v>0.56000000000000005</v>
      </c>
      <c r="BW76">
        <v>-100.32000000000001</v>
      </c>
      <c r="BX76">
        <v>-98.359999999999985</v>
      </c>
      <c r="BY76">
        <v>-9.2799999999999994</v>
      </c>
      <c r="BZ76">
        <v>5.8</v>
      </c>
      <c r="CA76">
        <v>1.52</v>
      </c>
      <c r="CB76">
        <v>13</v>
      </c>
      <c r="CC76">
        <v>2.3440000000000016</v>
      </c>
      <c r="CD76">
        <v>0.36719999999999953</v>
      </c>
      <c r="CE76">
        <v>-89.079999999999984</v>
      </c>
      <c r="CF76">
        <v>-4.3029999999999999</v>
      </c>
    </row>
    <row r="77" spans="1:84" x14ac:dyDescent="0.2">
      <c r="A77" s="39">
        <v>43751</v>
      </c>
      <c r="B77" s="28" t="s">
        <v>252</v>
      </c>
      <c r="C77" s="41" t="s">
        <v>293</v>
      </c>
      <c r="D77" s="28" t="s">
        <v>306</v>
      </c>
      <c r="E77" s="30">
        <v>5.0999999999999996</v>
      </c>
      <c r="F77" s="3">
        <v>11.8</v>
      </c>
      <c r="G77" s="3">
        <v>6.5</v>
      </c>
      <c r="H77" s="3">
        <f>8.1+1.3</f>
        <v>9.4</v>
      </c>
      <c r="I77" s="3">
        <v>6</v>
      </c>
      <c r="J77" s="3">
        <v>42</v>
      </c>
      <c r="K77" s="3"/>
      <c r="L77" s="1" t="s">
        <v>293</v>
      </c>
      <c r="M77">
        <v>31</v>
      </c>
      <c r="N77">
        <v>-6.6383999999999999</v>
      </c>
      <c r="O77">
        <v>-8.9784000000000024</v>
      </c>
      <c r="P77">
        <v>-33.08</v>
      </c>
      <c r="Q77">
        <v>2.7600000000000002</v>
      </c>
      <c r="R77">
        <v>-12.888</v>
      </c>
      <c r="S77">
        <v>-50.879999999999995</v>
      </c>
      <c r="T77">
        <v>-1.4399999999999997</v>
      </c>
      <c r="U77">
        <v>13</v>
      </c>
      <c r="V77">
        <v>12</v>
      </c>
      <c r="W77">
        <v>-6.0399999999999991</v>
      </c>
      <c r="X77">
        <v>16</v>
      </c>
      <c r="Y77">
        <v>14.5</v>
      </c>
      <c r="Z77">
        <v>12</v>
      </c>
      <c r="AA77">
        <v>4.7760040664507467E-2</v>
      </c>
      <c r="AB77">
        <v>10</v>
      </c>
      <c r="AC77">
        <v>3.7307312923229516E-2</v>
      </c>
      <c r="AD77">
        <v>14</v>
      </c>
      <c r="AE77">
        <v>-16.431999999999995</v>
      </c>
      <c r="AF77">
        <v>22</v>
      </c>
      <c r="AG77">
        <v>8.24</v>
      </c>
      <c r="AH77">
        <v>-1.5600000000000009</v>
      </c>
      <c r="AI77">
        <v>-10.16</v>
      </c>
      <c r="AJ77">
        <v>-1.1199999999999999</v>
      </c>
      <c r="AK77">
        <v>-94.11999999999999</v>
      </c>
      <c r="AL77">
        <v>-45.64</v>
      </c>
      <c r="AM77">
        <v>-36</v>
      </c>
      <c r="AN77">
        <v>-7</v>
      </c>
      <c r="AO77">
        <v>-5.4799999999999995</v>
      </c>
      <c r="AP77">
        <v>17</v>
      </c>
      <c r="AQ77">
        <v>2.3400000000000016</v>
      </c>
      <c r="AR77">
        <v>0.58392000000000133</v>
      </c>
      <c r="AS77">
        <v>-9.64</v>
      </c>
      <c r="AT77">
        <v>-2.3400000000000025</v>
      </c>
      <c r="AU77">
        <v>-3.8381000000000003</v>
      </c>
      <c r="AV77">
        <v>1.7779499999999997</v>
      </c>
      <c r="AW77">
        <v>1.7088999999999996</v>
      </c>
      <c r="AX77" t="s">
        <v>306</v>
      </c>
      <c r="AY77">
        <v>22</v>
      </c>
      <c r="AZ77">
        <v>4.0152000000000001</v>
      </c>
      <c r="BA77">
        <v>1.7400000000000002</v>
      </c>
      <c r="BB77">
        <v>12.509999999999998</v>
      </c>
      <c r="BC77">
        <v>0.12999999999999987</v>
      </c>
      <c r="BD77">
        <v>8.5007999999999981</v>
      </c>
      <c r="BE77">
        <v>12.359999999999992</v>
      </c>
      <c r="BF77">
        <v>-0.64000000000000012</v>
      </c>
      <c r="BG77">
        <v>12</v>
      </c>
      <c r="BH77">
        <v>12.5</v>
      </c>
      <c r="BI77">
        <v>1.4800000000000004</v>
      </c>
      <c r="BJ77">
        <v>3</v>
      </c>
      <c r="BK77">
        <v>8</v>
      </c>
      <c r="BL77">
        <v>13</v>
      </c>
      <c r="BM77">
        <v>-2.8309701599881398E-2</v>
      </c>
      <c r="BN77">
        <v>2</v>
      </c>
      <c r="BO77">
        <v>2.5739081704012059E-3</v>
      </c>
      <c r="BP77">
        <v>9</v>
      </c>
      <c r="BQ77">
        <v>18.360000000000003</v>
      </c>
      <c r="BR77">
        <v>8</v>
      </c>
      <c r="BS77">
        <v>-1.56</v>
      </c>
      <c r="BT77">
        <v>2.9199999999999973</v>
      </c>
      <c r="BU77">
        <v>4.92</v>
      </c>
      <c r="BV77">
        <v>0.83999999999999986</v>
      </c>
      <c r="BW77">
        <v>50.640000000000008</v>
      </c>
      <c r="BX77">
        <v>15.8</v>
      </c>
      <c r="BY77">
        <v>21.64</v>
      </c>
      <c r="BZ77">
        <v>2.96</v>
      </c>
      <c r="CA77">
        <v>10.24</v>
      </c>
      <c r="CB77">
        <v>14</v>
      </c>
      <c r="CC77">
        <v>2.2751999999999999</v>
      </c>
      <c r="CD77">
        <v>1.6332</v>
      </c>
      <c r="CE77">
        <v>-5.84</v>
      </c>
      <c r="CF77">
        <v>1.8469999999999998</v>
      </c>
    </row>
    <row r="78" spans="1:84" x14ac:dyDescent="0.2">
      <c r="A78" s="39">
        <v>43751</v>
      </c>
      <c r="B78" s="22" t="s">
        <v>252</v>
      </c>
      <c r="C78" s="41" t="s">
        <v>312</v>
      </c>
      <c r="D78" s="22" t="s">
        <v>294</v>
      </c>
      <c r="E78">
        <v>17.7</v>
      </c>
      <c r="F78">
        <v>46.5</v>
      </c>
      <c r="G78">
        <v>2.6</v>
      </c>
      <c r="H78">
        <f>6.6+4.9</f>
        <v>11.5</v>
      </c>
      <c r="I78">
        <v>-3.5</v>
      </c>
      <c r="J78">
        <v>44</v>
      </c>
      <c r="K78" t="s">
        <v>110</v>
      </c>
      <c r="L78" s="1" t="s">
        <v>312</v>
      </c>
      <c r="M78">
        <v>30</v>
      </c>
      <c r="N78">
        <v>-5.3848000000000003</v>
      </c>
      <c r="O78">
        <v>8.902000000000001</v>
      </c>
      <c r="P78">
        <v>50.800000000000004</v>
      </c>
      <c r="Q78">
        <v>-1.0299999999999998</v>
      </c>
      <c r="R78">
        <v>-14.079000000000001</v>
      </c>
      <c r="S78">
        <v>-48.739999999999995</v>
      </c>
      <c r="T78">
        <v>-8.24</v>
      </c>
      <c r="U78">
        <v>26</v>
      </c>
      <c r="V78">
        <v>25</v>
      </c>
      <c r="W78">
        <v>2.12</v>
      </c>
      <c r="X78">
        <v>28</v>
      </c>
      <c r="Y78">
        <v>24.5</v>
      </c>
      <c r="Z78">
        <v>22</v>
      </c>
      <c r="AA78">
        <v>9.2588759899809872E-2</v>
      </c>
      <c r="AB78">
        <v>27</v>
      </c>
      <c r="AC78">
        <v>1.0555998053454647E-2</v>
      </c>
      <c r="AD78">
        <v>22</v>
      </c>
      <c r="AE78">
        <v>16.312000000000001</v>
      </c>
      <c r="AF78">
        <v>27</v>
      </c>
      <c r="AG78">
        <v>-0.23999999999999991</v>
      </c>
      <c r="AH78">
        <v>-5.4</v>
      </c>
      <c r="AI78">
        <v>-0.12000000000000099</v>
      </c>
      <c r="AJ78">
        <v>4.0000000000000036E-2</v>
      </c>
      <c r="AK78">
        <v>-8.7600000000000016</v>
      </c>
      <c r="AL78">
        <v>-62.52</v>
      </c>
      <c r="AM78">
        <v>57.919999999999995</v>
      </c>
      <c r="AN78">
        <v>-1</v>
      </c>
      <c r="AO78">
        <v>-3.1599999999999997</v>
      </c>
      <c r="AP78">
        <v>31</v>
      </c>
      <c r="AQ78">
        <v>-14.286799999999999</v>
      </c>
      <c r="AR78">
        <v>-8.3437599999999996</v>
      </c>
      <c r="AS78">
        <v>-120.44</v>
      </c>
      <c r="AT78">
        <v>14.286800000000001</v>
      </c>
      <c r="AU78">
        <v>-1.2302250000000001</v>
      </c>
      <c r="AV78">
        <v>-8.989999999999998E-2</v>
      </c>
      <c r="AW78">
        <v>-1.2994000000000001</v>
      </c>
      <c r="AX78" t="s">
        <v>294</v>
      </c>
      <c r="AY78">
        <v>30</v>
      </c>
      <c r="AZ78">
        <v>2.5808000000000009</v>
      </c>
      <c r="BA78">
        <v>-3.6919999999999993</v>
      </c>
      <c r="BB78">
        <v>-28.72</v>
      </c>
      <c r="BC78">
        <v>0.88</v>
      </c>
      <c r="BD78">
        <v>8.7479999999999993</v>
      </c>
      <c r="BE78">
        <v>29.240000000000002</v>
      </c>
      <c r="BF78">
        <v>3.1599999999999997</v>
      </c>
      <c r="BG78">
        <v>31</v>
      </c>
      <c r="BH78">
        <v>28.5</v>
      </c>
      <c r="BI78">
        <v>-1.2800000000000002</v>
      </c>
      <c r="BJ78">
        <v>4</v>
      </c>
      <c r="BK78">
        <v>8.75</v>
      </c>
      <c r="BL78">
        <v>3</v>
      </c>
      <c r="BM78">
        <v>7.5912896900556331E-2</v>
      </c>
      <c r="BN78">
        <v>4</v>
      </c>
      <c r="BO78">
        <v>-8.9269579253529237E-3</v>
      </c>
      <c r="BP78">
        <v>14</v>
      </c>
      <c r="BQ78">
        <v>-1.4600000000000009</v>
      </c>
      <c r="BR78">
        <v>14</v>
      </c>
      <c r="BS78">
        <v>0.68000000000000038</v>
      </c>
      <c r="BT78">
        <v>0.35999999999999943</v>
      </c>
      <c r="BU78">
        <v>2.9600000000000004</v>
      </c>
      <c r="BV78">
        <v>0.2</v>
      </c>
      <c r="BW78">
        <v>12.759999999999996</v>
      </c>
      <c r="BX78">
        <v>29.52000000000001</v>
      </c>
      <c r="BY78">
        <v>-18.68</v>
      </c>
      <c r="BZ78">
        <v>0.4799999999999997</v>
      </c>
      <c r="CA78">
        <v>1.4399999999999986</v>
      </c>
      <c r="CB78">
        <v>5</v>
      </c>
      <c r="CC78">
        <v>6.2728000000000002</v>
      </c>
      <c r="CD78">
        <v>4.1117599999999994</v>
      </c>
      <c r="CE78">
        <v>48.20000000000001</v>
      </c>
      <c r="CF78">
        <v>1.1196000000000002</v>
      </c>
    </row>
    <row r="79" spans="1:84" x14ac:dyDescent="0.2">
      <c r="A79" s="39">
        <v>43751</v>
      </c>
      <c r="B79" s="22" t="s">
        <v>252</v>
      </c>
      <c r="C79" s="41" t="s">
        <v>302</v>
      </c>
      <c r="D79" s="22" t="s">
        <v>296</v>
      </c>
      <c r="E79">
        <v>23.3</v>
      </c>
      <c r="F79" s="14"/>
      <c r="G79">
        <v>9.4</v>
      </c>
      <c r="H79">
        <v>5.0999999999999996</v>
      </c>
      <c r="I79">
        <v>-16.5</v>
      </c>
      <c r="J79">
        <v>43</v>
      </c>
      <c r="L79" s="1" t="s">
        <v>302</v>
      </c>
      <c r="M79">
        <v>9</v>
      </c>
      <c r="N79">
        <v>2.2032000000000003</v>
      </c>
      <c r="O79">
        <v>-0.1800000000000006</v>
      </c>
      <c r="P79">
        <v>-21.880000000000003</v>
      </c>
      <c r="Q79">
        <v>2.08</v>
      </c>
      <c r="R79">
        <v>-0.11119999999999752</v>
      </c>
      <c r="S79">
        <v>-3.0799999999999983</v>
      </c>
      <c r="T79">
        <v>-0.75999999999999979</v>
      </c>
      <c r="U79">
        <v>2</v>
      </c>
      <c r="V79">
        <v>5</v>
      </c>
      <c r="W79">
        <v>7.3600000000000012</v>
      </c>
      <c r="X79">
        <v>27</v>
      </c>
      <c r="Y79">
        <v>23.25</v>
      </c>
      <c r="Z79">
        <v>23</v>
      </c>
      <c r="AA79">
        <v>-4.4008688400902884E-2</v>
      </c>
      <c r="AB79">
        <v>26</v>
      </c>
      <c r="AC79">
        <v>-1.6919940613386482E-2</v>
      </c>
      <c r="AD79">
        <v>23</v>
      </c>
      <c r="AE79">
        <v>-16.464000000000006</v>
      </c>
      <c r="AF79">
        <v>21</v>
      </c>
      <c r="AG79">
        <v>-0.88000000000000012</v>
      </c>
      <c r="AH79">
        <v>2.3200000000000016</v>
      </c>
      <c r="AI79">
        <v>3.5999999999999992</v>
      </c>
      <c r="AJ79">
        <v>1.8799999999999997</v>
      </c>
      <c r="AK79">
        <v>7.2400000000000091</v>
      </c>
      <c r="AL79">
        <v>31.600000000000005</v>
      </c>
      <c r="AM79">
        <v>-12.479999999999995</v>
      </c>
      <c r="AN79">
        <v>1.0399999999999998</v>
      </c>
      <c r="AO79">
        <v>-12.919999999999998</v>
      </c>
      <c r="AP79">
        <v>16</v>
      </c>
      <c r="AQ79">
        <v>2.3832000000000013</v>
      </c>
      <c r="AR79">
        <v>0.50840000000000096</v>
      </c>
      <c r="AS79">
        <v>44.08</v>
      </c>
      <c r="AT79">
        <v>-2.3832000000000009</v>
      </c>
      <c r="AU79">
        <v>0.36400000000000038</v>
      </c>
      <c r="AV79">
        <v>-0.63929999999999987</v>
      </c>
      <c r="AW79">
        <v>-2.9612999999999996</v>
      </c>
      <c r="AX79" t="s">
        <v>296</v>
      </c>
      <c r="AY79">
        <v>5</v>
      </c>
      <c r="AZ79">
        <v>4.2375999999999987</v>
      </c>
      <c r="BA79">
        <v>-0.53599999999999948</v>
      </c>
      <c r="BB79">
        <v>10.559999999999995</v>
      </c>
      <c r="BC79">
        <v>-1.6</v>
      </c>
      <c r="BD79">
        <v>7.48</v>
      </c>
      <c r="BE79">
        <v>30.239999999999995</v>
      </c>
      <c r="BF79">
        <v>-1.04</v>
      </c>
      <c r="BG79">
        <v>2</v>
      </c>
      <c r="BH79">
        <v>3</v>
      </c>
      <c r="BI79">
        <v>0.96</v>
      </c>
      <c r="BJ79">
        <v>29</v>
      </c>
      <c r="BK79">
        <v>24</v>
      </c>
      <c r="BL79">
        <v>11</v>
      </c>
      <c r="BM79">
        <v>-6.0990352648478983E-2</v>
      </c>
      <c r="BN79">
        <v>27</v>
      </c>
      <c r="BO79">
        <v>4.5809872949552858E-3</v>
      </c>
      <c r="BP79">
        <v>31</v>
      </c>
      <c r="BQ79">
        <v>0.55200000000000105</v>
      </c>
      <c r="BR79">
        <v>27</v>
      </c>
      <c r="BS79">
        <v>-1.9599999999999997</v>
      </c>
      <c r="BT79">
        <v>0.87999999999999967</v>
      </c>
      <c r="BU79">
        <v>3.12</v>
      </c>
      <c r="BV79">
        <v>-0.23999999999999994</v>
      </c>
      <c r="BW79">
        <v>44.559999999999988</v>
      </c>
      <c r="BX79">
        <v>39.080000000000005</v>
      </c>
      <c r="BY79">
        <v>11.960000000000003</v>
      </c>
      <c r="BZ79">
        <v>-3.1199999999999997</v>
      </c>
      <c r="CA79">
        <v>-3.3600000000000003</v>
      </c>
      <c r="CB79">
        <v>6</v>
      </c>
      <c r="CC79">
        <v>4.7735999999999983</v>
      </c>
      <c r="CD79">
        <v>2.6115200000000001</v>
      </c>
      <c r="CE79">
        <v>27.120000000000005</v>
      </c>
      <c r="CF79">
        <v>1.6826999999999999</v>
      </c>
    </row>
    <row r="80" spans="1:84" x14ac:dyDescent="0.2">
      <c r="A80" s="39">
        <v>43751</v>
      </c>
      <c r="B80" s="22" t="s">
        <v>252</v>
      </c>
      <c r="C80" s="41" t="s">
        <v>307</v>
      </c>
      <c r="D80" s="22" t="s">
        <v>297</v>
      </c>
      <c r="E80">
        <v>16.899999999999999</v>
      </c>
      <c r="F80">
        <v>6.8</v>
      </c>
      <c r="G80">
        <v>0</v>
      </c>
      <c r="H80">
        <f>12.7+1.8</f>
        <v>14.5</v>
      </c>
      <c r="I80">
        <v>2.5</v>
      </c>
      <c r="J80">
        <v>42.5</v>
      </c>
      <c r="K80" t="s">
        <v>110</v>
      </c>
      <c r="L80" s="1" t="s">
        <v>307</v>
      </c>
      <c r="M80">
        <v>16</v>
      </c>
      <c r="N80">
        <v>-0.15679999999999944</v>
      </c>
      <c r="O80">
        <v>0.34320000000000056</v>
      </c>
      <c r="P80">
        <v>12.919999999999998</v>
      </c>
      <c r="Q80">
        <v>3.999999999999998E-2</v>
      </c>
      <c r="R80">
        <v>-3.7360000000000011</v>
      </c>
      <c r="S80">
        <v>-26.72</v>
      </c>
      <c r="T80">
        <v>-4.7999999999999989</v>
      </c>
      <c r="U80">
        <v>4</v>
      </c>
      <c r="V80">
        <v>7</v>
      </c>
      <c r="W80">
        <v>1.72</v>
      </c>
      <c r="X80">
        <v>32</v>
      </c>
      <c r="Y80">
        <v>29.5</v>
      </c>
      <c r="Z80">
        <v>30</v>
      </c>
      <c r="AA80">
        <v>-7.1954634359717426E-2</v>
      </c>
      <c r="AB80">
        <v>28</v>
      </c>
      <c r="AC80">
        <v>-1.1093884610144282E-2</v>
      </c>
      <c r="AD80">
        <v>31</v>
      </c>
      <c r="AE80">
        <v>11.204000000000004</v>
      </c>
      <c r="AF80">
        <v>29</v>
      </c>
      <c r="AG80">
        <v>-2.6</v>
      </c>
      <c r="AH80">
        <v>-3.9200000000000004</v>
      </c>
      <c r="AI80">
        <v>-2.04</v>
      </c>
      <c r="AJ80">
        <v>1.0399999999999998</v>
      </c>
      <c r="AK80">
        <v>-13.520000000000016</v>
      </c>
      <c r="AL80">
        <v>-27.360000000000014</v>
      </c>
      <c r="AM80">
        <v>10.84</v>
      </c>
      <c r="AN80">
        <v>-1.6799999999999997</v>
      </c>
      <c r="AO80">
        <v>4.68</v>
      </c>
      <c r="AP80">
        <v>21</v>
      </c>
      <c r="AQ80">
        <v>-0.5</v>
      </c>
      <c r="AR80">
        <v>-0.95016000000000045</v>
      </c>
      <c r="AS80">
        <v>-38.200000000000017</v>
      </c>
      <c r="AT80">
        <v>0.5</v>
      </c>
      <c r="AU80">
        <v>-0.34370000000000001</v>
      </c>
      <c r="AV80">
        <v>-1.2846499999999998</v>
      </c>
      <c r="AW80">
        <v>-1.6223999999999998</v>
      </c>
      <c r="AX80" t="s">
        <v>297</v>
      </c>
      <c r="AY80">
        <v>20</v>
      </c>
      <c r="AZ80">
        <v>-0.10720000000000027</v>
      </c>
      <c r="BA80">
        <v>1.2960000000000007</v>
      </c>
      <c r="BB80">
        <v>19.879999999999995</v>
      </c>
      <c r="BC80">
        <v>-1.08</v>
      </c>
      <c r="BD80">
        <v>-7.8439999999999994</v>
      </c>
      <c r="BE80">
        <v>-23.28</v>
      </c>
      <c r="BF80">
        <v>-1.4400000000000002</v>
      </c>
      <c r="BG80">
        <v>26</v>
      </c>
      <c r="BH80">
        <v>25</v>
      </c>
      <c r="BI80">
        <v>-0.67999999999999972</v>
      </c>
      <c r="BJ80">
        <v>20</v>
      </c>
      <c r="BK80">
        <v>16.75</v>
      </c>
      <c r="BL80">
        <v>21</v>
      </c>
      <c r="BM80">
        <v>-1.1496069398059462E-2</v>
      </c>
      <c r="BN80">
        <v>5</v>
      </c>
      <c r="BO80">
        <v>-3.6893002735955971E-3</v>
      </c>
      <c r="BP80">
        <v>32</v>
      </c>
      <c r="BQ80">
        <v>-3.3359999999999972</v>
      </c>
      <c r="BR80">
        <v>9</v>
      </c>
      <c r="BS80">
        <v>-0.83999999999999986</v>
      </c>
      <c r="BT80">
        <v>0.159999999999998</v>
      </c>
      <c r="BU80">
        <v>1.7200000000000002</v>
      </c>
      <c r="BV80">
        <v>0.12000000000000011</v>
      </c>
      <c r="BW80">
        <v>10</v>
      </c>
      <c r="BX80">
        <v>-7.5999999999999943</v>
      </c>
      <c r="BY80">
        <v>19.28</v>
      </c>
      <c r="BZ80">
        <v>3.16</v>
      </c>
      <c r="CA80">
        <v>-4.839999999999999</v>
      </c>
      <c r="CB80">
        <v>19</v>
      </c>
      <c r="CC80">
        <v>-1.4032000000000009</v>
      </c>
      <c r="CD80">
        <v>-2.2382400000000002</v>
      </c>
      <c r="CE80">
        <v>-26.879999999999995</v>
      </c>
      <c r="CF80">
        <v>-0.94689999999999996</v>
      </c>
    </row>
    <row r="81" spans="1:84" x14ac:dyDescent="0.2">
      <c r="A81" s="39">
        <v>43751</v>
      </c>
      <c r="B81" s="28" t="s">
        <v>252</v>
      </c>
      <c r="C81" s="41" t="s">
        <v>296</v>
      </c>
      <c r="D81" s="28" t="s">
        <v>302</v>
      </c>
      <c r="E81" s="3">
        <v>25.2</v>
      </c>
      <c r="F81" s="3">
        <v>6.2</v>
      </c>
      <c r="G81" s="3">
        <v>0</v>
      </c>
      <c r="H81" s="3">
        <v>6</v>
      </c>
      <c r="I81" s="3">
        <v>16.5</v>
      </c>
      <c r="J81" s="3">
        <v>43</v>
      </c>
      <c r="K81" s="3"/>
      <c r="L81" s="1" t="s">
        <v>296</v>
      </c>
      <c r="M81">
        <v>13</v>
      </c>
      <c r="N81">
        <v>1.4104000000000005</v>
      </c>
      <c r="O81">
        <v>-1.8688000000000013</v>
      </c>
      <c r="P81">
        <v>1.0400000000000005</v>
      </c>
      <c r="Q81">
        <v>-1.68</v>
      </c>
      <c r="R81">
        <v>2.6239999999999992</v>
      </c>
      <c r="S81">
        <v>11.720000000000002</v>
      </c>
      <c r="T81">
        <v>2.1599999999999993</v>
      </c>
      <c r="U81">
        <v>28</v>
      </c>
      <c r="V81">
        <v>27.5</v>
      </c>
      <c r="W81">
        <v>-2.12</v>
      </c>
      <c r="X81">
        <v>2</v>
      </c>
      <c r="Y81">
        <v>7.5</v>
      </c>
      <c r="Z81">
        <v>3</v>
      </c>
      <c r="AA81">
        <v>2.1446728730212833E-2</v>
      </c>
      <c r="AB81">
        <v>16</v>
      </c>
      <c r="AC81">
        <v>-8.5881022087991657E-3</v>
      </c>
      <c r="AD81">
        <v>10</v>
      </c>
      <c r="AE81">
        <v>-17.835999999999999</v>
      </c>
      <c r="AF81">
        <v>1</v>
      </c>
      <c r="AG81">
        <v>0.96</v>
      </c>
      <c r="AH81">
        <v>-0.44000000000000056</v>
      </c>
      <c r="AI81">
        <v>-1.1599999999999997</v>
      </c>
      <c r="AJ81">
        <v>-0.72</v>
      </c>
      <c r="AK81">
        <v>23.240000000000009</v>
      </c>
      <c r="AL81">
        <v>6.3199999999999985</v>
      </c>
      <c r="AM81">
        <v>3.5200000000000018</v>
      </c>
      <c r="AN81">
        <v>6.4</v>
      </c>
      <c r="AO81">
        <v>7</v>
      </c>
      <c r="AP81">
        <v>14</v>
      </c>
      <c r="AQ81">
        <v>3.2792000000000021</v>
      </c>
      <c r="AR81">
        <v>1.7412800000000006</v>
      </c>
      <c r="AS81">
        <v>2.7999999999999967</v>
      </c>
      <c r="AT81">
        <v>-3.2792000000000021</v>
      </c>
      <c r="AU81">
        <v>3.069999999999995E-2</v>
      </c>
      <c r="AV81">
        <v>-0.63929999999999987</v>
      </c>
      <c r="AW81">
        <v>1.6826999999999999</v>
      </c>
      <c r="AX81" t="s">
        <v>302</v>
      </c>
      <c r="AY81">
        <v>28</v>
      </c>
      <c r="AZ81">
        <v>-5.8744000000000014</v>
      </c>
      <c r="BA81">
        <v>-4.6639999999999997</v>
      </c>
      <c r="BB81">
        <v>-12.240000000000002</v>
      </c>
      <c r="BC81">
        <v>-0.8</v>
      </c>
      <c r="BD81">
        <v>-10.511999999999999</v>
      </c>
      <c r="BE81">
        <v>-29.88</v>
      </c>
      <c r="BF81">
        <v>1.3600000000000003</v>
      </c>
      <c r="BG81">
        <v>24</v>
      </c>
      <c r="BH81">
        <v>23</v>
      </c>
      <c r="BI81">
        <v>-0.88000000000000012</v>
      </c>
      <c r="BJ81">
        <v>5</v>
      </c>
      <c r="BK81">
        <v>9.75</v>
      </c>
      <c r="BL81">
        <v>1</v>
      </c>
      <c r="BM81">
        <v>1.2883281346094567E-3</v>
      </c>
      <c r="BN81">
        <v>12</v>
      </c>
      <c r="BO81">
        <v>3.9482876602704983E-2</v>
      </c>
      <c r="BP81">
        <v>23</v>
      </c>
      <c r="BQ81">
        <v>-12.923999999999996</v>
      </c>
      <c r="BR81">
        <v>3</v>
      </c>
      <c r="BS81">
        <v>7.3600000000000012</v>
      </c>
      <c r="BT81">
        <v>0.11999999999999886</v>
      </c>
      <c r="BU81">
        <v>-9.76</v>
      </c>
      <c r="BV81">
        <v>1.8800000000000001</v>
      </c>
      <c r="BW81">
        <v>-27.120000000000012</v>
      </c>
      <c r="BX81">
        <v>-25.96</v>
      </c>
      <c r="BY81">
        <v>-7.2</v>
      </c>
      <c r="BZ81">
        <v>6.4799999999999995</v>
      </c>
      <c r="CA81">
        <v>-0.44000000000000022</v>
      </c>
      <c r="CB81">
        <v>18</v>
      </c>
      <c r="CC81">
        <v>-1.2104000000000021</v>
      </c>
      <c r="CD81">
        <v>-0.9452799999999999</v>
      </c>
      <c r="CE81">
        <v>-18.760000000000002</v>
      </c>
      <c r="CF81">
        <v>-2.9612999999999996</v>
      </c>
    </row>
    <row r="82" spans="1:84" x14ac:dyDescent="0.2">
      <c r="A82" s="39">
        <v>43751</v>
      </c>
      <c r="B82" s="22" t="s">
        <v>252</v>
      </c>
      <c r="C82" s="41" t="s">
        <v>298</v>
      </c>
      <c r="D82" s="22" t="s">
        <v>291</v>
      </c>
      <c r="E82">
        <v>15.8</v>
      </c>
      <c r="F82">
        <v>26.5</v>
      </c>
      <c r="G82">
        <v>10.199999999999999</v>
      </c>
      <c r="H82">
        <v>11.8</v>
      </c>
      <c r="I82">
        <v>7</v>
      </c>
      <c r="J82">
        <v>43.5</v>
      </c>
      <c r="K82" t="s">
        <v>110</v>
      </c>
      <c r="L82" s="1" t="s">
        <v>298</v>
      </c>
      <c r="M82">
        <v>26</v>
      </c>
      <c r="N82">
        <v>-4.1424000000000003</v>
      </c>
      <c r="O82">
        <v>-2.3040000000000003</v>
      </c>
      <c r="P82">
        <v>-11.919999999999998</v>
      </c>
      <c r="Q82">
        <v>0.82000000000000028</v>
      </c>
      <c r="R82">
        <v>-8.8720000000000017</v>
      </c>
      <c r="S82">
        <v>-32.159999999999997</v>
      </c>
      <c r="T82">
        <v>-4.4800000000000004</v>
      </c>
      <c r="U82">
        <v>14</v>
      </c>
      <c r="V82">
        <v>13.5</v>
      </c>
      <c r="W82">
        <v>1.4</v>
      </c>
      <c r="X82">
        <v>8</v>
      </c>
      <c r="Y82">
        <v>12</v>
      </c>
      <c r="Z82">
        <v>2</v>
      </c>
      <c r="AA82">
        <v>5.5602477762056512E-2</v>
      </c>
      <c r="AB82">
        <v>17</v>
      </c>
      <c r="AC82">
        <v>5.7807328641446554E-2</v>
      </c>
      <c r="AD82">
        <v>12</v>
      </c>
      <c r="AE82">
        <v>13.180000000000001</v>
      </c>
      <c r="AF82">
        <v>17</v>
      </c>
      <c r="AG82">
        <v>4.4400000000000004</v>
      </c>
      <c r="AH82">
        <v>-5.3600000000000012</v>
      </c>
      <c r="AI82">
        <v>-7.24</v>
      </c>
      <c r="AJ82">
        <v>2.76</v>
      </c>
      <c r="AK82">
        <v>-76.239999999999981</v>
      </c>
      <c r="AL82">
        <v>-43.960000000000008</v>
      </c>
      <c r="AM82">
        <v>-17.84</v>
      </c>
      <c r="AN82">
        <v>-4.1599999999999993</v>
      </c>
      <c r="AO82">
        <v>-10.28</v>
      </c>
      <c r="AP82">
        <v>25</v>
      </c>
      <c r="AQ82">
        <v>-1.8384</v>
      </c>
      <c r="AR82">
        <v>-1.4508800000000002</v>
      </c>
      <c r="AS82">
        <v>-26.120000000000008</v>
      </c>
      <c r="AT82">
        <v>1.8384</v>
      </c>
      <c r="AU82">
        <v>-2.3148</v>
      </c>
      <c r="AV82">
        <v>0.45087499999999991</v>
      </c>
      <c r="AW82">
        <v>0.46204999999999991</v>
      </c>
      <c r="AX82" t="s">
        <v>291</v>
      </c>
      <c r="AY82">
        <v>19</v>
      </c>
      <c r="AZ82">
        <v>-2.9936000000000007</v>
      </c>
      <c r="BA82">
        <v>7.1231999999999998</v>
      </c>
      <c r="BB82">
        <v>14.43</v>
      </c>
      <c r="BC82">
        <v>0.93000000000000016</v>
      </c>
      <c r="BD82">
        <v>-2.1320000000000001</v>
      </c>
      <c r="BE82">
        <v>2.8000000000000043</v>
      </c>
      <c r="BF82">
        <v>1.6799999999999997</v>
      </c>
      <c r="BG82">
        <v>7</v>
      </c>
      <c r="BH82">
        <v>7</v>
      </c>
      <c r="BI82">
        <v>-1.9200000000000004</v>
      </c>
      <c r="BJ82">
        <v>15</v>
      </c>
      <c r="BK82">
        <v>15.75</v>
      </c>
      <c r="BL82">
        <v>7</v>
      </c>
      <c r="BM82">
        <v>-2.1496512247217815E-2</v>
      </c>
      <c r="BN82">
        <v>7</v>
      </c>
      <c r="BO82">
        <v>-6.2725163635416747E-3</v>
      </c>
      <c r="BP82">
        <v>28</v>
      </c>
      <c r="BQ82">
        <v>12.676</v>
      </c>
      <c r="BR82">
        <v>21</v>
      </c>
      <c r="BS82">
        <v>-3</v>
      </c>
      <c r="BT82">
        <v>2.6399999999999992</v>
      </c>
      <c r="BU82">
        <v>1</v>
      </c>
      <c r="BV82">
        <v>-0.83999999999999986</v>
      </c>
      <c r="BW82">
        <v>10.520000000000005</v>
      </c>
      <c r="BX82">
        <v>-3.039999999999992</v>
      </c>
      <c r="BY82">
        <v>16.079999999999998</v>
      </c>
      <c r="BZ82">
        <v>-0.39999999999999963</v>
      </c>
      <c r="CA82">
        <v>-2.12</v>
      </c>
      <c r="CB82">
        <v>31</v>
      </c>
      <c r="CC82">
        <v>-10.116800000000001</v>
      </c>
      <c r="CD82">
        <v>-4.5867200000000006</v>
      </c>
      <c r="CE82">
        <v>-19.11999999999999</v>
      </c>
      <c r="CF82">
        <v>0.43969999999999987</v>
      </c>
    </row>
    <row r="83" spans="1:84" x14ac:dyDescent="0.2">
      <c r="A83" s="39">
        <v>43751</v>
      </c>
      <c r="B83" s="22" t="s">
        <v>252</v>
      </c>
      <c r="C83" s="41" t="s">
        <v>294</v>
      </c>
      <c r="D83" s="22" t="s">
        <v>312</v>
      </c>
      <c r="E83">
        <v>23.6</v>
      </c>
      <c r="F83">
        <v>8.1999999999999993</v>
      </c>
      <c r="G83">
        <v>0</v>
      </c>
      <c r="H83">
        <f>9.8+8.4</f>
        <v>18.200000000000003</v>
      </c>
      <c r="I83">
        <v>3.5</v>
      </c>
      <c r="J83">
        <v>44</v>
      </c>
      <c r="L83" s="1" t="s">
        <v>294</v>
      </c>
      <c r="M83">
        <v>17</v>
      </c>
      <c r="N83">
        <v>-0.19040000000000176</v>
      </c>
      <c r="O83">
        <v>-4.3160000000000016</v>
      </c>
      <c r="P83">
        <v>-14.76</v>
      </c>
      <c r="Q83">
        <v>-1.3199999999999998</v>
      </c>
      <c r="R83">
        <v>1.9559999999999986</v>
      </c>
      <c r="S83">
        <v>-19.279999999999994</v>
      </c>
      <c r="T83">
        <v>3.5999999999999996</v>
      </c>
      <c r="U83">
        <v>23</v>
      </c>
      <c r="V83">
        <v>22.5</v>
      </c>
      <c r="W83">
        <v>0.68000000000000038</v>
      </c>
      <c r="X83">
        <v>6</v>
      </c>
      <c r="Y83">
        <v>10.25</v>
      </c>
      <c r="Z83">
        <v>16</v>
      </c>
      <c r="AA83">
        <v>1.6782138604225595E-2</v>
      </c>
      <c r="AB83">
        <v>4</v>
      </c>
      <c r="AC83">
        <v>-7.3512213604605484E-3</v>
      </c>
      <c r="AD83">
        <v>6</v>
      </c>
      <c r="AE83">
        <v>-2.4720000000000013</v>
      </c>
      <c r="AF83">
        <v>15</v>
      </c>
      <c r="AG83">
        <v>-1.2800000000000002</v>
      </c>
      <c r="AH83">
        <v>0.15999999999999942</v>
      </c>
      <c r="AI83">
        <v>1.6</v>
      </c>
      <c r="AJ83">
        <v>1.1199999999999997</v>
      </c>
      <c r="AK83">
        <v>-52.120000000000005</v>
      </c>
      <c r="AL83">
        <v>-37.56</v>
      </c>
      <c r="AM83">
        <v>-4.8799999999999981</v>
      </c>
      <c r="AN83">
        <v>-3.6799999999999997</v>
      </c>
      <c r="AO83">
        <v>-6</v>
      </c>
      <c r="AP83">
        <v>10</v>
      </c>
      <c r="AQ83">
        <v>4.1255999999999995</v>
      </c>
      <c r="AR83">
        <v>2.5111200000000005</v>
      </c>
      <c r="AS83">
        <v>-32.680000000000007</v>
      </c>
      <c r="AT83">
        <v>-4.1255999999999995</v>
      </c>
      <c r="AU83">
        <v>-0.51880000000000059</v>
      </c>
      <c r="AV83">
        <v>-8.989999999999998E-2</v>
      </c>
      <c r="AW83">
        <v>1.1196000000000002</v>
      </c>
      <c r="AX83" t="s">
        <v>312</v>
      </c>
      <c r="AY83">
        <v>7</v>
      </c>
      <c r="AZ83">
        <v>-1.5872000000000004</v>
      </c>
      <c r="BA83">
        <v>-5.331999999999999</v>
      </c>
      <c r="BB83">
        <v>-3.4899999999999993</v>
      </c>
      <c r="BC83">
        <v>-0.43000000000000005</v>
      </c>
      <c r="BD83">
        <v>-1.3160000000000016</v>
      </c>
      <c r="BE83">
        <v>-14.32</v>
      </c>
      <c r="BF83">
        <v>1.0799999999999996</v>
      </c>
      <c r="BG83">
        <v>11</v>
      </c>
      <c r="BH83">
        <v>12</v>
      </c>
      <c r="BI83">
        <v>-0.19999999999999987</v>
      </c>
      <c r="BJ83">
        <v>7</v>
      </c>
      <c r="BK83">
        <v>12.25</v>
      </c>
      <c r="BL83">
        <v>19</v>
      </c>
      <c r="BM83">
        <v>4.8374956732376163E-2</v>
      </c>
      <c r="BN83">
        <v>13</v>
      </c>
      <c r="BO83">
        <v>2.154514587031681E-2</v>
      </c>
      <c r="BP83">
        <v>1</v>
      </c>
      <c r="BQ83">
        <v>-9.2479999999999958</v>
      </c>
      <c r="BR83">
        <v>16</v>
      </c>
      <c r="BS83">
        <v>2.12</v>
      </c>
      <c r="BT83">
        <v>1.8799999999999997</v>
      </c>
      <c r="BU83">
        <v>-4.88</v>
      </c>
      <c r="BV83">
        <v>-0.83999999999999986</v>
      </c>
      <c r="BW83">
        <v>-38.879999999999995</v>
      </c>
      <c r="BX83">
        <v>-28.159999999999997</v>
      </c>
      <c r="BY83">
        <v>-0.68000000000000116</v>
      </c>
      <c r="BZ83">
        <v>-8.1999999999999993</v>
      </c>
      <c r="CA83">
        <v>-1.8399999999999999</v>
      </c>
      <c r="CB83">
        <v>7</v>
      </c>
      <c r="CC83">
        <v>3.7447999999999988</v>
      </c>
      <c r="CD83">
        <v>2.0853599999999988</v>
      </c>
      <c r="CE83">
        <v>-27.479999999999997</v>
      </c>
      <c r="CF83">
        <v>-1.2994000000000001</v>
      </c>
    </row>
    <row r="84" spans="1:84" x14ac:dyDescent="0.2">
      <c r="A84" s="39">
        <v>43751</v>
      </c>
      <c r="B84" s="22" t="s">
        <v>252</v>
      </c>
      <c r="C84" s="41" t="s">
        <v>309</v>
      </c>
      <c r="D84" s="22" t="s">
        <v>287</v>
      </c>
      <c r="E84">
        <v>1.7</v>
      </c>
      <c r="F84">
        <v>3.4</v>
      </c>
      <c r="G84">
        <v>2.1</v>
      </c>
      <c r="H84">
        <v>3</v>
      </c>
      <c r="I84">
        <v>6</v>
      </c>
      <c r="J84">
        <v>42.5</v>
      </c>
      <c r="L84" s="1" t="s">
        <v>309</v>
      </c>
      <c r="M84">
        <v>19</v>
      </c>
      <c r="N84">
        <v>-0.99919999999999976</v>
      </c>
      <c r="O84">
        <v>-0.98000000000000131</v>
      </c>
      <c r="P84">
        <v>-24.759999999999998</v>
      </c>
      <c r="Q84">
        <v>0.76000000000000023</v>
      </c>
      <c r="R84">
        <v>-2.5720000000000001</v>
      </c>
      <c r="S84">
        <v>-27.240000000000002</v>
      </c>
      <c r="T84">
        <v>-1.4000000000000001</v>
      </c>
      <c r="U84">
        <v>3</v>
      </c>
      <c r="V84">
        <v>5.5</v>
      </c>
      <c r="W84">
        <v>3.0799999999999992</v>
      </c>
      <c r="X84">
        <v>12</v>
      </c>
      <c r="Y84">
        <v>13.25</v>
      </c>
      <c r="Z84">
        <v>9</v>
      </c>
      <c r="AA84">
        <v>-7.0619516488219111E-2</v>
      </c>
      <c r="AB84">
        <v>20</v>
      </c>
      <c r="AC84">
        <v>-4.3432333815609049E-2</v>
      </c>
      <c r="AD84">
        <v>19</v>
      </c>
      <c r="AE84">
        <v>-0.27199999999999702</v>
      </c>
      <c r="AF84">
        <v>5</v>
      </c>
      <c r="AG84">
        <v>-4.04</v>
      </c>
      <c r="AH84">
        <v>-4.3599999999999994</v>
      </c>
      <c r="AI84">
        <v>2.1999999999999997</v>
      </c>
      <c r="AJ84">
        <v>-1.4</v>
      </c>
      <c r="AK84">
        <v>-56.480000000000004</v>
      </c>
      <c r="AL84">
        <v>-23.240000000000009</v>
      </c>
      <c r="AM84">
        <v>-24.080000000000005</v>
      </c>
      <c r="AN84">
        <v>-5.2</v>
      </c>
      <c r="AO84">
        <v>-3.9599999999999995</v>
      </c>
      <c r="AP84">
        <v>20</v>
      </c>
      <c r="AQ84">
        <v>-1.9199999999998468E-2</v>
      </c>
      <c r="AR84">
        <v>-0.22423999999999933</v>
      </c>
      <c r="AS84">
        <v>0.83999999999999631</v>
      </c>
      <c r="AT84">
        <v>1.9199999999998441E-2</v>
      </c>
      <c r="AU84">
        <v>-0.31390000000000001</v>
      </c>
      <c r="AV84">
        <v>-1.0772999999999999</v>
      </c>
      <c r="AW84">
        <v>-1.532</v>
      </c>
      <c r="AX84" t="s">
        <v>287</v>
      </c>
      <c r="AY84">
        <v>26</v>
      </c>
      <c r="AZ84">
        <v>-1.0447999999999993</v>
      </c>
      <c r="BA84">
        <v>3.612000000000001</v>
      </c>
      <c r="BB84">
        <v>13.2</v>
      </c>
      <c r="BC84">
        <v>-1.8199999999999998</v>
      </c>
      <c r="BD84">
        <v>-4.9479999999999986</v>
      </c>
      <c r="BE84">
        <v>-22.96</v>
      </c>
      <c r="BF84">
        <v>-5.6</v>
      </c>
      <c r="BG84">
        <v>3</v>
      </c>
      <c r="BH84">
        <v>3.5</v>
      </c>
      <c r="BI84">
        <v>2.08</v>
      </c>
      <c r="BJ84">
        <v>25</v>
      </c>
      <c r="BK84">
        <v>21.5</v>
      </c>
      <c r="BL84">
        <v>20</v>
      </c>
      <c r="BM84">
        <v>-1.9629488482797608E-2</v>
      </c>
      <c r="BN84">
        <v>25</v>
      </c>
      <c r="BO84">
        <v>3.4603401641558409E-3</v>
      </c>
      <c r="BP84">
        <v>18</v>
      </c>
      <c r="BQ84">
        <v>1.7000000000000028</v>
      </c>
      <c r="BR84">
        <v>23</v>
      </c>
      <c r="BS84">
        <v>-0.56000000000000016</v>
      </c>
      <c r="BT84">
        <v>-7.4400000000000022</v>
      </c>
      <c r="BU84">
        <v>-0.44000000000000022</v>
      </c>
      <c r="BV84">
        <v>-0.55999999999999994</v>
      </c>
      <c r="BW84">
        <v>-4.0799999999999956</v>
      </c>
      <c r="BX84">
        <v>-13.319999999999999</v>
      </c>
      <c r="BY84">
        <v>10.279999999999998</v>
      </c>
      <c r="BZ84">
        <v>1.3599999999999999</v>
      </c>
      <c r="CA84">
        <v>-2.3999999999999995</v>
      </c>
      <c r="CB84">
        <v>26</v>
      </c>
      <c r="CC84">
        <v>-4.6568000000000005</v>
      </c>
      <c r="CD84">
        <v>-3.0045600000000006</v>
      </c>
      <c r="CE84">
        <v>-23.599999999999994</v>
      </c>
      <c r="CF84">
        <v>-0.62259999999999982</v>
      </c>
    </row>
    <row r="85" spans="1:84" x14ac:dyDescent="0.2">
      <c r="A85" s="39">
        <v>43751</v>
      </c>
      <c r="B85" s="22" t="s">
        <v>252</v>
      </c>
      <c r="C85" s="40" t="s">
        <v>256</v>
      </c>
      <c r="D85" s="22" t="s">
        <v>304</v>
      </c>
      <c r="E85">
        <v>7.5</v>
      </c>
      <c r="F85">
        <v>4.9000000000000004</v>
      </c>
      <c r="G85">
        <v>3.5</v>
      </c>
      <c r="H85">
        <f>21.3+1.8</f>
        <v>23.1</v>
      </c>
      <c r="I85">
        <v>3</v>
      </c>
      <c r="J85">
        <v>49.5</v>
      </c>
      <c r="K85" t="s">
        <v>109</v>
      </c>
      <c r="L85" s="1" t="s">
        <v>256</v>
      </c>
      <c r="M85">
        <v>28</v>
      </c>
      <c r="N85">
        <v>-4.6776</v>
      </c>
      <c r="O85">
        <v>5.3016000000000005</v>
      </c>
      <c r="P85">
        <v>55.08</v>
      </c>
      <c r="Q85">
        <v>-1.6400000000000001</v>
      </c>
      <c r="R85">
        <v>-9.2832000000000008</v>
      </c>
      <c r="S85">
        <v>-45.52</v>
      </c>
      <c r="T85">
        <v>-4.4799999999999995</v>
      </c>
      <c r="U85">
        <v>17</v>
      </c>
      <c r="V85">
        <v>16</v>
      </c>
      <c r="W85">
        <v>5.2</v>
      </c>
      <c r="X85">
        <v>21</v>
      </c>
      <c r="Y85">
        <v>17.75</v>
      </c>
      <c r="Z85">
        <v>19</v>
      </c>
      <c r="AA85">
        <v>-9.5543356539650917E-2</v>
      </c>
      <c r="AB85">
        <v>3</v>
      </c>
      <c r="AC85">
        <v>-2.7369812667338976E-2</v>
      </c>
      <c r="AD85">
        <v>29</v>
      </c>
      <c r="AE85">
        <v>-2.295999999999998</v>
      </c>
      <c r="AF85">
        <v>20</v>
      </c>
      <c r="AG85">
        <v>-0.76</v>
      </c>
      <c r="AH85">
        <v>3.680000000000001</v>
      </c>
      <c r="AI85">
        <v>2</v>
      </c>
      <c r="AJ85">
        <v>1.24</v>
      </c>
      <c r="AK85">
        <v>25.560000000000002</v>
      </c>
      <c r="AL85">
        <v>-30.72</v>
      </c>
      <c r="AM85">
        <v>68.52000000000001</v>
      </c>
      <c r="AN85">
        <v>3.1999999999999997</v>
      </c>
      <c r="AO85">
        <v>-15.440000000000001</v>
      </c>
      <c r="AP85">
        <v>30</v>
      </c>
      <c r="AQ85">
        <v>-9.9792000000000005</v>
      </c>
      <c r="AR85">
        <v>-5.4429600000000011</v>
      </c>
      <c r="AS85">
        <v>-99.240000000000009</v>
      </c>
      <c r="AT85">
        <v>9.9792000000000005</v>
      </c>
      <c r="AU85">
        <v>-1.1724000000000001</v>
      </c>
      <c r="AV85">
        <v>-2.0659999999999998</v>
      </c>
      <c r="AW85">
        <v>-4.3029999999999999</v>
      </c>
      <c r="AX85" t="s">
        <v>304</v>
      </c>
      <c r="AY85">
        <v>16</v>
      </c>
      <c r="AZ85">
        <v>-4.719999999999995E-2</v>
      </c>
      <c r="BA85">
        <v>-0.10479999999999845</v>
      </c>
      <c r="BB85">
        <v>-3.7200000000000042</v>
      </c>
      <c r="BC85">
        <v>-0.39999999999999997</v>
      </c>
      <c r="BD85">
        <v>-0.40000000000000013</v>
      </c>
      <c r="BE85">
        <v>-0.11999999999999744</v>
      </c>
      <c r="BF85">
        <v>0.72</v>
      </c>
      <c r="BG85">
        <v>28</v>
      </c>
      <c r="BH85">
        <v>26.5</v>
      </c>
      <c r="BI85">
        <v>-1.1999999999999997</v>
      </c>
      <c r="BJ85">
        <v>14</v>
      </c>
      <c r="BK85">
        <v>15</v>
      </c>
      <c r="BL85">
        <v>22</v>
      </c>
      <c r="BM85">
        <v>3.9376517957391853E-2</v>
      </c>
      <c r="BN85">
        <v>10</v>
      </c>
      <c r="BO85">
        <v>-2.4967715296170406E-2</v>
      </c>
      <c r="BP85">
        <v>22</v>
      </c>
      <c r="BQ85">
        <v>5.2039999999999988</v>
      </c>
      <c r="BR85">
        <v>6</v>
      </c>
      <c r="BS85">
        <v>-1.0799999999999998</v>
      </c>
      <c r="BT85">
        <v>2.3600000000000008</v>
      </c>
      <c r="BU85">
        <v>2.5200000000000005</v>
      </c>
      <c r="BV85">
        <v>-0.35999999999999993</v>
      </c>
      <c r="BW85">
        <v>-15.720000000000004</v>
      </c>
      <c r="BX85">
        <v>-3.9599999999999964</v>
      </c>
      <c r="BY85">
        <v>-4.7199999999999989</v>
      </c>
      <c r="BZ85">
        <v>-4.3199999999999994</v>
      </c>
      <c r="CA85">
        <v>-2.72</v>
      </c>
      <c r="CB85">
        <v>17</v>
      </c>
      <c r="CC85">
        <v>5.7599999999998541E-2</v>
      </c>
      <c r="CD85">
        <v>-3.7040000000000781E-2</v>
      </c>
      <c r="CE85">
        <v>0.76000000000000245</v>
      </c>
      <c r="CF85">
        <v>0.17100000000000018</v>
      </c>
    </row>
    <row r="86" spans="1:84" x14ac:dyDescent="0.2">
      <c r="A86" s="39">
        <v>43751</v>
      </c>
      <c r="B86" s="22" t="s">
        <v>252</v>
      </c>
      <c r="C86" s="41" t="s">
        <v>308</v>
      </c>
      <c r="D86" s="22" t="s">
        <v>281</v>
      </c>
      <c r="E86">
        <v>12.8</v>
      </c>
      <c r="F86">
        <v>11.3</v>
      </c>
      <c r="G86" s="14">
        <v>17.899999999999999</v>
      </c>
      <c r="H86" s="22"/>
      <c r="I86" s="22">
        <v>1</v>
      </c>
      <c r="J86" s="22">
        <v>45.5</v>
      </c>
      <c r="K86" t="s">
        <v>110</v>
      </c>
      <c r="L86" s="1" t="s">
        <v>308</v>
      </c>
      <c r="M86">
        <v>5</v>
      </c>
      <c r="N86">
        <v>5.4768000000000008</v>
      </c>
      <c r="O86">
        <v>0.8383999999999997</v>
      </c>
      <c r="P86">
        <v>-0.32000000000000206</v>
      </c>
      <c r="Q86">
        <v>-0.76</v>
      </c>
      <c r="R86">
        <v>3.3407999999999989</v>
      </c>
      <c r="S86">
        <v>20.96</v>
      </c>
      <c r="T86">
        <v>-0.44000000000000011</v>
      </c>
      <c r="U86">
        <v>8</v>
      </c>
      <c r="V86">
        <v>8.5</v>
      </c>
      <c r="W86">
        <v>8.0000000000000071E-2</v>
      </c>
      <c r="X86">
        <v>12</v>
      </c>
      <c r="Y86">
        <v>13.25</v>
      </c>
      <c r="Z86">
        <v>11</v>
      </c>
      <c r="AA86">
        <v>2.9346748028822939E-2</v>
      </c>
      <c r="AB86">
        <v>5</v>
      </c>
      <c r="AC86">
        <v>1.5372710467381557E-2</v>
      </c>
      <c r="AD86">
        <v>21</v>
      </c>
      <c r="AE86">
        <v>11.400000000000002</v>
      </c>
      <c r="AF86">
        <v>16</v>
      </c>
      <c r="AG86">
        <v>0.56000000000000028</v>
      </c>
      <c r="AH86">
        <v>-0.4799999999999997</v>
      </c>
      <c r="AI86">
        <v>0.24000000000000057</v>
      </c>
      <c r="AJ86">
        <v>0.83999999999999986</v>
      </c>
      <c r="AK86">
        <v>13.879999999999995</v>
      </c>
      <c r="AL86">
        <v>19.52</v>
      </c>
      <c r="AM86">
        <v>-4.0400000000000009</v>
      </c>
      <c r="AN86">
        <v>-3.6</v>
      </c>
      <c r="AO86">
        <v>1.9999999999999987</v>
      </c>
      <c r="AP86">
        <v>9</v>
      </c>
      <c r="AQ86">
        <v>4.6384000000000007</v>
      </c>
      <c r="AR86">
        <v>1.34432</v>
      </c>
      <c r="AS86">
        <v>23.560000000000002</v>
      </c>
      <c r="AT86">
        <v>-4.6384000000000007</v>
      </c>
      <c r="AU86">
        <v>0.7370000000000001</v>
      </c>
      <c r="AV86">
        <v>9.4999999999999599E-2</v>
      </c>
      <c r="AW86">
        <v>1.9299999999999651E-2</v>
      </c>
      <c r="AX86" t="s">
        <v>281</v>
      </c>
      <c r="AY86">
        <v>11</v>
      </c>
      <c r="AZ86">
        <v>0.14159999999999934</v>
      </c>
      <c r="BA86">
        <v>2.6399999999999988</v>
      </c>
      <c r="BB86">
        <v>12.959999999999997</v>
      </c>
      <c r="BC86">
        <v>0.20000000000000007</v>
      </c>
      <c r="BD86">
        <v>-1.6960000000000015</v>
      </c>
      <c r="BE86">
        <v>-26.760000000000005</v>
      </c>
      <c r="BF86">
        <v>-2.6399999999999997</v>
      </c>
      <c r="BG86">
        <v>29</v>
      </c>
      <c r="BH86">
        <v>27</v>
      </c>
      <c r="BI86">
        <v>2.2399999999999998</v>
      </c>
      <c r="BJ86">
        <v>9</v>
      </c>
      <c r="BK86">
        <v>12.5</v>
      </c>
      <c r="BL86">
        <v>8</v>
      </c>
      <c r="BM86">
        <v>-1.6008838274264164E-2</v>
      </c>
      <c r="BN86">
        <v>16</v>
      </c>
      <c r="BO86">
        <v>1.1595269883120349E-2</v>
      </c>
      <c r="BP86">
        <v>7</v>
      </c>
      <c r="BQ86">
        <v>0.50800000000000411</v>
      </c>
      <c r="BR86">
        <v>19</v>
      </c>
      <c r="BS86">
        <v>-0.72000000000000008</v>
      </c>
      <c r="BT86">
        <v>-2.1599999999999979</v>
      </c>
      <c r="BU86">
        <v>-0.40000000000000069</v>
      </c>
      <c r="BV86">
        <v>-0.31999999999999973</v>
      </c>
      <c r="BW86">
        <v>7.8800000000000008</v>
      </c>
      <c r="BX86">
        <v>-16.119999999999997</v>
      </c>
      <c r="BY86">
        <v>15.000000000000004</v>
      </c>
      <c r="BZ86">
        <v>7.4399999999999995</v>
      </c>
      <c r="CA86">
        <v>1.5600000000000005</v>
      </c>
      <c r="CB86">
        <v>22</v>
      </c>
      <c r="CC86">
        <v>-2.4983999999999997</v>
      </c>
      <c r="CD86">
        <v>-1.6308799999999999</v>
      </c>
      <c r="CE86">
        <v>-31.12</v>
      </c>
      <c r="CF86">
        <v>0.17069999999999955</v>
      </c>
    </row>
    <row r="87" spans="1:84" x14ac:dyDescent="0.2">
      <c r="A87" s="39">
        <v>43751</v>
      </c>
      <c r="B87" s="22" t="s">
        <v>252</v>
      </c>
      <c r="C87" s="41" t="s">
        <v>284</v>
      </c>
      <c r="D87" s="22" t="s">
        <v>301</v>
      </c>
      <c r="E87">
        <v>20.6</v>
      </c>
      <c r="F87">
        <v>28.1</v>
      </c>
      <c r="G87">
        <v>6.9</v>
      </c>
      <c r="H87">
        <f>12.7+5.5</f>
        <v>18.2</v>
      </c>
      <c r="I87">
        <v>2</v>
      </c>
      <c r="J87">
        <v>48.5</v>
      </c>
      <c r="L87" s="1" t="s">
        <v>284</v>
      </c>
      <c r="M87">
        <v>10</v>
      </c>
      <c r="N87">
        <v>2.1943999999999995</v>
      </c>
      <c r="O87">
        <v>-1.3920000000000003</v>
      </c>
      <c r="P87">
        <v>4.3999999999999986</v>
      </c>
      <c r="Q87">
        <v>-1.9999999999999998</v>
      </c>
      <c r="R87">
        <v>7.14</v>
      </c>
      <c r="S87">
        <v>22.439999999999998</v>
      </c>
      <c r="T87">
        <v>0.31999999999999973</v>
      </c>
      <c r="U87">
        <v>18</v>
      </c>
      <c r="V87">
        <v>17.5</v>
      </c>
      <c r="W87">
        <v>2.44</v>
      </c>
      <c r="X87">
        <v>14</v>
      </c>
      <c r="Y87">
        <v>14</v>
      </c>
      <c r="Z87">
        <v>29</v>
      </c>
      <c r="AA87">
        <v>1.4066968455257978E-2</v>
      </c>
      <c r="AB87">
        <v>22</v>
      </c>
      <c r="AC87">
        <v>1.478359758297508E-2</v>
      </c>
      <c r="AD87">
        <v>1</v>
      </c>
      <c r="AE87">
        <v>-2.3359999999999959</v>
      </c>
      <c r="AF87">
        <v>4</v>
      </c>
      <c r="AG87">
        <v>1.2800000000000002</v>
      </c>
      <c r="AH87">
        <v>2.1600000000000024</v>
      </c>
      <c r="AI87">
        <v>5.4</v>
      </c>
      <c r="AJ87">
        <v>2.1599999999999997</v>
      </c>
      <c r="AK87">
        <v>24.95999999999998</v>
      </c>
      <c r="AL87">
        <v>29.399999999999995</v>
      </c>
      <c r="AM87">
        <v>2.6799999999999984</v>
      </c>
      <c r="AN87">
        <v>0.11999999999999958</v>
      </c>
      <c r="AO87">
        <v>-7.2399999999999993</v>
      </c>
      <c r="AP87">
        <v>13</v>
      </c>
      <c r="AQ87">
        <v>3.5863999999999998</v>
      </c>
      <c r="AR87">
        <v>2.5628799999999998</v>
      </c>
      <c r="AS87">
        <v>26.719999999999995</v>
      </c>
      <c r="AT87">
        <v>-3.5863999999999998</v>
      </c>
      <c r="AU87">
        <v>1.3278000000000001</v>
      </c>
      <c r="AV87">
        <v>0.22703749999999989</v>
      </c>
      <c r="AW87">
        <v>2.2418749999999998</v>
      </c>
      <c r="AX87" t="s">
        <v>301</v>
      </c>
      <c r="AY87">
        <v>14</v>
      </c>
      <c r="AZ87">
        <v>-5.2823999999999982</v>
      </c>
      <c r="BA87">
        <v>2.468</v>
      </c>
      <c r="BB87">
        <v>9.52</v>
      </c>
      <c r="BC87">
        <v>0.43999999999999984</v>
      </c>
      <c r="BD87">
        <v>-10.888000000000003</v>
      </c>
      <c r="BE87">
        <v>-51.160000000000004</v>
      </c>
      <c r="BF87">
        <v>-1.1600000000000001</v>
      </c>
      <c r="BG87">
        <v>10</v>
      </c>
      <c r="BH87">
        <v>11.5</v>
      </c>
      <c r="BI87">
        <v>0.12000000000000011</v>
      </c>
      <c r="BJ87">
        <v>18</v>
      </c>
      <c r="BK87">
        <v>16.25</v>
      </c>
      <c r="BL87">
        <v>18</v>
      </c>
      <c r="BM87">
        <v>1.9153840439789106E-2</v>
      </c>
      <c r="BN87">
        <v>16</v>
      </c>
      <c r="BO87">
        <v>1.6718294484017026E-2</v>
      </c>
      <c r="BP87">
        <v>8</v>
      </c>
      <c r="BQ87">
        <v>-5.5720000000000045</v>
      </c>
      <c r="BR87">
        <v>23</v>
      </c>
      <c r="BS87">
        <v>2.3600000000000003</v>
      </c>
      <c r="BT87">
        <v>3.6400000000000006</v>
      </c>
      <c r="BU87">
        <v>-2.8800000000000003</v>
      </c>
      <c r="BV87">
        <v>-1.1199999999999999</v>
      </c>
      <c r="BW87">
        <v>-47.760000000000005</v>
      </c>
      <c r="BX87">
        <v>-62.320000000000007</v>
      </c>
      <c r="BY87">
        <v>9.64</v>
      </c>
      <c r="BZ87">
        <v>-1.4000000000000001</v>
      </c>
      <c r="CA87">
        <v>6.3199999999999985</v>
      </c>
      <c r="CB87">
        <v>29</v>
      </c>
      <c r="CC87">
        <v>-7.7503999999999991</v>
      </c>
      <c r="CD87">
        <v>-4.4680800000000005</v>
      </c>
      <c r="CE87">
        <v>-71.960000000000008</v>
      </c>
      <c r="CF87">
        <v>-1.7878000000000001</v>
      </c>
    </row>
    <row r="88" spans="1:84" x14ac:dyDescent="0.2">
      <c r="A88" s="39">
        <v>43751</v>
      </c>
      <c r="B88" s="22" t="s">
        <v>252</v>
      </c>
      <c r="C88" s="41" t="s">
        <v>310</v>
      </c>
      <c r="D88" s="22" t="s">
        <v>278</v>
      </c>
      <c r="E88">
        <v>6.6</v>
      </c>
      <c r="F88" s="14">
        <v>10.7</v>
      </c>
      <c r="G88">
        <v>4.3</v>
      </c>
      <c r="H88">
        <f>7.3+3.5+1.8</f>
        <v>12.600000000000001</v>
      </c>
      <c r="I88">
        <v>1</v>
      </c>
      <c r="J88">
        <v>41</v>
      </c>
      <c r="L88" s="1" t="s">
        <v>310</v>
      </c>
      <c r="M88">
        <v>23</v>
      </c>
      <c r="N88">
        <v>-1.4672000000000007</v>
      </c>
      <c r="O88">
        <v>-2.0280000000000005</v>
      </c>
      <c r="P88">
        <v>-9.6799999999999979</v>
      </c>
      <c r="Q88">
        <v>-0.96</v>
      </c>
      <c r="R88">
        <v>-8.1480000000000015</v>
      </c>
      <c r="S88">
        <v>-23.479999999999997</v>
      </c>
      <c r="T88">
        <v>-4.5200000000000005</v>
      </c>
      <c r="U88">
        <v>29</v>
      </c>
      <c r="V88">
        <v>29</v>
      </c>
      <c r="W88">
        <v>1.3599999999999999</v>
      </c>
      <c r="X88">
        <v>25</v>
      </c>
      <c r="Y88">
        <v>21</v>
      </c>
      <c r="Z88">
        <v>27</v>
      </c>
      <c r="AA88">
        <v>3.5199171787367908E-2</v>
      </c>
      <c r="AB88">
        <v>2</v>
      </c>
      <c r="AC88">
        <v>4.9032921285496321E-2</v>
      </c>
      <c r="AD88">
        <v>30</v>
      </c>
      <c r="AE88">
        <v>13.244</v>
      </c>
      <c r="AF88">
        <v>25</v>
      </c>
      <c r="AG88">
        <v>0.72</v>
      </c>
      <c r="AH88">
        <v>-1.0400000000000005</v>
      </c>
      <c r="AI88">
        <v>-1.3600000000000008</v>
      </c>
      <c r="AJ88">
        <v>-4.0000000000000036E-2</v>
      </c>
      <c r="AK88">
        <v>-26.759999999999991</v>
      </c>
      <c r="AL88">
        <v>-20.599999999999994</v>
      </c>
      <c r="AM88">
        <v>-13.440000000000001</v>
      </c>
      <c r="AN88">
        <v>-5.92</v>
      </c>
      <c r="AO88">
        <v>13.2</v>
      </c>
      <c r="AP88">
        <v>19</v>
      </c>
      <c r="AQ88">
        <v>0.56079999999999974</v>
      </c>
      <c r="AR88">
        <v>-0.90904000000000007</v>
      </c>
      <c r="AS88">
        <v>-7.159999999999993</v>
      </c>
      <c r="AT88">
        <v>-0.56079999999999974</v>
      </c>
      <c r="AU88">
        <v>-1.5704000000000002</v>
      </c>
      <c r="AV88">
        <v>-1.1117000000000001</v>
      </c>
      <c r="AW88">
        <v>-1.0694999999999999</v>
      </c>
      <c r="AX88" t="s">
        <v>278</v>
      </c>
      <c r="AY88">
        <v>15</v>
      </c>
      <c r="AZ88">
        <v>-5.2031999999999998</v>
      </c>
      <c r="BA88">
        <v>2.6959999999999997</v>
      </c>
      <c r="BB88">
        <v>24.959999999999994</v>
      </c>
      <c r="BC88">
        <v>-3.9999999999999897E-2</v>
      </c>
      <c r="BD88">
        <v>-9.9640000000000022</v>
      </c>
      <c r="BE88">
        <v>-40.480000000000004</v>
      </c>
      <c r="BF88">
        <v>-1.6000000000000005</v>
      </c>
      <c r="BG88">
        <v>9</v>
      </c>
      <c r="BH88">
        <v>9.5</v>
      </c>
      <c r="BI88">
        <v>-3.9999999999999855E-2</v>
      </c>
      <c r="BJ88">
        <v>12</v>
      </c>
      <c r="BK88">
        <v>14.5</v>
      </c>
      <c r="BL88">
        <v>25</v>
      </c>
      <c r="BM88">
        <v>-2.4111413301673167E-2</v>
      </c>
      <c r="BN88">
        <v>6</v>
      </c>
      <c r="BO88">
        <v>-2.7913462536239719E-2</v>
      </c>
      <c r="BP88">
        <v>10</v>
      </c>
      <c r="BQ88">
        <v>-10.404</v>
      </c>
      <c r="BR88">
        <v>17</v>
      </c>
      <c r="BS88">
        <v>-2.2800000000000002</v>
      </c>
      <c r="BT88">
        <v>-1.6399999999999992</v>
      </c>
      <c r="BU88">
        <v>-0.27999999999999969</v>
      </c>
      <c r="BV88">
        <v>0.55999999999999983</v>
      </c>
      <c r="BW88">
        <v>-23.4</v>
      </c>
      <c r="BX88">
        <v>-42.959999999999994</v>
      </c>
      <c r="BY88">
        <v>22.8</v>
      </c>
      <c r="BZ88">
        <v>5.24</v>
      </c>
      <c r="CA88">
        <v>-8.4799999999999986</v>
      </c>
      <c r="CB88">
        <v>30</v>
      </c>
      <c r="CC88">
        <v>-7.8991999999999996</v>
      </c>
      <c r="CD88">
        <v>-4.3814399999999996</v>
      </c>
      <c r="CE88">
        <v>-65.759999999999991</v>
      </c>
      <c r="CF88">
        <v>-1.1539000000000004</v>
      </c>
    </row>
    <row r="89" spans="1:84" x14ac:dyDescent="0.2">
      <c r="A89" s="39">
        <v>43751</v>
      </c>
      <c r="B89" s="22" t="s">
        <v>252</v>
      </c>
      <c r="C89" s="41" t="s">
        <v>306</v>
      </c>
      <c r="D89" s="22" t="s">
        <v>293</v>
      </c>
      <c r="E89">
        <v>29</v>
      </c>
      <c r="F89">
        <v>0</v>
      </c>
      <c r="G89" s="14">
        <v>2.8</v>
      </c>
      <c r="H89">
        <v>4.4000000000000004</v>
      </c>
      <c r="I89">
        <v>-6</v>
      </c>
      <c r="J89">
        <v>42</v>
      </c>
      <c r="L89" s="1" t="s">
        <v>306</v>
      </c>
      <c r="M89">
        <v>18</v>
      </c>
      <c r="N89">
        <v>-0.25760000000000077</v>
      </c>
      <c r="O89">
        <v>-4.0819999999999999</v>
      </c>
      <c r="P89">
        <v>-31</v>
      </c>
      <c r="Q89">
        <v>1.4700000000000006</v>
      </c>
      <c r="R89">
        <v>-3.8030000000000022</v>
      </c>
      <c r="S89">
        <v>-36.659999999999997</v>
      </c>
      <c r="T89">
        <v>-1.88</v>
      </c>
      <c r="U89">
        <v>1</v>
      </c>
      <c r="V89">
        <v>1</v>
      </c>
      <c r="W89">
        <v>-1.56</v>
      </c>
      <c r="X89">
        <v>1</v>
      </c>
      <c r="Y89">
        <v>5.25</v>
      </c>
      <c r="Z89">
        <v>9</v>
      </c>
      <c r="AA89">
        <v>-6.8356436994656657E-3</v>
      </c>
      <c r="AB89">
        <v>1</v>
      </c>
      <c r="AC89">
        <v>-1.1805193242768505E-3</v>
      </c>
      <c r="AD89">
        <v>2</v>
      </c>
      <c r="AE89">
        <v>-13.127999999999997</v>
      </c>
      <c r="AF89">
        <v>9</v>
      </c>
      <c r="AG89">
        <v>1.4400000000000006</v>
      </c>
      <c r="AH89">
        <v>-6.0400000000000009</v>
      </c>
      <c r="AI89">
        <v>-1.6400000000000006</v>
      </c>
      <c r="AJ89">
        <v>-0.91999999999999993</v>
      </c>
      <c r="AK89">
        <v>-38.200000000000003</v>
      </c>
      <c r="AL89">
        <v>-16.120000000000015</v>
      </c>
      <c r="AM89">
        <v>-31.560000000000002</v>
      </c>
      <c r="AN89">
        <v>10.84</v>
      </c>
      <c r="AO89">
        <v>-1.36</v>
      </c>
      <c r="AP89">
        <v>12</v>
      </c>
      <c r="AQ89">
        <v>3.8243999999999998</v>
      </c>
      <c r="AR89">
        <v>1.2288799999999993</v>
      </c>
      <c r="AS89">
        <v>15.439999999999987</v>
      </c>
      <c r="AT89">
        <v>-3.8243999999999989</v>
      </c>
      <c r="AU89">
        <v>-1.2478250000000002</v>
      </c>
      <c r="AV89">
        <v>1.7779499999999997</v>
      </c>
      <c r="AW89">
        <v>1.8469999999999998</v>
      </c>
      <c r="AX89" t="s">
        <v>293</v>
      </c>
      <c r="AY89">
        <v>2</v>
      </c>
      <c r="AZ89">
        <v>4.4383999999999997</v>
      </c>
      <c r="BA89">
        <v>7.9239999999999995</v>
      </c>
      <c r="BB89">
        <v>56.08</v>
      </c>
      <c r="BC89">
        <v>-2.6399999999999997</v>
      </c>
      <c r="BD89">
        <v>-0.45119999999999827</v>
      </c>
      <c r="BE89">
        <v>-2.7200000000000042</v>
      </c>
      <c r="BF89">
        <v>-4.32</v>
      </c>
      <c r="BG89">
        <v>1</v>
      </c>
      <c r="BH89">
        <v>1.5</v>
      </c>
      <c r="BI89">
        <v>8.24</v>
      </c>
      <c r="BJ89">
        <v>31</v>
      </c>
      <c r="BK89">
        <v>29</v>
      </c>
      <c r="BL89">
        <v>29</v>
      </c>
      <c r="BM89">
        <v>-5.4820745969143991E-2</v>
      </c>
      <c r="BN89">
        <v>32</v>
      </c>
      <c r="BO89">
        <v>-2.103702322821489E-2</v>
      </c>
      <c r="BP89">
        <v>30</v>
      </c>
      <c r="BQ89">
        <v>6.8759999999999994</v>
      </c>
      <c r="BR89">
        <v>25</v>
      </c>
      <c r="BS89">
        <v>-6.0399999999999991</v>
      </c>
      <c r="BT89">
        <v>0.7600000000000009</v>
      </c>
      <c r="BU89">
        <v>9.4</v>
      </c>
      <c r="BV89">
        <v>1.6800000000000002</v>
      </c>
      <c r="BW89">
        <v>27.360000000000003</v>
      </c>
      <c r="BX89">
        <v>-15.319999999999993</v>
      </c>
      <c r="BY89">
        <v>60.36</v>
      </c>
      <c r="BZ89">
        <v>-4.1599999999999993</v>
      </c>
      <c r="CA89">
        <v>-13.52</v>
      </c>
      <c r="CB89">
        <v>23</v>
      </c>
      <c r="CC89">
        <v>-3.4855999999999998</v>
      </c>
      <c r="CD89">
        <v>-3.1645599999999998</v>
      </c>
      <c r="CE89">
        <v>-75.679999999999993</v>
      </c>
      <c r="CF89">
        <v>1.7088999999999996</v>
      </c>
    </row>
    <row r="90" spans="1:84" x14ac:dyDescent="0.2">
      <c r="A90" s="39">
        <v>43758</v>
      </c>
      <c r="B90" s="22" t="s">
        <v>250</v>
      </c>
      <c r="C90" s="41" t="s">
        <v>285</v>
      </c>
      <c r="D90" s="22" t="s">
        <v>296</v>
      </c>
      <c r="E90">
        <v>2.2000000000000002</v>
      </c>
      <c r="F90">
        <v>6.9</v>
      </c>
      <c r="G90">
        <v>2.8</v>
      </c>
      <c r="H90">
        <f>2.2+1.5</f>
        <v>3.7</v>
      </c>
      <c r="I90">
        <v>3.5</v>
      </c>
      <c r="J90">
        <v>49.5</v>
      </c>
      <c r="K90" t="s">
        <v>109</v>
      </c>
      <c r="L90" s="1" t="s">
        <v>285</v>
      </c>
      <c r="M90">
        <v>12</v>
      </c>
      <c r="N90">
        <v>0.72159999999999935</v>
      </c>
      <c r="O90">
        <v>1.3880000000000012</v>
      </c>
      <c r="P90">
        <v>-12.720000000000002</v>
      </c>
      <c r="Q90">
        <v>1.92</v>
      </c>
      <c r="R90">
        <v>-10.827999999999999</v>
      </c>
      <c r="S90">
        <v>-45.2</v>
      </c>
      <c r="T90">
        <v>-3.2800000000000002</v>
      </c>
      <c r="U90">
        <v>21</v>
      </c>
      <c r="V90">
        <v>20</v>
      </c>
      <c r="W90">
        <v>-4.84</v>
      </c>
      <c r="X90">
        <v>9</v>
      </c>
      <c r="Y90">
        <v>12.25</v>
      </c>
      <c r="Z90">
        <v>20</v>
      </c>
      <c r="AA90">
        <v>-3.7486223402579393E-2</v>
      </c>
      <c r="AB90">
        <v>7</v>
      </c>
      <c r="AC90">
        <v>2.7514284995964127E-2</v>
      </c>
      <c r="AD90">
        <v>4</v>
      </c>
      <c r="AE90">
        <v>3.3000000000000029</v>
      </c>
      <c r="AF90">
        <v>18</v>
      </c>
      <c r="AG90">
        <v>1.1200000000000003</v>
      </c>
      <c r="AH90">
        <v>0.92000000000000026</v>
      </c>
      <c r="AI90">
        <v>-3.6800000000000006</v>
      </c>
      <c r="AJ90">
        <v>-1.1199999999999999</v>
      </c>
      <c r="AK90">
        <v>-2.9199999999999933</v>
      </c>
      <c r="AL90">
        <v>-3.960000000000008</v>
      </c>
      <c r="AM90">
        <v>-18.599999999999998</v>
      </c>
      <c r="AN90">
        <v>1.04</v>
      </c>
      <c r="AO90">
        <v>18.599999999999998</v>
      </c>
      <c r="AP90">
        <v>21</v>
      </c>
      <c r="AQ90">
        <v>-0.66640000000000188</v>
      </c>
      <c r="AR90">
        <v>-2.7152800000000008</v>
      </c>
      <c r="AS90">
        <v>14.63999999999999</v>
      </c>
      <c r="AT90">
        <v>0.66640000000000188</v>
      </c>
      <c r="AU90">
        <v>-1.0247999999999999</v>
      </c>
      <c r="AV90">
        <v>1.0465999999999998</v>
      </c>
      <c r="AW90">
        <v>1.4759249999999997</v>
      </c>
      <c r="AX90" t="s">
        <v>296</v>
      </c>
      <c r="AY90">
        <v>5</v>
      </c>
      <c r="AZ90">
        <v>2.5591999999999997</v>
      </c>
      <c r="BA90">
        <v>2.0320000000000009</v>
      </c>
      <c r="BB90">
        <v>19.88</v>
      </c>
      <c r="BC90">
        <v>-3.9999999999999591E-2</v>
      </c>
      <c r="BD90">
        <v>-1.6130000000000013</v>
      </c>
      <c r="BE90">
        <v>1.5700000000000003</v>
      </c>
      <c r="BF90">
        <v>-2.3800000000000008</v>
      </c>
      <c r="BG90">
        <v>2</v>
      </c>
      <c r="BH90">
        <v>3</v>
      </c>
      <c r="BI90">
        <v>2.16</v>
      </c>
      <c r="BJ90">
        <v>29</v>
      </c>
      <c r="BK90">
        <v>24</v>
      </c>
      <c r="BL90">
        <v>11</v>
      </c>
      <c r="BM90">
        <v>-2.6540828689013578E-2</v>
      </c>
      <c r="BN90">
        <v>27</v>
      </c>
      <c r="BO90">
        <v>1.5047908799414941E-2</v>
      </c>
      <c r="BP90">
        <v>31</v>
      </c>
      <c r="BQ90">
        <v>6.8519999999999994</v>
      </c>
      <c r="BR90">
        <v>27</v>
      </c>
      <c r="BS90">
        <v>1.36</v>
      </c>
      <c r="BT90">
        <v>1.9999999999999987</v>
      </c>
      <c r="BU90">
        <v>-0.23999999999999949</v>
      </c>
      <c r="BV90">
        <v>1.1599999999999997</v>
      </c>
      <c r="BW90">
        <v>44.6</v>
      </c>
      <c r="BX90">
        <v>25.480000000000008</v>
      </c>
      <c r="BY90">
        <v>22.279999999999994</v>
      </c>
      <c r="BZ90">
        <v>-3.839999999999999</v>
      </c>
      <c r="CA90">
        <v>0.68000000000000038</v>
      </c>
      <c r="CB90">
        <v>13</v>
      </c>
      <c r="CC90">
        <v>0.527199999999999</v>
      </c>
      <c r="CD90">
        <v>-0.82676000000000083</v>
      </c>
      <c r="CE90">
        <v>3.2000000000000135</v>
      </c>
      <c r="CF90">
        <v>0.61727500000000002</v>
      </c>
    </row>
    <row r="91" spans="1:84" x14ac:dyDescent="0.2">
      <c r="A91" s="39">
        <v>43758</v>
      </c>
      <c r="B91" s="22" t="s">
        <v>250</v>
      </c>
      <c r="C91" s="41" t="s">
        <v>295</v>
      </c>
      <c r="D91" s="22" t="s">
        <v>304</v>
      </c>
      <c r="E91">
        <v>15.3</v>
      </c>
      <c r="F91">
        <v>7</v>
      </c>
      <c r="G91" s="14">
        <v>1.3</v>
      </c>
      <c r="H91">
        <v>14.6</v>
      </c>
      <c r="I91">
        <v>3</v>
      </c>
      <c r="J91">
        <v>54.5</v>
      </c>
      <c r="K91" t="s">
        <v>109</v>
      </c>
      <c r="L91" s="1" t="s">
        <v>295</v>
      </c>
      <c r="M91">
        <v>2</v>
      </c>
      <c r="N91">
        <v>7.9047999999999998</v>
      </c>
      <c r="O91">
        <v>3.984</v>
      </c>
      <c r="P91">
        <v>-5.7600000000000016</v>
      </c>
      <c r="Q91">
        <v>1.82</v>
      </c>
      <c r="R91">
        <v>16.343999999999998</v>
      </c>
      <c r="S91">
        <v>71.039999999999992</v>
      </c>
      <c r="T91">
        <v>5.7200000000000006</v>
      </c>
      <c r="U91">
        <v>4</v>
      </c>
      <c r="V91">
        <v>7</v>
      </c>
      <c r="W91">
        <v>-5.4</v>
      </c>
      <c r="X91">
        <v>14</v>
      </c>
      <c r="Y91">
        <v>14</v>
      </c>
      <c r="Z91">
        <v>7</v>
      </c>
      <c r="AA91">
        <v>-1.2445594924166003E-2</v>
      </c>
      <c r="AB91">
        <v>9</v>
      </c>
      <c r="AC91">
        <v>-2.289016798368157E-2</v>
      </c>
      <c r="AD91">
        <v>26</v>
      </c>
      <c r="AE91">
        <v>8.6439999999999948</v>
      </c>
      <c r="AF91">
        <v>14</v>
      </c>
      <c r="AG91">
        <v>-0.40000000000000019</v>
      </c>
      <c r="AH91">
        <v>2.5600000000000009</v>
      </c>
      <c r="AI91">
        <v>3.16</v>
      </c>
      <c r="AJ91">
        <v>-0.83999999999999986</v>
      </c>
      <c r="AK91">
        <v>50.56</v>
      </c>
      <c r="AL91">
        <v>78.52000000000001</v>
      </c>
      <c r="AM91">
        <v>-13.160000000000002</v>
      </c>
      <c r="AN91">
        <v>-5.28</v>
      </c>
      <c r="AO91">
        <v>-9.52</v>
      </c>
      <c r="AP91">
        <v>11</v>
      </c>
      <c r="AQ91">
        <v>3.9207999999999994</v>
      </c>
      <c r="AR91">
        <v>2.8577599999999999</v>
      </c>
      <c r="AS91">
        <v>91.68</v>
      </c>
      <c r="AT91">
        <v>-3.9207999999999998</v>
      </c>
      <c r="AU91">
        <v>3.4191000000000003</v>
      </c>
      <c r="AV91">
        <v>1.7071875000000005</v>
      </c>
      <c r="AW91">
        <v>3.729200000000001</v>
      </c>
      <c r="AX91" t="s">
        <v>304</v>
      </c>
      <c r="AY91">
        <v>16</v>
      </c>
      <c r="AZ91">
        <v>0.23119999999999977</v>
      </c>
      <c r="BA91">
        <v>-4.1288</v>
      </c>
      <c r="BB91">
        <v>-14.08</v>
      </c>
      <c r="BC91">
        <v>-0.52000000000000013</v>
      </c>
      <c r="BD91">
        <v>-0.18100000000000016</v>
      </c>
      <c r="BE91">
        <v>1.3599999999999968</v>
      </c>
      <c r="BF91">
        <v>0.53999999999999981</v>
      </c>
      <c r="BG91">
        <v>28</v>
      </c>
      <c r="BH91">
        <v>26.5</v>
      </c>
      <c r="BI91">
        <v>1.7763568394002506E-16</v>
      </c>
      <c r="BJ91">
        <v>14</v>
      </c>
      <c r="BK91">
        <v>15</v>
      </c>
      <c r="BL91">
        <v>22</v>
      </c>
      <c r="BM91">
        <v>5.0394854655662749E-2</v>
      </c>
      <c r="BN91">
        <v>10</v>
      </c>
      <c r="BO91">
        <v>-1.418277190389074E-2</v>
      </c>
      <c r="BP91">
        <v>22</v>
      </c>
      <c r="BQ91">
        <v>-2.8000000000001534E-2</v>
      </c>
      <c r="BR91">
        <v>6</v>
      </c>
      <c r="BS91">
        <v>-0.6</v>
      </c>
      <c r="BT91">
        <v>2.2400000000000007</v>
      </c>
      <c r="BU91">
        <v>-7.999999999999971E-2</v>
      </c>
      <c r="BV91">
        <v>0.27999999999999992</v>
      </c>
      <c r="BW91">
        <v>-32.04</v>
      </c>
      <c r="BX91">
        <v>-4.8399999999999981</v>
      </c>
      <c r="BY91">
        <v>-17.720000000000002</v>
      </c>
      <c r="BZ91">
        <v>-4.5200000000000005</v>
      </c>
      <c r="CA91">
        <v>-4.9600000000000009</v>
      </c>
      <c r="CB91">
        <v>6</v>
      </c>
      <c r="CC91">
        <v>4.3599999999999994</v>
      </c>
      <c r="CD91">
        <v>2.0744400000000001</v>
      </c>
      <c r="CE91">
        <v>12.880000000000004</v>
      </c>
      <c r="CF91">
        <v>-0.31482500000000002</v>
      </c>
    </row>
    <row r="92" spans="1:84" x14ac:dyDescent="0.2">
      <c r="A92" s="39">
        <v>43758</v>
      </c>
      <c r="B92" s="22" t="s">
        <v>250</v>
      </c>
      <c r="C92" s="41" t="s">
        <v>305</v>
      </c>
      <c r="D92" s="22" t="s">
        <v>308</v>
      </c>
      <c r="H92">
        <f>5.9+3+2</f>
        <v>10.9</v>
      </c>
      <c r="I92">
        <v>3</v>
      </c>
      <c r="J92">
        <v>49</v>
      </c>
      <c r="L92" s="1" t="s">
        <v>305</v>
      </c>
      <c r="M92">
        <v>4</v>
      </c>
      <c r="N92">
        <v>5.0192000000000014</v>
      </c>
      <c r="O92">
        <v>-4.5455999999999994</v>
      </c>
      <c r="P92">
        <v>-21.96</v>
      </c>
      <c r="Q92">
        <v>-2.4000000000000004</v>
      </c>
      <c r="R92">
        <v>-1.6169999999999991</v>
      </c>
      <c r="S92">
        <v>3.2000000000000028</v>
      </c>
      <c r="T92">
        <v>2.79</v>
      </c>
      <c r="U92">
        <v>8</v>
      </c>
      <c r="V92">
        <v>8.5</v>
      </c>
      <c r="W92">
        <v>-3.8</v>
      </c>
      <c r="X92">
        <v>31</v>
      </c>
      <c r="Y92">
        <v>29.25</v>
      </c>
      <c r="Z92">
        <v>27</v>
      </c>
      <c r="AA92">
        <v>-1.2590185827370037E-2</v>
      </c>
      <c r="AB92">
        <v>31</v>
      </c>
      <c r="AC92">
        <v>1.3315433298636678E-2</v>
      </c>
      <c r="AD92">
        <v>27</v>
      </c>
      <c r="AE92">
        <v>-0.57599999999999763</v>
      </c>
      <c r="AF92">
        <v>32</v>
      </c>
      <c r="AG92">
        <v>0.48</v>
      </c>
      <c r="AH92">
        <v>5.24</v>
      </c>
      <c r="AI92">
        <v>0.9199999999999996</v>
      </c>
      <c r="AJ92">
        <v>-0.27999999999999997</v>
      </c>
      <c r="AK92">
        <v>20.880000000000006</v>
      </c>
      <c r="AL92">
        <v>-13.719999999999999</v>
      </c>
      <c r="AM92">
        <v>-20.080000000000002</v>
      </c>
      <c r="AN92">
        <v>-4.9999999999999991</v>
      </c>
      <c r="AO92">
        <v>59.679999999999993</v>
      </c>
      <c r="AP92">
        <v>2</v>
      </c>
      <c r="AQ92">
        <v>9.5648000000000017</v>
      </c>
      <c r="AR92">
        <v>2.9532400000000001</v>
      </c>
      <c r="AS92">
        <v>6.360000000000003</v>
      </c>
      <c r="AT92">
        <v>-9.5648000000000017</v>
      </c>
      <c r="AU92">
        <v>5.7075000000000153E-2</v>
      </c>
      <c r="AV92">
        <v>0.88869999999999993</v>
      </c>
      <c r="AW92">
        <v>1.4556</v>
      </c>
      <c r="AX92" t="s">
        <v>308</v>
      </c>
      <c r="AY92">
        <v>17</v>
      </c>
      <c r="AZ92">
        <v>2.8912</v>
      </c>
      <c r="BA92">
        <v>2.8271999999999995</v>
      </c>
      <c r="BB92">
        <v>-2.0000000000000009</v>
      </c>
      <c r="BC92">
        <v>0.40000000000000036</v>
      </c>
      <c r="BD92">
        <v>-0.30400000000000027</v>
      </c>
      <c r="BE92">
        <v>-11.680000000000003</v>
      </c>
      <c r="BF92">
        <v>0.39999999999999969</v>
      </c>
      <c r="BG92">
        <v>12</v>
      </c>
      <c r="BH92">
        <v>12.5</v>
      </c>
      <c r="BI92">
        <v>-2.6</v>
      </c>
      <c r="BJ92">
        <v>21</v>
      </c>
      <c r="BK92">
        <v>17.25</v>
      </c>
      <c r="BL92">
        <v>30</v>
      </c>
      <c r="BM92">
        <v>-2.9118507621729583E-2</v>
      </c>
      <c r="BN92">
        <v>28</v>
      </c>
      <c r="BO92">
        <v>-2.1887772527266619E-2</v>
      </c>
      <c r="BP92">
        <v>4</v>
      </c>
      <c r="BQ92">
        <v>4.4320000000000039</v>
      </c>
      <c r="BR92">
        <v>7</v>
      </c>
      <c r="BS92">
        <v>-0.3999999999999998</v>
      </c>
      <c r="BT92">
        <v>-2.319999999999999</v>
      </c>
      <c r="BU92">
        <v>2.2799999999999998</v>
      </c>
      <c r="BV92">
        <v>1.3999999999999997</v>
      </c>
      <c r="BW92">
        <v>11.319999999999993</v>
      </c>
      <c r="BX92">
        <v>-1.3199999999999932</v>
      </c>
      <c r="BY92">
        <v>1.6399999999999992</v>
      </c>
      <c r="BZ92">
        <v>1.44</v>
      </c>
      <c r="CA92">
        <v>9.56</v>
      </c>
      <c r="CB92">
        <v>15</v>
      </c>
      <c r="CC92">
        <v>6.4000000000000501E-2</v>
      </c>
      <c r="CD92">
        <v>-0.89615999999999973</v>
      </c>
      <c r="CE92">
        <v>-2.9599999999999924</v>
      </c>
      <c r="CF92">
        <v>0.32179999999999986</v>
      </c>
    </row>
    <row r="93" spans="1:84" x14ac:dyDescent="0.2">
      <c r="A93" s="39">
        <v>43758</v>
      </c>
      <c r="B93" s="22" t="s">
        <v>250</v>
      </c>
      <c r="C93" s="41" t="s">
        <v>276</v>
      </c>
      <c r="D93" s="23" t="s">
        <v>293</v>
      </c>
      <c r="E93">
        <v>19.3</v>
      </c>
      <c r="F93">
        <v>10.6</v>
      </c>
      <c r="G93" s="14">
        <v>3.3</v>
      </c>
      <c r="H93">
        <f>4.2+1.9</f>
        <v>6.1</v>
      </c>
      <c r="I93">
        <v>-17</v>
      </c>
      <c r="J93">
        <v>42.5</v>
      </c>
      <c r="L93" s="1" t="s">
        <v>276</v>
      </c>
      <c r="M93">
        <v>10</v>
      </c>
      <c r="N93">
        <v>1.4039999999999995</v>
      </c>
      <c r="O93">
        <v>-3.6176000000000008</v>
      </c>
      <c r="P93">
        <v>3.6799999999999993</v>
      </c>
      <c r="Q93">
        <v>-2.4799999999999995</v>
      </c>
      <c r="R93">
        <v>4.6080000000000005</v>
      </c>
      <c r="S93">
        <v>24.439999999999998</v>
      </c>
      <c r="T93">
        <v>1.7200000000000002</v>
      </c>
      <c r="U93">
        <v>25</v>
      </c>
      <c r="V93">
        <v>23</v>
      </c>
      <c r="W93">
        <v>-2.7600000000000002</v>
      </c>
      <c r="X93">
        <v>24</v>
      </c>
      <c r="Y93">
        <v>20.75</v>
      </c>
      <c r="Z93">
        <v>25</v>
      </c>
      <c r="AA93">
        <v>5.6968549955647173E-2</v>
      </c>
      <c r="AB93">
        <v>25</v>
      </c>
      <c r="AC93">
        <v>9.4936751676844931E-3</v>
      </c>
      <c r="AD93">
        <v>5</v>
      </c>
      <c r="AE93">
        <v>3.2680000000000007</v>
      </c>
      <c r="AF93">
        <v>28</v>
      </c>
      <c r="AG93">
        <v>-0.72</v>
      </c>
      <c r="AH93">
        <v>2.0799999999999996</v>
      </c>
      <c r="AI93">
        <v>0.15999999999999961</v>
      </c>
      <c r="AJ93">
        <v>-0.92000000000000015</v>
      </c>
      <c r="AK93">
        <v>7.2</v>
      </c>
      <c r="AL93">
        <v>5.1200000000000045</v>
      </c>
      <c r="AM93">
        <v>-6.3599999999999994</v>
      </c>
      <c r="AN93">
        <v>-0.27999999999999997</v>
      </c>
      <c r="AO93">
        <v>8.7199999999999989</v>
      </c>
      <c r="AP93">
        <v>8</v>
      </c>
      <c r="AQ93">
        <v>5.0216000000000003</v>
      </c>
      <c r="AR93">
        <v>3.0112000000000005</v>
      </c>
      <c r="AS93">
        <v>11.480000000000004</v>
      </c>
      <c r="AT93">
        <v>-5.0216000000000003</v>
      </c>
      <c r="AU93">
        <v>0.15430000000000002</v>
      </c>
      <c r="AV93">
        <v>-0.1896874999999999</v>
      </c>
      <c r="AW93">
        <v>-1.1367499999999999</v>
      </c>
      <c r="AX93" t="s">
        <v>293</v>
      </c>
      <c r="AY93">
        <v>2</v>
      </c>
      <c r="AZ93">
        <v>3.3319999999999994</v>
      </c>
      <c r="BA93">
        <v>4.6160000000000014</v>
      </c>
      <c r="BB93">
        <v>37.120000000000005</v>
      </c>
      <c r="BC93">
        <v>-2.6799999999999997</v>
      </c>
      <c r="BD93">
        <v>-5.1689999999999987</v>
      </c>
      <c r="BE93">
        <v>-30.570000000000004</v>
      </c>
      <c r="BF93">
        <v>-4.9200000000000008</v>
      </c>
      <c r="BG93">
        <v>1</v>
      </c>
      <c r="BH93">
        <v>1.5</v>
      </c>
      <c r="BI93">
        <v>5.9599999999999991</v>
      </c>
      <c r="BJ93">
        <v>31</v>
      </c>
      <c r="BK93">
        <v>29</v>
      </c>
      <c r="BL93">
        <v>29</v>
      </c>
      <c r="BM93">
        <v>-7.3754677872322968E-2</v>
      </c>
      <c r="BN93">
        <v>32</v>
      </c>
      <c r="BO93">
        <v>-1.3298117139573917E-2</v>
      </c>
      <c r="BP93">
        <v>30</v>
      </c>
      <c r="BQ93">
        <v>-0.51999999999999891</v>
      </c>
      <c r="BR93">
        <v>25</v>
      </c>
      <c r="BS93">
        <v>-6.919999999999999</v>
      </c>
      <c r="BT93">
        <v>-3.0799999999999996</v>
      </c>
      <c r="BU93">
        <v>6.88</v>
      </c>
      <c r="BV93">
        <v>2.2399999999999998</v>
      </c>
      <c r="BW93">
        <v>8.2400000000000091</v>
      </c>
      <c r="BX93">
        <v>-22.280000000000008</v>
      </c>
      <c r="BY93">
        <v>39.6</v>
      </c>
      <c r="BZ93">
        <v>-5.2</v>
      </c>
      <c r="CA93">
        <v>-3.88</v>
      </c>
      <c r="CB93">
        <v>18</v>
      </c>
      <c r="CC93">
        <v>-1.2840000000000016</v>
      </c>
      <c r="CD93">
        <v>-2.6754000000000007</v>
      </c>
      <c r="CE93">
        <v>-61.88000000000001</v>
      </c>
      <c r="CF93">
        <v>0.75737500000000013</v>
      </c>
    </row>
    <row r="94" spans="1:84" x14ac:dyDescent="0.2">
      <c r="A94" s="39">
        <v>43758</v>
      </c>
      <c r="B94" s="22" t="s">
        <v>250</v>
      </c>
      <c r="C94" s="41" t="s">
        <v>265</v>
      </c>
      <c r="D94" s="23" t="s">
        <v>307</v>
      </c>
      <c r="E94">
        <v>24.7</v>
      </c>
      <c r="F94" s="14">
        <v>10.3</v>
      </c>
      <c r="G94">
        <v>1.6</v>
      </c>
      <c r="H94">
        <v>9.5</v>
      </c>
      <c r="I94">
        <v>-4</v>
      </c>
      <c r="J94">
        <v>37</v>
      </c>
      <c r="K94" t="s">
        <v>110</v>
      </c>
      <c r="L94" s="1" t="s">
        <v>265</v>
      </c>
      <c r="M94">
        <v>28</v>
      </c>
      <c r="N94">
        <v>-3.6320000000000006</v>
      </c>
      <c r="O94">
        <v>-4.6799999999999988</v>
      </c>
      <c r="P94">
        <v>-28.880000000000003</v>
      </c>
      <c r="Q94">
        <v>2.12</v>
      </c>
      <c r="R94">
        <v>-3.6600000000000006</v>
      </c>
      <c r="S94">
        <v>-28.680000000000007</v>
      </c>
      <c r="T94">
        <v>-0.96000000000000019</v>
      </c>
      <c r="U94">
        <v>30</v>
      </c>
      <c r="V94">
        <v>29.5</v>
      </c>
      <c r="W94">
        <v>2.96</v>
      </c>
      <c r="X94">
        <v>18</v>
      </c>
      <c r="Y94">
        <v>15.5</v>
      </c>
      <c r="Z94">
        <v>20</v>
      </c>
      <c r="AA94">
        <v>-1.2002428876065886E-2</v>
      </c>
      <c r="AB94">
        <v>11</v>
      </c>
      <c r="AC94">
        <v>-5.1547829064612525E-3</v>
      </c>
      <c r="AD94">
        <v>20</v>
      </c>
      <c r="AE94">
        <v>-6.9760000000000018</v>
      </c>
      <c r="AF94">
        <v>11</v>
      </c>
      <c r="AG94">
        <v>-1.6800000000000002</v>
      </c>
      <c r="AH94">
        <v>-3.72</v>
      </c>
      <c r="AI94">
        <v>-1.8</v>
      </c>
      <c r="AJ94">
        <v>1.9599999999999997</v>
      </c>
      <c r="AK94">
        <v>-70.760000000000005</v>
      </c>
      <c r="AL94">
        <v>-42.199999999999996</v>
      </c>
      <c r="AM94">
        <v>-33.119999999999997</v>
      </c>
      <c r="AN94">
        <v>12.2</v>
      </c>
      <c r="AO94">
        <v>-7.6400000000000006</v>
      </c>
      <c r="AP94">
        <v>19</v>
      </c>
      <c r="AQ94">
        <v>1.0479999999999987</v>
      </c>
      <c r="AR94">
        <v>0.88159999999999905</v>
      </c>
      <c r="AS94">
        <v>-9.0799999999999983</v>
      </c>
      <c r="AT94">
        <v>-1.0479999999999983</v>
      </c>
      <c r="AU94">
        <v>-1.3265</v>
      </c>
      <c r="AV94">
        <v>-1.0698750000000001</v>
      </c>
      <c r="AW94">
        <v>0.88597499999999973</v>
      </c>
      <c r="AX94" t="s">
        <v>307</v>
      </c>
      <c r="AY94">
        <v>18</v>
      </c>
      <c r="AZ94">
        <v>-2.4487999999999994</v>
      </c>
      <c r="BA94">
        <v>-4.6159999999999997</v>
      </c>
      <c r="BB94">
        <v>-29.839999999999996</v>
      </c>
      <c r="BC94">
        <v>0.6399999999999999</v>
      </c>
      <c r="BD94">
        <v>-14.220999999999998</v>
      </c>
      <c r="BE94">
        <v>-43.7</v>
      </c>
      <c r="BF94">
        <v>-4.6399999999999997</v>
      </c>
      <c r="BG94">
        <v>8</v>
      </c>
      <c r="BH94">
        <v>8.5</v>
      </c>
      <c r="BI94">
        <v>-0.72</v>
      </c>
      <c r="BJ94">
        <v>17</v>
      </c>
      <c r="BK94">
        <v>16</v>
      </c>
      <c r="BL94">
        <v>6</v>
      </c>
      <c r="BM94">
        <v>-1.4956785877840429E-2</v>
      </c>
      <c r="BN94">
        <v>18</v>
      </c>
      <c r="BO94">
        <v>4.2605743407032968E-3</v>
      </c>
      <c r="BP94">
        <v>21</v>
      </c>
      <c r="BQ94">
        <v>-11.167999999999997</v>
      </c>
      <c r="BR94">
        <v>19</v>
      </c>
      <c r="BS94">
        <v>1.9599999999999997</v>
      </c>
      <c r="BT94">
        <v>-5.8399999999999981</v>
      </c>
      <c r="BU94">
        <v>-5.64</v>
      </c>
      <c r="BV94">
        <v>-0.83999999999999986</v>
      </c>
      <c r="BW94">
        <v>-69.439999999999984</v>
      </c>
      <c r="BX94">
        <v>-35.119999999999997</v>
      </c>
      <c r="BY94">
        <v>-32.08</v>
      </c>
      <c r="BZ94">
        <v>0.59999999999999987</v>
      </c>
      <c r="CA94">
        <v>-2.8400000000000003</v>
      </c>
      <c r="CB94">
        <v>11</v>
      </c>
      <c r="CC94">
        <v>2.1672000000000002</v>
      </c>
      <c r="CD94">
        <v>-1.02596</v>
      </c>
      <c r="CE94">
        <v>-3.0399999999999991</v>
      </c>
      <c r="CF94">
        <v>-3.025725</v>
      </c>
    </row>
    <row r="95" spans="1:84" x14ac:dyDescent="0.2">
      <c r="A95" s="39">
        <v>43758</v>
      </c>
      <c r="B95" s="22" t="s">
        <v>250</v>
      </c>
      <c r="C95" s="17" t="s">
        <v>272</v>
      </c>
      <c r="D95" s="22" t="s">
        <v>297</v>
      </c>
      <c r="E95">
        <v>9.5</v>
      </c>
      <c r="F95">
        <v>9.5</v>
      </c>
      <c r="G95">
        <v>24.5</v>
      </c>
      <c r="H95">
        <v>4.3</v>
      </c>
      <c r="I95">
        <v>4</v>
      </c>
      <c r="J95">
        <v>44.5</v>
      </c>
      <c r="L95" s="1" t="s">
        <v>272</v>
      </c>
      <c r="M95">
        <v>16</v>
      </c>
      <c r="N95">
        <v>-0.66360000000000097</v>
      </c>
      <c r="O95">
        <v>-4.9943999999999997</v>
      </c>
      <c r="P95">
        <v>-29.56</v>
      </c>
      <c r="Q95">
        <v>1.6</v>
      </c>
      <c r="R95">
        <v>-0.33600000000000119</v>
      </c>
      <c r="S95">
        <v>9.0400000000000027</v>
      </c>
      <c r="T95">
        <v>4.32</v>
      </c>
      <c r="U95">
        <v>12</v>
      </c>
      <c r="V95">
        <v>11.5</v>
      </c>
      <c r="W95">
        <v>-3.1599999999999997</v>
      </c>
      <c r="X95">
        <v>10</v>
      </c>
      <c r="Y95">
        <v>12.75</v>
      </c>
      <c r="Z95">
        <v>13</v>
      </c>
      <c r="AA95">
        <v>-3.7411528338698583E-2</v>
      </c>
      <c r="AB95">
        <v>15</v>
      </c>
      <c r="AC95">
        <v>3.41217352507691E-3</v>
      </c>
      <c r="AD95">
        <v>11</v>
      </c>
      <c r="AE95">
        <v>-7.7479999999999993</v>
      </c>
      <c r="AF95">
        <v>12</v>
      </c>
      <c r="AG95">
        <v>1.2799999999999998</v>
      </c>
      <c r="AH95">
        <v>0.63999999999999913</v>
      </c>
      <c r="AI95">
        <v>-4.92</v>
      </c>
      <c r="AJ95">
        <v>0.55999999999999983</v>
      </c>
      <c r="AK95">
        <v>-36.279999999999994</v>
      </c>
      <c r="AL95">
        <v>6.6799999999999953</v>
      </c>
      <c r="AM95">
        <v>-32.160000000000004</v>
      </c>
      <c r="AN95">
        <v>-1.6</v>
      </c>
      <c r="AO95">
        <v>-9.2000000000000011</v>
      </c>
      <c r="AP95">
        <v>10</v>
      </c>
      <c r="AQ95">
        <v>4.3307999999999982</v>
      </c>
      <c r="AR95">
        <v>2.2972799999999993</v>
      </c>
      <c r="AS95">
        <v>38.839999999999996</v>
      </c>
      <c r="AT95">
        <v>-4.3307999999999991</v>
      </c>
      <c r="AU95">
        <v>-0.80925000000000036</v>
      </c>
      <c r="AV95">
        <v>0.16732499999999995</v>
      </c>
      <c r="AW95">
        <v>1.4745500000000002</v>
      </c>
      <c r="AX95" t="s">
        <v>297</v>
      </c>
      <c r="AY95">
        <v>20</v>
      </c>
      <c r="AZ95">
        <v>-0.25840000000000141</v>
      </c>
      <c r="BA95">
        <v>2.3991999999999978</v>
      </c>
      <c r="BB95">
        <v>18.200000000000003</v>
      </c>
      <c r="BC95">
        <v>-7.9999999999999905E-2</v>
      </c>
      <c r="BD95">
        <v>-8.94</v>
      </c>
      <c r="BE95">
        <v>-23.84</v>
      </c>
      <c r="BF95">
        <v>-0.96000000000000008</v>
      </c>
      <c r="BG95">
        <v>26</v>
      </c>
      <c r="BH95">
        <v>25</v>
      </c>
      <c r="BI95">
        <v>-0.96</v>
      </c>
      <c r="BJ95">
        <v>20</v>
      </c>
      <c r="BK95">
        <v>16.75</v>
      </c>
      <c r="BL95">
        <v>21</v>
      </c>
      <c r="BM95">
        <v>3.7767582567428723E-2</v>
      </c>
      <c r="BN95">
        <v>5</v>
      </c>
      <c r="BO95">
        <v>1.4414576860299035E-2</v>
      </c>
      <c r="BP95">
        <v>32</v>
      </c>
      <c r="BQ95">
        <v>-9.408000000000003</v>
      </c>
      <c r="BR95">
        <v>9</v>
      </c>
      <c r="BS95">
        <v>0.28000000000000008</v>
      </c>
      <c r="BT95">
        <v>0.51999999999999891</v>
      </c>
      <c r="BU95">
        <v>-0.55999999999999983</v>
      </c>
      <c r="BV95">
        <v>0.20000000000000009</v>
      </c>
      <c r="BW95">
        <v>17.079999999999984</v>
      </c>
      <c r="BX95">
        <v>-2.4800000000000013</v>
      </c>
      <c r="BY95">
        <v>17.919999999999995</v>
      </c>
      <c r="BZ95">
        <v>3.2400000000000007</v>
      </c>
      <c r="CA95">
        <v>-1.6</v>
      </c>
      <c r="CB95">
        <v>21</v>
      </c>
      <c r="CC95">
        <v>-2.6575999999999995</v>
      </c>
      <c r="CD95">
        <v>-3.0392799999999989</v>
      </c>
      <c r="CE95">
        <v>-20.399999999999995</v>
      </c>
      <c r="CF95">
        <v>-1.1399000000000004</v>
      </c>
    </row>
    <row r="96" spans="1:84" x14ac:dyDescent="0.2">
      <c r="A96" s="39">
        <v>43758</v>
      </c>
      <c r="B96" s="22" t="s">
        <v>250</v>
      </c>
      <c r="C96" s="41" t="s">
        <v>291</v>
      </c>
      <c r="D96" s="22" t="s">
        <v>294</v>
      </c>
      <c r="E96">
        <v>18.600000000000001</v>
      </c>
      <c r="F96">
        <v>6.4</v>
      </c>
      <c r="G96" s="14">
        <v>4.9000000000000004</v>
      </c>
      <c r="H96">
        <v>14.4</v>
      </c>
      <c r="I96">
        <v>-3</v>
      </c>
      <c r="J96">
        <v>50</v>
      </c>
      <c r="L96" s="4" t="s">
        <v>291</v>
      </c>
      <c r="M96" s="3">
        <v>7</v>
      </c>
      <c r="N96" s="3">
        <v>2.7871999999999986</v>
      </c>
      <c r="O96">
        <v>1.3959999999999999</v>
      </c>
      <c r="P96">
        <v>22.72</v>
      </c>
      <c r="Q96">
        <v>-1.2000000000000002</v>
      </c>
      <c r="R96">
        <v>14.125</v>
      </c>
      <c r="S96">
        <v>73.95</v>
      </c>
      <c r="T96">
        <v>5.74</v>
      </c>
      <c r="U96">
        <v>11</v>
      </c>
      <c r="V96">
        <v>9.5</v>
      </c>
      <c r="W96">
        <v>-5.32</v>
      </c>
      <c r="X96">
        <v>26</v>
      </c>
      <c r="Y96">
        <v>22.25</v>
      </c>
      <c r="Z96">
        <v>18</v>
      </c>
      <c r="AA96">
        <v>1.2213887774738886E-2</v>
      </c>
      <c r="AB96">
        <v>32</v>
      </c>
      <c r="AC96">
        <v>-1.8873618040061137E-2</v>
      </c>
      <c r="AD96">
        <v>16</v>
      </c>
      <c r="AE96">
        <v>9.8719999999999981</v>
      </c>
      <c r="AF96">
        <v>23</v>
      </c>
      <c r="AG96">
        <v>-0.92000000000000026</v>
      </c>
      <c r="AH96">
        <v>1.7199999999999989</v>
      </c>
      <c r="AI96">
        <v>0.36000000000000015</v>
      </c>
      <c r="AJ96">
        <v>-2.04</v>
      </c>
      <c r="AK96">
        <v>68.88</v>
      </c>
      <c r="AL96">
        <v>37.4</v>
      </c>
      <c r="AM96">
        <v>19.84</v>
      </c>
      <c r="AN96">
        <v>-0.16000000000000023</v>
      </c>
      <c r="AO96">
        <v>11.8</v>
      </c>
      <c r="AP96">
        <v>18</v>
      </c>
      <c r="AQ96">
        <v>1.3911999999999987</v>
      </c>
      <c r="AR96">
        <v>2.6844399999999999</v>
      </c>
      <c r="AS96">
        <v>17.559999999999999</v>
      </c>
      <c r="AT96">
        <v>-1.3911999999999987</v>
      </c>
      <c r="AU96">
        <v>2.2585250000000001</v>
      </c>
      <c r="AV96">
        <v>0.94782499999999992</v>
      </c>
      <c r="AW96">
        <v>1.4864499999999996</v>
      </c>
      <c r="AX96" t="s">
        <v>294</v>
      </c>
      <c r="AY96">
        <v>30</v>
      </c>
      <c r="AZ96">
        <v>2.2055999999999996</v>
      </c>
      <c r="BA96">
        <v>-8.3039999999999985</v>
      </c>
      <c r="BB96">
        <v>-39.52000000000001</v>
      </c>
      <c r="BC96">
        <v>-0.95999999999999985</v>
      </c>
      <c r="BD96">
        <v>9.9719999999999995</v>
      </c>
      <c r="BE96">
        <v>27.68</v>
      </c>
      <c r="BF96">
        <v>4.0399999999999991</v>
      </c>
      <c r="BG96">
        <v>31</v>
      </c>
      <c r="BH96">
        <v>28.5</v>
      </c>
      <c r="BI96">
        <v>1.52</v>
      </c>
      <c r="BJ96">
        <v>4</v>
      </c>
      <c r="BK96">
        <v>8.75</v>
      </c>
      <c r="BL96">
        <v>3</v>
      </c>
      <c r="BM96">
        <v>5.404984635809075E-2</v>
      </c>
      <c r="BN96">
        <v>4</v>
      </c>
      <c r="BO96">
        <v>5.3654151415937369E-3</v>
      </c>
      <c r="BP96">
        <v>14</v>
      </c>
      <c r="BQ96">
        <v>-7.0840000000000032</v>
      </c>
      <c r="BR96">
        <v>14</v>
      </c>
      <c r="BS96">
        <v>1.9999999999999993</v>
      </c>
      <c r="BT96">
        <v>1.5199999999999989</v>
      </c>
      <c r="BU96">
        <v>2.08</v>
      </c>
      <c r="BV96">
        <v>0.48</v>
      </c>
      <c r="BW96">
        <v>-4.9200000000000044</v>
      </c>
      <c r="BX96">
        <v>16.040000000000013</v>
      </c>
      <c r="BY96">
        <v>-30.6</v>
      </c>
      <c r="BZ96">
        <v>6.4799999999999995</v>
      </c>
      <c r="CA96">
        <v>3.1599999999999997</v>
      </c>
      <c r="CB96">
        <v>2</v>
      </c>
      <c r="CC96">
        <v>10.509599999999999</v>
      </c>
      <c r="CD96">
        <v>6.5875199999999987</v>
      </c>
      <c r="CE96">
        <v>46.640000000000015</v>
      </c>
      <c r="CF96">
        <v>0.40920000000000012</v>
      </c>
    </row>
    <row r="97" spans="1:84" x14ac:dyDescent="0.2">
      <c r="A97" s="39">
        <v>43758</v>
      </c>
      <c r="B97" t="s">
        <v>250</v>
      </c>
      <c r="C97" s="41" t="s">
        <v>278</v>
      </c>
      <c r="D97" t="s">
        <v>288</v>
      </c>
      <c r="E97">
        <v>14.7</v>
      </c>
      <c r="F97">
        <v>11</v>
      </c>
      <c r="G97">
        <v>2.4</v>
      </c>
      <c r="H97">
        <v>1.7</v>
      </c>
      <c r="I97">
        <v>3</v>
      </c>
      <c r="J97">
        <v>49.5</v>
      </c>
      <c r="L97" s="1" t="s">
        <v>278</v>
      </c>
      <c r="M97">
        <v>25</v>
      </c>
      <c r="N97">
        <v>-2.9968000000000004</v>
      </c>
      <c r="O97">
        <v>3.3960000000000012</v>
      </c>
      <c r="P97">
        <v>19.810000000000002</v>
      </c>
      <c r="Q97">
        <v>1.96</v>
      </c>
      <c r="R97">
        <v>-0.4340000000000015</v>
      </c>
      <c r="S97">
        <v>-4.8099999999999952</v>
      </c>
      <c r="T97">
        <v>-0.84000000000000008</v>
      </c>
      <c r="U97">
        <v>10</v>
      </c>
      <c r="V97">
        <v>9</v>
      </c>
      <c r="W97">
        <v>0.88000000000000023</v>
      </c>
      <c r="X97">
        <v>22</v>
      </c>
      <c r="Y97">
        <v>20.25</v>
      </c>
      <c r="Z97">
        <v>15</v>
      </c>
      <c r="AA97">
        <v>7.9017336281335775E-3</v>
      </c>
      <c r="AB97">
        <v>19</v>
      </c>
      <c r="AC97">
        <v>5.344277584303567E-3</v>
      </c>
      <c r="AD97">
        <v>28</v>
      </c>
      <c r="AE97">
        <v>3.7000000000000028</v>
      </c>
      <c r="AF97">
        <v>19</v>
      </c>
      <c r="AG97">
        <v>-0.24000000000000005</v>
      </c>
      <c r="AH97">
        <v>0.83999999999999775</v>
      </c>
      <c r="AI97">
        <v>-0.71999999999999953</v>
      </c>
      <c r="AJ97">
        <v>-0.6399999999999999</v>
      </c>
      <c r="AK97">
        <v>-8.1600000000000019</v>
      </c>
      <c r="AL97">
        <v>-11.319999999999993</v>
      </c>
      <c r="AM97">
        <v>14.239999999999998</v>
      </c>
      <c r="AN97">
        <v>-1.0000000000000002</v>
      </c>
      <c r="AO97">
        <v>-10.079999999999998</v>
      </c>
      <c r="AP97">
        <v>27</v>
      </c>
      <c r="AQ97">
        <v>-6.3928000000000011</v>
      </c>
      <c r="AR97">
        <v>-2.3841600000000009</v>
      </c>
      <c r="AS97">
        <v>-25.559999999999992</v>
      </c>
      <c r="AT97">
        <v>6.3928000000000011</v>
      </c>
      <c r="AU97">
        <v>0.24064999999999978</v>
      </c>
      <c r="AV97">
        <v>-0.81567499999999993</v>
      </c>
      <c r="AW97">
        <v>-1.6570999999999998</v>
      </c>
      <c r="AX97" t="s">
        <v>288</v>
      </c>
      <c r="AY97">
        <v>7</v>
      </c>
      <c r="AZ97">
        <v>-1.5680000000000003</v>
      </c>
      <c r="BA97">
        <v>9.9720000000000013</v>
      </c>
      <c r="BB97">
        <v>49.800000000000004</v>
      </c>
      <c r="BC97">
        <v>0.74000000000000021</v>
      </c>
      <c r="BD97">
        <v>-8.6379999999999999</v>
      </c>
      <c r="BE97">
        <v>-19</v>
      </c>
      <c r="BF97">
        <v>0.17999999999999994</v>
      </c>
      <c r="BG97">
        <v>20</v>
      </c>
      <c r="BH97">
        <v>21</v>
      </c>
      <c r="BI97">
        <v>-0.64</v>
      </c>
      <c r="BJ97">
        <v>2</v>
      </c>
      <c r="BK97">
        <v>7.25</v>
      </c>
      <c r="BL97">
        <v>4</v>
      </c>
      <c r="BM97">
        <v>1.6544146213552026E-2</v>
      </c>
      <c r="BN97">
        <v>13</v>
      </c>
      <c r="BO97">
        <v>-2.223461485304337E-3</v>
      </c>
      <c r="BP97">
        <v>3</v>
      </c>
      <c r="BQ97">
        <v>-1.8839999999999961</v>
      </c>
      <c r="BR97">
        <v>9</v>
      </c>
      <c r="BS97">
        <v>1.0000000000000002</v>
      </c>
      <c r="BT97">
        <v>7.1199999999999974</v>
      </c>
      <c r="BU97">
        <v>0.40000000000000069</v>
      </c>
      <c r="BV97">
        <v>-0.91999999999999993</v>
      </c>
      <c r="BW97">
        <v>26.520000000000003</v>
      </c>
      <c r="BX97">
        <v>-14.999999999999995</v>
      </c>
      <c r="BY97">
        <v>44.92</v>
      </c>
      <c r="BZ97">
        <v>-1.72</v>
      </c>
      <c r="CA97">
        <v>-1.6799999999999997</v>
      </c>
      <c r="CB97">
        <v>32</v>
      </c>
      <c r="CC97">
        <v>-11.540000000000001</v>
      </c>
      <c r="CD97">
        <v>-7.0272000000000006</v>
      </c>
      <c r="CE97">
        <v>-59.919999999999995</v>
      </c>
      <c r="CF97">
        <v>2.5750000000000037E-2</v>
      </c>
    </row>
    <row r="98" spans="1:84" x14ac:dyDescent="0.2">
      <c r="A98" s="39">
        <v>43758</v>
      </c>
      <c r="B98" s="22" t="s">
        <v>250</v>
      </c>
      <c r="C98" s="41" t="s">
        <v>299</v>
      </c>
      <c r="D98" s="22" t="s">
        <v>312</v>
      </c>
      <c r="E98">
        <v>3.1</v>
      </c>
      <c r="F98" s="14">
        <v>43.3</v>
      </c>
      <c r="G98">
        <v>21.5</v>
      </c>
      <c r="H98">
        <f>6.2+1.7</f>
        <v>7.9</v>
      </c>
      <c r="I98">
        <v>2.5</v>
      </c>
      <c r="J98">
        <v>43.5</v>
      </c>
      <c r="L98" s="1" t="s">
        <v>299</v>
      </c>
      <c r="M98">
        <v>9</v>
      </c>
      <c r="N98">
        <v>2.0368000000000013</v>
      </c>
      <c r="O98">
        <v>-5.7759999999999998</v>
      </c>
      <c r="P98">
        <v>-27.240000000000002</v>
      </c>
      <c r="Q98">
        <v>-0.40000000000000013</v>
      </c>
      <c r="R98">
        <v>8.0319999999999965</v>
      </c>
      <c r="S98">
        <v>24.52</v>
      </c>
      <c r="T98">
        <v>1.7200000000000002</v>
      </c>
      <c r="U98">
        <v>23</v>
      </c>
      <c r="V98">
        <v>22.5</v>
      </c>
      <c r="W98">
        <v>-0.15999999999999998</v>
      </c>
      <c r="X98">
        <v>5</v>
      </c>
      <c r="Y98">
        <v>9</v>
      </c>
      <c r="Z98">
        <v>6</v>
      </c>
      <c r="AA98">
        <v>-3.8045086315224498E-2</v>
      </c>
      <c r="AB98">
        <v>12</v>
      </c>
      <c r="AC98">
        <v>-1.6498976903959267E-2</v>
      </c>
      <c r="AD98">
        <v>9</v>
      </c>
      <c r="AE98">
        <v>-10.796000000000001</v>
      </c>
      <c r="AF98">
        <v>9</v>
      </c>
      <c r="AG98">
        <v>-2.04</v>
      </c>
      <c r="AH98">
        <v>-1.0400000000000005</v>
      </c>
      <c r="AI98">
        <v>2.4800000000000004</v>
      </c>
      <c r="AJ98">
        <v>0.83999999999999986</v>
      </c>
      <c r="AK98">
        <v>6.8799999999999955</v>
      </c>
      <c r="AL98">
        <v>27.320000000000004</v>
      </c>
      <c r="AM98">
        <v>-11.680000000000001</v>
      </c>
      <c r="AN98">
        <v>-3.44</v>
      </c>
      <c r="AO98">
        <v>-5.32</v>
      </c>
      <c r="AP98">
        <v>3</v>
      </c>
      <c r="AQ98">
        <v>7.8128000000000011</v>
      </c>
      <c r="AR98">
        <v>4.9017599999999995</v>
      </c>
      <c r="AS98">
        <v>39.000000000000007</v>
      </c>
      <c r="AT98">
        <v>-7.8128000000000011</v>
      </c>
      <c r="AU98">
        <v>1.0015999999999998</v>
      </c>
      <c r="AV98">
        <v>0.15853750000000016</v>
      </c>
      <c r="AW98">
        <v>0.87350000000000028</v>
      </c>
      <c r="AX98" t="s">
        <v>312</v>
      </c>
      <c r="AY98">
        <v>7</v>
      </c>
      <c r="AZ98">
        <v>-0.71039999999999992</v>
      </c>
      <c r="BA98">
        <v>-3.0170000000000008</v>
      </c>
      <c r="BB98">
        <v>-9.9999999999999964</v>
      </c>
      <c r="BC98">
        <v>-0.5</v>
      </c>
      <c r="BD98">
        <v>0.15600000000000103</v>
      </c>
      <c r="BE98">
        <v>-1.7199999999999971</v>
      </c>
      <c r="BF98">
        <v>2.5200000000000005</v>
      </c>
      <c r="BG98">
        <v>11</v>
      </c>
      <c r="BH98">
        <v>12</v>
      </c>
      <c r="BI98">
        <v>-1.44</v>
      </c>
      <c r="BJ98">
        <v>7</v>
      </c>
      <c r="BK98">
        <v>12.25</v>
      </c>
      <c r="BL98">
        <v>19</v>
      </c>
      <c r="BM98">
        <v>3.1735850421121446E-2</v>
      </c>
      <c r="BN98">
        <v>13</v>
      </c>
      <c r="BO98">
        <v>2.2530934486844813E-2</v>
      </c>
      <c r="BP98">
        <v>1</v>
      </c>
      <c r="BQ98">
        <v>-5.851999999999995</v>
      </c>
      <c r="BR98">
        <v>16</v>
      </c>
      <c r="BS98">
        <v>0.36</v>
      </c>
      <c r="BT98">
        <v>1.4800000000000011</v>
      </c>
      <c r="BU98">
        <v>-4.5199999999999996</v>
      </c>
      <c r="BV98">
        <v>-1.9599999999999997</v>
      </c>
      <c r="BW98">
        <v>-22.8</v>
      </c>
      <c r="BX98">
        <v>-8.7600000000000016</v>
      </c>
      <c r="BY98">
        <v>-3.3999999999999986</v>
      </c>
      <c r="BZ98">
        <v>-8.36</v>
      </c>
      <c r="CA98">
        <v>-2.2800000000000002</v>
      </c>
      <c r="CB98">
        <v>10</v>
      </c>
      <c r="CC98">
        <v>2.3066000000000009</v>
      </c>
      <c r="CD98">
        <v>1.3976200000000005</v>
      </c>
      <c r="CE98">
        <v>-5.360000000000003</v>
      </c>
      <c r="CF98">
        <v>-0.55642499999999995</v>
      </c>
    </row>
    <row r="99" spans="1:84" x14ac:dyDescent="0.2">
      <c r="A99" s="39">
        <v>43758</v>
      </c>
      <c r="B99" s="22" t="s">
        <v>250</v>
      </c>
      <c r="C99" s="41" t="s">
        <v>300</v>
      </c>
      <c r="D99" s="22" t="s">
        <v>303</v>
      </c>
      <c r="E99" s="3">
        <v>24.3</v>
      </c>
      <c r="F99" s="30">
        <v>7.3</v>
      </c>
      <c r="G99" s="3">
        <v>7.2</v>
      </c>
      <c r="H99">
        <v>16.5</v>
      </c>
      <c r="I99">
        <v>-5.5</v>
      </c>
      <c r="J99">
        <v>48</v>
      </c>
      <c r="L99" s="1" t="s">
        <v>300</v>
      </c>
      <c r="M99">
        <v>11</v>
      </c>
      <c r="N99">
        <v>1.3784000000000003</v>
      </c>
      <c r="O99">
        <v>11.888</v>
      </c>
      <c r="P99">
        <v>22.36</v>
      </c>
      <c r="Q99">
        <v>1.9</v>
      </c>
      <c r="R99">
        <v>-0.95200000000000173</v>
      </c>
      <c r="S99">
        <v>13.919999999999996</v>
      </c>
      <c r="T99">
        <v>-1.7199999999999998</v>
      </c>
      <c r="U99">
        <v>31</v>
      </c>
      <c r="V99">
        <v>31</v>
      </c>
      <c r="W99">
        <v>0.76000000000000012</v>
      </c>
      <c r="X99">
        <v>16</v>
      </c>
      <c r="Y99">
        <v>14.5</v>
      </c>
      <c r="Z99">
        <v>17</v>
      </c>
      <c r="AA99">
        <v>3.4258156889234039E-2</v>
      </c>
      <c r="AB99">
        <v>14</v>
      </c>
      <c r="AC99">
        <v>-2.6293805378768288E-2</v>
      </c>
      <c r="AD99">
        <v>3</v>
      </c>
      <c r="AE99">
        <v>12.483999999999996</v>
      </c>
      <c r="AF99">
        <v>24</v>
      </c>
      <c r="AG99">
        <v>-3.6399999999999997</v>
      </c>
      <c r="AH99">
        <v>2.2800000000000011</v>
      </c>
      <c r="AI99">
        <v>6.6400000000000006</v>
      </c>
      <c r="AJ99">
        <v>-0.83999999999999986</v>
      </c>
      <c r="AK99">
        <v>42.2</v>
      </c>
      <c r="AL99">
        <v>28.160000000000007</v>
      </c>
      <c r="AM99">
        <v>16.32</v>
      </c>
      <c r="AN99">
        <v>-3.0400000000000005</v>
      </c>
      <c r="AO99">
        <v>0.76000000000000101</v>
      </c>
      <c r="AP99">
        <v>31</v>
      </c>
      <c r="AQ99">
        <v>-10.509599999999999</v>
      </c>
      <c r="AR99">
        <v>-5.8587199999999999</v>
      </c>
      <c r="AS99">
        <v>11.840000000000007</v>
      </c>
      <c r="AT99">
        <v>10.509599999999999</v>
      </c>
      <c r="AU99">
        <v>1.7142999999999999</v>
      </c>
      <c r="AV99">
        <v>0.51675000000000026</v>
      </c>
      <c r="AW99">
        <v>-0.60919999999999963</v>
      </c>
      <c r="AX99" t="s">
        <v>303</v>
      </c>
      <c r="AY99">
        <v>13</v>
      </c>
      <c r="AZ99">
        <v>7.2295999999999996</v>
      </c>
      <c r="BA99">
        <v>-0.78799999999999848</v>
      </c>
      <c r="BB99">
        <v>-17.16</v>
      </c>
      <c r="BC99">
        <v>-3.9999999999999813E-2</v>
      </c>
      <c r="BD99">
        <v>8.4600000000000009</v>
      </c>
      <c r="BE99">
        <v>27.2</v>
      </c>
      <c r="BF99">
        <v>-1.1999999999999997</v>
      </c>
      <c r="BG99">
        <v>27</v>
      </c>
      <c r="BH99">
        <v>25.5</v>
      </c>
      <c r="BI99">
        <v>-1.7200000000000002</v>
      </c>
      <c r="BJ99">
        <v>10</v>
      </c>
      <c r="BK99">
        <v>13.25</v>
      </c>
      <c r="BL99">
        <v>12</v>
      </c>
      <c r="BM99">
        <v>-6.5847694695701967E-2</v>
      </c>
      <c r="BN99">
        <v>11</v>
      </c>
      <c r="BO99">
        <v>-3.5669368567934944E-3</v>
      </c>
      <c r="BP99">
        <v>12</v>
      </c>
      <c r="BQ99">
        <v>8.3520000000000021</v>
      </c>
      <c r="BR99">
        <v>18</v>
      </c>
      <c r="BS99">
        <v>-1.64</v>
      </c>
      <c r="BT99">
        <v>-2.4000000000000012</v>
      </c>
      <c r="BU99">
        <v>6.24</v>
      </c>
      <c r="BV99">
        <v>-1</v>
      </c>
      <c r="BW99">
        <v>20.639999999999997</v>
      </c>
      <c r="BX99">
        <v>43.440000000000012</v>
      </c>
      <c r="BY99">
        <v>-15.76</v>
      </c>
      <c r="BZ99">
        <v>-4.68</v>
      </c>
      <c r="CA99">
        <v>-2.3600000000000003</v>
      </c>
      <c r="CB99">
        <v>3</v>
      </c>
      <c r="CC99">
        <v>8.0175999999999981</v>
      </c>
      <c r="CD99">
        <v>3.5319199999999991</v>
      </c>
      <c r="CE99">
        <v>59.20000000000001</v>
      </c>
      <c r="CF99">
        <v>1.6427000000000003</v>
      </c>
    </row>
    <row r="100" spans="1:84" x14ac:dyDescent="0.2">
      <c r="A100" s="39">
        <v>43758</v>
      </c>
      <c r="B100" s="22" t="s">
        <v>250</v>
      </c>
      <c r="C100" s="41" t="s">
        <v>311</v>
      </c>
      <c r="D100" s="22" t="s">
        <v>289</v>
      </c>
      <c r="E100">
        <v>28.6</v>
      </c>
      <c r="F100">
        <v>17.5</v>
      </c>
      <c r="G100">
        <v>11.9</v>
      </c>
      <c r="H100">
        <f>4.7+3.7</f>
        <v>8.4</v>
      </c>
      <c r="I100">
        <v>1.5</v>
      </c>
      <c r="J100">
        <v>46.5</v>
      </c>
      <c r="L100" s="1" t="s">
        <v>311</v>
      </c>
      <c r="M100">
        <v>3</v>
      </c>
      <c r="N100">
        <v>6.3128000000000002</v>
      </c>
      <c r="O100">
        <v>-5.0599999999999987</v>
      </c>
      <c r="P100">
        <v>5.6000000000000023</v>
      </c>
      <c r="Q100">
        <v>-2.2800000000000002</v>
      </c>
      <c r="R100">
        <v>12.388000000000005</v>
      </c>
      <c r="S100">
        <v>53.12</v>
      </c>
      <c r="T100">
        <v>4.4799999999999995</v>
      </c>
      <c r="U100">
        <v>22</v>
      </c>
      <c r="V100">
        <v>20.5</v>
      </c>
      <c r="W100">
        <v>2.0000000000000004</v>
      </c>
      <c r="X100">
        <v>20</v>
      </c>
      <c r="Y100">
        <v>17.5</v>
      </c>
      <c r="Z100">
        <v>1</v>
      </c>
      <c r="AA100">
        <v>1.6330151421233324E-2</v>
      </c>
      <c r="AB100">
        <v>24</v>
      </c>
      <c r="AC100">
        <v>-3.5754874068989776E-3</v>
      </c>
      <c r="AD100">
        <v>15</v>
      </c>
      <c r="AE100">
        <v>1.1080000000000028</v>
      </c>
      <c r="AF100">
        <v>30</v>
      </c>
      <c r="AG100">
        <v>-1.64</v>
      </c>
      <c r="AH100">
        <v>0.7600000000000009</v>
      </c>
      <c r="AI100">
        <v>3.16</v>
      </c>
      <c r="AJ100">
        <v>0.55999999999999983</v>
      </c>
      <c r="AK100">
        <v>26.880000000000006</v>
      </c>
      <c r="AL100">
        <v>21.719999999999992</v>
      </c>
      <c r="AM100">
        <v>0.24000000000000057</v>
      </c>
      <c r="AN100">
        <v>-0.72</v>
      </c>
      <c r="AO100">
        <v>5.64</v>
      </c>
      <c r="AP100">
        <v>1</v>
      </c>
      <c r="AQ100">
        <v>11.3728</v>
      </c>
      <c r="AR100">
        <v>6.2701600000000006</v>
      </c>
      <c r="AS100">
        <v>21.47999999999999</v>
      </c>
      <c r="AT100">
        <v>-11.372799999999998</v>
      </c>
      <c r="AU100">
        <v>1.6301000000000008</v>
      </c>
      <c r="AV100">
        <v>-0.91494999999999993</v>
      </c>
      <c r="AW100">
        <v>-0.9337000000000002</v>
      </c>
      <c r="AX100" t="s">
        <v>289</v>
      </c>
      <c r="AY100">
        <v>25</v>
      </c>
      <c r="AZ100">
        <v>-2.6296000000000004</v>
      </c>
      <c r="BA100">
        <v>-6.5120000000000005</v>
      </c>
      <c r="BB100">
        <v>-9.3199999999999985</v>
      </c>
      <c r="BC100">
        <v>-1.5599999999999998</v>
      </c>
      <c r="BD100">
        <v>0.3320000000000034</v>
      </c>
      <c r="BE100">
        <v>-19.039999999999992</v>
      </c>
      <c r="BF100">
        <v>-2.5200000000000005</v>
      </c>
      <c r="BG100">
        <v>5</v>
      </c>
      <c r="BH100">
        <v>4.5</v>
      </c>
      <c r="BI100">
        <v>-0.47999999999999987</v>
      </c>
      <c r="BJ100">
        <v>28</v>
      </c>
      <c r="BK100">
        <v>23</v>
      </c>
      <c r="BL100">
        <v>27</v>
      </c>
      <c r="BM100">
        <v>-4.7124176658283725E-3</v>
      </c>
      <c r="BN100">
        <v>18</v>
      </c>
      <c r="BO100">
        <v>1.9313187677867133E-3</v>
      </c>
      <c r="BP100">
        <v>26</v>
      </c>
      <c r="BQ100">
        <v>0.39599999999999935</v>
      </c>
      <c r="BR100">
        <v>21</v>
      </c>
      <c r="BS100">
        <v>-0.79999999999999982</v>
      </c>
      <c r="BT100">
        <v>-4.6800000000000015</v>
      </c>
      <c r="BU100">
        <v>-1.3599999999999999</v>
      </c>
      <c r="BV100">
        <v>0.55999999999999994</v>
      </c>
      <c r="BW100">
        <v>-23.76</v>
      </c>
      <c r="BX100">
        <v>-27.639999999999993</v>
      </c>
      <c r="BY100">
        <v>-8.64</v>
      </c>
      <c r="BZ100">
        <v>10.959999999999999</v>
      </c>
      <c r="CA100">
        <v>1.56</v>
      </c>
      <c r="CB100">
        <v>7</v>
      </c>
      <c r="CC100">
        <v>3.8824000000000005</v>
      </c>
      <c r="CD100">
        <v>2.7964800000000007</v>
      </c>
      <c r="CE100">
        <v>-18.999999999999993</v>
      </c>
      <c r="CF100">
        <v>-0.89619999999999955</v>
      </c>
    </row>
    <row r="101" spans="1:84" x14ac:dyDescent="0.2">
      <c r="A101" s="39">
        <v>43758</v>
      </c>
      <c r="B101" s="22" t="s">
        <v>250</v>
      </c>
      <c r="C101" s="41" t="s">
        <v>289</v>
      </c>
      <c r="D101" s="22" t="s">
        <v>311</v>
      </c>
      <c r="E101">
        <v>19.399999999999999</v>
      </c>
      <c r="F101">
        <v>31.6</v>
      </c>
      <c r="G101">
        <v>4.4000000000000004</v>
      </c>
      <c r="H101">
        <v>22.1</v>
      </c>
      <c r="I101">
        <v>-1.5</v>
      </c>
      <c r="J101">
        <v>46.5</v>
      </c>
      <c r="L101" s="4" t="s">
        <v>289</v>
      </c>
      <c r="M101" s="3">
        <v>17</v>
      </c>
      <c r="N101" s="3">
        <v>-0.67360000000000009</v>
      </c>
      <c r="O101">
        <v>-6.2639999999999976</v>
      </c>
      <c r="P101">
        <v>-11.24</v>
      </c>
      <c r="Q101">
        <v>-0.92000000000000015</v>
      </c>
      <c r="R101">
        <v>2.3160000000000021</v>
      </c>
      <c r="S101">
        <v>-18.919999999999998</v>
      </c>
      <c r="T101">
        <v>2.4799999999999995</v>
      </c>
      <c r="U101">
        <v>19</v>
      </c>
      <c r="V101">
        <v>19.5</v>
      </c>
      <c r="W101">
        <v>-0.79999999999999982</v>
      </c>
      <c r="X101">
        <v>3</v>
      </c>
      <c r="Y101">
        <v>7.75</v>
      </c>
      <c r="Z101">
        <v>4</v>
      </c>
      <c r="AA101">
        <v>1.8565830413906498E-2</v>
      </c>
      <c r="AB101">
        <v>8</v>
      </c>
      <c r="AC101">
        <v>-2.2830842537296763E-2</v>
      </c>
      <c r="AD101">
        <v>13</v>
      </c>
      <c r="AE101">
        <v>-5.2719999999999985</v>
      </c>
      <c r="AF101">
        <v>6</v>
      </c>
      <c r="AG101">
        <v>-0.47999999999999987</v>
      </c>
      <c r="AH101">
        <v>2.7200000000000033</v>
      </c>
      <c r="AI101">
        <v>-0.64000000000000057</v>
      </c>
      <c r="AJ101">
        <v>0.12000000000000002</v>
      </c>
      <c r="AK101">
        <v>-28.599999999999987</v>
      </c>
      <c r="AL101">
        <v>-32.239999999999995</v>
      </c>
      <c r="AM101">
        <v>7.7199999999999989</v>
      </c>
      <c r="AN101">
        <v>0.7599999999999999</v>
      </c>
      <c r="AO101">
        <v>-4.8400000000000007</v>
      </c>
      <c r="AP101">
        <v>5</v>
      </c>
      <c r="AQ101">
        <v>5.5903999999999971</v>
      </c>
      <c r="AR101">
        <v>3.4604799999999991</v>
      </c>
      <c r="AS101">
        <v>-39.959999999999994</v>
      </c>
      <c r="AT101">
        <v>-5.5903999999999971</v>
      </c>
      <c r="AU101">
        <v>-0.69269999999999954</v>
      </c>
      <c r="AV101">
        <v>-0.91494999999999993</v>
      </c>
      <c r="AW101">
        <v>-0.89619999999999955</v>
      </c>
      <c r="AX101" t="s">
        <v>311</v>
      </c>
      <c r="AY101">
        <v>6</v>
      </c>
      <c r="AZ101">
        <v>5.4399999999998269E-2</v>
      </c>
      <c r="BA101">
        <v>-2.9600000000000017</v>
      </c>
      <c r="BB101">
        <v>-23.32</v>
      </c>
      <c r="BC101">
        <v>0.40000000000000019</v>
      </c>
      <c r="BD101">
        <v>-4.203999999999998</v>
      </c>
      <c r="BE101">
        <v>-29.88</v>
      </c>
      <c r="BF101">
        <v>-0.76000000000000012</v>
      </c>
      <c r="BG101">
        <v>22</v>
      </c>
      <c r="BH101">
        <v>21.5</v>
      </c>
      <c r="BI101">
        <v>-1.64</v>
      </c>
      <c r="BJ101">
        <v>27</v>
      </c>
      <c r="BK101">
        <v>22.75</v>
      </c>
      <c r="BL101">
        <v>31</v>
      </c>
      <c r="BM101">
        <v>5.9551559297075549E-2</v>
      </c>
      <c r="BN101">
        <v>30</v>
      </c>
      <c r="BO101">
        <v>1.8069064446590809E-2</v>
      </c>
      <c r="BP101">
        <v>2</v>
      </c>
      <c r="BQ101">
        <v>-2.1439999999999984</v>
      </c>
      <c r="BR101">
        <v>28</v>
      </c>
      <c r="BS101">
        <v>2.0000000000000004</v>
      </c>
      <c r="BT101">
        <v>-1.8000000000000014</v>
      </c>
      <c r="BU101">
        <v>-1.2800000000000005</v>
      </c>
      <c r="BV101">
        <v>-0.91999999999999993</v>
      </c>
      <c r="BW101">
        <v>-40</v>
      </c>
      <c r="BX101">
        <v>-18.52</v>
      </c>
      <c r="BY101">
        <v>-24.04</v>
      </c>
      <c r="BZ101">
        <v>-1.3199999999999998</v>
      </c>
      <c r="CA101">
        <v>3.88</v>
      </c>
      <c r="CB101">
        <v>8</v>
      </c>
      <c r="CC101">
        <v>3.0144000000000002</v>
      </c>
      <c r="CD101">
        <v>0.65008000000000099</v>
      </c>
      <c r="CE101">
        <v>5.52</v>
      </c>
      <c r="CF101">
        <v>-0.9337000000000002</v>
      </c>
    </row>
    <row r="102" spans="1:84" x14ac:dyDescent="0.2">
      <c r="A102" s="39">
        <v>43758</v>
      </c>
      <c r="B102" s="22" t="s">
        <v>250</v>
      </c>
      <c r="C102" s="41" t="s">
        <v>297</v>
      </c>
      <c r="D102" s="22" t="s">
        <v>272</v>
      </c>
      <c r="E102">
        <v>20.7</v>
      </c>
      <c r="F102">
        <v>10.3</v>
      </c>
      <c r="G102">
        <v>13.3</v>
      </c>
      <c r="H102">
        <v>0</v>
      </c>
      <c r="I102">
        <v>-4</v>
      </c>
      <c r="J102">
        <v>44.5</v>
      </c>
      <c r="L102" s="1" t="s">
        <v>297</v>
      </c>
      <c r="M102">
        <v>14</v>
      </c>
      <c r="N102">
        <v>2.5599999999999311E-2</v>
      </c>
      <c r="O102">
        <v>1.7440000000000007</v>
      </c>
      <c r="P102">
        <v>38.200000000000003</v>
      </c>
      <c r="Q102">
        <v>-1.0400000000000003</v>
      </c>
      <c r="R102">
        <v>0.67600000000000104</v>
      </c>
      <c r="S102">
        <v>4.0399999999999974</v>
      </c>
      <c r="T102">
        <v>0.31999999999999967</v>
      </c>
      <c r="U102">
        <v>27</v>
      </c>
      <c r="V102">
        <v>27</v>
      </c>
      <c r="W102">
        <v>0.28000000000000008</v>
      </c>
      <c r="X102">
        <v>7</v>
      </c>
      <c r="Y102">
        <v>11.25</v>
      </c>
      <c r="Z102">
        <v>7</v>
      </c>
      <c r="AA102">
        <v>1.2435475090462767E-2</v>
      </c>
      <c r="AB102">
        <v>17</v>
      </c>
      <c r="AC102">
        <v>-7.0540488234043059E-3</v>
      </c>
      <c r="AD102">
        <v>18</v>
      </c>
      <c r="AE102">
        <v>-4.6080000000000014</v>
      </c>
      <c r="AF102">
        <v>3</v>
      </c>
      <c r="AG102">
        <v>-0.96</v>
      </c>
      <c r="AH102">
        <v>0.15999999999999942</v>
      </c>
      <c r="AI102">
        <v>-7.1054273576010023E-16</v>
      </c>
      <c r="AJ102">
        <v>-0.27999999999999997</v>
      </c>
      <c r="AK102">
        <v>28.039999999999985</v>
      </c>
      <c r="AL102">
        <v>-10.159999999999997</v>
      </c>
      <c r="AM102">
        <v>33.720000000000006</v>
      </c>
      <c r="AN102">
        <v>-4.24</v>
      </c>
      <c r="AO102">
        <v>8.7199999999999989</v>
      </c>
      <c r="AP102">
        <v>23</v>
      </c>
      <c r="AQ102">
        <v>-1.7184000000000017</v>
      </c>
      <c r="AR102">
        <v>-0.73168000000000022</v>
      </c>
      <c r="AS102">
        <v>-43.88</v>
      </c>
      <c r="AT102">
        <v>1.7184000000000013</v>
      </c>
      <c r="AU102">
        <v>0.54070000000000007</v>
      </c>
      <c r="AV102">
        <v>0.16732499999999995</v>
      </c>
      <c r="AW102">
        <v>-1.1399000000000004</v>
      </c>
      <c r="AX102" t="s">
        <v>272</v>
      </c>
      <c r="AY102">
        <v>10</v>
      </c>
      <c r="AZ102">
        <v>4.4544000000000015</v>
      </c>
      <c r="BA102">
        <v>8.9319999999999986</v>
      </c>
      <c r="BB102">
        <v>28.359999999999996</v>
      </c>
      <c r="BC102">
        <v>2</v>
      </c>
      <c r="BD102">
        <v>-3.9099999999999988</v>
      </c>
      <c r="BE102">
        <v>-10.360000000000001</v>
      </c>
      <c r="BF102">
        <v>-4.38</v>
      </c>
      <c r="BG102">
        <v>20</v>
      </c>
      <c r="BH102">
        <v>21</v>
      </c>
      <c r="BI102">
        <v>1.2799999999999998</v>
      </c>
      <c r="BJ102">
        <v>22</v>
      </c>
      <c r="BK102">
        <v>18.25</v>
      </c>
      <c r="BL102">
        <v>13</v>
      </c>
      <c r="BM102">
        <v>-1.9805685429181229E-2</v>
      </c>
      <c r="BN102">
        <v>15</v>
      </c>
      <c r="BO102">
        <v>-4.1258268634499537E-2</v>
      </c>
      <c r="BP102">
        <v>19</v>
      </c>
      <c r="BQ102">
        <v>-4.1719999999999988</v>
      </c>
      <c r="BR102">
        <v>26</v>
      </c>
      <c r="BS102">
        <v>-3.1599999999999997</v>
      </c>
      <c r="BT102">
        <v>3.8</v>
      </c>
      <c r="BU102">
        <v>4.92</v>
      </c>
      <c r="BV102">
        <v>-0.55999999999999994</v>
      </c>
      <c r="BW102">
        <v>79.28</v>
      </c>
      <c r="BX102">
        <v>19.360000000000003</v>
      </c>
      <c r="BY102">
        <v>34.44</v>
      </c>
      <c r="BZ102">
        <v>2.68</v>
      </c>
      <c r="CA102">
        <v>22.8</v>
      </c>
      <c r="CB102">
        <v>28</v>
      </c>
      <c r="CC102">
        <v>-4.477599999999998</v>
      </c>
      <c r="CD102">
        <v>-4.3571199999999992</v>
      </c>
      <c r="CE102">
        <v>-15.079999999999995</v>
      </c>
      <c r="CF102">
        <v>1.4745500000000002</v>
      </c>
    </row>
    <row r="103" spans="1:84" x14ac:dyDescent="0.2">
      <c r="A103" s="39">
        <v>43758</v>
      </c>
      <c r="B103" s="28" t="s">
        <v>250</v>
      </c>
      <c r="C103" s="41" t="s">
        <v>288</v>
      </c>
      <c r="D103" s="28" t="s">
        <v>278</v>
      </c>
      <c r="E103" s="3">
        <v>16.399999999999999</v>
      </c>
      <c r="F103" s="30">
        <v>10.8</v>
      </c>
      <c r="G103" s="3">
        <v>6.1</v>
      </c>
      <c r="H103" s="3">
        <v>10.4</v>
      </c>
      <c r="I103">
        <v>-3</v>
      </c>
      <c r="J103">
        <v>49.5</v>
      </c>
      <c r="K103" s="3"/>
      <c r="L103" s="1" t="s">
        <v>288</v>
      </c>
      <c r="M103">
        <v>5</v>
      </c>
      <c r="N103">
        <v>4.4239999999999986</v>
      </c>
      <c r="O103">
        <v>-1.2543999999999993</v>
      </c>
      <c r="P103">
        <v>-21.520000000000003</v>
      </c>
      <c r="Q103">
        <v>0.20000000000000012</v>
      </c>
      <c r="R103">
        <v>7.548</v>
      </c>
      <c r="S103">
        <v>50.8</v>
      </c>
      <c r="T103">
        <v>3.3599999999999994</v>
      </c>
      <c r="U103">
        <v>15</v>
      </c>
      <c r="V103">
        <v>14.5</v>
      </c>
      <c r="W103">
        <v>1.0000000000000002</v>
      </c>
      <c r="X103">
        <v>29</v>
      </c>
      <c r="Y103">
        <v>25</v>
      </c>
      <c r="Z103">
        <v>26</v>
      </c>
      <c r="AA103">
        <v>-1.4912573601115831E-2</v>
      </c>
      <c r="AB103">
        <v>23</v>
      </c>
      <c r="AC103">
        <v>-9.1447439433009377E-3</v>
      </c>
      <c r="AD103">
        <v>25</v>
      </c>
      <c r="AE103">
        <v>-2.2079999999999997</v>
      </c>
      <c r="AF103">
        <v>26</v>
      </c>
      <c r="AG103">
        <v>-0.64</v>
      </c>
      <c r="AH103">
        <v>-0.35999999999999799</v>
      </c>
      <c r="AI103">
        <v>0.87999999999999967</v>
      </c>
      <c r="AJ103">
        <v>0.55999999999999983</v>
      </c>
      <c r="AK103">
        <v>33.680000000000021</v>
      </c>
      <c r="AL103">
        <v>58.400000000000013</v>
      </c>
      <c r="AM103">
        <v>-23.080000000000002</v>
      </c>
      <c r="AN103">
        <v>-3.9200000000000004</v>
      </c>
      <c r="AO103">
        <v>2.2799999999999994</v>
      </c>
      <c r="AP103">
        <v>4</v>
      </c>
      <c r="AQ103">
        <v>5.6783999999999981</v>
      </c>
      <c r="AR103">
        <v>3.0215999999999994</v>
      </c>
      <c r="AS103">
        <v>81.480000000000018</v>
      </c>
      <c r="AT103">
        <v>-5.6783999999999981</v>
      </c>
      <c r="AU103">
        <v>1.3296999999999999</v>
      </c>
      <c r="AV103">
        <v>-0.81567499999999993</v>
      </c>
      <c r="AW103">
        <v>2.5750000000000037E-2</v>
      </c>
      <c r="AX103" t="s">
        <v>278</v>
      </c>
      <c r="AY103">
        <v>15</v>
      </c>
      <c r="AZ103">
        <v>-6.4927999999999999</v>
      </c>
      <c r="BA103">
        <v>0.85599999999999954</v>
      </c>
      <c r="BB103">
        <v>15.960000000000003</v>
      </c>
      <c r="BC103">
        <v>0.48000000000000026</v>
      </c>
      <c r="BD103">
        <v>-9.8199999999999985</v>
      </c>
      <c r="BE103">
        <v>-44.4</v>
      </c>
      <c r="BF103">
        <v>-1.1199999999999997</v>
      </c>
      <c r="BG103">
        <v>9</v>
      </c>
      <c r="BH103">
        <v>9.5</v>
      </c>
      <c r="BI103">
        <v>-0.24000000000000005</v>
      </c>
      <c r="BJ103">
        <v>12</v>
      </c>
      <c r="BK103">
        <v>14.5</v>
      </c>
      <c r="BL103">
        <v>25</v>
      </c>
      <c r="BM103">
        <v>-1.9145355925318353E-2</v>
      </c>
      <c r="BN103">
        <v>6</v>
      </c>
      <c r="BO103">
        <v>-3.2541181234983911E-3</v>
      </c>
      <c r="BP103">
        <v>10</v>
      </c>
      <c r="BQ103">
        <v>-14.191999999999997</v>
      </c>
      <c r="BR103">
        <v>17</v>
      </c>
      <c r="BS103">
        <v>0.88000000000000023</v>
      </c>
      <c r="BT103">
        <v>-0.67999999999999972</v>
      </c>
      <c r="BU103">
        <v>-3.7600000000000002</v>
      </c>
      <c r="BV103">
        <v>0.55999999999999994</v>
      </c>
      <c r="BW103">
        <v>-32.799999999999997</v>
      </c>
      <c r="BX103">
        <v>-47.8</v>
      </c>
      <c r="BY103">
        <v>16.439999999999998</v>
      </c>
      <c r="BZ103">
        <v>8</v>
      </c>
      <c r="CA103">
        <v>-9.4400000000000013</v>
      </c>
      <c r="CB103">
        <v>31</v>
      </c>
      <c r="CC103">
        <v>-7.3487999999999998</v>
      </c>
      <c r="CD103">
        <v>-3.6905599999999996</v>
      </c>
      <c r="CE103">
        <v>-64.239999999999995</v>
      </c>
      <c r="CF103">
        <v>-1.6570999999999998</v>
      </c>
    </row>
    <row r="104" spans="1:84" x14ac:dyDescent="0.2">
      <c r="A104" s="39">
        <v>43758</v>
      </c>
      <c r="B104" s="22" t="s">
        <v>250</v>
      </c>
      <c r="C104" s="41" t="s">
        <v>303</v>
      </c>
      <c r="D104" s="23" t="s">
        <v>300</v>
      </c>
      <c r="E104" s="3">
        <v>8.4</v>
      </c>
      <c r="F104" s="3">
        <v>3.4</v>
      </c>
      <c r="G104" s="3">
        <v>4.5999999999999996</v>
      </c>
      <c r="H104">
        <f>34.6+10.4+4.2</f>
        <v>49.2</v>
      </c>
      <c r="I104">
        <v>5.5</v>
      </c>
      <c r="J104">
        <v>48</v>
      </c>
      <c r="L104" s="1" t="s">
        <v>303</v>
      </c>
      <c r="M104">
        <v>24</v>
      </c>
      <c r="N104">
        <v>-2.6063999999999998</v>
      </c>
      <c r="O104">
        <v>-2.8280000000000003</v>
      </c>
      <c r="P104">
        <v>10.33</v>
      </c>
      <c r="Q104">
        <v>-1.3599999999999999</v>
      </c>
      <c r="R104">
        <v>5.0460000000000029</v>
      </c>
      <c r="S104">
        <v>-10.769999999999996</v>
      </c>
      <c r="T104">
        <v>-0.19999999999999929</v>
      </c>
      <c r="U104">
        <v>19</v>
      </c>
      <c r="V104">
        <v>19.5</v>
      </c>
      <c r="W104">
        <v>-1.64</v>
      </c>
      <c r="X104">
        <v>19</v>
      </c>
      <c r="Y104">
        <v>17.25</v>
      </c>
      <c r="Z104">
        <v>14</v>
      </c>
      <c r="AA104">
        <v>-0.10088090752894981</v>
      </c>
      <c r="AB104">
        <v>21</v>
      </c>
      <c r="AC104">
        <v>-1.8573134338657062E-2</v>
      </c>
      <c r="AD104">
        <v>32</v>
      </c>
      <c r="AE104">
        <v>14.827999999999999</v>
      </c>
      <c r="AF104">
        <v>2</v>
      </c>
      <c r="AG104">
        <v>-1.7200000000000002</v>
      </c>
      <c r="AH104">
        <v>-2.7600000000000007</v>
      </c>
      <c r="AI104">
        <v>-1</v>
      </c>
      <c r="AJ104">
        <v>1.0399999999999998</v>
      </c>
      <c r="AK104">
        <v>5.7200000000000042</v>
      </c>
      <c r="AL104">
        <v>-14.759999999999991</v>
      </c>
      <c r="AM104">
        <v>18.28</v>
      </c>
      <c r="AN104">
        <v>11.8</v>
      </c>
      <c r="AO104">
        <v>-9.6</v>
      </c>
      <c r="AP104">
        <v>20</v>
      </c>
      <c r="AQ104">
        <v>0.22160000000000069</v>
      </c>
      <c r="AR104">
        <v>1.9019200000000005</v>
      </c>
      <c r="AS104">
        <v>-33.039999999999992</v>
      </c>
      <c r="AT104">
        <v>-0.22160000000000046</v>
      </c>
      <c r="AU104">
        <v>-0.24854999999999966</v>
      </c>
      <c r="AV104">
        <v>0.51675000000000026</v>
      </c>
      <c r="AW104">
        <v>1.6427000000000003</v>
      </c>
      <c r="AX104" t="s">
        <v>300</v>
      </c>
      <c r="AY104">
        <v>21</v>
      </c>
      <c r="AZ104">
        <v>-2.4416000000000002</v>
      </c>
      <c r="BA104">
        <v>4.288000000000002</v>
      </c>
      <c r="BB104">
        <v>16.600000000000001</v>
      </c>
      <c r="BC104">
        <v>-0.26000000000000006</v>
      </c>
      <c r="BD104">
        <v>-6.3199999999999994</v>
      </c>
      <c r="BE104">
        <v>-4.6200000000000037</v>
      </c>
      <c r="BF104">
        <v>-2.2199999999999998</v>
      </c>
      <c r="BG104">
        <v>6</v>
      </c>
      <c r="BH104">
        <v>5</v>
      </c>
      <c r="BI104">
        <v>-3.6399999999999997</v>
      </c>
      <c r="BJ104">
        <v>29</v>
      </c>
      <c r="BK104">
        <v>24</v>
      </c>
      <c r="BL104">
        <v>17</v>
      </c>
      <c r="BM104">
        <v>5.0283851434233216E-2</v>
      </c>
      <c r="BN104">
        <v>23</v>
      </c>
      <c r="BO104">
        <v>1.6924454075850751E-2</v>
      </c>
      <c r="BP104">
        <v>27</v>
      </c>
      <c r="BQ104">
        <v>-9.5760000000000005</v>
      </c>
      <c r="BR104">
        <v>29</v>
      </c>
      <c r="BS104">
        <v>0.76000000000000012</v>
      </c>
      <c r="BT104">
        <v>-0.4</v>
      </c>
      <c r="BU104">
        <v>7.999999999999971E-2</v>
      </c>
      <c r="BV104">
        <v>-0.91999999999999993</v>
      </c>
      <c r="BW104">
        <v>19.759999999999991</v>
      </c>
      <c r="BX104">
        <v>7.9599999999999964</v>
      </c>
      <c r="BY104">
        <v>8.2799999999999976</v>
      </c>
      <c r="BZ104">
        <v>0.56000000000000016</v>
      </c>
      <c r="CA104">
        <v>2.96</v>
      </c>
      <c r="CB104">
        <v>30</v>
      </c>
      <c r="CC104">
        <v>-6.7296000000000022</v>
      </c>
      <c r="CD104">
        <v>-3.8963200000000011</v>
      </c>
      <c r="CE104">
        <v>-0.32000000000000117</v>
      </c>
      <c r="CF104">
        <v>-0.60919999999999963</v>
      </c>
    </row>
    <row r="105" spans="1:84" x14ac:dyDescent="0.2">
      <c r="A105" s="39">
        <v>43758</v>
      </c>
      <c r="B105" s="22" t="s">
        <v>250</v>
      </c>
      <c r="C105" s="41" t="s">
        <v>287</v>
      </c>
      <c r="D105" s="22" t="s">
        <v>310</v>
      </c>
      <c r="E105">
        <v>10.1</v>
      </c>
      <c r="F105">
        <v>8.6999999999999993</v>
      </c>
      <c r="G105">
        <v>0</v>
      </c>
      <c r="H105">
        <f>15.7+1.9</f>
        <v>17.599999999999998</v>
      </c>
      <c r="I105">
        <v>3</v>
      </c>
      <c r="J105">
        <v>42.5</v>
      </c>
      <c r="K105" t="s">
        <v>110</v>
      </c>
      <c r="L105" s="1" t="s">
        <v>287</v>
      </c>
      <c r="M105">
        <v>19</v>
      </c>
      <c r="N105">
        <v>-0.73760000000000103</v>
      </c>
      <c r="O105">
        <v>2.3319999999999999</v>
      </c>
      <c r="P105">
        <v>-29.319999999999993</v>
      </c>
      <c r="Q105">
        <v>4.12</v>
      </c>
      <c r="R105">
        <v>0.91200000000000037</v>
      </c>
      <c r="S105">
        <v>20.48</v>
      </c>
      <c r="T105">
        <v>0.64000000000000012</v>
      </c>
      <c r="U105">
        <v>4</v>
      </c>
      <c r="V105">
        <v>7</v>
      </c>
      <c r="W105">
        <v>0.12000000000000029</v>
      </c>
      <c r="X105">
        <v>10</v>
      </c>
      <c r="Y105">
        <v>12.75</v>
      </c>
      <c r="Z105">
        <v>24</v>
      </c>
      <c r="AA105">
        <v>5.2045253758965196E-2</v>
      </c>
      <c r="AB105">
        <v>12</v>
      </c>
      <c r="AC105">
        <v>-2.0669000519852564E-2</v>
      </c>
      <c r="AD105">
        <v>7</v>
      </c>
      <c r="AE105">
        <v>6.4960000000000022</v>
      </c>
      <c r="AF105">
        <v>8</v>
      </c>
      <c r="AG105">
        <v>1.3199999999999998</v>
      </c>
      <c r="AH105">
        <v>-0.27999999999999969</v>
      </c>
      <c r="AI105">
        <v>-4.76</v>
      </c>
      <c r="AJ105">
        <v>-8.8817841970012528E-17</v>
      </c>
      <c r="AK105">
        <v>-5.599999999999989</v>
      </c>
      <c r="AL105">
        <v>41.280000000000008</v>
      </c>
      <c r="AM105">
        <v>-33.519999999999996</v>
      </c>
      <c r="AN105">
        <v>-2.9600000000000004</v>
      </c>
      <c r="AO105">
        <v>-10.4</v>
      </c>
      <c r="AP105">
        <v>24</v>
      </c>
      <c r="AQ105">
        <v>-3.0696000000000012</v>
      </c>
      <c r="AR105">
        <v>-1.1311200000000001</v>
      </c>
      <c r="AS105">
        <v>74.800000000000011</v>
      </c>
      <c r="AT105">
        <v>3.0696000000000008</v>
      </c>
      <c r="AU105">
        <v>0.3032999999999999</v>
      </c>
      <c r="AV105">
        <v>-1.5318000000000001</v>
      </c>
      <c r="AW105">
        <v>-1.24715</v>
      </c>
      <c r="AX105" t="s">
        <v>310</v>
      </c>
      <c r="AY105">
        <v>11</v>
      </c>
      <c r="AZ105">
        <v>-2.5556000000000014</v>
      </c>
      <c r="BA105">
        <v>-2.9520000000000004</v>
      </c>
      <c r="BB105">
        <v>-20.759999999999998</v>
      </c>
      <c r="BC105">
        <v>1.08</v>
      </c>
      <c r="BD105">
        <v>-8.3439999999999994</v>
      </c>
      <c r="BE105">
        <v>-42.52</v>
      </c>
      <c r="BF105">
        <v>-1.9200000000000002</v>
      </c>
      <c r="BG105">
        <v>3</v>
      </c>
      <c r="BH105">
        <v>3.5</v>
      </c>
      <c r="BI105">
        <v>4.6399999999999997</v>
      </c>
      <c r="BJ105">
        <v>15</v>
      </c>
      <c r="BK105">
        <v>15.75</v>
      </c>
      <c r="BL105">
        <v>16</v>
      </c>
      <c r="BM105">
        <v>-5.3431099468023248E-2</v>
      </c>
      <c r="BN105">
        <v>21</v>
      </c>
      <c r="BO105">
        <v>5.44959390423935E-3</v>
      </c>
      <c r="BP105">
        <v>13</v>
      </c>
      <c r="BQ105">
        <v>-1.6239999999999994</v>
      </c>
      <c r="BR105">
        <v>13</v>
      </c>
      <c r="BS105">
        <v>-0.79999999999999982</v>
      </c>
      <c r="BT105">
        <v>-1.4400000000000019</v>
      </c>
      <c r="BU105">
        <v>-3.7600000000000002</v>
      </c>
      <c r="BV105">
        <v>-0.36</v>
      </c>
      <c r="BW105">
        <v>-28.520000000000003</v>
      </c>
      <c r="BX105">
        <v>-25.52</v>
      </c>
      <c r="BY105">
        <v>-10.199999999999999</v>
      </c>
      <c r="BZ105">
        <v>4.0000000000000036E-2</v>
      </c>
      <c r="CA105">
        <v>7.160000000000001</v>
      </c>
      <c r="CB105">
        <v>14</v>
      </c>
      <c r="CC105">
        <v>0.39639999999999909</v>
      </c>
      <c r="CD105">
        <v>-0.70391999999999988</v>
      </c>
      <c r="CE105">
        <v>-15.32</v>
      </c>
      <c r="CF105">
        <v>-1.8164500000000001</v>
      </c>
    </row>
    <row r="106" spans="1:84" x14ac:dyDescent="0.2">
      <c r="A106" s="39">
        <v>43758</v>
      </c>
      <c r="B106" s="22" t="s">
        <v>250</v>
      </c>
      <c r="C106" s="41" t="s">
        <v>304</v>
      </c>
      <c r="D106" s="22" t="s">
        <v>295</v>
      </c>
      <c r="E106" s="14">
        <v>11</v>
      </c>
      <c r="F106">
        <v>13.6</v>
      </c>
      <c r="G106">
        <v>9.9</v>
      </c>
      <c r="H106">
        <v>16.8</v>
      </c>
      <c r="I106">
        <v>-3</v>
      </c>
      <c r="J106">
        <v>54.5</v>
      </c>
      <c r="K106" t="s">
        <v>109</v>
      </c>
      <c r="L106" s="1" t="s">
        <v>304</v>
      </c>
      <c r="M106">
        <v>18</v>
      </c>
      <c r="N106">
        <v>-0.68479999999999941</v>
      </c>
      <c r="O106">
        <v>-2.5728</v>
      </c>
      <c r="P106">
        <v>-10.519999999999996</v>
      </c>
      <c r="Q106">
        <v>-0.60000000000000009</v>
      </c>
      <c r="R106">
        <v>19.02</v>
      </c>
      <c r="S106">
        <v>80.84</v>
      </c>
      <c r="T106">
        <v>10.039999999999999</v>
      </c>
      <c r="U106">
        <v>16</v>
      </c>
      <c r="V106">
        <v>15.5</v>
      </c>
      <c r="W106">
        <v>-0.55999999999999983</v>
      </c>
      <c r="X106">
        <v>23</v>
      </c>
      <c r="Y106">
        <v>20.5</v>
      </c>
      <c r="Z106">
        <v>32</v>
      </c>
      <c r="AA106">
        <v>9.0780050721000746E-2</v>
      </c>
      <c r="AB106">
        <v>29</v>
      </c>
      <c r="AC106">
        <v>-8.8088897539297974E-3</v>
      </c>
      <c r="AD106">
        <v>8</v>
      </c>
      <c r="AE106">
        <v>-4.5040000000000004</v>
      </c>
      <c r="AF106">
        <v>13</v>
      </c>
      <c r="AG106">
        <v>1.7763568394002506E-16</v>
      </c>
      <c r="AH106">
        <v>3.7599999999999993</v>
      </c>
      <c r="AI106">
        <v>2.8400000000000003</v>
      </c>
      <c r="AJ106">
        <v>0.48000000000000009</v>
      </c>
      <c r="AK106">
        <v>45.48</v>
      </c>
      <c r="AL106">
        <v>60.160000000000004</v>
      </c>
      <c r="AM106">
        <v>-13.8</v>
      </c>
      <c r="AN106">
        <v>9.879999999999999</v>
      </c>
      <c r="AO106">
        <v>-10.76</v>
      </c>
      <c r="AP106">
        <v>15</v>
      </c>
      <c r="AQ106">
        <v>1.8880000000000006</v>
      </c>
      <c r="AR106">
        <v>4.9534400000000005</v>
      </c>
      <c r="AS106">
        <v>73.960000000000008</v>
      </c>
      <c r="AT106">
        <v>-1.8880000000000006</v>
      </c>
      <c r="AU106">
        <v>2.3252999999999999</v>
      </c>
      <c r="AV106">
        <v>1.7071875000000005</v>
      </c>
      <c r="AW106">
        <v>-0.31482500000000002</v>
      </c>
      <c r="AX106" t="s">
        <v>295</v>
      </c>
      <c r="AY106">
        <v>27</v>
      </c>
      <c r="AZ106">
        <v>7.9056000000000024</v>
      </c>
      <c r="BA106">
        <v>1.948</v>
      </c>
      <c r="BB106">
        <v>-0.19999999999999862</v>
      </c>
      <c r="BC106">
        <v>0.92000000000000015</v>
      </c>
      <c r="BD106">
        <v>17.060000000000002</v>
      </c>
      <c r="BE106">
        <v>66.48</v>
      </c>
      <c r="BF106">
        <v>0.24000000000000038</v>
      </c>
      <c r="BG106">
        <v>17</v>
      </c>
      <c r="BH106">
        <v>14.5</v>
      </c>
      <c r="BI106">
        <v>-0.40000000000000019</v>
      </c>
      <c r="BJ106">
        <v>19</v>
      </c>
      <c r="BK106">
        <v>16.5</v>
      </c>
      <c r="BL106">
        <v>10</v>
      </c>
      <c r="BM106">
        <v>-7.832631225409413E-2</v>
      </c>
      <c r="BN106">
        <v>20</v>
      </c>
      <c r="BO106">
        <v>-4.6038082226176433E-2</v>
      </c>
      <c r="BP106">
        <v>25</v>
      </c>
      <c r="BQ106">
        <v>8.8160000000000007</v>
      </c>
      <c r="BR106">
        <v>11</v>
      </c>
      <c r="BS106">
        <v>-5.4</v>
      </c>
      <c r="BT106">
        <v>0.67999999999999972</v>
      </c>
      <c r="BU106">
        <v>8.84</v>
      </c>
      <c r="BV106">
        <v>0.47999999999999987</v>
      </c>
      <c r="BW106">
        <v>55.879999999999995</v>
      </c>
      <c r="BX106">
        <v>64.64</v>
      </c>
      <c r="BY106">
        <v>-4.8400000000000007</v>
      </c>
      <c r="BZ106">
        <v>-1.6</v>
      </c>
      <c r="CA106">
        <v>-2.3199999999999998</v>
      </c>
      <c r="CB106">
        <v>4</v>
      </c>
      <c r="CC106">
        <v>5.957600000000002</v>
      </c>
      <c r="CD106">
        <v>4.0191200000000009</v>
      </c>
      <c r="CE106">
        <v>69.48</v>
      </c>
      <c r="CF106">
        <v>3.729200000000001</v>
      </c>
    </row>
    <row r="107" spans="1:84" x14ac:dyDescent="0.2">
      <c r="A107" s="39">
        <v>43758</v>
      </c>
      <c r="B107" s="22" t="s">
        <v>250</v>
      </c>
      <c r="C107" s="41" t="s">
        <v>293</v>
      </c>
      <c r="D107" s="22" t="s">
        <v>276</v>
      </c>
      <c r="E107" s="14">
        <v>13.2</v>
      </c>
      <c r="F107">
        <v>16.5</v>
      </c>
      <c r="G107">
        <v>8.3000000000000007</v>
      </c>
      <c r="H107">
        <v>8.1</v>
      </c>
      <c r="I107">
        <v>17</v>
      </c>
      <c r="J107">
        <v>42.5</v>
      </c>
      <c r="L107" s="1" t="s">
        <v>293</v>
      </c>
      <c r="M107">
        <v>22</v>
      </c>
      <c r="N107">
        <v>-2.4400000000000004</v>
      </c>
      <c r="O107">
        <v>-5.6760000000000002</v>
      </c>
      <c r="P107">
        <v>-13.600000000000001</v>
      </c>
      <c r="Q107">
        <v>2.4800000000000004</v>
      </c>
      <c r="R107">
        <v>-3.7880000000000011</v>
      </c>
      <c r="S107">
        <v>-8.0799999999999983</v>
      </c>
      <c r="T107">
        <v>0.68000000000000027</v>
      </c>
      <c r="U107">
        <v>13</v>
      </c>
      <c r="V107">
        <v>12</v>
      </c>
      <c r="W107">
        <v>-6.919999999999999</v>
      </c>
      <c r="X107">
        <v>16</v>
      </c>
      <c r="Y107">
        <v>14.5</v>
      </c>
      <c r="Z107">
        <v>12</v>
      </c>
      <c r="AA107">
        <v>3.001764313433869E-2</v>
      </c>
      <c r="AB107">
        <v>10</v>
      </c>
      <c r="AC107">
        <v>1.8864583533273548E-2</v>
      </c>
      <c r="AD107">
        <v>14</v>
      </c>
      <c r="AE107">
        <v>-7.8919999999999986</v>
      </c>
      <c r="AF107">
        <v>22</v>
      </c>
      <c r="AG107">
        <v>5.9599999999999991</v>
      </c>
      <c r="AH107">
        <v>2.4400000000000004</v>
      </c>
      <c r="AI107">
        <v>-5.2799999999999994</v>
      </c>
      <c r="AJ107">
        <v>-1.9600000000000002</v>
      </c>
      <c r="AK107">
        <v>-28.160000000000004</v>
      </c>
      <c r="AL107">
        <v>-3.4800000000000066</v>
      </c>
      <c r="AM107">
        <v>-13.560000000000002</v>
      </c>
      <c r="AN107">
        <v>-7.68</v>
      </c>
      <c r="AO107">
        <v>-3.44</v>
      </c>
      <c r="AP107">
        <v>13</v>
      </c>
      <c r="AQ107">
        <v>3.2359999999999998</v>
      </c>
      <c r="AR107">
        <v>1.5923999999999998</v>
      </c>
      <c r="AS107">
        <v>10.079999999999995</v>
      </c>
      <c r="AT107">
        <v>-3.2359999999999998</v>
      </c>
      <c r="AU107">
        <v>-1.6930000000000001</v>
      </c>
      <c r="AV107">
        <v>-0.1896874999999999</v>
      </c>
      <c r="AW107">
        <v>0.75737500000000013</v>
      </c>
      <c r="AX107" t="s">
        <v>276</v>
      </c>
      <c r="AY107">
        <v>24</v>
      </c>
      <c r="AZ107">
        <v>-2.92</v>
      </c>
      <c r="BA107">
        <v>1.8269999999999991</v>
      </c>
      <c r="BB107">
        <v>12.36</v>
      </c>
      <c r="BC107">
        <v>-0.89999999999999991</v>
      </c>
      <c r="BD107">
        <v>-6.6409999999999991</v>
      </c>
      <c r="BE107">
        <v>-17.949999999999996</v>
      </c>
      <c r="BF107">
        <v>-0.89999999999999991</v>
      </c>
      <c r="BG107">
        <v>32</v>
      </c>
      <c r="BH107">
        <v>32</v>
      </c>
      <c r="BI107">
        <v>-0.68</v>
      </c>
      <c r="BJ107">
        <v>7</v>
      </c>
      <c r="BK107">
        <v>12.25</v>
      </c>
      <c r="BL107">
        <v>24</v>
      </c>
      <c r="BM107">
        <v>-5.7213415791041219E-3</v>
      </c>
      <c r="BN107">
        <v>3</v>
      </c>
      <c r="BO107">
        <v>-2.9869185457736213E-2</v>
      </c>
      <c r="BP107">
        <v>17</v>
      </c>
      <c r="BQ107">
        <v>-4.8960000000000008</v>
      </c>
      <c r="BR107">
        <v>5</v>
      </c>
      <c r="BS107">
        <v>-2.7600000000000002</v>
      </c>
      <c r="BT107">
        <v>-2.1200000000000019</v>
      </c>
      <c r="BU107">
        <v>-2.1199999999999997</v>
      </c>
      <c r="BV107">
        <v>-0.83999999999999986</v>
      </c>
      <c r="BW107">
        <v>-6.6</v>
      </c>
      <c r="BX107">
        <v>-15.88</v>
      </c>
      <c r="BY107">
        <v>12.559999999999997</v>
      </c>
      <c r="BZ107">
        <v>1.6</v>
      </c>
      <c r="CA107">
        <v>-4.88</v>
      </c>
      <c r="CB107">
        <v>29</v>
      </c>
      <c r="CC107">
        <v>-4.746999999999999</v>
      </c>
      <c r="CD107">
        <v>-2.8256999999999994</v>
      </c>
      <c r="CE107">
        <v>-28.439999999999998</v>
      </c>
      <c r="CF107">
        <v>-1.1367499999999999</v>
      </c>
    </row>
    <row r="108" spans="1:84" x14ac:dyDescent="0.2">
      <c r="A108" s="39">
        <v>43758</v>
      </c>
      <c r="B108" s="22" t="s">
        <v>250</v>
      </c>
      <c r="C108" s="41" t="s">
        <v>312</v>
      </c>
      <c r="D108" s="22" t="s">
        <v>299</v>
      </c>
      <c r="E108">
        <f>14+9.5</f>
        <v>23.5</v>
      </c>
      <c r="F108">
        <v>24.2</v>
      </c>
      <c r="G108">
        <v>0</v>
      </c>
      <c r="H108">
        <v>27.8</v>
      </c>
      <c r="I108">
        <v>-2.5</v>
      </c>
      <c r="J108">
        <v>43.5</v>
      </c>
      <c r="L108" s="1" t="s">
        <v>312</v>
      </c>
      <c r="M108">
        <v>23</v>
      </c>
      <c r="N108">
        <v>-2.6048000000000004</v>
      </c>
      <c r="O108">
        <v>4.7200000000000006</v>
      </c>
      <c r="P108">
        <v>47.61</v>
      </c>
      <c r="Q108">
        <v>-1.78</v>
      </c>
      <c r="R108">
        <v>-2.4620000000000015</v>
      </c>
      <c r="S108">
        <v>-10.809999999999999</v>
      </c>
      <c r="T108">
        <v>-5.4</v>
      </c>
      <c r="U108">
        <v>26</v>
      </c>
      <c r="V108">
        <v>25</v>
      </c>
      <c r="W108">
        <v>0.36</v>
      </c>
      <c r="X108">
        <v>28</v>
      </c>
      <c r="Y108">
        <v>24.5</v>
      </c>
      <c r="Z108">
        <v>22</v>
      </c>
      <c r="AA108">
        <v>4.942206420538138E-2</v>
      </c>
      <c r="AB108">
        <v>27</v>
      </c>
      <c r="AC108">
        <v>-2.7571277587572856E-3</v>
      </c>
      <c r="AD108">
        <v>22</v>
      </c>
      <c r="AE108">
        <v>14.103999999999999</v>
      </c>
      <c r="AF108">
        <v>27</v>
      </c>
      <c r="AG108">
        <v>-1.48</v>
      </c>
      <c r="AH108">
        <v>-3.2000000000000015</v>
      </c>
      <c r="AI108">
        <v>0.87999999999999967</v>
      </c>
      <c r="AJ108">
        <v>-0.6</v>
      </c>
      <c r="AK108">
        <v>20.880000000000006</v>
      </c>
      <c r="AL108">
        <v>-26.91999999999998</v>
      </c>
      <c r="AM108">
        <v>50.519999999999996</v>
      </c>
      <c r="AN108">
        <v>0.55999999999999983</v>
      </c>
      <c r="AO108">
        <v>-3.2800000000000002</v>
      </c>
      <c r="AP108">
        <v>28</v>
      </c>
      <c r="AQ108">
        <v>-7.3248000000000015</v>
      </c>
      <c r="AR108">
        <v>-3.3733600000000008</v>
      </c>
      <c r="AS108">
        <v>-77.439999999999969</v>
      </c>
      <c r="AT108">
        <v>7.3248000000000015</v>
      </c>
      <c r="AU108">
        <v>8.1649999999999709E-2</v>
      </c>
      <c r="AV108">
        <v>0.15853750000000016</v>
      </c>
      <c r="AW108">
        <v>-0.55642499999999995</v>
      </c>
      <c r="AX108" t="s">
        <v>299</v>
      </c>
      <c r="AY108">
        <v>3</v>
      </c>
      <c r="AZ108">
        <v>1.6279999999999997</v>
      </c>
      <c r="BA108">
        <v>5.2680000000000007</v>
      </c>
      <c r="BB108">
        <v>28.2</v>
      </c>
      <c r="BC108">
        <v>-0.27999999999999992</v>
      </c>
      <c r="BD108">
        <v>0.29200000000000159</v>
      </c>
      <c r="BE108">
        <v>15.24</v>
      </c>
      <c r="BF108">
        <v>1.4</v>
      </c>
      <c r="BG108">
        <v>12</v>
      </c>
      <c r="BH108">
        <v>12.5</v>
      </c>
      <c r="BI108">
        <v>-2.04</v>
      </c>
      <c r="BJ108">
        <v>24</v>
      </c>
      <c r="BK108">
        <v>21</v>
      </c>
      <c r="BL108">
        <v>26</v>
      </c>
      <c r="BM108">
        <v>-7.38521219994525E-2</v>
      </c>
      <c r="BN108">
        <v>23</v>
      </c>
      <c r="BO108">
        <v>-1.6347826541173553E-2</v>
      </c>
      <c r="BP108">
        <v>5</v>
      </c>
      <c r="BQ108">
        <v>-2.9919999999999987</v>
      </c>
      <c r="BR108">
        <v>30</v>
      </c>
      <c r="BS108">
        <v>-0.15999999999999998</v>
      </c>
      <c r="BT108">
        <v>4.32</v>
      </c>
      <c r="BU108">
        <v>2.2000000000000002</v>
      </c>
      <c r="BV108">
        <v>0.1999999999999999</v>
      </c>
      <c r="BW108">
        <v>54.759999999999991</v>
      </c>
      <c r="BX108">
        <v>16.720000000000006</v>
      </c>
      <c r="BY108">
        <v>27.04</v>
      </c>
      <c r="BZ108">
        <v>0.08</v>
      </c>
      <c r="CA108">
        <v>10.92</v>
      </c>
      <c r="CB108">
        <v>25</v>
      </c>
      <c r="CC108">
        <v>-3.640000000000001</v>
      </c>
      <c r="CD108">
        <v>-2.25</v>
      </c>
      <c r="CE108">
        <v>-10.319999999999993</v>
      </c>
      <c r="CF108">
        <v>0.87350000000000028</v>
      </c>
    </row>
    <row r="109" spans="1:84" x14ac:dyDescent="0.2">
      <c r="A109" s="39">
        <v>43758</v>
      </c>
      <c r="B109" s="22" t="s">
        <v>250</v>
      </c>
      <c r="C109" s="41" t="s">
        <v>302</v>
      </c>
      <c r="D109" s="22" t="s">
        <v>298</v>
      </c>
      <c r="E109">
        <v>13.7</v>
      </c>
      <c r="F109" s="14">
        <v>13.6</v>
      </c>
      <c r="G109">
        <v>9.6999999999999993</v>
      </c>
      <c r="H109">
        <v>5.9</v>
      </c>
      <c r="I109">
        <v>-9.5</v>
      </c>
      <c r="J109">
        <v>43</v>
      </c>
      <c r="L109" s="1" t="s">
        <v>302</v>
      </c>
      <c r="M109">
        <v>8</v>
      </c>
      <c r="N109">
        <v>2.6827999999999994</v>
      </c>
      <c r="O109">
        <v>1.1079999999999997</v>
      </c>
      <c r="P109">
        <v>-13.8</v>
      </c>
      <c r="Q109">
        <v>2.68</v>
      </c>
      <c r="R109">
        <v>-1.015999999999998</v>
      </c>
      <c r="S109">
        <v>-2.76</v>
      </c>
      <c r="T109">
        <v>0.7200000000000002</v>
      </c>
      <c r="U109">
        <v>2</v>
      </c>
      <c r="V109">
        <v>5</v>
      </c>
      <c r="W109">
        <v>9.52</v>
      </c>
      <c r="X109">
        <v>27</v>
      </c>
      <c r="Y109">
        <v>23.25</v>
      </c>
      <c r="Z109">
        <v>23</v>
      </c>
      <c r="AA109">
        <v>-9.3523559266457099E-2</v>
      </c>
      <c r="AB109">
        <v>26</v>
      </c>
      <c r="AC109">
        <v>-7.8564589039876592E-3</v>
      </c>
      <c r="AD109">
        <v>23</v>
      </c>
      <c r="AE109">
        <v>-14.068000000000001</v>
      </c>
      <c r="AF109">
        <v>21</v>
      </c>
      <c r="AG109">
        <v>1.48</v>
      </c>
      <c r="AH109">
        <v>5.6</v>
      </c>
      <c r="AI109">
        <v>2.3199999999999998</v>
      </c>
      <c r="AJ109">
        <v>4.04</v>
      </c>
      <c r="AK109">
        <v>11.920000000000005</v>
      </c>
      <c r="AL109">
        <v>28.160000000000004</v>
      </c>
      <c r="AM109">
        <v>-6.6</v>
      </c>
      <c r="AN109">
        <v>-0.2</v>
      </c>
      <c r="AO109">
        <v>-9.4400000000000013</v>
      </c>
      <c r="AP109">
        <v>17</v>
      </c>
      <c r="AQ109">
        <v>1.5747999999999998</v>
      </c>
      <c r="AR109">
        <v>-0.22063999999999961</v>
      </c>
      <c r="AS109">
        <v>34.760000000000005</v>
      </c>
      <c r="AT109">
        <v>-1.5747999999999998</v>
      </c>
      <c r="AU109">
        <v>0.18185000000000004</v>
      </c>
      <c r="AV109">
        <v>-1.1980499999999998</v>
      </c>
      <c r="AW109">
        <v>-2.845475</v>
      </c>
      <c r="AX109" t="s">
        <v>298</v>
      </c>
      <c r="AY109">
        <v>9</v>
      </c>
      <c r="AZ109">
        <v>-2.7599999999999985</v>
      </c>
      <c r="BA109">
        <v>1.6240000000000001</v>
      </c>
      <c r="BB109">
        <v>-23.360000000000003</v>
      </c>
      <c r="BC109">
        <v>0.39999999999999991</v>
      </c>
      <c r="BD109">
        <v>2.1309999999999993</v>
      </c>
      <c r="BE109">
        <v>6.0599999999999961</v>
      </c>
      <c r="BF109">
        <v>0.22999999999999998</v>
      </c>
      <c r="BG109">
        <v>24</v>
      </c>
      <c r="BH109">
        <v>23</v>
      </c>
      <c r="BI109">
        <v>3.7599999999999993</v>
      </c>
      <c r="BJ109">
        <v>23</v>
      </c>
      <c r="BK109">
        <v>20</v>
      </c>
      <c r="BL109">
        <v>32</v>
      </c>
      <c r="BM109">
        <v>7.6954668175768196E-2</v>
      </c>
      <c r="BN109">
        <v>22</v>
      </c>
      <c r="BO109">
        <v>-1.9577715947882331E-2</v>
      </c>
      <c r="BP109">
        <v>11</v>
      </c>
      <c r="BQ109">
        <v>5.839999999999999</v>
      </c>
      <c r="BR109">
        <v>15</v>
      </c>
      <c r="BS109">
        <v>-1.7600000000000002</v>
      </c>
      <c r="BT109">
        <v>3.0799999999999983</v>
      </c>
      <c r="BU109">
        <v>1.2400000000000007</v>
      </c>
      <c r="BV109">
        <v>-0.16000000000000014</v>
      </c>
      <c r="BW109">
        <v>-27.879999999999995</v>
      </c>
      <c r="BX109">
        <v>4.4000000000000004</v>
      </c>
      <c r="BY109">
        <v>-27.520000000000003</v>
      </c>
      <c r="BZ109">
        <v>2.52</v>
      </c>
      <c r="CA109">
        <v>-7.2799999999999994</v>
      </c>
      <c r="CB109">
        <v>27</v>
      </c>
      <c r="CC109">
        <v>-4.3839999999999986</v>
      </c>
      <c r="CD109">
        <v>-0.93779999999999974</v>
      </c>
      <c r="CE109">
        <v>31.92</v>
      </c>
      <c r="CF109">
        <v>0.44937500000000019</v>
      </c>
    </row>
    <row r="110" spans="1:84" x14ac:dyDescent="0.2">
      <c r="A110" s="39">
        <v>43758</v>
      </c>
      <c r="B110" s="22" t="s">
        <v>250</v>
      </c>
      <c r="C110" s="41" t="s">
        <v>307</v>
      </c>
      <c r="D110" s="22" t="s">
        <v>265</v>
      </c>
      <c r="E110">
        <v>25.1</v>
      </c>
      <c r="F110">
        <v>6.8</v>
      </c>
      <c r="G110">
        <v>0</v>
      </c>
      <c r="H110">
        <v>13.3</v>
      </c>
      <c r="I110">
        <v>4</v>
      </c>
      <c r="J110">
        <v>37</v>
      </c>
      <c r="K110" t="s">
        <v>110</v>
      </c>
      <c r="L110" s="1" t="s">
        <v>307</v>
      </c>
      <c r="M110">
        <v>20</v>
      </c>
      <c r="N110">
        <v>-2.1255999999999995</v>
      </c>
      <c r="O110">
        <v>-1.3567999999999989</v>
      </c>
      <c r="P110">
        <v>-3.1999999999999975</v>
      </c>
      <c r="Q110">
        <v>0.91999999999999982</v>
      </c>
      <c r="R110">
        <v>-5.2920000000000025</v>
      </c>
      <c r="S110">
        <v>-41.08</v>
      </c>
      <c r="T110">
        <v>-3.9999999999999991</v>
      </c>
      <c r="U110">
        <v>4</v>
      </c>
      <c r="V110">
        <v>7</v>
      </c>
      <c r="W110">
        <v>2.0000000000000004</v>
      </c>
      <c r="X110">
        <v>32</v>
      </c>
      <c r="Y110">
        <v>29.5</v>
      </c>
      <c r="Z110">
        <v>30</v>
      </c>
      <c r="AA110">
        <v>-1.7840273527344564E-2</v>
      </c>
      <c r="AB110">
        <v>28</v>
      </c>
      <c r="AC110">
        <v>-4.8950174943852695E-3</v>
      </c>
      <c r="AD110">
        <v>31</v>
      </c>
      <c r="AE110">
        <v>9.1280000000000037</v>
      </c>
      <c r="AF110">
        <v>29</v>
      </c>
      <c r="AG110">
        <v>-0.72</v>
      </c>
      <c r="AH110">
        <v>-3.4</v>
      </c>
      <c r="AI110">
        <v>-6.0399999999999991</v>
      </c>
      <c r="AJ110">
        <v>1.3199999999999998</v>
      </c>
      <c r="AK110">
        <v>-40.159999999999989</v>
      </c>
      <c r="AL110">
        <v>-38.760000000000005</v>
      </c>
      <c r="AM110">
        <v>-5.9599999999999991</v>
      </c>
      <c r="AN110">
        <v>-1.3199999999999998</v>
      </c>
      <c r="AO110">
        <v>5.8800000000000008</v>
      </c>
      <c r="AP110">
        <v>22</v>
      </c>
      <c r="AQ110">
        <v>-0.76880000000000071</v>
      </c>
      <c r="AR110">
        <v>-0.80512000000000095</v>
      </c>
      <c r="AS110">
        <v>-32.800000000000004</v>
      </c>
      <c r="AT110">
        <v>0.76880000000000059</v>
      </c>
      <c r="AU110">
        <v>-1.0218</v>
      </c>
      <c r="AV110">
        <v>-1.0698750000000001</v>
      </c>
      <c r="AW110">
        <v>-3.025725</v>
      </c>
      <c r="AX110" t="s">
        <v>265</v>
      </c>
      <c r="AY110">
        <v>29</v>
      </c>
      <c r="AZ110">
        <v>1.6095999999999999</v>
      </c>
      <c r="BA110">
        <v>3.2151999999999994</v>
      </c>
      <c r="BB110">
        <v>-10.76</v>
      </c>
      <c r="BC110">
        <v>2.12</v>
      </c>
      <c r="BD110">
        <v>3.5029999999999997</v>
      </c>
      <c r="BE110">
        <v>27.81</v>
      </c>
      <c r="BF110">
        <v>3.49</v>
      </c>
      <c r="BG110">
        <v>15</v>
      </c>
      <c r="BH110">
        <v>13</v>
      </c>
      <c r="BI110">
        <v>-1.6800000000000002</v>
      </c>
      <c r="BJ110">
        <v>32</v>
      </c>
      <c r="BK110">
        <v>29.25</v>
      </c>
      <c r="BL110">
        <v>28</v>
      </c>
      <c r="BM110">
        <v>-1.4219725411577438E-2</v>
      </c>
      <c r="BN110">
        <v>29</v>
      </c>
      <c r="BO110">
        <v>-2.2127489369001135E-3</v>
      </c>
      <c r="BP110">
        <v>29</v>
      </c>
      <c r="BQ110">
        <v>8.1480000000000015</v>
      </c>
      <c r="BR110">
        <v>31</v>
      </c>
      <c r="BS110">
        <v>2.96</v>
      </c>
      <c r="BT110">
        <v>8.5599999999999987</v>
      </c>
      <c r="BU110">
        <v>0.48000000000000009</v>
      </c>
      <c r="BV110">
        <v>-0.51999999999999991</v>
      </c>
      <c r="BW110">
        <v>24.239999999999988</v>
      </c>
      <c r="BX110">
        <v>43.12</v>
      </c>
      <c r="BY110">
        <v>-10.040000000000003</v>
      </c>
      <c r="BZ110">
        <v>-8.5599999999999987</v>
      </c>
      <c r="CA110">
        <v>-0.28000000000000025</v>
      </c>
      <c r="CB110">
        <v>20</v>
      </c>
      <c r="CC110">
        <v>-1.6055999999999997</v>
      </c>
      <c r="CD110">
        <v>-0.58507999999999982</v>
      </c>
      <c r="CE110">
        <v>53.16</v>
      </c>
      <c r="CF110">
        <v>0.88597499999999973</v>
      </c>
    </row>
    <row r="111" spans="1:84" x14ac:dyDescent="0.2">
      <c r="A111" s="39">
        <v>43758</v>
      </c>
      <c r="B111" s="22" t="s">
        <v>250</v>
      </c>
      <c r="C111" s="41" t="s">
        <v>296</v>
      </c>
      <c r="D111" s="22" t="s">
        <v>285</v>
      </c>
      <c r="E111">
        <v>14</v>
      </c>
      <c r="F111">
        <v>7.5</v>
      </c>
      <c r="G111">
        <v>4.8</v>
      </c>
      <c r="H111">
        <f>12.9</f>
        <v>12.9</v>
      </c>
      <c r="I111">
        <v>-3.5</v>
      </c>
      <c r="J111">
        <v>49.5</v>
      </c>
      <c r="K111" t="s">
        <v>109</v>
      </c>
      <c r="L111" s="1" t="s">
        <v>296</v>
      </c>
      <c r="M111">
        <v>13</v>
      </c>
      <c r="N111">
        <v>0.46840000000000048</v>
      </c>
      <c r="O111">
        <v>-4.7607999999999997</v>
      </c>
      <c r="P111">
        <v>-9.6800000000000015</v>
      </c>
      <c r="Q111">
        <v>-2.3999999999999995</v>
      </c>
      <c r="R111">
        <v>1.1079999999999977</v>
      </c>
      <c r="S111">
        <v>-1.9600000000000044</v>
      </c>
      <c r="T111">
        <v>0.56000000000000094</v>
      </c>
      <c r="U111">
        <v>28</v>
      </c>
      <c r="V111">
        <v>27.5</v>
      </c>
      <c r="W111">
        <v>1.2000000000000004</v>
      </c>
      <c r="X111">
        <v>2</v>
      </c>
      <c r="Y111">
        <v>7.5</v>
      </c>
      <c r="Z111">
        <v>3</v>
      </c>
      <c r="AA111">
        <v>5.1796518530391002E-2</v>
      </c>
      <c r="AB111">
        <v>16</v>
      </c>
      <c r="AC111">
        <v>-1.8916761646132828E-2</v>
      </c>
      <c r="AD111">
        <v>10</v>
      </c>
      <c r="AE111">
        <v>-12.756000000000004</v>
      </c>
      <c r="AF111">
        <v>1</v>
      </c>
      <c r="AG111">
        <v>2.16</v>
      </c>
      <c r="AH111">
        <v>-2.5599999999999996</v>
      </c>
      <c r="AI111">
        <v>-1.5599999999999998</v>
      </c>
      <c r="AJ111">
        <v>0.76</v>
      </c>
      <c r="AK111">
        <v>-13.480000000000008</v>
      </c>
      <c r="AL111">
        <v>-14.640000000000004</v>
      </c>
      <c r="AM111">
        <v>-8.76</v>
      </c>
      <c r="AN111">
        <v>4.5200000000000005</v>
      </c>
      <c r="AO111">
        <v>5.4</v>
      </c>
      <c r="AP111">
        <v>6</v>
      </c>
      <c r="AQ111">
        <v>5.2292000000000005</v>
      </c>
      <c r="AR111">
        <v>2.6956799999999994</v>
      </c>
      <c r="AS111">
        <v>-5.8800000000000043</v>
      </c>
      <c r="AT111">
        <v>-5.2292000000000005</v>
      </c>
      <c r="AU111">
        <v>-0.64305000000000012</v>
      </c>
      <c r="AV111">
        <v>1.0465999999999998</v>
      </c>
      <c r="AW111">
        <v>0.61727500000000002</v>
      </c>
      <c r="AX111" t="s">
        <v>285</v>
      </c>
      <c r="AY111">
        <v>1</v>
      </c>
      <c r="AZ111">
        <v>2.3944000000000001</v>
      </c>
      <c r="BA111">
        <v>-0.14000000000000257</v>
      </c>
      <c r="BB111">
        <v>16.439999999999994</v>
      </c>
      <c r="BC111">
        <v>-2.36</v>
      </c>
      <c r="BD111">
        <v>7.3529999999999989</v>
      </c>
      <c r="BE111">
        <v>6.5599999999999987</v>
      </c>
      <c r="BF111">
        <v>-2.2800000000000002</v>
      </c>
      <c r="BG111">
        <v>19</v>
      </c>
      <c r="BH111">
        <v>20.5</v>
      </c>
      <c r="BI111">
        <v>1.1200000000000003</v>
      </c>
      <c r="BJ111">
        <v>26</v>
      </c>
      <c r="BK111">
        <v>22</v>
      </c>
      <c r="BL111">
        <v>5</v>
      </c>
      <c r="BM111">
        <v>2.4658695700955245E-3</v>
      </c>
      <c r="BN111">
        <v>31</v>
      </c>
      <c r="BO111">
        <v>-3.1283677961833414E-3</v>
      </c>
      <c r="BP111">
        <v>20</v>
      </c>
      <c r="BQ111">
        <v>10.659999999999998</v>
      </c>
      <c r="BR111">
        <v>32</v>
      </c>
      <c r="BS111">
        <v>-4.84</v>
      </c>
      <c r="BT111">
        <v>-3.4000000000000012</v>
      </c>
      <c r="BU111">
        <v>4</v>
      </c>
      <c r="BV111">
        <v>0.47999999999999987</v>
      </c>
      <c r="BW111">
        <v>19.919999999999995</v>
      </c>
      <c r="BX111">
        <v>3.7600000000000025</v>
      </c>
      <c r="BY111">
        <v>16.04</v>
      </c>
      <c r="BZ111">
        <v>-1.1199999999999999</v>
      </c>
      <c r="CA111">
        <v>1.2400000000000007</v>
      </c>
      <c r="CB111">
        <v>9</v>
      </c>
      <c r="CC111">
        <v>2.5344000000000024</v>
      </c>
      <c r="CD111">
        <v>2.0194800000000011</v>
      </c>
      <c r="CE111">
        <v>-12.279999999999998</v>
      </c>
      <c r="CF111">
        <v>1.4759249999999997</v>
      </c>
    </row>
    <row r="112" spans="1:84" x14ac:dyDescent="0.2">
      <c r="A112" s="39">
        <v>43758</v>
      </c>
      <c r="B112" s="22" t="s">
        <v>250</v>
      </c>
      <c r="C112" s="41" t="s">
        <v>298</v>
      </c>
      <c r="D112" s="22" t="s">
        <v>302</v>
      </c>
      <c r="E112">
        <v>6.6</v>
      </c>
      <c r="F112">
        <v>2</v>
      </c>
      <c r="G112">
        <v>7.2</v>
      </c>
      <c r="H112">
        <v>1.1000000000000001</v>
      </c>
      <c r="I112">
        <v>9.5</v>
      </c>
      <c r="J112">
        <v>43</v>
      </c>
      <c r="L112" s="1" t="s">
        <v>298</v>
      </c>
      <c r="M112">
        <v>31</v>
      </c>
      <c r="N112">
        <v>-6.5775999999999994</v>
      </c>
      <c r="O112">
        <v>-2.2120000000000006</v>
      </c>
      <c r="P112">
        <v>-5.3999999999999968</v>
      </c>
      <c r="Q112">
        <v>0.81999999999999984</v>
      </c>
      <c r="R112">
        <v>-12.004000000000001</v>
      </c>
      <c r="S112">
        <v>-42.64</v>
      </c>
      <c r="T112">
        <v>-4.8000000000000007</v>
      </c>
      <c r="U112">
        <v>14</v>
      </c>
      <c r="V112">
        <v>13.5</v>
      </c>
      <c r="W112">
        <v>-1.7600000000000002</v>
      </c>
      <c r="X112">
        <v>8</v>
      </c>
      <c r="Y112">
        <v>12</v>
      </c>
      <c r="Z112">
        <v>2</v>
      </c>
      <c r="AA112">
        <v>3.799271817806095E-2</v>
      </c>
      <c r="AB112">
        <v>17</v>
      </c>
      <c r="AC112">
        <v>3.476950796873432E-2</v>
      </c>
      <c r="AD112">
        <v>12</v>
      </c>
      <c r="AE112">
        <v>4.5799999999999956</v>
      </c>
      <c r="AF112">
        <v>17</v>
      </c>
      <c r="AG112">
        <v>3.7599999999999993</v>
      </c>
      <c r="AH112">
        <v>-6.9599999999999991</v>
      </c>
      <c r="AI112">
        <v>-8.24</v>
      </c>
      <c r="AJ112">
        <v>0.84000000000000019</v>
      </c>
      <c r="AK112">
        <v>-82.28</v>
      </c>
      <c r="AL112">
        <v>-51.240000000000009</v>
      </c>
      <c r="AM112">
        <v>-12.320000000000002</v>
      </c>
      <c r="AN112">
        <v>-6.68</v>
      </c>
      <c r="AO112">
        <v>-12.040000000000001</v>
      </c>
      <c r="AP112">
        <v>25</v>
      </c>
      <c r="AQ112">
        <v>-4.3655999999999988</v>
      </c>
      <c r="AR112">
        <v>-2.6103200000000002</v>
      </c>
      <c r="AS112">
        <v>-38.920000000000009</v>
      </c>
      <c r="AT112">
        <v>4.3655999999999988</v>
      </c>
      <c r="AU112">
        <v>-2.9442000000000004</v>
      </c>
      <c r="AV112">
        <v>-1.1980499999999998</v>
      </c>
      <c r="AW112">
        <v>0.44937500000000019</v>
      </c>
      <c r="AX112" t="s">
        <v>302</v>
      </c>
      <c r="AY112">
        <v>28</v>
      </c>
      <c r="AZ112">
        <v>-6.2148000000000003</v>
      </c>
      <c r="BA112">
        <v>-4.8090000000000002</v>
      </c>
      <c r="BB112">
        <v>-20.72</v>
      </c>
      <c r="BC112">
        <v>-0.21999999999999997</v>
      </c>
      <c r="BD112">
        <v>-9.9</v>
      </c>
      <c r="BE112">
        <v>-30.159999999999997</v>
      </c>
      <c r="BF112">
        <v>0.47999999999999954</v>
      </c>
      <c r="BG112">
        <v>24</v>
      </c>
      <c r="BH112">
        <v>23</v>
      </c>
      <c r="BI112">
        <v>1.52</v>
      </c>
      <c r="BJ112">
        <v>5</v>
      </c>
      <c r="BK112">
        <v>9.75</v>
      </c>
      <c r="BL112">
        <v>1</v>
      </c>
      <c r="BM112">
        <v>4.7672858207739491E-2</v>
      </c>
      <c r="BN112">
        <v>12</v>
      </c>
      <c r="BO112">
        <v>4.1423482031929762E-2</v>
      </c>
      <c r="BP112">
        <v>23</v>
      </c>
      <c r="BQ112">
        <v>-9.9640000000000004</v>
      </c>
      <c r="BR112">
        <v>3</v>
      </c>
      <c r="BS112">
        <v>9.52</v>
      </c>
      <c r="BT112">
        <v>-3.6</v>
      </c>
      <c r="BU112">
        <v>-8.24</v>
      </c>
      <c r="BV112">
        <v>2.8</v>
      </c>
      <c r="BW112">
        <v>-53</v>
      </c>
      <c r="BX112">
        <v>-42.000000000000007</v>
      </c>
      <c r="BY112">
        <v>-13.720000000000002</v>
      </c>
      <c r="BZ112">
        <v>4.76</v>
      </c>
      <c r="CA112">
        <v>-2.04</v>
      </c>
      <c r="CB112">
        <v>19</v>
      </c>
      <c r="CC112">
        <v>-1.4058000000000004</v>
      </c>
      <c r="CD112">
        <v>-0.81845999999999952</v>
      </c>
      <c r="CE112">
        <v>-28.280000000000005</v>
      </c>
      <c r="CF112">
        <v>-2.845475</v>
      </c>
    </row>
    <row r="113" spans="1:84" x14ac:dyDescent="0.2">
      <c r="A113" s="39">
        <v>43758</v>
      </c>
      <c r="B113" s="22" t="s">
        <v>250</v>
      </c>
      <c r="C113" s="41" t="s">
        <v>294</v>
      </c>
      <c r="D113" s="22" t="s">
        <v>291</v>
      </c>
      <c r="E113">
        <v>5.8</v>
      </c>
      <c r="F113">
        <v>4.4000000000000004</v>
      </c>
      <c r="G113">
        <v>0</v>
      </c>
      <c r="H113">
        <f>15.9+5.8</f>
        <v>21.7</v>
      </c>
      <c r="I113">
        <v>3</v>
      </c>
      <c r="J113">
        <v>50</v>
      </c>
      <c r="L113" s="1" t="s">
        <v>294</v>
      </c>
      <c r="M113">
        <v>15</v>
      </c>
      <c r="N113">
        <v>-0.11040000000000064</v>
      </c>
      <c r="O113">
        <v>-3.4559999999999995</v>
      </c>
      <c r="P113">
        <v>-11.44</v>
      </c>
      <c r="Q113">
        <v>-1.7599999999999998</v>
      </c>
      <c r="R113">
        <v>-3.0959999999999992</v>
      </c>
      <c r="S113">
        <v>-35.120000000000005</v>
      </c>
      <c r="T113">
        <v>4.12</v>
      </c>
      <c r="U113">
        <v>23</v>
      </c>
      <c r="V113">
        <v>22.5</v>
      </c>
      <c r="W113">
        <v>1.9999999999999993</v>
      </c>
      <c r="X113">
        <v>6</v>
      </c>
      <c r="Y113">
        <v>10.25</v>
      </c>
      <c r="Z113">
        <v>16</v>
      </c>
      <c r="AA113">
        <v>2.9390537225020063E-2</v>
      </c>
      <c r="AB113">
        <v>4</v>
      </c>
      <c r="AC113">
        <v>1.439911842404186E-3</v>
      </c>
      <c r="AD113">
        <v>6</v>
      </c>
      <c r="AE113">
        <v>-2.4840000000000004</v>
      </c>
      <c r="AF113">
        <v>15</v>
      </c>
      <c r="AG113">
        <v>1.52</v>
      </c>
      <c r="AH113">
        <v>-0.91999999999999882</v>
      </c>
      <c r="AI113">
        <v>-0.71999999999999953</v>
      </c>
      <c r="AJ113">
        <v>1.6</v>
      </c>
      <c r="AK113">
        <v>-46.2</v>
      </c>
      <c r="AL113">
        <v>-41.36</v>
      </c>
      <c r="AM113">
        <v>-3.8</v>
      </c>
      <c r="AN113">
        <v>-2.64</v>
      </c>
      <c r="AO113">
        <v>1.6</v>
      </c>
      <c r="AP113">
        <v>12</v>
      </c>
      <c r="AQ113">
        <v>3.3455999999999988</v>
      </c>
      <c r="AR113">
        <v>1.0867199999999999</v>
      </c>
      <c r="AS113">
        <v>-37.56</v>
      </c>
      <c r="AT113">
        <v>-3.3455999999999988</v>
      </c>
      <c r="AU113">
        <v>-0.9877999999999999</v>
      </c>
      <c r="AV113">
        <v>0.94782499999999992</v>
      </c>
      <c r="AW113">
        <v>0.40920000000000012</v>
      </c>
      <c r="AX113" t="s">
        <v>291</v>
      </c>
      <c r="AY113">
        <v>19</v>
      </c>
      <c r="AZ113">
        <v>0.80439999999999967</v>
      </c>
      <c r="BA113">
        <v>4.3911999999999995</v>
      </c>
      <c r="BB113">
        <v>-4.7199999999999989</v>
      </c>
      <c r="BC113">
        <v>-0.24</v>
      </c>
      <c r="BD113">
        <v>4.2159999999999993</v>
      </c>
      <c r="BE113">
        <v>30.160000000000004</v>
      </c>
      <c r="BF113">
        <v>2.0399999999999996</v>
      </c>
      <c r="BG113">
        <v>7</v>
      </c>
      <c r="BH113">
        <v>7</v>
      </c>
      <c r="BI113">
        <v>-0.92000000000000026</v>
      </c>
      <c r="BJ113">
        <v>15</v>
      </c>
      <c r="BK113">
        <v>15.75</v>
      </c>
      <c r="BL113">
        <v>7</v>
      </c>
      <c r="BM113">
        <v>-3.6060018961847871E-2</v>
      </c>
      <c r="BN113">
        <v>7</v>
      </c>
      <c r="BO113">
        <v>-7.8998496766146849E-3</v>
      </c>
      <c r="BP113">
        <v>28</v>
      </c>
      <c r="BQ113">
        <v>13.12</v>
      </c>
      <c r="BR113">
        <v>21</v>
      </c>
      <c r="BS113">
        <v>-5.32</v>
      </c>
      <c r="BT113">
        <v>1.1599999999999995</v>
      </c>
      <c r="BU113">
        <v>4.8</v>
      </c>
      <c r="BV113">
        <v>-1.1199999999999999</v>
      </c>
      <c r="BW113">
        <v>18.719999999999992</v>
      </c>
      <c r="BX113">
        <v>25.76</v>
      </c>
      <c r="BY113">
        <v>-5.8</v>
      </c>
      <c r="BZ113">
        <v>0.48000000000000043</v>
      </c>
      <c r="CA113">
        <v>-1.7200000000000002</v>
      </c>
      <c r="CB113">
        <v>24</v>
      </c>
      <c r="CC113">
        <v>-3.5868000000000002</v>
      </c>
      <c r="CD113">
        <v>-1.1915199999999999</v>
      </c>
      <c r="CE113">
        <v>31.560000000000002</v>
      </c>
      <c r="CF113">
        <v>1.4864499999999996</v>
      </c>
    </row>
    <row r="114" spans="1:84" x14ac:dyDescent="0.2">
      <c r="A114" s="39">
        <v>43758</v>
      </c>
      <c r="B114" s="22" t="s">
        <v>250</v>
      </c>
      <c r="C114" s="40" t="s">
        <v>256</v>
      </c>
      <c r="D114" s="22" t="s">
        <v>306</v>
      </c>
      <c r="E114">
        <v>9.9</v>
      </c>
      <c r="F114">
        <v>5</v>
      </c>
      <c r="G114">
        <v>0</v>
      </c>
      <c r="H114">
        <f>6.8+2.4</f>
        <v>9.1999999999999993</v>
      </c>
      <c r="I114">
        <v>-10</v>
      </c>
      <c r="J114">
        <v>39</v>
      </c>
      <c r="K114" t="s">
        <v>110</v>
      </c>
      <c r="L114" s="1" t="s">
        <v>256</v>
      </c>
      <c r="M114">
        <v>30</v>
      </c>
      <c r="N114">
        <v>-5.4743999999999993</v>
      </c>
      <c r="O114">
        <v>3.9544000000000006</v>
      </c>
      <c r="P114">
        <v>44.68</v>
      </c>
      <c r="Q114">
        <v>-2.1199999999999997</v>
      </c>
      <c r="R114">
        <v>-7.2040000000000006</v>
      </c>
      <c r="S114">
        <v>-18.88</v>
      </c>
      <c r="T114">
        <v>-3.48</v>
      </c>
      <c r="U114">
        <v>17</v>
      </c>
      <c r="V114">
        <v>16</v>
      </c>
      <c r="W114">
        <v>3.3200000000000003</v>
      </c>
      <c r="X114">
        <v>21</v>
      </c>
      <c r="Y114">
        <v>17.75</v>
      </c>
      <c r="Z114">
        <v>19</v>
      </c>
      <c r="AA114">
        <v>-6.0274558058237095E-2</v>
      </c>
      <c r="AB114">
        <v>3</v>
      </c>
      <c r="AC114">
        <v>-1.3711419217016785E-2</v>
      </c>
      <c r="AD114">
        <v>29</v>
      </c>
      <c r="AE114">
        <v>2.5040000000000022</v>
      </c>
      <c r="AF114">
        <v>20</v>
      </c>
      <c r="AG114">
        <v>-1.7600000000000002</v>
      </c>
      <c r="AH114">
        <v>2.3599999999999994</v>
      </c>
      <c r="AI114">
        <v>1.4799999999999998</v>
      </c>
      <c r="AJ114">
        <v>-0.83999999999999986</v>
      </c>
      <c r="AK114">
        <v>23.8</v>
      </c>
      <c r="AL114">
        <v>-20.76</v>
      </c>
      <c r="AM114">
        <v>62.4</v>
      </c>
      <c r="AN114">
        <v>1.9600000000000002</v>
      </c>
      <c r="AO114">
        <v>-19.8</v>
      </c>
      <c r="AP114">
        <v>29</v>
      </c>
      <c r="AQ114">
        <v>-9.428799999999999</v>
      </c>
      <c r="AR114">
        <v>-4.5128800000000009</v>
      </c>
      <c r="AS114">
        <v>-83.16</v>
      </c>
      <c r="AT114">
        <v>9.428799999999999</v>
      </c>
      <c r="AU114">
        <v>-1.0805</v>
      </c>
      <c r="AV114">
        <v>-1.1088499999999994</v>
      </c>
      <c r="AW114">
        <v>-3.8912999999999993</v>
      </c>
      <c r="AX114" t="s">
        <v>306</v>
      </c>
      <c r="AY114">
        <v>22</v>
      </c>
      <c r="AZ114">
        <v>3.2028000000000021</v>
      </c>
      <c r="BA114">
        <v>4.3870000000000005</v>
      </c>
      <c r="BB114">
        <v>20.36</v>
      </c>
      <c r="BC114">
        <v>1.06</v>
      </c>
      <c r="BD114">
        <v>5.0790000000000024</v>
      </c>
      <c r="BE114">
        <v>-5.2500000000000018</v>
      </c>
      <c r="BF114">
        <v>-1.5999999999999994</v>
      </c>
      <c r="BG114">
        <v>12</v>
      </c>
      <c r="BH114">
        <v>12.5</v>
      </c>
      <c r="BI114">
        <v>2.0799999999999996</v>
      </c>
      <c r="BJ114">
        <v>3</v>
      </c>
      <c r="BK114">
        <v>8</v>
      </c>
      <c r="BL114">
        <v>13</v>
      </c>
      <c r="BM114">
        <v>-4.5873865450392098E-2</v>
      </c>
      <c r="BN114">
        <v>2</v>
      </c>
      <c r="BO114">
        <v>6.592115752241748E-3</v>
      </c>
      <c r="BP114">
        <v>9</v>
      </c>
      <c r="BQ114">
        <v>14.492000000000001</v>
      </c>
      <c r="BR114">
        <v>8</v>
      </c>
      <c r="BS114">
        <v>-3.12</v>
      </c>
      <c r="BT114">
        <v>3.1599999999999993</v>
      </c>
      <c r="BU114">
        <v>5.4799999999999995</v>
      </c>
      <c r="BV114">
        <v>0.28000000000000008</v>
      </c>
      <c r="BW114">
        <v>47.760000000000012</v>
      </c>
      <c r="BX114">
        <v>10.839999999999993</v>
      </c>
      <c r="BY114">
        <v>22.919999999999998</v>
      </c>
      <c r="BZ114">
        <v>2.6</v>
      </c>
      <c r="CA114">
        <v>11.4</v>
      </c>
      <c r="CB114">
        <v>17</v>
      </c>
      <c r="CC114">
        <v>-1.1841999999999988</v>
      </c>
      <c r="CD114">
        <v>-0.53713999999999951</v>
      </c>
      <c r="CE114">
        <v>-12.080000000000005</v>
      </c>
      <c r="CF114">
        <v>1.6736000000000006</v>
      </c>
    </row>
    <row r="115" spans="1:84" x14ac:dyDescent="0.2">
      <c r="A115" s="39">
        <v>43758</v>
      </c>
      <c r="B115" s="22" t="s">
        <v>250</v>
      </c>
      <c r="C115" s="41" t="s">
        <v>308</v>
      </c>
      <c r="D115" s="22" t="s">
        <v>305</v>
      </c>
      <c r="E115">
        <v>16.8</v>
      </c>
      <c r="F115">
        <v>8.3000000000000007</v>
      </c>
      <c r="G115" s="14">
        <v>9</v>
      </c>
      <c r="H115">
        <v>5</v>
      </c>
      <c r="I115">
        <v>-3</v>
      </c>
      <c r="J115">
        <v>49</v>
      </c>
      <c r="L115" s="1" t="s">
        <v>308</v>
      </c>
      <c r="M115">
        <v>1</v>
      </c>
      <c r="N115">
        <v>9.1784000000000017</v>
      </c>
      <c r="O115">
        <v>4.4720000000000013</v>
      </c>
      <c r="P115">
        <v>18.439999999999998</v>
      </c>
      <c r="Q115">
        <v>-8.0000000000000071E-2</v>
      </c>
      <c r="R115">
        <v>5.639999999999997</v>
      </c>
      <c r="S115">
        <v>26.240000000000006</v>
      </c>
      <c r="T115">
        <v>-0.79999999999999982</v>
      </c>
      <c r="U115">
        <v>8</v>
      </c>
      <c r="V115">
        <v>8.5</v>
      </c>
      <c r="W115">
        <v>1.7763568394002506E-16</v>
      </c>
      <c r="X115">
        <v>12</v>
      </c>
      <c r="Y115">
        <v>13.25</v>
      </c>
      <c r="Z115">
        <v>11</v>
      </c>
      <c r="AA115">
        <v>4.5164541201638937E-2</v>
      </c>
      <c r="AB115">
        <v>5</v>
      </c>
      <c r="AC115">
        <v>-6.6600238660584135E-3</v>
      </c>
      <c r="AD115">
        <v>21</v>
      </c>
      <c r="AE115">
        <v>13.412000000000001</v>
      </c>
      <c r="AF115">
        <v>16</v>
      </c>
      <c r="AG115">
        <v>-1.3199999999999998</v>
      </c>
      <c r="AH115">
        <v>4.4799999999999986</v>
      </c>
      <c r="AI115">
        <v>5</v>
      </c>
      <c r="AJ115">
        <v>0.83999999999999986</v>
      </c>
      <c r="AK115">
        <v>69.400000000000006</v>
      </c>
      <c r="AL115">
        <v>46.36</v>
      </c>
      <c r="AM115">
        <v>16.119999999999997</v>
      </c>
      <c r="AN115">
        <v>-3.3600000000000003</v>
      </c>
      <c r="AO115">
        <v>10.279999999999998</v>
      </c>
      <c r="AP115">
        <v>9</v>
      </c>
      <c r="AQ115">
        <v>4.7064000000000004</v>
      </c>
      <c r="AR115">
        <v>0.72767999999999899</v>
      </c>
      <c r="AS115">
        <v>30.240000000000002</v>
      </c>
      <c r="AT115">
        <v>-4.7064000000000004</v>
      </c>
      <c r="AU115">
        <v>2.1862999999999997</v>
      </c>
      <c r="AV115">
        <v>0.88869999999999993</v>
      </c>
      <c r="AW115">
        <v>0.32179999999999986</v>
      </c>
      <c r="AX115" t="s">
        <v>305</v>
      </c>
      <c r="AY115">
        <v>32</v>
      </c>
      <c r="AZ115">
        <v>1.0328000000000011</v>
      </c>
      <c r="BA115">
        <v>2.044</v>
      </c>
      <c r="BB115">
        <v>5.52</v>
      </c>
      <c r="BC115">
        <v>-1.6400000000000003</v>
      </c>
      <c r="BD115">
        <v>7.2479999999999993</v>
      </c>
      <c r="BE115">
        <v>51.8</v>
      </c>
      <c r="BF115">
        <v>2.84</v>
      </c>
      <c r="BG115">
        <v>23</v>
      </c>
      <c r="BH115">
        <v>22.5</v>
      </c>
      <c r="BI115">
        <v>0.48</v>
      </c>
      <c r="BJ115">
        <v>5</v>
      </c>
      <c r="BK115">
        <v>9.75</v>
      </c>
      <c r="BL115">
        <v>15</v>
      </c>
      <c r="BM115">
        <v>-3.2040697892536427E-2</v>
      </c>
      <c r="BN115">
        <v>8</v>
      </c>
      <c r="BO115">
        <v>-1.416932213802841E-2</v>
      </c>
      <c r="BP115">
        <v>15</v>
      </c>
      <c r="BQ115">
        <v>2.9960000000000009</v>
      </c>
      <c r="BR115">
        <v>1</v>
      </c>
      <c r="BS115">
        <v>-3.8</v>
      </c>
      <c r="BT115">
        <v>-2.3599999999999994</v>
      </c>
      <c r="BU115">
        <v>3.72</v>
      </c>
      <c r="BV115">
        <v>0.55999999999999983</v>
      </c>
      <c r="BW115">
        <v>40.439999999999984</v>
      </c>
      <c r="BX115">
        <v>42.120000000000012</v>
      </c>
      <c r="BY115">
        <v>5.599999999999997</v>
      </c>
      <c r="BZ115">
        <v>1.64</v>
      </c>
      <c r="CA115">
        <v>-8.92</v>
      </c>
      <c r="CB115">
        <v>16</v>
      </c>
      <c r="CC115">
        <v>-1.0111999999999988</v>
      </c>
      <c r="CD115">
        <v>0.63415999999999983</v>
      </c>
      <c r="CE115">
        <v>36.520000000000017</v>
      </c>
      <c r="CF115">
        <v>1.4556</v>
      </c>
    </row>
    <row r="116" spans="1:84" x14ac:dyDescent="0.2">
      <c r="A116" s="39">
        <v>43758</v>
      </c>
      <c r="B116" s="22" t="s">
        <v>250</v>
      </c>
      <c r="C116" s="41" t="s">
        <v>310</v>
      </c>
      <c r="D116" s="22" t="s">
        <v>287</v>
      </c>
      <c r="E116">
        <v>20</v>
      </c>
      <c r="F116">
        <v>12.2</v>
      </c>
      <c r="G116" s="14">
        <v>8</v>
      </c>
      <c r="H116">
        <f>9.4+3.7</f>
        <v>13.100000000000001</v>
      </c>
      <c r="I116">
        <v>-3</v>
      </c>
      <c r="J116">
        <v>42.5</v>
      </c>
      <c r="K116" t="s">
        <v>110</v>
      </c>
      <c r="L116" s="1" t="s">
        <v>310</v>
      </c>
      <c r="M116">
        <v>27</v>
      </c>
      <c r="N116">
        <v>-3.5124000000000009</v>
      </c>
      <c r="O116">
        <v>-5.22</v>
      </c>
      <c r="P116">
        <v>-14.44</v>
      </c>
      <c r="Q116">
        <v>-1.56</v>
      </c>
      <c r="R116">
        <v>-8.0879999999999974</v>
      </c>
      <c r="S116">
        <v>-19.279999999999998</v>
      </c>
      <c r="T116">
        <v>-3.4000000000000004</v>
      </c>
      <c r="U116">
        <v>29</v>
      </c>
      <c r="V116">
        <v>29</v>
      </c>
      <c r="W116">
        <v>-0.71999999999999975</v>
      </c>
      <c r="X116">
        <v>25</v>
      </c>
      <c r="Y116">
        <v>21</v>
      </c>
      <c r="Z116">
        <v>27</v>
      </c>
      <c r="AA116">
        <v>1.0523263298231578E-2</v>
      </c>
      <c r="AB116">
        <v>2</v>
      </c>
      <c r="AC116">
        <v>6.6251587999701808E-2</v>
      </c>
      <c r="AD116">
        <v>30</v>
      </c>
      <c r="AE116">
        <v>13.412000000000001</v>
      </c>
      <c r="AF116">
        <v>25</v>
      </c>
      <c r="AG116">
        <v>4.5599999999999996</v>
      </c>
      <c r="AH116">
        <v>-0.51999999999999891</v>
      </c>
      <c r="AI116">
        <v>-6.08</v>
      </c>
      <c r="AJ116">
        <v>-1.4</v>
      </c>
      <c r="AK116">
        <v>-43.44</v>
      </c>
      <c r="AL116">
        <v>-29.840000000000003</v>
      </c>
      <c r="AM116">
        <v>-16.04</v>
      </c>
      <c r="AN116">
        <v>-8.08</v>
      </c>
      <c r="AO116">
        <v>10.52</v>
      </c>
      <c r="AP116">
        <v>16</v>
      </c>
      <c r="AQ116">
        <v>1.7075999999999989</v>
      </c>
      <c r="AR116">
        <v>0.28991999999999996</v>
      </c>
      <c r="AS116">
        <v>-13.800000000000004</v>
      </c>
      <c r="AT116">
        <v>-1.7075999999999989</v>
      </c>
      <c r="AU116">
        <v>-2.6075499999999998</v>
      </c>
      <c r="AV116">
        <v>-1.5318000000000001</v>
      </c>
      <c r="AW116">
        <v>-1.8164500000000001</v>
      </c>
      <c r="AX116" t="s">
        <v>287</v>
      </c>
      <c r="AY116">
        <v>26</v>
      </c>
      <c r="AZ116">
        <v>-1.6852000000000005</v>
      </c>
      <c r="BA116">
        <v>2.48</v>
      </c>
      <c r="BB116">
        <v>1.9600000000000015</v>
      </c>
      <c r="BC116">
        <v>-1.6199999999999999</v>
      </c>
      <c r="BD116">
        <v>-8.6519999999999992</v>
      </c>
      <c r="BE116">
        <v>-39.160000000000004</v>
      </c>
      <c r="BF116">
        <v>-6.68</v>
      </c>
      <c r="BG116">
        <v>3</v>
      </c>
      <c r="BH116">
        <v>3.5</v>
      </c>
      <c r="BI116">
        <v>1.3199999999999998</v>
      </c>
      <c r="BJ116">
        <v>25</v>
      </c>
      <c r="BK116">
        <v>21.5</v>
      </c>
      <c r="BL116">
        <v>20</v>
      </c>
      <c r="BM116">
        <v>-1.130369735889869E-2</v>
      </c>
      <c r="BN116">
        <v>25</v>
      </c>
      <c r="BO116">
        <v>3.6198980148152622E-3</v>
      </c>
      <c r="BP116">
        <v>18</v>
      </c>
      <c r="BQ116">
        <v>7.0999999999999988</v>
      </c>
      <c r="BR116">
        <v>23</v>
      </c>
      <c r="BS116">
        <v>0.12000000000000029</v>
      </c>
      <c r="BT116">
        <v>-7.24</v>
      </c>
      <c r="BU116">
        <v>-2.52</v>
      </c>
      <c r="BV116">
        <v>0.55999999999999983</v>
      </c>
      <c r="BW116">
        <v>-17.280000000000008</v>
      </c>
      <c r="BX116">
        <v>-18.959999999999997</v>
      </c>
      <c r="BY116">
        <v>2.7199999999999989</v>
      </c>
      <c r="BZ116">
        <v>0.12000000000000002</v>
      </c>
      <c r="CA116">
        <v>-1.1600000000000001</v>
      </c>
      <c r="CB116">
        <v>26</v>
      </c>
      <c r="CC116">
        <v>-4.1652000000000005</v>
      </c>
      <c r="CD116">
        <v>-3.3074399999999997</v>
      </c>
      <c r="CE116">
        <v>-21.679999999999996</v>
      </c>
      <c r="CF116">
        <v>-1.24715</v>
      </c>
    </row>
    <row r="117" spans="1:84" x14ac:dyDescent="0.2">
      <c r="A117" s="39">
        <v>43758</v>
      </c>
      <c r="B117" s="22" t="s">
        <v>250</v>
      </c>
      <c r="C117" s="41" t="s">
        <v>306</v>
      </c>
      <c r="D117" s="22" t="s">
        <v>256</v>
      </c>
      <c r="E117">
        <v>2.1</v>
      </c>
      <c r="F117" s="14">
        <v>5</v>
      </c>
      <c r="G117">
        <v>0</v>
      </c>
      <c r="H117">
        <v>3.3</v>
      </c>
      <c r="I117">
        <v>10</v>
      </c>
      <c r="J117">
        <v>39</v>
      </c>
      <c r="K117" t="s">
        <v>110</v>
      </c>
      <c r="L117" s="1" t="s">
        <v>306</v>
      </c>
      <c r="M117">
        <v>29</v>
      </c>
      <c r="N117">
        <v>-3.8960000000000017</v>
      </c>
      <c r="O117">
        <v>-6.847999999999999</v>
      </c>
      <c r="P117">
        <v>-29.869999999999997</v>
      </c>
      <c r="Q117">
        <v>0.20000000000000018</v>
      </c>
      <c r="R117">
        <v>-4.93</v>
      </c>
      <c r="S117">
        <v>-47.649999999999991</v>
      </c>
      <c r="T117">
        <v>-1.2799999999999998</v>
      </c>
      <c r="U117">
        <v>1</v>
      </c>
      <c r="V117">
        <v>1</v>
      </c>
      <c r="W117">
        <v>-3.12</v>
      </c>
      <c r="X117">
        <v>1</v>
      </c>
      <c r="Y117">
        <v>5.25</v>
      </c>
      <c r="Z117">
        <v>9</v>
      </c>
      <c r="AA117">
        <v>-1.6315124484010114E-2</v>
      </c>
      <c r="AB117">
        <v>1</v>
      </c>
      <c r="AC117">
        <v>-7.2815427529590582E-4</v>
      </c>
      <c r="AD117">
        <v>2</v>
      </c>
      <c r="AE117">
        <v>-17.815999999999999</v>
      </c>
      <c r="AF117">
        <v>9</v>
      </c>
      <c r="AG117">
        <v>2.04</v>
      </c>
      <c r="AH117">
        <v>-6.2800000000000011</v>
      </c>
      <c r="AI117">
        <v>-5.5600000000000005</v>
      </c>
      <c r="AJ117">
        <v>-2.4000000000000004</v>
      </c>
      <c r="AK117">
        <v>-61.639999999999986</v>
      </c>
      <c r="AL117">
        <v>-45.279999999999994</v>
      </c>
      <c r="AM117">
        <v>-28.6</v>
      </c>
      <c r="AN117">
        <v>11.8</v>
      </c>
      <c r="AO117">
        <v>0.43999999999999984</v>
      </c>
      <c r="AP117">
        <v>14</v>
      </c>
      <c r="AQ117">
        <v>2.9519999999999973</v>
      </c>
      <c r="AR117">
        <v>1.6587999999999994</v>
      </c>
      <c r="AS117">
        <v>-16.679999999999993</v>
      </c>
      <c r="AT117">
        <v>-2.9519999999999973</v>
      </c>
      <c r="AU117">
        <v>-2.4242500000000002</v>
      </c>
      <c r="AV117">
        <v>-1.1088499999999994</v>
      </c>
      <c r="AW117">
        <v>1.6736000000000006</v>
      </c>
      <c r="AX117" t="s">
        <v>256</v>
      </c>
      <c r="AY117">
        <v>22</v>
      </c>
      <c r="AZ117">
        <v>-6.082399999999998</v>
      </c>
      <c r="BA117">
        <v>-10.652000000000001</v>
      </c>
      <c r="BB117">
        <v>-3.5200000000000014</v>
      </c>
      <c r="BC117">
        <v>-3</v>
      </c>
      <c r="BD117">
        <v>-10.756</v>
      </c>
      <c r="BE117">
        <v>-59</v>
      </c>
      <c r="BF117">
        <v>-6</v>
      </c>
      <c r="BG117">
        <v>18</v>
      </c>
      <c r="BH117">
        <v>20</v>
      </c>
      <c r="BI117">
        <v>-1.7600000000000002</v>
      </c>
      <c r="BJ117">
        <v>13</v>
      </c>
      <c r="BK117">
        <v>14.75</v>
      </c>
      <c r="BL117">
        <v>23</v>
      </c>
      <c r="BM117">
        <v>3.8049031715844131E-2</v>
      </c>
      <c r="BN117">
        <v>8</v>
      </c>
      <c r="BO117">
        <v>6.7230988659737118E-2</v>
      </c>
      <c r="BP117">
        <v>24</v>
      </c>
      <c r="BQ117">
        <v>-2.2919999999999989</v>
      </c>
      <c r="BR117">
        <v>4</v>
      </c>
      <c r="BS117">
        <v>3.3200000000000003</v>
      </c>
      <c r="BT117">
        <v>-7.919999999999999</v>
      </c>
      <c r="BU117">
        <v>-9.36</v>
      </c>
      <c r="BV117">
        <v>-0.83999999999999986</v>
      </c>
      <c r="BW117">
        <v>-92.960000000000008</v>
      </c>
      <c r="BX117">
        <v>-87.359999999999985</v>
      </c>
      <c r="BY117">
        <v>-5.4400000000000022</v>
      </c>
      <c r="BZ117">
        <v>2.92</v>
      </c>
      <c r="CA117">
        <v>-3.0799999999999996</v>
      </c>
      <c r="CB117">
        <v>5</v>
      </c>
      <c r="CC117">
        <v>4.5696000000000021</v>
      </c>
      <c r="CD117">
        <v>1.9583200000000014</v>
      </c>
      <c r="CE117">
        <v>-81.919999999999987</v>
      </c>
      <c r="CF117">
        <v>-3.8912999999999993</v>
      </c>
    </row>
    <row r="118" spans="1:84" x14ac:dyDescent="0.2">
      <c r="A118" s="39">
        <v>43765</v>
      </c>
      <c r="B118" s="22" t="s">
        <v>248</v>
      </c>
      <c r="C118" s="41" t="s">
        <v>285</v>
      </c>
      <c r="D118" s="22" t="s">
        <v>307</v>
      </c>
      <c r="E118">
        <v>2.8</v>
      </c>
      <c r="F118">
        <v>17.8</v>
      </c>
      <c r="G118">
        <v>3.8</v>
      </c>
      <c r="H118">
        <f>11.8+1.9</f>
        <v>13.700000000000001</v>
      </c>
      <c r="I118">
        <v>12.5</v>
      </c>
      <c r="J118">
        <v>47.5</v>
      </c>
      <c r="K118" t="s">
        <v>110</v>
      </c>
      <c r="L118" s="1" t="s">
        <v>285</v>
      </c>
      <c r="M118">
        <v>24</v>
      </c>
      <c r="N118">
        <v>-2.0072000000000001</v>
      </c>
      <c r="O118">
        <v>6.1984000000000012</v>
      </c>
      <c r="P118">
        <v>1.0799999999999983</v>
      </c>
      <c r="Q118">
        <v>2.4</v>
      </c>
      <c r="R118">
        <v>-14.768000000000004</v>
      </c>
      <c r="S118">
        <v>-70.12</v>
      </c>
      <c r="T118">
        <v>-4.4800000000000004</v>
      </c>
      <c r="U118">
        <v>21</v>
      </c>
      <c r="V118">
        <v>20</v>
      </c>
      <c r="W118">
        <v>-5.6</v>
      </c>
      <c r="X118">
        <v>9</v>
      </c>
      <c r="Y118">
        <v>12.25</v>
      </c>
      <c r="Z118">
        <v>20</v>
      </c>
      <c r="AA118">
        <v>-7.4316522167837268E-2</v>
      </c>
      <c r="AB118">
        <v>7</v>
      </c>
      <c r="AC118">
        <v>1.3543228841740432E-2</v>
      </c>
      <c r="AD118">
        <v>4</v>
      </c>
      <c r="AE118">
        <v>-4.3639999999999972</v>
      </c>
      <c r="AF118">
        <v>18</v>
      </c>
      <c r="AG118">
        <v>1.0399999999999998</v>
      </c>
      <c r="AH118">
        <v>-7.999999999999971E-2</v>
      </c>
      <c r="AI118">
        <v>-1.4800000000000004</v>
      </c>
      <c r="AJ118">
        <v>-2.6</v>
      </c>
      <c r="AK118">
        <v>-29.839999999999996</v>
      </c>
      <c r="AL118">
        <v>-39.47999999999999</v>
      </c>
      <c r="AM118">
        <v>-6.1199999999999992</v>
      </c>
      <c r="AN118">
        <v>-1.08</v>
      </c>
      <c r="AO118">
        <v>16.839999999999996</v>
      </c>
      <c r="AP118">
        <v>29</v>
      </c>
      <c r="AQ118">
        <v>-8.2056000000000004</v>
      </c>
      <c r="AR118">
        <v>-6.4542400000000022</v>
      </c>
      <c r="AS118">
        <v>-33.359999999999992</v>
      </c>
      <c r="AT118">
        <v>8.2056000000000004</v>
      </c>
      <c r="AU118">
        <v>-1.3121000000000003</v>
      </c>
      <c r="AV118">
        <v>-0.52557500000000024</v>
      </c>
      <c r="AW118">
        <v>1.7174999999999996</v>
      </c>
      <c r="AX118" t="s">
        <v>307</v>
      </c>
      <c r="AY118">
        <v>18</v>
      </c>
      <c r="AZ118">
        <v>-1.8911999999999991</v>
      </c>
      <c r="BA118">
        <v>-6.6240000000000006</v>
      </c>
      <c r="BB118">
        <v>-47.800000000000004</v>
      </c>
      <c r="BC118">
        <v>1.2799999999999998</v>
      </c>
      <c r="BD118">
        <v>-9.7940000000000005</v>
      </c>
      <c r="BE118">
        <v>-40.609999999999992</v>
      </c>
      <c r="BF118">
        <v>-0.16999999999999998</v>
      </c>
      <c r="BG118">
        <v>8</v>
      </c>
      <c r="BH118">
        <v>8.5</v>
      </c>
      <c r="BI118">
        <v>-2.6399999999999997</v>
      </c>
      <c r="BJ118">
        <v>17</v>
      </c>
      <c r="BK118">
        <v>16</v>
      </c>
      <c r="BL118">
        <v>6</v>
      </c>
      <c r="BM118">
        <v>-2.7088656435992464E-2</v>
      </c>
      <c r="BN118">
        <v>18</v>
      </c>
      <c r="BO118">
        <v>-5.3621641691418273E-3</v>
      </c>
      <c r="BP118">
        <v>21</v>
      </c>
      <c r="BQ118">
        <v>-11.687999999999999</v>
      </c>
      <c r="BR118">
        <v>19</v>
      </c>
      <c r="BS118">
        <v>3</v>
      </c>
      <c r="BT118">
        <v>-6.5200000000000014</v>
      </c>
      <c r="BU118">
        <v>-6.8</v>
      </c>
      <c r="BV118">
        <v>8.8817841970012528E-17</v>
      </c>
      <c r="BW118">
        <v>-82.47999999999999</v>
      </c>
      <c r="BX118">
        <v>-28.4</v>
      </c>
      <c r="BY118">
        <v>-49.64</v>
      </c>
      <c r="BZ118">
        <v>-1.72</v>
      </c>
      <c r="CA118">
        <v>-2.72</v>
      </c>
      <c r="CB118">
        <v>7</v>
      </c>
      <c r="CC118">
        <v>4.732800000000001</v>
      </c>
      <c r="CD118">
        <v>0.97495999999999983</v>
      </c>
      <c r="CE118">
        <v>21.240000000000002</v>
      </c>
      <c r="CF118">
        <v>-2.7686500000000001</v>
      </c>
    </row>
    <row r="119" spans="1:84" x14ac:dyDescent="0.2">
      <c r="A119" s="39">
        <v>43765</v>
      </c>
      <c r="B119" s="22" t="s">
        <v>248</v>
      </c>
      <c r="C119" s="41" t="s">
        <v>295</v>
      </c>
      <c r="D119" s="22" t="s">
        <v>308</v>
      </c>
      <c r="E119">
        <v>28.2</v>
      </c>
      <c r="F119">
        <v>13</v>
      </c>
      <c r="G119">
        <v>12.8</v>
      </c>
      <c r="H119">
        <f>18.5+2.8+2.1</f>
        <v>23.400000000000002</v>
      </c>
      <c r="I119">
        <v>7.5</v>
      </c>
      <c r="J119">
        <v>48.5</v>
      </c>
      <c r="L119" s="1" t="s">
        <v>295</v>
      </c>
      <c r="M119">
        <v>4</v>
      </c>
      <c r="N119">
        <v>5.3911999999999987</v>
      </c>
      <c r="O119">
        <v>0.31600000000000006</v>
      </c>
      <c r="P119">
        <v>-18.639999999999997</v>
      </c>
      <c r="Q119">
        <v>1.1599999999999997</v>
      </c>
      <c r="R119">
        <v>10.548000000000002</v>
      </c>
      <c r="S119">
        <v>47.400000000000006</v>
      </c>
      <c r="T119">
        <v>4.6000000000000005</v>
      </c>
      <c r="U119">
        <v>4</v>
      </c>
      <c r="V119">
        <v>7</v>
      </c>
      <c r="W119">
        <v>-8.32</v>
      </c>
      <c r="X119">
        <v>14</v>
      </c>
      <c r="Y119">
        <v>14</v>
      </c>
      <c r="Z119">
        <v>7</v>
      </c>
      <c r="AA119">
        <v>-8.5804001127136147E-3</v>
      </c>
      <c r="AB119">
        <v>9</v>
      </c>
      <c r="AC119">
        <v>1.7474280135047371E-3</v>
      </c>
      <c r="AD119">
        <v>26</v>
      </c>
      <c r="AE119">
        <v>6.8479999999999936</v>
      </c>
      <c r="AF119">
        <v>14</v>
      </c>
      <c r="AG119">
        <v>2.5199999999999996</v>
      </c>
      <c r="AH119">
        <v>0.11999999999999886</v>
      </c>
      <c r="AI119">
        <v>-3.9999999999999855E-2</v>
      </c>
      <c r="AJ119">
        <v>-1.2</v>
      </c>
      <c r="AK119">
        <v>26.719999999999992</v>
      </c>
      <c r="AL119">
        <v>51.88000000000001</v>
      </c>
      <c r="AM119">
        <v>-19.440000000000001</v>
      </c>
      <c r="AN119">
        <v>-3.6799999999999997</v>
      </c>
      <c r="AO119">
        <v>-2.04</v>
      </c>
      <c r="AP119">
        <v>11</v>
      </c>
      <c r="AQ119">
        <v>5.0751999999999988</v>
      </c>
      <c r="AR119">
        <v>3.0298400000000005</v>
      </c>
      <c r="AS119">
        <v>71.320000000000007</v>
      </c>
      <c r="AT119">
        <v>-5.0751999999999988</v>
      </c>
      <c r="AU119">
        <v>1.8419000000000003</v>
      </c>
      <c r="AV119">
        <v>1.2281333333333331</v>
      </c>
      <c r="AW119">
        <v>3.3884999999999996</v>
      </c>
      <c r="AX119" t="s">
        <v>308</v>
      </c>
      <c r="AY119">
        <v>17</v>
      </c>
      <c r="AZ119">
        <v>1.8975999999999993</v>
      </c>
      <c r="BA119">
        <v>1.3511999999999995</v>
      </c>
      <c r="BB119">
        <v>-2.8800000000000017</v>
      </c>
      <c r="BC119">
        <v>0.40000000000000036</v>
      </c>
      <c r="BD119">
        <v>-8.2266666666666648</v>
      </c>
      <c r="BE119">
        <v>-38.186666666666667</v>
      </c>
      <c r="BF119">
        <v>-4.1866666666666656</v>
      </c>
      <c r="BG119">
        <v>12</v>
      </c>
      <c r="BH119">
        <v>12.5</v>
      </c>
      <c r="BI119">
        <v>0.75999999999999956</v>
      </c>
      <c r="BJ119">
        <v>21</v>
      </c>
      <c r="BK119">
        <v>17.25</v>
      </c>
      <c r="BL119">
        <v>30</v>
      </c>
      <c r="BM119">
        <v>-1.1683812333023791E-2</v>
      </c>
      <c r="BN119">
        <v>28</v>
      </c>
      <c r="BO119">
        <v>-2.6442298816694975E-2</v>
      </c>
      <c r="BP119">
        <v>4</v>
      </c>
      <c r="BQ119">
        <v>7.5879999999999992</v>
      </c>
      <c r="BR119">
        <v>7</v>
      </c>
      <c r="BS119">
        <v>-1.1600000000000001</v>
      </c>
      <c r="BT119">
        <v>-5.8400000000000007</v>
      </c>
      <c r="BU119">
        <v>-1.0400000000000005</v>
      </c>
      <c r="BV119">
        <v>3.5599999999999996</v>
      </c>
      <c r="BW119">
        <v>-2.6399999999999979</v>
      </c>
      <c r="BX119">
        <v>-14.159999999999997</v>
      </c>
      <c r="BY119">
        <v>-5.1599999999999993</v>
      </c>
      <c r="BZ119">
        <v>2.8000000000000003</v>
      </c>
      <c r="CA119">
        <v>13.88</v>
      </c>
      <c r="CB119">
        <v>14</v>
      </c>
      <c r="CC119">
        <v>0.54639999999999977</v>
      </c>
      <c r="CD119">
        <v>-1.9414133333333332</v>
      </c>
      <c r="CE119">
        <v>-8.9999999999999964</v>
      </c>
      <c r="CF119">
        <v>-0.93223333333333325</v>
      </c>
    </row>
    <row r="120" spans="1:84" x14ac:dyDescent="0.2">
      <c r="A120" s="39">
        <v>43765</v>
      </c>
      <c r="B120" s="22" t="s">
        <v>248</v>
      </c>
      <c r="C120" s="41" t="s">
        <v>276</v>
      </c>
      <c r="D120" s="22" t="s">
        <v>294</v>
      </c>
      <c r="E120">
        <v>10.4</v>
      </c>
      <c r="F120">
        <v>13.1</v>
      </c>
      <c r="G120" s="14">
        <v>1.6</v>
      </c>
      <c r="H120">
        <v>6.8</v>
      </c>
      <c r="I120">
        <v>-1</v>
      </c>
      <c r="J120">
        <v>39.5</v>
      </c>
      <c r="L120" s="1" t="s">
        <v>276</v>
      </c>
      <c r="M120">
        <v>12</v>
      </c>
      <c r="N120">
        <v>1.3784000000000003</v>
      </c>
      <c r="O120">
        <v>-4.8976000000000015</v>
      </c>
      <c r="P120">
        <v>-1.7599999999999998</v>
      </c>
      <c r="Q120">
        <v>-1.7400000000000002</v>
      </c>
      <c r="R120">
        <v>0.53999999999999859</v>
      </c>
      <c r="S120">
        <v>-3.3200000000000034</v>
      </c>
      <c r="T120">
        <v>1.4399999999999995</v>
      </c>
      <c r="U120">
        <v>25</v>
      </c>
      <c r="V120">
        <v>23</v>
      </c>
      <c r="W120">
        <v>-1.6</v>
      </c>
      <c r="X120">
        <v>24</v>
      </c>
      <c r="Y120">
        <v>20.75</v>
      </c>
      <c r="Z120">
        <v>25</v>
      </c>
      <c r="AA120">
        <v>3.2698210048881758E-2</v>
      </c>
      <c r="AB120">
        <v>25</v>
      </c>
      <c r="AC120">
        <v>1.7211139478321501E-2</v>
      </c>
      <c r="AD120">
        <v>5</v>
      </c>
      <c r="AE120">
        <v>-6.4680000000000035</v>
      </c>
      <c r="AF120">
        <v>28</v>
      </c>
      <c r="AG120">
        <v>2</v>
      </c>
      <c r="AH120">
        <v>0.72000000000000031</v>
      </c>
      <c r="AI120">
        <v>-2.72</v>
      </c>
      <c r="AJ120">
        <v>-0.28000000000000014</v>
      </c>
      <c r="AK120">
        <v>-7.7600000000000078</v>
      </c>
      <c r="AL120">
        <v>-8.6400000000000041</v>
      </c>
      <c r="AM120">
        <v>-7.6</v>
      </c>
      <c r="AN120">
        <v>-3.9599999999999995</v>
      </c>
      <c r="AO120">
        <v>12.440000000000001</v>
      </c>
      <c r="AP120">
        <v>6</v>
      </c>
      <c r="AQ120">
        <v>6.2760000000000016</v>
      </c>
      <c r="AR120">
        <v>2.8324800000000008</v>
      </c>
      <c r="AS120">
        <v>-1.0400000000000045</v>
      </c>
      <c r="AT120">
        <v>-6.2760000000000016</v>
      </c>
      <c r="AU120">
        <v>-0.65240000000000031</v>
      </c>
      <c r="AV120">
        <v>-0.72533749999999997</v>
      </c>
      <c r="AW120">
        <v>-1.263225</v>
      </c>
      <c r="AX120" t="s">
        <v>294</v>
      </c>
      <c r="AY120">
        <v>30</v>
      </c>
      <c r="AZ120">
        <v>0.31440000000000057</v>
      </c>
      <c r="BA120">
        <v>-4.6559999999999997</v>
      </c>
      <c r="BB120">
        <v>-26.96</v>
      </c>
      <c r="BC120">
        <v>-0.28000000000000014</v>
      </c>
      <c r="BD120">
        <v>2.8820000000000001</v>
      </c>
      <c r="BE120">
        <v>1.3999999999999977</v>
      </c>
      <c r="BF120">
        <v>1.6600000000000001</v>
      </c>
      <c r="BG120">
        <v>31</v>
      </c>
      <c r="BH120">
        <v>28.5</v>
      </c>
      <c r="BI120">
        <v>1.56</v>
      </c>
      <c r="BJ120">
        <v>4</v>
      </c>
      <c r="BK120">
        <v>8.75</v>
      </c>
      <c r="BL120">
        <v>3</v>
      </c>
      <c r="BM120">
        <v>2.4086606927198578E-2</v>
      </c>
      <c r="BN120">
        <v>4</v>
      </c>
      <c r="BO120">
        <v>1.3522178879530519E-2</v>
      </c>
      <c r="BP120">
        <v>14</v>
      </c>
      <c r="BQ120">
        <v>-1.8960000000000008</v>
      </c>
      <c r="BR120">
        <v>14</v>
      </c>
      <c r="BS120">
        <v>1.9600000000000002</v>
      </c>
      <c r="BT120">
        <v>2.4</v>
      </c>
      <c r="BU120">
        <v>1.8399999999999999</v>
      </c>
      <c r="BV120">
        <v>0.20000000000000009</v>
      </c>
      <c r="BW120">
        <v>-8.4799999999999951</v>
      </c>
      <c r="BX120">
        <v>-7.7600000000000025</v>
      </c>
      <c r="BY120">
        <v>-17.520000000000003</v>
      </c>
      <c r="BZ120">
        <v>8.6399999999999988</v>
      </c>
      <c r="CA120">
        <v>8.16</v>
      </c>
      <c r="CB120">
        <v>6</v>
      </c>
      <c r="CC120">
        <v>4.9703999999999997</v>
      </c>
      <c r="CD120">
        <v>2.9672799999999997</v>
      </c>
      <c r="CE120">
        <v>9.7600000000000016</v>
      </c>
      <c r="CF120">
        <v>-0.18744999999999978</v>
      </c>
    </row>
    <row r="121" spans="1:84" x14ac:dyDescent="0.2">
      <c r="A121" s="39">
        <v>43765</v>
      </c>
      <c r="B121" s="22" t="s">
        <v>248</v>
      </c>
      <c r="C121" s="41" t="s">
        <v>301</v>
      </c>
      <c r="D121" s="22" t="s">
        <v>256</v>
      </c>
      <c r="E121">
        <v>8.8000000000000007</v>
      </c>
      <c r="F121">
        <v>8.6</v>
      </c>
      <c r="G121">
        <v>3.2</v>
      </c>
      <c r="H121">
        <v>3.3</v>
      </c>
      <c r="I121">
        <v>4.5</v>
      </c>
      <c r="J121">
        <v>41</v>
      </c>
      <c r="K121" t="s">
        <v>110</v>
      </c>
      <c r="L121" s="1" t="s">
        <v>301</v>
      </c>
      <c r="M121">
        <v>31</v>
      </c>
      <c r="N121">
        <v>-6.2904000000000009</v>
      </c>
      <c r="O121">
        <v>16.175199999999997</v>
      </c>
      <c r="P121">
        <v>54</v>
      </c>
      <c r="Q121">
        <v>1.8799999999999997</v>
      </c>
      <c r="R121">
        <v>-10.679999999999996</v>
      </c>
      <c r="S121">
        <v>-48.519999999999996</v>
      </c>
      <c r="T121">
        <v>-3.1999999999999997</v>
      </c>
      <c r="U121">
        <v>32</v>
      </c>
      <c r="V121">
        <v>31.5</v>
      </c>
      <c r="W121">
        <v>5.6</v>
      </c>
      <c r="X121">
        <v>4</v>
      </c>
      <c r="Y121">
        <v>8.5</v>
      </c>
      <c r="Z121">
        <v>4</v>
      </c>
      <c r="AA121">
        <v>-6.906813746816319E-2</v>
      </c>
      <c r="AB121">
        <v>6</v>
      </c>
      <c r="AC121">
        <v>8.1739073201759476E-3</v>
      </c>
      <c r="AD121">
        <v>17</v>
      </c>
      <c r="AE121">
        <v>-5.1200000000000045</v>
      </c>
      <c r="AF121">
        <v>7</v>
      </c>
      <c r="AG121">
        <v>-1.64</v>
      </c>
      <c r="AH121">
        <v>1.2799999999999998</v>
      </c>
      <c r="AI121">
        <v>3.8</v>
      </c>
      <c r="AJ121">
        <v>0.51999999999999991</v>
      </c>
      <c r="AK121">
        <v>11.599999999999989</v>
      </c>
      <c r="AL121">
        <v>-40.880000000000003</v>
      </c>
      <c r="AM121">
        <v>54.760000000000005</v>
      </c>
      <c r="AN121">
        <v>5.5200000000000005</v>
      </c>
      <c r="AO121">
        <v>-7.8</v>
      </c>
      <c r="AP121">
        <v>32</v>
      </c>
      <c r="AQ121">
        <v>-22.465599999999998</v>
      </c>
      <c r="AR121">
        <v>-11.481679999999997</v>
      </c>
      <c r="AS121">
        <v>-95.640000000000015</v>
      </c>
      <c r="AT121">
        <v>22.465599999999998</v>
      </c>
      <c r="AU121">
        <v>0.10559999999999994</v>
      </c>
      <c r="AV121">
        <v>-2.4981000000000004</v>
      </c>
      <c r="AW121">
        <v>5.5999999999997441E-3</v>
      </c>
      <c r="AX121" t="s">
        <v>256</v>
      </c>
      <c r="AY121">
        <v>22</v>
      </c>
      <c r="AZ121">
        <v>-8.7744</v>
      </c>
      <c r="BA121">
        <v>-10.072000000000001</v>
      </c>
      <c r="BB121">
        <v>-8.0800000000000018</v>
      </c>
      <c r="BC121">
        <v>-2.6400000000000006</v>
      </c>
      <c r="BD121">
        <v>-16.808</v>
      </c>
      <c r="BE121">
        <v>-79.320000000000007</v>
      </c>
      <c r="BF121">
        <v>-5.4399999999999995</v>
      </c>
      <c r="BG121">
        <v>18</v>
      </c>
      <c r="BH121">
        <v>20</v>
      </c>
      <c r="BI121">
        <v>-3.4400000000000004</v>
      </c>
      <c r="BJ121">
        <v>13</v>
      </c>
      <c r="BK121">
        <v>14.75</v>
      </c>
      <c r="BL121">
        <v>23</v>
      </c>
      <c r="BM121">
        <v>4.298446470207784E-2</v>
      </c>
      <c r="BN121">
        <v>8</v>
      </c>
      <c r="BO121">
        <v>7.2737452654640475E-2</v>
      </c>
      <c r="BP121">
        <v>24</v>
      </c>
      <c r="BQ121">
        <v>-11.84</v>
      </c>
      <c r="BR121">
        <v>4</v>
      </c>
      <c r="BS121">
        <v>4.92</v>
      </c>
      <c r="BT121">
        <v>-9.2000000000000011</v>
      </c>
      <c r="BU121">
        <v>-11.84</v>
      </c>
      <c r="BV121">
        <v>-0.79999999999999993</v>
      </c>
      <c r="BW121">
        <v>-112.07999999999997</v>
      </c>
      <c r="BX121">
        <v>-102.16</v>
      </c>
      <c r="BY121">
        <v>-8.5599999999999969</v>
      </c>
      <c r="BZ121">
        <v>2.3200000000000003</v>
      </c>
      <c r="CA121">
        <v>-3.6799999999999997</v>
      </c>
      <c r="CB121">
        <v>13</v>
      </c>
      <c r="CC121">
        <v>1.297600000000001</v>
      </c>
      <c r="CD121">
        <v>-8.0479999999999663E-2</v>
      </c>
      <c r="CE121">
        <v>-93.6</v>
      </c>
      <c r="CF121">
        <v>-5.0018000000000002</v>
      </c>
    </row>
    <row r="122" spans="1:84" x14ac:dyDescent="0.2">
      <c r="A122" s="39">
        <v>43765</v>
      </c>
      <c r="B122" s="22" t="s">
        <v>248</v>
      </c>
      <c r="C122" s="41" t="s">
        <v>265</v>
      </c>
      <c r="D122" s="22" t="s">
        <v>287</v>
      </c>
      <c r="E122">
        <v>11.2</v>
      </c>
      <c r="F122" s="14">
        <v>9.6999999999999993</v>
      </c>
      <c r="G122">
        <v>9.3000000000000007</v>
      </c>
      <c r="H122">
        <v>2.6</v>
      </c>
      <c r="I122">
        <v>-3.5</v>
      </c>
      <c r="J122">
        <v>41</v>
      </c>
      <c r="K122" t="s">
        <v>110</v>
      </c>
      <c r="L122" s="1" t="s">
        <v>265</v>
      </c>
      <c r="M122">
        <v>28</v>
      </c>
      <c r="N122">
        <v>-3.8032000000000004</v>
      </c>
      <c r="O122">
        <v>0.17599999999999993</v>
      </c>
      <c r="P122">
        <v>-10.119999999999997</v>
      </c>
      <c r="Q122">
        <v>2.6</v>
      </c>
      <c r="R122">
        <v>-1.352000000000003</v>
      </c>
      <c r="S122">
        <v>-5.240000000000002</v>
      </c>
      <c r="T122">
        <v>0.12000000000000011</v>
      </c>
      <c r="U122">
        <v>30</v>
      </c>
      <c r="V122">
        <v>29.5</v>
      </c>
      <c r="W122">
        <v>3.3600000000000003</v>
      </c>
      <c r="X122">
        <v>18</v>
      </c>
      <c r="Y122">
        <v>15.5</v>
      </c>
      <c r="Z122">
        <v>20</v>
      </c>
      <c r="AA122">
        <v>1.2843867948444387E-4</v>
      </c>
      <c r="AB122">
        <v>11</v>
      </c>
      <c r="AC122">
        <v>1.0378652468172423E-2</v>
      </c>
      <c r="AD122">
        <v>20</v>
      </c>
      <c r="AE122">
        <v>-2.8639999999999985</v>
      </c>
      <c r="AF122">
        <v>11</v>
      </c>
      <c r="AG122">
        <v>-0.20000000000000018</v>
      </c>
      <c r="AH122">
        <v>1.8</v>
      </c>
      <c r="AI122">
        <v>-1.7600000000000002</v>
      </c>
      <c r="AJ122">
        <v>1.6799999999999997</v>
      </c>
      <c r="AK122">
        <v>-34.319999999999993</v>
      </c>
      <c r="AL122">
        <v>-16.080000000000013</v>
      </c>
      <c r="AM122">
        <v>-13.879999999999999</v>
      </c>
      <c r="AN122">
        <v>3.84</v>
      </c>
      <c r="AO122">
        <v>-8.1999999999999993</v>
      </c>
      <c r="AP122">
        <v>26</v>
      </c>
      <c r="AQ122">
        <v>-3.9792000000000001</v>
      </c>
      <c r="AR122">
        <v>-1.1190400000000005</v>
      </c>
      <c r="AS122">
        <v>-2.2000000000000135</v>
      </c>
      <c r="AT122">
        <v>3.9792000000000005</v>
      </c>
      <c r="AU122">
        <v>-0.54240000000000044</v>
      </c>
      <c r="AV122">
        <v>-0.46067500000000006</v>
      </c>
      <c r="AW122">
        <v>-0.50219999999999987</v>
      </c>
      <c r="AX122" t="s">
        <v>287</v>
      </c>
      <c r="AY122">
        <v>26</v>
      </c>
      <c r="AZ122">
        <v>-0.18120000000000047</v>
      </c>
      <c r="BA122">
        <v>2.831999999999999</v>
      </c>
      <c r="BB122">
        <v>6.839999999999999</v>
      </c>
      <c r="BC122">
        <v>-1.1599999999999999</v>
      </c>
      <c r="BD122">
        <v>-6.3239999999999981</v>
      </c>
      <c r="BE122">
        <v>-26.68</v>
      </c>
      <c r="BF122">
        <v>-5.6800000000000006</v>
      </c>
      <c r="BG122">
        <v>3</v>
      </c>
      <c r="BH122">
        <v>3.5</v>
      </c>
      <c r="BI122">
        <v>0.48000000000000015</v>
      </c>
      <c r="BJ122">
        <v>25</v>
      </c>
      <c r="BK122">
        <v>21.5</v>
      </c>
      <c r="BL122">
        <v>20</v>
      </c>
      <c r="BM122">
        <v>6.8255608733913675E-3</v>
      </c>
      <c r="BN122">
        <v>25</v>
      </c>
      <c r="BO122">
        <v>-3.4319063918989562E-4</v>
      </c>
      <c r="BP122">
        <v>18</v>
      </c>
      <c r="BQ122">
        <v>1.1479999999999961</v>
      </c>
      <c r="BR122">
        <v>23</v>
      </c>
      <c r="BS122">
        <v>-1.52</v>
      </c>
      <c r="BT122">
        <v>-6.56</v>
      </c>
      <c r="BU122">
        <v>0.44000000000000022</v>
      </c>
      <c r="BV122">
        <v>0.83999999999999986</v>
      </c>
      <c r="BW122">
        <v>-4.6000000000000112</v>
      </c>
      <c r="BX122">
        <v>-5.7599999999999962</v>
      </c>
      <c r="BY122">
        <v>7.0800000000000036</v>
      </c>
      <c r="BZ122">
        <v>-0.5199999999999998</v>
      </c>
      <c r="CA122">
        <v>-5.4</v>
      </c>
      <c r="CB122">
        <v>25</v>
      </c>
      <c r="CC122">
        <v>-3.0131999999999994</v>
      </c>
      <c r="CD122">
        <v>-2.717039999999999</v>
      </c>
      <c r="CE122">
        <v>-12.84</v>
      </c>
      <c r="CF122">
        <v>-0.41915000000000019</v>
      </c>
    </row>
    <row r="123" spans="1:84" x14ac:dyDescent="0.2">
      <c r="A123" s="39">
        <v>43765</v>
      </c>
      <c r="B123" s="22" t="s">
        <v>248</v>
      </c>
      <c r="C123" s="17" t="s">
        <v>272</v>
      </c>
      <c r="D123" s="22" t="s">
        <v>304</v>
      </c>
      <c r="E123">
        <v>12.8</v>
      </c>
      <c r="F123">
        <v>11.5</v>
      </c>
      <c r="G123">
        <v>15.7</v>
      </c>
      <c r="H123">
        <v>14.8</v>
      </c>
      <c r="I123">
        <v>12</v>
      </c>
      <c r="J123">
        <v>48.5</v>
      </c>
      <c r="K123" t="s">
        <v>109</v>
      </c>
      <c r="L123" s="1" t="s">
        <v>272</v>
      </c>
      <c r="M123">
        <v>20</v>
      </c>
      <c r="N123">
        <v>-1.4180000000000004</v>
      </c>
      <c r="O123">
        <v>-8.0543999999999976</v>
      </c>
      <c r="P123">
        <v>-41.120000000000005</v>
      </c>
      <c r="Q123">
        <v>7.999999999999996E-2</v>
      </c>
      <c r="R123">
        <v>-2.0880000000000001</v>
      </c>
      <c r="S123">
        <v>7.4400000000000048</v>
      </c>
      <c r="T123">
        <v>5.48</v>
      </c>
      <c r="U123">
        <v>12</v>
      </c>
      <c r="V123">
        <v>11.5</v>
      </c>
      <c r="W123">
        <v>-3.28</v>
      </c>
      <c r="X123">
        <v>10</v>
      </c>
      <c r="Y123">
        <v>12.75</v>
      </c>
      <c r="Z123">
        <v>13</v>
      </c>
      <c r="AA123">
        <v>-4.2694794899140763E-2</v>
      </c>
      <c r="AB123">
        <v>15</v>
      </c>
      <c r="AC123">
        <v>-5.8338480427629351E-4</v>
      </c>
      <c r="AD123">
        <v>11</v>
      </c>
      <c r="AE123">
        <v>-13.080000000000002</v>
      </c>
      <c r="AF123">
        <v>12</v>
      </c>
      <c r="AG123">
        <v>2.6</v>
      </c>
      <c r="AH123">
        <v>-1.8</v>
      </c>
      <c r="AI123">
        <v>-6.8</v>
      </c>
      <c r="AJ123">
        <v>-8.8817841970012528E-17</v>
      </c>
      <c r="AK123">
        <v>-56.88000000000001</v>
      </c>
      <c r="AL123">
        <v>-9.0799999999999947</v>
      </c>
      <c r="AM123">
        <v>-43</v>
      </c>
      <c r="AN123">
        <v>-0.35999999999999988</v>
      </c>
      <c r="AO123">
        <v>-4.4400000000000004</v>
      </c>
      <c r="AP123">
        <v>5</v>
      </c>
      <c r="AQ123">
        <v>6.6363999999999965</v>
      </c>
      <c r="AR123">
        <v>3.3259999999999987</v>
      </c>
      <c r="AS123">
        <v>33.92</v>
      </c>
      <c r="AT123">
        <v>-6.6363999999999974</v>
      </c>
      <c r="AU123">
        <v>-1.4950499999999998</v>
      </c>
      <c r="AV123">
        <v>0.12783333333333302</v>
      </c>
      <c r="AW123">
        <v>0.92826666666666624</v>
      </c>
      <c r="AX123" t="s">
        <v>304</v>
      </c>
      <c r="AY123">
        <v>16</v>
      </c>
      <c r="AZ123">
        <v>-0.84080000000000188</v>
      </c>
      <c r="BA123">
        <v>-3.7519999999999989</v>
      </c>
      <c r="BB123">
        <v>-12.879999999999999</v>
      </c>
      <c r="BC123">
        <v>-0.36</v>
      </c>
      <c r="BD123">
        <v>-1.5880000000000014</v>
      </c>
      <c r="BE123">
        <v>-8.0099999999999962</v>
      </c>
      <c r="BF123">
        <v>-1.3900000000000001</v>
      </c>
      <c r="BG123">
        <v>28</v>
      </c>
      <c r="BH123">
        <v>26.5</v>
      </c>
      <c r="BI123">
        <v>0.43999999999999967</v>
      </c>
      <c r="BJ123">
        <v>14</v>
      </c>
      <c r="BK123">
        <v>15</v>
      </c>
      <c r="BL123">
        <v>22</v>
      </c>
      <c r="BM123">
        <v>6.019082970377284E-2</v>
      </c>
      <c r="BN123">
        <v>10</v>
      </c>
      <c r="BO123">
        <v>1.3315577793178268E-3</v>
      </c>
      <c r="BP123">
        <v>22</v>
      </c>
      <c r="BQ123">
        <v>-3.1160000000000023</v>
      </c>
      <c r="BR123">
        <v>6</v>
      </c>
      <c r="BS123">
        <v>-8.0000000000000432E-2</v>
      </c>
      <c r="BT123">
        <v>0.67999999999999972</v>
      </c>
      <c r="BU123">
        <v>-0.51999999999999957</v>
      </c>
      <c r="BV123">
        <v>0.83999999999999986</v>
      </c>
      <c r="BW123">
        <v>-36.879999999999995</v>
      </c>
      <c r="BX123">
        <v>-10.52</v>
      </c>
      <c r="BY123">
        <v>-15.76</v>
      </c>
      <c r="BZ123">
        <v>-4.5200000000000005</v>
      </c>
      <c r="CA123">
        <v>-6.080000000000001</v>
      </c>
      <c r="CB123">
        <v>10</v>
      </c>
      <c r="CC123">
        <v>2.9111999999999965</v>
      </c>
      <c r="CD123">
        <v>1.3902399999999988</v>
      </c>
      <c r="CE123">
        <v>5.24</v>
      </c>
      <c r="CF123">
        <v>-0.6726000000000002</v>
      </c>
    </row>
    <row r="124" spans="1:84" x14ac:dyDescent="0.2">
      <c r="A124" s="39">
        <v>43765</v>
      </c>
      <c r="B124" s="22" t="s">
        <v>248</v>
      </c>
      <c r="C124" s="41" t="s">
        <v>281</v>
      </c>
      <c r="D124" s="23" t="s">
        <v>302</v>
      </c>
      <c r="E124">
        <v>10.199999999999999</v>
      </c>
      <c r="F124">
        <v>11.5</v>
      </c>
      <c r="G124">
        <v>3.1</v>
      </c>
      <c r="H124">
        <v>11.3</v>
      </c>
      <c r="I124">
        <v>9.5</v>
      </c>
      <c r="J124">
        <v>43</v>
      </c>
      <c r="L124" s="1" t="s">
        <v>281</v>
      </c>
      <c r="M124">
        <v>18</v>
      </c>
      <c r="N124">
        <v>-0.91519999999999979</v>
      </c>
      <c r="O124">
        <v>8.9655999999999985</v>
      </c>
      <c r="P124">
        <v>45.919999999999995</v>
      </c>
      <c r="Q124">
        <v>0.6</v>
      </c>
      <c r="R124">
        <v>1.9319999999999991</v>
      </c>
      <c r="S124">
        <v>18.120000000000008</v>
      </c>
      <c r="T124">
        <v>0.56000000000000005</v>
      </c>
      <c r="U124">
        <v>4</v>
      </c>
      <c r="V124">
        <v>7</v>
      </c>
      <c r="W124">
        <v>-0.92000000000000015</v>
      </c>
      <c r="X124">
        <v>30</v>
      </c>
      <c r="Y124">
        <v>29</v>
      </c>
      <c r="Z124">
        <v>31</v>
      </c>
      <c r="AA124">
        <v>-6.8898130286870196E-3</v>
      </c>
      <c r="AB124">
        <v>30</v>
      </c>
      <c r="AC124">
        <v>3.7586201072204221E-3</v>
      </c>
      <c r="AD124">
        <v>24</v>
      </c>
      <c r="AE124">
        <v>-3.3239999999999994</v>
      </c>
      <c r="AF124">
        <v>31</v>
      </c>
      <c r="AG124">
        <v>0.44000000000000022</v>
      </c>
      <c r="AH124">
        <v>-8.000000000000114E-2</v>
      </c>
      <c r="AI124">
        <v>3.0000000000000009</v>
      </c>
      <c r="AJ124">
        <v>-2.6000000000000005</v>
      </c>
      <c r="AK124">
        <v>41.92</v>
      </c>
      <c r="AL124">
        <v>6.3199999999999985</v>
      </c>
      <c r="AM124">
        <v>43.519999999999996</v>
      </c>
      <c r="AN124">
        <v>-4.4399999999999995</v>
      </c>
      <c r="AO124">
        <v>-3.4800000000000013</v>
      </c>
      <c r="AP124">
        <v>30</v>
      </c>
      <c r="AQ124">
        <v>-9.8807999999999989</v>
      </c>
      <c r="AR124">
        <v>-4.2794399999999992</v>
      </c>
      <c r="AS124">
        <v>-37.199999999999996</v>
      </c>
      <c r="AT124">
        <v>9.8807999999999989</v>
      </c>
      <c r="AU124">
        <v>1.2678</v>
      </c>
      <c r="AV124">
        <v>-1.2156791666666666</v>
      </c>
      <c r="AW124">
        <v>8.2241666666666588E-2</v>
      </c>
      <c r="AX124" t="s">
        <v>302</v>
      </c>
      <c r="AY124">
        <v>28</v>
      </c>
      <c r="AZ124">
        <v>-6.3848000000000003</v>
      </c>
      <c r="BA124">
        <v>-2.4799999999999995</v>
      </c>
      <c r="BB124">
        <v>-3.1300000000000017</v>
      </c>
      <c r="BC124">
        <v>1.0000000000000009E-2</v>
      </c>
      <c r="BD124">
        <v>-10.044</v>
      </c>
      <c r="BE124">
        <v>-32.880000000000003</v>
      </c>
      <c r="BF124">
        <v>1.48</v>
      </c>
      <c r="BG124">
        <v>24</v>
      </c>
      <c r="BH124">
        <v>23</v>
      </c>
      <c r="BI124">
        <v>0</v>
      </c>
      <c r="BJ124">
        <v>5</v>
      </c>
      <c r="BK124">
        <v>9.75</v>
      </c>
      <c r="BL124">
        <v>1</v>
      </c>
      <c r="BM124">
        <v>2.7417029776478551E-2</v>
      </c>
      <c r="BN124">
        <v>12</v>
      </c>
      <c r="BO124">
        <v>-8.3623204862236181E-3</v>
      </c>
      <c r="BP124">
        <v>23</v>
      </c>
      <c r="BQ124">
        <v>-11.027999999999997</v>
      </c>
      <c r="BR124">
        <v>3</v>
      </c>
      <c r="BS124">
        <v>5.4</v>
      </c>
      <c r="BT124">
        <v>-2.0400000000000005</v>
      </c>
      <c r="BU124">
        <v>-6.9599999999999991</v>
      </c>
      <c r="BV124">
        <v>1.9599999999999997</v>
      </c>
      <c r="BW124">
        <v>-40.08</v>
      </c>
      <c r="BX124">
        <v>-43.12</v>
      </c>
      <c r="BY124">
        <v>1.9599999999999995</v>
      </c>
      <c r="BZ124">
        <v>5.2799999999999994</v>
      </c>
      <c r="CA124">
        <v>-4.2000000000000011</v>
      </c>
      <c r="CB124">
        <v>27</v>
      </c>
      <c r="CC124">
        <v>-3.9048000000000007</v>
      </c>
      <c r="CD124">
        <v>-2.0457600000000009</v>
      </c>
      <c r="CE124">
        <v>-45.08</v>
      </c>
      <c r="CF124">
        <v>-2.5135999999999998</v>
      </c>
    </row>
    <row r="125" spans="1:84" x14ac:dyDescent="0.2">
      <c r="A125" s="39">
        <v>43765</v>
      </c>
      <c r="B125" t="s">
        <v>248</v>
      </c>
      <c r="C125" s="41" t="s">
        <v>278</v>
      </c>
      <c r="D125" t="s">
        <v>289</v>
      </c>
      <c r="E125">
        <v>10.199999999999999</v>
      </c>
      <c r="F125">
        <v>4.3</v>
      </c>
      <c r="G125">
        <v>2.6</v>
      </c>
      <c r="H125">
        <v>9.6999999999999993</v>
      </c>
      <c r="I125">
        <v>6</v>
      </c>
      <c r="J125">
        <v>41</v>
      </c>
      <c r="L125" s="1" t="s">
        <v>278</v>
      </c>
      <c r="M125">
        <v>32</v>
      </c>
      <c r="N125">
        <v>-6.638399999999999</v>
      </c>
      <c r="O125">
        <v>1.2010000000000005</v>
      </c>
      <c r="P125">
        <v>12.539999999999997</v>
      </c>
      <c r="Q125">
        <v>0.63999999999999968</v>
      </c>
      <c r="R125">
        <v>-6.5310000000000015</v>
      </c>
      <c r="S125">
        <v>-28.410000000000004</v>
      </c>
      <c r="T125">
        <v>-3.3899999999999997</v>
      </c>
      <c r="U125">
        <v>10</v>
      </c>
      <c r="V125">
        <v>9</v>
      </c>
      <c r="W125">
        <v>2</v>
      </c>
      <c r="X125">
        <v>22</v>
      </c>
      <c r="Y125">
        <v>20.25</v>
      </c>
      <c r="Z125">
        <v>15</v>
      </c>
      <c r="AA125">
        <v>2.221693124170445E-2</v>
      </c>
      <c r="AB125">
        <v>19</v>
      </c>
      <c r="AC125">
        <v>3.6062082025149003E-2</v>
      </c>
      <c r="AD125">
        <v>28</v>
      </c>
      <c r="AE125">
        <v>2.5079999999999982</v>
      </c>
      <c r="AF125">
        <v>19</v>
      </c>
      <c r="AG125">
        <v>4.08</v>
      </c>
      <c r="AH125">
        <v>-2.6400000000000006</v>
      </c>
      <c r="AI125">
        <v>-4.08</v>
      </c>
      <c r="AJ125">
        <v>-0.55999999999999994</v>
      </c>
      <c r="AK125">
        <v>-42.040000000000006</v>
      </c>
      <c r="AL125">
        <v>-39.160000000000004</v>
      </c>
      <c r="AM125">
        <v>10.760000000000002</v>
      </c>
      <c r="AN125">
        <v>-1.3199999999999998</v>
      </c>
      <c r="AO125">
        <v>-12.319999999999999</v>
      </c>
      <c r="AP125">
        <v>28</v>
      </c>
      <c r="AQ125">
        <v>-7.8393999999999995</v>
      </c>
      <c r="AR125">
        <v>-3.2343800000000003</v>
      </c>
      <c r="AS125">
        <v>-49.92</v>
      </c>
      <c r="AT125">
        <v>7.8393999999999995</v>
      </c>
      <c r="AU125">
        <v>-1.5560499999999999</v>
      </c>
      <c r="AV125">
        <v>-1.5876999999999999</v>
      </c>
      <c r="AW125">
        <v>-2.3155999999999999</v>
      </c>
      <c r="AX125" t="s">
        <v>289</v>
      </c>
      <c r="AY125">
        <v>25</v>
      </c>
      <c r="AZ125">
        <v>-2.6064000000000016</v>
      </c>
      <c r="BA125">
        <v>-7.6880000000000006</v>
      </c>
      <c r="BB125">
        <v>-12.120000000000001</v>
      </c>
      <c r="BC125">
        <v>-1.3199999999999998</v>
      </c>
      <c r="BD125">
        <v>2.8560000000000016</v>
      </c>
      <c r="BE125">
        <v>-3.9999999999999947</v>
      </c>
      <c r="BF125">
        <v>-0.76000000000000023</v>
      </c>
      <c r="BG125">
        <v>5</v>
      </c>
      <c r="BH125">
        <v>4.5</v>
      </c>
      <c r="BI125">
        <v>-0.71999999999999975</v>
      </c>
      <c r="BJ125">
        <v>28</v>
      </c>
      <c r="BK125">
        <v>23</v>
      </c>
      <c r="BL125">
        <v>27</v>
      </c>
      <c r="BM125">
        <v>4.1908416176484331E-3</v>
      </c>
      <c r="BN125">
        <v>18</v>
      </c>
      <c r="BO125">
        <v>4.3046513565494213E-4</v>
      </c>
      <c r="BP125">
        <v>26</v>
      </c>
      <c r="BQ125">
        <v>-1.819999999999999</v>
      </c>
      <c r="BR125">
        <v>21</v>
      </c>
      <c r="BS125">
        <v>-0.60000000000000031</v>
      </c>
      <c r="BT125">
        <v>-2.0799999999999996</v>
      </c>
      <c r="BU125">
        <v>-2.9199999999999995</v>
      </c>
      <c r="BV125">
        <v>0.28000000000000008</v>
      </c>
      <c r="BW125">
        <v>-18.360000000000014</v>
      </c>
      <c r="BX125">
        <v>-19.759999999999998</v>
      </c>
      <c r="BY125">
        <v>-10.559999999999999</v>
      </c>
      <c r="BZ125">
        <v>11.32</v>
      </c>
      <c r="CA125">
        <v>0.64</v>
      </c>
      <c r="CB125">
        <v>5</v>
      </c>
      <c r="CC125">
        <v>5.081599999999999</v>
      </c>
      <c r="CD125">
        <v>3.8939200000000005</v>
      </c>
      <c r="CE125">
        <v>-9.1999999999999993</v>
      </c>
      <c r="CF125">
        <v>-0.85980000000000012</v>
      </c>
    </row>
    <row r="126" spans="1:84" x14ac:dyDescent="0.2">
      <c r="A126" s="39">
        <v>43765</v>
      </c>
      <c r="B126" s="22" t="s">
        <v>248</v>
      </c>
      <c r="C126" s="41" t="s">
        <v>299</v>
      </c>
      <c r="D126" s="22" t="s">
        <v>296</v>
      </c>
      <c r="E126">
        <v>32.299999999999997</v>
      </c>
      <c r="F126">
        <v>17.5</v>
      </c>
      <c r="G126">
        <v>11.9</v>
      </c>
      <c r="H126">
        <v>5.8</v>
      </c>
      <c r="I126">
        <v>-6.5</v>
      </c>
      <c r="J126">
        <v>49</v>
      </c>
      <c r="K126" t="s">
        <v>109</v>
      </c>
      <c r="L126" s="1" t="s">
        <v>299</v>
      </c>
      <c r="M126">
        <v>7</v>
      </c>
      <c r="N126">
        <v>2.6712000000000011</v>
      </c>
      <c r="O126">
        <v>-7.907</v>
      </c>
      <c r="P126">
        <v>-29.42</v>
      </c>
      <c r="Q126">
        <v>-0.43999999999999995</v>
      </c>
      <c r="R126">
        <v>9.6490000000000009</v>
      </c>
      <c r="S126">
        <v>35.790000000000006</v>
      </c>
      <c r="T126">
        <v>0.25000000000000044</v>
      </c>
      <c r="U126">
        <v>23</v>
      </c>
      <c r="V126">
        <v>22.5</v>
      </c>
      <c r="W126">
        <v>4.0000000000000036E-2</v>
      </c>
      <c r="X126">
        <v>5</v>
      </c>
      <c r="Y126">
        <v>9</v>
      </c>
      <c r="Z126">
        <v>6</v>
      </c>
      <c r="AA126">
        <v>4.5917487142951184E-3</v>
      </c>
      <c r="AB126">
        <v>12</v>
      </c>
      <c r="AC126">
        <v>-3.4203414341906491E-3</v>
      </c>
      <c r="AD126">
        <v>9</v>
      </c>
      <c r="AE126">
        <v>-2.5280000000000031</v>
      </c>
      <c r="AF126">
        <v>9</v>
      </c>
      <c r="AG126">
        <v>-2.64</v>
      </c>
      <c r="AH126">
        <v>-2.9200000000000004</v>
      </c>
      <c r="AI126">
        <v>2.7999999999999994</v>
      </c>
      <c r="AJ126">
        <v>1.8799999999999997</v>
      </c>
      <c r="AK126">
        <v>-0.40000000000001135</v>
      </c>
      <c r="AL126">
        <v>32.159999999999989</v>
      </c>
      <c r="AM126">
        <v>-19.2</v>
      </c>
      <c r="AN126">
        <v>-4.4799999999999995</v>
      </c>
      <c r="AO126">
        <v>-8.879999999999999</v>
      </c>
      <c r="AP126">
        <v>3</v>
      </c>
      <c r="AQ126">
        <v>10.578200000000001</v>
      </c>
      <c r="AR126">
        <v>6.4175399999999998</v>
      </c>
      <c r="AS126">
        <v>51.359999999999985</v>
      </c>
      <c r="AT126">
        <v>-10.578200000000001</v>
      </c>
      <c r="AU126">
        <v>1.0566500000000001</v>
      </c>
      <c r="AV126">
        <v>0.8408374999999999</v>
      </c>
      <c r="AW126">
        <v>2.0863999999999998</v>
      </c>
      <c r="AX126" t="s">
        <v>296</v>
      </c>
      <c r="AY126">
        <v>5</v>
      </c>
      <c r="AZ126">
        <v>-0.98479999999999923</v>
      </c>
      <c r="BA126">
        <v>1.548</v>
      </c>
      <c r="BB126">
        <v>22.6</v>
      </c>
      <c r="BC126">
        <v>-0.7599999999999999</v>
      </c>
      <c r="BD126">
        <v>-6.3610000000000015</v>
      </c>
      <c r="BE126">
        <v>-21.5</v>
      </c>
      <c r="BF126">
        <v>-3.0199999999999996</v>
      </c>
      <c r="BG126">
        <v>2</v>
      </c>
      <c r="BH126">
        <v>3</v>
      </c>
      <c r="BI126">
        <v>5.16</v>
      </c>
      <c r="BJ126">
        <v>29</v>
      </c>
      <c r="BK126">
        <v>24</v>
      </c>
      <c r="BL126">
        <v>11</v>
      </c>
      <c r="BM126">
        <v>-4.2820537678745038E-2</v>
      </c>
      <c r="BN126">
        <v>27</v>
      </c>
      <c r="BO126">
        <v>6.5839455554950761E-3</v>
      </c>
      <c r="BP126">
        <v>31</v>
      </c>
      <c r="BQ126">
        <v>-16.175999999999998</v>
      </c>
      <c r="BR126">
        <v>27</v>
      </c>
      <c r="BS126">
        <v>2.96</v>
      </c>
      <c r="BT126">
        <v>-0.52000000000000168</v>
      </c>
      <c r="BU126">
        <v>-1.6399999999999995</v>
      </c>
      <c r="BV126">
        <v>1.92</v>
      </c>
      <c r="BW126">
        <v>15.160000000000002</v>
      </c>
      <c r="BX126">
        <v>-2.5199999999999987</v>
      </c>
      <c r="BY126">
        <v>25</v>
      </c>
      <c r="BZ126">
        <v>-4.6399999999999988</v>
      </c>
      <c r="CA126">
        <v>-2.6799999999999997</v>
      </c>
      <c r="CB126">
        <v>23</v>
      </c>
      <c r="CC126">
        <v>-2.5327999999999995</v>
      </c>
      <c r="CD126">
        <v>-2.24316</v>
      </c>
      <c r="CE126">
        <v>-27.52</v>
      </c>
      <c r="CF126">
        <v>-0.40472500000000011</v>
      </c>
    </row>
    <row r="127" spans="1:84" x14ac:dyDescent="0.2">
      <c r="A127" s="39">
        <v>43765</v>
      </c>
      <c r="B127" s="22" t="s">
        <v>248</v>
      </c>
      <c r="C127" s="41" t="s">
        <v>300</v>
      </c>
      <c r="D127" s="22" t="s">
        <v>288</v>
      </c>
      <c r="E127" s="3">
        <v>1.4</v>
      </c>
      <c r="F127" s="30">
        <v>1.7</v>
      </c>
      <c r="G127" s="3">
        <v>9.1999999999999993</v>
      </c>
      <c r="H127">
        <v>7.1</v>
      </c>
      <c r="I127">
        <v>-5</v>
      </c>
      <c r="J127">
        <v>48</v>
      </c>
      <c r="L127" s="4" t="s">
        <v>300</v>
      </c>
      <c r="M127" s="3">
        <v>5</v>
      </c>
      <c r="N127" s="3">
        <v>5.0407999999999991</v>
      </c>
      <c r="O127">
        <v>8.8120000000000012</v>
      </c>
      <c r="P127">
        <v>1.6000000000000014</v>
      </c>
      <c r="Q127">
        <v>2.1399999999999997</v>
      </c>
      <c r="R127">
        <v>1.6559999999999975</v>
      </c>
      <c r="S127">
        <v>33.879999999999995</v>
      </c>
      <c r="T127">
        <v>-1.3199999999999998</v>
      </c>
      <c r="U127">
        <v>31</v>
      </c>
      <c r="V127">
        <v>31</v>
      </c>
      <c r="W127">
        <v>-1.1199999999999999</v>
      </c>
      <c r="X127">
        <v>16</v>
      </c>
      <c r="Y127">
        <v>14.5</v>
      </c>
      <c r="Z127">
        <v>17</v>
      </c>
      <c r="AA127">
        <v>-3.3968888077655635E-3</v>
      </c>
      <c r="AB127">
        <v>14</v>
      </c>
      <c r="AC127">
        <v>-3.3662240210221447E-2</v>
      </c>
      <c r="AD127">
        <v>3</v>
      </c>
      <c r="AE127">
        <v>13.067999999999998</v>
      </c>
      <c r="AF127">
        <v>24</v>
      </c>
      <c r="AG127">
        <v>-5.08</v>
      </c>
      <c r="AH127">
        <v>-0.6</v>
      </c>
      <c r="AI127">
        <v>7.1599999999999993</v>
      </c>
      <c r="AJ127">
        <v>-1.1199999999999999</v>
      </c>
      <c r="AK127">
        <v>55.760000000000005</v>
      </c>
      <c r="AL127">
        <v>63.199999999999989</v>
      </c>
      <c r="AM127">
        <v>-5.1199999999999992</v>
      </c>
      <c r="AN127">
        <v>-0.52000000000000013</v>
      </c>
      <c r="AO127">
        <v>-1.8</v>
      </c>
      <c r="AP127">
        <v>25</v>
      </c>
      <c r="AQ127">
        <v>-3.7712000000000026</v>
      </c>
      <c r="AR127">
        <v>-3.0666400000000014</v>
      </c>
      <c r="AS127">
        <v>68.319999999999993</v>
      </c>
      <c r="AT127">
        <v>3.7712000000000021</v>
      </c>
      <c r="AU127">
        <v>2.1335999999999995</v>
      </c>
      <c r="AV127">
        <v>0.28010208333333331</v>
      </c>
      <c r="AW127">
        <v>0.73383750000000003</v>
      </c>
      <c r="AX127" t="s">
        <v>288</v>
      </c>
      <c r="AY127">
        <v>7</v>
      </c>
      <c r="AZ127">
        <v>-1.7703999999999998</v>
      </c>
      <c r="BA127">
        <v>10.323999999999998</v>
      </c>
      <c r="BB127">
        <v>42.76</v>
      </c>
      <c r="BC127">
        <v>0.90000000000000013</v>
      </c>
      <c r="BD127">
        <v>-8.3426666666666662</v>
      </c>
      <c r="BE127">
        <v>-25.706666666666663</v>
      </c>
      <c r="BF127">
        <v>0.89333333333333353</v>
      </c>
      <c r="BG127">
        <v>20</v>
      </c>
      <c r="BH127">
        <v>21</v>
      </c>
      <c r="BI127">
        <v>-2.4</v>
      </c>
      <c r="BJ127">
        <v>2</v>
      </c>
      <c r="BK127">
        <v>7.25</v>
      </c>
      <c r="BL127">
        <v>4</v>
      </c>
      <c r="BM127">
        <v>6.3573982616987323E-3</v>
      </c>
      <c r="BN127">
        <v>13</v>
      </c>
      <c r="BO127">
        <v>4.7370009484787104E-3</v>
      </c>
      <c r="BP127">
        <v>3</v>
      </c>
      <c r="BQ127">
        <v>-7.892000000000003</v>
      </c>
      <c r="BR127">
        <v>9</v>
      </c>
      <c r="BS127">
        <v>2.4799999999999995</v>
      </c>
      <c r="BT127">
        <v>9.1199999999999992</v>
      </c>
      <c r="BU127">
        <v>-0.23999999999999985</v>
      </c>
      <c r="BV127">
        <v>-1.48</v>
      </c>
      <c r="BW127">
        <v>23.839999999999996</v>
      </c>
      <c r="BX127">
        <v>-14.960000000000008</v>
      </c>
      <c r="BY127">
        <v>43.2</v>
      </c>
      <c r="BZ127">
        <v>0.91999999999999993</v>
      </c>
      <c r="CA127">
        <v>-5.32</v>
      </c>
      <c r="CB127">
        <v>32</v>
      </c>
      <c r="CC127">
        <v>-12.094399999999998</v>
      </c>
      <c r="CD127">
        <v>-7.1846133333333322</v>
      </c>
      <c r="CE127">
        <v>-58.160000000000011</v>
      </c>
      <c r="CF127">
        <v>-0.17363333333333347</v>
      </c>
    </row>
    <row r="128" spans="1:84" x14ac:dyDescent="0.2">
      <c r="A128" s="39">
        <v>43765</v>
      </c>
      <c r="B128" s="22" t="s">
        <v>248</v>
      </c>
      <c r="C128" s="41" t="s">
        <v>311</v>
      </c>
      <c r="D128" s="22" t="s">
        <v>303</v>
      </c>
      <c r="E128">
        <v>24.9</v>
      </c>
      <c r="F128">
        <v>5.2</v>
      </c>
      <c r="G128">
        <v>5.6</v>
      </c>
      <c r="H128">
        <f>23.8+3.1</f>
        <v>26.900000000000002</v>
      </c>
      <c r="I128">
        <v>-5</v>
      </c>
      <c r="J128">
        <v>52</v>
      </c>
      <c r="K128" t="s">
        <v>109</v>
      </c>
      <c r="L128" s="1" t="s">
        <v>311</v>
      </c>
      <c r="M128">
        <v>1</v>
      </c>
      <c r="N128">
        <v>7.2992000000000008</v>
      </c>
      <c r="O128">
        <v>-4.9279999999999999</v>
      </c>
      <c r="P128">
        <v>-0.92000000000000348</v>
      </c>
      <c r="Q128">
        <v>-2.08</v>
      </c>
      <c r="R128">
        <v>16.048000000000002</v>
      </c>
      <c r="S128">
        <v>66.319999999999993</v>
      </c>
      <c r="T128">
        <v>5.4</v>
      </c>
      <c r="U128">
        <v>22</v>
      </c>
      <c r="V128">
        <v>20.5</v>
      </c>
      <c r="W128">
        <v>0.51999999999999991</v>
      </c>
      <c r="X128">
        <v>20</v>
      </c>
      <c r="Y128">
        <v>17.5</v>
      </c>
      <c r="Z128">
        <v>1</v>
      </c>
      <c r="AA128">
        <v>7.7494903344480113E-3</v>
      </c>
      <c r="AB128">
        <v>24</v>
      </c>
      <c r="AC128">
        <v>-1.0054165258744795E-2</v>
      </c>
      <c r="AD128">
        <v>15</v>
      </c>
      <c r="AE128">
        <v>1.4079999999999984</v>
      </c>
      <c r="AF128">
        <v>30</v>
      </c>
      <c r="AG128">
        <v>-0.92000000000000015</v>
      </c>
      <c r="AH128">
        <v>0.6</v>
      </c>
      <c r="AI128">
        <v>3.28</v>
      </c>
      <c r="AJ128">
        <v>0.28000000000000008</v>
      </c>
      <c r="AK128">
        <v>46.080000000000005</v>
      </c>
      <c r="AL128">
        <v>44.680000000000007</v>
      </c>
      <c r="AM128">
        <v>-8.1199999999999992</v>
      </c>
      <c r="AN128">
        <v>-2.9200000000000004</v>
      </c>
      <c r="AO128">
        <v>12.440000000000001</v>
      </c>
      <c r="AP128">
        <v>1</v>
      </c>
      <c r="AQ128">
        <v>12.227200000000002</v>
      </c>
      <c r="AR128">
        <v>7.1334400000000002</v>
      </c>
      <c r="AS128">
        <v>52.800000000000004</v>
      </c>
      <c r="AT128">
        <v>-12.2272</v>
      </c>
      <c r="AU128">
        <v>2.2424000000000004</v>
      </c>
      <c r="AV128">
        <v>0.46405000000000007</v>
      </c>
      <c r="AW128">
        <v>0.65090000000000003</v>
      </c>
      <c r="AX128" t="s">
        <v>303</v>
      </c>
      <c r="AY128">
        <v>13</v>
      </c>
      <c r="AZ128">
        <v>3.3936000000000006</v>
      </c>
      <c r="BA128">
        <v>0.38000000000000078</v>
      </c>
      <c r="BB128">
        <v>-12.92</v>
      </c>
      <c r="BC128">
        <v>0.24</v>
      </c>
      <c r="BD128">
        <v>-0.5160000000000009</v>
      </c>
      <c r="BE128">
        <v>-17.599999999999998</v>
      </c>
      <c r="BF128">
        <v>-0.87999999999999923</v>
      </c>
      <c r="BG128">
        <v>27</v>
      </c>
      <c r="BH128">
        <v>25.5</v>
      </c>
      <c r="BI128">
        <v>-3.5200000000000005</v>
      </c>
      <c r="BJ128">
        <v>10</v>
      </c>
      <c r="BK128">
        <v>13.25</v>
      </c>
      <c r="BL128">
        <v>12</v>
      </c>
      <c r="BM128">
        <v>-2.2692274928291033E-2</v>
      </c>
      <c r="BN128">
        <v>11</v>
      </c>
      <c r="BO128">
        <v>-6.5543210291941975E-3</v>
      </c>
      <c r="BP128">
        <v>12</v>
      </c>
      <c r="BQ128">
        <v>4.1400000000000006</v>
      </c>
      <c r="BR128">
        <v>18</v>
      </c>
      <c r="BS128">
        <v>-1.1999999999999997</v>
      </c>
      <c r="BT128">
        <v>-2.72</v>
      </c>
      <c r="BU128">
        <v>3.84</v>
      </c>
      <c r="BV128">
        <v>-1</v>
      </c>
      <c r="BW128">
        <v>-9.4800000000000182</v>
      </c>
      <c r="BX128">
        <v>-1.9600000000000022</v>
      </c>
      <c r="BY128">
        <v>-9.1999999999999993</v>
      </c>
      <c r="BZ128">
        <v>-2.6799999999999997</v>
      </c>
      <c r="CA128">
        <v>4.3600000000000003</v>
      </c>
      <c r="CB128">
        <v>9</v>
      </c>
      <c r="CC128">
        <v>3.0135999999999994</v>
      </c>
      <c r="CD128">
        <v>0.38551999999999964</v>
      </c>
      <c r="CE128">
        <v>7.2399999999999967</v>
      </c>
      <c r="CF128">
        <v>0.27720000000000011</v>
      </c>
    </row>
    <row r="129" spans="1:84" x14ac:dyDescent="0.2">
      <c r="A129" s="39">
        <v>43765</v>
      </c>
      <c r="B129" s="22" t="s">
        <v>248</v>
      </c>
      <c r="C129" s="41" t="s">
        <v>289</v>
      </c>
      <c r="D129" s="22" t="s">
        <v>278</v>
      </c>
      <c r="E129">
        <v>7.4</v>
      </c>
      <c r="F129">
        <v>1.6</v>
      </c>
      <c r="G129">
        <v>1.7</v>
      </c>
      <c r="H129">
        <v>15.7</v>
      </c>
      <c r="I129">
        <v>-6</v>
      </c>
      <c r="J129">
        <v>41</v>
      </c>
      <c r="L129" s="1" t="s">
        <v>289</v>
      </c>
      <c r="M129">
        <v>21</v>
      </c>
      <c r="N129">
        <v>-1.6384000000000003</v>
      </c>
      <c r="O129">
        <v>-5.4399999999999995</v>
      </c>
      <c r="P129">
        <v>-13.760000000000002</v>
      </c>
      <c r="Q129">
        <v>-0.88</v>
      </c>
      <c r="R129">
        <v>5.9999999999999609E-2</v>
      </c>
      <c r="S129">
        <v>-8.4000000000000057</v>
      </c>
      <c r="T129">
        <v>-0.55999999999999917</v>
      </c>
      <c r="U129">
        <v>19</v>
      </c>
      <c r="V129">
        <v>19.5</v>
      </c>
      <c r="W129">
        <v>-0.60000000000000031</v>
      </c>
      <c r="X129">
        <v>3</v>
      </c>
      <c r="Y129">
        <v>7.75</v>
      </c>
      <c r="Z129">
        <v>4</v>
      </c>
      <c r="AA129">
        <v>5.9954348099916274E-2</v>
      </c>
      <c r="AB129">
        <v>8</v>
      </c>
      <c r="AC129">
        <v>-1.1966677225321751E-2</v>
      </c>
      <c r="AD129">
        <v>13</v>
      </c>
      <c r="AE129">
        <v>-4.3080000000000025</v>
      </c>
      <c r="AF129">
        <v>6</v>
      </c>
      <c r="AG129">
        <v>-0.71999999999999975</v>
      </c>
      <c r="AH129">
        <v>0.87999999999999834</v>
      </c>
      <c r="AI129">
        <v>-2.4000000000000008</v>
      </c>
      <c r="AJ129">
        <v>-0.79999999999999993</v>
      </c>
      <c r="AK129">
        <v>-21.76</v>
      </c>
      <c r="AL129">
        <v>-16.760000000000009</v>
      </c>
      <c r="AM129">
        <v>-6.919999999999999</v>
      </c>
      <c r="AN129">
        <v>1</v>
      </c>
      <c r="AO129">
        <v>0.9199999999999996</v>
      </c>
      <c r="AP129">
        <v>13</v>
      </c>
      <c r="AQ129">
        <v>3.8015999999999988</v>
      </c>
      <c r="AR129">
        <v>2.4043199999999998</v>
      </c>
      <c r="AS129">
        <v>-9.8400000000000105</v>
      </c>
      <c r="AT129">
        <v>-3.8015999999999992</v>
      </c>
      <c r="AU129">
        <v>-0.77729999999999999</v>
      </c>
      <c r="AV129">
        <v>-1.5876999999999999</v>
      </c>
      <c r="AW129">
        <v>-0.85980000000000012</v>
      </c>
      <c r="AX129" t="s">
        <v>278</v>
      </c>
      <c r="AY129">
        <v>15</v>
      </c>
      <c r="AZ129">
        <v>-8.1808000000000014</v>
      </c>
      <c r="BA129">
        <v>-1.3999999999999997</v>
      </c>
      <c r="BB129">
        <v>14.84</v>
      </c>
      <c r="BC129">
        <v>0.6399999999999999</v>
      </c>
      <c r="BD129">
        <v>-9.7040000000000006</v>
      </c>
      <c r="BE129">
        <v>-58.679999999999993</v>
      </c>
      <c r="BF129">
        <v>-1.1199999999999997</v>
      </c>
      <c r="BG129">
        <v>9</v>
      </c>
      <c r="BH129">
        <v>9.5</v>
      </c>
      <c r="BI129">
        <v>4.08</v>
      </c>
      <c r="BJ129">
        <v>12</v>
      </c>
      <c r="BK129">
        <v>14.5</v>
      </c>
      <c r="BL129">
        <v>25</v>
      </c>
      <c r="BM129">
        <v>-9.9861140482495944E-3</v>
      </c>
      <c r="BN129">
        <v>6</v>
      </c>
      <c r="BO129">
        <v>6.5598232409404709E-3</v>
      </c>
      <c r="BP129">
        <v>10</v>
      </c>
      <c r="BQ129">
        <v>1.1999999999999034E-2</v>
      </c>
      <c r="BR129">
        <v>17</v>
      </c>
      <c r="BS129">
        <v>2</v>
      </c>
      <c r="BT129">
        <v>-0.56000000000000083</v>
      </c>
      <c r="BU129">
        <v>-5.160000000000001</v>
      </c>
      <c r="BV129">
        <v>1.6800000000000002</v>
      </c>
      <c r="BW129">
        <v>-67.240000000000009</v>
      </c>
      <c r="BX129">
        <v>-69</v>
      </c>
      <c r="BY129">
        <v>15.920000000000002</v>
      </c>
      <c r="BZ129">
        <v>-2.44</v>
      </c>
      <c r="CA129">
        <v>-11.719999999999999</v>
      </c>
      <c r="CB129">
        <v>31</v>
      </c>
      <c r="CC129">
        <v>-6.780800000000001</v>
      </c>
      <c r="CD129">
        <v>-2.8769600000000008</v>
      </c>
      <c r="CE129">
        <v>-84.92</v>
      </c>
      <c r="CF129">
        <v>-2.3155999999999999</v>
      </c>
    </row>
    <row r="130" spans="1:84" x14ac:dyDescent="0.2">
      <c r="A130" s="39">
        <v>43765</v>
      </c>
      <c r="B130" s="22" t="s">
        <v>248</v>
      </c>
      <c r="C130" s="41" t="s">
        <v>297</v>
      </c>
      <c r="D130" s="22" t="s">
        <v>298</v>
      </c>
      <c r="E130">
        <v>19.899999999999999</v>
      </c>
      <c r="F130">
        <v>23.3</v>
      </c>
      <c r="G130">
        <v>9.1999999999999993</v>
      </c>
      <c r="H130">
        <v>3.7</v>
      </c>
      <c r="I130">
        <v>-7</v>
      </c>
      <c r="J130">
        <v>39.5</v>
      </c>
      <c r="L130" s="1" t="s">
        <v>297</v>
      </c>
      <c r="M130">
        <v>15</v>
      </c>
      <c r="N130">
        <v>-0.36800000000000066</v>
      </c>
      <c r="O130">
        <v>3.8399999999999324E-2</v>
      </c>
      <c r="P130">
        <v>48.12</v>
      </c>
      <c r="Q130">
        <v>-2</v>
      </c>
      <c r="R130">
        <v>3.4319999999999999</v>
      </c>
      <c r="S130">
        <v>22.439999999999994</v>
      </c>
      <c r="T130">
        <v>1.4</v>
      </c>
      <c r="U130">
        <v>27</v>
      </c>
      <c r="V130">
        <v>27</v>
      </c>
      <c r="W130">
        <v>0.15999999999999998</v>
      </c>
      <c r="X130">
        <v>7</v>
      </c>
      <c r="Y130">
        <v>11.25</v>
      </c>
      <c r="Z130">
        <v>7</v>
      </c>
      <c r="AA130">
        <v>2.9196602007746375E-2</v>
      </c>
      <c r="AB130">
        <v>17</v>
      </c>
      <c r="AC130">
        <v>-4.4360530813069357E-3</v>
      </c>
      <c r="AD130">
        <v>18</v>
      </c>
      <c r="AE130">
        <v>-12.839999999999998</v>
      </c>
      <c r="AF130">
        <v>3</v>
      </c>
      <c r="AG130">
        <v>-1.56</v>
      </c>
      <c r="AH130">
        <v>2.12</v>
      </c>
      <c r="AI130">
        <v>-0.11999999999999958</v>
      </c>
      <c r="AJ130">
        <v>0.27999999999999992</v>
      </c>
      <c r="AK130">
        <v>39.959999999999994</v>
      </c>
      <c r="AL130">
        <v>-3.3999999999999941</v>
      </c>
      <c r="AM130">
        <v>42.68</v>
      </c>
      <c r="AN130">
        <v>2.48</v>
      </c>
      <c r="AO130">
        <v>-1.8000000000000003</v>
      </c>
      <c r="AP130">
        <v>18</v>
      </c>
      <c r="AQ130">
        <v>-0.40639999999999965</v>
      </c>
      <c r="AR130">
        <v>0.59360000000000024</v>
      </c>
      <c r="AS130">
        <v>-46.079999999999991</v>
      </c>
      <c r="AT130">
        <v>0.40639999999999998</v>
      </c>
      <c r="AU130">
        <v>0.67779999999999996</v>
      </c>
      <c r="AV130">
        <v>0.46137499999999976</v>
      </c>
      <c r="AW130">
        <v>0.17029999999999987</v>
      </c>
      <c r="AX130" t="s">
        <v>298</v>
      </c>
      <c r="AY130">
        <v>9</v>
      </c>
      <c r="AZ130">
        <v>-0.54240000000000033</v>
      </c>
      <c r="BA130">
        <v>0.19200000000000084</v>
      </c>
      <c r="BB130">
        <v>-21.680000000000003</v>
      </c>
      <c r="BC130">
        <v>-0.20000000000000023</v>
      </c>
      <c r="BD130">
        <v>4.8499999999999961</v>
      </c>
      <c r="BE130">
        <v>2.6099999999999994</v>
      </c>
      <c r="BF130">
        <v>1.1900000000000004</v>
      </c>
      <c r="BG130">
        <v>24</v>
      </c>
      <c r="BH130">
        <v>23</v>
      </c>
      <c r="BI130">
        <v>4.5600000000000005</v>
      </c>
      <c r="BJ130">
        <v>23</v>
      </c>
      <c r="BK130">
        <v>20</v>
      </c>
      <c r="BL130">
        <v>32</v>
      </c>
      <c r="BM130">
        <v>5.928439353199022E-2</v>
      </c>
      <c r="BN130">
        <v>22</v>
      </c>
      <c r="BO130">
        <v>-2.1720117517807998E-2</v>
      </c>
      <c r="BP130">
        <v>11</v>
      </c>
      <c r="BQ130">
        <v>5.9559999999999986</v>
      </c>
      <c r="BR130">
        <v>15</v>
      </c>
      <c r="BS130">
        <v>-1.8400000000000003</v>
      </c>
      <c r="BT130">
        <v>2.8799999999999981</v>
      </c>
      <c r="BU130">
        <v>2.7599999999999993</v>
      </c>
      <c r="BV130">
        <v>0.51999999999999991</v>
      </c>
      <c r="BW130">
        <v>-28.079999999999995</v>
      </c>
      <c r="BX130">
        <v>0.32000000000000456</v>
      </c>
      <c r="BY130">
        <v>-25.199999999999996</v>
      </c>
      <c r="BZ130">
        <v>8.0000000000000251E-2</v>
      </c>
      <c r="CA130">
        <v>-3.28</v>
      </c>
      <c r="CB130">
        <v>19</v>
      </c>
      <c r="CC130">
        <v>-0.73440000000000127</v>
      </c>
      <c r="CD130">
        <v>0.76551999999999865</v>
      </c>
      <c r="CE130">
        <v>25.52</v>
      </c>
      <c r="CF130">
        <v>0.75244999999999962</v>
      </c>
    </row>
    <row r="131" spans="1:84" x14ac:dyDescent="0.2">
      <c r="A131" s="39">
        <v>43765</v>
      </c>
      <c r="B131" s="28" t="s">
        <v>248</v>
      </c>
      <c r="C131" s="41" t="s">
        <v>288</v>
      </c>
      <c r="D131" s="28" t="s">
        <v>300</v>
      </c>
      <c r="E131" s="3">
        <v>14.1</v>
      </c>
      <c r="F131" s="3">
        <v>9.5</v>
      </c>
      <c r="G131" s="30">
        <v>13.5</v>
      </c>
      <c r="H131" s="3">
        <v>16.3</v>
      </c>
      <c r="I131" s="3">
        <v>5</v>
      </c>
      <c r="J131" s="3">
        <v>48</v>
      </c>
      <c r="K131" s="3"/>
      <c r="L131" s="1" t="s">
        <v>288</v>
      </c>
      <c r="M131">
        <v>8</v>
      </c>
      <c r="N131">
        <v>2.4783999999999997</v>
      </c>
      <c r="O131">
        <v>-1.6743999999999988</v>
      </c>
      <c r="P131">
        <v>-19.959999999999997</v>
      </c>
      <c r="Q131">
        <v>-0.4800000000000002</v>
      </c>
      <c r="R131">
        <v>0.52000000000000224</v>
      </c>
      <c r="S131">
        <v>21.479999999999997</v>
      </c>
      <c r="T131">
        <v>0.60000000000000009</v>
      </c>
      <c r="U131">
        <v>15</v>
      </c>
      <c r="V131">
        <v>14.5</v>
      </c>
      <c r="W131">
        <v>2.4799999999999995</v>
      </c>
      <c r="X131">
        <v>29</v>
      </c>
      <c r="Y131">
        <v>25</v>
      </c>
      <c r="Z131">
        <v>26</v>
      </c>
      <c r="AA131">
        <v>-3.3503086626750424E-2</v>
      </c>
      <c r="AB131">
        <v>23</v>
      </c>
      <c r="AC131">
        <v>-1.7784629696574784E-2</v>
      </c>
      <c r="AD131">
        <v>25</v>
      </c>
      <c r="AE131">
        <v>3.9639999999999973</v>
      </c>
      <c r="AF131">
        <v>26</v>
      </c>
      <c r="AG131">
        <v>-2.4</v>
      </c>
      <c r="AH131">
        <v>-4.1999999999999984</v>
      </c>
      <c r="AI131">
        <v>1.4800000000000011</v>
      </c>
      <c r="AJ131">
        <v>1.3199999999999998</v>
      </c>
      <c r="AK131">
        <v>8.4</v>
      </c>
      <c r="AL131">
        <v>25.560000000000002</v>
      </c>
      <c r="AM131">
        <v>-19.199999999999996</v>
      </c>
      <c r="AN131">
        <v>-3.72</v>
      </c>
      <c r="AO131">
        <v>5.76</v>
      </c>
      <c r="AP131">
        <v>12</v>
      </c>
      <c r="AQ131">
        <v>4.1527999999999992</v>
      </c>
      <c r="AR131">
        <v>1.4368799999999999</v>
      </c>
      <c r="AS131">
        <v>44.76</v>
      </c>
      <c r="AT131">
        <v>-4.1527999999999983</v>
      </c>
      <c r="AU131">
        <v>0.29550000000000043</v>
      </c>
      <c r="AV131">
        <v>0.28010208333333331</v>
      </c>
      <c r="AW131">
        <v>-0.17363333333333347</v>
      </c>
      <c r="AX131" t="s">
        <v>300</v>
      </c>
      <c r="AY131">
        <v>21</v>
      </c>
      <c r="AZ131">
        <v>0.5152000000000001</v>
      </c>
      <c r="BA131">
        <v>3.028</v>
      </c>
      <c r="BB131">
        <v>10.280000000000001</v>
      </c>
      <c r="BC131">
        <v>-9.9999999999999867E-2</v>
      </c>
      <c r="BD131">
        <v>1.9674999999999994</v>
      </c>
      <c r="BE131">
        <v>15.379999999999995</v>
      </c>
      <c r="BF131">
        <v>-1.1250000000000002</v>
      </c>
      <c r="BG131">
        <v>6</v>
      </c>
      <c r="BH131">
        <v>5</v>
      </c>
      <c r="BI131">
        <v>-5.08</v>
      </c>
      <c r="BJ131">
        <v>29</v>
      </c>
      <c r="BK131">
        <v>24</v>
      </c>
      <c r="BL131">
        <v>17</v>
      </c>
      <c r="BM131">
        <v>4.6596320041308644E-3</v>
      </c>
      <c r="BN131">
        <v>23</v>
      </c>
      <c r="BO131">
        <v>3.066171605189369E-3</v>
      </c>
      <c r="BP131">
        <v>27</v>
      </c>
      <c r="BQ131">
        <v>0.27199999999999991</v>
      </c>
      <c r="BR131">
        <v>29</v>
      </c>
      <c r="BS131">
        <v>-1.1199999999999999</v>
      </c>
      <c r="BT131">
        <v>0.83999999999999919</v>
      </c>
      <c r="BU131">
        <v>2.12</v>
      </c>
      <c r="BV131">
        <v>-1.4</v>
      </c>
      <c r="BW131">
        <v>38.720000000000006</v>
      </c>
      <c r="BX131">
        <v>30.959999999999997</v>
      </c>
      <c r="BY131">
        <v>7.5199999999999987</v>
      </c>
      <c r="BZ131">
        <v>-2.2400000000000002</v>
      </c>
      <c r="CA131">
        <v>2.48</v>
      </c>
      <c r="CB131">
        <v>22</v>
      </c>
      <c r="CC131">
        <v>-2.5127999999999999</v>
      </c>
      <c r="CD131">
        <v>-1.0174600000000003</v>
      </c>
      <c r="CE131">
        <v>23.439999999999998</v>
      </c>
      <c r="CF131">
        <v>0.73383750000000003</v>
      </c>
    </row>
    <row r="132" spans="1:84" x14ac:dyDescent="0.2">
      <c r="A132" s="39">
        <v>43765</v>
      </c>
      <c r="B132" s="22" t="s">
        <v>248</v>
      </c>
      <c r="C132" s="41" t="s">
        <v>303</v>
      </c>
      <c r="D132" s="22" t="s">
        <v>311</v>
      </c>
      <c r="E132">
        <v>18.100000000000001</v>
      </c>
      <c r="F132">
        <v>18.8</v>
      </c>
      <c r="G132">
        <v>4.7</v>
      </c>
      <c r="H132">
        <v>11.1</v>
      </c>
      <c r="I132">
        <v>5</v>
      </c>
      <c r="J132">
        <v>52</v>
      </c>
      <c r="K132" t="s">
        <v>109</v>
      </c>
      <c r="L132" s="1" t="s">
        <v>303</v>
      </c>
      <c r="M132">
        <v>22</v>
      </c>
      <c r="N132">
        <v>-1.6623999999999994</v>
      </c>
      <c r="O132">
        <v>0.31900000000000067</v>
      </c>
      <c r="P132">
        <v>24.980000000000004</v>
      </c>
      <c r="Q132">
        <v>-1.2399999999999998</v>
      </c>
      <c r="R132">
        <v>2.1040000000000028</v>
      </c>
      <c r="S132">
        <v>-17.75</v>
      </c>
      <c r="T132">
        <v>-2.6400000000000006</v>
      </c>
      <c r="U132">
        <v>19</v>
      </c>
      <c r="V132">
        <v>19.5</v>
      </c>
      <c r="W132">
        <v>-1.1999999999999997</v>
      </c>
      <c r="X132">
        <v>19</v>
      </c>
      <c r="Y132">
        <v>17.25</v>
      </c>
      <c r="Z132">
        <v>14</v>
      </c>
      <c r="AA132">
        <v>-0.12902486826144766</v>
      </c>
      <c r="AB132">
        <v>21</v>
      </c>
      <c r="AC132">
        <v>-3.0990551032092185E-2</v>
      </c>
      <c r="AD132">
        <v>32</v>
      </c>
      <c r="AE132">
        <v>9.4799999999999986</v>
      </c>
      <c r="AF132">
        <v>2</v>
      </c>
      <c r="AG132">
        <v>-3.5200000000000005</v>
      </c>
      <c r="AH132">
        <v>-1</v>
      </c>
      <c r="AI132">
        <v>1.0800000000000005</v>
      </c>
      <c r="AJ132">
        <v>0.96</v>
      </c>
      <c r="AK132">
        <v>25.360000000000003</v>
      </c>
      <c r="AL132">
        <v>-16.360000000000003</v>
      </c>
      <c r="AM132">
        <v>37.279999999999994</v>
      </c>
      <c r="AN132">
        <v>11.56</v>
      </c>
      <c r="AO132">
        <v>-7.12</v>
      </c>
      <c r="AP132">
        <v>21</v>
      </c>
      <c r="AQ132">
        <v>-1.9814000000000001</v>
      </c>
      <c r="AR132">
        <v>-7.117999999999941E-2</v>
      </c>
      <c r="AS132">
        <v>-53.64</v>
      </c>
      <c r="AT132">
        <v>1.9814000000000001</v>
      </c>
      <c r="AU132">
        <v>-4.4924999999999521E-2</v>
      </c>
      <c r="AV132">
        <v>0.46405000000000007</v>
      </c>
      <c r="AW132">
        <v>0.27720000000000011</v>
      </c>
      <c r="AX132" t="s">
        <v>311</v>
      </c>
      <c r="AY132">
        <v>6</v>
      </c>
      <c r="AZ132">
        <v>3.6311999999999984</v>
      </c>
      <c r="BA132">
        <v>-3.6080000000000005</v>
      </c>
      <c r="BB132">
        <v>-17</v>
      </c>
      <c r="BC132">
        <v>0.24000000000000016</v>
      </c>
      <c r="BD132">
        <v>6.144000000000001</v>
      </c>
      <c r="BE132">
        <v>12.960000000000004</v>
      </c>
      <c r="BF132">
        <v>1.6400000000000003</v>
      </c>
      <c r="BG132">
        <v>22</v>
      </c>
      <c r="BH132">
        <v>21.5</v>
      </c>
      <c r="BI132">
        <v>-0.92000000000000015</v>
      </c>
      <c r="BJ132">
        <v>27</v>
      </c>
      <c r="BK132">
        <v>22.75</v>
      </c>
      <c r="BL132">
        <v>31</v>
      </c>
      <c r="BM132">
        <v>5.1431923551284918E-2</v>
      </c>
      <c r="BN132">
        <v>30</v>
      </c>
      <c r="BO132">
        <v>3.0480101374834589E-3</v>
      </c>
      <c r="BP132">
        <v>2</v>
      </c>
      <c r="BQ132">
        <v>0.22400000000000092</v>
      </c>
      <c r="BR132">
        <v>28</v>
      </c>
      <c r="BS132">
        <v>0.51999999999999991</v>
      </c>
      <c r="BT132">
        <v>0.55999999999999805</v>
      </c>
      <c r="BU132">
        <v>1.4399999999999991</v>
      </c>
      <c r="BV132">
        <v>-0.88000000000000012</v>
      </c>
      <c r="BW132">
        <v>-4.5600000000000138</v>
      </c>
      <c r="BX132">
        <v>20</v>
      </c>
      <c r="BY132">
        <v>-19.279999999999998</v>
      </c>
      <c r="BZ132">
        <v>-1.52</v>
      </c>
      <c r="CA132">
        <v>-3.7599999999999993</v>
      </c>
      <c r="CB132">
        <v>2</v>
      </c>
      <c r="CC132">
        <v>7.2391999999999985</v>
      </c>
      <c r="CD132">
        <v>3.7590400000000006</v>
      </c>
      <c r="CE132">
        <v>39.28</v>
      </c>
      <c r="CF132">
        <v>0.65090000000000003</v>
      </c>
    </row>
    <row r="133" spans="1:84" x14ac:dyDescent="0.2">
      <c r="A133" s="39">
        <v>43765</v>
      </c>
      <c r="B133" s="22" t="s">
        <v>248</v>
      </c>
      <c r="C133" s="41" t="s">
        <v>287</v>
      </c>
      <c r="D133" s="22" t="s">
        <v>265</v>
      </c>
      <c r="E133">
        <v>12.3</v>
      </c>
      <c r="F133">
        <v>9.9</v>
      </c>
      <c r="G133">
        <v>0</v>
      </c>
      <c r="H133">
        <v>10.7</v>
      </c>
      <c r="I133">
        <v>3.5</v>
      </c>
      <c r="J133">
        <v>41</v>
      </c>
      <c r="K133" t="s">
        <v>110</v>
      </c>
      <c r="L133" s="1" t="s">
        <v>287</v>
      </c>
      <c r="M133">
        <v>9</v>
      </c>
      <c r="N133">
        <v>2.3751999999999995</v>
      </c>
      <c r="O133">
        <v>5.968</v>
      </c>
      <c r="P133">
        <v>-34.480000000000004</v>
      </c>
      <c r="Q133">
        <v>4.4000000000000004</v>
      </c>
      <c r="R133">
        <v>1.7200000000000013</v>
      </c>
      <c r="S133">
        <v>24.68</v>
      </c>
      <c r="T133">
        <v>1.8400000000000003</v>
      </c>
      <c r="U133">
        <v>4</v>
      </c>
      <c r="V133">
        <v>7</v>
      </c>
      <c r="W133">
        <v>-1.52</v>
      </c>
      <c r="X133">
        <v>10</v>
      </c>
      <c r="Y133">
        <v>12.75</v>
      </c>
      <c r="Z133">
        <v>24</v>
      </c>
      <c r="AA133">
        <v>5.4761741282063923E-2</v>
      </c>
      <c r="AB133">
        <v>12</v>
      </c>
      <c r="AC133">
        <v>-2.2113676610795479E-2</v>
      </c>
      <c r="AD133">
        <v>7</v>
      </c>
      <c r="AE133">
        <v>1.9639999999999957</v>
      </c>
      <c r="AF133">
        <v>8</v>
      </c>
      <c r="AG133">
        <v>0.48000000000000015</v>
      </c>
      <c r="AH133">
        <v>0.63999999999999913</v>
      </c>
      <c r="AI133">
        <v>-1.2</v>
      </c>
      <c r="AJ133">
        <v>0.48000000000000009</v>
      </c>
      <c r="AK133">
        <v>6.3599999999999905</v>
      </c>
      <c r="AL133">
        <v>52.4</v>
      </c>
      <c r="AM133">
        <v>-37.239999999999995</v>
      </c>
      <c r="AN133">
        <v>-0.28000000000000003</v>
      </c>
      <c r="AO133">
        <v>-8.52</v>
      </c>
      <c r="AP133">
        <v>24</v>
      </c>
      <c r="AQ133">
        <v>-3.5928000000000004</v>
      </c>
      <c r="AR133">
        <v>-2.1649599999999998</v>
      </c>
      <c r="AS133">
        <v>89.639999999999986</v>
      </c>
      <c r="AT133">
        <v>3.5928000000000004</v>
      </c>
      <c r="AU133">
        <v>1.4129000000000003</v>
      </c>
      <c r="AV133">
        <v>-0.46067500000000006</v>
      </c>
      <c r="AW133">
        <v>-0.41915000000000019</v>
      </c>
      <c r="AX133" t="s">
        <v>265</v>
      </c>
      <c r="AY133">
        <v>29</v>
      </c>
      <c r="AZ133">
        <v>-2.2767999999999997</v>
      </c>
      <c r="BA133">
        <v>1.3791999999999993</v>
      </c>
      <c r="BB133">
        <v>-12.120000000000001</v>
      </c>
      <c r="BC133">
        <v>4.0000000000000036E-2</v>
      </c>
      <c r="BD133">
        <v>-1.1599999999999984</v>
      </c>
      <c r="BE133">
        <v>21.180000000000003</v>
      </c>
      <c r="BF133">
        <v>1.9600000000000002</v>
      </c>
      <c r="BG133">
        <v>15</v>
      </c>
      <c r="BH133">
        <v>13</v>
      </c>
      <c r="BI133">
        <v>-0.20000000000000018</v>
      </c>
      <c r="BJ133">
        <v>32</v>
      </c>
      <c r="BK133">
        <v>29.25</v>
      </c>
      <c r="BL133">
        <v>28</v>
      </c>
      <c r="BM133">
        <v>-1.8124464133477809E-2</v>
      </c>
      <c r="BN133">
        <v>29</v>
      </c>
      <c r="BO133">
        <v>2.2028165379901323E-3</v>
      </c>
      <c r="BP133">
        <v>29</v>
      </c>
      <c r="BQ133">
        <v>4.4359999999999999</v>
      </c>
      <c r="BR133">
        <v>31</v>
      </c>
      <c r="BS133">
        <v>3.3600000000000003</v>
      </c>
      <c r="BT133">
        <v>1.4799999999999998</v>
      </c>
      <c r="BU133">
        <v>-0.80000000000000038</v>
      </c>
      <c r="BV133">
        <v>-0.88000000000000012</v>
      </c>
      <c r="BW133">
        <v>-12.600000000000012</v>
      </c>
      <c r="BX133">
        <v>6.6799999999999953</v>
      </c>
      <c r="BY133">
        <v>-12.120000000000005</v>
      </c>
      <c r="BZ133">
        <v>-7.6400000000000006</v>
      </c>
      <c r="CA133">
        <v>0.48000000000000043</v>
      </c>
      <c r="CB133">
        <v>26</v>
      </c>
      <c r="CC133">
        <v>-3.6559999999999988</v>
      </c>
      <c r="CD133">
        <v>-1.3769599999999993</v>
      </c>
      <c r="CE133">
        <v>18.8</v>
      </c>
      <c r="CF133">
        <v>-0.50219999999999987</v>
      </c>
    </row>
    <row r="134" spans="1:84" x14ac:dyDescent="0.2">
      <c r="A134" s="39">
        <v>43765</v>
      </c>
      <c r="B134" s="22" t="s">
        <v>248</v>
      </c>
      <c r="C134" s="41" t="s">
        <v>304</v>
      </c>
      <c r="D134" s="22" t="s">
        <v>272</v>
      </c>
      <c r="E134" s="14">
        <v>38</v>
      </c>
      <c r="F134">
        <v>6.2</v>
      </c>
      <c r="G134">
        <v>16.2</v>
      </c>
      <c r="H134">
        <f>3.5+1.8</f>
        <v>5.3</v>
      </c>
      <c r="I134">
        <v>-12</v>
      </c>
      <c r="J134">
        <v>48.5</v>
      </c>
      <c r="K134" t="s">
        <v>109</v>
      </c>
      <c r="L134" s="1" t="s">
        <v>304</v>
      </c>
      <c r="M134">
        <v>25</v>
      </c>
      <c r="N134">
        <v>-2.0536000000000016</v>
      </c>
      <c r="O134">
        <v>-5.1327999999999996</v>
      </c>
      <c r="P134">
        <v>-26.919999999999995</v>
      </c>
      <c r="Q134">
        <v>-0.55999999999999994</v>
      </c>
      <c r="R134">
        <v>17.388000000000002</v>
      </c>
      <c r="S134">
        <v>79.919999999999987</v>
      </c>
      <c r="T134">
        <v>12.84</v>
      </c>
      <c r="U134">
        <v>16</v>
      </c>
      <c r="V134">
        <v>15.5</v>
      </c>
      <c r="W134">
        <v>-4.0000000000000216E-2</v>
      </c>
      <c r="X134">
        <v>23</v>
      </c>
      <c r="Y134">
        <v>20.5</v>
      </c>
      <c r="Z134">
        <v>32</v>
      </c>
      <c r="AA134">
        <v>4.6529296223672134E-2</v>
      </c>
      <c r="AB134">
        <v>29</v>
      </c>
      <c r="AC134">
        <v>-1.7486415337316485E-2</v>
      </c>
      <c r="AD134">
        <v>8</v>
      </c>
      <c r="AE134">
        <v>-13.900000000000006</v>
      </c>
      <c r="AF134">
        <v>13</v>
      </c>
      <c r="AG134">
        <v>0.43999999999999967</v>
      </c>
      <c r="AH134">
        <v>5.4399999999999995</v>
      </c>
      <c r="AI134">
        <v>0.11999999999999958</v>
      </c>
      <c r="AJ134">
        <v>0.48000000000000009</v>
      </c>
      <c r="AK134">
        <v>21.639999999999997</v>
      </c>
      <c r="AL134">
        <v>56.64</v>
      </c>
      <c r="AM134">
        <v>-28.479999999999997</v>
      </c>
      <c r="AN134">
        <v>8.92</v>
      </c>
      <c r="AO134">
        <v>-15.440000000000003</v>
      </c>
      <c r="AP134">
        <v>15</v>
      </c>
      <c r="AQ134">
        <v>3.0791999999999975</v>
      </c>
      <c r="AR134">
        <v>5.6332799999999992</v>
      </c>
      <c r="AS134">
        <v>85.12</v>
      </c>
      <c r="AT134">
        <v>-3.0791999999999979</v>
      </c>
      <c r="AU134">
        <v>1.6351999999999998</v>
      </c>
      <c r="AV134">
        <v>0.12783333333333302</v>
      </c>
      <c r="AW134">
        <v>-0.6726000000000002</v>
      </c>
      <c r="AX134" t="s">
        <v>272</v>
      </c>
      <c r="AY134">
        <v>10</v>
      </c>
      <c r="AZ134">
        <v>4.1487999999999996</v>
      </c>
      <c r="BA134">
        <v>4.3479999999999981</v>
      </c>
      <c r="BB134">
        <v>11.8</v>
      </c>
      <c r="BC134">
        <v>1.1199999999999999</v>
      </c>
      <c r="BD134">
        <v>-3.3906666666666667</v>
      </c>
      <c r="BE134">
        <v>-4.8666666666666671</v>
      </c>
      <c r="BF134">
        <v>-3.8666666666666667</v>
      </c>
      <c r="BG134">
        <v>20</v>
      </c>
      <c r="BH134">
        <v>21</v>
      </c>
      <c r="BI134">
        <v>2.6</v>
      </c>
      <c r="BJ134">
        <v>22</v>
      </c>
      <c r="BK134">
        <v>18.25</v>
      </c>
      <c r="BL134">
        <v>13</v>
      </c>
      <c r="BM134">
        <v>3.243864813714914E-3</v>
      </c>
      <c r="BN134">
        <v>15</v>
      </c>
      <c r="BO134">
        <v>-3.3227979926275651E-2</v>
      </c>
      <c r="BP134">
        <v>19</v>
      </c>
      <c r="BQ134">
        <v>-5.2720000000000002</v>
      </c>
      <c r="BR134">
        <v>26</v>
      </c>
      <c r="BS134">
        <v>-3.28</v>
      </c>
      <c r="BT134">
        <v>6.4399999999999977</v>
      </c>
      <c r="BU134">
        <v>2.2000000000000002</v>
      </c>
      <c r="BV134">
        <v>0</v>
      </c>
      <c r="BW134">
        <v>74.239999999999995</v>
      </c>
      <c r="BX134">
        <v>24.32</v>
      </c>
      <c r="BY134">
        <v>15.520000000000005</v>
      </c>
      <c r="BZ134">
        <v>8.24</v>
      </c>
      <c r="CA134">
        <v>26.160000000000004</v>
      </c>
      <c r="CB134">
        <v>17</v>
      </c>
      <c r="CC134">
        <v>-0.19919999999999849</v>
      </c>
      <c r="CD134">
        <v>-2.0223733333333325</v>
      </c>
      <c r="CE134">
        <v>8.7999999999999954</v>
      </c>
      <c r="CF134">
        <v>0.92826666666666624</v>
      </c>
    </row>
    <row r="135" spans="1:84" x14ac:dyDescent="0.2">
      <c r="A135" s="39">
        <v>43765</v>
      </c>
      <c r="B135" s="22" t="s">
        <v>248</v>
      </c>
      <c r="C135" s="41" t="s">
        <v>293</v>
      </c>
      <c r="D135" s="22" t="s">
        <v>309</v>
      </c>
      <c r="E135" s="14">
        <v>8.1999999999999993</v>
      </c>
      <c r="F135">
        <v>11.9</v>
      </c>
      <c r="G135">
        <v>8.1999999999999993</v>
      </c>
      <c r="H135">
        <v>3</v>
      </c>
      <c r="I135">
        <v>14</v>
      </c>
      <c r="J135">
        <v>44</v>
      </c>
      <c r="L135" s="1" t="s">
        <v>293</v>
      </c>
      <c r="M135">
        <v>17</v>
      </c>
      <c r="N135">
        <v>-0.83359999999999945</v>
      </c>
      <c r="O135">
        <v>-6.2</v>
      </c>
      <c r="P135">
        <v>-18.319999999999993</v>
      </c>
      <c r="Q135">
        <v>2.0000000000000004</v>
      </c>
      <c r="R135">
        <v>-1.7640000000000029</v>
      </c>
      <c r="S135">
        <v>-13.24</v>
      </c>
      <c r="T135">
        <v>0.96000000000000085</v>
      </c>
      <c r="U135">
        <v>13</v>
      </c>
      <c r="V135">
        <v>12</v>
      </c>
      <c r="W135">
        <v>-6.7199999999999989</v>
      </c>
      <c r="X135">
        <v>16</v>
      </c>
      <c r="Y135">
        <v>14.5</v>
      </c>
      <c r="Z135">
        <v>12</v>
      </c>
      <c r="AA135">
        <v>2.8946055090405275E-2</v>
      </c>
      <c r="AB135">
        <v>10</v>
      </c>
      <c r="AC135">
        <v>4.9853409515472624E-3</v>
      </c>
      <c r="AD135">
        <v>14</v>
      </c>
      <c r="AE135">
        <v>-4.452</v>
      </c>
      <c r="AF135">
        <v>22</v>
      </c>
      <c r="AG135">
        <v>2.4400000000000004</v>
      </c>
      <c r="AH135">
        <v>-0.36000000000000087</v>
      </c>
      <c r="AI135">
        <v>-4.6399999999999997</v>
      </c>
      <c r="AJ135">
        <v>-1.1199999999999999</v>
      </c>
      <c r="AK135">
        <v>-33.839999999999996</v>
      </c>
      <c r="AL135">
        <v>-7.3200000000000047</v>
      </c>
      <c r="AM135">
        <v>-21.119999999999997</v>
      </c>
      <c r="AN135">
        <v>-2.7600000000000002</v>
      </c>
      <c r="AO135">
        <v>-2.6400000000000006</v>
      </c>
      <c r="AP135">
        <v>9</v>
      </c>
      <c r="AQ135">
        <v>5.3664000000000005</v>
      </c>
      <c r="AR135">
        <v>2.5804799999999997</v>
      </c>
      <c r="AS135">
        <v>13.799999999999994</v>
      </c>
      <c r="AT135">
        <v>-5.3664000000000005</v>
      </c>
      <c r="AU135">
        <v>-1.4197000000000002</v>
      </c>
      <c r="AV135">
        <v>9.2083333333333184E-2</v>
      </c>
      <c r="AW135">
        <v>1.84785</v>
      </c>
      <c r="AX135" t="s">
        <v>309</v>
      </c>
      <c r="AY135">
        <v>31</v>
      </c>
      <c r="AZ135">
        <v>-3.6628000000000016</v>
      </c>
      <c r="BA135">
        <v>-7.3279999999999976</v>
      </c>
      <c r="BB135">
        <v>-10.200000000000001</v>
      </c>
      <c r="BC135">
        <v>-8.0000000000000071E-2</v>
      </c>
      <c r="BD135">
        <v>-1.1586666666666683</v>
      </c>
      <c r="BE135">
        <v>-14.866666666666658</v>
      </c>
      <c r="BF135">
        <v>-1.7866666666666666</v>
      </c>
      <c r="BG135">
        <v>30</v>
      </c>
      <c r="BH135">
        <v>27.5</v>
      </c>
      <c r="BI135">
        <v>-2.12</v>
      </c>
      <c r="BJ135">
        <v>1</v>
      </c>
      <c r="BK135">
        <v>5.25</v>
      </c>
      <c r="BL135">
        <v>2</v>
      </c>
      <c r="BM135">
        <v>4.9765878361423529E-2</v>
      </c>
      <c r="BN135">
        <v>1</v>
      </c>
      <c r="BO135">
        <v>2.4410625011643754E-2</v>
      </c>
      <c r="BP135">
        <v>16</v>
      </c>
      <c r="BQ135">
        <v>-5.6320000000000032</v>
      </c>
      <c r="BR135">
        <v>2</v>
      </c>
      <c r="BS135">
        <v>5.0400000000000009</v>
      </c>
      <c r="BT135">
        <v>0.27999999999999969</v>
      </c>
      <c r="BU135">
        <v>-2.5200000000000005</v>
      </c>
      <c r="BV135">
        <v>-1.1199999999999999</v>
      </c>
      <c r="BW135">
        <v>-31.080000000000005</v>
      </c>
      <c r="BX135">
        <v>-10.88</v>
      </c>
      <c r="BY135">
        <v>-13.48</v>
      </c>
      <c r="BZ135">
        <v>-3.4</v>
      </c>
      <c r="CA135">
        <v>-3.3200000000000003</v>
      </c>
      <c r="CB135">
        <v>8</v>
      </c>
      <c r="CC135">
        <v>3.6651999999999965</v>
      </c>
      <c r="CD135">
        <v>2.6997066666666649</v>
      </c>
      <c r="CE135">
        <v>2.5999999999999996</v>
      </c>
      <c r="CF135">
        <v>-1.6636833333333336</v>
      </c>
    </row>
    <row r="136" spans="1:84" x14ac:dyDescent="0.2">
      <c r="A136" s="39">
        <v>43765</v>
      </c>
      <c r="B136" s="22" t="s">
        <v>248</v>
      </c>
      <c r="C136" s="41" t="s">
        <v>312</v>
      </c>
      <c r="D136" s="22" t="s">
        <v>306</v>
      </c>
      <c r="E136" s="3">
        <v>23.3</v>
      </c>
      <c r="F136">
        <v>4.7</v>
      </c>
      <c r="G136">
        <v>1.1000000000000001</v>
      </c>
      <c r="H136">
        <f>5.1+4.7</f>
        <v>9.8000000000000007</v>
      </c>
      <c r="I136">
        <v>-16.5</v>
      </c>
      <c r="J136">
        <v>42</v>
      </c>
      <c r="L136" s="1" t="s">
        <v>312</v>
      </c>
      <c r="M136">
        <v>14</v>
      </c>
      <c r="N136">
        <v>0.86319999999999941</v>
      </c>
      <c r="O136">
        <v>4.0460000000000012</v>
      </c>
      <c r="P136">
        <v>42.16</v>
      </c>
      <c r="Q136">
        <v>-1.4600000000000002</v>
      </c>
      <c r="R136">
        <v>7.7149999999999972</v>
      </c>
      <c r="S136">
        <v>24.98</v>
      </c>
      <c r="T136">
        <v>-3.7699999999999996</v>
      </c>
      <c r="U136">
        <v>26</v>
      </c>
      <c r="V136">
        <v>25</v>
      </c>
      <c r="W136">
        <v>-1.0399999999999998</v>
      </c>
      <c r="X136">
        <v>28</v>
      </c>
      <c r="Y136">
        <v>24.5</v>
      </c>
      <c r="Z136">
        <v>22</v>
      </c>
      <c r="AA136">
        <v>2.5572912803833937E-2</v>
      </c>
      <c r="AB136">
        <v>27</v>
      </c>
      <c r="AC136">
        <v>-3.269698447080195E-3</v>
      </c>
      <c r="AD136">
        <v>22</v>
      </c>
      <c r="AE136">
        <v>20.055999999999997</v>
      </c>
      <c r="AF136">
        <v>27</v>
      </c>
      <c r="AG136">
        <v>-4.5600000000000005</v>
      </c>
      <c r="AH136">
        <v>-0.95999999999999941</v>
      </c>
      <c r="AI136">
        <v>4.3199999999999994</v>
      </c>
      <c r="AJ136">
        <v>-0.88000000000000012</v>
      </c>
      <c r="AK136">
        <v>41.720000000000006</v>
      </c>
      <c r="AL136">
        <v>6.5599999999999969</v>
      </c>
      <c r="AM136">
        <v>47</v>
      </c>
      <c r="AN136">
        <v>0.11999999999999988</v>
      </c>
      <c r="AO136">
        <v>-11.959999999999999</v>
      </c>
      <c r="AP136">
        <v>22</v>
      </c>
      <c r="AQ136">
        <v>-3.1828000000000021</v>
      </c>
      <c r="AR136">
        <v>-0.30736000000000141</v>
      </c>
      <c r="AS136">
        <v>-40.440000000000005</v>
      </c>
      <c r="AT136">
        <v>3.1828000000000016</v>
      </c>
      <c r="AU136">
        <v>1.6780249999999999</v>
      </c>
      <c r="AV136">
        <v>0.31806250000000003</v>
      </c>
      <c r="AW136">
        <v>0.37019999999999986</v>
      </c>
      <c r="AX136" t="s">
        <v>306</v>
      </c>
      <c r="AY136">
        <v>22</v>
      </c>
      <c r="AZ136">
        <v>0.5763999999999998</v>
      </c>
      <c r="BA136">
        <v>0.60400000000000187</v>
      </c>
      <c r="BB136">
        <v>10.509999999999998</v>
      </c>
      <c r="BC136">
        <v>1.3699999999999999</v>
      </c>
      <c r="BD136">
        <v>-0.17299999999999982</v>
      </c>
      <c r="BE136">
        <v>-6.6599999999999966</v>
      </c>
      <c r="BF136">
        <v>-2.0199999999999996</v>
      </c>
      <c r="BG136">
        <v>12</v>
      </c>
      <c r="BH136">
        <v>12.5</v>
      </c>
      <c r="BI136">
        <v>3.4800000000000004</v>
      </c>
      <c r="BJ136">
        <v>3</v>
      </c>
      <c r="BK136">
        <v>8</v>
      </c>
      <c r="BL136">
        <v>13</v>
      </c>
      <c r="BM136">
        <v>-2.3986938232246846E-2</v>
      </c>
      <c r="BN136">
        <v>2</v>
      </c>
      <c r="BO136">
        <v>4.5405359244135605E-3</v>
      </c>
      <c r="BP136">
        <v>9</v>
      </c>
      <c r="BQ136">
        <v>10.428000000000001</v>
      </c>
      <c r="BR136">
        <v>8</v>
      </c>
      <c r="BS136">
        <v>-1.8</v>
      </c>
      <c r="BT136">
        <v>0.71999999999999886</v>
      </c>
      <c r="BU136">
        <v>-0.24000000000000021</v>
      </c>
      <c r="BV136">
        <v>0.48000000000000009</v>
      </c>
      <c r="BW136">
        <v>18.199999999999989</v>
      </c>
      <c r="BX136">
        <v>1.4800000000000011</v>
      </c>
      <c r="BY136">
        <v>11.4</v>
      </c>
      <c r="BZ136">
        <v>1.4400000000000002</v>
      </c>
      <c r="CA136">
        <v>3.88</v>
      </c>
      <c r="CB136">
        <v>15</v>
      </c>
      <c r="CC136">
        <v>-2.7600000000001845E-2</v>
      </c>
      <c r="CD136">
        <v>-0.22132000000000099</v>
      </c>
      <c r="CE136">
        <v>-9.92</v>
      </c>
      <c r="CF136">
        <v>0.26592500000000024</v>
      </c>
    </row>
    <row r="137" spans="1:84" x14ac:dyDescent="0.2">
      <c r="A137" s="39">
        <v>43765</v>
      </c>
      <c r="B137" s="22" t="s">
        <v>248</v>
      </c>
      <c r="C137" s="41" t="s">
        <v>302</v>
      </c>
      <c r="D137" s="22" t="s">
        <v>281</v>
      </c>
      <c r="E137">
        <v>27.5</v>
      </c>
      <c r="F137">
        <v>7.3</v>
      </c>
      <c r="G137">
        <v>4.3</v>
      </c>
      <c r="H137">
        <v>3.6</v>
      </c>
      <c r="I137">
        <v>-9.5</v>
      </c>
      <c r="J137">
        <v>43</v>
      </c>
      <c r="L137" s="1" t="s">
        <v>302</v>
      </c>
      <c r="M137">
        <v>10</v>
      </c>
      <c r="N137">
        <v>2.1988000000000008</v>
      </c>
      <c r="O137">
        <v>3.1479999999999997</v>
      </c>
      <c r="P137">
        <v>-16.68</v>
      </c>
      <c r="Q137">
        <v>3.44</v>
      </c>
      <c r="R137">
        <v>2.2999999999999998</v>
      </c>
      <c r="S137">
        <v>8.2799999999999994</v>
      </c>
      <c r="T137">
        <v>2.1599999999999984</v>
      </c>
      <c r="U137">
        <v>2</v>
      </c>
      <c r="V137">
        <v>5</v>
      </c>
      <c r="W137">
        <v>5.4</v>
      </c>
      <c r="X137">
        <v>27</v>
      </c>
      <c r="Y137">
        <v>23.25</v>
      </c>
      <c r="Z137">
        <v>23</v>
      </c>
      <c r="AA137">
        <v>-8.9979439067244177E-2</v>
      </c>
      <c r="AB137">
        <v>26</v>
      </c>
      <c r="AC137">
        <v>-1.9611903991862328E-2</v>
      </c>
      <c r="AD137">
        <v>23</v>
      </c>
      <c r="AE137">
        <v>-8.3800000000000026</v>
      </c>
      <c r="AF137">
        <v>21</v>
      </c>
      <c r="AG137">
        <v>-4.0000000000000216E-2</v>
      </c>
      <c r="AH137">
        <v>6.2399999999999993</v>
      </c>
      <c r="AI137">
        <v>2.7999999999999994</v>
      </c>
      <c r="AJ137">
        <v>1.8400000000000005</v>
      </c>
      <c r="AK137">
        <v>16.519999999999992</v>
      </c>
      <c r="AL137">
        <v>36.04</v>
      </c>
      <c r="AM137">
        <v>-11.839999999999998</v>
      </c>
      <c r="AN137">
        <v>2.7199999999999998</v>
      </c>
      <c r="AO137">
        <v>-10.4</v>
      </c>
      <c r="AP137">
        <v>19</v>
      </c>
      <c r="AQ137">
        <v>-0.94919999999999849</v>
      </c>
      <c r="AR137">
        <v>-0.67423999999999962</v>
      </c>
      <c r="AS137">
        <v>47.879999999999995</v>
      </c>
      <c r="AT137">
        <v>0.94919999999999893</v>
      </c>
      <c r="AU137">
        <v>0.75085000000000024</v>
      </c>
      <c r="AV137">
        <v>-1.2156791666666666</v>
      </c>
      <c r="AW137">
        <v>-2.5135999999999998</v>
      </c>
      <c r="AX137" t="s">
        <v>281</v>
      </c>
      <c r="AY137">
        <v>11</v>
      </c>
      <c r="AZ137">
        <v>0.90559999999999863</v>
      </c>
      <c r="BA137">
        <v>-0.47999999999999865</v>
      </c>
      <c r="BB137">
        <v>20.999999999999996</v>
      </c>
      <c r="BC137">
        <v>-1.6400000000000001</v>
      </c>
      <c r="BD137">
        <v>0.59233333333333338</v>
      </c>
      <c r="BE137">
        <v>-24.896666666666668</v>
      </c>
      <c r="BF137">
        <v>-3.2366666666666664</v>
      </c>
      <c r="BG137">
        <v>29</v>
      </c>
      <c r="BH137">
        <v>27</v>
      </c>
      <c r="BI137">
        <v>0.44000000000000022</v>
      </c>
      <c r="BJ137">
        <v>9</v>
      </c>
      <c r="BK137">
        <v>12.5</v>
      </c>
      <c r="BL137">
        <v>8</v>
      </c>
      <c r="BM137">
        <v>3.0813975435656466E-2</v>
      </c>
      <c r="BN137">
        <v>16</v>
      </c>
      <c r="BO137">
        <v>2.0100071350142478E-2</v>
      </c>
      <c r="BP137">
        <v>7</v>
      </c>
      <c r="BQ137">
        <v>3.6359999999999983</v>
      </c>
      <c r="BR137">
        <v>19</v>
      </c>
      <c r="BS137">
        <v>-0.92000000000000015</v>
      </c>
      <c r="BT137">
        <v>-1.2800000000000011</v>
      </c>
      <c r="BU137">
        <v>0.75999999999999945</v>
      </c>
      <c r="BV137">
        <v>-0.91999999999999993</v>
      </c>
      <c r="BW137">
        <v>12.920000000000005</v>
      </c>
      <c r="BX137">
        <v>-8.1599999999999966</v>
      </c>
      <c r="BY137">
        <v>20.2</v>
      </c>
      <c r="BZ137">
        <v>4.76</v>
      </c>
      <c r="CA137">
        <v>-3.88</v>
      </c>
      <c r="CB137">
        <v>12</v>
      </c>
      <c r="CC137">
        <v>1.3855999999999971</v>
      </c>
      <c r="CD137">
        <v>0.53958666666666555</v>
      </c>
      <c r="CE137">
        <v>-28.359999999999996</v>
      </c>
      <c r="CF137">
        <v>8.2241666666666588E-2</v>
      </c>
    </row>
    <row r="138" spans="1:84" x14ac:dyDescent="0.2">
      <c r="A138" s="39">
        <v>43765</v>
      </c>
      <c r="B138" s="22" t="s">
        <v>248</v>
      </c>
      <c r="C138" s="41" t="s">
        <v>307</v>
      </c>
      <c r="D138" s="22" t="s">
        <v>285</v>
      </c>
      <c r="E138">
        <v>30.3</v>
      </c>
      <c r="F138">
        <v>6.2</v>
      </c>
      <c r="G138">
        <v>3.7</v>
      </c>
      <c r="H138">
        <f>6.9+4.5</f>
        <v>11.4</v>
      </c>
      <c r="I138">
        <v>-12.5</v>
      </c>
      <c r="J138">
        <v>47.5</v>
      </c>
      <c r="K138" t="s">
        <v>110</v>
      </c>
      <c r="L138" s="1" t="s">
        <v>307</v>
      </c>
      <c r="M138">
        <v>11</v>
      </c>
      <c r="N138">
        <v>1.7223999999999997</v>
      </c>
      <c r="O138">
        <v>3.2292000000000023</v>
      </c>
      <c r="P138">
        <v>13.48</v>
      </c>
      <c r="Q138">
        <v>1.6800000000000002</v>
      </c>
      <c r="R138">
        <v>-0.82499999999999907</v>
      </c>
      <c r="S138">
        <v>-26.46</v>
      </c>
      <c r="T138">
        <v>-3.4899999999999998</v>
      </c>
      <c r="U138">
        <v>4</v>
      </c>
      <c r="V138">
        <v>7</v>
      </c>
      <c r="W138">
        <v>3.04</v>
      </c>
      <c r="X138">
        <v>32</v>
      </c>
      <c r="Y138">
        <v>29.5</v>
      </c>
      <c r="Z138">
        <v>30</v>
      </c>
      <c r="AA138">
        <v>-1.8999449690132141E-2</v>
      </c>
      <c r="AB138">
        <v>28</v>
      </c>
      <c r="AC138">
        <v>-1.246779131224739E-2</v>
      </c>
      <c r="AD138">
        <v>31</v>
      </c>
      <c r="AE138">
        <v>5.7319999999999993</v>
      </c>
      <c r="AF138">
        <v>29</v>
      </c>
      <c r="AG138">
        <v>-2.6399999999999997</v>
      </c>
      <c r="AH138">
        <v>1.2</v>
      </c>
      <c r="AI138">
        <v>7.1054273576010023E-16</v>
      </c>
      <c r="AJ138">
        <v>1.4400000000000002</v>
      </c>
      <c r="AK138">
        <v>-4.0399999999999974</v>
      </c>
      <c r="AL138">
        <v>-18.560000000000002</v>
      </c>
      <c r="AM138">
        <v>10.52</v>
      </c>
      <c r="AN138">
        <v>-0.59999999999999987</v>
      </c>
      <c r="AO138">
        <v>4.5999999999999996</v>
      </c>
      <c r="AP138">
        <v>20</v>
      </c>
      <c r="AQ138">
        <v>-1.5068000000000024</v>
      </c>
      <c r="AR138">
        <v>-1.4351200000000008</v>
      </c>
      <c r="AS138">
        <v>-29.080000000000002</v>
      </c>
      <c r="AT138">
        <v>1.5068000000000026</v>
      </c>
      <c r="AU138">
        <v>0.67082500000000045</v>
      </c>
      <c r="AV138">
        <v>-0.52557500000000024</v>
      </c>
      <c r="AW138">
        <v>-2.7686500000000001</v>
      </c>
      <c r="AX138" t="s">
        <v>285</v>
      </c>
      <c r="AY138">
        <v>1</v>
      </c>
      <c r="AZ138">
        <v>1.6319999999999975</v>
      </c>
      <c r="BA138">
        <v>1.9440000000000004</v>
      </c>
      <c r="BB138">
        <v>24.630000000000003</v>
      </c>
      <c r="BC138">
        <v>-1.9899999999999998</v>
      </c>
      <c r="BD138">
        <v>8.4039999999999999</v>
      </c>
      <c r="BE138">
        <v>15.230000000000004</v>
      </c>
      <c r="BF138">
        <v>-1.95</v>
      </c>
      <c r="BG138">
        <v>19</v>
      </c>
      <c r="BH138">
        <v>20.5</v>
      </c>
      <c r="BI138">
        <v>1.08</v>
      </c>
      <c r="BJ138">
        <v>26</v>
      </c>
      <c r="BK138">
        <v>22</v>
      </c>
      <c r="BL138">
        <v>5</v>
      </c>
      <c r="BM138">
        <v>-4.3532916082351545E-3</v>
      </c>
      <c r="BN138">
        <v>31</v>
      </c>
      <c r="BO138">
        <v>1.5463369961718765E-2</v>
      </c>
      <c r="BP138">
        <v>20</v>
      </c>
      <c r="BQ138">
        <v>15.796000000000001</v>
      </c>
      <c r="BR138">
        <v>32</v>
      </c>
      <c r="BS138">
        <v>-5.6</v>
      </c>
      <c r="BT138">
        <v>-1.3600000000000008</v>
      </c>
      <c r="BU138">
        <v>5.08</v>
      </c>
      <c r="BV138">
        <v>1.04</v>
      </c>
      <c r="BW138">
        <v>31.400000000000013</v>
      </c>
      <c r="BX138">
        <v>10.8</v>
      </c>
      <c r="BY138">
        <v>26.720000000000006</v>
      </c>
      <c r="BZ138">
        <v>-2.5200000000000005</v>
      </c>
      <c r="CA138">
        <v>-3.6</v>
      </c>
      <c r="CB138">
        <v>18</v>
      </c>
      <c r="CC138">
        <v>-0.31200000000000294</v>
      </c>
      <c r="CD138">
        <v>1.035199999999999</v>
      </c>
      <c r="CE138">
        <v>-15.920000000000005</v>
      </c>
      <c r="CF138">
        <v>1.7174999999999996</v>
      </c>
    </row>
    <row r="139" spans="1:84" x14ac:dyDescent="0.2">
      <c r="A139" s="39">
        <v>43765</v>
      </c>
      <c r="B139" s="22" t="s">
        <v>248</v>
      </c>
      <c r="C139" s="41" t="s">
        <v>296</v>
      </c>
      <c r="D139" s="22" t="s">
        <v>299</v>
      </c>
      <c r="E139">
        <v>16.5</v>
      </c>
      <c r="F139">
        <v>19</v>
      </c>
      <c r="G139">
        <v>4.8</v>
      </c>
      <c r="H139">
        <v>14.9</v>
      </c>
      <c r="I139">
        <v>6.5</v>
      </c>
      <c r="J139">
        <v>49</v>
      </c>
      <c r="K139" t="s">
        <v>109</v>
      </c>
      <c r="L139" s="1" t="s">
        <v>296</v>
      </c>
      <c r="M139">
        <v>16</v>
      </c>
      <c r="N139">
        <v>-0.66879999999999984</v>
      </c>
      <c r="O139">
        <v>-5.9127999999999989</v>
      </c>
      <c r="P139">
        <v>-21.24</v>
      </c>
      <c r="Q139">
        <v>-2.12</v>
      </c>
      <c r="R139">
        <v>-3.488</v>
      </c>
      <c r="S139">
        <v>-4.5600000000000023</v>
      </c>
      <c r="T139">
        <v>0.56000000000000039</v>
      </c>
      <c r="U139">
        <v>28</v>
      </c>
      <c r="V139">
        <v>27.5</v>
      </c>
      <c r="W139">
        <v>2.8</v>
      </c>
      <c r="X139">
        <v>2</v>
      </c>
      <c r="Y139">
        <v>7.5</v>
      </c>
      <c r="Z139">
        <v>3</v>
      </c>
      <c r="AA139">
        <v>8.1233809770880835E-2</v>
      </c>
      <c r="AB139">
        <v>16</v>
      </c>
      <c r="AC139">
        <v>5.0895119444456351E-3</v>
      </c>
      <c r="AD139">
        <v>10</v>
      </c>
      <c r="AE139">
        <v>-4.5840000000000014</v>
      </c>
      <c r="AF139">
        <v>1</v>
      </c>
      <c r="AG139">
        <v>5.16</v>
      </c>
      <c r="AH139">
        <v>-1.7199999999999989</v>
      </c>
      <c r="AI139">
        <v>-4.0400000000000009</v>
      </c>
      <c r="AJ139">
        <v>1.9599999999999997</v>
      </c>
      <c r="AK139">
        <v>-26.68</v>
      </c>
      <c r="AL139">
        <v>-21.040000000000003</v>
      </c>
      <c r="AM139">
        <v>-20.48</v>
      </c>
      <c r="AN139">
        <v>1.56</v>
      </c>
      <c r="AO139">
        <v>13.280000000000001</v>
      </c>
      <c r="AP139">
        <v>10</v>
      </c>
      <c r="AQ139">
        <v>5.2439999999999989</v>
      </c>
      <c r="AR139">
        <v>2.1250399999999994</v>
      </c>
      <c r="AS139">
        <v>-0.56000000000000227</v>
      </c>
      <c r="AT139">
        <v>-5.2439999999999989</v>
      </c>
      <c r="AU139">
        <v>-1.6187</v>
      </c>
      <c r="AV139">
        <v>0.8408374999999999</v>
      </c>
      <c r="AW139">
        <v>-0.40472500000000011</v>
      </c>
      <c r="AX139" t="s">
        <v>299</v>
      </c>
      <c r="AY139">
        <v>3</v>
      </c>
      <c r="AZ139">
        <v>4.7991999999999999</v>
      </c>
      <c r="BA139">
        <v>7.6760000000000002</v>
      </c>
      <c r="BB139">
        <v>17.79</v>
      </c>
      <c r="BC139">
        <v>1.0000000000000037E-2</v>
      </c>
      <c r="BD139">
        <v>4.3759999999999986</v>
      </c>
      <c r="BE139">
        <v>15.559999999999995</v>
      </c>
      <c r="BF139">
        <v>2.8800000000000003</v>
      </c>
      <c r="BG139">
        <v>12</v>
      </c>
      <c r="BH139">
        <v>12.5</v>
      </c>
      <c r="BI139">
        <v>-2.6</v>
      </c>
      <c r="BJ139">
        <v>24</v>
      </c>
      <c r="BK139">
        <v>21</v>
      </c>
      <c r="BL139">
        <v>26</v>
      </c>
      <c r="BM139">
        <v>-6.0675730733644573E-2</v>
      </c>
      <c r="BN139">
        <v>23</v>
      </c>
      <c r="BO139">
        <v>-1.5127900761252797E-2</v>
      </c>
      <c r="BP139">
        <v>5</v>
      </c>
      <c r="BQ139">
        <v>-3.7399999999999962</v>
      </c>
      <c r="BR139">
        <v>30</v>
      </c>
      <c r="BS139">
        <v>4.0000000000000036E-2</v>
      </c>
      <c r="BT139">
        <v>7.2799999999999994</v>
      </c>
      <c r="BU139">
        <v>4.24</v>
      </c>
      <c r="BV139">
        <v>-0.64</v>
      </c>
      <c r="BW139">
        <v>58.879999999999995</v>
      </c>
      <c r="BX139">
        <v>35.28</v>
      </c>
      <c r="BY139">
        <v>17.679999999999996</v>
      </c>
      <c r="BZ139">
        <v>-1.48</v>
      </c>
      <c r="CA139">
        <v>7.4</v>
      </c>
      <c r="CB139">
        <v>24</v>
      </c>
      <c r="CC139">
        <v>-2.8767999999999998</v>
      </c>
      <c r="CD139">
        <v>-2.0029599999999999</v>
      </c>
      <c r="CE139">
        <v>17.600000000000005</v>
      </c>
      <c r="CF139">
        <v>2.0863999999999998</v>
      </c>
    </row>
    <row r="140" spans="1:84" x14ac:dyDescent="0.2">
      <c r="A140" s="39">
        <v>43765</v>
      </c>
      <c r="B140" s="22" t="s">
        <v>248</v>
      </c>
      <c r="C140" s="41" t="s">
        <v>298</v>
      </c>
      <c r="D140" s="22" t="s">
        <v>297</v>
      </c>
      <c r="E140">
        <v>5.4</v>
      </c>
      <c r="F140">
        <v>8.3000000000000007</v>
      </c>
      <c r="G140">
        <v>11.3</v>
      </c>
      <c r="H140">
        <v>24.6</v>
      </c>
      <c r="I140">
        <v>7</v>
      </c>
      <c r="J140">
        <v>39.5</v>
      </c>
      <c r="L140" s="1" t="s">
        <v>298</v>
      </c>
      <c r="M140">
        <v>29</v>
      </c>
      <c r="N140">
        <v>-4.0815999999999999</v>
      </c>
      <c r="O140">
        <v>-6.8</v>
      </c>
      <c r="P140">
        <v>-21.6</v>
      </c>
      <c r="Q140">
        <v>-0.46000000000000008</v>
      </c>
      <c r="R140">
        <v>-3.248000000000002</v>
      </c>
      <c r="S140">
        <v>-26.4</v>
      </c>
      <c r="T140">
        <v>-3.64</v>
      </c>
      <c r="U140">
        <v>14</v>
      </c>
      <c r="V140">
        <v>13.5</v>
      </c>
      <c r="W140">
        <v>-1.8400000000000003</v>
      </c>
      <c r="X140">
        <v>8</v>
      </c>
      <c r="Y140">
        <v>12</v>
      </c>
      <c r="Z140">
        <v>2</v>
      </c>
      <c r="AA140">
        <v>5.9736888022691371E-2</v>
      </c>
      <c r="AB140">
        <v>17</v>
      </c>
      <c r="AC140">
        <v>5.3430020228438992E-2</v>
      </c>
      <c r="AD140">
        <v>12</v>
      </c>
      <c r="AE140">
        <v>0.95999999999999663</v>
      </c>
      <c r="AF140">
        <v>17</v>
      </c>
      <c r="AG140">
        <v>4.5600000000000005</v>
      </c>
      <c r="AH140">
        <v>-7.2</v>
      </c>
      <c r="AI140">
        <v>-5.5200000000000005</v>
      </c>
      <c r="AJ140">
        <v>0.56000000000000016</v>
      </c>
      <c r="AK140">
        <v>-82.160000000000011</v>
      </c>
      <c r="AL140">
        <v>-39.760000000000012</v>
      </c>
      <c r="AM140">
        <v>-26.639999999999997</v>
      </c>
      <c r="AN140">
        <v>-3.3200000000000003</v>
      </c>
      <c r="AO140">
        <v>-12.44</v>
      </c>
      <c r="AP140">
        <v>16</v>
      </c>
      <c r="AQ140">
        <v>2.7183999999999999</v>
      </c>
      <c r="AR140">
        <v>1.9340799999999996</v>
      </c>
      <c r="AS140">
        <v>-13.120000000000015</v>
      </c>
      <c r="AT140">
        <v>-2.7183999999999999</v>
      </c>
      <c r="AU140">
        <v>-2.1661999999999999</v>
      </c>
      <c r="AV140">
        <v>0.46137499999999976</v>
      </c>
      <c r="AW140">
        <v>0.75244999999999962</v>
      </c>
      <c r="AX140" t="s">
        <v>297</v>
      </c>
      <c r="AY140">
        <v>20</v>
      </c>
      <c r="AZ140">
        <v>3.2751999999999994</v>
      </c>
      <c r="BA140">
        <v>1.1431999999999989</v>
      </c>
      <c r="BB140">
        <v>-7.9999999999998295E-2</v>
      </c>
      <c r="BC140">
        <v>0.40000000000000019</v>
      </c>
      <c r="BD140">
        <v>-1.2559999999999989</v>
      </c>
      <c r="BE140">
        <v>10.600000000000003</v>
      </c>
      <c r="BF140">
        <v>2.4</v>
      </c>
      <c r="BG140">
        <v>26</v>
      </c>
      <c r="BH140">
        <v>25</v>
      </c>
      <c r="BI140">
        <v>-1.56</v>
      </c>
      <c r="BJ140">
        <v>20</v>
      </c>
      <c r="BK140">
        <v>16.75</v>
      </c>
      <c r="BL140">
        <v>21</v>
      </c>
      <c r="BM140">
        <v>2.6720151429531058E-2</v>
      </c>
      <c r="BN140">
        <v>5</v>
      </c>
      <c r="BO140">
        <v>-8.4222800222777949E-3</v>
      </c>
      <c r="BP140">
        <v>32</v>
      </c>
      <c r="BQ140">
        <v>-5.8640000000000017</v>
      </c>
      <c r="BR140">
        <v>9</v>
      </c>
      <c r="BS140">
        <v>0.15999999999999998</v>
      </c>
      <c r="BT140">
        <v>1.9999999999999987</v>
      </c>
      <c r="BU140">
        <v>1.64</v>
      </c>
      <c r="BV140">
        <v>0.12000000000000011</v>
      </c>
      <c r="BW140">
        <v>38.120000000000005</v>
      </c>
      <c r="BX140">
        <v>28.96</v>
      </c>
      <c r="BY140">
        <v>-0.75999999999999657</v>
      </c>
      <c r="BZ140">
        <v>2.84</v>
      </c>
      <c r="CA140">
        <v>7.080000000000001</v>
      </c>
      <c r="CB140">
        <v>11</v>
      </c>
      <c r="CC140">
        <v>2.1320000000000006</v>
      </c>
      <c r="CD140">
        <v>-0.16775999999999941</v>
      </c>
      <c r="CE140">
        <v>29.72</v>
      </c>
      <c r="CF140">
        <v>0.17029999999999987</v>
      </c>
    </row>
    <row r="141" spans="1:84" x14ac:dyDescent="0.2">
      <c r="A141" s="39">
        <v>43765</v>
      </c>
      <c r="B141" s="22" t="s">
        <v>248</v>
      </c>
      <c r="C141" s="41" t="s">
        <v>294</v>
      </c>
      <c r="D141" s="22" t="s">
        <v>276</v>
      </c>
      <c r="E141">
        <v>10.4</v>
      </c>
      <c r="F141">
        <v>5.4</v>
      </c>
      <c r="G141">
        <v>0</v>
      </c>
      <c r="H141">
        <v>15.2</v>
      </c>
      <c r="I141">
        <v>1</v>
      </c>
      <c r="J141">
        <v>39.5</v>
      </c>
      <c r="L141" s="1" t="s">
        <v>294</v>
      </c>
      <c r="M141">
        <v>19</v>
      </c>
      <c r="N141">
        <v>-1.1632000000000002</v>
      </c>
      <c r="O141">
        <v>-1.3629999999999993</v>
      </c>
      <c r="P141">
        <v>3.3400000000000007</v>
      </c>
      <c r="Q141">
        <v>-1.92</v>
      </c>
      <c r="R141">
        <v>-7.7310000000000016</v>
      </c>
      <c r="S141">
        <v>-42.650000000000006</v>
      </c>
      <c r="T141">
        <v>-0.30999999999999961</v>
      </c>
      <c r="U141">
        <v>23</v>
      </c>
      <c r="V141">
        <v>22.5</v>
      </c>
      <c r="W141">
        <v>1.9600000000000002</v>
      </c>
      <c r="X141">
        <v>6</v>
      </c>
      <c r="Y141">
        <v>10.25</v>
      </c>
      <c r="Z141">
        <v>16</v>
      </c>
      <c r="AA141">
        <v>3.7906424129798423E-2</v>
      </c>
      <c r="AB141">
        <v>4</v>
      </c>
      <c r="AC141">
        <v>-2.6866019252633168E-3</v>
      </c>
      <c r="AD141">
        <v>6</v>
      </c>
      <c r="AE141">
        <v>-5.2960000000000012</v>
      </c>
      <c r="AF141">
        <v>15</v>
      </c>
      <c r="AG141">
        <v>1.56</v>
      </c>
      <c r="AH141">
        <v>-3.72</v>
      </c>
      <c r="AI141">
        <v>-1.6799999999999997</v>
      </c>
      <c r="AJ141">
        <v>1.8800000000000001</v>
      </c>
      <c r="AK141">
        <v>-35.04</v>
      </c>
      <c r="AL141">
        <v>-48.88000000000001</v>
      </c>
      <c r="AM141">
        <v>11.680000000000001</v>
      </c>
      <c r="AN141">
        <v>-3.12</v>
      </c>
      <c r="AO141">
        <v>5.2799999999999994</v>
      </c>
      <c r="AP141">
        <v>17</v>
      </c>
      <c r="AQ141">
        <v>0.19979999999999909</v>
      </c>
      <c r="AR141">
        <v>-1.0973400000000004</v>
      </c>
      <c r="AS141">
        <v>-60.560000000000009</v>
      </c>
      <c r="AT141">
        <v>-0.19979999999999909</v>
      </c>
      <c r="AU141">
        <v>-1.4971500000000002</v>
      </c>
      <c r="AV141">
        <v>-0.72533749999999997</v>
      </c>
      <c r="AW141">
        <v>-0.18744999999999978</v>
      </c>
      <c r="AX141" t="s">
        <v>276</v>
      </c>
      <c r="AY141">
        <v>24</v>
      </c>
      <c r="AZ141">
        <v>-2.8608000000000002</v>
      </c>
      <c r="BA141">
        <v>3.2200000000000015</v>
      </c>
      <c r="BB141">
        <v>23.84</v>
      </c>
      <c r="BC141">
        <v>-1.1599999999999999</v>
      </c>
      <c r="BD141">
        <v>-9.1850000000000023</v>
      </c>
      <c r="BE141">
        <v>-30.86</v>
      </c>
      <c r="BF141">
        <v>-3.0200000000000005</v>
      </c>
      <c r="BG141">
        <v>32</v>
      </c>
      <c r="BH141">
        <v>32</v>
      </c>
      <c r="BI141">
        <v>2</v>
      </c>
      <c r="BJ141">
        <v>7</v>
      </c>
      <c r="BK141">
        <v>12.25</v>
      </c>
      <c r="BL141">
        <v>24</v>
      </c>
      <c r="BM141">
        <v>1.6496533760181287E-2</v>
      </c>
      <c r="BN141">
        <v>3</v>
      </c>
      <c r="BO141">
        <v>-5.9058641278462521E-3</v>
      </c>
      <c r="BP141">
        <v>17</v>
      </c>
      <c r="BQ141">
        <v>1.1519999999999981</v>
      </c>
      <c r="BR141">
        <v>5</v>
      </c>
      <c r="BS141">
        <v>-1.6</v>
      </c>
      <c r="BT141">
        <v>-2.5600000000000009</v>
      </c>
      <c r="BU141">
        <v>-0.6</v>
      </c>
      <c r="BV141">
        <v>-0.35999999999999988</v>
      </c>
      <c r="BW141">
        <v>-9.8399999999999981</v>
      </c>
      <c r="BX141">
        <v>-33.999999999999993</v>
      </c>
      <c r="BY141">
        <v>22.080000000000002</v>
      </c>
      <c r="BZ141">
        <v>0.96000000000000019</v>
      </c>
      <c r="CA141">
        <v>1.1200000000000003</v>
      </c>
      <c r="CB141">
        <v>30</v>
      </c>
      <c r="CC141">
        <v>-6.0808000000000018</v>
      </c>
      <c r="CD141">
        <v>-4.0191600000000012</v>
      </c>
      <c r="CE141">
        <v>-56.08</v>
      </c>
      <c r="CF141">
        <v>-1.263225</v>
      </c>
    </row>
    <row r="142" spans="1:84" x14ac:dyDescent="0.2">
      <c r="A142" s="39">
        <v>43765</v>
      </c>
      <c r="B142" s="22" t="s">
        <v>248</v>
      </c>
      <c r="C142" s="41" t="s">
        <v>309</v>
      </c>
      <c r="D142" s="22" t="s">
        <v>293</v>
      </c>
      <c r="E142">
        <v>24.3</v>
      </c>
      <c r="F142">
        <v>19.399999999999999</v>
      </c>
      <c r="G142">
        <v>3.1</v>
      </c>
      <c r="H142">
        <f>4.9+2.5</f>
        <v>7.4</v>
      </c>
      <c r="I142">
        <v>-14</v>
      </c>
      <c r="J142">
        <v>44</v>
      </c>
      <c r="L142" s="1" t="s">
        <v>309</v>
      </c>
      <c r="M142">
        <v>26</v>
      </c>
      <c r="N142">
        <v>-2.2775999999999992</v>
      </c>
      <c r="O142">
        <v>3.8879999999999986</v>
      </c>
      <c r="P142">
        <v>-17.04</v>
      </c>
      <c r="Q142">
        <v>2.4000000000000004</v>
      </c>
      <c r="R142">
        <v>-1.7079999999999984</v>
      </c>
      <c r="S142">
        <v>-19.199999999999996</v>
      </c>
      <c r="T142">
        <v>-1.36</v>
      </c>
      <c r="U142">
        <v>3</v>
      </c>
      <c r="V142">
        <v>5.5</v>
      </c>
      <c r="W142">
        <v>5.0400000000000009</v>
      </c>
      <c r="X142">
        <v>12</v>
      </c>
      <c r="Y142">
        <v>13.25</v>
      </c>
      <c r="Z142">
        <v>9</v>
      </c>
      <c r="AA142">
        <v>-1.7903872541377798E-2</v>
      </c>
      <c r="AB142">
        <v>20</v>
      </c>
      <c r="AC142">
        <v>-3.3259935942645612E-2</v>
      </c>
      <c r="AD142">
        <v>19</v>
      </c>
      <c r="AE142">
        <v>6.1360000000000001</v>
      </c>
      <c r="AF142">
        <v>5</v>
      </c>
      <c r="AG142">
        <v>-2.12</v>
      </c>
      <c r="AH142">
        <v>-3.28</v>
      </c>
      <c r="AI142">
        <v>2.5600000000000009</v>
      </c>
      <c r="AJ142">
        <v>0.1999999999999999</v>
      </c>
      <c r="AK142">
        <v>-55.64</v>
      </c>
      <c r="AL142">
        <v>-24.32</v>
      </c>
      <c r="AM142">
        <v>-16.439999999999998</v>
      </c>
      <c r="AN142">
        <v>-2.96</v>
      </c>
      <c r="AO142">
        <v>-11.920000000000002</v>
      </c>
      <c r="AP142">
        <v>27</v>
      </c>
      <c r="AQ142">
        <v>-6.1655999999999977</v>
      </c>
      <c r="AR142">
        <v>-2.7411199999999987</v>
      </c>
      <c r="AS142">
        <v>-7.8800000000000026</v>
      </c>
      <c r="AT142">
        <v>6.1655999999999977</v>
      </c>
      <c r="AU142">
        <v>0.24780000000000002</v>
      </c>
      <c r="AV142">
        <v>9.2083333333333184E-2</v>
      </c>
      <c r="AW142">
        <v>-1.6636833333333336</v>
      </c>
      <c r="AX142" t="s">
        <v>293</v>
      </c>
      <c r="AY142">
        <v>2</v>
      </c>
      <c r="AZ142">
        <v>3.6887999999999992</v>
      </c>
      <c r="BA142">
        <v>5.1959999999999997</v>
      </c>
      <c r="BB142">
        <v>49.64</v>
      </c>
      <c r="BC142">
        <v>-2.12</v>
      </c>
      <c r="BD142">
        <v>2.9779999999999998</v>
      </c>
      <c r="BE142">
        <v>3.8</v>
      </c>
      <c r="BF142">
        <v>-1.0999999999999999</v>
      </c>
      <c r="BG142">
        <v>1</v>
      </c>
      <c r="BH142">
        <v>1.5</v>
      </c>
      <c r="BI142">
        <v>2.4400000000000004</v>
      </c>
      <c r="BJ142">
        <v>31</v>
      </c>
      <c r="BK142">
        <v>29</v>
      </c>
      <c r="BL142">
        <v>29</v>
      </c>
      <c r="BM142">
        <v>-6.6559601691520948E-2</v>
      </c>
      <c r="BN142">
        <v>32</v>
      </c>
      <c r="BO142">
        <v>-2.3019583879496652E-2</v>
      </c>
      <c r="BP142">
        <v>30</v>
      </c>
      <c r="BQ142">
        <v>3.2919999999999989</v>
      </c>
      <c r="BR142">
        <v>25</v>
      </c>
      <c r="BS142">
        <v>-6.7199999999999989</v>
      </c>
      <c r="BT142">
        <v>1.1199999999999988</v>
      </c>
      <c r="BU142">
        <v>7.6</v>
      </c>
      <c r="BV142">
        <v>0.55999999999999983</v>
      </c>
      <c r="BW142">
        <v>43.11999999999999</v>
      </c>
      <c r="BX142">
        <v>1.3200000000000045</v>
      </c>
      <c r="BY142">
        <v>51.8</v>
      </c>
      <c r="BZ142">
        <v>-5.4799999999999995</v>
      </c>
      <c r="CA142">
        <v>-4.5200000000000005</v>
      </c>
      <c r="CB142">
        <v>20</v>
      </c>
      <c r="CC142">
        <v>-1.5072000000000005</v>
      </c>
      <c r="CD142">
        <v>-1.2646400000000002</v>
      </c>
      <c r="CE142">
        <v>-50.47999999999999</v>
      </c>
      <c r="CF142">
        <v>1.84785</v>
      </c>
    </row>
    <row r="143" spans="1:84" x14ac:dyDescent="0.2">
      <c r="A143" s="39">
        <v>43765</v>
      </c>
      <c r="B143" s="22" t="s">
        <v>248</v>
      </c>
      <c r="C143" s="40" t="s">
        <v>256</v>
      </c>
      <c r="D143" s="22" t="s">
        <v>301</v>
      </c>
      <c r="E143">
        <v>12.5</v>
      </c>
      <c r="F143">
        <v>13.8</v>
      </c>
      <c r="G143">
        <v>2.2000000000000002</v>
      </c>
      <c r="H143">
        <v>14.6</v>
      </c>
      <c r="I143">
        <v>-4.5</v>
      </c>
      <c r="J143">
        <v>41</v>
      </c>
      <c r="K143" t="s">
        <v>110</v>
      </c>
      <c r="L143" s="1" t="s">
        <v>256</v>
      </c>
      <c r="M143">
        <v>30</v>
      </c>
      <c r="N143">
        <v>-5.4263999999999992</v>
      </c>
      <c r="O143">
        <v>7.9479999999999977</v>
      </c>
      <c r="P143">
        <v>45.84</v>
      </c>
      <c r="Q143">
        <v>-2.2400000000000002</v>
      </c>
      <c r="R143">
        <v>-9.0920000000000023</v>
      </c>
      <c r="S143">
        <v>-38.479999999999997</v>
      </c>
      <c r="T143">
        <v>-5.0799999999999992</v>
      </c>
      <c r="U143">
        <v>17</v>
      </c>
      <c r="V143">
        <v>16</v>
      </c>
      <c r="W143">
        <v>4.92</v>
      </c>
      <c r="X143">
        <v>21</v>
      </c>
      <c r="Y143">
        <v>17.75</v>
      </c>
      <c r="Z143">
        <v>19</v>
      </c>
      <c r="AA143">
        <v>-9.3844976958613852E-2</v>
      </c>
      <c r="AB143">
        <v>3</v>
      </c>
      <c r="AC143">
        <v>-1.4109084910725428E-2</v>
      </c>
      <c r="AD143">
        <v>29</v>
      </c>
      <c r="AE143">
        <v>5.0199999999999978</v>
      </c>
      <c r="AF143">
        <v>20</v>
      </c>
      <c r="AG143">
        <v>-3.4400000000000004</v>
      </c>
      <c r="AH143">
        <v>1.7599999999999967</v>
      </c>
      <c r="AI143">
        <v>4.3599999999999994</v>
      </c>
      <c r="AJ143">
        <v>-1.1199999999999999</v>
      </c>
      <c r="AK143">
        <v>20.840000000000011</v>
      </c>
      <c r="AL143">
        <v>-40.159999999999997</v>
      </c>
      <c r="AM143">
        <v>66.92</v>
      </c>
      <c r="AN143">
        <v>6.76</v>
      </c>
      <c r="AO143">
        <v>-12.68</v>
      </c>
      <c r="AP143">
        <v>31</v>
      </c>
      <c r="AQ143">
        <v>-13.374399999999996</v>
      </c>
      <c r="AR143">
        <v>-6.8776799999999989</v>
      </c>
      <c r="AS143">
        <v>-107.08</v>
      </c>
      <c r="AT143">
        <v>13.374399999999998</v>
      </c>
      <c r="AU143">
        <v>-0.7613000000000002</v>
      </c>
      <c r="AV143">
        <v>-2.4981000000000004</v>
      </c>
      <c r="AW143">
        <v>-5.0018000000000002</v>
      </c>
      <c r="AX143" t="s">
        <v>301</v>
      </c>
      <c r="AY143">
        <v>14</v>
      </c>
      <c r="AZ143">
        <v>-1.8271999999999995</v>
      </c>
      <c r="BA143">
        <v>2.1879999999999984</v>
      </c>
      <c r="BB143">
        <v>-20.079999999999998</v>
      </c>
      <c r="BC143">
        <v>1.6799999999999997</v>
      </c>
      <c r="BD143">
        <v>1.5639999999999987</v>
      </c>
      <c r="BE143">
        <v>4.0400000000000027</v>
      </c>
      <c r="BF143">
        <v>2.92</v>
      </c>
      <c r="BG143">
        <v>10</v>
      </c>
      <c r="BH143">
        <v>11.5</v>
      </c>
      <c r="BI143">
        <v>-1.64</v>
      </c>
      <c r="BJ143">
        <v>18</v>
      </c>
      <c r="BK143">
        <v>16.25</v>
      </c>
      <c r="BL143">
        <v>18</v>
      </c>
      <c r="BM143">
        <v>3.0762896835275756E-2</v>
      </c>
      <c r="BN143">
        <v>16</v>
      </c>
      <c r="BO143">
        <v>4.3762436481062976E-2</v>
      </c>
      <c r="BP143">
        <v>8</v>
      </c>
      <c r="BQ143">
        <v>2.919999999999999</v>
      </c>
      <c r="BR143">
        <v>23</v>
      </c>
      <c r="BS143">
        <v>5.5600000000000005</v>
      </c>
      <c r="BT143">
        <v>2.3599999999999994</v>
      </c>
      <c r="BU143">
        <v>1.2000000000000006</v>
      </c>
      <c r="BV143">
        <v>-0.83999999999999986</v>
      </c>
      <c r="BW143">
        <v>-12.320000000000004</v>
      </c>
      <c r="BX143">
        <v>-5.2800000000000011</v>
      </c>
      <c r="BY143">
        <v>-8.1599999999999966</v>
      </c>
      <c r="BZ143">
        <v>0.95999999999999974</v>
      </c>
      <c r="CA143">
        <v>0.16000000000000086</v>
      </c>
      <c r="CB143">
        <v>28</v>
      </c>
      <c r="CC143">
        <v>-4.0151999999999983</v>
      </c>
      <c r="CD143">
        <v>-1.1466399999999992</v>
      </c>
      <c r="CE143">
        <v>2.8799999999999955</v>
      </c>
      <c r="CF143">
        <v>5.5999999999997441E-3</v>
      </c>
    </row>
    <row r="144" spans="1:84" x14ac:dyDescent="0.2">
      <c r="A144" s="39">
        <v>43765</v>
      </c>
      <c r="B144" s="22" t="s">
        <v>248</v>
      </c>
      <c r="C144" s="41" t="s">
        <v>308</v>
      </c>
      <c r="D144" s="22" t="s">
        <v>295</v>
      </c>
      <c r="E144">
        <v>19</v>
      </c>
      <c r="F144">
        <v>16.3</v>
      </c>
      <c r="G144">
        <v>3.5</v>
      </c>
      <c r="H144">
        <f>3.8+1.7</f>
        <v>5.5</v>
      </c>
      <c r="I144">
        <v>-7.5</v>
      </c>
      <c r="J144">
        <v>48.5</v>
      </c>
      <c r="L144" s="1" t="s">
        <v>308</v>
      </c>
      <c r="M144">
        <v>3</v>
      </c>
      <c r="N144">
        <v>6.4984000000000011</v>
      </c>
      <c r="O144">
        <v>0.75759999999999983</v>
      </c>
      <c r="P144">
        <v>13.36</v>
      </c>
      <c r="Q144">
        <v>-8.0000000000000127E-2</v>
      </c>
      <c r="R144">
        <v>-4.0000000000002256E-3</v>
      </c>
      <c r="S144">
        <v>8.9200000000000017</v>
      </c>
      <c r="T144">
        <v>-1.6800000000000002</v>
      </c>
      <c r="U144">
        <v>8</v>
      </c>
      <c r="V144">
        <v>8.5</v>
      </c>
      <c r="W144">
        <v>-1.2000000000000004</v>
      </c>
      <c r="X144">
        <v>12</v>
      </c>
      <c r="Y144">
        <v>13.25</v>
      </c>
      <c r="Z144">
        <v>11</v>
      </c>
      <c r="AA144">
        <v>9.2253046239783906E-2</v>
      </c>
      <c r="AB144">
        <v>5</v>
      </c>
      <c r="AC144">
        <v>-1.5249652433166897E-2</v>
      </c>
      <c r="AD144">
        <v>21</v>
      </c>
      <c r="AE144">
        <v>8.7359999999999971</v>
      </c>
      <c r="AF144">
        <v>16</v>
      </c>
      <c r="AG144">
        <v>1.3999999999999997</v>
      </c>
      <c r="AH144">
        <v>5.4399999999999977</v>
      </c>
      <c r="AI144">
        <v>1.64</v>
      </c>
      <c r="AJ144">
        <v>-0.2799999999999998</v>
      </c>
      <c r="AK144">
        <v>49.359999999999992</v>
      </c>
      <c r="AL144">
        <v>28.160000000000007</v>
      </c>
      <c r="AM144">
        <v>8.7199999999999989</v>
      </c>
      <c r="AN144">
        <v>-4.04</v>
      </c>
      <c r="AO144">
        <v>16.52</v>
      </c>
      <c r="AP144">
        <v>8</v>
      </c>
      <c r="AQ144">
        <v>5.7408000000000019</v>
      </c>
      <c r="AR144">
        <v>0.92008000000000034</v>
      </c>
      <c r="AS144">
        <v>19.440000000000008</v>
      </c>
      <c r="AT144">
        <v>-5.740800000000001</v>
      </c>
      <c r="AU144">
        <v>0.83150000000000002</v>
      </c>
      <c r="AV144">
        <v>1.2281333333333331</v>
      </c>
      <c r="AW144">
        <v>-0.93223333333333325</v>
      </c>
      <c r="AX144" t="s">
        <v>295</v>
      </c>
      <c r="AY144">
        <v>27</v>
      </c>
      <c r="AZ144">
        <v>9.1039999999999992</v>
      </c>
      <c r="BA144">
        <v>3.6519999999999992</v>
      </c>
      <c r="BB144">
        <v>10</v>
      </c>
      <c r="BC144">
        <v>7.9999999999999877E-2</v>
      </c>
      <c r="BD144">
        <v>11.432</v>
      </c>
      <c r="BE144">
        <v>44.47999999999999</v>
      </c>
      <c r="BF144">
        <v>-1.1999999999999997</v>
      </c>
      <c r="BG144">
        <v>17</v>
      </c>
      <c r="BH144">
        <v>14.5</v>
      </c>
      <c r="BI144">
        <v>2.5199999999999996</v>
      </c>
      <c r="BJ144">
        <v>19</v>
      </c>
      <c r="BK144">
        <v>16.5</v>
      </c>
      <c r="BL144">
        <v>10</v>
      </c>
      <c r="BM144">
        <v>-0.10455144616674801</v>
      </c>
      <c r="BN144">
        <v>20</v>
      </c>
      <c r="BO144">
        <v>-5.5735340818474963E-2</v>
      </c>
      <c r="BP144">
        <v>25</v>
      </c>
      <c r="BQ144">
        <v>9.5039999999999996</v>
      </c>
      <c r="BR144">
        <v>11</v>
      </c>
      <c r="BS144">
        <v>-8.32</v>
      </c>
      <c r="BT144">
        <v>0.43999999999999917</v>
      </c>
      <c r="BU144">
        <v>9.8000000000000007</v>
      </c>
      <c r="BV144">
        <v>1.8800000000000001</v>
      </c>
      <c r="BW144">
        <v>51.48</v>
      </c>
      <c r="BX144">
        <v>48.2</v>
      </c>
      <c r="BY144">
        <v>8.6400000000000041</v>
      </c>
      <c r="BZ144">
        <v>-3.9199999999999995</v>
      </c>
      <c r="CA144">
        <v>-1.4399999999999995</v>
      </c>
      <c r="CB144">
        <v>4</v>
      </c>
      <c r="CC144">
        <v>5.452</v>
      </c>
      <c r="CD144">
        <v>2.281200000000001</v>
      </c>
      <c r="CE144">
        <v>39.56</v>
      </c>
      <c r="CF144">
        <v>3.3884999999999996</v>
      </c>
    </row>
    <row r="145" spans="1:84" x14ac:dyDescent="0.2">
      <c r="A145" s="39">
        <v>43765</v>
      </c>
      <c r="B145" s="22" t="s">
        <v>248</v>
      </c>
      <c r="C145" s="41" t="s">
        <v>284</v>
      </c>
      <c r="D145" s="23" t="s">
        <v>310</v>
      </c>
      <c r="E145">
        <v>45.8</v>
      </c>
      <c r="F145">
        <v>10.3</v>
      </c>
      <c r="G145">
        <v>0</v>
      </c>
      <c r="H145">
        <v>6.2</v>
      </c>
      <c r="I145">
        <v>2</v>
      </c>
      <c r="J145">
        <v>45.5</v>
      </c>
      <c r="L145" s="1" t="s">
        <v>284</v>
      </c>
      <c r="M145">
        <v>2</v>
      </c>
      <c r="N145">
        <v>6.8551999999999991</v>
      </c>
      <c r="O145">
        <v>-5.2520000000000016</v>
      </c>
      <c r="P145">
        <v>-9.0800000000000054</v>
      </c>
      <c r="Q145">
        <v>-2.76</v>
      </c>
      <c r="R145">
        <v>23.435999999999996</v>
      </c>
      <c r="S145">
        <v>93.92</v>
      </c>
      <c r="T145">
        <v>6.3999999999999995</v>
      </c>
      <c r="U145">
        <v>18</v>
      </c>
      <c r="V145">
        <v>17.5</v>
      </c>
      <c r="W145">
        <v>-2.7600000000000007</v>
      </c>
      <c r="X145">
        <v>14</v>
      </c>
      <c r="Y145">
        <v>14</v>
      </c>
      <c r="Z145">
        <v>29</v>
      </c>
      <c r="AA145">
        <v>2.8462332955277735E-2</v>
      </c>
      <c r="AB145">
        <v>22</v>
      </c>
      <c r="AC145">
        <v>2.1739908498920164E-2</v>
      </c>
      <c r="AD145">
        <v>1</v>
      </c>
      <c r="AE145">
        <v>7.2119999999999989</v>
      </c>
      <c r="AF145">
        <v>4</v>
      </c>
      <c r="AG145">
        <v>0.4799999999999997</v>
      </c>
      <c r="AH145">
        <v>5.76</v>
      </c>
      <c r="AI145">
        <v>9.2799999999999994</v>
      </c>
      <c r="AJ145">
        <v>0.19999999999999982</v>
      </c>
      <c r="AK145">
        <v>67.47999999999999</v>
      </c>
      <c r="AL145">
        <v>76.47999999999999</v>
      </c>
      <c r="AM145">
        <v>-10.919999999999998</v>
      </c>
      <c r="AN145">
        <v>2.2400000000000002</v>
      </c>
      <c r="AO145">
        <v>-0.31999999999999995</v>
      </c>
      <c r="AP145">
        <v>2</v>
      </c>
      <c r="AQ145">
        <v>12.107199999999999</v>
      </c>
      <c r="AR145">
        <v>8.6842400000000008</v>
      </c>
      <c r="AS145">
        <v>87.399999999999991</v>
      </c>
      <c r="AT145">
        <v>-12.107200000000001</v>
      </c>
      <c r="AU145">
        <v>3.4998999999999993</v>
      </c>
      <c r="AV145">
        <v>1.7466499999999998</v>
      </c>
      <c r="AW145">
        <v>4.1190499999999997</v>
      </c>
      <c r="AX145" t="s">
        <v>310</v>
      </c>
      <c r="AY145">
        <v>11</v>
      </c>
      <c r="AZ145">
        <v>-0.26200000000000079</v>
      </c>
      <c r="BA145">
        <v>-0.13999999999999968</v>
      </c>
      <c r="BB145">
        <v>-24.88</v>
      </c>
      <c r="BC145">
        <v>1.8</v>
      </c>
      <c r="BD145">
        <v>-5.1639999999999997</v>
      </c>
      <c r="BE145">
        <v>-18.239999999999998</v>
      </c>
      <c r="BF145">
        <v>-2.2399999999999989</v>
      </c>
      <c r="BG145">
        <v>3</v>
      </c>
      <c r="BH145">
        <v>3.5</v>
      </c>
      <c r="BI145">
        <v>3.96</v>
      </c>
      <c r="BJ145">
        <v>15</v>
      </c>
      <c r="BK145">
        <v>15.75</v>
      </c>
      <c r="BL145">
        <v>16</v>
      </c>
      <c r="BM145">
        <v>-3.4823897882496159E-2</v>
      </c>
      <c r="BN145">
        <v>21</v>
      </c>
      <c r="BO145">
        <v>-1.6006916114496356E-2</v>
      </c>
      <c r="BP145">
        <v>13</v>
      </c>
      <c r="BQ145">
        <v>-3.3200000000000047</v>
      </c>
      <c r="BR145">
        <v>13</v>
      </c>
      <c r="BS145">
        <v>-3.08</v>
      </c>
      <c r="BT145">
        <v>-1.7200000000000002</v>
      </c>
      <c r="BU145">
        <v>-2.72</v>
      </c>
      <c r="BV145">
        <v>-0.83999999999999986</v>
      </c>
      <c r="BW145">
        <v>-15.080000000000007</v>
      </c>
      <c r="BX145">
        <v>7.6400000000000032</v>
      </c>
      <c r="BY145">
        <v>-25.839999999999996</v>
      </c>
      <c r="BZ145">
        <v>-0.44000000000000006</v>
      </c>
      <c r="CA145">
        <v>3.56</v>
      </c>
      <c r="CB145">
        <v>16</v>
      </c>
      <c r="CC145">
        <v>-0.12200000000000122</v>
      </c>
      <c r="CD145">
        <v>-1.0152000000000001</v>
      </c>
      <c r="CE145">
        <v>33.479999999999997</v>
      </c>
      <c r="CF145">
        <v>-0.62575000000000003</v>
      </c>
    </row>
    <row r="146" spans="1:84" x14ac:dyDescent="0.2">
      <c r="A146" s="39">
        <v>43765</v>
      </c>
      <c r="B146" s="22" t="s">
        <v>248</v>
      </c>
      <c r="C146" s="41" t="s">
        <v>310</v>
      </c>
      <c r="D146" s="22" t="s">
        <v>284</v>
      </c>
      <c r="E146">
        <v>2.9</v>
      </c>
      <c r="F146">
        <v>9.1</v>
      </c>
      <c r="G146">
        <v>10.8</v>
      </c>
      <c r="H146">
        <f>19.8+7.3</f>
        <v>27.1</v>
      </c>
      <c r="I146">
        <v>-2</v>
      </c>
      <c r="J146">
        <v>45.5</v>
      </c>
      <c r="L146" s="1" t="s">
        <v>310</v>
      </c>
      <c r="M146">
        <v>23</v>
      </c>
      <c r="N146">
        <v>-2.0020000000000002</v>
      </c>
      <c r="O146">
        <v>-8.2040000000000006</v>
      </c>
      <c r="P146">
        <v>-17.359999999999996</v>
      </c>
      <c r="Q146">
        <v>-1.9200000000000002</v>
      </c>
      <c r="R146">
        <v>1.1039999999999996</v>
      </c>
      <c r="S146">
        <v>20.240000000000002</v>
      </c>
      <c r="T146">
        <v>-0.8</v>
      </c>
      <c r="U146">
        <v>29</v>
      </c>
      <c r="V146">
        <v>29</v>
      </c>
      <c r="W146">
        <v>-3.4799999999999995</v>
      </c>
      <c r="X146">
        <v>25</v>
      </c>
      <c r="Y146">
        <v>21</v>
      </c>
      <c r="Z146">
        <v>27</v>
      </c>
      <c r="AA146">
        <v>5.8830122368742519E-3</v>
      </c>
      <c r="AB146">
        <v>2</v>
      </c>
      <c r="AC146">
        <v>5.5526763606842756E-2</v>
      </c>
      <c r="AD146">
        <v>30</v>
      </c>
      <c r="AE146">
        <v>3.1960000000000006</v>
      </c>
      <c r="AF146">
        <v>25</v>
      </c>
      <c r="AG146">
        <v>4.3600000000000003</v>
      </c>
      <c r="AH146">
        <v>0.88000000000000111</v>
      </c>
      <c r="AI146">
        <v>-6.24</v>
      </c>
      <c r="AJ146">
        <v>-1.9599999999999997</v>
      </c>
      <c r="AK146">
        <v>-14.960000000000003</v>
      </c>
      <c r="AL146">
        <v>1.5199999999999989</v>
      </c>
      <c r="AM146">
        <v>-18.599999999999998</v>
      </c>
      <c r="AN146">
        <v>-2.96</v>
      </c>
      <c r="AO146">
        <v>5.08</v>
      </c>
      <c r="AP146">
        <v>7</v>
      </c>
      <c r="AQ146">
        <v>6.202</v>
      </c>
      <c r="AR146">
        <v>3.9224000000000001</v>
      </c>
      <c r="AS146">
        <v>20.119999999999997</v>
      </c>
      <c r="AT146">
        <v>-6.202</v>
      </c>
      <c r="AU146">
        <v>-1.6477499999999998</v>
      </c>
      <c r="AV146">
        <v>1.7466499999999998</v>
      </c>
      <c r="AW146">
        <v>-0.62575000000000003</v>
      </c>
      <c r="AX146" t="s">
        <v>284</v>
      </c>
      <c r="AY146">
        <v>4</v>
      </c>
      <c r="AZ146">
        <v>9.8824000000000005</v>
      </c>
      <c r="BA146">
        <v>-3.8060000000000009</v>
      </c>
      <c r="BB146">
        <v>-31.15</v>
      </c>
      <c r="BC146">
        <v>0.70000000000000018</v>
      </c>
      <c r="BD146">
        <v>22.556000000000001</v>
      </c>
      <c r="BE146">
        <v>74.320000000000007</v>
      </c>
      <c r="BF146">
        <v>5.44</v>
      </c>
      <c r="BG146">
        <v>16</v>
      </c>
      <c r="BH146">
        <v>14</v>
      </c>
      <c r="BI146">
        <v>0.31999999999999995</v>
      </c>
      <c r="BJ146">
        <v>10</v>
      </c>
      <c r="BK146">
        <v>13.25</v>
      </c>
      <c r="BL146">
        <v>9</v>
      </c>
      <c r="BM146">
        <v>-2.0926775614072923E-2</v>
      </c>
      <c r="BN146">
        <v>26</v>
      </c>
      <c r="BO146">
        <v>-1.8393524376987026E-2</v>
      </c>
      <c r="BP146">
        <v>6</v>
      </c>
      <c r="BQ146">
        <v>17.839999999999996</v>
      </c>
      <c r="BR146">
        <v>12</v>
      </c>
      <c r="BS146">
        <v>-2.7600000000000007</v>
      </c>
      <c r="BT146">
        <v>2.3599999999999981</v>
      </c>
      <c r="BU146">
        <v>11.559999999999999</v>
      </c>
      <c r="BV146">
        <v>-1</v>
      </c>
      <c r="BW146">
        <v>37.520000000000003</v>
      </c>
      <c r="BX146">
        <v>74.240000000000009</v>
      </c>
      <c r="BY146">
        <v>-33.04</v>
      </c>
      <c r="BZ146">
        <v>-0.15999999999999978</v>
      </c>
      <c r="CA146">
        <v>-3.5199999999999996</v>
      </c>
      <c r="CB146">
        <v>1</v>
      </c>
      <c r="CC146">
        <v>13.688400000000001</v>
      </c>
      <c r="CD146">
        <v>8.3906799999999997</v>
      </c>
      <c r="CE146">
        <v>107.28</v>
      </c>
      <c r="CF146">
        <v>4.1190499999999997</v>
      </c>
    </row>
    <row r="147" spans="1:84" x14ac:dyDescent="0.2">
      <c r="A147" s="39">
        <v>43765</v>
      </c>
      <c r="B147" s="22" t="s">
        <v>248</v>
      </c>
      <c r="C147" s="41" t="s">
        <v>306</v>
      </c>
      <c r="D147" s="22" t="s">
        <v>312</v>
      </c>
      <c r="E147">
        <v>7.9</v>
      </c>
      <c r="F147" s="14">
        <v>6.4</v>
      </c>
      <c r="G147">
        <v>2.5</v>
      </c>
      <c r="H147">
        <v>5.5</v>
      </c>
      <c r="I147">
        <v>16.5</v>
      </c>
      <c r="J147">
        <v>42</v>
      </c>
      <c r="L147" s="1" t="s">
        <v>306</v>
      </c>
      <c r="M147">
        <v>27</v>
      </c>
      <c r="N147">
        <v>-3.4840000000000004</v>
      </c>
      <c r="O147">
        <v>-6.782</v>
      </c>
      <c r="P147">
        <v>-20.200000000000003</v>
      </c>
      <c r="Q147">
        <v>-0.32000000000000006</v>
      </c>
      <c r="R147">
        <v>-7.0809999999999995</v>
      </c>
      <c r="S147">
        <v>-44.220000000000006</v>
      </c>
      <c r="T147">
        <v>-3.17</v>
      </c>
      <c r="U147">
        <v>1</v>
      </c>
      <c r="V147">
        <v>1</v>
      </c>
      <c r="W147">
        <v>-1.8</v>
      </c>
      <c r="X147">
        <v>1</v>
      </c>
      <c r="Y147">
        <v>5.25</v>
      </c>
      <c r="Z147">
        <v>9</v>
      </c>
      <c r="AA147">
        <v>-2.0538882432292117E-2</v>
      </c>
      <c r="AB147">
        <v>1</v>
      </c>
      <c r="AC147">
        <v>2.6175491257688942E-2</v>
      </c>
      <c r="AD147">
        <v>2</v>
      </c>
      <c r="AE147">
        <v>-1.6400000000000006</v>
      </c>
      <c r="AF147">
        <v>9</v>
      </c>
      <c r="AG147">
        <v>3.4400000000000004</v>
      </c>
      <c r="AH147">
        <v>-5.12</v>
      </c>
      <c r="AI147">
        <v>-7.5200000000000014</v>
      </c>
      <c r="AJ147">
        <v>-1.92</v>
      </c>
      <c r="AK147">
        <v>-45</v>
      </c>
      <c r="AL147">
        <v>-34.68</v>
      </c>
      <c r="AM147">
        <v>-19.48</v>
      </c>
      <c r="AN147">
        <v>7.6399999999999988</v>
      </c>
      <c r="AO147">
        <v>1.52</v>
      </c>
      <c r="AP147">
        <v>14</v>
      </c>
      <c r="AQ147">
        <v>3.2979999999999996</v>
      </c>
      <c r="AR147">
        <v>1.2779999999999996</v>
      </c>
      <c r="AS147">
        <v>-15.2</v>
      </c>
      <c r="AT147">
        <v>-3.2979999999999996</v>
      </c>
      <c r="AU147">
        <v>-2.6383750000000004</v>
      </c>
      <c r="AV147">
        <v>0.31806250000000003</v>
      </c>
      <c r="AW147">
        <v>0.26592500000000024</v>
      </c>
      <c r="AX147" t="s">
        <v>312</v>
      </c>
      <c r="AY147">
        <v>7</v>
      </c>
      <c r="AZ147">
        <v>1.6936</v>
      </c>
      <c r="BA147">
        <v>-3.8600000000000012</v>
      </c>
      <c r="BB147">
        <v>-16.77</v>
      </c>
      <c r="BC147">
        <v>-5.00000000000001E-2</v>
      </c>
      <c r="BD147">
        <v>5.6879999999999997</v>
      </c>
      <c r="BE147">
        <v>10.64</v>
      </c>
      <c r="BF147">
        <v>6.0000000000000009</v>
      </c>
      <c r="BG147">
        <v>11</v>
      </c>
      <c r="BH147">
        <v>12</v>
      </c>
      <c r="BI147">
        <v>-4.5200000000000005</v>
      </c>
      <c r="BJ147">
        <v>7</v>
      </c>
      <c r="BK147">
        <v>12.25</v>
      </c>
      <c r="BL147">
        <v>19</v>
      </c>
      <c r="BM147">
        <v>1.8834216370345824E-2</v>
      </c>
      <c r="BN147">
        <v>13</v>
      </c>
      <c r="BO147">
        <v>4.111114625563024E-3</v>
      </c>
      <c r="BP147">
        <v>1</v>
      </c>
      <c r="BQ147">
        <v>-5.2439999999999971</v>
      </c>
      <c r="BR147">
        <v>16</v>
      </c>
      <c r="BS147">
        <v>-1.0399999999999998</v>
      </c>
      <c r="BT147">
        <v>1.6799999999999984</v>
      </c>
      <c r="BU147">
        <v>-2.6399999999999997</v>
      </c>
      <c r="BV147">
        <v>-2.8000000000000003</v>
      </c>
      <c r="BW147">
        <v>-8</v>
      </c>
      <c r="BX147">
        <v>14.039999999999992</v>
      </c>
      <c r="BY147">
        <v>-15.320000000000002</v>
      </c>
      <c r="BZ147">
        <v>-4.5200000000000005</v>
      </c>
      <c r="CA147">
        <v>-2.2000000000000002</v>
      </c>
      <c r="CB147">
        <v>3</v>
      </c>
      <c r="CC147">
        <v>5.5536000000000012</v>
      </c>
      <c r="CD147">
        <v>3.4063200000000005</v>
      </c>
      <c r="CE147">
        <v>29.359999999999992</v>
      </c>
      <c r="CF147">
        <v>0.37019999999999986</v>
      </c>
    </row>
    <row r="148" spans="1:84" x14ac:dyDescent="0.2">
      <c r="A148" s="39">
        <v>43772</v>
      </c>
      <c r="B148" s="22" t="s">
        <v>246</v>
      </c>
      <c r="C148" s="41" t="s">
        <v>285</v>
      </c>
      <c r="D148" s="22" t="s">
        <v>256</v>
      </c>
      <c r="E148">
        <v>7.8</v>
      </c>
      <c r="F148">
        <v>3.6</v>
      </c>
      <c r="G148">
        <v>15.8</v>
      </c>
      <c r="H148">
        <v>3.8</v>
      </c>
      <c r="I148">
        <v>10.5</v>
      </c>
      <c r="J148">
        <v>43.5</v>
      </c>
      <c r="L148" s="1" t="s">
        <v>285</v>
      </c>
      <c r="M148">
        <v>25</v>
      </c>
      <c r="N148">
        <v>-2.7752000000000008</v>
      </c>
      <c r="O148">
        <v>5.0073999999999996</v>
      </c>
      <c r="P148">
        <v>-1.1500000000000012</v>
      </c>
      <c r="Q148">
        <v>0.37000000000000033</v>
      </c>
      <c r="R148">
        <v>-13.328000000000001</v>
      </c>
      <c r="S148">
        <v>-57.120000000000005</v>
      </c>
      <c r="T148">
        <v>-3.92</v>
      </c>
      <c r="U148">
        <v>21</v>
      </c>
      <c r="V148">
        <v>20</v>
      </c>
      <c r="W148">
        <v>-5.04</v>
      </c>
      <c r="X148">
        <v>9</v>
      </c>
      <c r="Y148">
        <v>12.25</v>
      </c>
      <c r="Z148">
        <v>20</v>
      </c>
      <c r="AA148">
        <v>-5.8818242040862376E-2</v>
      </c>
      <c r="AB148">
        <v>7</v>
      </c>
      <c r="AC148">
        <v>4.7430882321975124E-3</v>
      </c>
      <c r="AD148">
        <v>4</v>
      </c>
      <c r="AE148">
        <v>-4.9480000000000004</v>
      </c>
      <c r="AF148">
        <v>18</v>
      </c>
      <c r="AG148">
        <v>0.67999999999999994</v>
      </c>
      <c r="AH148">
        <v>-1.3599999999999981</v>
      </c>
      <c r="AI148">
        <v>-0.88000000000000078</v>
      </c>
      <c r="AJ148">
        <v>-2.6</v>
      </c>
      <c r="AK148">
        <v>-17.120000000000005</v>
      </c>
      <c r="AL148">
        <v>-31.080000000000005</v>
      </c>
      <c r="AM148">
        <v>-1.4399999999999977</v>
      </c>
      <c r="AN148">
        <v>3.5200000000000005</v>
      </c>
      <c r="AO148">
        <v>11.88</v>
      </c>
      <c r="AP148">
        <v>29</v>
      </c>
      <c r="AQ148">
        <v>-7.7826000000000004</v>
      </c>
      <c r="AR148">
        <v>-5.7243399999999998</v>
      </c>
      <c r="AS148">
        <v>-29.640000000000008</v>
      </c>
      <c r="AT148">
        <v>7.7826000000000004</v>
      </c>
      <c r="AU148">
        <v>-1.2969750000000002</v>
      </c>
      <c r="AV148">
        <v>-1.5024875</v>
      </c>
      <c r="AW148">
        <v>1.5286500000000005</v>
      </c>
      <c r="AX148" t="s">
        <v>256</v>
      </c>
      <c r="AY148">
        <v>22</v>
      </c>
      <c r="AZ148">
        <v>-7.652000000000001</v>
      </c>
      <c r="BA148">
        <v>-7.7890000000000015</v>
      </c>
      <c r="BB148">
        <v>-0.15999999999999925</v>
      </c>
      <c r="BC148">
        <v>-2.8600000000000003</v>
      </c>
      <c r="BD148">
        <v>-15.508000000000001</v>
      </c>
      <c r="BE148">
        <v>-80.88</v>
      </c>
      <c r="BF148">
        <v>-6.0400000000000009</v>
      </c>
      <c r="BG148">
        <v>18</v>
      </c>
      <c r="BH148">
        <v>20</v>
      </c>
      <c r="BI148">
        <v>-3.56</v>
      </c>
      <c r="BJ148">
        <v>13</v>
      </c>
      <c r="BK148">
        <v>14.75</v>
      </c>
      <c r="BL148">
        <v>23</v>
      </c>
      <c r="BM148">
        <v>5.882043592723242E-2</v>
      </c>
      <c r="BN148">
        <v>8</v>
      </c>
      <c r="BO148">
        <v>7.723412502438616E-2</v>
      </c>
      <c r="BP148">
        <v>24</v>
      </c>
      <c r="BQ148">
        <v>0.42400000000000232</v>
      </c>
      <c r="BR148">
        <v>4</v>
      </c>
      <c r="BS148">
        <v>4.32</v>
      </c>
      <c r="BT148">
        <v>-9.8000000000000007</v>
      </c>
      <c r="BU148">
        <v>-10.360000000000001</v>
      </c>
      <c r="BV148">
        <v>-0.51999999999999991</v>
      </c>
      <c r="BW148">
        <v>-97.11999999999999</v>
      </c>
      <c r="BX148">
        <v>-95.12</v>
      </c>
      <c r="BY148">
        <v>3.0400000000000005</v>
      </c>
      <c r="BZ148">
        <v>1.0800000000000005</v>
      </c>
      <c r="CA148">
        <v>-6.12</v>
      </c>
      <c r="CB148">
        <v>20</v>
      </c>
      <c r="CC148">
        <v>0.1370000000000009</v>
      </c>
      <c r="CD148">
        <v>-0.73749999999999982</v>
      </c>
      <c r="CE148">
        <v>-98.160000000000011</v>
      </c>
      <c r="CF148">
        <v>-4.5336250000000007</v>
      </c>
    </row>
    <row r="149" spans="1:84" x14ac:dyDescent="0.2">
      <c r="A149" s="39">
        <v>43772</v>
      </c>
      <c r="B149" s="22" t="s">
        <v>246</v>
      </c>
      <c r="C149" s="41" t="s">
        <v>305</v>
      </c>
      <c r="D149" s="22" t="s">
        <v>302</v>
      </c>
      <c r="E149">
        <v>7.8</v>
      </c>
      <c r="F149">
        <v>3.5</v>
      </c>
      <c r="G149">
        <v>0</v>
      </c>
      <c r="H149">
        <f>13.7+4.1+3.5</f>
        <v>21.299999999999997</v>
      </c>
      <c r="I149">
        <v>3</v>
      </c>
      <c r="J149">
        <v>44.5</v>
      </c>
      <c r="L149" s="1" t="s">
        <v>305</v>
      </c>
      <c r="M149">
        <v>1</v>
      </c>
      <c r="N149">
        <v>7.6088000000000022</v>
      </c>
      <c r="O149">
        <v>-4.2296000000000014</v>
      </c>
      <c r="P149">
        <v>2.680000000000001</v>
      </c>
      <c r="Q149">
        <v>-3.4000000000000004</v>
      </c>
      <c r="R149">
        <v>1.3333333333322983E-3</v>
      </c>
      <c r="S149">
        <v>-1.5999999999999979</v>
      </c>
      <c r="T149">
        <v>-1.4400000000000004</v>
      </c>
      <c r="U149">
        <v>8</v>
      </c>
      <c r="V149">
        <v>8.5</v>
      </c>
      <c r="W149">
        <v>0.80000000000000038</v>
      </c>
      <c r="X149">
        <v>31</v>
      </c>
      <c r="Y149">
        <v>29.25</v>
      </c>
      <c r="Z149">
        <v>27</v>
      </c>
      <c r="AA149">
        <v>-2.9471632578081476E-2</v>
      </c>
      <c r="AB149">
        <v>31</v>
      </c>
      <c r="AC149">
        <v>-2.9897145400756163E-3</v>
      </c>
      <c r="AD149">
        <v>27</v>
      </c>
      <c r="AE149">
        <v>5.8520000000000039</v>
      </c>
      <c r="AF149">
        <v>32</v>
      </c>
      <c r="AG149">
        <v>-3.5200000000000005</v>
      </c>
      <c r="AH149">
        <v>4.5999999999999996</v>
      </c>
      <c r="AI149">
        <v>5.0400000000000009</v>
      </c>
      <c r="AJ149">
        <v>2.7199999999999993</v>
      </c>
      <c r="AK149">
        <v>16.120000000000005</v>
      </c>
      <c r="AL149">
        <v>-46.680000000000007</v>
      </c>
      <c r="AM149">
        <v>8.4</v>
      </c>
      <c r="AN149">
        <v>-8.76</v>
      </c>
      <c r="AO149">
        <v>63.160000000000004</v>
      </c>
      <c r="AP149">
        <v>1</v>
      </c>
      <c r="AQ149">
        <v>11.838400000000004</v>
      </c>
      <c r="AR149">
        <v>3.6368266666666673</v>
      </c>
      <c r="AS149">
        <v>-55.080000000000005</v>
      </c>
      <c r="AT149">
        <v>-11.838400000000004</v>
      </c>
      <c r="AU149">
        <v>0.88756666666666661</v>
      </c>
      <c r="AV149">
        <v>-0.99959999999999982</v>
      </c>
      <c r="AW149">
        <v>0.11270000000000036</v>
      </c>
      <c r="AX149" t="s">
        <v>302</v>
      </c>
      <c r="AY149">
        <v>28</v>
      </c>
      <c r="AZ149">
        <v>-5.1511999999999993</v>
      </c>
      <c r="BA149">
        <v>-4.2639999999999985</v>
      </c>
      <c r="BB149">
        <v>0.39999999999999902</v>
      </c>
      <c r="BC149">
        <v>0.12000000000000033</v>
      </c>
      <c r="BD149">
        <v>-5.84</v>
      </c>
      <c r="BE149">
        <v>-17.880000000000006</v>
      </c>
      <c r="BF149">
        <v>2.7199999999999998</v>
      </c>
      <c r="BG149">
        <v>24</v>
      </c>
      <c r="BH149">
        <v>23</v>
      </c>
      <c r="BI149">
        <v>-1.8400000000000003</v>
      </c>
      <c r="BJ149">
        <v>5</v>
      </c>
      <c r="BK149">
        <v>9.75</v>
      </c>
      <c r="BL149">
        <v>1</v>
      </c>
      <c r="BM149">
        <v>7.322773101870142E-2</v>
      </c>
      <c r="BN149">
        <v>12</v>
      </c>
      <c r="BO149">
        <v>-2.7425137223959645E-3</v>
      </c>
      <c r="BP149">
        <v>23</v>
      </c>
      <c r="BQ149">
        <v>-7.903999999999999</v>
      </c>
      <c r="BR149">
        <v>3</v>
      </c>
      <c r="BS149">
        <v>9.4400000000000013</v>
      </c>
      <c r="BT149">
        <v>-0.72000000000000031</v>
      </c>
      <c r="BU149">
        <v>-6.9599999999999991</v>
      </c>
      <c r="BV149">
        <v>0.2</v>
      </c>
      <c r="BW149">
        <v>-21.839999999999996</v>
      </c>
      <c r="BX149">
        <v>-31.8</v>
      </c>
      <c r="BY149">
        <v>4.0399999999999974</v>
      </c>
      <c r="BZ149">
        <v>7.56</v>
      </c>
      <c r="CA149">
        <v>-1.6399999999999995</v>
      </c>
      <c r="CB149">
        <v>22</v>
      </c>
      <c r="CC149">
        <v>-0.88720000000000065</v>
      </c>
      <c r="CD149">
        <v>-6.6240000000000521E-2</v>
      </c>
      <c r="CE149">
        <v>-35.839999999999996</v>
      </c>
      <c r="CF149">
        <v>-2.1118999999999999</v>
      </c>
    </row>
    <row r="150" spans="1:84" x14ac:dyDescent="0.2">
      <c r="A150" s="39">
        <v>43772</v>
      </c>
      <c r="B150" s="22" t="s">
        <v>246</v>
      </c>
      <c r="C150" s="41" t="s">
        <v>276</v>
      </c>
      <c r="D150" s="22" t="s">
        <v>306</v>
      </c>
      <c r="E150">
        <v>11.6</v>
      </c>
      <c r="F150">
        <v>9.3000000000000007</v>
      </c>
      <c r="G150">
        <v>4.2</v>
      </c>
      <c r="H150">
        <v>3.4</v>
      </c>
      <c r="I150">
        <v>-10.5</v>
      </c>
      <c r="J150">
        <v>37</v>
      </c>
      <c r="L150" s="1" t="s">
        <v>276</v>
      </c>
      <c r="M150">
        <v>9</v>
      </c>
      <c r="N150">
        <v>2.2383999999999999</v>
      </c>
      <c r="O150">
        <v>-3.6920000000000002</v>
      </c>
      <c r="P150">
        <v>-0.7200000000000002</v>
      </c>
      <c r="Q150">
        <v>-2.4800000000000004</v>
      </c>
      <c r="R150">
        <v>-4.968</v>
      </c>
      <c r="S150">
        <v>-27.72</v>
      </c>
      <c r="T150">
        <v>-1.52</v>
      </c>
      <c r="U150">
        <v>25</v>
      </c>
      <c r="V150">
        <v>23</v>
      </c>
      <c r="W150">
        <v>-1.2799999999999998</v>
      </c>
      <c r="X150">
        <v>24</v>
      </c>
      <c r="Y150">
        <v>20.75</v>
      </c>
      <c r="Z150">
        <v>25</v>
      </c>
      <c r="AA150">
        <v>-2.7702843592410785E-2</v>
      </c>
      <c r="AB150">
        <v>25</v>
      </c>
      <c r="AC150">
        <v>1.4178125094536198E-2</v>
      </c>
      <c r="AD150">
        <v>5</v>
      </c>
      <c r="AE150">
        <v>-24.352</v>
      </c>
      <c r="AF150">
        <v>28</v>
      </c>
      <c r="AG150">
        <v>-0.79999999999999982</v>
      </c>
      <c r="AH150">
        <v>-2.319999999999999</v>
      </c>
      <c r="AI150">
        <v>-0.96000000000000052</v>
      </c>
      <c r="AJ150">
        <v>0.48000000000000009</v>
      </c>
      <c r="AK150">
        <v>-28.320000000000004</v>
      </c>
      <c r="AL150">
        <v>-32.64</v>
      </c>
      <c r="AM150">
        <v>-3.6799999999999984</v>
      </c>
      <c r="AN150">
        <v>-5.0399999999999991</v>
      </c>
      <c r="AO150">
        <v>13.040000000000001</v>
      </c>
      <c r="AP150">
        <v>8</v>
      </c>
      <c r="AQ150">
        <v>5.9303999999999997</v>
      </c>
      <c r="AR150">
        <v>1.3000799999999999</v>
      </c>
      <c r="AS150">
        <v>-28.96</v>
      </c>
      <c r="AT150">
        <v>-5.9304000000000006</v>
      </c>
      <c r="AU150">
        <v>-1.0577000000000001</v>
      </c>
      <c r="AV150">
        <v>-0.84267499999999973</v>
      </c>
      <c r="AW150">
        <v>-1.1100499999999998</v>
      </c>
      <c r="AX150" t="s">
        <v>306</v>
      </c>
      <c r="AY150">
        <v>22</v>
      </c>
      <c r="AZ150">
        <v>-3.2203999999999993</v>
      </c>
      <c r="BA150">
        <v>3.0400000000000009</v>
      </c>
      <c r="BB150">
        <v>18.119999999999997</v>
      </c>
      <c r="BC150">
        <v>2.68</v>
      </c>
      <c r="BD150">
        <v>-7.0619999999999985</v>
      </c>
      <c r="BE150">
        <v>-13.939999999999998</v>
      </c>
      <c r="BF150">
        <v>-2.57</v>
      </c>
      <c r="BG150">
        <v>12</v>
      </c>
      <c r="BH150">
        <v>12.5</v>
      </c>
      <c r="BI150">
        <v>1.7200000000000002</v>
      </c>
      <c r="BJ150">
        <v>3</v>
      </c>
      <c r="BK150">
        <v>8</v>
      </c>
      <c r="BL150">
        <v>13</v>
      </c>
      <c r="BM150">
        <v>-1.4308428241602745E-2</v>
      </c>
      <c r="BN150">
        <v>2</v>
      </c>
      <c r="BO150">
        <v>4.1108550784361318E-3</v>
      </c>
      <c r="BP150">
        <v>9</v>
      </c>
      <c r="BQ150">
        <v>9.4160000000000004</v>
      </c>
      <c r="BR150">
        <v>8</v>
      </c>
      <c r="BS150">
        <v>-0.23999999999999985</v>
      </c>
      <c r="BT150">
        <v>2.4399999999999991</v>
      </c>
      <c r="BU150">
        <v>-2.9200000000000004</v>
      </c>
      <c r="BV150">
        <v>-0.8</v>
      </c>
      <c r="BW150">
        <v>19.439999999999998</v>
      </c>
      <c r="BX150">
        <v>-1.6400000000000035</v>
      </c>
      <c r="BY150">
        <v>16.080000000000005</v>
      </c>
      <c r="BZ150">
        <v>-0.43999999999999984</v>
      </c>
      <c r="CA150">
        <v>5.44</v>
      </c>
      <c r="CB150">
        <v>27</v>
      </c>
      <c r="CC150">
        <v>-6.2604000000000006</v>
      </c>
      <c r="CD150">
        <v>-3.5764800000000001</v>
      </c>
      <c r="CE150">
        <v>-17.72000000000001</v>
      </c>
      <c r="CF150">
        <v>-0.5752999999999997</v>
      </c>
    </row>
    <row r="151" spans="1:84" x14ac:dyDescent="0.2">
      <c r="A151" s="39">
        <v>43772</v>
      </c>
      <c r="B151" s="22" t="s">
        <v>246</v>
      </c>
      <c r="C151" s="41" t="s">
        <v>301</v>
      </c>
      <c r="D151" s="22" t="s">
        <v>310</v>
      </c>
      <c r="E151">
        <v>20.100000000000001</v>
      </c>
      <c r="F151">
        <v>16.399999999999999</v>
      </c>
      <c r="G151">
        <v>0</v>
      </c>
      <c r="H151">
        <v>7</v>
      </c>
      <c r="I151">
        <v>-3.5</v>
      </c>
      <c r="J151">
        <v>43</v>
      </c>
      <c r="L151" s="1" t="s">
        <v>301</v>
      </c>
      <c r="M151">
        <v>32</v>
      </c>
      <c r="N151">
        <v>-8.0239999999999991</v>
      </c>
      <c r="O151">
        <v>17.251200000000001</v>
      </c>
      <c r="P151">
        <v>55.120000000000005</v>
      </c>
      <c r="Q151">
        <v>0.75999999999999979</v>
      </c>
      <c r="R151">
        <v>-12.208000000000002</v>
      </c>
      <c r="S151">
        <v>-44.84</v>
      </c>
      <c r="T151">
        <v>-1.0400000000000003</v>
      </c>
      <c r="U151">
        <v>32</v>
      </c>
      <c r="V151">
        <v>31.5</v>
      </c>
      <c r="W151">
        <v>5.6</v>
      </c>
      <c r="X151">
        <v>4</v>
      </c>
      <c r="Y151">
        <v>8.5</v>
      </c>
      <c r="Z151">
        <v>4</v>
      </c>
      <c r="AA151">
        <v>-4.5831716221445086E-2</v>
      </c>
      <c r="AB151">
        <v>6</v>
      </c>
      <c r="AC151">
        <v>2.0147274473730589E-2</v>
      </c>
      <c r="AD151">
        <v>17</v>
      </c>
      <c r="AE151">
        <v>-5.492</v>
      </c>
      <c r="AF151">
        <v>7</v>
      </c>
      <c r="AG151">
        <v>-0.36000000000000032</v>
      </c>
      <c r="AH151">
        <v>3.3200000000000003</v>
      </c>
      <c r="AI151">
        <v>3.5199999999999996</v>
      </c>
      <c r="AJ151">
        <v>1.0799999999999998</v>
      </c>
      <c r="AK151">
        <v>1.3199999999999874</v>
      </c>
      <c r="AL151">
        <v>-49.519999999999996</v>
      </c>
      <c r="AM151">
        <v>55.359999999999992</v>
      </c>
      <c r="AN151">
        <v>4.3600000000000003</v>
      </c>
      <c r="AO151">
        <v>-8.879999999999999</v>
      </c>
      <c r="AP151">
        <v>32</v>
      </c>
      <c r="AQ151">
        <v>-25.275200000000002</v>
      </c>
      <c r="AR151">
        <v>-12.672000000000001</v>
      </c>
      <c r="AS151">
        <v>-104.88</v>
      </c>
      <c r="AT151">
        <v>25.275199999999998</v>
      </c>
      <c r="AU151">
        <v>-0.18760000000000007</v>
      </c>
      <c r="AV151">
        <v>-5.1324999999999926E-2</v>
      </c>
      <c r="AW151">
        <v>0.29580000000000012</v>
      </c>
      <c r="AX151" t="s">
        <v>310</v>
      </c>
      <c r="AY151">
        <v>11</v>
      </c>
      <c r="AZ151">
        <v>1.0044000000000017</v>
      </c>
      <c r="BA151">
        <v>0.20800000000000018</v>
      </c>
      <c r="BB151">
        <v>-11.040000000000003</v>
      </c>
      <c r="BC151">
        <v>2.12</v>
      </c>
      <c r="BD151">
        <v>-4.9600000000000026</v>
      </c>
      <c r="BE151">
        <v>-12.679999999999996</v>
      </c>
      <c r="BF151">
        <v>-1.3200000000000012</v>
      </c>
      <c r="BG151">
        <v>3</v>
      </c>
      <c r="BH151">
        <v>3.5</v>
      </c>
      <c r="BI151">
        <v>2.48</v>
      </c>
      <c r="BJ151">
        <v>15</v>
      </c>
      <c r="BK151">
        <v>15.75</v>
      </c>
      <c r="BL151">
        <v>16</v>
      </c>
      <c r="BM151">
        <v>1.4311507272322077E-2</v>
      </c>
      <c r="BN151">
        <v>21</v>
      </c>
      <c r="BO151">
        <v>-9.4933580643614627E-3</v>
      </c>
      <c r="BP151">
        <v>13</v>
      </c>
      <c r="BQ151">
        <v>-2.6120000000000045</v>
      </c>
      <c r="BR151">
        <v>13</v>
      </c>
      <c r="BS151">
        <v>-1.4</v>
      </c>
      <c r="BT151">
        <v>4</v>
      </c>
      <c r="BU151">
        <v>-3.8800000000000012</v>
      </c>
      <c r="BV151">
        <v>-0.83999999999999986</v>
      </c>
      <c r="BW151">
        <v>11.360000000000003</v>
      </c>
      <c r="BX151">
        <v>14.6</v>
      </c>
      <c r="BY151">
        <v>-14.479999999999999</v>
      </c>
      <c r="BZ151">
        <v>-0.59999999999999987</v>
      </c>
      <c r="CA151">
        <v>11.84</v>
      </c>
      <c r="CB151">
        <v>18</v>
      </c>
      <c r="CC151">
        <v>0.79640000000000155</v>
      </c>
      <c r="CD151">
        <v>-0.89512000000000014</v>
      </c>
      <c r="CE151">
        <v>29.08</v>
      </c>
      <c r="CF151">
        <v>-0.39844999999999997</v>
      </c>
    </row>
    <row r="152" spans="1:84" x14ac:dyDescent="0.2">
      <c r="A152" s="39">
        <v>43772</v>
      </c>
      <c r="B152" s="22" t="s">
        <v>246</v>
      </c>
      <c r="C152" s="41" t="s">
        <v>265</v>
      </c>
      <c r="D152" s="22" t="s">
        <v>294</v>
      </c>
      <c r="E152">
        <v>1.6</v>
      </c>
      <c r="F152">
        <v>9.9</v>
      </c>
      <c r="G152">
        <v>1.5</v>
      </c>
      <c r="H152">
        <v>0</v>
      </c>
      <c r="I152">
        <v>5</v>
      </c>
      <c r="J152">
        <v>41</v>
      </c>
      <c r="L152" s="1" t="s">
        <v>265</v>
      </c>
      <c r="M152">
        <v>29</v>
      </c>
      <c r="N152">
        <v>-5.4992000000000019</v>
      </c>
      <c r="O152">
        <v>2.1209999999999996</v>
      </c>
      <c r="P152">
        <v>-11.229999999999997</v>
      </c>
      <c r="Q152">
        <v>3.17</v>
      </c>
      <c r="R152">
        <v>-8.4480000000000022</v>
      </c>
      <c r="S152">
        <v>-27.920000000000005</v>
      </c>
      <c r="T152">
        <v>-2.08</v>
      </c>
      <c r="U152">
        <v>30</v>
      </c>
      <c r="V152">
        <v>29.5</v>
      </c>
      <c r="W152">
        <v>1.92</v>
      </c>
      <c r="X152">
        <v>18</v>
      </c>
      <c r="Y152">
        <v>15.5</v>
      </c>
      <c r="Z152">
        <v>20</v>
      </c>
      <c r="AA152">
        <v>7.7630743629281684E-3</v>
      </c>
      <c r="AB152">
        <v>11</v>
      </c>
      <c r="AC152">
        <v>1.9757048563729838E-3</v>
      </c>
      <c r="AD152">
        <v>20</v>
      </c>
      <c r="AE152">
        <v>-3.4000000000000012</v>
      </c>
      <c r="AF152">
        <v>11</v>
      </c>
      <c r="AG152">
        <v>-1.1199999999999997</v>
      </c>
      <c r="AH152">
        <v>-0.16000000000000086</v>
      </c>
      <c r="AI152">
        <v>-2.88</v>
      </c>
      <c r="AJ152">
        <v>0.83999999999999986</v>
      </c>
      <c r="AK152">
        <v>-55.640000000000008</v>
      </c>
      <c r="AL152">
        <v>-36.519999999999996</v>
      </c>
      <c r="AM152">
        <v>-11.199999999999998</v>
      </c>
      <c r="AN152">
        <v>-2.0800000000000005</v>
      </c>
      <c r="AO152">
        <v>-5.84</v>
      </c>
      <c r="AP152">
        <v>28</v>
      </c>
      <c r="AQ152">
        <v>-7.6202000000000014</v>
      </c>
      <c r="AR152">
        <v>-3.8499400000000006</v>
      </c>
      <c r="AS152">
        <v>-25.32</v>
      </c>
      <c r="AT152">
        <v>7.6202000000000014</v>
      </c>
      <c r="AU152">
        <v>-1.5982750000000003</v>
      </c>
      <c r="AV152">
        <v>-0.82331249999999989</v>
      </c>
      <c r="AW152">
        <v>-1.5564749999999998</v>
      </c>
      <c r="AX152" t="s">
        <v>294</v>
      </c>
      <c r="AY152">
        <v>30</v>
      </c>
      <c r="AZ152">
        <v>1.1888000000000016</v>
      </c>
      <c r="BA152">
        <v>-4.9000000000000012</v>
      </c>
      <c r="BB152">
        <v>-20.319999999999997</v>
      </c>
      <c r="BC152">
        <v>-8.0000000000000071E-2</v>
      </c>
      <c r="BD152">
        <v>4.0699999999999994</v>
      </c>
      <c r="BE152">
        <v>4.5999999999999979</v>
      </c>
      <c r="BF152">
        <v>0.77999999999999936</v>
      </c>
      <c r="BG152">
        <v>31</v>
      </c>
      <c r="BH152">
        <v>28.5</v>
      </c>
      <c r="BI152">
        <v>-0.12000000000000011</v>
      </c>
      <c r="BJ152">
        <v>4</v>
      </c>
      <c r="BK152">
        <v>8.75</v>
      </c>
      <c r="BL152">
        <v>3</v>
      </c>
      <c r="BM152">
        <v>3.2704413136276547E-2</v>
      </c>
      <c r="BN152">
        <v>4</v>
      </c>
      <c r="BO152">
        <v>2.4607405123617577E-2</v>
      </c>
      <c r="BP152">
        <v>14</v>
      </c>
      <c r="BQ152">
        <v>4.0839999999999987</v>
      </c>
      <c r="BR152">
        <v>14</v>
      </c>
      <c r="BS152">
        <v>2.8800000000000003</v>
      </c>
      <c r="BT152">
        <v>1.1200000000000003</v>
      </c>
      <c r="BU152">
        <v>1.9600000000000002</v>
      </c>
      <c r="BV152">
        <v>-0.72</v>
      </c>
      <c r="BW152">
        <v>-13.2</v>
      </c>
      <c r="BX152">
        <v>-10.999999999999995</v>
      </c>
      <c r="BY152">
        <v>-21.92</v>
      </c>
      <c r="BZ152">
        <v>8.4</v>
      </c>
      <c r="CA152">
        <v>11.320000000000002</v>
      </c>
      <c r="CB152">
        <v>5</v>
      </c>
      <c r="CC152">
        <v>6.0888000000000027</v>
      </c>
      <c r="CD152">
        <v>3.5017600000000009</v>
      </c>
      <c r="CE152">
        <v>10.920000000000007</v>
      </c>
      <c r="CF152">
        <v>-9.0150000000000036E-2</v>
      </c>
    </row>
    <row r="153" spans="1:84" x14ac:dyDescent="0.2">
      <c r="A153" s="39">
        <v>43772</v>
      </c>
      <c r="B153" s="22" t="s">
        <v>246</v>
      </c>
      <c r="C153" s="41" t="s">
        <v>281</v>
      </c>
      <c r="D153" s="22" t="s">
        <v>278</v>
      </c>
      <c r="E153">
        <v>13.2</v>
      </c>
      <c r="F153">
        <v>17.100000000000001</v>
      </c>
      <c r="G153">
        <v>9.6</v>
      </c>
      <c r="H153">
        <v>8.6999999999999993</v>
      </c>
      <c r="I153">
        <v>-4</v>
      </c>
      <c r="J153">
        <v>39</v>
      </c>
      <c r="K153" t="s">
        <v>110</v>
      </c>
      <c r="L153" s="1" t="s">
        <v>281</v>
      </c>
      <c r="M153">
        <v>12</v>
      </c>
      <c r="N153">
        <v>1.7999999999999994</v>
      </c>
      <c r="O153">
        <v>8.041599999999999</v>
      </c>
      <c r="P153">
        <v>34.559999999999995</v>
      </c>
      <c r="Q153">
        <v>0.19999999999999993</v>
      </c>
      <c r="R153">
        <v>5.4639999999999986</v>
      </c>
      <c r="S153">
        <v>32.559999999999995</v>
      </c>
      <c r="T153">
        <v>0.5199999999999998</v>
      </c>
      <c r="U153">
        <v>4</v>
      </c>
      <c r="V153">
        <v>7</v>
      </c>
      <c r="W153">
        <v>-1.1599999999999999</v>
      </c>
      <c r="X153">
        <v>30</v>
      </c>
      <c r="Y153">
        <v>29</v>
      </c>
      <c r="Z153">
        <v>31</v>
      </c>
      <c r="AA153">
        <v>-3.312043740286718E-2</v>
      </c>
      <c r="AB153">
        <v>30</v>
      </c>
      <c r="AC153">
        <v>-6.7575523219360152E-3</v>
      </c>
      <c r="AD153">
        <v>24</v>
      </c>
      <c r="AE153">
        <v>3.0360000000000014</v>
      </c>
      <c r="AF153">
        <v>31</v>
      </c>
      <c r="AG153">
        <v>-1.9199999999999995</v>
      </c>
      <c r="AH153">
        <v>1.1200000000000003</v>
      </c>
      <c r="AI153">
        <v>6</v>
      </c>
      <c r="AJ153">
        <v>-1.7599999999999998</v>
      </c>
      <c r="AK153">
        <v>46.800000000000004</v>
      </c>
      <c r="AL153">
        <v>19.2</v>
      </c>
      <c r="AM153">
        <v>32.160000000000004</v>
      </c>
      <c r="AN153">
        <v>-4.8800000000000008</v>
      </c>
      <c r="AO153">
        <v>0.32000000000000028</v>
      </c>
      <c r="AP153">
        <v>26</v>
      </c>
      <c r="AQ153">
        <v>-6.2416</v>
      </c>
      <c r="AR153">
        <v>-2.5680000000000001</v>
      </c>
      <c r="AS153">
        <v>-12.960000000000004</v>
      </c>
      <c r="AT153">
        <v>6.2416</v>
      </c>
      <c r="AU153">
        <v>2.0331999999999999</v>
      </c>
      <c r="AV153">
        <v>-0.6213166666666663</v>
      </c>
      <c r="AW153">
        <v>0.62826666666666708</v>
      </c>
      <c r="AX153" t="s">
        <v>278</v>
      </c>
      <c r="AY153">
        <v>15</v>
      </c>
      <c r="AZ153">
        <v>-7.2151999999999985</v>
      </c>
      <c r="BA153">
        <v>2.14</v>
      </c>
      <c r="BB153">
        <v>19.159999999999997</v>
      </c>
      <c r="BC153">
        <v>2</v>
      </c>
      <c r="BD153">
        <v>-11.331999999999999</v>
      </c>
      <c r="BE153">
        <v>-46.519999999999996</v>
      </c>
      <c r="BF153">
        <v>-1.5200000000000005</v>
      </c>
      <c r="BG153">
        <v>9</v>
      </c>
      <c r="BH153">
        <v>9.5</v>
      </c>
      <c r="BI153">
        <v>1.8399999999999999</v>
      </c>
      <c r="BJ153">
        <v>12</v>
      </c>
      <c r="BK153">
        <v>14.5</v>
      </c>
      <c r="BL153">
        <v>25</v>
      </c>
      <c r="BM153">
        <v>-6.532277197427239E-3</v>
      </c>
      <c r="BN153">
        <v>6</v>
      </c>
      <c r="BO153">
        <v>2.701052365360207E-2</v>
      </c>
      <c r="BP153">
        <v>10</v>
      </c>
      <c r="BQ153">
        <v>6.3399999999999963</v>
      </c>
      <c r="BR153">
        <v>17</v>
      </c>
      <c r="BS153">
        <v>2.4800000000000004</v>
      </c>
      <c r="BT153">
        <v>1.4799999999999998</v>
      </c>
      <c r="BU153">
        <v>-5.92</v>
      </c>
      <c r="BV153">
        <v>1.52</v>
      </c>
      <c r="BW153">
        <v>-36.040000000000006</v>
      </c>
      <c r="BX153">
        <v>-47.760000000000005</v>
      </c>
      <c r="BY153">
        <v>18.639999999999997</v>
      </c>
      <c r="BZ153">
        <v>-3</v>
      </c>
      <c r="CA153">
        <v>-3.9200000000000004</v>
      </c>
      <c r="CB153">
        <v>31</v>
      </c>
      <c r="CC153">
        <v>-9.3551999999999982</v>
      </c>
      <c r="CD153">
        <v>-4.7794400000000001</v>
      </c>
      <c r="CE153">
        <v>-66.400000000000006</v>
      </c>
      <c r="CF153">
        <v>-1.8708999999999996</v>
      </c>
    </row>
    <row r="154" spans="1:84" x14ac:dyDescent="0.2">
      <c r="A154" s="39">
        <v>43772</v>
      </c>
      <c r="B154" s="22" t="s">
        <v>246</v>
      </c>
      <c r="C154" s="41" t="s">
        <v>291</v>
      </c>
      <c r="D154" s="22" t="s">
        <v>296</v>
      </c>
      <c r="E154">
        <v>18</v>
      </c>
      <c r="F154">
        <v>11.3</v>
      </c>
      <c r="G154">
        <v>8.5</v>
      </c>
      <c r="H154">
        <f>13.8+11.2</f>
        <v>25</v>
      </c>
      <c r="I154">
        <v>-6.5</v>
      </c>
      <c r="J154">
        <v>48.5</v>
      </c>
      <c r="K154" t="s">
        <v>109</v>
      </c>
      <c r="L154" s="1" t="s">
        <v>291</v>
      </c>
      <c r="M154">
        <v>10</v>
      </c>
      <c r="N154">
        <v>2.0679999999999996</v>
      </c>
      <c r="O154">
        <v>2.1609999999999996</v>
      </c>
      <c r="P154">
        <v>28.12</v>
      </c>
      <c r="Q154">
        <v>-0.8999999999999998</v>
      </c>
      <c r="R154">
        <v>9.5180000000000007</v>
      </c>
      <c r="S154">
        <v>60.517499999999998</v>
      </c>
      <c r="T154">
        <v>4.5375000000000005</v>
      </c>
      <c r="U154">
        <v>11</v>
      </c>
      <c r="V154">
        <v>9.5</v>
      </c>
      <c r="W154">
        <v>0.5600000000000005</v>
      </c>
      <c r="X154">
        <v>26</v>
      </c>
      <c r="Y154">
        <v>22.25</v>
      </c>
      <c r="Z154">
        <v>18</v>
      </c>
      <c r="AA154">
        <v>5.0204316853718955E-2</v>
      </c>
      <c r="AB154">
        <v>32</v>
      </c>
      <c r="AC154">
        <v>-2.5271908380889385E-2</v>
      </c>
      <c r="AD154">
        <v>16</v>
      </c>
      <c r="AE154">
        <v>11.395999999999997</v>
      </c>
      <c r="AF154">
        <v>23</v>
      </c>
      <c r="AG154">
        <v>-2.72</v>
      </c>
      <c r="AH154">
        <v>3.3599999999999981</v>
      </c>
      <c r="AI154">
        <v>2.9999999999999996</v>
      </c>
      <c r="AJ154">
        <v>-0.51999999999999991</v>
      </c>
      <c r="AK154">
        <v>71.16</v>
      </c>
      <c r="AL154">
        <v>37.88000000000001</v>
      </c>
      <c r="AM154">
        <v>26.480000000000008</v>
      </c>
      <c r="AN154">
        <v>1.7199999999999995</v>
      </c>
      <c r="AO154">
        <v>5.08</v>
      </c>
      <c r="AP154">
        <v>18</v>
      </c>
      <c r="AQ154">
        <v>-9.2999999999999972E-2</v>
      </c>
      <c r="AR154">
        <v>1.2366999999999999</v>
      </c>
      <c r="AS154">
        <v>11.400000000000002</v>
      </c>
      <c r="AT154">
        <v>9.2999999999999972E-2</v>
      </c>
      <c r="AU154">
        <v>2.0683750000000001</v>
      </c>
      <c r="AV154">
        <v>-0.77348750000000011</v>
      </c>
      <c r="AW154">
        <v>-0.89929999999999999</v>
      </c>
      <c r="AX154" t="s">
        <v>296</v>
      </c>
      <c r="AY154">
        <v>5</v>
      </c>
      <c r="AZ154">
        <v>-0.12639999999999904</v>
      </c>
      <c r="BA154">
        <v>-1.0770000000000004</v>
      </c>
      <c r="BB154">
        <v>3.6800000000000006</v>
      </c>
      <c r="BC154">
        <v>-0.70000000000000007</v>
      </c>
      <c r="BD154">
        <v>-4.338000000000001</v>
      </c>
      <c r="BE154">
        <v>-17.979999999999997</v>
      </c>
      <c r="BF154">
        <v>-3.45</v>
      </c>
      <c r="BG154">
        <v>2</v>
      </c>
      <c r="BH154">
        <v>3</v>
      </c>
      <c r="BI154">
        <v>5.4799999999999995</v>
      </c>
      <c r="BJ154">
        <v>29</v>
      </c>
      <c r="BK154">
        <v>24</v>
      </c>
      <c r="BL154">
        <v>11</v>
      </c>
      <c r="BM154">
        <v>-8.7501011985524846E-2</v>
      </c>
      <c r="BN154">
        <v>27</v>
      </c>
      <c r="BO154">
        <v>6.3520324490133288E-3</v>
      </c>
      <c r="BP154">
        <v>31</v>
      </c>
      <c r="BQ154">
        <v>-11.528</v>
      </c>
      <c r="BR154">
        <v>27</v>
      </c>
      <c r="BS154">
        <v>4.4400000000000004</v>
      </c>
      <c r="BT154">
        <v>0.4</v>
      </c>
      <c r="BU154">
        <v>-0.47999999999999987</v>
      </c>
      <c r="BV154">
        <v>3.04</v>
      </c>
      <c r="BW154">
        <v>-2.1599999999999908</v>
      </c>
      <c r="BX154">
        <v>-7.2800000000000065</v>
      </c>
      <c r="BY154">
        <v>11.16</v>
      </c>
      <c r="BZ154">
        <v>-6.5200000000000005</v>
      </c>
      <c r="CA154">
        <v>0.4799999999999997</v>
      </c>
      <c r="CB154">
        <v>17</v>
      </c>
      <c r="CC154">
        <v>0.95060000000000144</v>
      </c>
      <c r="CD154">
        <v>-0.35437999999999992</v>
      </c>
      <c r="CE154">
        <v>-18.440000000000005</v>
      </c>
      <c r="CF154">
        <v>-0.64767500000000011</v>
      </c>
    </row>
    <row r="155" spans="1:84" x14ac:dyDescent="0.2">
      <c r="A155" s="39">
        <v>43772</v>
      </c>
      <c r="B155" t="s">
        <v>246</v>
      </c>
      <c r="C155" s="41" t="s">
        <v>278</v>
      </c>
      <c r="D155" t="s">
        <v>281</v>
      </c>
      <c r="E155">
        <v>17.3</v>
      </c>
      <c r="F155">
        <v>0</v>
      </c>
      <c r="G155">
        <v>0</v>
      </c>
      <c r="H155">
        <v>25.4</v>
      </c>
      <c r="I155">
        <v>4</v>
      </c>
      <c r="J155">
        <v>39</v>
      </c>
      <c r="K155" t="s">
        <v>110</v>
      </c>
      <c r="L155" s="1" t="s">
        <v>278</v>
      </c>
      <c r="M155">
        <v>30</v>
      </c>
      <c r="N155">
        <v>-5.6088000000000013</v>
      </c>
      <c r="O155">
        <v>-1.0600000000000009</v>
      </c>
      <c r="P155">
        <v>11.24</v>
      </c>
      <c r="Q155">
        <v>-0.43999999999999995</v>
      </c>
      <c r="R155">
        <v>-4.2000000000000011</v>
      </c>
      <c r="S155">
        <v>-16.040000000000006</v>
      </c>
      <c r="T155">
        <v>-1.48</v>
      </c>
      <c r="U155">
        <v>10</v>
      </c>
      <c r="V155">
        <v>9</v>
      </c>
      <c r="W155">
        <v>2.4800000000000004</v>
      </c>
      <c r="X155">
        <v>22</v>
      </c>
      <c r="Y155">
        <v>20.25</v>
      </c>
      <c r="Z155">
        <v>15</v>
      </c>
      <c r="AA155">
        <v>2.918042563169443E-3</v>
      </c>
      <c r="AB155">
        <v>19</v>
      </c>
      <c r="AC155">
        <v>1.2308372957031254E-2</v>
      </c>
      <c r="AD155">
        <v>28</v>
      </c>
      <c r="AE155">
        <v>-0.48799999999999955</v>
      </c>
      <c r="AF155">
        <v>19</v>
      </c>
      <c r="AG155">
        <v>1.8399999999999999</v>
      </c>
      <c r="AH155">
        <v>-4.6399999999999988</v>
      </c>
      <c r="AI155">
        <v>-3.1199999999999997</v>
      </c>
      <c r="AJ155">
        <v>-1.1199999999999999</v>
      </c>
      <c r="AK155">
        <v>-39.56</v>
      </c>
      <c r="AL155">
        <v>-35.120000000000005</v>
      </c>
      <c r="AM155">
        <v>9.879999999999999</v>
      </c>
      <c r="AN155">
        <v>-3.4799999999999995</v>
      </c>
      <c r="AO155">
        <v>-10.84</v>
      </c>
      <c r="AP155">
        <v>24</v>
      </c>
      <c r="AQ155">
        <v>-4.5488</v>
      </c>
      <c r="AR155">
        <v>-1.4317599999999999</v>
      </c>
      <c r="AS155">
        <v>-45</v>
      </c>
      <c r="AT155">
        <v>4.5488</v>
      </c>
      <c r="AU155">
        <v>-1.4286000000000005</v>
      </c>
      <c r="AV155">
        <v>-0.6213166666666663</v>
      </c>
      <c r="AW155">
        <v>-1.8708999999999996</v>
      </c>
      <c r="AX155" t="s">
        <v>281</v>
      </c>
      <c r="AY155">
        <v>11</v>
      </c>
      <c r="AZ155">
        <v>2.5848000000000004</v>
      </c>
      <c r="BA155">
        <v>1.0680000000000012</v>
      </c>
      <c r="BB155">
        <v>21.159999999999997</v>
      </c>
      <c r="BC155">
        <v>-1.9200000000000002</v>
      </c>
      <c r="BD155">
        <v>2.0933333333333346</v>
      </c>
      <c r="BE155">
        <v>-8.2099999999999955</v>
      </c>
      <c r="BF155">
        <v>-1.82</v>
      </c>
      <c r="BG155">
        <v>29</v>
      </c>
      <c r="BH155">
        <v>27</v>
      </c>
      <c r="BI155">
        <v>-1.9199999999999995</v>
      </c>
      <c r="BJ155">
        <v>9</v>
      </c>
      <c r="BK155">
        <v>12.5</v>
      </c>
      <c r="BL155">
        <v>8</v>
      </c>
      <c r="BM155">
        <v>1.5885996202414092E-2</v>
      </c>
      <c r="BN155">
        <v>16</v>
      </c>
      <c r="BO155">
        <v>2.0890214540285675E-2</v>
      </c>
      <c r="BP155">
        <v>7</v>
      </c>
      <c r="BQ155">
        <v>8.0520000000000014</v>
      </c>
      <c r="BR155">
        <v>19</v>
      </c>
      <c r="BS155">
        <v>-1.1599999999999999</v>
      </c>
      <c r="BT155">
        <v>-2.0399999999999978</v>
      </c>
      <c r="BU155">
        <v>3.3199999999999994</v>
      </c>
      <c r="BV155">
        <v>-0.91999999999999993</v>
      </c>
      <c r="BW155">
        <v>32.160000000000004</v>
      </c>
      <c r="BX155">
        <v>9.7199999999999989</v>
      </c>
      <c r="BY155">
        <v>20.680000000000003</v>
      </c>
      <c r="BZ155">
        <v>4.4000000000000004</v>
      </c>
      <c r="CA155">
        <v>-2.6399999999999997</v>
      </c>
      <c r="CB155">
        <v>14</v>
      </c>
      <c r="CC155">
        <v>1.5167999999999995</v>
      </c>
      <c r="CD155">
        <v>0.40162666666666647</v>
      </c>
      <c r="CE155">
        <v>-10.960000000000004</v>
      </c>
      <c r="CF155">
        <v>0.62826666666666708</v>
      </c>
    </row>
    <row r="156" spans="1:84" x14ac:dyDescent="0.2">
      <c r="A156" s="39">
        <v>43772</v>
      </c>
      <c r="B156" s="22" t="s">
        <v>246</v>
      </c>
      <c r="C156" s="41" t="s">
        <v>299</v>
      </c>
      <c r="D156" s="22" t="s">
        <v>303</v>
      </c>
      <c r="E156">
        <v>26.2</v>
      </c>
      <c r="F156" s="14">
        <v>29.6</v>
      </c>
      <c r="G156">
        <v>5.9</v>
      </c>
      <c r="H156">
        <f>8.6+2.3+1.3</f>
        <v>12.2</v>
      </c>
      <c r="I156">
        <v>2.5</v>
      </c>
      <c r="J156">
        <v>51.5</v>
      </c>
      <c r="L156" s="1" t="s">
        <v>299</v>
      </c>
      <c r="M156">
        <v>5</v>
      </c>
      <c r="N156">
        <v>4.1111999999999984</v>
      </c>
      <c r="O156">
        <v>-5.8559999999999999</v>
      </c>
      <c r="P156">
        <v>-9.2500000000000018</v>
      </c>
      <c r="Q156">
        <v>9.0000000000000135E-2</v>
      </c>
      <c r="R156">
        <v>15.211</v>
      </c>
      <c r="S156">
        <v>66.56</v>
      </c>
      <c r="T156">
        <v>1.8400000000000005</v>
      </c>
      <c r="U156">
        <v>23</v>
      </c>
      <c r="V156">
        <v>22.5</v>
      </c>
      <c r="W156">
        <v>-2.12</v>
      </c>
      <c r="X156">
        <v>5</v>
      </c>
      <c r="Y156">
        <v>9</v>
      </c>
      <c r="Z156">
        <v>6</v>
      </c>
      <c r="AA156">
        <v>2.8759616369712516E-2</v>
      </c>
      <c r="AB156">
        <v>12</v>
      </c>
      <c r="AC156">
        <v>1.0972093802472802E-2</v>
      </c>
      <c r="AD156">
        <v>9</v>
      </c>
      <c r="AE156">
        <v>7.5119999999999987</v>
      </c>
      <c r="AF156">
        <v>9</v>
      </c>
      <c r="AG156">
        <v>-0.96000000000000019</v>
      </c>
      <c r="AH156">
        <v>0.32000000000000173</v>
      </c>
      <c r="AI156">
        <v>3.28</v>
      </c>
      <c r="AJ156">
        <v>0.48000000000000009</v>
      </c>
      <c r="AK156">
        <v>45.240000000000009</v>
      </c>
      <c r="AL156">
        <v>62.160000000000004</v>
      </c>
      <c r="AM156">
        <v>-9.64</v>
      </c>
      <c r="AN156">
        <v>-0.40000000000000008</v>
      </c>
      <c r="AO156">
        <v>-6.8800000000000008</v>
      </c>
      <c r="AP156">
        <v>3</v>
      </c>
      <c r="AQ156">
        <v>9.9671999999999983</v>
      </c>
      <c r="AR156">
        <v>6.7924399999999991</v>
      </c>
      <c r="AS156">
        <v>71.800000000000011</v>
      </c>
      <c r="AT156">
        <v>-9.9671999999999983</v>
      </c>
      <c r="AU156">
        <v>2.1332749999999994</v>
      </c>
      <c r="AV156">
        <v>1.6730499999999997</v>
      </c>
      <c r="AW156">
        <v>2.1371999999999995</v>
      </c>
      <c r="AX156" t="s">
        <v>303</v>
      </c>
      <c r="AY156">
        <v>13</v>
      </c>
      <c r="AZ156">
        <v>6.2551999999999994</v>
      </c>
      <c r="BA156">
        <v>-2.36</v>
      </c>
      <c r="BB156">
        <v>-27.199999999999996</v>
      </c>
      <c r="BC156">
        <v>3.9999999999999813E-2</v>
      </c>
      <c r="BD156">
        <v>8.3360000000000003</v>
      </c>
      <c r="BE156">
        <v>30.24</v>
      </c>
      <c r="BF156">
        <v>3.3200000000000003</v>
      </c>
      <c r="BG156">
        <v>27</v>
      </c>
      <c r="BH156">
        <v>25.5</v>
      </c>
      <c r="BI156">
        <v>-3.2400000000000007</v>
      </c>
      <c r="BJ156">
        <v>10</v>
      </c>
      <c r="BK156">
        <v>13.25</v>
      </c>
      <c r="BL156">
        <v>12</v>
      </c>
      <c r="BM156">
        <v>-2.123157984726597E-2</v>
      </c>
      <c r="BN156">
        <v>11</v>
      </c>
      <c r="BO156">
        <v>-1.2894092188901538E-2</v>
      </c>
      <c r="BP156">
        <v>12</v>
      </c>
      <c r="BQ156">
        <v>5.5399999999999974</v>
      </c>
      <c r="BR156">
        <v>18</v>
      </c>
      <c r="BS156">
        <v>-1.2799999999999998</v>
      </c>
      <c r="BT156">
        <v>-2.7200000000000015</v>
      </c>
      <c r="BU156">
        <v>2.96</v>
      </c>
      <c r="BV156">
        <v>-0.99999999999999978</v>
      </c>
      <c r="BW156">
        <v>13.880000000000006</v>
      </c>
      <c r="BX156">
        <v>40.679999999999993</v>
      </c>
      <c r="BY156">
        <v>-24.6</v>
      </c>
      <c r="BZ156">
        <v>-1.24</v>
      </c>
      <c r="CA156">
        <v>-0.95999999999999908</v>
      </c>
      <c r="CB156">
        <v>3</v>
      </c>
      <c r="CC156">
        <v>8.6151999999999997</v>
      </c>
      <c r="CD156">
        <v>4.0982399999999997</v>
      </c>
      <c r="CE156">
        <v>65.28</v>
      </c>
      <c r="CF156">
        <v>1.2088999999999999</v>
      </c>
    </row>
    <row r="157" spans="1:84" x14ac:dyDescent="0.2">
      <c r="A157" s="39">
        <v>43772</v>
      </c>
      <c r="B157" s="22" t="s">
        <v>246</v>
      </c>
      <c r="C157" s="41" t="s">
        <v>300</v>
      </c>
      <c r="D157" s="22" t="s">
        <v>287</v>
      </c>
      <c r="E157">
        <v>11.1</v>
      </c>
      <c r="F157">
        <v>7.4</v>
      </c>
      <c r="G157">
        <v>4.0999999999999996</v>
      </c>
      <c r="H157">
        <v>5.7</v>
      </c>
      <c r="I157">
        <v>-4</v>
      </c>
      <c r="J157">
        <v>50</v>
      </c>
      <c r="K157" t="s">
        <v>110</v>
      </c>
      <c r="L157" s="1" t="s">
        <v>300</v>
      </c>
      <c r="M157">
        <v>2</v>
      </c>
      <c r="N157">
        <v>5.4895999999999985</v>
      </c>
      <c r="O157">
        <v>14.080000000000002</v>
      </c>
      <c r="P157">
        <v>1.0000000000000018</v>
      </c>
      <c r="Q157">
        <v>3.84</v>
      </c>
      <c r="R157">
        <v>-3.4999999999999996</v>
      </c>
      <c r="S157">
        <v>10.119999999999997</v>
      </c>
      <c r="T157">
        <v>-2.64</v>
      </c>
      <c r="U157">
        <v>31</v>
      </c>
      <c r="V157">
        <v>31</v>
      </c>
      <c r="W157">
        <v>-1.2</v>
      </c>
      <c r="X157">
        <v>16</v>
      </c>
      <c r="Y157">
        <v>14.5</v>
      </c>
      <c r="Z157">
        <v>17</v>
      </c>
      <c r="AA157">
        <v>-2.2978140316701735E-2</v>
      </c>
      <c r="AB157">
        <v>14</v>
      </c>
      <c r="AC157">
        <v>-1.9656028919711754E-2</v>
      </c>
      <c r="AD157">
        <v>3</v>
      </c>
      <c r="AE157">
        <v>13.559999999999999</v>
      </c>
      <c r="AF157">
        <v>24</v>
      </c>
      <c r="AG157">
        <v>-5.0000000000000009</v>
      </c>
      <c r="AH157">
        <v>-7.9999999999998295E-2</v>
      </c>
      <c r="AI157">
        <v>6.3199999999999994</v>
      </c>
      <c r="AJ157">
        <v>-0.27999999999999997</v>
      </c>
      <c r="AK157">
        <v>53.879999999999995</v>
      </c>
      <c r="AL157">
        <v>61.52</v>
      </c>
      <c r="AM157">
        <v>-3.5200000000000018</v>
      </c>
      <c r="AN157">
        <v>-3</v>
      </c>
      <c r="AO157">
        <v>-1.1200000000000003</v>
      </c>
      <c r="AP157">
        <v>30</v>
      </c>
      <c r="AQ157">
        <v>-8.5904000000000025</v>
      </c>
      <c r="AR157">
        <v>-6.6420800000000009</v>
      </c>
      <c r="AS157">
        <v>65.040000000000006</v>
      </c>
      <c r="AT157">
        <v>8.5904000000000025</v>
      </c>
      <c r="AU157">
        <v>2.1637000000000004</v>
      </c>
      <c r="AV157">
        <v>0.30745625000000021</v>
      </c>
      <c r="AW157">
        <v>1.0215625000000004</v>
      </c>
      <c r="AX157" t="s">
        <v>287</v>
      </c>
      <c r="AY157">
        <v>26</v>
      </c>
      <c r="AZ157">
        <v>-1.7331999999999996</v>
      </c>
      <c r="BA157">
        <v>7.1360000000000001</v>
      </c>
      <c r="BB157">
        <v>38</v>
      </c>
      <c r="BC157">
        <v>-1.3999999999999995</v>
      </c>
      <c r="BD157">
        <v>-9.8159999999999989</v>
      </c>
      <c r="BE157">
        <v>-30.839999999999996</v>
      </c>
      <c r="BF157">
        <v>-5.88</v>
      </c>
      <c r="BG157">
        <v>3</v>
      </c>
      <c r="BH157">
        <v>3.5</v>
      </c>
      <c r="BI157">
        <v>-1.5999999999999999</v>
      </c>
      <c r="BJ157">
        <v>25</v>
      </c>
      <c r="BK157">
        <v>21.5</v>
      </c>
      <c r="BL157">
        <v>20</v>
      </c>
      <c r="BM157">
        <v>-1.6180654778187108E-2</v>
      </c>
      <c r="BN157">
        <v>25</v>
      </c>
      <c r="BO157">
        <v>1.0760578244582613E-2</v>
      </c>
      <c r="BP157">
        <v>18</v>
      </c>
      <c r="BQ157">
        <v>-3.3840000000000003</v>
      </c>
      <c r="BR157">
        <v>23</v>
      </c>
      <c r="BS157">
        <v>0.12000000000000029</v>
      </c>
      <c r="BT157">
        <v>-0.16000000000000086</v>
      </c>
      <c r="BU157">
        <v>-0.52000000000000024</v>
      </c>
      <c r="BV157">
        <v>0.48000000000000009</v>
      </c>
      <c r="BW157">
        <v>36.04</v>
      </c>
      <c r="BX157">
        <v>-3.960000000000008</v>
      </c>
      <c r="BY157">
        <v>39.24</v>
      </c>
      <c r="BZ157">
        <v>0.91999999999999993</v>
      </c>
      <c r="CA157">
        <v>-0.16000000000000014</v>
      </c>
      <c r="CB157">
        <v>30</v>
      </c>
      <c r="CC157">
        <v>-8.8691999999999993</v>
      </c>
      <c r="CD157">
        <v>-5.8778399999999991</v>
      </c>
      <c r="CE157">
        <v>-43.20000000000001</v>
      </c>
      <c r="CF157">
        <v>-0.40665000000000001</v>
      </c>
    </row>
    <row r="158" spans="1:84" x14ac:dyDescent="0.2">
      <c r="A158" s="39">
        <v>43772</v>
      </c>
      <c r="B158" s="22" t="s">
        <v>246</v>
      </c>
      <c r="C158" s="41" t="s">
        <v>311</v>
      </c>
      <c r="D158" s="22" t="s">
        <v>297</v>
      </c>
      <c r="E158">
        <v>19.399999999999999</v>
      </c>
      <c r="F158">
        <v>9.1999999999999993</v>
      </c>
      <c r="G158">
        <v>1.8</v>
      </c>
      <c r="H158">
        <v>12.6</v>
      </c>
      <c r="I158">
        <v>1</v>
      </c>
      <c r="J158">
        <v>46</v>
      </c>
      <c r="K158" t="s">
        <v>109</v>
      </c>
      <c r="L158" s="1" t="s">
        <v>311</v>
      </c>
      <c r="M158">
        <v>4</v>
      </c>
      <c r="N158">
        <v>4.6983999999999995</v>
      </c>
      <c r="O158">
        <v>-4.1759999999999993</v>
      </c>
      <c r="P158">
        <v>18.239999999999995</v>
      </c>
      <c r="Q158">
        <v>-2.04</v>
      </c>
      <c r="R158">
        <v>12.208000000000002</v>
      </c>
      <c r="S158">
        <v>42.2</v>
      </c>
      <c r="T158">
        <v>4.84</v>
      </c>
      <c r="U158">
        <v>22</v>
      </c>
      <c r="V158">
        <v>20.5</v>
      </c>
      <c r="W158">
        <v>-1.3999999999999997</v>
      </c>
      <c r="X158">
        <v>20</v>
      </c>
      <c r="Y158">
        <v>17.5</v>
      </c>
      <c r="Z158">
        <v>1</v>
      </c>
      <c r="AA158">
        <v>-9.1439768124593479E-3</v>
      </c>
      <c r="AB158">
        <v>24</v>
      </c>
      <c r="AC158">
        <v>-5.3759730560500622E-3</v>
      </c>
      <c r="AD158">
        <v>15</v>
      </c>
      <c r="AE158">
        <v>-0.36799999999999927</v>
      </c>
      <c r="AF158">
        <v>30</v>
      </c>
      <c r="AG158">
        <v>-0.92000000000000015</v>
      </c>
      <c r="AH158">
        <v>3.8000000000000016</v>
      </c>
      <c r="AI158">
        <v>1.3599999999999994</v>
      </c>
      <c r="AJ158">
        <v>0.28000000000000008</v>
      </c>
      <c r="AK158">
        <v>39</v>
      </c>
      <c r="AL158">
        <v>13.959999999999997</v>
      </c>
      <c r="AM158">
        <v>9.879999999999999</v>
      </c>
      <c r="AN158">
        <v>-3.2800000000000002</v>
      </c>
      <c r="AO158">
        <v>18.440000000000005</v>
      </c>
      <c r="AP158">
        <v>5</v>
      </c>
      <c r="AQ158">
        <v>8.8743999999999996</v>
      </c>
      <c r="AR158">
        <v>5.4692799999999995</v>
      </c>
      <c r="AS158">
        <v>4.0799999999999983</v>
      </c>
      <c r="AT158">
        <v>-8.8743999999999978</v>
      </c>
      <c r="AU158">
        <v>1.6763000000000003</v>
      </c>
      <c r="AV158">
        <v>0.33815000000000017</v>
      </c>
      <c r="AW158">
        <v>0.51790000000000036</v>
      </c>
      <c r="AX158" t="s">
        <v>297</v>
      </c>
      <c r="AY158">
        <v>20</v>
      </c>
      <c r="AZ158">
        <v>3.5640000000000001</v>
      </c>
      <c r="BA158">
        <v>-4.0799999999999947E-2</v>
      </c>
      <c r="BB158">
        <v>-3.1199999999999992</v>
      </c>
      <c r="BC158">
        <v>0.4</v>
      </c>
      <c r="BD158">
        <v>-0.13600000000000012</v>
      </c>
      <c r="BE158">
        <v>2.9599999999999937</v>
      </c>
      <c r="BF158">
        <v>-0.76000000000000034</v>
      </c>
      <c r="BG158">
        <v>26</v>
      </c>
      <c r="BH158">
        <v>25</v>
      </c>
      <c r="BI158">
        <v>-0.43999999999999967</v>
      </c>
      <c r="BJ158">
        <v>20</v>
      </c>
      <c r="BK158">
        <v>16.75</v>
      </c>
      <c r="BL158">
        <v>21</v>
      </c>
      <c r="BM158">
        <v>3.4689955699712102E-2</v>
      </c>
      <c r="BN158">
        <v>5</v>
      </c>
      <c r="BO158">
        <v>-6.0570354333695673E-3</v>
      </c>
      <c r="BP158">
        <v>32</v>
      </c>
      <c r="BQ158">
        <v>-3.8760000000000003</v>
      </c>
      <c r="BR158">
        <v>9</v>
      </c>
      <c r="BS158">
        <v>-1.0799999999999996</v>
      </c>
      <c r="BT158">
        <v>-2.72</v>
      </c>
      <c r="BU158">
        <v>1.4000000000000004</v>
      </c>
      <c r="BV158">
        <v>0.60000000000000009</v>
      </c>
      <c r="BW158">
        <v>15.879999999999995</v>
      </c>
      <c r="BX158">
        <v>11.879999999999995</v>
      </c>
      <c r="BY158">
        <v>-4.599999999999997</v>
      </c>
      <c r="BZ158">
        <v>4.4799999999999995</v>
      </c>
      <c r="CA158">
        <v>4.1199999999999992</v>
      </c>
      <c r="CB158">
        <v>8</v>
      </c>
      <c r="CC158">
        <v>3.6047999999999996</v>
      </c>
      <c r="CD158">
        <v>0.70599999999999985</v>
      </c>
      <c r="CE158">
        <v>16.479999999999993</v>
      </c>
      <c r="CF158">
        <v>0.15839999999999999</v>
      </c>
    </row>
    <row r="159" spans="1:84" x14ac:dyDescent="0.2">
      <c r="A159" s="39">
        <v>43772</v>
      </c>
      <c r="B159" s="28" t="s">
        <v>246</v>
      </c>
      <c r="C159" s="41" t="s">
        <v>289</v>
      </c>
      <c r="D159" s="28" t="s">
        <v>309</v>
      </c>
      <c r="E159" s="3">
        <v>18.600000000000001</v>
      </c>
      <c r="F159" s="3">
        <v>13</v>
      </c>
      <c r="G159" s="3">
        <v>10.199999999999999</v>
      </c>
      <c r="H159" s="3">
        <f>11.2+3.6+2.1</f>
        <v>16.899999999999999</v>
      </c>
      <c r="I159" s="3">
        <v>1</v>
      </c>
      <c r="J159" s="3">
        <v>39.5</v>
      </c>
      <c r="K159" s="3" t="s">
        <v>110</v>
      </c>
      <c r="L159" s="1" t="s">
        <v>289</v>
      </c>
      <c r="M159">
        <v>18</v>
      </c>
      <c r="N159">
        <v>-0.36960000000000015</v>
      </c>
      <c r="O159">
        <v>-4.863999999999999</v>
      </c>
      <c r="P159">
        <v>2.5200000000000031</v>
      </c>
      <c r="Q159">
        <v>-1.9200000000000002</v>
      </c>
      <c r="R159">
        <v>3.5640000000000009</v>
      </c>
      <c r="S159">
        <v>-3.4800000000000058</v>
      </c>
      <c r="T159">
        <v>-0.75999999999999979</v>
      </c>
      <c r="U159">
        <v>19</v>
      </c>
      <c r="V159">
        <v>19.5</v>
      </c>
      <c r="W159">
        <v>1.8800000000000003</v>
      </c>
      <c r="X159">
        <v>3</v>
      </c>
      <c r="Y159">
        <v>7.75</v>
      </c>
      <c r="Z159">
        <v>4</v>
      </c>
      <c r="AA159">
        <v>8.230597285490307E-2</v>
      </c>
      <c r="AB159">
        <v>8</v>
      </c>
      <c r="AC159">
        <v>-1.688074856093446E-2</v>
      </c>
      <c r="AD159">
        <v>13</v>
      </c>
      <c r="AE159">
        <v>3.9639999999999986</v>
      </c>
      <c r="AF159">
        <v>6</v>
      </c>
      <c r="AG159">
        <v>-0.72000000000000008</v>
      </c>
      <c r="AH159">
        <v>2.680000000000001</v>
      </c>
      <c r="AI159">
        <v>0.4</v>
      </c>
      <c r="AJ159">
        <v>8.0000000000000071E-2</v>
      </c>
      <c r="AK159">
        <v>-3.6799999999999953</v>
      </c>
      <c r="AL159">
        <v>-21.439999999999998</v>
      </c>
      <c r="AM159">
        <v>9.9999999999999964</v>
      </c>
      <c r="AN159">
        <v>5.5600000000000005</v>
      </c>
      <c r="AO159">
        <v>2.2000000000000002</v>
      </c>
      <c r="AP159">
        <v>9</v>
      </c>
      <c r="AQ159">
        <v>4.4943999999999988</v>
      </c>
      <c r="AR159">
        <v>3.0708799999999998</v>
      </c>
      <c r="AS159">
        <v>-31.439999999999994</v>
      </c>
      <c r="AT159">
        <v>-4.4943999999999988</v>
      </c>
      <c r="AU159">
        <v>-0.12369999999999989</v>
      </c>
      <c r="AV159">
        <v>-1.1319416666666666</v>
      </c>
      <c r="AW159">
        <v>-0.97729999999999984</v>
      </c>
      <c r="AX159" t="s">
        <v>309</v>
      </c>
      <c r="AY159">
        <v>31</v>
      </c>
      <c r="AZ159">
        <v>-3.9739999999999993</v>
      </c>
      <c r="BA159">
        <v>-5.0319999999999991</v>
      </c>
      <c r="BB159">
        <v>-8.92</v>
      </c>
      <c r="BC159">
        <v>-0.11999999999999983</v>
      </c>
      <c r="BD159">
        <v>0.19333333333333202</v>
      </c>
      <c r="BE159">
        <v>-13.399999999999999</v>
      </c>
      <c r="BF159">
        <v>-1.1200000000000001</v>
      </c>
      <c r="BG159">
        <v>30</v>
      </c>
      <c r="BH159">
        <v>27.5</v>
      </c>
      <c r="BI159">
        <v>-1.44</v>
      </c>
      <c r="BJ159">
        <v>1</v>
      </c>
      <c r="BK159">
        <v>5.25</v>
      </c>
      <c r="BL159">
        <v>2</v>
      </c>
      <c r="BM159">
        <v>8.9486215052522758E-2</v>
      </c>
      <c r="BN159">
        <v>1</v>
      </c>
      <c r="BO159">
        <v>4.8317468704985933E-2</v>
      </c>
      <c r="BP159">
        <v>16</v>
      </c>
      <c r="BQ159">
        <v>-3.1200000000000032</v>
      </c>
      <c r="BR159">
        <v>2</v>
      </c>
      <c r="BS159">
        <v>6.6800000000000015</v>
      </c>
      <c r="BT159">
        <v>-3.9999999999999147E-2</v>
      </c>
      <c r="BU159">
        <v>-2.2400000000000002</v>
      </c>
      <c r="BV159">
        <v>-1.2399999999999998</v>
      </c>
      <c r="BW159">
        <v>-36.000000000000014</v>
      </c>
      <c r="BX159">
        <v>-23.360000000000003</v>
      </c>
      <c r="BY159">
        <v>-11.520000000000001</v>
      </c>
      <c r="BZ159">
        <v>3.12</v>
      </c>
      <c r="CA159">
        <v>-4.24</v>
      </c>
      <c r="CB159">
        <v>16</v>
      </c>
      <c r="CC159">
        <v>1.0579999999999998</v>
      </c>
      <c r="CD159">
        <v>1.759866666666666</v>
      </c>
      <c r="CE159">
        <v>-11.840000000000002</v>
      </c>
      <c r="CF159">
        <v>-1.2865833333333332</v>
      </c>
    </row>
    <row r="160" spans="1:84" x14ac:dyDescent="0.2">
      <c r="A160" s="39">
        <v>43772</v>
      </c>
      <c r="B160" s="22" t="s">
        <v>246</v>
      </c>
      <c r="C160" s="41" t="s">
        <v>297</v>
      </c>
      <c r="D160" s="22" t="s">
        <v>311</v>
      </c>
      <c r="E160">
        <v>7.2</v>
      </c>
      <c r="F160">
        <v>5.2</v>
      </c>
      <c r="G160">
        <v>13</v>
      </c>
      <c r="H160">
        <v>9.5</v>
      </c>
      <c r="I160">
        <v>-1</v>
      </c>
      <c r="J160">
        <v>46</v>
      </c>
      <c r="K160" t="s">
        <v>109</v>
      </c>
      <c r="L160" s="4" t="s">
        <v>297</v>
      </c>
      <c r="M160" s="3">
        <v>13</v>
      </c>
      <c r="N160" s="3">
        <v>1.6976000000000013</v>
      </c>
      <c r="O160">
        <v>1.2114000000000011</v>
      </c>
      <c r="P160">
        <v>49.009999999999991</v>
      </c>
      <c r="Q160">
        <v>-1.5899999999999999</v>
      </c>
      <c r="R160">
        <v>4.9400000000000004</v>
      </c>
      <c r="S160">
        <v>22.640000000000008</v>
      </c>
      <c r="T160">
        <v>1.92</v>
      </c>
      <c r="U160">
        <v>27</v>
      </c>
      <c r="V160">
        <v>27</v>
      </c>
      <c r="W160">
        <v>-1.0799999999999996</v>
      </c>
      <c r="X160">
        <v>7</v>
      </c>
      <c r="Y160">
        <v>11.25</v>
      </c>
      <c r="Z160">
        <v>7</v>
      </c>
      <c r="AA160">
        <v>5.2463964242660165E-2</v>
      </c>
      <c r="AB160">
        <v>17</v>
      </c>
      <c r="AC160">
        <v>2.3827813112807295E-3</v>
      </c>
      <c r="AD160">
        <v>18</v>
      </c>
      <c r="AE160">
        <v>-13.884</v>
      </c>
      <c r="AF160">
        <v>3</v>
      </c>
      <c r="AG160">
        <v>-0.43999999999999967</v>
      </c>
      <c r="AH160">
        <v>6.2799999999999985</v>
      </c>
      <c r="AI160">
        <v>0.63999999999999946</v>
      </c>
      <c r="AJ160">
        <v>-0.44000000000000006</v>
      </c>
      <c r="AK160">
        <v>59.919999999999995</v>
      </c>
      <c r="AL160">
        <v>10.640000000000009</v>
      </c>
      <c r="AM160">
        <v>44.239999999999995</v>
      </c>
      <c r="AN160">
        <v>0.95999999999999963</v>
      </c>
      <c r="AO160">
        <v>4.08</v>
      </c>
      <c r="AP160">
        <v>15</v>
      </c>
      <c r="AQ160">
        <v>0.48620000000000019</v>
      </c>
      <c r="AR160">
        <v>0.72181999999999968</v>
      </c>
      <c r="AS160">
        <v>-33.599999999999987</v>
      </c>
      <c r="AT160">
        <v>-0.48620000000000019</v>
      </c>
      <c r="AU160">
        <v>1.2811250000000003</v>
      </c>
      <c r="AV160">
        <v>0.33815000000000017</v>
      </c>
      <c r="AW160">
        <v>0.15839999999999999</v>
      </c>
      <c r="AX160" t="s">
        <v>311</v>
      </c>
      <c r="AY160">
        <v>6</v>
      </c>
      <c r="AZ160">
        <v>4.975200000000001</v>
      </c>
      <c r="BA160">
        <v>-4.4560000000000004</v>
      </c>
      <c r="BB160">
        <v>-27.119999999999997</v>
      </c>
      <c r="BC160">
        <v>0.56000000000000005</v>
      </c>
      <c r="BD160">
        <v>4.0240000000000027</v>
      </c>
      <c r="BE160">
        <v>9.8799999999999955</v>
      </c>
      <c r="BF160">
        <v>0.19999999999999923</v>
      </c>
      <c r="BG160">
        <v>22</v>
      </c>
      <c r="BH160">
        <v>21.5</v>
      </c>
      <c r="BI160">
        <v>-0.92000000000000015</v>
      </c>
      <c r="BJ160">
        <v>27</v>
      </c>
      <c r="BK160">
        <v>22.75</v>
      </c>
      <c r="BL160">
        <v>31</v>
      </c>
      <c r="BM160">
        <v>3.9547142809869262E-3</v>
      </c>
      <c r="BN160">
        <v>30</v>
      </c>
      <c r="BO160">
        <v>-1.8775390776615147E-2</v>
      </c>
      <c r="BP160">
        <v>2</v>
      </c>
      <c r="BQ160">
        <v>-1.3640000000000043</v>
      </c>
      <c r="BR160">
        <v>28</v>
      </c>
      <c r="BS160">
        <v>-1.3999999999999997</v>
      </c>
      <c r="BT160">
        <v>-3.6</v>
      </c>
      <c r="BU160">
        <v>1.9200000000000004</v>
      </c>
      <c r="BV160">
        <v>-0.96</v>
      </c>
      <c r="BW160">
        <v>-16.720000000000006</v>
      </c>
      <c r="BX160">
        <v>22.880000000000006</v>
      </c>
      <c r="BY160">
        <v>-27.32</v>
      </c>
      <c r="BZ160">
        <v>-6.8800000000000008</v>
      </c>
      <c r="CA160">
        <v>-5.4</v>
      </c>
      <c r="CB160">
        <v>2</v>
      </c>
      <c r="CC160">
        <v>9.4312000000000022</v>
      </c>
      <c r="CD160">
        <v>4.0278400000000012</v>
      </c>
      <c r="CE160">
        <v>50.2</v>
      </c>
      <c r="CF160">
        <v>0.51790000000000036</v>
      </c>
    </row>
    <row r="161" spans="1:84" x14ac:dyDescent="0.2">
      <c r="A161" s="39">
        <v>43772</v>
      </c>
      <c r="B161" s="28" t="s">
        <v>246</v>
      </c>
      <c r="C161" s="41" t="s">
        <v>288</v>
      </c>
      <c r="D161" s="28" t="s">
        <v>312</v>
      </c>
      <c r="E161" s="3">
        <v>29.5</v>
      </c>
      <c r="F161" s="3">
        <v>13.3</v>
      </c>
      <c r="G161" s="3">
        <v>1.5</v>
      </c>
      <c r="H161" s="3">
        <v>14.4</v>
      </c>
      <c r="I161" s="3">
        <v>5.5</v>
      </c>
      <c r="J161" s="3">
        <v>46</v>
      </c>
      <c r="K161" s="3"/>
      <c r="L161" s="1" t="s">
        <v>288</v>
      </c>
      <c r="M161">
        <v>16</v>
      </c>
      <c r="N161">
        <v>0.60000000000000175</v>
      </c>
      <c r="O161">
        <v>-5.9759999999999982</v>
      </c>
      <c r="P161">
        <v>-33.01</v>
      </c>
      <c r="Q161">
        <v>-1.1499999999999999</v>
      </c>
      <c r="R161">
        <v>-1.2169999999999999</v>
      </c>
      <c r="S161">
        <v>9.5599999999999969</v>
      </c>
      <c r="T161">
        <v>1.8000000000000003</v>
      </c>
      <c r="U161">
        <v>15</v>
      </c>
      <c r="V161">
        <v>14.5</v>
      </c>
      <c r="W161">
        <v>3.08</v>
      </c>
      <c r="X161">
        <v>29</v>
      </c>
      <c r="Y161">
        <v>25</v>
      </c>
      <c r="Z161">
        <v>26</v>
      </c>
      <c r="AA161">
        <v>-4.3275666234810696E-2</v>
      </c>
      <c r="AB161">
        <v>23</v>
      </c>
      <c r="AC161">
        <v>-1.4420400380535653E-2</v>
      </c>
      <c r="AD161">
        <v>25</v>
      </c>
      <c r="AE161">
        <v>-5.7760000000000016</v>
      </c>
      <c r="AF161">
        <v>26</v>
      </c>
      <c r="AG161">
        <v>-0.95999999999999963</v>
      </c>
      <c r="AH161">
        <v>-5.4799999999999995</v>
      </c>
      <c r="AI161">
        <v>-0.32000000000000028</v>
      </c>
      <c r="AJ161">
        <v>1.3199999999999998</v>
      </c>
      <c r="AK161">
        <v>-27.559999999999992</v>
      </c>
      <c r="AL161">
        <v>6.4000000000000057</v>
      </c>
      <c r="AM161">
        <v>-33.92</v>
      </c>
      <c r="AN161">
        <v>-5.08</v>
      </c>
      <c r="AO161">
        <v>5.0400000000000009</v>
      </c>
      <c r="AP161">
        <v>7</v>
      </c>
      <c r="AQ161">
        <v>6.5759999999999996</v>
      </c>
      <c r="AR161">
        <v>2.8645999999999994</v>
      </c>
      <c r="AS161">
        <v>40.320000000000007</v>
      </c>
      <c r="AT161">
        <v>-6.5759999999999996</v>
      </c>
      <c r="AU161">
        <v>-0.83412499999999967</v>
      </c>
      <c r="AV161">
        <v>3.4750000000000336E-2</v>
      </c>
      <c r="AW161">
        <v>-0.71259999999999957</v>
      </c>
      <c r="AX161" t="s">
        <v>312</v>
      </c>
      <c r="AY161">
        <v>7</v>
      </c>
      <c r="AZ161">
        <v>1.8528000000000007</v>
      </c>
      <c r="BA161">
        <v>-3.4839999999999987</v>
      </c>
      <c r="BB161">
        <v>-11.080000000000002</v>
      </c>
      <c r="BC161">
        <v>-0.15999999999999995</v>
      </c>
      <c r="BD161">
        <v>5.8879999999999999</v>
      </c>
      <c r="BE161">
        <v>14.479999999999993</v>
      </c>
      <c r="BF161">
        <v>5.8800000000000008</v>
      </c>
      <c r="BG161">
        <v>11</v>
      </c>
      <c r="BH161">
        <v>12</v>
      </c>
      <c r="BI161">
        <v>-3.2</v>
      </c>
      <c r="BJ161">
        <v>7</v>
      </c>
      <c r="BK161">
        <v>12.25</v>
      </c>
      <c r="BL161">
        <v>19</v>
      </c>
      <c r="BM161">
        <v>1.6317244017244749E-2</v>
      </c>
      <c r="BN161">
        <v>13</v>
      </c>
      <c r="BO161">
        <v>-6.6993142915921424E-3</v>
      </c>
      <c r="BP161">
        <v>1</v>
      </c>
      <c r="BQ161">
        <v>-13.960000000000003</v>
      </c>
      <c r="BR161">
        <v>16</v>
      </c>
      <c r="BS161">
        <v>-1.9199999999999995</v>
      </c>
      <c r="BT161">
        <v>1.2</v>
      </c>
      <c r="BU161">
        <v>-0.47999999999999987</v>
      </c>
      <c r="BV161">
        <v>-1.9599999999999997</v>
      </c>
      <c r="BW161">
        <v>3.5600000000000023</v>
      </c>
      <c r="BX161">
        <v>22.999999999999993</v>
      </c>
      <c r="BY161">
        <v>-11.2</v>
      </c>
      <c r="BZ161">
        <v>-4.24</v>
      </c>
      <c r="CA161">
        <v>-3.9999999999999991</v>
      </c>
      <c r="CB161">
        <v>6</v>
      </c>
      <c r="CC161">
        <v>5.3367999999999984</v>
      </c>
      <c r="CD161">
        <v>3.2901599999999993</v>
      </c>
      <c r="CE161">
        <v>34.199999999999989</v>
      </c>
      <c r="CF161">
        <v>0.78210000000000024</v>
      </c>
    </row>
    <row r="162" spans="1:84" x14ac:dyDescent="0.2">
      <c r="A162" s="39">
        <v>43772</v>
      </c>
      <c r="B162" s="22" t="s">
        <v>246</v>
      </c>
      <c r="C162" s="41" t="s">
        <v>303</v>
      </c>
      <c r="D162" s="22" t="s">
        <v>299</v>
      </c>
      <c r="E162">
        <v>7.8</v>
      </c>
      <c r="F162">
        <v>17.399999999999999</v>
      </c>
      <c r="G162">
        <v>5.4</v>
      </c>
      <c r="H162">
        <f>7.3+7.2+2.7</f>
        <v>17.2</v>
      </c>
      <c r="I162">
        <v>-2.5</v>
      </c>
      <c r="J162">
        <v>51.5</v>
      </c>
      <c r="L162" s="4" t="s">
        <v>303</v>
      </c>
      <c r="M162" s="3">
        <v>22</v>
      </c>
      <c r="N162" s="3">
        <v>-1.8191999999999982</v>
      </c>
      <c r="O162">
        <v>2.1189999999999998</v>
      </c>
      <c r="P162">
        <v>29.98</v>
      </c>
      <c r="Q162">
        <v>-0.69</v>
      </c>
      <c r="R162">
        <v>0.2889999999999997</v>
      </c>
      <c r="S162">
        <v>-31.130000000000006</v>
      </c>
      <c r="T162">
        <v>-3.4599999999999995</v>
      </c>
      <c r="U162">
        <v>19</v>
      </c>
      <c r="V162">
        <v>19.5</v>
      </c>
      <c r="W162">
        <v>-1.2799999999999998</v>
      </c>
      <c r="X162">
        <v>19</v>
      </c>
      <c r="Y162">
        <v>17.25</v>
      </c>
      <c r="Z162">
        <v>14</v>
      </c>
      <c r="AA162">
        <v>-7.2629886826685919E-2</v>
      </c>
      <c r="AB162">
        <v>21</v>
      </c>
      <c r="AC162">
        <v>-3.0891204484768741E-2</v>
      </c>
      <c r="AD162">
        <v>32</v>
      </c>
      <c r="AE162">
        <v>9.5279999999999969</v>
      </c>
      <c r="AF162">
        <v>2</v>
      </c>
      <c r="AG162">
        <v>-3.2400000000000007</v>
      </c>
      <c r="AH162">
        <v>0.60000000000000142</v>
      </c>
      <c r="AI162">
        <v>1.5599999999999994</v>
      </c>
      <c r="AJ162">
        <v>0.40000000000000008</v>
      </c>
      <c r="AK162">
        <v>35.440000000000012</v>
      </c>
      <c r="AL162">
        <v>-9.4799999999999951</v>
      </c>
      <c r="AM162">
        <v>38.64</v>
      </c>
      <c r="AN162">
        <v>14.919999999999998</v>
      </c>
      <c r="AO162">
        <v>-8.64</v>
      </c>
      <c r="AP162">
        <v>22</v>
      </c>
      <c r="AQ162">
        <v>-3.9381999999999984</v>
      </c>
      <c r="AR162">
        <v>-1.3655399999999998</v>
      </c>
      <c r="AS162">
        <v>-48.12</v>
      </c>
      <c r="AT162">
        <v>3.9381999999999979</v>
      </c>
      <c r="AU162">
        <v>-5.1399999999999946E-2</v>
      </c>
      <c r="AV162">
        <v>1.6730499999999997</v>
      </c>
      <c r="AW162">
        <v>1.2088999999999999</v>
      </c>
      <c r="AX162" t="s">
        <v>299</v>
      </c>
      <c r="AY162">
        <v>3</v>
      </c>
      <c r="AZ162">
        <v>4.4336000000000011</v>
      </c>
      <c r="BA162">
        <v>8.5479999999999983</v>
      </c>
      <c r="BB162">
        <v>22.439999999999998</v>
      </c>
      <c r="BC162">
        <v>-0.11999999999999988</v>
      </c>
      <c r="BD162">
        <v>3.9159999999999999</v>
      </c>
      <c r="BE162">
        <v>15.839999999999995</v>
      </c>
      <c r="BF162">
        <v>1.7199999999999993</v>
      </c>
      <c r="BG162">
        <v>12</v>
      </c>
      <c r="BH162">
        <v>12.5</v>
      </c>
      <c r="BI162">
        <v>-0.96000000000000019</v>
      </c>
      <c r="BJ162">
        <v>24</v>
      </c>
      <c r="BK162">
        <v>21</v>
      </c>
      <c r="BL162">
        <v>26</v>
      </c>
      <c r="BM162">
        <v>-4.8465809089449693E-3</v>
      </c>
      <c r="BN162">
        <v>23</v>
      </c>
      <c r="BO162">
        <v>-2.3910628779315567E-2</v>
      </c>
      <c r="BP162">
        <v>5</v>
      </c>
      <c r="BQ162">
        <v>-2.9920000000000044</v>
      </c>
      <c r="BR162">
        <v>30</v>
      </c>
      <c r="BS162">
        <v>-2.12</v>
      </c>
      <c r="BT162">
        <v>5.8799999999999981</v>
      </c>
      <c r="BU162">
        <v>5.8400000000000007</v>
      </c>
      <c r="BV162">
        <v>-0.36</v>
      </c>
      <c r="BW162">
        <v>57.919999999999995</v>
      </c>
      <c r="BX162">
        <v>30.240000000000002</v>
      </c>
      <c r="BY162">
        <v>22.32</v>
      </c>
      <c r="BZ162">
        <v>1.3599999999999999</v>
      </c>
      <c r="CA162">
        <v>4.0000000000000009</v>
      </c>
      <c r="CB162">
        <v>26</v>
      </c>
      <c r="CC162">
        <v>-4.1143999999999981</v>
      </c>
      <c r="CD162">
        <v>-2.6040799999999988</v>
      </c>
      <c r="CE162">
        <v>7.9200000000000017</v>
      </c>
      <c r="CF162">
        <v>2.1371999999999995</v>
      </c>
    </row>
    <row r="163" spans="1:84" x14ac:dyDescent="0.2">
      <c r="A163" s="39">
        <v>43772</v>
      </c>
      <c r="B163" s="22" t="s">
        <v>246</v>
      </c>
      <c r="C163" s="41" t="s">
        <v>287</v>
      </c>
      <c r="D163" s="22" t="s">
        <v>300</v>
      </c>
      <c r="E163">
        <v>7</v>
      </c>
      <c r="F163">
        <v>17.3</v>
      </c>
      <c r="G163">
        <v>0</v>
      </c>
      <c r="H163">
        <v>15.4</v>
      </c>
      <c r="I163" s="3">
        <v>4</v>
      </c>
      <c r="J163" s="3">
        <v>50</v>
      </c>
      <c r="K163" t="s">
        <v>110</v>
      </c>
      <c r="L163" s="1" t="s">
        <v>287</v>
      </c>
      <c r="M163">
        <v>15</v>
      </c>
      <c r="N163">
        <v>1.5479999999999998</v>
      </c>
      <c r="O163">
        <v>5.9829999999999988</v>
      </c>
      <c r="P163">
        <v>-38.369999999999997</v>
      </c>
      <c r="Q163">
        <v>3.54</v>
      </c>
      <c r="R163">
        <v>-2.2380000000000004</v>
      </c>
      <c r="S163">
        <v>7.9900000000000038</v>
      </c>
      <c r="T163">
        <v>0.7000000000000004</v>
      </c>
      <c r="U163">
        <v>4</v>
      </c>
      <c r="V163">
        <v>7</v>
      </c>
      <c r="W163">
        <v>0.12000000000000029</v>
      </c>
      <c r="X163">
        <v>10</v>
      </c>
      <c r="Y163">
        <v>12.75</v>
      </c>
      <c r="Z163">
        <v>24</v>
      </c>
      <c r="AA163">
        <v>8.5172136087458775E-3</v>
      </c>
      <c r="AB163">
        <v>12</v>
      </c>
      <c r="AC163">
        <v>-4.7836355183798508E-2</v>
      </c>
      <c r="AD163">
        <v>7</v>
      </c>
      <c r="AE163">
        <v>-5.0839999999999979</v>
      </c>
      <c r="AF163">
        <v>8</v>
      </c>
      <c r="AG163">
        <v>-1.5999999999999999</v>
      </c>
      <c r="AH163">
        <v>-5.9199999999999973</v>
      </c>
      <c r="AI163">
        <v>-8.0000000000000432E-2</v>
      </c>
      <c r="AJ163">
        <v>0.32000000000000006</v>
      </c>
      <c r="AK163">
        <v>-17.160000000000004</v>
      </c>
      <c r="AL163">
        <v>39.72</v>
      </c>
      <c r="AM163">
        <v>-41.080000000000005</v>
      </c>
      <c r="AN163">
        <v>-1.44</v>
      </c>
      <c r="AO163">
        <v>-14.36</v>
      </c>
      <c r="AP163">
        <v>23</v>
      </c>
      <c r="AQ163">
        <v>-4.4349999999999987</v>
      </c>
      <c r="AR163">
        <v>-3.1294999999999997</v>
      </c>
      <c r="AS163">
        <v>80.800000000000011</v>
      </c>
      <c r="AT163">
        <v>4.4349999999999987</v>
      </c>
      <c r="AU163">
        <v>0.71662499999999962</v>
      </c>
      <c r="AV163">
        <v>0.30745625000000021</v>
      </c>
      <c r="AW163">
        <v>-0.40665000000000001</v>
      </c>
      <c r="AX163" t="s">
        <v>300</v>
      </c>
      <c r="AY163">
        <v>21</v>
      </c>
      <c r="AZ163">
        <v>0.752000000000001</v>
      </c>
      <c r="BA163">
        <v>-0.65600000000000014</v>
      </c>
      <c r="BB163">
        <v>1.0799999999999981</v>
      </c>
      <c r="BC163">
        <v>-0.92</v>
      </c>
      <c r="BD163">
        <v>8.0765000000000011</v>
      </c>
      <c r="BE163">
        <v>41.890000000000008</v>
      </c>
      <c r="BF163">
        <v>2.0750000000000006</v>
      </c>
      <c r="BG163">
        <v>6</v>
      </c>
      <c r="BH163">
        <v>5</v>
      </c>
      <c r="BI163">
        <v>-5.0000000000000009</v>
      </c>
      <c r="BJ163">
        <v>29</v>
      </c>
      <c r="BK163">
        <v>24</v>
      </c>
      <c r="BL163">
        <v>17</v>
      </c>
      <c r="BM163">
        <v>-3.241910566433133E-2</v>
      </c>
      <c r="BN163">
        <v>23</v>
      </c>
      <c r="BO163">
        <v>-5.0046623695844828E-3</v>
      </c>
      <c r="BP163">
        <v>27</v>
      </c>
      <c r="BQ163">
        <v>-7.3000000000000025</v>
      </c>
      <c r="BR163">
        <v>29</v>
      </c>
      <c r="BS163">
        <v>-1.2</v>
      </c>
      <c r="BT163">
        <v>-1.8399999999999976</v>
      </c>
      <c r="BU163">
        <v>1.4800000000000004</v>
      </c>
      <c r="BV163">
        <v>-1.9600000000000002</v>
      </c>
      <c r="BW163">
        <v>22.519999999999992</v>
      </c>
      <c r="BX163">
        <v>23.48</v>
      </c>
      <c r="BY163">
        <v>2.4799999999999995</v>
      </c>
      <c r="BZ163">
        <v>-2.4800000000000004</v>
      </c>
      <c r="CA163">
        <v>-0.95999999999999974</v>
      </c>
      <c r="CB163">
        <v>15</v>
      </c>
      <c r="CC163">
        <v>1.4080000000000013</v>
      </c>
      <c r="CD163">
        <v>2.0937000000000001</v>
      </c>
      <c r="CE163">
        <v>21</v>
      </c>
      <c r="CF163">
        <v>1.0215625000000004</v>
      </c>
    </row>
    <row r="164" spans="1:84" x14ac:dyDescent="0.2">
      <c r="A164" s="39">
        <v>43772</v>
      </c>
      <c r="B164" s="22" t="s">
        <v>246</v>
      </c>
      <c r="C164" s="41" t="s">
        <v>293</v>
      </c>
      <c r="D164" s="22" t="s">
        <v>298</v>
      </c>
      <c r="E164" s="14">
        <v>24.2</v>
      </c>
      <c r="F164">
        <v>15.7</v>
      </c>
      <c r="G164">
        <v>6.3</v>
      </c>
      <c r="H164">
        <v>15.5</v>
      </c>
      <c r="I164">
        <v>3.5</v>
      </c>
      <c r="J164">
        <v>42.5</v>
      </c>
      <c r="L164" s="1" t="s">
        <v>293</v>
      </c>
      <c r="M164">
        <v>11</v>
      </c>
      <c r="N164">
        <v>1.9520000000000004</v>
      </c>
      <c r="O164">
        <v>-9.1999999999999993</v>
      </c>
      <c r="P164">
        <v>-27.759999999999998</v>
      </c>
      <c r="Q164">
        <v>1.04</v>
      </c>
      <c r="R164">
        <v>4.1719999999999997</v>
      </c>
      <c r="S164">
        <v>9.68</v>
      </c>
      <c r="T164">
        <v>0.96</v>
      </c>
      <c r="U164">
        <v>13</v>
      </c>
      <c r="V164">
        <v>12</v>
      </c>
      <c r="W164">
        <v>-7.4399999999999995</v>
      </c>
      <c r="X164">
        <v>16</v>
      </c>
      <c r="Y164">
        <v>14.5</v>
      </c>
      <c r="Z164">
        <v>12</v>
      </c>
      <c r="AA164">
        <v>-2.6449883368263864E-2</v>
      </c>
      <c r="AB164">
        <v>10</v>
      </c>
      <c r="AC164">
        <v>9.7003088577328721E-3</v>
      </c>
      <c r="AD164">
        <v>14</v>
      </c>
      <c r="AE164">
        <v>1.5080000000000027</v>
      </c>
      <c r="AF164">
        <v>22</v>
      </c>
      <c r="AG164">
        <v>1.9200000000000004</v>
      </c>
      <c r="AH164">
        <v>-3.4000000000000012</v>
      </c>
      <c r="AI164">
        <v>-1.48</v>
      </c>
      <c r="AJ164">
        <v>-1.2399999999999998</v>
      </c>
      <c r="AK164">
        <v>-30</v>
      </c>
      <c r="AL164">
        <v>8.7200000000000042</v>
      </c>
      <c r="AM164">
        <v>-29.919999999999998</v>
      </c>
      <c r="AN164">
        <v>-4.24</v>
      </c>
      <c r="AO164">
        <v>-4.5599999999999996</v>
      </c>
      <c r="AP164">
        <v>2</v>
      </c>
      <c r="AQ164">
        <v>11.151999999999999</v>
      </c>
      <c r="AR164">
        <v>5.8247999999999998</v>
      </c>
      <c r="AS164">
        <v>38.64</v>
      </c>
      <c r="AT164">
        <v>-11.151999999999999</v>
      </c>
      <c r="AU164">
        <v>-0.81949999999999967</v>
      </c>
      <c r="AV164">
        <v>1.8949375000000002</v>
      </c>
      <c r="AW164">
        <v>2.6902000000000004</v>
      </c>
      <c r="AX164" t="s">
        <v>298</v>
      </c>
      <c r="AY164">
        <v>9</v>
      </c>
      <c r="AZ164">
        <v>0.44840000000000052</v>
      </c>
      <c r="BA164">
        <v>-9.5999999999999197E-2</v>
      </c>
      <c r="BB164">
        <v>-24.12</v>
      </c>
      <c r="BC164">
        <v>0</v>
      </c>
      <c r="BD164">
        <v>6.9249999999999998</v>
      </c>
      <c r="BE164">
        <v>13.860000000000001</v>
      </c>
      <c r="BF164">
        <v>2.0299999999999998</v>
      </c>
      <c r="BG164">
        <v>24</v>
      </c>
      <c r="BH164">
        <v>23</v>
      </c>
      <c r="BI164">
        <v>6.44</v>
      </c>
      <c r="BJ164">
        <v>23</v>
      </c>
      <c r="BK164">
        <v>20</v>
      </c>
      <c r="BL164">
        <v>32</v>
      </c>
      <c r="BM164">
        <v>2.7206080711737562E-2</v>
      </c>
      <c r="BN164">
        <v>22</v>
      </c>
      <c r="BO164">
        <v>-1.8796208233225968E-2</v>
      </c>
      <c r="BP164">
        <v>11</v>
      </c>
      <c r="BQ164">
        <v>8.708000000000002</v>
      </c>
      <c r="BR164">
        <v>15</v>
      </c>
      <c r="BS164">
        <v>-3.7199999999999998</v>
      </c>
      <c r="BT164">
        <v>3.2000000000000015</v>
      </c>
      <c r="BU164">
        <v>2.9199999999999995</v>
      </c>
      <c r="BV164">
        <v>1.2</v>
      </c>
      <c r="BW164">
        <v>-24.240000000000009</v>
      </c>
      <c r="BX164">
        <v>6.1600000000000019</v>
      </c>
      <c r="BY164">
        <v>-25.879999999999995</v>
      </c>
      <c r="BZ164">
        <v>-0.11999999999999984</v>
      </c>
      <c r="CA164">
        <v>-4.3999999999999995</v>
      </c>
      <c r="CB164">
        <v>19</v>
      </c>
      <c r="CC164">
        <v>0.54439999999999977</v>
      </c>
      <c r="CD164">
        <v>1.5226799999999998</v>
      </c>
      <c r="CE164">
        <v>32.04</v>
      </c>
      <c r="CF164">
        <v>1.0996750000000002</v>
      </c>
    </row>
    <row r="165" spans="1:84" x14ac:dyDescent="0.2">
      <c r="A165" s="39">
        <v>43772</v>
      </c>
      <c r="B165" s="22" t="s">
        <v>246</v>
      </c>
      <c r="C165" s="41" t="s">
        <v>312</v>
      </c>
      <c r="D165" s="22" t="s">
        <v>288</v>
      </c>
      <c r="E165" s="3">
        <v>2.6</v>
      </c>
      <c r="F165">
        <v>8.8000000000000007</v>
      </c>
      <c r="G165">
        <v>7.4</v>
      </c>
      <c r="H165">
        <v>18.600000000000001</v>
      </c>
      <c r="I165">
        <v>-5.5</v>
      </c>
      <c r="J165">
        <v>46</v>
      </c>
      <c r="L165" s="1" t="s">
        <v>312</v>
      </c>
      <c r="M165">
        <v>8</v>
      </c>
      <c r="N165">
        <v>2.9352000000000009</v>
      </c>
      <c r="O165">
        <v>2.7789999999999999</v>
      </c>
      <c r="P165">
        <v>30.509999999999998</v>
      </c>
      <c r="Q165">
        <v>-1.3000000000000003</v>
      </c>
      <c r="R165">
        <v>12.141999999999999</v>
      </c>
      <c r="S165">
        <v>49.910000000000004</v>
      </c>
      <c r="T165">
        <v>-1.38</v>
      </c>
      <c r="U165">
        <v>26</v>
      </c>
      <c r="V165">
        <v>25</v>
      </c>
      <c r="W165">
        <v>-1.9199999999999995</v>
      </c>
      <c r="X165">
        <v>28</v>
      </c>
      <c r="Y165">
        <v>24.5</v>
      </c>
      <c r="Z165">
        <v>22</v>
      </c>
      <c r="AA165">
        <v>3.5876719008731559E-2</v>
      </c>
      <c r="AB165">
        <v>27</v>
      </c>
      <c r="AC165">
        <v>7.1404949056232099E-3</v>
      </c>
      <c r="AD165">
        <v>22</v>
      </c>
      <c r="AE165">
        <v>19.591999999999999</v>
      </c>
      <c r="AF165">
        <v>27</v>
      </c>
      <c r="AG165">
        <v>-3.2</v>
      </c>
      <c r="AH165">
        <v>-0.43999999999999773</v>
      </c>
      <c r="AI165">
        <v>3.4799999999999995</v>
      </c>
      <c r="AJ165">
        <v>-1.1599999999999999</v>
      </c>
      <c r="AK165">
        <v>57.320000000000007</v>
      </c>
      <c r="AL165">
        <v>40.160000000000011</v>
      </c>
      <c r="AM165">
        <v>32.68</v>
      </c>
      <c r="AN165">
        <v>-1.44</v>
      </c>
      <c r="AO165">
        <v>-14.079999999999998</v>
      </c>
      <c r="AP165">
        <v>16</v>
      </c>
      <c r="AQ165">
        <v>0.156200000000001</v>
      </c>
      <c r="AR165">
        <v>1.6259400000000004</v>
      </c>
      <c r="AS165">
        <v>7.4800000000000111</v>
      </c>
      <c r="AT165">
        <v>-0.156200000000001</v>
      </c>
      <c r="AU165">
        <v>2.4320250000000003</v>
      </c>
      <c r="AV165">
        <v>3.4750000000000336E-2</v>
      </c>
      <c r="AW165">
        <v>0.78210000000000024</v>
      </c>
      <c r="AX165" t="s">
        <v>288</v>
      </c>
      <c r="AY165">
        <v>7</v>
      </c>
      <c r="AZ165">
        <v>-1.0728000000000002</v>
      </c>
      <c r="BA165">
        <v>9.6720000000000006</v>
      </c>
      <c r="BB165">
        <v>27.519999999999996</v>
      </c>
      <c r="BC165">
        <v>0.44000000000000011</v>
      </c>
      <c r="BD165">
        <v>-13.539999999999997</v>
      </c>
      <c r="BE165">
        <v>-58.720000000000006</v>
      </c>
      <c r="BF165">
        <v>-1.9199999999999995</v>
      </c>
      <c r="BG165">
        <v>20</v>
      </c>
      <c r="BH165">
        <v>21</v>
      </c>
      <c r="BI165">
        <v>-0.95999999999999963</v>
      </c>
      <c r="BJ165">
        <v>2</v>
      </c>
      <c r="BK165">
        <v>7.25</v>
      </c>
      <c r="BL165">
        <v>4</v>
      </c>
      <c r="BM165">
        <v>2.6954343508280632E-3</v>
      </c>
      <c r="BN165">
        <v>13</v>
      </c>
      <c r="BO165">
        <v>1.7999252690423632E-2</v>
      </c>
      <c r="BP165">
        <v>3</v>
      </c>
      <c r="BQ165">
        <v>-14.972000000000003</v>
      </c>
      <c r="BR165">
        <v>9</v>
      </c>
      <c r="BS165">
        <v>3.08</v>
      </c>
      <c r="BT165">
        <v>6.6799999999999979</v>
      </c>
      <c r="BU165">
        <v>-1.2</v>
      </c>
      <c r="BV165">
        <v>-0.72</v>
      </c>
      <c r="BW165">
        <v>1.4400000000000091</v>
      </c>
      <c r="BX165">
        <v>-32.720000000000006</v>
      </c>
      <c r="BY165">
        <v>31.24</v>
      </c>
      <c r="BZ165">
        <v>-1.2</v>
      </c>
      <c r="CA165">
        <v>4.12</v>
      </c>
      <c r="CB165">
        <v>32</v>
      </c>
      <c r="CC165">
        <v>-10.744800000000001</v>
      </c>
      <c r="CD165">
        <v>-7.7585600000000001</v>
      </c>
      <c r="CE165">
        <v>-63.960000000000008</v>
      </c>
      <c r="CF165">
        <v>-0.71259999999999957</v>
      </c>
    </row>
    <row r="166" spans="1:84" x14ac:dyDescent="0.2">
      <c r="A166" s="39">
        <v>43772</v>
      </c>
      <c r="B166" s="22" t="s">
        <v>246</v>
      </c>
      <c r="C166" s="41" t="s">
        <v>302</v>
      </c>
      <c r="D166" s="22" t="s">
        <v>305</v>
      </c>
      <c r="E166">
        <v>17.899999999999999</v>
      </c>
      <c r="F166">
        <v>24.1</v>
      </c>
      <c r="G166">
        <v>3.3</v>
      </c>
      <c r="H166">
        <v>6.8</v>
      </c>
      <c r="I166">
        <v>-3</v>
      </c>
      <c r="J166">
        <v>44.5</v>
      </c>
      <c r="L166" s="1" t="s">
        <v>302</v>
      </c>
      <c r="M166">
        <v>14</v>
      </c>
      <c r="N166">
        <v>1.5708000000000004</v>
      </c>
      <c r="O166">
        <v>2.492</v>
      </c>
      <c r="P166">
        <v>-25.12</v>
      </c>
      <c r="Q166">
        <v>3.6</v>
      </c>
      <c r="R166">
        <v>0.95599999999999818</v>
      </c>
      <c r="S166">
        <v>-0.43999999999999773</v>
      </c>
      <c r="T166">
        <v>3.4000000000000004</v>
      </c>
      <c r="U166">
        <v>2</v>
      </c>
      <c r="V166">
        <v>5</v>
      </c>
      <c r="W166">
        <v>9.4400000000000013</v>
      </c>
      <c r="X166">
        <v>27</v>
      </c>
      <c r="Y166">
        <v>23.25</v>
      </c>
      <c r="Z166">
        <v>23</v>
      </c>
      <c r="AA166">
        <v>-3.0481742380379317E-2</v>
      </c>
      <c r="AB166">
        <v>26</v>
      </c>
      <c r="AC166">
        <v>-2.5887151161410847E-2</v>
      </c>
      <c r="AD166">
        <v>23</v>
      </c>
      <c r="AE166">
        <v>-13.527999999999997</v>
      </c>
      <c r="AF166">
        <v>21</v>
      </c>
      <c r="AG166">
        <v>-1.8400000000000003</v>
      </c>
      <c r="AH166">
        <v>7.0399999999999991</v>
      </c>
      <c r="AI166">
        <v>1.72</v>
      </c>
      <c r="AJ166">
        <v>3.5200000000000005</v>
      </c>
      <c r="AK166">
        <v>1.4799999999999955</v>
      </c>
      <c r="AL166">
        <v>34.240000000000009</v>
      </c>
      <c r="AM166">
        <v>-20.399999999999999</v>
      </c>
      <c r="AN166">
        <v>1.0799999999999998</v>
      </c>
      <c r="AO166">
        <v>-13.439999999999998</v>
      </c>
      <c r="AP166">
        <v>20</v>
      </c>
      <c r="AQ166">
        <v>-0.9211999999999998</v>
      </c>
      <c r="AR166">
        <v>-0.7406400000000003</v>
      </c>
      <c r="AS166">
        <v>54.640000000000008</v>
      </c>
      <c r="AT166">
        <v>0.92119999999999957</v>
      </c>
      <c r="AU166">
        <v>0.51234999999999986</v>
      </c>
      <c r="AV166">
        <v>-0.99959999999999982</v>
      </c>
      <c r="AW166">
        <v>-2.1118999999999999</v>
      </c>
      <c r="AX166" t="s">
        <v>305</v>
      </c>
      <c r="AY166">
        <v>32</v>
      </c>
      <c r="AZ166">
        <v>-1.0943999999999996</v>
      </c>
      <c r="BA166">
        <v>-2.9959999999999982</v>
      </c>
      <c r="BB166">
        <v>-13.96</v>
      </c>
      <c r="BC166">
        <v>-1.7600000000000002</v>
      </c>
      <c r="BD166">
        <v>3.9920000000000013</v>
      </c>
      <c r="BE166">
        <v>24.030000000000005</v>
      </c>
      <c r="BF166">
        <v>4.22</v>
      </c>
      <c r="BG166">
        <v>23</v>
      </c>
      <c r="BH166">
        <v>22.5</v>
      </c>
      <c r="BI166">
        <v>-3.5200000000000005</v>
      </c>
      <c r="BJ166">
        <v>5</v>
      </c>
      <c r="BK166">
        <v>9.75</v>
      </c>
      <c r="BL166">
        <v>15</v>
      </c>
      <c r="BM166">
        <v>-3.8834537496163349E-2</v>
      </c>
      <c r="BN166">
        <v>8</v>
      </c>
      <c r="BO166">
        <v>-2.1449092569761196E-2</v>
      </c>
      <c r="BP166">
        <v>15</v>
      </c>
      <c r="BQ166">
        <v>-12.651999999999997</v>
      </c>
      <c r="BR166">
        <v>1</v>
      </c>
      <c r="BS166">
        <v>0.80000000000000038</v>
      </c>
      <c r="BT166">
        <v>-3.8799999999999981</v>
      </c>
      <c r="BU166">
        <v>1.0799999999999994</v>
      </c>
      <c r="BV166">
        <v>-0.92000000000000015</v>
      </c>
      <c r="BW166">
        <v>5.5600000000000023</v>
      </c>
      <c r="BX166">
        <v>20.440000000000005</v>
      </c>
      <c r="BY166">
        <v>-14.839999999999998</v>
      </c>
      <c r="BZ166">
        <v>0.36000000000000021</v>
      </c>
      <c r="CA166">
        <v>-0.4</v>
      </c>
      <c r="CB166">
        <v>12</v>
      </c>
      <c r="CC166">
        <v>1.9015999999999984</v>
      </c>
      <c r="CD166">
        <v>2.0775199999999994</v>
      </c>
      <c r="CE166">
        <v>35.28</v>
      </c>
      <c r="CF166">
        <v>0.11270000000000036</v>
      </c>
    </row>
    <row r="167" spans="1:84" x14ac:dyDescent="0.2">
      <c r="A167" s="39">
        <v>43772</v>
      </c>
      <c r="B167" s="22" t="s">
        <v>246</v>
      </c>
      <c r="C167" s="41" t="s">
        <v>296</v>
      </c>
      <c r="D167" s="22" t="s">
        <v>291</v>
      </c>
      <c r="E167">
        <v>11.8</v>
      </c>
      <c r="F167">
        <v>8.8000000000000007</v>
      </c>
      <c r="G167">
        <v>5.2</v>
      </c>
      <c r="H167">
        <v>14.7</v>
      </c>
      <c r="I167">
        <v>6.5</v>
      </c>
      <c r="J167">
        <v>48.5</v>
      </c>
      <c r="K167" t="s">
        <v>109</v>
      </c>
      <c r="L167" s="1" t="s">
        <v>296</v>
      </c>
      <c r="M167">
        <v>20</v>
      </c>
      <c r="N167">
        <v>-1.3399999999999992</v>
      </c>
      <c r="O167">
        <v>-5.5759999999999996</v>
      </c>
      <c r="P167">
        <v>-30.28</v>
      </c>
      <c r="Q167">
        <v>-2.2800000000000002</v>
      </c>
      <c r="R167">
        <v>-1.2959999999999985</v>
      </c>
      <c r="S167">
        <v>-15.920000000000002</v>
      </c>
      <c r="T167">
        <v>1.8399999999999999</v>
      </c>
      <c r="U167">
        <v>28</v>
      </c>
      <c r="V167">
        <v>27.5</v>
      </c>
      <c r="W167">
        <v>4.4400000000000004</v>
      </c>
      <c r="X167">
        <v>2</v>
      </c>
      <c r="Y167">
        <v>7.5</v>
      </c>
      <c r="Z167">
        <v>3</v>
      </c>
      <c r="AA167">
        <v>4.639523895036575E-2</v>
      </c>
      <c r="AB167">
        <v>16</v>
      </c>
      <c r="AC167">
        <v>4.4179332375002961E-3</v>
      </c>
      <c r="AD167">
        <v>10</v>
      </c>
      <c r="AE167">
        <v>-3.0000000000000027</v>
      </c>
      <c r="AF167">
        <v>1</v>
      </c>
      <c r="AG167">
        <v>5.4799999999999995</v>
      </c>
      <c r="AH167">
        <v>-1.3599999999999994</v>
      </c>
      <c r="AI167">
        <v>-4.6399999999999997</v>
      </c>
      <c r="AJ167">
        <v>2.8</v>
      </c>
      <c r="AK167">
        <v>-53.839999999999989</v>
      </c>
      <c r="AL167">
        <v>-28.919999999999998</v>
      </c>
      <c r="AM167">
        <v>-32.92</v>
      </c>
      <c r="AN167">
        <v>-0.6</v>
      </c>
      <c r="AO167">
        <v>8.6</v>
      </c>
      <c r="AP167">
        <v>10</v>
      </c>
      <c r="AQ167">
        <v>4.2360000000000007</v>
      </c>
      <c r="AR167">
        <v>2.2608000000000006</v>
      </c>
      <c r="AS167">
        <v>4.0000000000000036</v>
      </c>
      <c r="AT167">
        <v>-4.2360000000000007</v>
      </c>
      <c r="AU167">
        <v>-1.5014999999999996</v>
      </c>
      <c r="AV167">
        <v>-0.77348750000000011</v>
      </c>
      <c r="AW167">
        <v>-0.64767500000000011</v>
      </c>
      <c r="AX167" t="s">
        <v>291</v>
      </c>
      <c r="AY167">
        <v>19</v>
      </c>
      <c r="AZ167">
        <v>-5.1655999999999995</v>
      </c>
      <c r="BA167">
        <v>-2.1567999999999992</v>
      </c>
      <c r="BB167">
        <v>-13.24</v>
      </c>
      <c r="BC167">
        <v>-0.6399999999999999</v>
      </c>
      <c r="BD167">
        <v>-2.7919999999999998</v>
      </c>
      <c r="BE167">
        <v>3.9999999999997371E-2</v>
      </c>
      <c r="BF167">
        <v>-0.76</v>
      </c>
      <c r="BG167">
        <v>7</v>
      </c>
      <c r="BH167">
        <v>7</v>
      </c>
      <c r="BI167">
        <v>-2.72</v>
      </c>
      <c r="BJ167">
        <v>15</v>
      </c>
      <c r="BK167">
        <v>15.75</v>
      </c>
      <c r="BL167">
        <v>7</v>
      </c>
      <c r="BM167">
        <v>-1.9316011211576466E-2</v>
      </c>
      <c r="BN167">
        <v>7</v>
      </c>
      <c r="BO167">
        <v>2.0049431907943848E-2</v>
      </c>
      <c r="BP167">
        <v>28</v>
      </c>
      <c r="BQ167">
        <v>12.255999999999997</v>
      </c>
      <c r="BR167">
        <v>21</v>
      </c>
      <c r="BS167">
        <v>0.5600000000000005</v>
      </c>
      <c r="BT167">
        <v>-1.4000000000000015</v>
      </c>
      <c r="BU167">
        <v>-1.3599999999999994</v>
      </c>
      <c r="BV167">
        <v>-1.56</v>
      </c>
      <c r="BW167">
        <v>-22.24</v>
      </c>
      <c r="BX167">
        <v>-15.959999999999997</v>
      </c>
      <c r="BY167">
        <v>-11.84</v>
      </c>
      <c r="BZ167">
        <v>2</v>
      </c>
      <c r="CA167">
        <v>3.5599999999999996</v>
      </c>
      <c r="CB167">
        <v>24</v>
      </c>
      <c r="CC167">
        <v>-3.0087999999999999</v>
      </c>
      <c r="CD167">
        <v>-0.51312000000000002</v>
      </c>
      <c r="CE167">
        <v>-4.1199999999999974</v>
      </c>
      <c r="CF167">
        <v>-0.89929999999999999</v>
      </c>
    </row>
    <row r="168" spans="1:84" x14ac:dyDescent="0.2">
      <c r="A168" s="39">
        <v>43772</v>
      </c>
      <c r="B168" s="22" t="s">
        <v>246</v>
      </c>
      <c r="C168" s="41" t="s">
        <v>298</v>
      </c>
      <c r="D168" s="22" t="s">
        <v>293</v>
      </c>
      <c r="E168">
        <v>22.3</v>
      </c>
      <c r="F168">
        <v>5.3</v>
      </c>
      <c r="G168">
        <v>3.9</v>
      </c>
      <c r="H168">
        <v>11</v>
      </c>
      <c r="I168">
        <v>-3.5</v>
      </c>
      <c r="J168">
        <v>42.5</v>
      </c>
      <c r="L168" s="1" t="s">
        <v>298</v>
      </c>
      <c r="M168">
        <v>28</v>
      </c>
      <c r="N168">
        <v>-5.0680000000000023</v>
      </c>
      <c r="O168">
        <v>-7.452</v>
      </c>
      <c r="P168">
        <v>-24.92</v>
      </c>
      <c r="Q168">
        <v>0.19999999999999973</v>
      </c>
      <c r="R168">
        <v>-2.0400000000000014</v>
      </c>
      <c r="S168">
        <v>-14.160000000000005</v>
      </c>
      <c r="T168">
        <v>-1.3999999999999992</v>
      </c>
      <c r="U168">
        <v>14</v>
      </c>
      <c r="V168">
        <v>13.5</v>
      </c>
      <c r="W168">
        <v>-3.7199999999999998</v>
      </c>
      <c r="X168">
        <v>8</v>
      </c>
      <c r="Y168">
        <v>12</v>
      </c>
      <c r="Z168">
        <v>2</v>
      </c>
      <c r="AA168">
        <v>8.1819623587972817E-2</v>
      </c>
      <c r="AB168">
        <v>17</v>
      </c>
      <c r="AC168">
        <v>3.9080413848829793E-2</v>
      </c>
      <c r="AD168">
        <v>12</v>
      </c>
      <c r="AE168">
        <v>-2.2719999999999998</v>
      </c>
      <c r="AF168">
        <v>17</v>
      </c>
      <c r="AG168">
        <v>6.44</v>
      </c>
      <c r="AH168">
        <v>-4.7600000000000007</v>
      </c>
      <c r="AI168">
        <v>-6.44</v>
      </c>
      <c r="AJ168">
        <v>-0.51999999999999991</v>
      </c>
      <c r="AK168">
        <v>-66.84</v>
      </c>
      <c r="AL168">
        <v>-23.799999999999994</v>
      </c>
      <c r="AM168">
        <v>-26.439999999999998</v>
      </c>
      <c r="AN168">
        <v>-1.8400000000000003</v>
      </c>
      <c r="AO168">
        <v>-14.76</v>
      </c>
      <c r="AP168">
        <v>14</v>
      </c>
      <c r="AQ168">
        <v>2.3839999999999981</v>
      </c>
      <c r="AR168">
        <v>2.3043999999999993</v>
      </c>
      <c r="AS168">
        <v>2.6400000000000041</v>
      </c>
      <c r="AT168">
        <v>-2.3839999999999977</v>
      </c>
      <c r="AU168">
        <v>-2.2050000000000005</v>
      </c>
      <c r="AV168">
        <v>1.8949375000000002</v>
      </c>
      <c r="AW168">
        <v>1.0996750000000002</v>
      </c>
      <c r="AX168" t="s">
        <v>293</v>
      </c>
      <c r="AY168">
        <v>2</v>
      </c>
      <c r="AZ168">
        <v>4.9576000000000011</v>
      </c>
      <c r="BA168">
        <v>3.0200000000000005</v>
      </c>
      <c r="BB168">
        <v>31.52</v>
      </c>
      <c r="BC168">
        <v>-1.52</v>
      </c>
      <c r="BD168">
        <v>8.7439999999999998</v>
      </c>
      <c r="BE168">
        <v>29.359999999999992</v>
      </c>
      <c r="BF168">
        <v>1.5599999999999996</v>
      </c>
      <c r="BG168">
        <v>1</v>
      </c>
      <c r="BH168">
        <v>1.5</v>
      </c>
      <c r="BI168">
        <v>1.9200000000000004</v>
      </c>
      <c r="BJ168">
        <v>31</v>
      </c>
      <c r="BK168">
        <v>29</v>
      </c>
      <c r="BL168">
        <v>29</v>
      </c>
      <c r="BM168">
        <v>-4.3242412407643552E-2</v>
      </c>
      <c r="BN168">
        <v>32</v>
      </c>
      <c r="BO168">
        <v>-3.118140422194653E-2</v>
      </c>
      <c r="BP168">
        <v>30</v>
      </c>
      <c r="BQ168">
        <v>7.4679999999999991</v>
      </c>
      <c r="BR168">
        <v>25</v>
      </c>
      <c r="BS168">
        <v>-7.4399999999999995</v>
      </c>
      <c r="BT168">
        <v>4.6399999999999988</v>
      </c>
      <c r="BU168">
        <v>7.4</v>
      </c>
      <c r="BV168">
        <v>0.60000000000000009</v>
      </c>
      <c r="BW168">
        <v>64.080000000000013</v>
      </c>
      <c r="BX168">
        <v>35.039999999999992</v>
      </c>
      <c r="BY168">
        <v>33.32</v>
      </c>
      <c r="BZ168">
        <v>-4.08</v>
      </c>
      <c r="CA168">
        <v>-0.19999999999999979</v>
      </c>
      <c r="CB168">
        <v>11</v>
      </c>
      <c r="CC168">
        <v>1.9376000000000009</v>
      </c>
      <c r="CD168">
        <v>1.2303199999999999</v>
      </c>
      <c r="CE168">
        <v>1.7199999999999918</v>
      </c>
      <c r="CF168">
        <v>2.6902000000000004</v>
      </c>
    </row>
    <row r="169" spans="1:84" x14ac:dyDescent="0.2">
      <c r="A169" s="39">
        <v>43772</v>
      </c>
      <c r="B169" s="22" t="s">
        <v>246</v>
      </c>
      <c r="C169" s="41" t="s">
        <v>294</v>
      </c>
      <c r="D169" s="22" t="s">
        <v>265</v>
      </c>
      <c r="E169">
        <v>7.6</v>
      </c>
      <c r="F169">
        <v>5.0999999999999996</v>
      </c>
      <c r="G169">
        <v>1.5</v>
      </c>
      <c r="H169">
        <f>28.3+7.9</f>
        <v>36.200000000000003</v>
      </c>
      <c r="I169">
        <v>-5</v>
      </c>
      <c r="J169">
        <v>41</v>
      </c>
      <c r="L169" s="1" t="s">
        <v>294</v>
      </c>
      <c r="M169">
        <v>17</v>
      </c>
      <c r="N169">
        <v>-4.0400000000000699E-2</v>
      </c>
      <c r="O169">
        <v>5.6599999999999984</v>
      </c>
      <c r="P169">
        <v>23.15</v>
      </c>
      <c r="Q169">
        <v>-1.3099999999999998</v>
      </c>
      <c r="R169">
        <v>-6.9010000000000007</v>
      </c>
      <c r="S169">
        <v>-40.64</v>
      </c>
      <c r="T169">
        <v>-0.87999999999999901</v>
      </c>
      <c r="U169">
        <v>23</v>
      </c>
      <c r="V169">
        <v>22.5</v>
      </c>
      <c r="W169">
        <v>2.8800000000000003</v>
      </c>
      <c r="X169">
        <v>6</v>
      </c>
      <c r="Y169">
        <v>10.25</v>
      </c>
      <c r="Z169">
        <v>16</v>
      </c>
      <c r="AA169">
        <v>3.5532068397901531E-2</v>
      </c>
      <c r="AB169">
        <v>4</v>
      </c>
      <c r="AC169">
        <v>-9.7883016348527512E-3</v>
      </c>
      <c r="AD169">
        <v>6</v>
      </c>
      <c r="AE169">
        <v>-4.6199999999999974</v>
      </c>
      <c r="AF169">
        <v>15</v>
      </c>
      <c r="AG169">
        <v>-0.12000000000000011</v>
      </c>
      <c r="AH169">
        <v>-0.48000000000000115</v>
      </c>
      <c r="AI169">
        <v>1.9599999999999991</v>
      </c>
      <c r="AJ169">
        <v>1.8</v>
      </c>
      <c r="AK169">
        <v>-4.4000000000000004</v>
      </c>
      <c r="AL169">
        <v>-39.959999999999994</v>
      </c>
      <c r="AM169">
        <v>32.279999999999994</v>
      </c>
      <c r="AN169">
        <v>-2</v>
      </c>
      <c r="AO169">
        <v>5.2799999999999994</v>
      </c>
      <c r="AP169">
        <v>25</v>
      </c>
      <c r="AQ169">
        <v>-5.7003999999999992</v>
      </c>
      <c r="AR169">
        <v>-4.2182799999999991</v>
      </c>
      <c r="AS169">
        <v>-72.239999999999981</v>
      </c>
      <c r="AT169">
        <v>5.7003999999999992</v>
      </c>
      <c r="AU169">
        <v>-0.40517500000000028</v>
      </c>
      <c r="AV169">
        <v>-0.82331249999999989</v>
      </c>
      <c r="AW169">
        <v>-9.0150000000000036E-2</v>
      </c>
      <c r="AX169" t="s">
        <v>265</v>
      </c>
      <c r="AY169">
        <v>29</v>
      </c>
      <c r="AZ169">
        <v>-4.4999999999999973</v>
      </c>
      <c r="BA169">
        <v>-1.0328000000000013</v>
      </c>
      <c r="BB169">
        <v>-11.16</v>
      </c>
      <c r="BC169">
        <v>-0.63999999999999979</v>
      </c>
      <c r="BD169">
        <v>-5.278999999999999</v>
      </c>
      <c r="BE169">
        <v>-0.6399999999999979</v>
      </c>
      <c r="BF169">
        <v>1.0799999999999998</v>
      </c>
      <c r="BG169">
        <v>15</v>
      </c>
      <c r="BH169">
        <v>13</v>
      </c>
      <c r="BI169">
        <v>-1.1199999999999997</v>
      </c>
      <c r="BJ169">
        <v>32</v>
      </c>
      <c r="BK169">
        <v>29.25</v>
      </c>
      <c r="BL169">
        <v>28</v>
      </c>
      <c r="BM169">
        <v>-3.8113487894282129E-2</v>
      </c>
      <c r="BN169">
        <v>29</v>
      </c>
      <c r="BO169">
        <v>1.5648822183262391E-2</v>
      </c>
      <c r="BP169">
        <v>29</v>
      </c>
      <c r="BQ169">
        <v>6.591999999999997</v>
      </c>
      <c r="BR169">
        <v>31</v>
      </c>
      <c r="BS169">
        <v>1.92</v>
      </c>
      <c r="BT169">
        <v>1.3200000000000003</v>
      </c>
      <c r="BU169">
        <v>-2.6399999999999992</v>
      </c>
      <c r="BV169">
        <v>-0.87999999999999989</v>
      </c>
      <c r="BW169">
        <v>-41.240000000000009</v>
      </c>
      <c r="BX169">
        <v>-28.600000000000005</v>
      </c>
      <c r="BY169">
        <v>-10</v>
      </c>
      <c r="BZ169">
        <v>-5.6800000000000006</v>
      </c>
      <c r="CA169">
        <v>3.04</v>
      </c>
      <c r="CB169">
        <v>25</v>
      </c>
      <c r="CC169">
        <v>-3.4671999999999961</v>
      </c>
      <c r="CD169">
        <v>-1.4393999999999987</v>
      </c>
      <c r="CE169">
        <v>-18.600000000000005</v>
      </c>
      <c r="CF169">
        <v>-1.5564749999999998</v>
      </c>
    </row>
    <row r="170" spans="1:84" x14ac:dyDescent="0.2">
      <c r="A170" s="39">
        <v>43772</v>
      </c>
      <c r="B170" s="22" t="s">
        <v>246</v>
      </c>
      <c r="C170" s="41" t="s">
        <v>309</v>
      </c>
      <c r="D170" s="22" t="s">
        <v>289</v>
      </c>
      <c r="E170">
        <v>4.5999999999999996</v>
      </c>
      <c r="F170">
        <v>10.9</v>
      </c>
      <c r="G170">
        <v>1.5</v>
      </c>
      <c r="H170">
        <v>14</v>
      </c>
      <c r="I170">
        <v>-1</v>
      </c>
      <c r="J170">
        <v>39.5</v>
      </c>
      <c r="K170" t="s">
        <v>110</v>
      </c>
      <c r="L170" s="1" t="s">
        <v>309</v>
      </c>
      <c r="M170">
        <v>26</v>
      </c>
      <c r="N170">
        <v>-3.5368000000000008</v>
      </c>
      <c r="O170">
        <v>7.8159999999999989</v>
      </c>
      <c r="P170">
        <v>-3.1600000000000019</v>
      </c>
      <c r="Q170">
        <v>3.32</v>
      </c>
      <c r="R170">
        <v>-6.3320000000000007</v>
      </c>
      <c r="S170">
        <v>-34.44</v>
      </c>
      <c r="T170">
        <v>-2.88</v>
      </c>
      <c r="U170">
        <v>3</v>
      </c>
      <c r="V170">
        <v>5.5</v>
      </c>
      <c r="W170">
        <v>6.6800000000000015</v>
      </c>
      <c r="X170">
        <v>12</v>
      </c>
      <c r="Y170">
        <v>13.25</v>
      </c>
      <c r="Z170">
        <v>9</v>
      </c>
      <c r="AA170">
        <v>-6.1436483155306362E-3</v>
      </c>
      <c r="AB170">
        <v>20</v>
      </c>
      <c r="AC170">
        <v>-2.6677649240851725E-2</v>
      </c>
      <c r="AD170">
        <v>19</v>
      </c>
      <c r="AE170">
        <v>15.98</v>
      </c>
      <c r="AF170">
        <v>5</v>
      </c>
      <c r="AG170">
        <v>-1.44</v>
      </c>
      <c r="AH170">
        <v>-3.6</v>
      </c>
      <c r="AI170">
        <v>1.7600000000000002</v>
      </c>
      <c r="AJ170">
        <v>1.0399999999999998</v>
      </c>
      <c r="AK170">
        <v>-66.52000000000001</v>
      </c>
      <c r="AL170">
        <v>-42.999999999999993</v>
      </c>
      <c r="AM170">
        <v>-4.5999999999999996</v>
      </c>
      <c r="AN170">
        <v>-5.88</v>
      </c>
      <c r="AO170">
        <v>-13.040000000000001</v>
      </c>
      <c r="AP170">
        <v>31</v>
      </c>
      <c r="AQ170">
        <v>-11.3528</v>
      </c>
      <c r="AR170">
        <v>-5.8817599999999999</v>
      </c>
      <c r="AS170">
        <v>-38.399999999999991</v>
      </c>
      <c r="AT170">
        <v>11.3528</v>
      </c>
      <c r="AU170">
        <v>-2.6600000000000401E-2</v>
      </c>
      <c r="AV170">
        <v>-1.1319416666666666</v>
      </c>
      <c r="AW170">
        <v>-1.2865833333333332</v>
      </c>
      <c r="AX170" t="s">
        <v>289</v>
      </c>
      <c r="AY170">
        <v>25</v>
      </c>
      <c r="AZ170">
        <v>-2.9023999999999992</v>
      </c>
      <c r="BA170">
        <v>-7.032</v>
      </c>
      <c r="BB170">
        <v>-21.680000000000007</v>
      </c>
      <c r="BC170">
        <v>0</v>
      </c>
      <c r="BD170">
        <v>1.0360000000000011</v>
      </c>
      <c r="BE170">
        <v>2.7600000000000007</v>
      </c>
      <c r="BF170">
        <v>-0.44000000000000017</v>
      </c>
      <c r="BG170">
        <v>5</v>
      </c>
      <c r="BH170">
        <v>4.5</v>
      </c>
      <c r="BI170">
        <v>-0.72000000000000008</v>
      </c>
      <c r="BJ170">
        <v>28</v>
      </c>
      <c r="BK170">
        <v>23</v>
      </c>
      <c r="BL170">
        <v>27</v>
      </c>
      <c r="BM170">
        <v>3.1757923867217937E-2</v>
      </c>
      <c r="BN170">
        <v>18</v>
      </c>
      <c r="BO170">
        <v>1.8996538660106241E-2</v>
      </c>
      <c r="BP170">
        <v>26</v>
      </c>
      <c r="BQ170">
        <v>-1.7040000000000006</v>
      </c>
      <c r="BR170">
        <v>21</v>
      </c>
      <c r="BS170">
        <v>1.8800000000000003</v>
      </c>
      <c r="BT170">
        <v>-0.32000000000000173</v>
      </c>
      <c r="BU170">
        <v>-4.2799999999999994</v>
      </c>
      <c r="BV170">
        <v>1.1199999999999999</v>
      </c>
      <c r="BW170">
        <v>-20.839999999999996</v>
      </c>
      <c r="BX170">
        <v>-11.160000000000007</v>
      </c>
      <c r="BY170">
        <v>-20.28</v>
      </c>
      <c r="BZ170">
        <v>10.36</v>
      </c>
      <c r="CA170">
        <v>0.24000000000000049</v>
      </c>
      <c r="CB170">
        <v>7</v>
      </c>
      <c r="CC170">
        <v>4.1296000000000017</v>
      </c>
      <c r="CD170">
        <v>3.1427200000000006</v>
      </c>
      <c r="CE170">
        <v>9.1199999999999939</v>
      </c>
      <c r="CF170">
        <v>-0.97729999999999984</v>
      </c>
    </row>
    <row r="171" spans="1:84" x14ac:dyDescent="0.2">
      <c r="A171" s="39">
        <v>43772</v>
      </c>
      <c r="B171" s="22" t="s">
        <v>246</v>
      </c>
      <c r="C171" s="40" t="s">
        <v>256</v>
      </c>
      <c r="D171" s="22" t="s">
        <v>285</v>
      </c>
      <c r="E171">
        <v>27.2</v>
      </c>
      <c r="F171">
        <v>8</v>
      </c>
      <c r="G171">
        <v>9.1</v>
      </c>
      <c r="H171">
        <f>19.9+6.9</f>
        <v>26.799999999999997</v>
      </c>
      <c r="I171">
        <v>-10.5</v>
      </c>
      <c r="J171">
        <v>43.5</v>
      </c>
      <c r="L171" s="1" t="s">
        <v>256</v>
      </c>
      <c r="M171">
        <v>27</v>
      </c>
      <c r="N171">
        <v>-3.5944000000000003</v>
      </c>
      <c r="O171">
        <v>3.279999999999998</v>
      </c>
      <c r="P171">
        <v>22.560000000000006</v>
      </c>
      <c r="Q171">
        <v>-1.4800000000000002</v>
      </c>
      <c r="R171">
        <v>-4.5040000000000013</v>
      </c>
      <c r="S171">
        <v>-34.44</v>
      </c>
      <c r="T171">
        <v>-3.1199999999999988</v>
      </c>
      <c r="U171">
        <v>17</v>
      </c>
      <c r="V171">
        <v>16</v>
      </c>
      <c r="W171">
        <v>4.32</v>
      </c>
      <c r="X171">
        <v>21</v>
      </c>
      <c r="Y171">
        <v>17.75</v>
      </c>
      <c r="Z171">
        <v>19</v>
      </c>
      <c r="AA171">
        <v>-8.3247670432860382E-2</v>
      </c>
      <c r="AB171">
        <v>3</v>
      </c>
      <c r="AC171">
        <v>-1.3131046048901173E-2</v>
      </c>
      <c r="AD171">
        <v>29</v>
      </c>
      <c r="AE171">
        <v>-3.447999999999996</v>
      </c>
      <c r="AF171">
        <v>20</v>
      </c>
      <c r="AG171">
        <v>-3.56</v>
      </c>
      <c r="AH171">
        <v>1.3599999999999994</v>
      </c>
      <c r="AI171">
        <v>3.44</v>
      </c>
      <c r="AJ171">
        <v>-1.4</v>
      </c>
      <c r="AK171">
        <v>-17.399999999999999</v>
      </c>
      <c r="AL171">
        <v>-56.36</v>
      </c>
      <c r="AM171">
        <v>40.320000000000007</v>
      </c>
      <c r="AN171">
        <v>8.6</v>
      </c>
      <c r="AO171">
        <v>-9.9599999999999991</v>
      </c>
      <c r="AP171">
        <v>27</v>
      </c>
      <c r="AQ171">
        <v>-6.8743999999999978</v>
      </c>
      <c r="AR171">
        <v>-3.2596799999999995</v>
      </c>
      <c r="AS171">
        <v>-96.68</v>
      </c>
      <c r="AT171">
        <v>6.8743999999999978</v>
      </c>
      <c r="AU171">
        <v>-0.61730000000000029</v>
      </c>
      <c r="AV171">
        <v>-1.5024875</v>
      </c>
      <c r="AW171">
        <v>-4.5336250000000007</v>
      </c>
      <c r="AX171" t="s">
        <v>285</v>
      </c>
      <c r="AY171">
        <v>1</v>
      </c>
      <c r="AZ171">
        <v>1.6920000000000002</v>
      </c>
      <c r="BA171">
        <v>4.3672000000000022</v>
      </c>
      <c r="BB171">
        <v>23.440000000000005</v>
      </c>
      <c r="BC171">
        <v>-0.71999999999999964</v>
      </c>
      <c r="BD171">
        <v>4.8500000000000005</v>
      </c>
      <c r="BE171">
        <v>9.5699999999999985</v>
      </c>
      <c r="BF171">
        <v>-1.2900000000000003</v>
      </c>
      <c r="BG171">
        <v>19</v>
      </c>
      <c r="BH171">
        <v>20.5</v>
      </c>
      <c r="BI171">
        <v>0.67999999999999994</v>
      </c>
      <c r="BJ171">
        <v>26</v>
      </c>
      <c r="BK171">
        <v>22</v>
      </c>
      <c r="BL171">
        <v>5</v>
      </c>
      <c r="BM171">
        <v>-2.5121957842891375E-2</v>
      </c>
      <c r="BN171">
        <v>31</v>
      </c>
      <c r="BO171">
        <v>6.0801317715168416E-3</v>
      </c>
      <c r="BP171">
        <v>20</v>
      </c>
      <c r="BQ171">
        <v>11.687999999999995</v>
      </c>
      <c r="BR171">
        <v>32</v>
      </c>
      <c r="BS171">
        <v>-5.04</v>
      </c>
      <c r="BT171">
        <v>-0.95999999999999941</v>
      </c>
      <c r="BU171">
        <v>4.68</v>
      </c>
      <c r="BV171">
        <v>1.3199999999999998</v>
      </c>
      <c r="BW171">
        <v>34.56</v>
      </c>
      <c r="BX171">
        <v>18.880000000000006</v>
      </c>
      <c r="BY171">
        <v>24.48</v>
      </c>
      <c r="BZ171">
        <v>-4.2</v>
      </c>
      <c r="CA171">
        <v>-4.5999999999999996</v>
      </c>
      <c r="CB171">
        <v>23</v>
      </c>
      <c r="CC171">
        <v>-2.6752000000000016</v>
      </c>
      <c r="CD171">
        <v>-0.87520000000000087</v>
      </c>
      <c r="CE171">
        <v>-5.5999999999999943</v>
      </c>
      <c r="CF171">
        <v>1.5286500000000005</v>
      </c>
    </row>
    <row r="172" spans="1:84" x14ac:dyDescent="0.2">
      <c r="A172" s="39">
        <v>43772</v>
      </c>
      <c r="B172" s="22" t="s">
        <v>246</v>
      </c>
      <c r="C172" s="41" t="s">
        <v>308</v>
      </c>
      <c r="D172" s="22" t="s">
        <v>284</v>
      </c>
      <c r="E172">
        <v>43.2</v>
      </c>
      <c r="F172">
        <v>30</v>
      </c>
      <c r="G172">
        <v>3.8</v>
      </c>
      <c r="H172">
        <v>23.7</v>
      </c>
      <c r="I172">
        <v>-4</v>
      </c>
      <c r="J172">
        <v>50.5</v>
      </c>
      <c r="K172" t="s">
        <v>109</v>
      </c>
      <c r="L172" s="1" t="s">
        <v>308</v>
      </c>
      <c r="M172">
        <v>19</v>
      </c>
      <c r="N172">
        <v>-0.90880000000000083</v>
      </c>
      <c r="O172">
        <v>-7.0399999999999352E-2</v>
      </c>
      <c r="P172">
        <v>20.68</v>
      </c>
      <c r="Q172">
        <v>-0.55999999999999994</v>
      </c>
      <c r="R172">
        <v>-7.3880000000000008</v>
      </c>
      <c r="S172">
        <v>-32.799999999999997</v>
      </c>
      <c r="T172">
        <v>-4.879999999999999</v>
      </c>
      <c r="U172">
        <v>8</v>
      </c>
      <c r="V172">
        <v>8.5</v>
      </c>
      <c r="W172">
        <v>-3.9999999999999855E-2</v>
      </c>
      <c r="X172">
        <v>12</v>
      </c>
      <c r="Y172">
        <v>13.25</v>
      </c>
      <c r="Z172">
        <v>11</v>
      </c>
      <c r="AA172">
        <v>0.15288668773701455</v>
      </c>
      <c r="AB172">
        <v>5</v>
      </c>
      <c r="AC172">
        <v>8.6727803065072221E-3</v>
      </c>
      <c r="AD172">
        <v>21</v>
      </c>
      <c r="AE172">
        <v>7.3760000000000003</v>
      </c>
      <c r="AF172">
        <v>16</v>
      </c>
      <c r="AG172">
        <v>0.87999999999999989</v>
      </c>
      <c r="AH172">
        <v>8.000000000000114E-2</v>
      </c>
      <c r="AI172">
        <v>-0.64000000000000057</v>
      </c>
      <c r="AJ172">
        <v>-0.55999999999999994</v>
      </c>
      <c r="AK172">
        <v>-8.3200000000000038</v>
      </c>
      <c r="AL172">
        <v>-27.720000000000006</v>
      </c>
      <c r="AM172">
        <v>14.960000000000003</v>
      </c>
      <c r="AN172">
        <v>-1.4800000000000002</v>
      </c>
      <c r="AO172">
        <v>5.92</v>
      </c>
      <c r="AP172">
        <v>19</v>
      </c>
      <c r="AQ172">
        <v>-0.83840000000000137</v>
      </c>
      <c r="AR172">
        <v>-1.6241600000000005</v>
      </c>
      <c r="AS172">
        <v>-42.680000000000007</v>
      </c>
      <c r="AT172">
        <v>0.83840000000000148</v>
      </c>
      <c r="AU172">
        <v>-1.0059</v>
      </c>
      <c r="AV172">
        <v>2.2484083333333338</v>
      </c>
      <c r="AW172">
        <v>2.9466666666666613E-2</v>
      </c>
      <c r="AX172" t="s">
        <v>284</v>
      </c>
      <c r="AY172">
        <v>4</v>
      </c>
      <c r="AZ172">
        <v>9.3496000000000006</v>
      </c>
      <c r="BA172">
        <v>-5.2167999999999992</v>
      </c>
      <c r="BB172">
        <v>-30.639999999999997</v>
      </c>
      <c r="BC172">
        <v>0.24</v>
      </c>
      <c r="BD172">
        <v>28.246000000000002</v>
      </c>
      <c r="BE172">
        <v>76.930000000000007</v>
      </c>
      <c r="BF172">
        <v>8.9099999999999984</v>
      </c>
      <c r="BG172">
        <v>16</v>
      </c>
      <c r="BH172">
        <v>14</v>
      </c>
      <c r="BI172">
        <v>0.20000000000000018</v>
      </c>
      <c r="BJ172">
        <v>10</v>
      </c>
      <c r="BK172">
        <v>13.25</v>
      </c>
      <c r="BL172">
        <v>9</v>
      </c>
      <c r="BM172">
        <v>-4.6855978736132495E-2</v>
      </c>
      <c r="BN172">
        <v>26</v>
      </c>
      <c r="BO172">
        <v>-2.017832115926951E-2</v>
      </c>
      <c r="BP172">
        <v>6</v>
      </c>
      <c r="BQ172">
        <v>10.819999999999997</v>
      </c>
      <c r="BR172">
        <v>12</v>
      </c>
      <c r="BS172">
        <v>-2</v>
      </c>
      <c r="BT172">
        <v>2.9200000000000017</v>
      </c>
      <c r="BU172">
        <v>10.760000000000002</v>
      </c>
      <c r="BV172">
        <v>0.12000000000000002</v>
      </c>
      <c r="BW172">
        <v>39.760000000000005</v>
      </c>
      <c r="BX172">
        <v>72.320000000000007</v>
      </c>
      <c r="BY172">
        <v>-31.24</v>
      </c>
      <c r="BZ172">
        <v>7.999999999999971E-2</v>
      </c>
      <c r="CA172">
        <v>-1.4000000000000001</v>
      </c>
      <c r="CB172">
        <v>1</v>
      </c>
      <c r="CC172">
        <v>14.5664</v>
      </c>
      <c r="CD172">
        <v>10.127520000000001</v>
      </c>
      <c r="CE172">
        <v>103.56</v>
      </c>
      <c r="CF172">
        <v>4.4673500000000006</v>
      </c>
    </row>
    <row r="173" spans="1:84" x14ac:dyDescent="0.2">
      <c r="A173" s="39">
        <v>43772</v>
      </c>
      <c r="B173" s="22" t="s">
        <v>246</v>
      </c>
      <c r="C173" s="41" t="s">
        <v>284</v>
      </c>
      <c r="D173" s="22" t="s">
        <v>308</v>
      </c>
      <c r="E173">
        <v>39</v>
      </c>
      <c r="F173">
        <v>13.9</v>
      </c>
      <c r="G173">
        <v>14.2</v>
      </c>
      <c r="H173">
        <v>4.3</v>
      </c>
      <c r="I173">
        <v>4</v>
      </c>
      <c r="J173">
        <v>50.5</v>
      </c>
      <c r="K173" t="s">
        <v>109</v>
      </c>
      <c r="L173" s="1" t="s">
        <v>284</v>
      </c>
      <c r="M173">
        <v>3</v>
      </c>
      <c r="N173">
        <v>5.1863999999999999</v>
      </c>
      <c r="O173">
        <v>-4.5270000000000001</v>
      </c>
      <c r="P173">
        <v>-15.309999999999999</v>
      </c>
      <c r="Q173">
        <v>-2.79</v>
      </c>
      <c r="R173">
        <v>21.507999999999999</v>
      </c>
      <c r="S173">
        <v>72.52</v>
      </c>
      <c r="T173">
        <v>4.4800000000000004</v>
      </c>
      <c r="U173">
        <v>18</v>
      </c>
      <c r="V173">
        <v>17.5</v>
      </c>
      <c r="W173">
        <v>-2</v>
      </c>
      <c r="X173">
        <v>14</v>
      </c>
      <c r="Y173">
        <v>14</v>
      </c>
      <c r="Z173">
        <v>29</v>
      </c>
      <c r="AA173">
        <v>-4.6269555265333231E-2</v>
      </c>
      <c r="AB173">
        <v>22</v>
      </c>
      <c r="AC173">
        <v>1.6179984640325853E-2</v>
      </c>
      <c r="AD173">
        <v>1</v>
      </c>
      <c r="AE173">
        <v>-14.491999999999999</v>
      </c>
      <c r="AF173">
        <v>4</v>
      </c>
      <c r="AG173">
        <v>0.20000000000000018</v>
      </c>
      <c r="AH173">
        <v>5.7200000000000015</v>
      </c>
      <c r="AI173">
        <v>11.599999999999998</v>
      </c>
      <c r="AJ173">
        <v>0.28000000000000008</v>
      </c>
      <c r="AK173">
        <v>36.559999999999988</v>
      </c>
      <c r="AL173">
        <v>50.559999999999988</v>
      </c>
      <c r="AM173">
        <v>-10.639999999999997</v>
      </c>
      <c r="AN173">
        <v>-0.56000000000000005</v>
      </c>
      <c r="AO173">
        <v>-2.7999999999999994</v>
      </c>
      <c r="AP173">
        <v>4</v>
      </c>
      <c r="AQ173">
        <v>9.7134</v>
      </c>
      <c r="AR173">
        <v>7.6023800000000001</v>
      </c>
      <c r="AS173">
        <v>61.199999999999989</v>
      </c>
      <c r="AT173">
        <v>-9.7134</v>
      </c>
      <c r="AU173">
        <v>3.1159250000000003</v>
      </c>
      <c r="AV173">
        <v>2.2484083333333338</v>
      </c>
      <c r="AW173">
        <v>4.4673500000000006</v>
      </c>
      <c r="AX173" t="s">
        <v>308</v>
      </c>
      <c r="AY173">
        <v>17</v>
      </c>
      <c r="AZ173">
        <v>2.0224000000000011</v>
      </c>
      <c r="BA173">
        <v>-2.8000000000000913E-2</v>
      </c>
      <c r="BB173">
        <v>3.8400000000000012</v>
      </c>
      <c r="BC173">
        <v>0.36000000000000032</v>
      </c>
      <c r="BD173">
        <v>-0.35866666666666758</v>
      </c>
      <c r="BE173">
        <v>4.7200000000000042</v>
      </c>
      <c r="BF173">
        <v>-0.36000000000000043</v>
      </c>
      <c r="BG173">
        <v>12</v>
      </c>
      <c r="BH173">
        <v>12.5</v>
      </c>
      <c r="BI173">
        <v>8.0000000000000071E-2</v>
      </c>
      <c r="BJ173">
        <v>21</v>
      </c>
      <c r="BK173">
        <v>17.25</v>
      </c>
      <c r="BL173">
        <v>30</v>
      </c>
      <c r="BM173">
        <v>-2.7923767022392455E-2</v>
      </c>
      <c r="BN173">
        <v>28</v>
      </c>
      <c r="BO173">
        <v>-1.7540682526739008E-2</v>
      </c>
      <c r="BP173">
        <v>4</v>
      </c>
      <c r="BQ173">
        <v>8.6480000000000015</v>
      </c>
      <c r="BR173">
        <v>7</v>
      </c>
      <c r="BS173">
        <v>-3.9999999999999855E-2</v>
      </c>
      <c r="BT173">
        <v>-0.63999999999999768</v>
      </c>
      <c r="BU173">
        <v>-1.0400000000000005</v>
      </c>
      <c r="BV173">
        <v>1.1200000000000003</v>
      </c>
      <c r="BW173">
        <v>40.96</v>
      </c>
      <c r="BX173">
        <v>22.28</v>
      </c>
      <c r="BY173">
        <v>1.0399999999999978</v>
      </c>
      <c r="BZ173">
        <v>4.8</v>
      </c>
      <c r="CA173">
        <v>12.84</v>
      </c>
      <c r="CB173">
        <v>10</v>
      </c>
      <c r="CC173">
        <v>2.050400000000002</v>
      </c>
      <c r="CD173">
        <v>0.34674666666666715</v>
      </c>
      <c r="CE173">
        <v>21.240000000000002</v>
      </c>
      <c r="CF173">
        <v>2.9466666666666613E-2</v>
      </c>
    </row>
    <row r="174" spans="1:84" x14ac:dyDescent="0.2">
      <c r="A174" s="39">
        <v>43772</v>
      </c>
      <c r="B174" s="22" t="s">
        <v>246</v>
      </c>
      <c r="C174" s="41" t="s">
        <v>310</v>
      </c>
      <c r="D174" s="22" t="s">
        <v>301</v>
      </c>
      <c r="E174">
        <v>8.8000000000000007</v>
      </c>
      <c r="F174">
        <v>12.1</v>
      </c>
      <c r="G174">
        <v>10.5</v>
      </c>
      <c r="H174">
        <v>4.8</v>
      </c>
      <c r="I174">
        <v>3.5</v>
      </c>
      <c r="J174">
        <v>43</v>
      </c>
      <c r="L174" s="1" t="s">
        <v>310</v>
      </c>
      <c r="M174">
        <v>23</v>
      </c>
      <c r="N174">
        <v>-1.9316000000000009</v>
      </c>
      <c r="O174">
        <v>-8.7167999999999992</v>
      </c>
      <c r="P174">
        <v>-19.16</v>
      </c>
      <c r="Q174">
        <v>-1.9200000000000004</v>
      </c>
      <c r="R174">
        <v>-1.5440000000000011</v>
      </c>
      <c r="S174">
        <v>1.6000000000000014</v>
      </c>
      <c r="T174">
        <v>-2.160000000000001</v>
      </c>
      <c r="U174">
        <v>29</v>
      </c>
      <c r="V174">
        <v>29</v>
      </c>
      <c r="W174">
        <v>-1.8</v>
      </c>
      <c r="X174">
        <v>25</v>
      </c>
      <c r="Y174">
        <v>21</v>
      </c>
      <c r="Z174">
        <v>27</v>
      </c>
      <c r="AA174">
        <v>-1.6236540238399933E-3</v>
      </c>
      <c r="AB174">
        <v>2</v>
      </c>
      <c r="AC174">
        <v>3.1665901132557586E-2</v>
      </c>
      <c r="AD174">
        <v>30</v>
      </c>
      <c r="AE174">
        <v>0.1880000000000038</v>
      </c>
      <c r="AF174">
        <v>25</v>
      </c>
      <c r="AG174">
        <v>2.88</v>
      </c>
      <c r="AH174">
        <v>-3.9599999999999995</v>
      </c>
      <c r="AI174">
        <v>-6.2800000000000011</v>
      </c>
      <c r="AJ174">
        <v>-1.9600000000000002</v>
      </c>
      <c r="AK174">
        <v>-45.92</v>
      </c>
      <c r="AL174">
        <v>-19.839999999999996</v>
      </c>
      <c r="AM174">
        <v>-21.04</v>
      </c>
      <c r="AN174">
        <v>-2.9200000000000004</v>
      </c>
      <c r="AO174">
        <v>-2.1200000000000006</v>
      </c>
      <c r="AP174">
        <v>6</v>
      </c>
      <c r="AQ174">
        <v>6.7851999999999979</v>
      </c>
      <c r="AR174">
        <v>3.663279999999999</v>
      </c>
      <c r="AS174">
        <v>1.2000000000000028</v>
      </c>
      <c r="AT174">
        <v>-6.7851999999999979</v>
      </c>
      <c r="AU174">
        <v>-2.0090499999999998</v>
      </c>
      <c r="AV174">
        <v>-5.1324999999999926E-2</v>
      </c>
      <c r="AW174">
        <v>-0.39844999999999997</v>
      </c>
      <c r="AX174" t="s">
        <v>301</v>
      </c>
      <c r="AY174">
        <v>14</v>
      </c>
      <c r="AZ174">
        <v>-0.12559999999999896</v>
      </c>
      <c r="BA174">
        <v>7.4319999999999986</v>
      </c>
      <c r="BB174">
        <v>-9.4400000000000048</v>
      </c>
      <c r="BC174">
        <v>1.88</v>
      </c>
      <c r="BD174">
        <v>-2.3799999999999994</v>
      </c>
      <c r="BE174">
        <v>7.8800000000000008</v>
      </c>
      <c r="BF174">
        <v>1.3600000000000003</v>
      </c>
      <c r="BG174">
        <v>10</v>
      </c>
      <c r="BH174">
        <v>11.5</v>
      </c>
      <c r="BI174">
        <v>-0.36000000000000032</v>
      </c>
      <c r="BJ174">
        <v>18</v>
      </c>
      <c r="BK174">
        <v>16.25</v>
      </c>
      <c r="BL174">
        <v>18</v>
      </c>
      <c r="BM174">
        <v>1.9395181383897266E-2</v>
      </c>
      <c r="BN174">
        <v>16</v>
      </c>
      <c r="BO174">
        <v>2.558335648383343E-2</v>
      </c>
      <c r="BP174">
        <v>8</v>
      </c>
      <c r="BQ174">
        <v>5.3239999999999998</v>
      </c>
      <c r="BR174">
        <v>23</v>
      </c>
      <c r="BS174">
        <v>5.6</v>
      </c>
      <c r="BT174">
        <v>0.5999999999999972</v>
      </c>
      <c r="BU174">
        <v>3.7599999999999993</v>
      </c>
      <c r="BV174">
        <v>-0.83999999999999986</v>
      </c>
      <c r="BW174">
        <v>31.320000000000004</v>
      </c>
      <c r="BX174">
        <v>25.95999999999999</v>
      </c>
      <c r="BY174">
        <v>2.6000000000000028</v>
      </c>
      <c r="BZ174">
        <v>2.4799999999999995</v>
      </c>
      <c r="CA174">
        <v>0.28000000000000042</v>
      </c>
      <c r="CB174">
        <v>29</v>
      </c>
      <c r="CC174">
        <v>-7.5575999999999972</v>
      </c>
      <c r="CD174">
        <v>-4.2171199999999986</v>
      </c>
      <c r="CE174">
        <v>23.359999999999989</v>
      </c>
      <c r="CF174">
        <v>0.29580000000000012</v>
      </c>
    </row>
    <row r="175" spans="1:84" x14ac:dyDescent="0.2">
      <c r="A175" s="39">
        <v>43772</v>
      </c>
      <c r="B175" s="22" t="s">
        <v>246</v>
      </c>
      <c r="C175" s="41" t="s">
        <v>306</v>
      </c>
      <c r="D175" s="22" t="s">
        <v>276</v>
      </c>
      <c r="E175">
        <v>7.9</v>
      </c>
      <c r="F175">
        <v>8.1999999999999993</v>
      </c>
      <c r="G175">
        <v>2.2000000000000002</v>
      </c>
      <c r="H175">
        <v>2.6</v>
      </c>
      <c r="I175">
        <v>10.5</v>
      </c>
      <c r="J175">
        <v>37</v>
      </c>
      <c r="L175" s="1" t="s">
        <v>306</v>
      </c>
      <c r="M175">
        <v>31</v>
      </c>
      <c r="N175">
        <v>-7.031200000000001</v>
      </c>
      <c r="O175">
        <v>-5.4600000000000009</v>
      </c>
      <c r="P175">
        <v>-12.280000000000001</v>
      </c>
      <c r="Q175">
        <v>-0.80000000000000027</v>
      </c>
      <c r="R175">
        <v>-14.620000000000001</v>
      </c>
      <c r="S175">
        <v>-63.88</v>
      </c>
      <c r="T175">
        <v>-6.8000000000000007</v>
      </c>
      <c r="U175">
        <v>1</v>
      </c>
      <c r="V175">
        <v>1</v>
      </c>
      <c r="W175">
        <v>-0.23999999999999985</v>
      </c>
      <c r="X175">
        <v>1</v>
      </c>
      <c r="Y175">
        <v>5.25</v>
      </c>
      <c r="Z175">
        <v>9</v>
      </c>
      <c r="AA175">
        <v>-3.3600295669370173E-2</v>
      </c>
      <c r="AB175">
        <v>1</v>
      </c>
      <c r="AC175">
        <v>3.5505563290478603E-2</v>
      </c>
      <c r="AD175">
        <v>2</v>
      </c>
      <c r="AE175">
        <v>-11.656000000000001</v>
      </c>
      <c r="AF175">
        <v>9</v>
      </c>
      <c r="AG175">
        <v>1.7200000000000002</v>
      </c>
      <c r="AH175">
        <v>-9.84</v>
      </c>
      <c r="AI175">
        <v>-8.1199999999999992</v>
      </c>
      <c r="AJ175">
        <v>-1.64</v>
      </c>
      <c r="AK175">
        <v>-74.559999999999988</v>
      </c>
      <c r="AL175">
        <v>-71.28</v>
      </c>
      <c r="AM175">
        <v>-11.559999999999999</v>
      </c>
      <c r="AN175">
        <v>8.36</v>
      </c>
      <c r="AO175">
        <v>-8.0000000000000071E-2</v>
      </c>
      <c r="AP175">
        <v>21</v>
      </c>
      <c r="AQ175">
        <v>-1.5712000000000004</v>
      </c>
      <c r="AR175">
        <v>-1.6002399999999994</v>
      </c>
      <c r="AS175">
        <v>-59.72</v>
      </c>
      <c r="AT175">
        <v>1.5712000000000002</v>
      </c>
      <c r="AU175">
        <v>-3.7688999999999999</v>
      </c>
      <c r="AV175">
        <v>-0.84267499999999973</v>
      </c>
      <c r="AW175">
        <v>-0.5752999999999997</v>
      </c>
      <c r="AX175" t="s">
        <v>276</v>
      </c>
      <c r="AY175">
        <v>24</v>
      </c>
      <c r="AZ175">
        <v>-3.2943999999999996</v>
      </c>
      <c r="BA175">
        <v>3.0760000000000023</v>
      </c>
      <c r="BB175">
        <v>23.200000000000003</v>
      </c>
      <c r="BC175">
        <v>-0.5199999999999998</v>
      </c>
      <c r="BD175">
        <v>-7.9420000000000002</v>
      </c>
      <c r="BE175">
        <v>-20.379999999999995</v>
      </c>
      <c r="BF175">
        <v>-2.0100000000000007</v>
      </c>
      <c r="BG175">
        <v>32</v>
      </c>
      <c r="BH175">
        <v>32</v>
      </c>
      <c r="BI175">
        <v>-0.79999999999999982</v>
      </c>
      <c r="BJ175">
        <v>7</v>
      </c>
      <c r="BK175">
        <v>12.25</v>
      </c>
      <c r="BL175">
        <v>24</v>
      </c>
      <c r="BM175">
        <v>2.8091401786934346E-2</v>
      </c>
      <c r="BN175">
        <v>3</v>
      </c>
      <c r="BO175">
        <v>-1.9331248122945969E-3</v>
      </c>
      <c r="BP175">
        <v>17</v>
      </c>
      <c r="BQ175">
        <v>0.66000000000000081</v>
      </c>
      <c r="BR175">
        <v>5</v>
      </c>
      <c r="BS175">
        <v>-1.2799999999999998</v>
      </c>
      <c r="BT175">
        <v>-0.4799999999999997</v>
      </c>
      <c r="BU175">
        <v>-1.7199999999999995</v>
      </c>
      <c r="BV175">
        <v>-0.43999999999999995</v>
      </c>
      <c r="BW175">
        <v>-1.4</v>
      </c>
      <c r="BX175">
        <v>-26.160000000000004</v>
      </c>
      <c r="BY175">
        <v>19.880000000000003</v>
      </c>
      <c r="BZ175">
        <v>-0.59999999999999987</v>
      </c>
      <c r="CA175">
        <v>5.4799999999999995</v>
      </c>
      <c r="CB175">
        <v>28</v>
      </c>
      <c r="CC175">
        <v>-6.3704000000000018</v>
      </c>
      <c r="CD175">
        <v>-3.7852800000000011</v>
      </c>
      <c r="CE175">
        <v>-46.040000000000006</v>
      </c>
      <c r="CF175">
        <v>-1.1100499999999998</v>
      </c>
    </row>
    <row r="176" spans="1:84" x14ac:dyDescent="0.2">
      <c r="A176" s="39">
        <v>43779</v>
      </c>
      <c r="B176" s="22" t="s">
        <v>244</v>
      </c>
      <c r="C176" s="41" t="s">
        <v>285</v>
      </c>
      <c r="D176" s="22" t="s">
        <v>284</v>
      </c>
      <c r="E176">
        <v>15.1</v>
      </c>
      <c r="F176">
        <v>40.799999999999997</v>
      </c>
      <c r="G176">
        <v>10.8</v>
      </c>
      <c r="H176">
        <v>4</v>
      </c>
      <c r="I176">
        <v>5.5</v>
      </c>
      <c r="J176">
        <v>51</v>
      </c>
      <c r="K176" t="s">
        <v>109</v>
      </c>
      <c r="L176" s="1" t="s">
        <v>285</v>
      </c>
      <c r="M176">
        <v>18</v>
      </c>
      <c r="N176">
        <v>-0.39280000000000043</v>
      </c>
      <c r="O176">
        <v>7.8089999999999993</v>
      </c>
      <c r="P176">
        <v>-2.3900000000000015</v>
      </c>
      <c r="Q176">
        <v>0.1399999999999999</v>
      </c>
      <c r="R176">
        <v>-11.596000000000002</v>
      </c>
      <c r="S176">
        <v>-40.559999999999995</v>
      </c>
      <c r="T176">
        <v>-4.28</v>
      </c>
      <c r="U176">
        <v>21</v>
      </c>
      <c r="V176">
        <v>20</v>
      </c>
      <c r="W176">
        <v>-6.2799999999999994</v>
      </c>
      <c r="X176">
        <v>9</v>
      </c>
      <c r="Y176">
        <v>12.25</v>
      </c>
      <c r="Z176">
        <v>20</v>
      </c>
      <c r="AA176">
        <v>-8.762492788711268E-2</v>
      </c>
      <c r="AB176">
        <v>7</v>
      </c>
      <c r="AC176">
        <v>-1.7538886644204603E-2</v>
      </c>
      <c r="AD176">
        <v>4</v>
      </c>
      <c r="AE176">
        <v>-8.5879999999999992</v>
      </c>
      <c r="AF176">
        <v>18</v>
      </c>
      <c r="AG176">
        <v>-2.04</v>
      </c>
      <c r="AH176">
        <v>-2.6799999999999984</v>
      </c>
      <c r="AI176">
        <v>2.2799999999999994</v>
      </c>
      <c r="AJ176">
        <v>-3.2399999999999998</v>
      </c>
      <c r="AK176">
        <v>2.2000000000000002</v>
      </c>
      <c r="AL176">
        <v>-9.5200000000000049</v>
      </c>
      <c r="AM176">
        <v>-4.8399999999999981</v>
      </c>
      <c r="AN176">
        <v>2.04</v>
      </c>
      <c r="AO176">
        <v>14.52</v>
      </c>
      <c r="AP176">
        <v>31</v>
      </c>
      <c r="AQ176">
        <v>-8.2017999999999986</v>
      </c>
      <c r="AR176">
        <v>-6.3022600000000004</v>
      </c>
      <c r="AS176">
        <v>-4.6800000000000068</v>
      </c>
      <c r="AT176">
        <v>8.2018000000000004</v>
      </c>
      <c r="AU176">
        <v>-0.44247500000000034</v>
      </c>
      <c r="AV176">
        <v>2.7249625000000006</v>
      </c>
      <c r="AW176">
        <v>2.3819000000000004</v>
      </c>
      <c r="AX176" t="s">
        <v>284</v>
      </c>
      <c r="AY176">
        <v>4</v>
      </c>
      <c r="AZ176">
        <v>8.1640000000000015</v>
      </c>
      <c r="BA176">
        <v>-12.313799999999999</v>
      </c>
      <c r="BB176">
        <v>-37.169999999999995</v>
      </c>
      <c r="BC176">
        <v>-1.1099999999999999</v>
      </c>
      <c r="BD176">
        <v>25.814000000000007</v>
      </c>
      <c r="BE176">
        <v>63.790000000000006</v>
      </c>
      <c r="BF176">
        <v>4.8899999999999988</v>
      </c>
      <c r="BG176">
        <v>16</v>
      </c>
      <c r="BH176">
        <v>14</v>
      </c>
      <c r="BI176">
        <v>3.4400000000000004</v>
      </c>
      <c r="BJ176">
        <v>10</v>
      </c>
      <c r="BK176">
        <v>13.25</v>
      </c>
      <c r="BL176">
        <v>9</v>
      </c>
      <c r="BM176">
        <v>-3.0167122108181364E-2</v>
      </c>
      <c r="BN176">
        <v>26</v>
      </c>
      <c r="BO176">
        <v>-2.0434255764417812E-2</v>
      </c>
      <c r="BP176">
        <v>6</v>
      </c>
      <c r="BQ176">
        <v>5.1759999999999993</v>
      </c>
      <c r="BR176">
        <v>12</v>
      </c>
      <c r="BS176">
        <v>-3.8800000000000003</v>
      </c>
      <c r="BT176">
        <v>0.31999999999999884</v>
      </c>
      <c r="BU176">
        <v>8.7200000000000006</v>
      </c>
      <c r="BV176">
        <v>-0.44000000000000006</v>
      </c>
      <c r="BW176">
        <v>-7.999999999999545E-2</v>
      </c>
      <c r="BX176">
        <v>35.480000000000004</v>
      </c>
      <c r="BY176">
        <v>-34.119999999999997</v>
      </c>
      <c r="BZ176">
        <v>1.3599999999999999</v>
      </c>
      <c r="CA176">
        <v>-2.8</v>
      </c>
      <c r="CB176">
        <v>1</v>
      </c>
      <c r="CC176">
        <v>20.477800000000002</v>
      </c>
      <c r="CD176">
        <v>12.952500000000001</v>
      </c>
      <c r="CE176">
        <v>69.599999999999994</v>
      </c>
      <c r="CF176">
        <v>3.0680250000000009</v>
      </c>
    </row>
    <row r="177" spans="1:84" x14ac:dyDescent="0.2">
      <c r="A177" s="39">
        <v>43779</v>
      </c>
      <c r="B177" s="22" t="s">
        <v>244</v>
      </c>
      <c r="C177" s="41" t="s">
        <v>295</v>
      </c>
      <c r="D177" s="22" t="s">
        <v>307</v>
      </c>
      <c r="E177">
        <v>10.9</v>
      </c>
      <c r="F177">
        <v>7.7</v>
      </c>
      <c r="G177">
        <v>6.3</v>
      </c>
      <c r="H177">
        <v>11.7</v>
      </c>
      <c r="I177">
        <v>14</v>
      </c>
      <c r="J177">
        <v>51.5</v>
      </c>
      <c r="K177" t="s">
        <v>109</v>
      </c>
      <c r="L177" s="1" t="s">
        <v>295</v>
      </c>
      <c r="M177">
        <v>9</v>
      </c>
      <c r="N177">
        <v>3.0727999999999982</v>
      </c>
      <c r="O177">
        <v>2.0649999999999986</v>
      </c>
      <c r="P177">
        <v>-6.0299999999999985</v>
      </c>
      <c r="Q177">
        <v>0.17999999999999994</v>
      </c>
      <c r="R177">
        <v>6.6240000000000006</v>
      </c>
      <c r="S177">
        <v>23</v>
      </c>
      <c r="T177">
        <v>1.8400000000000005</v>
      </c>
      <c r="U177">
        <v>4</v>
      </c>
      <c r="V177">
        <v>7</v>
      </c>
      <c r="W177">
        <v>-4.08</v>
      </c>
      <c r="X177">
        <v>14</v>
      </c>
      <c r="Y177">
        <v>14</v>
      </c>
      <c r="Z177">
        <v>7</v>
      </c>
      <c r="AA177">
        <v>4.0686899449590121E-2</v>
      </c>
      <c r="AB177">
        <v>9</v>
      </c>
      <c r="AC177">
        <v>8.5774395740100817E-3</v>
      </c>
      <c r="AD177">
        <v>26</v>
      </c>
      <c r="AE177">
        <v>6.3079999999999981</v>
      </c>
      <c r="AF177">
        <v>14</v>
      </c>
      <c r="AG177">
        <v>1.6400000000000001</v>
      </c>
      <c r="AH177">
        <v>1.2399999999999991</v>
      </c>
      <c r="AI177">
        <v>2.7599999999999993</v>
      </c>
      <c r="AJ177">
        <v>-1.48</v>
      </c>
      <c r="AK177">
        <v>21.280000000000008</v>
      </c>
      <c r="AL177">
        <v>31.920000000000005</v>
      </c>
      <c r="AM177">
        <v>-3.2399999999999975</v>
      </c>
      <c r="AN177">
        <v>0.31999999999999995</v>
      </c>
      <c r="AO177">
        <v>-7.7199999999999989</v>
      </c>
      <c r="AP177">
        <v>17</v>
      </c>
      <c r="AQ177">
        <v>1.0077999999999994</v>
      </c>
      <c r="AR177">
        <v>0.90686000000000067</v>
      </c>
      <c r="AS177">
        <v>35.160000000000004</v>
      </c>
      <c r="AT177">
        <v>-1.0077999999999996</v>
      </c>
      <c r="AU177">
        <v>1.6552249999999997</v>
      </c>
      <c r="AV177">
        <v>-0.55761249999999962</v>
      </c>
      <c r="AW177">
        <v>1.233225</v>
      </c>
      <c r="AX177" t="s">
        <v>307</v>
      </c>
      <c r="AY177">
        <v>18</v>
      </c>
      <c r="AZ177">
        <v>-6.0775999999999994</v>
      </c>
      <c r="BA177">
        <v>-4.3899999999999988</v>
      </c>
      <c r="BB177">
        <v>-5.1000000000000014</v>
      </c>
      <c r="BC177">
        <v>0.55000000000000027</v>
      </c>
      <c r="BD177">
        <v>-8.9600000000000009</v>
      </c>
      <c r="BE177">
        <v>-46.12</v>
      </c>
      <c r="BF177">
        <v>-0.35999999999999988</v>
      </c>
      <c r="BG177">
        <v>8</v>
      </c>
      <c r="BH177">
        <v>8.5</v>
      </c>
      <c r="BI177">
        <v>0.6399999999999999</v>
      </c>
      <c r="BJ177">
        <v>17</v>
      </c>
      <c r="BK177">
        <v>16</v>
      </c>
      <c r="BL177">
        <v>6</v>
      </c>
      <c r="BM177">
        <v>2.8169295768126757E-2</v>
      </c>
      <c r="BN177">
        <v>18</v>
      </c>
      <c r="BO177">
        <v>2.7441354763366082E-3</v>
      </c>
      <c r="BP177">
        <v>21</v>
      </c>
      <c r="BQ177">
        <v>-3.0640000000000014</v>
      </c>
      <c r="BR177">
        <v>19</v>
      </c>
      <c r="BS177">
        <v>-0.48000000000000009</v>
      </c>
      <c r="BT177">
        <v>-5.9600000000000009</v>
      </c>
      <c r="BU177">
        <v>-5.76</v>
      </c>
      <c r="BV177">
        <v>0.83999999999999986</v>
      </c>
      <c r="BW177">
        <v>-94.88</v>
      </c>
      <c r="BX177">
        <v>-64.84</v>
      </c>
      <c r="BY177">
        <v>-22.560000000000002</v>
      </c>
      <c r="BZ177">
        <v>5.76</v>
      </c>
      <c r="CA177">
        <v>-13.24</v>
      </c>
      <c r="CB177">
        <v>20</v>
      </c>
      <c r="CC177">
        <v>-1.6876000000000007</v>
      </c>
      <c r="CD177">
        <v>-0.81252000000000058</v>
      </c>
      <c r="CE177">
        <v>-42.28</v>
      </c>
      <c r="CF177">
        <v>-2.3484499999999993</v>
      </c>
    </row>
    <row r="178" spans="1:84" x14ac:dyDescent="0.2">
      <c r="A178" s="39">
        <v>43779</v>
      </c>
      <c r="B178" s="22" t="s">
        <v>244</v>
      </c>
      <c r="C178" s="41" t="s">
        <v>305</v>
      </c>
      <c r="D178" s="22" t="s">
        <v>272</v>
      </c>
      <c r="E178">
        <v>18</v>
      </c>
      <c r="F178">
        <v>3.2</v>
      </c>
      <c r="G178">
        <v>0</v>
      </c>
      <c r="H178">
        <f>23.3+11.8+4</f>
        <v>39.1</v>
      </c>
      <c r="I178">
        <v>-10.5</v>
      </c>
      <c r="J178">
        <v>44</v>
      </c>
      <c r="L178" s="1" t="s">
        <v>305</v>
      </c>
      <c r="M178">
        <v>2</v>
      </c>
      <c r="N178">
        <v>6.1575999999999995</v>
      </c>
      <c r="O178">
        <v>-2.0000000000000009</v>
      </c>
      <c r="P178">
        <v>-3.7600000000000042</v>
      </c>
      <c r="Q178">
        <v>-2.5200000000000005</v>
      </c>
      <c r="R178">
        <v>-1.0613333333333355</v>
      </c>
      <c r="S178">
        <v>-16.54666666666666</v>
      </c>
      <c r="T178">
        <v>-2.7066666666666652</v>
      </c>
      <c r="U178">
        <v>8</v>
      </c>
      <c r="V178">
        <v>8.5</v>
      </c>
      <c r="W178">
        <v>4.4400000000000004</v>
      </c>
      <c r="X178">
        <v>31</v>
      </c>
      <c r="Y178">
        <v>29.25</v>
      </c>
      <c r="Z178">
        <v>27</v>
      </c>
      <c r="AA178">
        <v>-1.6755866736370795E-2</v>
      </c>
      <c r="AB178">
        <v>31</v>
      </c>
      <c r="AC178">
        <v>-1.864633314740724E-3</v>
      </c>
      <c r="AD178">
        <v>27</v>
      </c>
      <c r="AE178">
        <v>17.432000000000002</v>
      </c>
      <c r="AF178">
        <v>32</v>
      </c>
      <c r="AG178">
        <v>-3.839999999999999</v>
      </c>
      <c r="AH178">
        <v>1.4210854715202005E-15</v>
      </c>
      <c r="AI178">
        <v>4.88</v>
      </c>
      <c r="AJ178">
        <v>3.7600000000000002</v>
      </c>
      <c r="AK178">
        <v>-14.160000000000014</v>
      </c>
      <c r="AL178">
        <v>-57.359999999999992</v>
      </c>
      <c r="AM178">
        <v>1.2799999999999983</v>
      </c>
      <c r="AN178">
        <v>-9</v>
      </c>
      <c r="AO178">
        <v>50.92</v>
      </c>
      <c r="AP178">
        <v>4</v>
      </c>
      <c r="AQ178">
        <v>8.1576000000000004</v>
      </c>
      <c r="AR178">
        <v>2.0192533333333333</v>
      </c>
      <c r="AS178">
        <v>-58.639999999999993</v>
      </c>
      <c r="AT178">
        <v>-8.1576000000000004</v>
      </c>
      <c r="AU178">
        <v>0.76203333333333301</v>
      </c>
      <c r="AV178">
        <v>-0.49357499999999987</v>
      </c>
      <c r="AW178">
        <v>-2.0768249999999999</v>
      </c>
      <c r="AX178" t="s">
        <v>272</v>
      </c>
      <c r="AY178">
        <v>10</v>
      </c>
      <c r="AZ178">
        <v>6.0583999999999989</v>
      </c>
      <c r="BA178">
        <v>-0.47299999999999831</v>
      </c>
      <c r="BB178">
        <v>14.75</v>
      </c>
      <c r="BC178">
        <v>-0.42999999999999994</v>
      </c>
      <c r="BD178">
        <v>2.1719999999999988</v>
      </c>
      <c r="BE178">
        <v>26.279999999999983</v>
      </c>
      <c r="BF178">
        <v>-2.9066666666666672</v>
      </c>
      <c r="BG178">
        <v>20</v>
      </c>
      <c r="BH178">
        <v>21</v>
      </c>
      <c r="BI178">
        <v>1.08</v>
      </c>
      <c r="BJ178">
        <v>22</v>
      </c>
      <c r="BK178">
        <v>18.25</v>
      </c>
      <c r="BL178">
        <v>13</v>
      </c>
      <c r="BM178">
        <v>-3.0530006037428246E-2</v>
      </c>
      <c r="BN178">
        <v>15</v>
      </c>
      <c r="BO178">
        <v>-2.7245205774960625E-2</v>
      </c>
      <c r="BP178">
        <v>19</v>
      </c>
      <c r="BQ178">
        <v>-5.923999999999995</v>
      </c>
      <c r="BR178">
        <v>26</v>
      </c>
      <c r="BS178">
        <v>-3.96</v>
      </c>
      <c r="BT178">
        <v>2.0400000000000005</v>
      </c>
      <c r="BU178">
        <v>3.2399999999999998</v>
      </c>
      <c r="BV178">
        <v>0.4799999999999997</v>
      </c>
      <c r="BW178">
        <v>88.879999999999981</v>
      </c>
      <c r="BX178">
        <v>40.360000000000007</v>
      </c>
      <c r="BY178">
        <v>22.68</v>
      </c>
      <c r="BZ178">
        <v>4.5999999999999996</v>
      </c>
      <c r="CA178">
        <v>21.240000000000002</v>
      </c>
      <c r="CB178">
        <v>3</v>
      </c>
      <c r="CC178">
        <v>6.531399999999997</v>
      </c>
      <c r="CD178">
        <v>1.8825799999999981</v>
      </c>
      <c r="CE178">
        <v>17.680000000000007</v>
      </c>
      <c r="CF178">
        <v>1.0896750000000002</v>
      </c>
    </row>
    <row r="179" spans="1:84" x14ac:dyDescent="0.2">
      <c r="A179" s="39">
        <v>43779</v>
      </c>
      <c r="B179" s="22" t="s">
        <v>244</v>
      </c>
      <c r="C179" s="41" t="s">
        <v>276</v>
      </c>
      <c r="D179" s="22" t="s">
        <v>281</v>
      </c>
      <c r="E179">
        <v>12.7</v>
      </c>
      <c r="F179">
        <v>11.4</v>
      </c>
      <c r="G179">
        <v>3.9</v>
      </c>
      <c r="H179">
        <v>9.5</v>
      </c>
      <c r="I179">
        <v>3</v>
      </c>
      <c r="J179">
        <v>42</v>
      </c>
      <c r="K179" t="s">
        <v>110</v>
      </c>
      <c r="L179" s="1" t="s">
        <v>276</v>
      </c>
      <c r="M179">
        <v>8</v>
      </c>
      <c r="N179">
        <v>3.1328000000000014</v>
      </c>
      <c r="O179">
        <v>-8.2240000000000002</v>
      </c>
      <c r="P179">
        <v>-24.959999999999997</v>
      </c>
      <c r="Q179">
        <v>-1.4000000000000001</v>
      </c>
      <c r="R179">
        <v>-3.6239999999999997</v>
      </c>
      <c r="S179">
        <v>-11.36</v>
      </c>
      <c r="T179">
        <v>-0.71999999999999964</v>
      </c>
      <c r="U179">
        <v>25</v>
      </c>
      <c r="V179">
        <v>23</v>
      </c>
      <c r="W179">
        <v>-2.0000000000000004</v>
      </c>
      <c r="X179">
        <v>24</v>
      </c>
      <c r="Y179">
        <v>20.75</v>
      </c>
      <c r="Z179">
        <v>25</v>
      </c>
      <c r="AA179">
        <v>-1.2758798067550514E-2</v>
      </c>
      <c r="AB179">
        <v>25</v>
      </c>
      <c r="AC179">
        <v>-3.6485535119917438E-3</v>
      </c>
      <c r="AD179">
        <v>5</v>
      </c>
      <c r="AE179">
        <v>-22.643999999999998</v>
      </c>
      <c r="AF179">
        <v>28</v>
      </c>
      <c r="AG179">
        <v>-1.6800000000000002</v>
      </c>
      <c r="AH179">
        <v>-3.12</v>
      </c>
      <c r="AI179">
        <v>-3.3600000000000003</v>
      </c>
      <c r="AJ179">
        <v>1.08</v>
      </c>
      <c r="AK179">
        <v>-39.08</v>
      </c>
      <c r="AL179">
        <v>-24</v>
      </c>
      <c r="AM179">
        <v>-28.159999999999997</v>
      </c>
      <c r="AN179">
        <v>-3.0800000000000005</v>
      </c>
      <c r="AO179">
        <v>16.16</v>
      </c>
      <c r="AP179">
        <v>2</v>
      </c>
      <c r="AQ179">
        <v>11.356800000000002</v>
      </c>
      <c r="AR179">
        <v>4.0137600000000004</v>
      </c>
      <c r="AS179">
        <v>4.1599999999999966</v>
      </c>
      <c r="AT179">
        <v>-11.356800000000002</v>
      </c>
      <c r="AU179">
        <v>-1.4343999999999997</v>
      </c>
      <c r="AV179">
        <v>0.26013749999999985</v>
      </c>
      <c r="AW179">
        <v>0.41299999999999976</v>
      </c>
      <c r="AX179" t="s">
        <v>281</v>
      </c>
      <c r="AY179">
        <v>11</v>
      </c>
      <c r="AZ179">
        <v>2.4471999999999983</v>
      </c>
      <c r="BA179">
        <v>2.2360000000000007</v>
      </c>
      <c r="BB179">
        <v>20.559999999999995</v>
      </c>
      <c r="BC179">
        <v>-0.92</v>
      </c>
      <c r="BD179">
        <v>-3.145</v>
      </c>
      <c r="BE179">
        <v>-13.180000000000001</v>
      </c>
      <c r="BF179">
        <v>-2.1900000000000004</v>
      </c>
      <c r="BG179">
        <v>29</v>
      </c>
      <c r="BH179">
        <v>27</v>
      </c>
      <c r="BI179">
        <v>0.76</v>
      </c>
      <c r="BJ179">
        <v>9</v>
      </c>
      <c r="BK179">
        <v>12.5</v>
      </c>
      <c r="BL179">
        <v>8</v>
      </c>
      <c r="BM179">
        <v>2.5066245895236643E-2</v>
      </c>
      <c r="BN179">
        <v>16</v>
      </c>
      <c r="BO179">
        <v>-2.1488701380310655E-3</v>
      </c>
      <c r="BP179">
        <v>7</v>
      </c>
      <c r="BQ179">
        <v>5.6</v>
      </c>
      <c r="BR179">
        <v>19</v>
      </c>
      <c r="BS179">
        <v>-3.2800000000000002</v>
      </c>
      <c r="BT179">
        <v>-1</v>
      </c>
      <c r="BU179">
        <v>1.6799999999999997</v>
      </c>
      <c r="BV179">
        <v>0.24000000000000013</v>
      </c>
      <c r="BW179">
        <v>28.639999999999997</v>
      </c>
      <c r="BX179">
        <v>1.6799999999999955</v>
      </c>
      <c r="BY179">
        <v>20.439999999999998</v>
      </c>
      <c r="BZ179">
        <v>5.32</v>
      </c>
      <c r="CA179">
        <v>1.2000000000000002</v>
      </c>
      <c r="CB179">
        <v>15</v>
      </c>
      <c r="CC179">
        <v>0.21119999999999761</v>
      </c>
      <c r="CD179">
        <v>-1.2575600000000007</v>
      </c>
      <c r="CE179">
        <v>-18.760000000000002</v>
      </c>
      <c r="CF179">
        <v>0.10727499999999997</v>
      </c>
    </row>
    <row r="180" spans="1:84" x14ac:dyDescent="0.2">
      <c r="A180" s="39">
        <v>43779</v>
      </c>
      <c r="B180" s="22" t="s">
        <v>244</v>
      </c>
      <c r="C180" s="41" t="s">
        <v>301</v>
      </c>
      <c r="D180" s="22" t="s">
        <v>300</v>
      </c>
      <c r="E180">
        <v>24</v>
      </c>
      <c r="F180">
        <v>13.5</v>
      </c>
      <c r="G180">
        <v>3.1</v>
      </c>
      <c r="H180">
        <v>17.8</v>
      </c>
      <c r="I180">
        <v>5</v>
      </c>
      <c r="J180">
        <v>49</v>
      </c>
      <c r="L180" s="1" t="s">
        <v>301</v>
      </c>
      <c r="M180">
        <v>30</v>
      </c>
      <c r="N180">
        <v>-5.0303999999999984</v>
      </c>
      <c r="O180">
        <v>14.714199999999998</v>
      </c>
      <c r="P180">
        <v>41.85</v>
      </c>
      <c r="Q180">
        <v>0.92999999999999972</v>
      </c>
      <c r="R180">
        <v>-7.1719999999999997</v>
      </c>
      <c r="S180">
        <v>-26.090000000000003</v>
      </c>
      <c r="T180">
        <v>1.45</v>
      </c>
      <c r="U180">
        <v>32</v>
      </c>
      <c r="V180">
        <v>31.5</v>
      </c>
      <c r="W180">
        <v>1.9999999999999996</v>
      </c>
      <c r="X180">
        <v>4</v>
      </c>
      <c r="Y180">
        <v>8.5</v>
      </c>
      <c r="Z180">
        <v>4</v>
      </c>
      <c r="AA180">
        <v>7.7824173438987175E-3</v>
      </c>
      <c r="AB180">
        <v>6</v>
      </c>
      <c r="AC180">
        <v>1.2815883339807243E-2</v>
      </c>
      <c r="AD180">
        <v>17</v>
      </c>
      <c r="AE180">
        <v>-4.5439999999999996</v>
      </c>
      <c r="AF180">
        <v>7</v>
      </c>
      <c r="AG180">
        <v>-0.16000000000000014</v>
      </c>
      <c r="AH180">
        <v>3.1599999999999993</v>
      </c>
      <c r="AI180">
        <v>2.36</v>
      </c>
      <c r="AJ180">
        <v>1.1599999999999999</v>
      </c>
      <c r="AK180">
        <v>5.9600000000000026</v>
      </c>
      <c r="AL180">
        <v>-28.28</v>
      </c>
      <c r="AM180">
        <v>42.480000000000004</v>
      </c>
      <c r="AN180">
        <v>3.6</v>
      </c>
      <c r="AO180">
        <v>-11.84</v>
      </c>
      <c r="AP180">
        <v>32</v>
      </c>
      <c r="AQ180">
        <v>-19.744599999999995</v>
      </c>
      <c r="AR180">
        <v>-9.79758</v>
      </c>
      <c r="AS180">
        <v>-70.760000000000005</v>
      </c>
      <c r="AT180">
        <v>19.744599999999998</v>
      </c>
      <c r="AU180">
        <v>0.18897499999999973</v>
      </c>
      <c r="AV180">
        <v>1.2423781250000006</v>
      </c>
      <c r="AW180">
        <v>1.7532000000000005</v>
      </c>
      <c r="AX180" t="s">
        <v>300</v>
      </c>
      <c r="AY180">
        <v>21</v>
      </c>
      <c r="AZ180">
        <v>-0.91279999999999895</v>
      </c>
      <c r="BA180">
        <v>-9.1999999999998749E-2</v>
      </c>
      <c r="BB180">
        <v>10.92</v>
      </c>
      <c r="BC180">
        <v>-1.3599999999999999</v>
      </c>
      <c r="BD180">
        <v>5.2172500000000035</v>
      </c>
      <c r="BE180">
        <v>44.152500000000003</v>
      </c>
      <c r="BF180">
        <v>-0.13999999999999979</v>
      </c>
      <c r="BG180">
        <v>6</v>
      </c>
      <c r="BH180">
        <v>5</v>
      </c>
      <c r="BI180">
        <v>-3.3200000000000003</v>
      </c>
      <c r="BJ180">
        <v>29</v>
      </c>
      <c r="BK180">
        <v>24</v>
      </c>
      <c r="BL180">
        <v>17</v>
      </c>
      <c r="BM180">
        <v>-5.3560739412721971E-2</v>
      </c>
      <c r="BN180">
        <v>23</v>
      </c>
      <c r="BO180">
        <v>8.5568622260432832E-3</v>
      </c>
      <c r="BP180">
        <v>27</v>
      </c>
      <c r="BQ180">
        <v>-3.2719999999999998</v>
      </c>
      <c r="BR180">
        <v>29</v>
      </c>
      <c r="BS180">
        <v>-0.4</v>
      </c>
      <c r="BT180">
        <v>0.4</v>
      </c>
      <c r="BU180">
        <v>1.2800000000000005</v>
      </c>
      <c r="BV180">
        <v>-1.4</v>
      </c>
      <c r="BW180">
        <v>50.4</v>
      </c>
      <c r="BX180">
        <v>31.160000000000004</v>
      </c>
      <c r="BY180">
        <v>16.119999999999997</v>
      </c>
      <c r="BZ180">
        <v>0.48000000000000026</v>
      </c>
      <c r="CA180">
        <v>2.6399999999999997</v>
      </c>
      <c r="CB180">
        <v>18</v>
      </c>
      <c r="CC180">
        <v>-0.8208000000000002</v>
      </c>
      <c r="CD180">
        <v>0.90689000000000031</v>
      </c>
      <c r="CE180">
        <v>15.040000000000006</v>
      </c>
      <c r="CF180">
        <v>0.73155625000000069</v>
      </c>
    </row>
    <row r="181" spans="1:84" x14ac:dyDescent="0.2">
      <c r="A181" s="39">
        <v>43779</v>
      </c>
      <c r="B181" s="22" t="s">
        <v>244</v>
      </c>
      <c r="C181" s="41" t="s">
        <v>265</v>
      </c>
      <c r="D181" s="22" t="s">
        <v>299</v>
      </c>
      <c r="E181">
        <v>14.6</v>
      </c>
      <c r="F181">
        <v>13.8</v>
      </c>
      <c r="G181">
        <v>1.7</v>
      </c>
      <c r="H181">
        <v>8.8000000000000007</v>
      </c>
      <c r="I181">
        <v>-6</v>
      </c>
      <c r="J181">
        <v>38</v>
      </c>
      <c r="L181" s="1" t="s">
        <v>265</v>
      </c>
      <c r="M181">
        <v>29</v>
      </c>
      <c r="N181">
        <v>-4.5792000000000002</v>
      </c>
      <c r="O181">
        <v>-2.4910000000000005</v>
      </c>
      <c r="P181">
        <v>-25.189999999999998</v>
      </c>
      <c r="Q181">
        <v>2.06</v>
      </c>
      <c r="R181">
        <v>-6.1040000000000001</v>
      </c>
      <c r="S181">
        <v>-23.28</v>
      </c>
      <c r="T181">
        <v>-0.55999999999999972</v>
      </c>
      <c r="U181">
        <v>30</v>
      </c>
      <c r="V181">
        <v>29.5</v>
      </c>
      <c r="W181">
        <v>-0.27999999999999997</v>
      </c>
      <c r="X181">
        <v>18</v>
      </c>
      <c r="Y181">
        <v>15.5</v>
      </c>
      <c r="Z181">
        <v>20</v>
      </c>
      <c r="AA181">
        <v>1.560854732544995E-2</v>
      </c>
      <c r="AB181">
        <v>11</v>
      </c>
      <c r="AC181">
        <v>2.6367696093076133E-2</v>
      </c>
      <c r="AD181">
        <v>20</v>
      </c>
      <c r="AE181">
        <v>-7.8320000000000025</v>
      </c>
      <c r="AF181">
        <v>11</v>
      </c>
      <c r="AG181">
        <v>0.55999999999999994</v>
      </c>
      <c r="AH181">
        <v>-3.5199999999999987</v>
      </c>
      <c r="AI181">
        <v>-4.5200000000000005</v>
      </c>
      <c r="AJ181">
        <v>0.83999999999999986</v>
      </c>
      <c r="AK181">
        <v>-66.11999999999999</v>
      </c>
      <c r="AL181">
        <v>-33.4</v>
      </c>
      <c r="AM181">
        <v>-23.96</v>
      </c>
      <c r="AN181">
        <v>-5.68</v>
      </c>
      <c r="AO181">
        <v>-3.08</v>
      </c>
      <c r="AP181">
        <v>18</v>
      </c>
      <c r="AQ181">
        <v>-2.0881999999999996</v>
      </c>
      <c r="AR181">
        <v>-0.8911399999999996</v>
      </c>
      <c r="AS181">
        <v>-9.4399999999999977</v>
      </c>
      <c r="AT181">
        <v>2.0881999999999996</v>
      </c>
      <c r="AU181">
        <v>-1.931775</v>
      </c>
      <c r="AV181">
        <v>0.70042500000000019</v>
      </c>
      <c r="AW181">
        <v>-0.83259999999999956</v>
      </c>
      <c r="AX181" t="s">
        <v>299</v>
      </c>
      <c r="AY181">
        <v>3</v>
      </c>
      <c r="AZ181">
        <v>5.4871999999999996</v>
      </c>
      <c r="BA181">
        <v>4.2044000000000015</v>
      </c>
      <c r="BB181">
        <v>23.799999999999997</v>
      </c>
      <c r="BC181">
        <v>-1.88</v>
      </c>
      <c r="BD181">
        <v>9.3359999999999985</v>
      </c>
      <c r="BE181">
        <v>28.800000000000004</v>
      </c>
      <c r="BF181">
        <v>1.1200000000000006</v>
      </c>
      <c r="BG181">
        <v>12</v>
      </c>
      <c r="BH181">
        <v>12.5</v>
      </c>
      <c r="BI181">
        <v>-0.8</v>
      </c>
      <c r="BJ181">
        <v>24</v>
      </c>
      <c r="BK181">
        <v>21</v>
      </c>
      <c r="BL181">
        <v>26</v>
      </c>
      <c r="BM181">
        <v>-1.3540330282671997E-2</v>
      </c>
      <c r="BN181">
        <v>23</v>
      </c>
      <c r="BO181">
        <v>-7.9522555368686833E-3</v>
      </c>
      <c r="BP181">
        <v>5</v>
      </c>
      <c r="BQ181">
        <v>3.7479999999999962</v>
      </c>
      <c r="BR181">
        <v>30</v>
      </c>
      <c r="BS181">
        <v>-2.3199999999999994</v>
      </c>
      <c r="BT181">
        <v>4.0000000000000018</v>
      </c>
      <c r="BU181">
        <v>5.32</v>
      </c>
      <c r="BV181">
        <v>-1.2</v>
      </c>
      <c r="BW181">
        <v>51.360000000000014</v>
      </c>
      <c r="BX181">
        <v>25.680000000000007</v>
      </c>
      <c r="BY181">
        <v>25.119999999999997</v>
      </c>
      <c r="BZ181">
        <v>3.84</v>
      </c>
      <c r="CA181">
        <v>-3.28</v>
      </c>
      <c r="CB181">
        <v>11</v>
      </c>
      <c r="CC181">
        <v>1.2827999999999982</v>
      </c>
      <c r="CD181">
        <v>0.86243999999999943</v>
      </c>
      <c r="CE181">
        <v>0.56000000000000938</v>
      </c>
      <c r="CF181">
        <v>2.2334499999999999</v>
      </c>
    </row>
    <row r="182" spans="1:84" x14ac:dyDescent="0.2">
      <c r="A182" s="39">
        <v>43779</v>
      </c>
      <c r="B182" s="28" t="s">
        <v>244</v>
      </c>
      <c r="C182" s="17" t="s">
        <v>272</v>
      </c>
      <c r="D182" s="28" t="s">
        <v>305</v>
      </c>
      <c r="E182" s="3">
        <v>12.2</v>
      </c>
      <c r="F182" s="3">
        <v>6.6</v>
      </c>
      <c r="G182" s="3">
        <v>1.9</v>
      </c>
      <c r="H182" s="3">
        <v>11.3</v>
      </c>
      <c r="I182" s="3">
        <v>10.5</v>
      </c>
      <c r="J182" s="3">
        <v>44</v>
      </c>
      <c r="K182" s="3"/>
      <c r="L182" s="1" t="s">
        <v>272</v>
      </c>
      <c r="M182">
        <v>17</v>
      </c>
      <c r="N182">
        <v>-0.16720000000000113</v>
      </c>
      <c r="O182">
        <v>-4.2808000000000002</v>
      </c>
      <c r="P182">
        <v>-15.599999999999998</v>
      </c>
      <c r="Q182">
        <v>-0.84</v>
      </c>
      <c r="R182">
        <v>0.95199999999999907</v>
      </c>
      <c r="S182">
        <v>19.760000000000005</v>
      </c>
      <c r="T182">
        <v>5.52</v>
      </c>
      <c r="U182">
        <v>12</v>
      </c>
      <c r="V182">
        <v>11.5</v>
      </c>
      <c r="W182">
        <v>-3.96</v>
      </c>
      <c r="X182">
        <v>10</v>
      </c>
      <c r="Y182">
        <v>12.75</v>
      </c>
      <c r="Z182">
        <v>13</v>
      </c>
      <c r="AA182">
        <v>-3.6277966185013416E-2</v>
      </c>
      <c r="AB182">
        <v>15</v>
      </c>
      <c r="AC182">
        <v>-8.0484146466201587E-3</v>
      </c>
      <c r="AD182">
        <v>11</v>
      </c>
      <c r="AE182">
        <v>-4.484</v>
      </c>
      <c r="AF182">
        <v>12</v>
      </c>
      <c r="AG182">
        <v>1.08</v>
      </c>
      <c r="AH182">
        <v>2.4799999999999995</v>
      </c>
      <c r="AI182">
        <v>-4.24</v>
      </c>
      <c r="AJ182">
        <v>8.8817841970012528E-17</v>
      </c>
      <c r="AK182">
        <v>-10.039999999999997</v>
      </c>
      <c r="AL182">
        <v>5.5200000000000049</v>
      </c>
      <c r="AM182">
        <v>-18.04</v>
      </c>
      <c r="AN182">
        <v>2.04</v>
      </c>
      <c r="AO182">
        <v>0.44000000000000022</v>
      </c>
      <c r="AP182">
        <v>11</v>
      </c>
      <c r="AQ182">
        <v>4.113599999999999</v>
      </c>
      <c r="AR182">
        <v>2.2973599999999998</v>
      </c>
      <c r="AS182">
        <v>23.560000000000002</v>
      </c>
      <c r="AT182">
        <v>-4.113599999999999</v>
      </c>
      <c r="AU182">
        <v>-0.49200000000000027</v>
      </c>
      <c r="AV182">
        <v>-0.49357499999999987</v>
      </c>
      <c r="AW182">
        <v>1.0896750000000002</v>
      </c>
      <c r="AX182" t="s">
        <v>305</v>
      </c>
      <c r="AY182">
        <v>32</v>
      </c>
      <c r="AZ182">
        <v>-5.0191999999999997</v>
      </c>
      <c r="BA182">
        <v>-5.7263999999999982</v>
      </c>
      <c r="BB182">
        <v>-17.68</v>
      </c>
      <c r="BC182">
        <v>-1.4</v>
      </c>
      <c r="BD182">
        <v>-6.2689999999999984</v>
      </c>
      <c r="BE182">
        <v>-28.18</v>
      </c>
      <c r="BF182">
        <v>0.65</v>
      </c>
      <c r="BG182">
        <v>23</v>
      </c>
      <c r="BH182">
        <v>22.5</v>
      </c>
      <c r="BI182">
        <v>-3.839999999999999</v>
      </c>
      <c r="BJ182">
        <v>5</v>
      </c>
      <c r="BK182">
        <v>9.75</v>
      </c>
      <c r="BL182">
        <v>15</v>
      </c>
      <c r="BM182">
        <v>1.1435172095658752E-2</v>
      </c>
      <c r="BN182">
        <v>8</v>
      </c>
      <c r="BO182">
        <v>-9.8586575028799753E-3</v>
      </c>
      <c r="BP182">
        <v>15</v>
      </c>
      <c r="BQ182">
        <v>-10.872</v>
      </c>
      <c r="BR182">
        <v>1</v>
      </c>
      <c r="BS182">
        <v>4.4400000000000004</v>
      </c>
      <c r="BT182">
        <v>-4.32</v>
      </c>
      <c r="BU182">
        <v>-4.08</v>
      </c>
      <c r="BV182">
        <v>-0.92000000000000015</v>
      </c>
      <c r="BW182">
        <v>-45.320000000000007</v>
      </c>
      <c r="BX182">
        <v>-30.280000000000008</v>
      </c>
      <c r="BY182">
        <v>-19.52</v>
      </c>
      <c r="BZ182">
        <v>1.6</v>
      </c>
      <c r="CA182">
        <v>2.88</v>
      </c>
      <c r="CB182">
        <v>14</v>
      </c>
      <c r="CC182">
        <v>0.70719999999999805</v>
      </c>
      <c r="CD182">
        <v>0.60555999999999965</v>
      </c>
      <c r="CE182">
        <v>-10.760000000000009</v>
      </c>
      <c r="CF182">
        <v>-2.0768249999999999</v>
      </c>
    </row>
    <row r="183" spans="1:84" x14ac:dyDescent="0.2">
      <c r="A183" s="39">
        <v>43779</v>
      </c>
      <c r="B183" s="22" t="s">
        <v>244</v>
      </c>
      <c r="C183" s="41" t="s">
        <v>281</v>
      </c>
      <c r="D183" s="22" t="s">
        <v>276</v>
      </c>
      <c r="E183">
        <v>10.7</v>
      </c>
      <c r="F183">
        <v>24.7</v>
      </c>
      <c r="G183">
        <v>7.7</v>
      </c>
      <c r="H183">
        <v>4.8</v>
      </c>
      <c r="I183">
        <v>-3</v>
      </c>
      <c r="J183">
        <v>42</v>
      </c>
      <c r="K183" t="s">
        <v>110</v>
      </c>
      <c r="L183" s="1" t="s">
        <v>281</v>
      </c>
      <c r="M183">
        <v>15</v>
      </c>
      <c r="N183">
        <v>0.23960000000000009</v>
      </c>
      <c r="O183">
        <v>3.3760000000000003</v>
      </c>
      <c r="P183">
        <v>23.92</v>
      </c>
      <c r="Q183">
        <v>1.44</v>
      </c>
      <c r="R183">
        <v>3.3159999999999972</v>
      </c>
      <c r="S183">
        <v>11.8</v>
      </c>
      <c r="T183">
        <v>2.2400000000000002</v>
      </c>
      <c r="U183">
        <v>4</v>
      </c>
      <c r="V183">
        <v>7</v>
      </c>
      <c r="W183">
        <v>-3.2800000000000002</v>
      </c>
      <c r="X183">
        <v>30</v>
      </c>
      <c r="Y183">
        <v>29</v>
      </c>
      <c r="Z183">
        <v>31</v>
      </c>
      <c r="AA183">
        <v>-2.3078384150267493E-2</v>
      </c>
      <c r="AB183">
        <v>30</v>
      </c>
      <c r="AC183">
        <v>-4.2080969707410723E-3</v>
      </c>
      <c r="AD183">
        <v>24</v>
      </c>
      <c r="AE183">
        <v>-1.5639999999999972</v>
      </c>
      <c r="AF183">
        <v>31</v>
      </c>
      <c r="AG183">
        <v>0.76</v>
      </c>
      <c r="AH183">
        <v>0.75999999999999945</v>
      </c>
      <c r="AI183">
        <v>0.28000000000000008</v>
      </c>
      <c r="AJ183">
        <v>-2.04</v>
      </c>
      <c r="AK183">
        <v>15.4</v>
      </c>
      <c r="AL183">
        <v>2.960000000000008</v>
      </c>
      <c r="AM183">
        <v>20.36</v>
      </c>
      <c r="AN183">
        <v>-3.7999999999999994</v>
      </c>
      <c r="AO183">
        <v>-4.12</v>
      </c>
      <c r="AP183">
        <v>22</v>
      </c>
      <c r="AQ183">
        <v>-3.1364000000000001</v>
      </c>
      <c r="AR183">
        <v>-0.97688000000000064</v>
      </c>
      <c r="AS183">
        <v>-17.399999999999991</v>
      </c>
      <c r="AT183">
        <v>3.1364000000000001</v>
      </c>
      <c r="AU183">
        <v>0.93144999999999989</v>
      </c>
      <c r="AV183">
        <v>0.26013749999999985</v>
      </c>
      <c r="AW183">
        <v>0.10727499999999997</v>
      </c>
      <c r="AX183" t="s">
        <v>276</v>
      </c>
      <c r="AY183">
        <v>24</v>
      </c>
      <c r="AZ183">
        <v>-0.18799999999999989</v>
      </c>
      <c r="BA183">
        <v>5.8840000000000003</v>
      </c>
      <c r="BB183">
        <v>32.56</v>
      </c>
      <c r="BC183">
        <v>0.6399999999999999</v>
      </c>
      <c r="BD183">
        <v>-1.8320000000000025</v>
      </c>
      <c r="BE183">
        <v>-5.6799999999999979</v>
      </c>
      <c r="BF183">
        <v>-2.4000000000000004</v>
      </c>
      <c r="BG183">
        <v>32</v>
      </c>
      <c r="BH183">
        <v>32</v>
      </c>
      <c r="BI183">
        <v>-1.6800000000000002</v>
      </c>
      <c r="BJ183">
        <v>7</v>
      </c>
      <c r="BK183">
        <v>12.25</v>
      </c>
      <c r="BL183">
        <v>24</v>
      </c>
      <c r="BM183">
        <v>-2.9424667121040306E-3</v>
      </c>
      <c r="BN183">
        <v>3</v>
      </c>
      <c r="BO183">
        <v>-4.4215036144920981E-3</v>
      </c>
      <c r="BP183">
        <v>17</v>
      </c>
      <c r="BQ183">
        <v>-0.92000000000000171</v>
      </c>
      <c r="BR183">
        <v>5</v>
      </c>
      <c r="BS183">
        <v>-2.0000000000000004</v>
      </c>
      <c r="BT183">
        <v>1.0399999999999991</v>
      </c>
      <c r="BU183">
        <v>1.3200000000000003</v>
      </c>
      <c r="BV183">
        <v>-0.6399999999999999</v>
      </c>
      <c r="BW183">
        <v>27.240000000000002</v>
      </c>
      <c r="BX183">
        <v>-4</v>
      </c>
      <c r="BY183">
        <v>30.919999999999998</v>
      </c>
      <c r="BZ183">
        <v>-1.8399999999999999</v>
      </c>
      <c r="CA183">
        <v>2.1599999999999997</v>
      </c>
      <c r="CB183">
        <v>26</v>
      </c>
      <c r="CC183">
        <v>-6.0720000000000001</v>
      </c>
      <c r="CD183">
        <v>-3.3460000000000005</v>
      </c>
      <c r="CE183">
        <v>-34.92</v>
      </c>
      <c r="CF183">
        <v>0.41299999999999976</v>
      </c>
    </row>
    <row r="184" spans="1:84" x14ac:dyDescent="0.2">
      <c r="A184" s="39">
        <v>43779</v>
      </c>
      <c r="B184" s="22" t="s">
        <v>244</v>
      </c>
      <c r="C184" s="41" t="s">
        <v>291</v>
      </c>
      <c r="D184" s="22" t="s">
        <v>312</v>
      </c>
      <c r="E184">
        <v>34.700000000000003</v>
      </c>
      <c r="F184">
        <v>17.600000000000001</v>
      </c>
      <c r="G184">
        <v>25.6</v>
      </c>
      <c r="H184">
        <f>6.5+3.7</f>
        <v>10.199999999999999</v>
      </c>
      <c r="I184">
        <v>-3.5</v>
      </c>
      <c r="J184">
        <v>48.5</v>
      </c>
      <c r="L184" s="1" t="s">
        <v>291</v>
      </c>
      <c r="M184">
        <v>4</v>
      </c>
      <c r="N184">
        <v>4.9191999999999991</v>
      </c>
      <c r="O184">
        <v>-0.11699999999999999</v>
      </c>
      <c r="P184">
        <v>21.090000000000003</v>
      </c>
      <c r="Q184">
        <v>-1.2299999999999998</v>
      </c>
      <c r="R184">
        <v>18.700500000000002</v>
      </c>
      <c r="S184">
        <v>92.112499999999997</v>
      </c>
      <c r="T184">
        <v>7.8800000000000008</v>
      </c>
      <c r="U184">
        <v>11</v>
      </c>
      <c r="V184">
        <v>9.5</v>
      </c>
      <c r="W184">
        <v>-0.23999999999999969</v>
      </c>
      <c r="X184">
        <v>26</v>
      </c>
      <c r="Y184">
        <v>22.25</v>
      </c>
      <c r="Z184">
        <v>18</v>
      </c>
      <c r="AA184">
        <v>5.560643233842881E-2</v>
      </c>
      <c r="AB184">
        <v>32</v>
      </c>
      <c r="AC184">
        <v>-3.7083501232900842E-2</v>
      </c>
      <c r="AD184">
        <v>16</v>
      </c>
      <c r="AE184">
        <v>7.3119999999999958</v>
      </c>
      <c r="AF184">
        <v>23</v>
      </c>
      <c r="AG184">
        <v>-4</v>
      </c>
      <c r="AH184">
        <v>5.9999999999999982</v>
      </c>
      <c r="AI184">
        <v>4.0399999999999991</v>
      </c>
      <c r="AJ184">
        <v>3.9999999999999994E-2</v>
      </c>
      <c r="AK184">
        <v>85.4</v>
      </c>
      <c r="AL184">
        <v>60.639999999999986</v>
      </c>
      <c r="AM184">
        <v>15.76</v>
      </c>
      <c r="AN184">
        <v>3.88</v>
      </c>
      <c r="AO184">
        <v>5.12</v>
      </c>
      <c r="AP184">
        <v>10</v>
      </c>
      <c r="AQ184">
        <v>5.0361999999999991</v>
      </c>
      <c r="AR184">
        <v>4.7824400000000011</v>
      </c>
      <c r="AS184">
        <v>44.879999999999988</v>
      </c>
      <c r="AT184">
        <v>-5.0361999999999991</v>
      </c>
      <c r="AU184">
        <v>3.2078375000000006</v>
      </c>
      <c r="AV184">
        <v>0.55797499999999989</v>
      </c>
      <c r="AW184">
        <v>-0.26125000000000037</v>
      </c>
      <c r="AX184" t="s">
        <v>312</v>
      </c>
      <c r="AY184">
        <v>7</v>
      </c>
      <c r="AZ184">
        <v>1.4576000000000007</v>
      </c>
      <c r="BA184">
        <v>0.52400000000000047</v>
      </c>
      <c r="BB184">
        <v>6.24</v>
      </c>
      <c r="BC184">
        <v>-0.48000000000000009</v>
      </c>
      <c r="BD184">
        <v>6.6759999999999993</v>
      </c>
      <c r="BE184">
        <v>16.200000000000006</v>
      </c>
      <c r="BF184">
        <v>5.68</v>
      </c>
      <c r="BG184">
        <v>11</v>
      </c>
      <c r="BH184">
        <v>12</v>
      </c>
      <c r="BI184">
        <v>-5.44</v>
      </c>
      <c r="BJ184">
        <v>7</v>
      </c>
      <c r="BK184">
        <v>12.25</v>
      </c>
      <c r="BL184">
        <v>19</v>
      </c>
      <c r="BM184">
        <v>1.9234712710372647E-2</v>
      </c>
      <c r="BN184">
        <v>13</v>
      </c>
      <c r="BO184">
        <v>9.0903818360350171E-3</v>
      </c>
      <c r="BP184">
        <v>1</v>
      </c>
      <c r="BQ184">
        <v>-17.284000000000002</v>
      </c>
      <c r="BR184">
        <v>16</v>
      </c>
      <c r="BS184">
        <v>-0.31999999999999973</v>
      </c>
      <c r="BT184">
        <v>-0.56000000000000227</v>
      </c>
      <c r="BU184">
        <v>1.3999999999999997</v>
      </c>
      <c r="BV184">
        <v>-1.6799999999999997</v>
      </c>
      <c r="BW184">
        <v>24.32</v>
      </c>
      <c r="BX184">
        <v>24.919999999999998</v>
      </c>
      <c r="BY184">
        <v>6.3199999999999985</v>
      </c>
      <c r="BZ184">
        <v>-2.4</v>
      </c>
      <c r="CA184">
        <v>-4.5200000000000005</v>
      </c>
      <c r="CB184">
        <v>13</v>
      </c>
      <c r="CC184">
        <v>0.93360000000000021</v>
      </c>
      <c r="CD184">
        <v>1.3647199999999999</v>
      </c>
      <c r="CE184">
        <v>18.600000000000001</v>
      </c>
      <c r="CF184">
        <v>1.3772000000000002</v>
      </c>
    </row>
    <row r="185" spans="1:84" x14ac:dyDescent="0.2">
      <c r="A185" s="39">
        <v>43779</v>
      </c>
      <c r="B185" s="22" t="s">
        <v>244</v>
      </c>
      <c r="C185" s="41" t="s">
        <v>299</v>
      </c>
      <c r="D185" s="22" t="s">
        <v>265</v>
      </c>
      <c r="E185">
        <v>14.7</v>
      </c>
      <c r="F185">
        <v>12.7</v>
      </c>
      <c r="G185">
        <v>6.9</v>
      </c>
      <c r="H185">
        <f>7.7+3.9</f>
        <v>11.6</v>
      </c>
      <c r="I185">
        <v>6</v>
      </c>
      <c r="J185">
        <v>38</v>
      </c>
      <c r="L185" s="4" t="s">
        <v>299</v>
      </c>
      <c r="M185" s="3">
        <v>6</v>
      </c>
      <c r="N185" s="3">
        <v>3.8008000000000011</v>
      </c>
      <c r="O185">
        <v>-7.9880000000000013</v>
      </c>
      <c r="P185">
        <v>-35.67</v>
      </c>
      <c r="Q185">
        <v>1.03</v>
      </c>
      <c r="R185">
        <v>8.9419999999999966</v>
      </c>
      <c r="S185">
        <v>39.849999999999994</v>
      </c>
      <c r="T185">
        <v>2.1500000000000004</v>
      </c>
      <c r="U185">
        <v>23</v>
      </c>
      <c r="V185">
        <v>22.5</v>
      </c>
      <c r="W185">
        <v>-2.3199999999999994</v>
      </c>
      <c r="X185">
        <v>5</v>
      </c>
      <c r="Y185">
        <v>9</v>
      </c>
      <c r="Z185">
        <v>6</v>
      </c>
      <c r="AA185">
        <v>5.0837549520596839E-2</v>
      </c>
      <c r="AB185">
        <v>12</v>
      </c>
      <c r="AC185">
        <v>-4.9129936961431891E-4</v>
      </c>
      <c r="AD185">
        <v>9</v>
      </c>
      <c r="AE185">
        <v>0.81999999999999884</v>
      </c>
      <c r="AF185">
        <v>9</v>
      </c>
      <c r="AG185">
        <v>-0.8</v>
      </c>
      <c r="AH185">
        <v>0.92000000000000026</v>
      </c>
      <c r="AI185">
        <v>-1.0400000000000005</v>
      </c>
      <c r="AJ185">
        <v>0.12</v>
      </c>
      <c r="AK185">
        <v>5.3199999999999932</v>
      </c>
      <c r="AL185">
        <v>48.199999999999989</v>
      </c>
      <c r="AM185">
        <v>-36.239999999999995</v>
      </c>
      <c r="AN185">
        <v>-1.2</v>
      </c>
      <c r="AO185">
        <v>-5.4399999999999995</v>
      </c>
      <c r="AP185">
        <v>1</v>
      </c>
      <c r="AQ185">
        <v>11.788800000000002</v>
      </c>
      <c r="AR185">
        <v>6.5425599999999999</v>
      </c>
      <c r="AS185">
        <v>84.439999999999984</v>
      </c>
      <c r="AT185">
        <v>-11.788800000000002</v>
      </c>
      <c r="AU185">
        <v>0.73434999999999984</v>
      </c>
      <c r="AV185">
        <v>0.70042500000000019</v>
      </c>
      <c r="AW185">
        <v>2.2334499999999999</v>
      </c>
      <c r="AX185" t="s">
        <v>265</v>
      </c>
      <c r="AY185">
        <v>29</v>
      </c>
      <c r="AZ185">
        <v>-2.399999999999999</v>
      </c>
      <c r="BA185">
        <v>0.35920000000000041</v>
      </c>
      <c r="BB185">
        <v>6.6400000000000006</v>
      </c>
      <c r="BC185">
        <v>-1.5999999999999996</v>
      </c>
      <c r="BD185">
        <v>-4.379999999999999</v>
      </c>
      <c r="BE185">
        <v>-6.5999999999999943</v>
      </c>
      <c r="BF185">
        <v>2.2500000000000004</v>
      </c>
      <c r="BG185">
        <v>15</v>
      </c>
      <c r="BH185">
        <v>13</v>
      </c>
      <c r="BI185">
        <v>0.55999999999999994</v>
      </c>
      <c r="BJ185">
        <v>32</v>
      </c>
      <c r="BK185">
        <v>29.25</v>
      </c>
      <c r="BL185">
        <v>28</v>
      </c>
      <c r="BM185">
        <v>-4.4517409564758165E-2</v>
      </c>
      <c r="BN185">
        <v>29</v>
      </c>
      <c r="BO185">
        <v>-9.4807369723878369E-3</v>
      </c>
      <c r="BP185">
        <v>29</v>
      </c>
      <c r="BQ185">
        <v>1.7319999999999993</v>
      </c>
      <c r="BR185">
        <v>31</v>
      </c>
      <c r="BS185">
        <v>-0.27999999999999997</v>
      </c>
      <c r="BT185">
        <v>4.3599999999999977</v>
      </c>
      <c r="BU185">
        <v>0.43999999999999984</v>
      </c>
      <c r="BV185">
        <v>-1.0799999999999998</v>
      </c>
      <c r="BW185">
        <v>-24.199999999999989</v>
      </c>
      <c r="BX185">
        <v>-35.32</v>
      </c>
      <c r="BY185">
        <v>9.32</v>
      </c>
      <c r="BZ185">
        <v>-2.3199999999999998</v>
      </c>
      <c r="CA185">
        <v>4.1199999999999992</v>
      </c>
      <c r="CB185">
        <v>23</v>
      </c>
      <c r="CC185">
        <v>-2.759199999999999</v>
      </c>
      <c r="CD185">
        <v>-1.5355999999999994</v>
      </c>
      <c r="CE185">
        <v>-44.64</v>
      </c>
      <c r="CF185">
        <v>-0.83259999999999956</v>
      </c>
    </row>
    <row r="186" spans="1:84" x14ac:dyDescent="0.2">
      <c r="A186" s="39">
        <v>43779</v>
      </c>
      <c r="B186" s="22" t="s">
        <v>244</v>
      </c>
      <c r="C186" s="41" t="s">
        <v>300</v>
      </c>
      <c r="D186" s="22" t="s">
        <v>301</v>
      </c>
      <c r="E186">
        <v>21.8</v>
      </c>
      <c r="F186">
        <v>5.7</v>
      </c>
      <c r="G186">
        <v>4.3</v>
      </c>
      <c r="H186">
        <v>7.9</v>
      </c>
      <c r="I186">
        <v>-5</v>
      </c>
      <c r="J186">
        <v>49</v>
      </c>
      <c r="L186" s="1" t="s">
        <v>300</v>
      </c>
      <c r="M186">
        <v>7</v>
      </c>
      <c r="N186">
        <v>3.7248000000000006</v>
      </c>
      <c r="O186">
        <v>11.5124</v>
      </c>
      <c r="P186">
        <v>-7.3599999999999994</v>
      </c>
      <c r="Q186">
        <v>4.04</v>
      </c>
      <c r="R186">
        <v>-7.5679999999999996</v>
      </c>
      <c r="S186">
        <v>-11.519999999999996</v>
      </c>
      <c r="T186">
        <v>-3.68</v>
      </c>
      <c r="U186">
        <v>31</v>
      </c>
      <c r="V186">
        <v>31</v>
      </c>
      <c r="W186">
        <v>-0.4</v>
      </c>
      <c r="X186">
        <v>16</v>
      </c>
      <c r="Y186">
        <v>14.5</v>
      </c>
      <c r="Z186">
        <v>17</v>
      </c>
      <c r="AA186">
        <v>-3.6591674581538815E-2</v>
      </c>
      <c r="AB186">
        <v>14</v>
      </c>
      <c r="AC186">
        <v>-7.2249624499932264E-3</v>
      </c>
      <c r="AD186">
        <v>3</v>
      </c>
      <c r="AE186">
        <v>14.747999999999999</v>
      </c>
      <c r="AF186">
        <v>24</v>
      </c>
      <c r="AG186">
        <v>-3.3200000000000003</v>
      </c>
      <c r="AH186">
        <v>-3.5599999999999996</v>
      </c>
      <c r="AI186">
        <v>4.28</v>
      </c>
      <c r="AJ186">
        <v>-0.27999999999999997</v>
      </c>
      <c r="AK186">
        <v>13.240000000000009</v>
      </c>
      <c r="AL186">
        <v>28.72</v>
      </c>
      <c r="AM186">
        <v>-10.48</v>
      </c>
      <c r="AN186">
        <v>-3.0799999999999996</v>
      </c>
      <c r="AO186">
        <v>-1.92</v>
      </c>
      <c r="AP186">
        <v>29</v>
      </c>
      <c r="AQ186">
        <v>-7.7875999999999994</v>
      </c>
      <c r="AR186">
        <v>-6.5248399999999993</v>
      </c>
      <c r="AS186">
        <v>39.200000000000003</v>
      </c>
      <c r="AT186">
        <v>7.7875999999999994</v>
      </c>
      <c r="AU186">
        <v>1.0986500000000001</v>
      </c>
      <c r="AV186">
        <v>1.2423781250000006</v>
      </c>
      <c r="AW186">
        <v>0.73155625000000069</v>
      </c>
      <c r="AX186" t="s">
        <v>301</v>
      </c>
      <c r="AY186">
        <v>14</v>
      </c>
      <c r="AZ186">
        <v>0.46159999999999923</v>
      </c>
      <c r="BA186">
        <v>6.9400000000000013</v>
      </c>
      <c r="BB186">
        <v>19</v>
      </c>
      <c r="BC186">
        <v>-1.56</v>
      </c>
      <c r="BD186">
        <v>7.8240000000000016</v>
      </c>
      <c r="BE186">
        <v>47.12</v>
      </c>
      <c r="BF186">
        <v>3.1199999999999992</v>
      </c>
      <c r="BG186">
        <v>10</v>
      </c>
      <c r="BH186">
        <v>11.5</v>
      </c>
      <c r="BI186">
        <v>-0.16000000000000014</v>
      </c>
      <c r="BJ186">
        <v>18</v>
      </c>
      <c r="BK186">
        <v>16.25</v>
      </c>
      <c r="BL186">
        <v>18</v>
      </c>
      <c r="BM186">
        <v>-2.6091785233425126E-2</v>
      </c>
      <c r="BN186">
        <v>16</v>
      </c>
      <c r="BO186">
        <v>5.60386769240377E-3</v>
      </c>
      <c r="BP186">
        <v>8</v>
      </c>
      <c r="BQ186">
        <v>-5.38</v>
      </c>
      <c r="BR186">
        <v>23</v>
      </c>
      <c r="BS186">
        <v>1.9999999999999996</v>
      </c>
      <c r="BT186">
        <v>1.4</v>
      </c>
      <c r="BU186">
        <v>8.4</v>
      </c>
      <c r="BV186">
        <v>-0.55999999999999994</v>
      </c>
      <c r="BW186">
        <v>66.64</v>
      </c>
      <c r="BX186">
        <v>32.44</v>
      </c>
      <c r="BY186">
        <v>31.320000000000004</v>
      </c>
      <c r="BZ186">
        <v>2</v>
      </c>
      <c r="CA186">
        <v>0.87999999999999967</v>
      </c>
      <c r="CB186">
        <v>30</v>
      </c>
      <c r="CC186">
        <v>-6.4784000000000024</v>
      </c>
      <c r="CD186">
        <v>-1.8128800000000003</v>
      </c>
      <c r="CE186">
        <v>1.1199999999999939</v>
      </c>
      <c r="CF186">
        <v>1.7532000000000005</v>
      </c>
    </row>
    <row r="187" spans="1:84" x14ac:dyDescent="0.2">
      <c r="A187" s="39">
        <v>43779</v>
      </c>
      <c r="B187" s="28" t="s">
        <v>244</v>
      </c>
      <c r="C187" s="41" t="s">
        <v>289</v>
      </c>
      <c r="D187" s="28" t="s">
        <v>293</v>
      </c>
      <c r="E187" s="3"/>
      <c r="F187" s="3">
        <v>5.0999999999999996</v>
      </c>
      <c r="G187" s="3">
        <v>1.9</v>
      </c>
      <c r="H187" s="3">
        <f>13.4+10.6</f>
        <v>24</v>
      </c>
      <c r="I187">
        <v>-11</v>
      </c>
      <c r="J187">
        <v>44.5</v>
      </c>
      <c r="K187" t="s">
        <v>110</v>
      </c>
      <c r="L187" s="1" t="s">
        <v>289</v>
      </c>
      <c r="M187">
        <v>19</v>
      </c>
      <c r="N187">
        <v>-0.84320000000000017</v>
      </c>
      <c r="O187">
        <v>-2.0796000000000001</v>
      </c>
      <c r="P187">
        <v>13.719999999999999</v>
      </c>
      <c r="Q187">
        <v>-1.36</v>
      </c>
      <c r="R187">
        <v>2.0080000000000009</v>
      </c>
      <c r="S187">
        <v>-1.4399999999999942</v>
      </c>
      <c r="T187">
        <v>-1.7199999999999995</v>
      </c>
      <c r="U187">
        <v>19</v>
      </c>
      <c r="V187">
        <v>19.5</v>
      </c>
      <c r="W187">
        <v>0.87999999999999989</v>
      </c>
      <c r="X187">
        <v>3</v>
      </c>
      <c r="Y187">
        <v>7.75</v>
      </c>
      <c r="Z187">
        <v>4</v>
      </c>
      <c r="AA187">
        <v>0.10009669115890515</v>
      </c>
      <c r="AB187">
        <v>8</v>
      </c>
      <c r="AC187">
        <v>3.9521205152000526E-4</v>
      </c>
      <c r="AD187">
        <v>13</v>
      </c>
      <c r="AE187">
        <v>7.4960000000000022</v>
      </c>
      <c r="AF187">
        <v>6</v>
      </c>
      <c r="AG187">
        <v>-0.59999999999999964</v>
      </c>
      <c r="AH187">
        <v>3</v>
      </c>
      <c r="AI187">
        <v>0.6400000000000009</v>
      </c>
      <c r="AJ187">
        <v>-0.6399999999999999</v>
      </c>
      <c r="AK187">
        <v>7.880000000000007</v>
      </c>
      <c r="AL187">
        <v>-18.080000000000002</v>
      </c>
      <c r="AM187">
        <v>21.840000000000003</v>
      </c>
      <c r="AN187">
        <v>5.76</v>
      </c>
      <c r="AO187">
        <v>-1.6400000000000006</v>
      </c>
      <c r="AP187">
        <v>15</v>
      </c>
      <c r="AQ187">
        <v>1.2363999999999997</v>
      </c>
      <c r="AR187">
        <v>1.2727600000000001</v>
      </c>
      <c r="AS187">
        <v>-39.92</v>
      </c>
      <c r="AT187">
        <v>-1.2363999999999999</v>
      </c>
      <c r="AU187">
        <v>-9.3499999999998584E-3</v>
      </c>
      <c r="AV187">
        <v>0.24352499999999999</v>
      </c>
      <c r="AW187">
        <v>-0.95724999999999993</v>
      </c>
      <c r="AX187" t="s">
        <v>293</v>
      </c>
      <c r="AY187">
        <v>2</v>
      </c>
      <c r="AZ187">
        <v>1.024799999999999</v>
      </c>
      <c r="BA187">
        <v>2.2576000000000009</v>
      </c>
      <c r="BB187">
        <v>24.439999999999998</v>
      </c>
      <c r="BC187">
        <v>8.0000000000000071E-2</v>
      </c>
      <c r="BD187">
        <v>5.7519999999999989</v>
      </c>
      <c r="BE187">
        <v>14.080000000000002</v>
      </c>
      <c r="BF187">
        <v>3.6400000000000006</v>
      </c>
      <c r="BG187">
        <v>1</v>
      </c>
      <c r="BH187">
        <v>1.5</v>
      </c>
      <c r="BI187">
        <v>0.76000000000000012</v>
      </c>
      <c r="BJ187">
        <v>31</v>
      </c>
      <c r="BK187">
        <v>29</v>
      </c>
      <c r="BL187">
        <v>29</v>
      </c>
      <c r="BM187">
        <v>-5.8930359512332262E-2</v>
      </c>
      <c r="BN187">
        <v>32</v>
      </c>
      <c r="BO187">
        <v>-3.4165538160251439E-2</v>
      </c>
      <c r="BP187">
        <v>30</v>
      </c>
      <c r="BQ187">
        <v>-1.2479999999999962</v>
      </c>
      <c r="BR187">
        <v>25</v>
      </c>
      <c r="BS187">
        <v>-3.3200000000000003</v>
      </c>
      <c r="BT187">
        <v>3.080000000000001</v>
      </c>
      <c r="BU187">
        <v>3.0000000000000004</v>
      </c>
      <c r="BV187">
        <v>7.9999999999999891E-2</v>
      </c>
      <c r="BW187">
        <v>37.760000000000005</v>
      </c>
      <c r="BX187">
        <v>18.8</v>
      </c>
      <c r="BY187">
        <v>27.320000000000004</v>
      </c>
      <c r="BZ187">
        <v>-5.0400000000000009</v>
      </c>
      <c r="CA187">
        <v>-3.3200000000000003</v>
      </c>
      <c r="CB187">
        <v>19</v>
      </c>
      <c r="CC187">
        <v>-1.2328000000000017</v>
      </c>
      <c r="CD187">
        <v>0.22655999999999921</v>
      </c>
      <c r="CE187">
        <v>-8.5200000000000031</v>
      </c>
      <c r="CF187">
        <v>1.4442999999999999</v>
      </c>
    </row>
    <row r="188" spans="1:84" x14ac:dyDescent="0.2">
      <c r="A188" s="39">
        <v>43779</v>
      </c>
      <c r="B188" s="22" t="s">
        <v>244</v>
      </c>
      <c r="C188" s="41" t="s">
        <v>288</v>
      </c>
      <c r="D188" s="22" t="s">
        <v>310</v>
      </c>
      <c r="E188">
        <v>36</v>
      </c>
      <c r="F188">
        <v>13.3</v>
      </c>
      <c r="G188">
        <v>10.1</v>
      </c>
      <c r="H188">
        <v>22.2</v>
      </c>
      <c r="I188">
        <v>-5</v>
      </c>
      <c r="J188">
        <v>49</v>
      </c>
      <c r="L188" s="4" t="s">
        <v>288</v>
      </c>
      <c r="M188" s="3">
        <v>13</v>
      </c>
      <c r="N188" s="3">
        <v>0.82399999999999918</v>
      </c>
      <c r="O188">
        <v>-3.085</v>
      </c>
      <c r="P188">
        <v>-1.2300000000000011</v>
      </c>
      <c r="Q188">
        <v>-2.1900000000000004</v>
      </c>
      <c r="R188">
        <v>3.2959999999999989</v>
      </c>
      <c r="S188">
        <v>12.950000000000003</v>
      </c>
      <c r="T188">
        <v>0.41000000000000048</v>
      </c>
      <c r="U188">
        <v>15</v>
      </c>
      <c r="V188">
        <v>14.5</v>
      </c>
      <c r="W188">
        <v>1.7599999999999998</v>
      </c>
      <c r="X188">
        <v>29</v>
      </c>
      <c r="Y188">
        <v>25</v>
      </c>
      <c r="Z188">
        <v>26</v>
      </c>
      <c r="AA188">
        <v>-5.4039157212903775E-2</v>
      </c>
      <c r="AB188">
        <v>23</v>
      </c>
      <c r="AC188">
        <v>-3.1736584970451622E-3</v>
      </c>
      <c r="AD188">
        <v>25</v>
      </c>
      <c r="AE188">
        <v>7.6240000000000023</v>
      </c>
      <c r="AF188">
        <v>26</v>
      </c>
      <c r="AG188">
        <v>-2.12</v>
      </c>
      <c r="AH188">
        <v>-5.44</v>
      </c>
      <c r="AI188">
        <v>3.0799999999999996</v>
      </c>
      <c r="AJ188">
        <v>0.48000000000000009</v>
      </c>
      <c r="AK188">
        <v>-8.1199999999999939</v>
      </c>
      <c r="AL188">
        <v>-1.5200000000000102</v>
      </c>
      <c r="AM188">
        <v>-1.3999999999999986</v>
      </c>
      <c r="AN188">
        <v>1.6</v>
      </c>
      <c r="AO188">
        <v>-6.8</v>
      </c>
      <c r="AP188">
        <v>12</v>
      </c>
      <c r="AQ188">
        <v>3.9089999999999994</v>
      </c>
      <c r="AR188">
        <v>2.3664999999999994</v>
      </c>
      <c r="AS188">
        <v>-0.12000000000001165</v>
      </c>
      <c r="AT188">
        <v>-3.9089999999999989</v>
      </c>
      <c r="AU188">
        <v>0.20937499999999967</v>
      </c>
      <c r="AV188">
        <v>-0.61262500000000009</v>
      </c>
      <c r="AW188">
        <v>-1.2677</v>
      </c>
      <c r="AX188" t="s">
        <v>310</v>
      </c>
      <c r="AY188">
        <v>11</v>
      </c>
      <c r="AZ188">
        <v>3.3236000000000003</v>
      </c>
      <c r="BA188">
        <v>-0.74400000000000066</v>
      </c>
      <c r="BB188">
        <v>-11.399999999999999</v>
      </c>
      <c r="BC188">
        <v>0.3600000000000001</v>
      </c>
      <c r="BD188">
        <v>-2.8000000000000007</v>
      </c>
      <c r="BE188">
        <v>-11.120000000000001</v>
      </c>
      <c r="BF188">
        <v>-2.08</v>
      </c>
      <c r="BG188">
        <v>3</v>
      </c>
      <c r="BH188">
        <v>3.5</v>
      </c>
      <c r="BI188">
        <v>3.96</v>
      </c>
      <c r="BJ188">
        <v>15</v>
      </c>
      <c r="BK188">
        <v>15.75</v>
      </c>
      <c r="BL188">
        <v>16</v>
      </c>
      <c r="BM188">
        <v>3.3596238614569021E-2</v>
      </c>
      <c r="BN188">
        <v>21</v>
      </c>
      <c r="BO188">
        <v>-2.1773822270562012E-2</v>
      </c>
      <c r="BP188">
        <v>13</v>
      </c>
      <c r="BQ188">
        <v>-2.5</v>
      </c>
      <c r="BR188">
        <v>13</v>
      </c>
      <c r="BS188">
        <v>-2.16</v>
      </c>
      <c r="BT188">
        <v>2.8</v>
      </c>
      <c r="BU188">
        <v>-3.9999999999999855E-2</v>
      </c>
      <c r="BV188">
        <v>-0.64</v>
      </c>
      <c r="BW188">
        <v>-0.2</v>
      </c>
      <c r="BX188">
        <v>10.95999999999999</v>
      </c>
      <c r="BY188">
        <v>-14.799999999999997</v>
      </c>
      <c r="BZ188">
        <v>-2.08</v>
      </c>
      <c r="CA188">
        <v>5.7200000000000006</v>
      </c>
      <c r="CB188">
        <v>6</v>
      </c>
      <c r="CC188">
        <v>4.0676000000000005</v>
      </c>
      <c r="CD188">
        <v>0.47672000000000025</v>
      </c>
      <c r="CE188">
        <v>25.759999999999987</v>
      </c>
      <c r="CF188">
        <v>4.2449999999999821E-2</v>
      </c>
    </row>
    <row r="189" spans="1:84" x14ac:dyDescent="0.2">
      <c r="A189" s="39">
        <v>43779</v>
      </c>
      <c r="B189" s="22" t="s">
        <v>244</v>
      </c>
      <c r="C189" s="41" t="s">
        <v>303</v>
      </c>
      <c r="D189" s="22" t="s">
        <v>287</v>
      </c>
      <c r="E189">
        <v>5.5</v>
      </c>
      <c r="F189">
        <v>8.1999999999999993</v>
      </c>
      <c r="G189">
        <v>2</v>
      </c>
      <c r="H189">
        <v>7</v>
      </c>
      <c r="I189">
        <v>1</v>
      </c>
      <c r="J189">
        <v>49</v>
      </c>
      <c r="L189" s="1" t="s">
        <v>303</v>
      </c>
      <c r="M189">
        <v>22</v>
      </c>
      <c r="N189">
        <v>-2.0384000000000011</v>
      </c>
      <c r="O189">
        <v>2.9879999999999982</v>
      </c>
      <c r="P189">
        <v>18.649999999999999</v>
      </c>
      <c r="Q189">
        <v>-5.0000000000000044E-2</v>
      </c>
      <c r="R189">
        <v>-3.1300000000000017</v>
      </c>
      <c r="S189">
        <v>-27.510000000000012</v>
      </c>
      <c r="T189">
        <v>-3.0500000000000003</v>
      </c>
      <c r="U189">
        <v>19</v>
      </c>
      <c r="V189">
        <v>19.5</v>
      </c>
      <c r="W189">
        <v>0.64000000000000024</v>
      </c>
      <c r="X189">
        <v>19</v>
      </c>
      <c r="Y189">
        <v>17.25</v>
      </c>
      <c r="Z189">
        <v>14</v>
      </c>
      <c r="AA189">
        <v>-5.3930569344292675E-2</v>
      </c>
      <c r="AB189">
        <v>21</v>
      </c>
      <c r="AC189">
        <v>-2.6245175946971566E-2</v>
      </c>
      <c r="AD189">
        <v>32</v>
      </c>
      <c r="AE189">
        <v>18.78</v>
      </c>
      <c r="AF189">
        <v>2</v>
      </c>
      <c r="AG189">
        <v>-3.2</v>
      </c>
      <c r="AH189">
        <v>-1.3200000000000003</v>
      </c>
      <c r="AI189">
        <v>1.6000000000000008</v>
      </c>
      <c r="AJ189">
        <v>0.95999999999999974</v>
      </c>
      <c r="AK189">
        <v>19.520000000000003</v>
      </c>
      <c r="AL189">
        <v>-2.1600000000000135</v>
      </c>
      <c r="AM189">
        <v>24.8</v>
      </c>
      <c r="AN189">
        <v>2.84</v>
      </c>
      <c r="AO189">
        <v>-5.96</v>
      </c>
      <c r="AP189">
        <v>26</v>
      </c>
      <c r="AQ189">
        <v>-5.0263999999999989</v>
      </c>
      <c r="AR189">
        <v>-2.5276799999999997</v>
      </c>
      <c r="AS189">
        <v>-26.960000000000015</v>
      </c>
      <c r="AT189">
        <v>5.0263999999999989</v>
      </c>
      <c r="AU189">
        <v>-0.31755000000000033</v>
      </c>
      <c r="AV189">
        <v>0.31630000000000014</v>
      </c>
      <c r="AW189">
        <v>1.3752000000000004</v>
      </c>
      <c r="AX189" t="s">
        <v>287</v>
      </c>
      <c r="AY189">
        <v>26</v>
      </c>
      <c r="AZ189">
        <v>-2.6624000000000003</v>
      </c>
      <c r="BA189">
        <v>3.5415999999999994</v>
      </c>
      <c r="BB189">
        <v>28.4</v>
      </c>
      <c r="BC189">
        <v>-0.72</v>
      </c>
      <c r="BD189">
        <v>-8.02</v>
      </c>
      <c r="BE189">
        <v>-31.8</v>
      </c>
      <c r="BF189">
        <v>-3.9600000000000004</v>
      </c>
      <c r="BG189">
        <v>3</v>
      </c>
      <c r="BH189">
        <v>3.5</v>
      </c>
      <c r="BI189">
        <v>-1.1199999999999997</v>
      </c>
      <c r="BJ189">
        <v>25</v>
      </c>
      <c r="BK189">
        <v>21.5</v>
      </c>
      <c r="BL189">
        <v>20</v>
      </c>
      <c r="BM189">
        <v>-1.5040928549718635E-2</v>
      </c>
      <c r="BN189">
        <v>25</v>
      </c>
      <c r="BO189">
        <v>-1.4132125181737749E-2</v>
      </c>
      <c r="BP189">
        <v>18</v>
      </c>
      <c r="BQ189">
        <v>-7.2759999999999989</v>
      </c>
      <c r="BR189">
        <v>23</v>
      </c>
      <c r="BS189">
        <v>-0.68000000000000027</v>
      </c>
      <c r="BT189">
        <v>0.72000000000000031</v>
      </c>
      <c r="BU189">
        <v>-2.2399999999999998</v>
      </c>
      <c r="BV189">
        <v>0.27999999999999997</v>
      </c>
      <c r="BW189">
        <v>10.880000000000006</v>
      </c>
      <c r="BX189">
        <v>-17.159999999999997</v>
      </c>
      <c r="BY189">
        <v>28.160000000000004</v>
      </c>
      <c r="BZ189">
        <v>0.72</v>
      </c>
      <c r="CA189">
        <v>-0.83999999999999986</v>
      </c>
      <c r="CB189">
        <v>27</v>
      </c>
      <c r="CC189">
        <v>-6.2039999999999997</v>
      </c>
      <c r="CD189">
        <v>-3.9072799999999992</v>
      </c>
      <c r="CE189">
        <v>-45.32</v>
      </c>
      <c r="CF189">
        <v>-0.74260000000000015</v>
      </c>
    </row>
    <row r="190" spans="1:84" x14ac:dyDescent="0.2">
      <c r="A190" s="39">
        <v>43779</v>
      </c>
      <c r="B190" s="22" t="s">
        <v>244</v>
      </c>
      <c r="C190" s="41" t="s">
        <v>287</v>
      </c>
      <c r="D190" s="22" t="s">
        <v>303</v>
      </c>
      <c r="E190">
        <v>16.600000000000001</v>
      </c>
      <c r="F190">
        <v>7.5</v>
      </c>
      <c r="G190">
        <v>0</v>
      </c>
      <c r="H190">
        <v>13</v>
      </c>
      <c r="I190">
        <v>-1</v>
      </c>
      <c r="J190">
        <v>49</v>
      </c>
      <c r="L190" s="1" t="s">
        <v>287</v>
      </c>
      <c r="M190">
        <v>20</v>
      </c>
      <c r="N190">
        <v>-1.2671999999999992</v>
      </c>
      <c r="O190">
        <v>6.9159999999999968</v>
      </c>
      <c r="P190">
        <v>-21.47</v>
      </c>
      <c r="Q190">
        <v>4.3099999999999996</v>
      </c>
      <c r="R190">
        <v>-6.5900000000000025</v>
      </c>
      <c r="S190">
        <v>-12.269999999999996</v>
      </c>
      <c r="T190">
        <v>-1.7299999999999993</v>
      </c>
      <c r="U190">
        <v>4</v>
      </c>
      <c r="V190">
        <v>7</v>
      </c>
      <c r="W190">
        <v>-0.68000000000000027</v>
      </c>
      <c r="X190">
        <v>10</v>
      </c>
      <c r="Y190">
        <v>12.75</v>
      </c>
      <c r="Z190">
        <v>24</v>
      </c>
      <c r="AA190">
        <v>1.093744639398409E-2</v>
      </c>
      <c r="AB190">
        <v>12</v>
      </c>
      <c r="AC190">
        <v>-3.1902072279750011E-2</v>
      </c>
      <c r="AD190">
        <v>7</v>
      </c>
      <c r="AE190">
        <v>-3.9999999999992038E-3</v>
      </c>
      <c r="AF190">
        <v>8</v>
      </c>
      <c r="AG190">
        <v>-1.1199999999999997</v>
      </c>
      <c r="AH190">
        <v>-6.08</v>
      </c>
      <c r="AI190">
        <v>-1.92</v>
      </c>
      <c r="AJ190">
        <v>0.32</v>
      </c>
      <c r="AK190">
        <v>-20.6</v>
      </c>
      <c r="AL190">
        <v>18.119999999999997</v>
      </c>
      <c r="AM190">
        <v>-23.04</v>
      </c>
      <c r="AN190">
        <v>-1.6800000000000002</v>
      </c>
      <c r="AO190">
        <v>-14</v>
      </c>
      <c r="AP190">
        <v>30</v>
      </c>
      <c r="AQ190">
        <v>-8.1831999999999958</v>
      </c>
      <c r="AR190">
        <v>-5.0294399999999992</v>
      </c>
      <c r="AS190">
        <v>41.16</v>
      </c>
      <c r="AT190">
        <v>8.1831999999999958</v>
      </c>
      <c r="AU190">
        <v>-9.7650000000000403E-2</v>
      </c>
      <c r="AV190">
        <v>0.31630000000000014</v>
      </c>
      <c r="AW190">
        <v>-0.74260000000000015</v>
      </c>
      <c r="AX190" t="s">
        <v>303</v>
      </c>
      <c r="AY190">
        <v>13</v>
      </c>
      <c r="AZ190">
        <v>5.5055999999999994</v>
      </c>
      <c r="BA190">
        <v>-0.47599999999999953</v>
      </c>
      <c r="BB190">
        <v>-5.4</v>
      </c>
      <c r="BC190">
        <v>-1.5599999999999996</v>
      </c>
      <c r="BD190">
        <v>8.2120000000000033</v>
      </c>
      <c r="BE190">
        <v>27.08</v>
      </c>
      <c r="BF190">
        <v>2.12</v>
      </c>
      <c r="BG190">
        <v>27</v>
      </c>
      <c r="BH190">
        <v>25.5</v>
      </c>
      <c r="BI190">
        <v>-3.2</v>
      </c>
      <c r="BJ190">
        <v>10</v>
      </c>
      <c r="BK190">
        <v>13.25</v>
      </c>
      <c r="BL190">
        <v>12</v>
      </c>
      <c r="BM190">
        <v>2.8620976853145862E-2</v>
      </c>
      <c r="BN190">
        <v>11</v>
      </c>
      <c r="BO190">
        <v>1.8972995743218618E-2</v>
      </c>
      <c r="BP190">
        <v>12</v>
      </c>
      <c r="BQ190">
        <v>-1.7839999999999976</v>
      </c>
      <c r="BR190">
        <v>18</v>
      </c>
      <c r="BS190">
        <v>0.64000000000000024</v>
      </c>
      <c r="BT190">
        <v>-0.15999999999999942</v>
      </c>
      <c r="BU190">
        <v>4.3599999999999994</v>
      </c>
      <c r="BV190">
        <v>-1.1199999999999999</v>
      </c>
      <c r="BW190">
        <v>32.760000000000005</v>
      </c>
      <c r="BX190">
        <v>32.64</v>
      </c>
      <c r="BY190">
        <v>-3.7199999999999989</v>
      </c>
      <c r="BZ190">
        <v>4.5200000000000005</v>
      </c>
      <c r="CA190">
        <v>-0.67999999999999938</v>
      </c>
      <c r="CB190">
        <v>4</v>
      </c>
      <c r="CC190">
        <v>5.9815999999999985</v>
      </c>
      <c r="CD190">
        <v>2.9815200000000006</v>
      </c>
      <c r="CE190">
        <v>36.36</v>
      </c>
      <c r="CF190">
        <v>1.3752000000000004</v>
      </c>
    </row>
    <row r="191" spans="1:84" x14ac:dyDescent="0.2">
      <c r="A191" s="39">
        <v>43779</v>
      </c>
      <c r="B191" s="22" t="s">
        <v>244</v>
      </c>
      <c r="C191" s="41" t="s">
        <v>304</v>
      </c>
      <c r="D191" s="22" t="s">
        <v>309</v>
      </c>
      <c r="E191" s="14">
        <v>0</v>
      </c>
      <c r="F191">
        <v>16.5</v>
      </c>
      <c r="G191">
        <v>7.9</v>
      </c>
      <c r="H191">
        <f>14.8+5.2+1.9</f>
        <v>21.9</v>
      </c>
      <c r="I191">
        <v>-4</v>
      </c>
      <c r="J191">
        <v>43</v>
      </c>
      <c r="K191" t="s">
        <v>110</v>
      </c>
      <c r="L191" s="1" t="s">
        <v>304</v>
      </c>
      <c r="M191">
        <v>27</v>
      </c>
      <c r="N191">
        <v>-4.3488000000000016</v>
      </c>
      <c r="O191">
        <v>-5.3760000000000012</v>
      </c>
      <c r="P191">
        <v>-10.920000000000002</v>
      </c>
      <c r="Q191">
        <v>-1.2400000000000004</v>
      </c>
      <c r="R191">
        <v>7.395999999999999</v>
      </c>
      <c r="S191">
        <v>47.56</v>
      </c>
      <c r="T191">
        <v>7.5600000000000005</v>
      </c>
      <c r="U191">
        <v>16</v>
      </c>
      <c r="V191">
        <v>15.5</v>
      </c>
      <c r="W191">
        <v>3.5599999999999996</v>
      </c>
      <c r="X191">
        <v>23</v>
      </c>
      <c r="Y191">
        <v>20.5</v>
      </c>
      <c r="Z191">
        <v>32</v>
      </c>
      <c r="AA191">
        <v>1.6062355010023333E-2</v>
      </c>
      <c r="AB191">
        <v>29</v>
      </c>
      <c r="AC191">
        <v>-1.8271563851232735E-2</v>
      </c>
      <c r="AD191">
        <v>8</v>
      </c>
      <c r="AE191">
        <v>-16.255999999999997</v>
      </c>
      <c r="AF191">
        <v>13</v>
      </c>
      <c r="AG191">
        <v>-0.72</v>
      </c>
      <c r="AH191">
        <v>0.16000000000000086</v>
      </c>
      <c r="AI191">
        <v>-3.4799999999999995</v>
      </c>
      <c r="AJ191">
        <v>0.44000000000000006</v>
      </c>
      <c r="AK191">
        <v>-22.04000000000001</v>
      </c>
      <c r="AL191">
        <v>15.680000000000007</v>
      </c>
      <c r="AM191">
        <v>-13.040000000000001</v>
      </c>
      <c r="AN191">
        <v>6.6800000000000015</v>
      </c>
      <c r="AO191">
        <v>-31.360000000000003</v>
      </c>
      <c r="AP191">
        <v>16</v>
      </c>
      <c r="AQ191">
        <v>1.0271999999999994</v>
      </c>
      <c r="AR191">
        <v>3.2974400000000004</v>
      </c>
      <c r="AS191">
        <v>28.720000000000006</v>
      </c>
      <c r="AT191">
        <v>-1.0271999999999997</v>
      </c>
      <c r="AU191">
        <v>-0.39110000000000034</v>
      </c>
      <c r="AV191">
        <v>-1.1518999999999997</v>
      </c>
      <c r="AW191">
        <v>-1.3088499999999992</v>
      </c>
      <c r="AX191" t="s">
        <v>309</v>
      </c>
      <c r="AY191">
        <v>31</v>
      </c>
      <c r="AZ191">
        <v>-3.1476000000000011</v>
      </c>
      <c r="BA191">
        <v>-6.3159999999999989</v>
      </c>
      <c r="BB191">
        <v>-11.12</v>
      </c>
      <c r="BC191">
        <v>-0.92000000000000015</v>
      </c>
      <c r="BD191">
        <v>3.5439999999999992</v>
      </c>
      <c r="BE191">
        <v>-2.000000000000004</v>
      </c>
      <c r="BF191">
        <v>1.9466666666666665</v>
      </c>
      <c r="BG191">
        <v>30</v>
      </c>
      <c r="BH191">
        <v>27.5</v>
      </c>
      <c r="BI191">
        <v>-1.28</v>
      </c>
      <c r="BJ191">
        <v>1</v>
      </c>
      <c r="BK191">
        <v>5.25</v>
      </c>
      <c r="BL191">
        <v>2</v>
      </c>
      <c r="BM191">
        <v>7.8838823260693039E-2</v>
      </c>
      <c r="BN191">
        <v>1</v>
      </c>
      <c r="BO191">
        <v>4.1244940367669729E-2</v>
      </c>
      <c r="BP191">
        <v>16</v>
      </c>
      <c r="BQ191">
        <v>-3.1679999999999966</v>
      </c>
      <c r="BR191">
        <v>2</v>
      </c>
      <c r="BS191">
        <v>8.9999999999999982</v>
      </c>
      <c r="BT191">
        <v>1.4</v>
      </c>
      <c r="BU191">
        <v>-3.44</v>
      </c>
      <c r="BV191">
        <v>-0.36000000000000015</v>
      </c>
      <c r="BW191">
        <v>-25.360000000000003</v>
      </c>
      <c r="BX191">
        <v>-8.3199999999999932</v>
      </c>
      <c r="BY191">
        <v>-13.719999999999999</v>
      </c>
      <c r="BZ191">
        <v>0.95999999999999974</v>
      </c>
      <c r="CA191">
        <v>-4.2799999999999994</v>
      </c>
      <c r="CB191">
        <v>7</v>
      </c>
      <c r="CC191">
        <v>3.1683999999999979</v>
      </c>
      <c r="CD191">
        <v>3.2372799999999988</v>
      </c>
      <c r="CE191">
        <v>5.4000000000000057</v>
      </c>
      <c r="CF191">
        <v>-0.99495000000000022</v>
      </c>
    </row>
    <row r="192" spans="1:84" x14ac:dyDescent="0.2">
      <c r="A192" s="39">
        <v>43779</v>
      </c>
      <c r="B192" s="22" t="s">
        <v>244</v>
      </c>
      <c r="C192" s="41" t="s">
        <v>293</v>
      </c>
      <c r="D192" s="22" t="s">
        <v>289</v>
      </c>
      <c r="E192">
        <v>11.9</v>
      </c>
      <c r="F192">
        <v>5.2</v>
      </c>
      <c r="G192">
        <v>3.5</v>
      </c>
      <c r="H192">
        <f>4.8+1.8</f>
        <v>6.6</v>
      </c>
      <c r="I192">
        <v>11</v>
      </c>
      <c r="J192">
        <v>44.5</v>
      </c>
      <c r="K192" t="s">
        <v>110</v>
      </c>
      <c r="L192" s="1" t="s">
        <v>293</v>
      </c>
      <c r="M192">
        <v>14</v>
      </c>
      <c r="N192">
        <v>0.5991999999999994</v>
      </c>
      <c r="O192">
        <v>-6.7799999999999994</v>
      </c>
      <c r="P192">
        <v>-22.439999999999994</v>
      </c>
      <c r="Q192">
        <v>0.99999999999999978</v>
      </c>
      <c r="R192">
        <v>-2.516</v>
      </c>
      <c r="S192">
        <v>-10.6</v>
      </c>
      <c r="T192">
        <v>0.68000000000000038</v>
      </c>
      <c r="U192">
        <v>13</v>
      </c>
      <c r="V192">
        <v>12</v>
      </c>
      <c r="W192">
        <v>-3.3200000000000003</v>
      </c>
      <c r="X192">
        <v>16</v>
      </c>
      <c r="Y192">
        <v>14.5</v>
      </c>
      <c r="Z192">
        <v>12</v>
      </c>
      <c r="AA192">
        <v>3.4493755995173847E-3</v>
      </c>
      <c r="AB192">
        <v>10</v>
      </c>
      <c r="AC192">
        <v>-6.3704847837137927E-3</v>
      </c>
      <c r="AD192">
        <v>14</v>
      </c>
      <c r="AE192">
        <v>2.2919999999999989</v>
      </c>
      <c r="AF192">
        <v>22</v>
      </c>
      <c r="AG192">
        <v>0.76000000000000012</v>
      </c>
      <c r="AH192">
        <v>-0.95999999999999797</v>
      </c>
      <c r="AI192">
        <v>-1.2799999999999998</v>
      </c>
      <c r="AJ192">
        <v>-0.48000000000000009</v>
      </c>
      <c r="AK192">
        <v>-35.679999999999993</v>
      </c>
      <c r="AL192">
        <v>-6.199999999999994</v>
      </c>
      <c r="AM192">
        <v>-25.24</v>
      </c>
      <c r="AN192">
        <v>-2.3600000000000003</v>
      </c>
      <c r="AO192">
        <v>-1.8800000000000003</v>
      </c>
      <c r="AP192">
        <v>6</v>
      </c>
      <c r="AQ192">
        <v>7.3791999999999991</v>
      </c>
      <c r="AR192">
        <v>3.0066399999999995</v>
      </c>
      <c r="AS192">
        <v>19.040000000000006</v>
      </c>
      <c r="AT192">
        <v>-7.3791999999999991</v>
      </c>
      <c r="AU192">
        <v>-1.3721000000000001</v>
      </c>
      <c r="AV192">
        <v>0.24352499999999999</v>
      </c>
      <c r="AW192">
        <v>1.4442999999999999</v>
      </c>
      <c r="AX192" t="s">
        <v>289</v>
      </c>
      <c r="AY192">
        <v>25</v>
      </c>
      <c r="AZ192">
        <v>-2.3596000000000004</v>
      </c>
      <c r="BA192">
        <v>-3.9183999999999997</v>
      </c>
      <c r="BB192">
        <v>-25.08</v>
      </c>
      <c r="BC192">
        <v>0.55999999999999983</v>
      </c>
      <c r="BD192">
        <v>-3.54</v>
      </c>
      <c r="BE192">
        <v>6.0800000000000018</v>
      </c>
      <c r="BF192">
        <v>-0.52</v>
      </c>
      <c r="BG192">
        <v>5</v>
      </c>
      <c r="BH192">
        <v>4.5</v>
      </c>
      <c r="BI192">
        <v>-0.59999999999999964</v>
      </c>
      <c r="BJ192">
        <v>28</v>
      </c>
      <c r="BK192">
        <v>23</v>
      </c>
      <c r="BL192">
        <v>27</v>
      </c>
      <c r="BM192">
        <v>5.2152986537197091E-2</v>
      </c>
      <c r="BN192">
        <v>18</v>
      </c>
      <c r="BO192">
        <v>7.664536553447442E-3</v>
      </c>
      <c r="BP192">
        <v>26</v>
      </c>
      <c r="BQ192">
        <v>-0.47599999999999909</v>
      </c>
      <c r="BR192">
        <v>21</v>
      </c>
      <c r="BS192">
        <v>0.87999999999999989</v>
      </c>
      <c r="BT192">
        <v>-0.43999999999999917</v>
      </c>
      <c r="BU192">
        <v>-4.3600000000000003</v>
      </c>
      <c r="BV192">
        <v>-7.9999999999999988E-2</v>
      </c>
      <c r="BW192">
        <v>-27.240000000000009</v>
      </c>
      <c r="BX192">
        <v>-4.3200000000000047</v>
      </c>
      <c r="BY192">
        <v>-25.240000000000002</v>
      </c>
      <c r="BZ192">
        <v>-1</v>
      </c>
      <c r="CA192">
        <v>3.3200000000000003</v>
      </c>
      <c r="CB192">
        <v>10</v>
      </c>
      <c r="CC192">
        <v>1.5587999999999993</v>
      </c>
      <c r="CD192">
        <v>0.77927999999999975</v>
      </c>
      <c r="CE192">
        <v>20.919999999999998</v>
      </c>
      <c r="CF192">
        <v>-0.95724999999999993</v>
      </c>
    </row>
    <row r="193" spans="1:84" x14ac:dyDescent="0.2">
      <c r="A193" s="39">
        <v>43779</v>
      </c>
      <c r="B193" s="22" t="s">
        <v>244</v>
      </c>
      <c r="C193" s="41" t="s">
        <v>312</v>
      </c>
      <c r="D193" s="22" t="s">
        <v>291</v>
      </c>
      <c r="E193" s="3">
        <v>7.9</v>
      </c>
      <c r="F193">
        <v>4.5</v>
      </c>
      <c r="G193">
        <v>2</v>
      </c>
      <c r="H193">
        <f>19.4+8.4</f>
        <v>27.799999999999997</v>
      </c>
      <c r="I193">
        <v>3.5</v>
      </c>
      <c r="J193">
        <v>48.5</v>
      </c>
      <c r="L193" s="1" t="s">
        <v>312</v>
      </c>
      <c r="M193">
        <v>5</v>
      </c>
      <c r="N193">
        <v>4.4951999999999996</v>
      </c>
      <c r="O193">
        <v>2.5864000000000011</v>
      </c>
      <c r="P193">
        <v>27.88</v>
      </c>
      <c r="Q193">
        <v>-0.83999999999999975</v>
      </c>
      <c r="R193">
        <v>15.731999999999999</v>
      </c>
      <c r="S193">
        <v>58.52000000000001</v>
      </c>
      <c r="T193">
        <v>1.5200000000000005</v>
      </c>
      <c r="U193">
        <v>26</v>
      </c>
      <c r="V193">
        <v>25</v>
      </c>
      <c r="W193">
        <v>-0.31999999999999973</v>
      </c>
      <c r="X193">
        <v>28</v>
      </c>
      <c r="Y193">
        <v>24.5</v>
      </c>
      <c r="Z193">
        <v>22</v>
      </c>
      <c r="AA193">
        <v>1.2431762360654441E-2</v>
      </c>
      <c r="AB193">
        <v>27</v>
      </c>
      <c r="AC193">
        <v>-2.9209728561713215E-2</v>
      </c>
      <c r="AD193">
        <v>22</v>
      </c>
      <c r="AE193">
        <v>15.215999999999998</v>
      </c>
      <c r="AF193">
        <v>27</v>
      </c>
      <c r="AG193">
        <v>-5.44</v>
      </c>
      <c r="AH193">
        <v>1.5200000000000018</v>
      </c>
      <c r="AI193">
        <v>6.5600000000000005</v>
      </c>
      <c r="AJ193">
        <v>-0.8</v>
      </c>
      <c r="AK193">
        <v>76.600000000000009</v>
      </c>
      <c r="AL193">
        <v>53.759999999999991</v>
      </c>
      <c r="AM193">
        <v>31.720000000000006</v>
      </c>
      <c r="AN193">
        <v>1.24</v>
      </c>
      <c r="AO193">
        <v>-10.119999999999999</v>
      </c>
      <c r="AP193">
        <v>14</v>
      </c>
      <c r="AQ193">
        <v>1.9087999999999987</v>
      </c>
      <c r="AR193">
        <v>2.7522399999999996</v>
      </c>
      <c r="AS193">
        <v>22.039999999999985</v>
      </c>
      <c r="AT193">
        <v>-1.9087999999999985</v>
      </c>
      <c r="AU193">
        <v>3.1967000000000008</v>
      </c>
      <c r="AV193">
        <v>0.55797499999999989</v>
      </c>
      <c r="AW193">
        <v>1.3772000000000002</v>
      </c>
      <c r="AX193" t="s">
        <v>291</v>
      </c>
      <c r="AY193">
        <v>19</v>
      </c>
      <c r="AZ193">
        <v>-3.2944000000000004</v>
      </c>
      <c r="BA193">
        <v>2.9763999999999999</v>
      </c>
      <c r="BB193">
        <v>2.7999999999999994</v>
      </c>
      <c r="BC193">
        <v>0.92000000000000026</v>
      </c>
      <c r="BD193">
        <v>-2.4920000000000027</v>
      </c>
      <c r="BE193">
        <v>-6.6399999999999988</v>
      </c>
      <c r="BF193">
        <v>-0.83999999999999964</v>
      </c>
      <c r="BG193">
        <v>7</v>
      </c>
      <c r="BH193">
        <v>7</v>
      </c>
      <c r="BI193">
        <v>-4</v>
      </c>
      <c r="BJ193">
        <v>15</v>
      </c>
      <c r="BK193">
        <v>15.75</v>
      </c>
      <c r="BL193">
        <v>7</v>
      </c>
      <c r="BM193">
        <v>-3.5023574975489137E-3</v>
      </c>
      <c r="BN193">
        <v>7</v>
      </c>
      <c r="BO193">
        <v>-3.8916349313731597E-3</v>
      </c>
      <c r="BP193">
        <v>28</v>
      </c>
      <c r="BQ193">
        <v>6.5479999999999965</v>
      </c>
      <c r="BR193">
        <v>21</v>
      </c>
      <c r="BS193">
        <v>-0.23999999999999969</v>
      </c>
      <c r="BT193">
        <v>0.32000000000000028</v>
      </c>
      <c r="BU193">
        <v>0.88000000000000045</v>
      </c>
      <c r="BV193">
        <v>-1.56</v>
      </c>
      <c r="BW193">
        <v>-9.4</v>
      </c>
      <c r="BX193">
        <v>-9.5599999999999969</v>
      </c>
      <c r="BY193">
        <v>-3.0400000000000018</v>
      </c>
      <c r="BZ193">
        <v>0.52000000000000013</v>
      </c>
      <c r="CA193">
        <v>2.6800000000000006</v>
      </c>
      <c r="CB193">
        <v>28</v>
      </c>
      <c r="CC193">
        <v>-6.2708000000000013</v>
      </c>
      <c r="CD193">
        <v>-2.6454800000000009</v>
      </c>
      <c r="CE193">
        <v>-6.5199999999999951</v>
      </c>
      <c r="CF193">
        <v>-0.26125000000000037</v>
      </c>
    </row>
    <row r="194" spans="1:84" x14ac:dyDescent="0.2">
      <c r="A194" s="39">
        <v>43779</v>
      </c>
      <c r="B194" s="22" t="s">
        <v>244</v>
      </c>
      <c r="C194" s="41" t="s">
        <v>307</v>
      </c>
      <c r="D194" s="22" t="s">
        <v>295</v>
      </c>
      <c r="E194">
        <v>31.2</v>
      </c>
      <c r="F194">
        <v>2.2999999999999998</v>
      </c>
      <c r="G194">
        <v>0.5</v>
      </c>
      <c r="H194">
        <v>13.4</v>
      </c>
      <c r="I194">
        <v>-14</v>
      </c>
      <c r="J194">
        <v>51.5</v>
      </c>
      <c r="K194" t="s">
        <v>109</v>
      </c>
      <c r="L194" s="1" t="s">
        <v>307</v>
      </c>
      <c r="M194">
        <v>12</v>
      </c>
      <c r="N194">
        <v>1.2088000000000001</v>
      </c>
      <c r="O194">
        <v>5.1441999999999997</v>
      </c>
      <c r="P194">
        <v>0.23999999999999977</v>
      </c>
      <c r="Q194">
        <v>4.46</v>
      </c>
      <c r="R194">
        <v>-2.2539999999999982</v>
      </c>
      <c r="S194">
        <v>2.3399999999999972</v>
      </c>
      <c r="T194">
        <v>-2.2200000000000002</v>
      </c>
      <c r="U194">
        <v>4</v>
      </c>
      <c r="V194">
        <v>7</v>
      </c>
      <c r="W194">
        <v>-0.48000000000000009</v>
      </c>
      <c r="X194">
        <v>32</v>
      </c>
      <c r="Y194">
        <v>29.5</v>
      </c>
      <c r="Z194">
        <v>30</v>
      </c>
      <c r="AA194">
        <v>-8.0426012715275608E-3</v>
      </c>
      <c r="AB194">
        <v>28</v>
      </c>
      <c r="AC194">
        <v>-9.3418432055118808E-3</v>
      </c>
      <c r="AD194">
        <v>31</v>
      </c>
      <c r="AE194">
        <v>3.1280000000000001</v>
      </c>
      <c r="AF194">
        <v>29</v>
      </c>
      <c r="AG194">
        <v>0.6399999999999999</v>
      </c>
      <c r="AH194">
        <v>3.28</v>
      </c>
      <c r="AI194">
        <v>-2.2000000000000002</v>
      </c>
      <c r="AJ194">
        <v>-0.79999999999999982</v>
      </c>
      <c r="AK194">
        <v>34.560000000000016</v>
      </c>
      <c r="AL194">
        <v>32.4</v>
      </c>
      <c r="AM194">
        <v>3.8000000000000029</v>
      </c>
      <c r="AN194">
        <v>-1.7200000000000002</v>
      </c>
      <c r="AO194">
        <v>8.0000000000000432E-2</v>
      </c>
      <c r="AP194">
        <v>25</v>
      </c>
      <c r="AQ194">
        <v>-3.9353999999999996</v>
      </c>
      <c r="AR194">
        <v>-2.7811399999999993</v>
      </c>
      <c r="AS194">
        <v>28.599999999999994</v>
      </c>
      <c r="AT194">
        <v>3.9353999999999996</v>
      </c>
      <c r="AU194">
        <v>0.46737500000000004</v>
      </c>
      <c r="AV194">
        <v>-0.55761249999999962</v>
      </c>
      <c r="AW194">
        <v>-2.3484499999999993</v>
      </c>
      <c r="AX194" t="s">
        <v>295</v>
      </c>
      <c r="AY194">
        <v>27</v>
      </c>
      <c r="AZ194">
        <v>3.3736000000000006</v>
      </c>
      <c r="BA194">
        <v>-1.8377999999999992</v>
      </c>
      <c r="BB194">
        <v>-17.25</v>
      </c>
      <c r="BC194">
        <v>-0.26999999999999991</v>
      </c>
      <c r="BD194">
        <v>5.4099999999999993</v>
      </c>
      <c r="BE194">
        <v>23.35</v>
      </c>
      <c r="BF194">
        <v>0.44999999999999996</v>
      </c>
      <c r="BG194">
        <v>17</v>
      </c>
      <c r="BH194">
        <v>14.5</v>
      </c>
      <c r="BI194">
        <v>1.6400000000000001</v>
      </c>
      <c r="BJ194">
        <v>19</v>
      </c>
      <c r="BK194">
        <v>16.5</v>
      </c>
      <c r="BL194">
        <v>10</v>
      </c>
      <c r="BM194">
        <v>-6.4113716823648151E-2</v>
      </c>
      <c r="BN194">
        <v>20</v>
      </c>
      <c r="BO194">
        <v>-5.8074681239015779E-3</v>
      </c>
      <c r="BP194">
        <v>25</v>
      </c>
      <c r="BQ194">
        <v>17.167999999999999</v>
      </c>
      <c r="BR194">
        <v>11</v>
      </c>
      <c r="BS194">
        <v>-4.08</v>
      </c>
      <c r="BT194">
        <v>-0.4</v>
      </c>
      <c r="BU194">
        <v>3.9999999999999991</v>
      </c>
      <c r="BV194">
        <v>1.8</v>
      </c>
      <c r="BW194">
        <v>13.159999999999991</v>
      </c>
      <c r="BX194">
        <v>27.919999999999998</v>
      </c>
      <c r="BY194">
        <v>-7.5199999999999987</v>
      </c>
      <c r="BZ194">
        <v>-2.6799999999999997</v>
      </c>
      <c r="CA194">
        <v>-4.5599999999999996</v>
      </c>
      <c r="CB194">
        <v>5</v>
      </c>
      <c r="CC194">
        <v>5.2114000000000003</v>
      </c>
      <c r="CD194">
        <v>2.6756199999999994</v>
      </c>
      <c r="CE194">
        <v>35.44</v>
      </c>
      <c r="CF194">
        <v>1.233225</v>
      </c>
    </row>
    <row r="195" spans="1:84" x14ac:dyDescent="0.2">
      <c r="A195" s="39">
        <v>43779</v>
      </c>
      <c r="B195" s="22" t="s">
        <v>244</v>
      </c>
      <c r="C195" s="41" t="s">
        <v>296</v>
      </c>
      <c r="D195" s="22" t="s">
        <v>298</v>
      </c>
      <c r="E195">
        <v>24.5</v>
      </c>
      <c r="F195">
        <v>37.1</v>
      </c>
      <c r="G195">
        <v>5.6</v>
      </c>
      <c r="H195">
        <v>8.3000000000000007</v>
      </c>
      <c r="I195">
        <v>-3</v>
      </c>
      <c r="J195">
        <v>43</v>
      </c>
      <c r="K195" t="s">
        <v>109</v>
      </c>
      <c r="L195" s="1" t="s">
        <v>296</v>
      </c>
      <c r="M195">
        <v>25</v>
      </c>
      <c r="N195">
        <v>-2.7000000000000006</v>
      </c>
      <c r="O195">
        <v>-8.2639999999999993</v>
      </c>
      <c r="P195">
        <v>-43.8</v>
      </c>
      <c r="Q195">
        <v>-1.6400000000000001</v>
      </c>
      <c r="R195">
        <v>-2.9959999999999996</v>
      </c>
      <c r="S195">
        <v>-24.439999999999998</v>
      </c>
      <c r="T195">
        <v>2.7600000000000002</v>
      </c>
      <c r="U195">
        <v>28</v>
      </c>
      <c r="V195">
        <v>27.5</v>
      </c>
      <c r="W195">
        <v>3.16</v>
      </c>
      <c r="X195">
        <v>2</v>
      </c>
      <c r="Y195">
        <v>7.5</v>
      </c>
      <c r="Z195">
        <v>3</v>
      </c>
      <c r="AA195">
        <v>5.0476433695917075E-2</v>
      </c>
      <c r="AB195">
        <v>16</v>
      </c>
      <c r="AC195">
        <v>2.1023893892934041E-2</v>
      </c>
      <c r="AD195">
        <v>10</v>
      </c>
      <c r="AE195">
        <v>-3.3320000000000021</v>
      </c>
      <c r="AF195">
        <v>1</v>
      </c>
      <c r="AG195">
        <v>8.0399999999999991</v>
      </c>
      <c r="AH195">
        <v>0.52000000000000024</v>
      </c>
      <c r="AI195">
        <v>-6.4799999999999995</v>
      </c>
      <c r="AJ195">
        <v>1.9600000000000002</v>
      </c>
      <c r="AK195">
        <v>-62.159999999999989</v>
      </c>
      <c r="AL195">
        <v>-26.320000000000004</v>
      </c>
      <c r="AM195">
        <v>-47.32</v>
      </c>
      <c r="AN195">
        <v>-1.6799999999999997</v>
      </c>
      <c r="AO195">
        <v>13.16</v>
      </c>
      <c r="AP195">
        <v>9</v>
      </c>
      <c r="AQ195">
        <v>5.5639999999999992</v>
      </c>
      <c r="AR195">
        <v>2.9927999999999995</v>
      </c>
      <c r="AS195">
        <v>20.999999999999996</v>
      </c>
      <c r="AT195">
        <v>-5.5639999999999983</v>
      </c>
      <c r="AU195">
        <v>-2.0300000000000002</v>
      </c>
      <c r="AV195">
        <v>0.65072500000000044</v>
      </c>
      <c r="AW195">
        <v>-0.82192499999999991</v>
      </c>
      <c r="AX195" t="s">
        <v>298</v>
      </c>
      <c r="AY195">
        <v>9</v>
      </c>
      <c r="AZ195">
        <v>3.6019999999999994</v>
      </c>
      <c r="BA195">
        <v>0.98000000000000109</v>
      </c>
      <c r="BB195">
        <v>-18.200000000000003</v>
      </c>
      <c r="BC195">
        <v>0.6399999999999999</v>
      </c>
      <c r="BD195">
        <v>11.924999999999999</v>
      </c>
      <c r="BE195">
        <v>27.479999999999997</v>
      </c>
      <c r="BF195">
        <v>1.0000000000000002</v>
      </c>
      <c r="BG195">
        <v>24</v>
      </c>
      <c r="BH195">
        <v>23</v>
      </c>
      <c r="BI195">
        <v>1.0000000000000004</v>
      </c>
      <c r="BJ195">
        <v>23</v>
      </c>
      <c r="BK195">
        <v>20</v>
      </c>
      <c r="BL195">
        <v>32</v>
      </c>
      <c r="BM195">
        <v>-9.2647044723449708E-3</v>
      </c>
      <c r="BN195">
        <v>22</v>
      </c>
      <c r="BO195">
        <v>-3.5948545155516836E-3</v>
      </c>
      <c r="BP195">
        <v>11</v>
      </c>
      <c r="BQ195">
        <v>6.5640000000000001</v>
      </c>
      <c r="BR195">
        <v>15</v>
      </c>
      <c r="BS195">
        <v>-3.88</v>
      </c>
      <c r="BT195">
        <v>2.9599999999999982</v>
      </c>
      <c r="BU195">
        <v>6.08</v>
      </c>
      <c r="BV195">
        <v>-1.3199999999999998</v>
      </c>
      <c r="BW195">
        <v>-12.160000000000002</v>
      </c>
      <c r="BX195">
        <v>11.000000000000005</v>
      </c>
      <c r="BY195">
        <v>-18.32</v>
      </c>
      <c r="BZ195">
        <v>-0.35999999999999943</v>
      </c>
      <c r="CA195">
        <v>-4.4799999999999995</v>
      </c>
      <c r="CB195">
        <v>9</v>
      </c>
      <c r="CC195">
        <v>2.6219999999999981</v>
      </c>
      <c r="CD195">
        <v>2.6153999999999988</v>
      </c>
      <c r="CE195">
        <v>29.320000000000007</v>
      </c>
      <c r="CF195">
        <v>2.1233750000000007</v>
      </c>
    </row>
    <row r="196" spans="1:84" x14ac:dyDescent="0.2">
      <c r="A196" s="39">
        <v>43779</v>
      </c>
      <c r="B196" s="22" t="s">
        <v>244</v>
      </c>
      <c r="C196" s="41" t="s">
        <v>298</v>
      </c>
      <c r="D196" s="22" t="s">
        <v>296</v>
      </c>
      <c r="E196">
        <v>19.100000000000001</v>
      </c>
      <c r="F196">
        <v>2.1</v>
      </c>
      <c r="G196">
        <v>14.4</v>
      </c>
      <c r="H196">
        <v>4.4000000000000004</v>
      </c>
      <c r="I196">
        <v>3</v>
      </c>
      <c r="J196">
        <v>43</v>
      </c>
      <c r="K196" t="s">
        <v>109</v>
      </c>
      <c r="L196" s="1" t="s">
        <v>298</v>
      </c>
      <c r="M196">
        <v>21</v>
      </c>
      <c r="N196">
        <v>-1.3432000000000006</v>
      </c>
      <c r="O196">
        <v>-8.9480000000000004</v>
      </c>
      <c r="P196">
        <v>-44.000000000000007</v>
      </c>
      <c r="Q196">
        <v>-0.71999999999999986</v>
      </c>
      <c r="R196">
        <v>3.0400000000000018</v>
      </c>
      <c r="S196">
        <v>20.320000000000007</v>
      </c>
      <c r="T196">
        <v>0.64000000000000057</v>
      </c>
      <c r="U196">
        <v>14</v>
      </c>
      <c r="V196">
        <v>13.5</v>
      </c>
      <c r="W196">
        <v>-3.88</v>
      </c>
      <c r="X196">
        <v>8</v>
      </c>
      <c r="Y196">
        <v>12</v>
      </c>
      <c r="Z196">
        <v>2</v>
      </c>
      <c r="AA196">
        <v>7.0286562519176685E-2</v>
      </c>
      <c r="AB196">
        <v>17</v>
      </c>
      <c r="AC196">
        <v>1.2769658450059068E-2</v>
      </c>
      <c r="AD196">
        <v>12</v>
      </c>
      <c r="AE196">
        <v>1.2640000000000029</v>
      </c>
      <c r="AF196">
        <v>17</v>
      </c>
      <c r="AG196">
        <v>1.0000000000000004</v>
      </c>
      <c r="AH196">
        <v>-4.5599999999999996</v>
      </c>
      <c r="AI196">
        <v>-3.3200000000000012</v>
      </c>
      <c r="AJ196">
        <v>-0.6</v>
      </c>
      <c r="AK196">
        <v>-51.279999999999994</v>
      </c>
      <c r="AL196">
        <v>7.919999999999999</v>
      </c>
      <c r="AM196">
        <v>-47.679999999999993</v>
      </c>
      <c r="AN196">
        <v>-2.52</v>
      </c>
      <c r="AO196">
        <v>-9</v>
      </c>
      <c r="AP196">
        <v>5</v>
      </c>
      <c r="AQ196">
        <v>7.6047999999999991</v>
      </c>
      <c r="AR196">
        <v>4.8133600000000003</v>
      </c>
      <c r="AS196">
        <v>55.599999999999994</v>
      </c>
      <c r="AT196">
        <v>-7.6048</v>
      </c>
      <c r="AU196">
        <v>-1.0563999999999998</v>
      </c>
      <c r="AV196">
        <v>0.65072500000000044</v>
      </c>
      <c r="AW196">
        <v>2.1233750000000007</v>
      </c>
      <c r="AX196" t="s">
        <v>296</v>
      </c>
      <c r="AY196">
        <v>5</v>
      </c>
      <c r="AZ196">
        <v>-0.91680000000000061</v>
      </c>
      <c r="BA196">
        <v>-0.98859999999999837</v>
      </c>
      <c r="BB196">
        <v>24.349999999999998</v>
      </c>
      <c r="BC196">
        <v>-0.78999999999999992</v>
      </c>
      <c r="BD196">
        <v>-5.7899999999999991</v>
      </c>
      <c r="BE196">
        <v>-28.599999999999994</v>
      </c>
      <c r="BF196">
        <v>-5.28</v>
      </c>
      <c r="BG196">
        <v>2</v>
      </c>
      <c r="BH196">
        <v>3</v>
      </c>
      <c r="BI196">
        <v>8.0399999999999991</v>
      </c>
      <c r="BJ196">
        <v>29</v>
      </c>
      <c r="BK196">
        <v>24</v>
      </c>
      <c r="BL196">
        <v>11</v>
      </c>
      <c r="BM196">
        <v>-7.1035453438702587E-2</v>
      </c>
      <c r="BN196">
        <v>27</v>
      </c>
      <c r="BO196">
        <v>1.0470336599360077E-2</v>
      </c>
      <c r="BP196">
        <v>31</v>
      </c>
      <c r="BQ196">
        <v>-1.8399999999999976</v>
      </c>
      <c r="BR196">
        <v>27</v>
      </c>
      <c r="BS196">
        <v>3.16</v>
      </c>
      <c r="BT196">
        <v>-0.4799999999999997</v>
      </c>
      <c r="BU196">
        <v>-0.27999999999999969</v>
      </c>
      <c r="BV196">
        <v>4.4400000000000004</v>
      </c>
      <c r="BW196">
        <v>-2.6799999999999953</v>
      </c>
      <c r="BX196">
        <v>-27.039999999999992</v>
      </c>
      <c r="BY196">
        <v>33.08</v>
      </c>
      <c r="BZ196">
        <v>-5.4799999999999995</v>
      </c>
      <c r="CA196">
        <v>-3.2399999999999998</v>
      </c>
      <c r="CB196">
        <v>16</v>
      </c>
      <c r="CC196">
        <v>7.1799999999997866E-2</v>
      </c>
      <c r="CD196">
        <v>-0.84706000000000115</v>
      </c>
      <c r="CE196">
        <v>-60.11999999999999</v>
      </c>
      <c r="CF196">
        <v>-0.82192499999999991</v>
      </c>
    </row>
    <row r="197" spans="1:84" x14ac:dyDescent="0.2">
      <c r="A197" s="39">
        <v>43779</v>
      </c>
      <c r="B197" s="22" t="s">
        <v>244</v>
      </c>
      <c r="C197" s="41" t="s">
        <v>309</v>
      </c>
      <c r="D197" s="22" t="s">
        <v>304</v>
      </c>
      <c r="E197">
        <v>7.4</v>
      </c>
      <c r="F197">
        <v>20</v>
      </c>
      <c r="G197">
        <v>10.4</v>
      </c>
      <c r="H197">
        <f>4.3+1.8</f>
        <v>6.1</v>
      </c>
      <c r="I197">
        <v>4</v>
      </c>
      <c r="J197">
        <v>43</v>
      </c>
      <c r="K197" t="s">
        <v>110</v>
      </c>
      <c r="L197" s="1" t="s">
        <v>309</v>
      </c>
      <c r="M197">
        <v>23</v>
      </c>
      <c r="N197">
        <v>-2.0424000000000007</v>
      </c>
      <c r="O197">
        <v>4.0896000000000008</v>
      </c>
      <c r="P197">
        <v>1.4400000000000004</v>
      </c>
      <c r="Q197">
        <v>2.16</v>
      </c>
      <c r="R197">
        <v>-2.6520000000000001</v>
      </c>
      <c r="S197">
        <v>-12.399999999999997</v>
      </c>
      <c r="T197">
        <v>-2.16</v>
      </c>
      <c r="U197">
        <v>3</v>
      </c>
      <c r="V197">
        <v>5.5</v>
      </c>
      <c r="W197">
        <v>8.9999999999999982</v>
      </c>
      <c r="X197">
        <v>12</v>
      </c>
      <c r="Y197">
        <v>13.25</v>
      </c>
      <c r="Z197">
        <v>9</v>
      </c>
      <c r="AA197">
        <v>-2.8533052296364114E-2</v>
      </c>
      <c r="AB197">
        <v>20</v>
      </c>
      <c r="AC197">
        <v>-2.3865411905743449E-2</v>
      </c>
      <c r="AD197">
        <v>19</v>
      </c>
      <c r="AE197">
        <v>8.9880000000000013</v>
      </c>
      <c r="AF197">
        <v>5</v>
      </c>
      <c r="AG197">
        <v>-1.28</v>
      </c>
      <c r="AH197">
        <v>-1.9599999999999995</v>
      </c>
      <c r="AI197">
        <v>2.0400000000000005</v>
      </c>
      <c r="AJ197">
        <v>2.7199999999999998</v>
      </c>
      <c r="AK197">
        <v>-29.439999999999998</v>
      </c>
      <c r="AL197">
        <v>-25.759999999999998</v>
      </c>
      <c r="AM197">
        <v>2.2000000000000028</v>
      </c>
      <c r="AN197">
        <v>-1.2</v>
      </c>
      <c r="AO197">
        <v>-4.6799999999999988</v>
      </c>
      <c r="AP197">
        <v>27</v>
      </c>
      <c r="AQ197">
        <v>-6.1320000000000014</v>
      </c>
      <c r="AR197">
        <v>-2.9836800000000006</v>
      </c>
      <c r="AS197">
        <v>-27.96</v>
      </c>
      <c r="AT197">
        <v>6.1320000000000014</v>
      </c>
      <c r="AU197">
        <v>0.18939999999999996</v>
      </c>
      <c r="AV197">
        <v>-1.1518999999999997</v>
      </c>
      <c r="AW197">
        <v>-0.99495000000000022</v>
      </c>
      <c r="AX197" t="s">
        <v>304</v>
      </c>
      <c r="AY197">
        <v>16</v>
      </c>
      <c r="AZ197">
        <v>-1.4623999999999993</v>
      </c>
      <c r="BA197">
        <v>-2.4863999999999975</v>
      </c>
      <c r="BB197">
        <v>-13.120000000000001</v>
      </c>
      <c r="BC197">
        <v>0.64000000000000012</v>
      </c>
      <c r="BD197">
        <v>-3.7619999999999982</v>
      </c>
      <c r="BE197">
        <v>7.9900000000000055</v>
      </c>
      <c r="BF197">
        <v>-0.18999999999999972</v>
      </c>
      <c r="BG197">
        <v>28</v>
      </c>
      <c r="BH197">
        <v>26.5</v>
      </c>
      <c r="BI197">
        <v>-0.72</v>
      </c>
      <c r="BJ197">
        <v>14</v>
      </c>
      <c r="BK197">
        <v>15</v>
      </c>
      <c r="BL197">
        <v>22</v>
      </c>
      <c r="BM197">
        <v>3.5559502529351847E-2</v>
      </c>
      <c r="BN197">
        <v>10</v>
      </c>
      <c r="BO197">
        <v>2.4172318154540063E-2</v>
      </c>
      <c r="BP197">
        <v>22</v>
      </c>
      <c r="BQ197">
        <v>0.83999999999999775</v>
      </c>
      <c r="BR197">
        <v>6</v>
      </c>
      <c r="BS197">
        <v>3.5599999999999996</v>
      </c>
      <c r="BT197">
        <v>2.9600000000000009</v>
      </c>
      <c r="BU197">
        <v>-6.4</v>
      </c>
      <c r="BV197">
        <v>0</v>
      </c>
      <c r="BW197">
        <v>-11</v>
      </c>
      <c r="BX197">
        <v>7.8399999999999981</v>
      </c>
      <c r="BY197">
        <v>-13.360000000000003</v>
      </c>
      <c r="BZ197">
        <v>-2.88</v>
      </c>
      <c r="CA197">
        <v>-2.6000000000000005</v>
      </c>
      <c r="CB197">
        <v>12</v>
      </c>
      <c r="CC197">
        <v>1.0239999999999982</v>
      </c>
      <c r="CD197">
        <v>0.19831999999999916</v>
      </c>
      <c r="CE197">
        <v>21.200000000000003</v>
      </c>
      <c r="CF197">
        <v>-1.3088499999999992</v>
      </c>
    </row>
    <row r="198" spans="1:84" x14ac:dyDescent="0.2">
      <c r="A198" s="39">
        <v>43779</v>
      </c>
      <c r="B198" s="22" t="s">
        <v>244</v>
      </c>
      <c r="C198" s="40" t="s">
        <v>256</v>
      </c>
      <c r="D198" s="22" t="s">
        <v>308</v>
      </c>
      <c r="E198">
        <v>22.2</v>
      </c>
      <c r="F198">
        <v>16.2</v>
      </c>
      <c r="G198">
        <v>4.4000000000000004</v>
      </c>
      <c r="H198">
        <v>5.4</v>
      </c>
      <c r="I198">
        <v>-6.5</v>
      </c>
      <c r="J198">
        <v>47</v>
      </c>
      <c r="L198" s="1" t="s">
        <v>256</v>
      </c>
      <c r="M198">
        <v>28</v>
      </c>
      <c r="N198">
        <v>-4.5048000000000012</v>
      </c>
      <c r="O198">
        <v>-1.7680000000000029</v>
      </c>
      <c r="P198">
        <v>1.7199999999999989</v>
      </c>
      <c r="Q198">
        <v>-1.2</v>
      </c>
      <c r="R198">
        <v>-4.5360000000000014</v>
      </c>
      <c r="S198">
        <v>-38.959999999999994</v>
      </c>
      <c r="T198">
        <v>-2.7599999999999989</v>
      </c>
      <c r="U198">
        <v>17</v>
      </c>
      <c r="V198">
        <v>16</v>
      </c>
      <c r="W198">
        <v>6.1199999999999992</v>
      </c>
      <c r="X198">
        <v>21</v>
      </c>
      <c r="Y198">
        <v>17.75</v>
      </c>
      <c r="Z198">
        <v>19</v>
      </c>
      <c r="AA198">
        <v>-1.8121324894158564E-2</v>
      </c>
      <c r="AB198">
        <v>3</v>
      </c>
      <c r="AC198">
        <v>8.6883642314618467E-3</v>
      </c>
      <c r="AD198">
        <v>29</v>
      </c>
      <c r="AE198">
        <v>4.8320000000000007</v>
      </c>
      <c r="AF198">
        <v>20</v>
      </c>
      <c r="AG198">
        <v>-0.11999999999999975</v>
      </c>
      <c r="AH198">
        <v>2.7599999999999993</v>
      </c>
      <c r="AI198">
        <v>0.95999999999999941</v>
      </c>
      <c r="AJ198">
        <v>0.28000000000000008</v>
      </c>
      <c r="AK198">
        <v>-43.839999999999996</v>
      </c>
      <c r="AL198">
        <v>-56.919999999999995</v>
      </c>
      <c r="AM198">
        <v>19.600000000000001</v>
      </c>
      <c r="AN198">
        <v>3.5199999999999996</v>
      </c>
      <c r="AO198">
        <v>-10.040000000000001</v>
      </c>
      <c r="AP198">
        <v>20</v>
      </c>
      <c r="AQ198">
        <v>-2.7367999999999983</v>
      </c>
      <c r="AR198">
        <v>-0.92415999999999898</v>
      </c>
      <c r="AS198">
        <v>-76.52</v>
      </c>
      <c r="AT198">
        <v>2.7367999999999983</v>
      </c>
      <c r="AU198">
        <v>-1.2461000000000007</v>
      </c>
      <c r="AV198">
        <v>-0.88423750000000034</v>
      </c>
      <c r="AW198">
        <v>-3.5282750000000003</v>
      </c>
      <c r="AX198" t="s">
        <v>308</v>
      </c>
      <c r="AY198">
        <v>17</v>
      </c>
      <c r="AZ198">
        <v>3.130399999999999</v>
      </c>
      <c r="BA198">
        <v>3.448</v>
      </c>
      <c r="BB198">
        <v>-1.1999999999999984</v>
      </c>
      <c r="BC198">
        <v>0.24</v>
      </c>
      <c r="BD198">
        <v>7.3000000000000007</v>
      </c>
      <c r="BE198">
        <v>42.959999999999994</v>
      </c>
      <c r="BF198">
        <v>2.2666666666666666</v>
      </c>
      <c r="BG198">
        <v>12</v>
      </c>
      <c r="BH198">
        <v>12.5</v>
      </c>
      <c r="BI198">
        <v>-0.99999999999999978</v>
      </c>
      <c r="BJ198">
        <v>21</v>
      </c>
      <c r="BK198">
        <v>17.25</v>
      </c>
      <c r="BL198">
        <v>30</v>
      </c>
      <c r="BM198">
        <v>-6.318744995534363E-2</v>
      </c>
      <c r="BN198">
        <v>28</v>
      </c>
      <c r="BO198">
        <v>-4.0318877608038754E-2</v>
      </c>
      <c r="BP198">
        <v>4</v>
      </c>
      <c r="BQ198">
        <v>-3.7639999999999985</v>
      </c>
      <c r="BR198">
        <v>7</v>
      </c>
      <c r="BS198">
        <v>-3.16</v>
      </c>
      <c r="BT198">
        <v>0.64000000000000057</v>
      </c>
      <c r="BU198">
        <v>3.84</v>
      </c>
      <c r="BV198">
        <v>0.76</v>
      </c>
      <c r="BW198">
        <v>59.719999999999992</v>
      </c>
      <c r="BX198">
        <v>56.160000000000004</v>
      </c>
      <c r="BY198">
        <v>-3.0000000000000013</v>
      </c>
      <c r="BZ198">
        <v>2.48</v>
      </c>
      <c r="CA198">
        <v>4.080000000000001</v>
      </c>
      <c r="CB198">
        <v>17</v>
      </c>
      <c r="CC198">
        <v>-0.31760000000000099</v>
      </c>
      <c r="CD198">
        <v>0.36207999999999996</v>
      </c>
      <c r="CE198">
        <v>59.160000000000004</v>
      </c>
      <c r="CF198">
        <v>1.7597999999999996</v>
      </c>
    </row>
    <row r="199" spans="1:84" x14ac:dyDescent="0.2">
      <c r="A199" s="39">
        <v>43779</v>
      </c>
      <c r="B199" s="22" t="s">
        <v>244</v>
      </c>
      <c r="C199" s="41" t="s">
        <v>308</v>
      </c>
      <c r="D199" s="22" t="s">
        <v>256</v>
      </c>
      <c r="E199">
        <v>5.9</v>
      </c>
      <c r="F199">
        <v>12</v>
      </c>
      <c r="G199">
        <v>5.5</v>
      </c>
      <c r="H199">
        <v>20.2</v>
      </c>
      <c r="I199">
        <v>6.5</v>
      </c>
      <c r="J199">
        <v>47</v>
      </c>
      <c r="L199" s="1" t="s">
        <v>308</v>
      </c>
      <c r="M199">
        <v>3</v>
      </c>
      <c r="N199">
        <v>4.9511999999999992</v>
      </c>
      <c r="O199">
        <v>2.1208</v>
      </c>
      <c r="P199">
        <v>39.159999999999989</v>
      </c>
      <c r="Q199">
        <v>-1.3600000000000003</v>
      </c>
      <c r="R199">
        <v>4.1320000000000023</v>
      </c>
      <c r="S199">
        <v>2.2000000000000011</v>
      </c>
      <c r="T199">
        <v>-2.1200000000000006</v>
      </c>
      <c r="U199">
        <v>8</v>
      </c>
      <c r="V199">
        <v>8.5</v>
      </c>
      <c r="W199">
        <v>-3.16</v>
      </c>
      <c r="X199">
        <v>12</v>
      </c>
      <c r="Y199">
        <v>13.25</v>
      </c>
      <c r="Z199">
        <v>11</v>
      </c>
      <c r="AA199">
        <v>0.13329081320837433</v>
      </c>
      <c r="AB199">
        <v>5</v>
      </c>
      <c r="AC199">
        <v>-1.1437240256541887E-3</v>
      </c>
      <c r="AD199">
        <v>21</v>
      </c>
      <c r="AE199">
        <v>6.4560000000000013</v>
      </c>
      <c r="AF199">
        <v>16</v>
      </c>
      <c r="AG199">
        <v>-0.99999999999999978</v>
      </c>
      <c r="AH199">
        <v>1.6400000000000006</v>
      </c>
      <c r="AI199">
        <v>5.3600000000000012</v>
      </c>
      <c r="AJ199">
        <v>-1.4799999999999998</v>
      </c>
      <c r="AK199">
        <v>47.680000000000007</v>
      </c>
      <c r="AL199">
        <v>8.7599999999999962</v>
      </c>
      <c r="AM199">
        <v>32.6</v>
      </c>
      <c r="AN199">
        <v>-2.4</v>
      </c>
      <c r="AO199">
        <v>8.7200000000000006</v>
      </c>
      <c r="AP199">
        <v>13</v>
      </c>
      <c r="AQ199">
        <v>2.8303999999999991</v>
      </c>
      <c r="AR199">
        <v>0.75624000000000002</v>
      </c>
      <c r="AS199">
        <v>-23.840000000000003</v>
      </c>
      <c r="AT199">
        <v>-2.8303999999999991</v>
      </c>
      <c r="AU199">
        <v>1.4255</v>
      </c>
      <c r="AV199">
        <v>-0.88423750000000034</v>
      </c>
      <c r="AW199">
        <v>1.7597999999999996</v>
      </c>
      <c r="AX199" t="s">
        <v>256</v>
      </c>
      <c r="AY199">
        <v>22</v>
      </c>
      <c r="AZ199">
        <v>-6.7032000000000007</v>
      </c>
      <c r="BA199">
        <v>-4.7530000000000001</v>
      </c>
      <c r="BB199">
        <v>-7.4899999999999984</v>
      </c>
      <c r="BC199">
        <v>-1.23</v>
      </c>
      <c r="BD199">
        <v>-13.250000000000002</v>
      </c>
      <c r="BE199">
        <v>-68.610000000000014</v>
      </c>
      <c r="BF199">
        <v>-3.67</v>
      </c>
      <c r="BG199">
        <v>18</v>
      </c>
      <c r="BH199">
        <v>20</v>
      </c>
      <c r="BI199">
        <v>-0.11999999999999975</v>
      </c>
      <c r="BJ199">
        <v>13</v>
      </c>
      <c r="BK199">
        <v>14.75</v>
      </c>
      <c r="BL199">
        <v>23</v>
      </c>
      <c r="BM199">
        <v>3.8331540169107225E-3</v>
      </c>
      <c r="BN199">
        <v>8</v>
      </c>
      <c r="BO199">
        <v>6.9136544446713979E-2</v>
      </c>
      <c r="BP199">
        <v>24</v>
      </c>
      <c r="BQ199">
        <v>1.7759999999999976</v>
      </c>
      <c r="BR199">
        <v>4</v>
      </c>
      <c r="BS199">
        <v>6.1199999999999992</v>
      </c>
      <c r="BT199">
        <v>-5.08</v>
      </c>
      <c r="BU199">
        <v>-8.2799999999999994</v>
      </c>
      <c r="BV199">
        <v>0.8</v>
      </c>
      <c r="BW199">
        <v>-70.960000000000008</v>
      </c>
      <c r="BX199">
        <v>-69</v>
      </c>
      <c r="BY199">
        <v>-3.1199999999999988</v>
      </c>
      <c r="BZ199">
        <v>-1.3200000000000003</v>
      </c>
      <c r="CA199">
        <v>2.48</v>
      </c>
      <c r="CB199">
        <v>21</v>
      </c>
      <c r="CC199">
        <v>-1.9502000000000015</v>
      </c>
      <c r="CD199">
        <v>-1.6141400000000004</v>
      </c>
      <c r="CE199">
        <v>-65.88</v>
      </c>
      <c r="CF199">
        <v>-3.5282750000000003</v>
      </c>
    </row>
    <row r="200" spans="1:84" x14ac:dyDescent="0.2">
      <c r="A200" s="39">
        <v>43779</v>
      </c>
      <c r="B200" s="22" t="s">
        <v>244</v>
      </c>
      <c r="C200" s="41" t="s">
        <v>284</v>
      </c>
      <c r="D200" s="22" t="s">
        <v>285</v>
      </c>
      <c r="E200">
        <v>12.2</v>
      </c>
      <c r="F200">
        <v>13.4</v>
      </c>
      <c r="G200">
        <v>5.3</v>
      </c>
      <c r="H200">
        <v>14.7</v>
      </c>
      <c r="I200">
        <v>-5.5</v>
      </c>
      <c r="J200">
        <v>51</v>
      </c>
      <c r="K200" t="s">
        <v>109</v>
      </c>
      <c r="L200" s="1" t="s">
        <v>284</v>
      </c>
      <c r="M200">
        <v>10</v>
      </c>
      <c r="N200">
        <v>2.1896000000000004</v>
      </c>
      <c r="O200">
        <v>-3.8430000000000013</v>
      </c>
      <c r="P200">
        <v>-29.029999999999994</v>
      </c>
      <c r="Q200">
        <v>-0.62000000000000011</v>
      </c>
      <c r="R200">
        <v>10.404</v>
      </c>
      <c r="S200">
        <v>44.919999999999995</v>
      </c>
      <c r="T200">
        <v>3.6400000000000006</v>
      </c>
      <c r="U200">
        <v>18</v>
      </c>
      <c r="V200">
        <v>17.5</v>
      </c>
      <c r="W200">
        <v>-3.8800000000000003</v>
      </c>
      <c r="X200">
        <v>14</v>
      </c>
      <c r="Y200">
        <v>14</v>
      </c>
      <c r="Z200">
        <v>29</v>
      </c>
      <c r="AA200">
        <v>-1.5389751345299763E-2</v>
      </c>
      <c r="AB200">
        <v>22</v>
      </c>
      <c r="AC200">
        <v>3.1269387411979245E-2</v>
      </c>
      <c r="AD200">
        <v>1</v>
      </c>
      <c r="AE200">
        <v>-19.916000000000004</v>
      </c>
      <c r="AF200">
        <v>4</v>
      </c>
      <c r="AG200">
        <v>3.4400000000000004</v>
      </c>
      <c r="AH200">
        <v>6.6799999999999971</v>
      </c>
      <c r="AI200">
        <v>4.3599999999999985</v>
      </c>
      <c r="AJ200">
        <v>-1.1199999999999999</v>
      </c>
      <c r="AK200">
        <v>24.96</v>
      </c>
      <c r="AL200">
        <v>43.440000000000005</v>
      </c>
      <c r="AM200">
        <v>-24.919999999999995</v>
      </c>
      <c r="AN200">
        <v>-0.28000000000000008</v>
      </c>
      <c r="AO200">
        <v>6.7200000000000006</v>
      </c>
      <c r="AP200">
        <v>8</v>
      </c>
      <c r="AQ200">
        <v>6.0326000000000022</v>
      </c>
      <c r="AR200">
        <v>4.4402200000000009</v>
      </c>
      <c r="AS200">
        <v>68.36</v>
      </c>
      <c r="AT200">
        <v>-6.0326000000000022</v>
      </c>
      <c r="AU200">
        <v>1.3188250000000001</v>
      </c>
      <c r="AV200">
        <v>2.7249625000000006</v>
      </c>
      <c r="AW200">
        <v>3.0680250000000009</v>
      </c>
      <c r="AX200" t="s">
        <v>285</v>
      </c>
      <c r="AY200">
        <v>1</v>
      </c>
      <c r="AZ200">
        <v>5.8879999999999999</v>
      </c>
      <c r="BA200">
        <v>2.8752000000000031</v>
      </c>
      <c r="BB200">
        <v>27</v>
      </c>
      <c r="BC200">
        <v>-0.19999999999999984</v>
      </c>
      <c r="BD200">
        <v>10.492000000000001</v>
      </c>
      <c r="BE200">
        <v>34.24</v>
      </c>
      <c r="BF200">
        <v>0.16000000000000059</v>
      </c>
      <c r="BG200">
        <v>19</v>
      </c>
      <c r="BH200">
        <v>20.5</v>
      </c>
      <c r="BI200">
        <v>-2.04</v>
      </c>
      <c r="BJ200">
        <v>26</v>
      </c>
      <c r="BK200">
        <v>22</v>
      </c>
      <c r="BL200">
        <v>5</v>
      </c>
      <c r="BM200">
        <v>-3.9123818515458486E-2</v>
      </c>
      <c r="BN200">
        <v>31</v>
      </c>
      <c r="BO200">
        <v>-1.0509881961917045E-2</v>
      </c>
      <c r="BP200">
        <v>20</v>
      </c>
      <c r="BQ200">
        <v>10.907999999999998</v>
      </c>
      <c r="BR200">
        <v>32</v>
      </c>
      <c r="BS200">
        <v>-6.2799999999999994</v>
      </c>
      <c r="BT200">
        <v>-0.11999999999999886</v>
      </c>
      <c r="BU200">
        <v>5.32</v>
      </c>
      <c r="BV200">
        <v>0.20000000000000009</v>
      </c>
      <c r="BW200">
        <v>54.840000000000011</v>
      </c>
      <c r="BX200">
        <v>42.88</v>
      </c>
      <c r="BY200">
        <v>21.2</v>
      </c>
      <c r="BZ200">
        <v>-6.04</v>
      </c>
      <c r="CA200">
        <v>-3.1999999999999997</v>
      </c>
      <c r="CB200">
        <v>8</v>
      </c>
      <c r="CC200">
        <v>3.0127999999999968</v>
      </c>
      <c r="CD200">
        <v>1.8383999999999991</v>
      </c>
      <c r="CE200">
        <v>21.680000000000003</v>
      </c>
      <c r="CF200">
        <v>2.3819000000000004</v>
      </c>
    </row>
    <row r="201" spans="1:84" x14ac:dyDescent="0.2">
      <c r="A201" s="39">
        <v>43779</v>
      </c>
      <c r="B201" s="22" t="s">
        <v>244</v>
      </c>
      <c r="C201" s="41" t="s">
        <v>310</v>
      </c>
      <c r="D201" s="22" t="s">
        <v>288</v>
      </c>
      <c r="E201">
        <v>2.7</v>
      </c>
      <c r="F201" s="14">
        <v>9.3000000000000007</v>
      </c>
      <c r="G201">
        <v>3</v>
      </c>
      <c r="H201">
        <f>12.6+7</f>
        <v>19.600000000000001</v>
      </c>
      <c r="I201">
        <v>5</v>
      </c>
      <c r="J201">
        <v>49</v>
      </c>
      <c r="L201" s="1" t="s">
        <v>310</v>
      </c>
      <c r="M201">
        <v>16</v>
      </c>
      <c r="N201">
        <v>-0.13720000000000016</v>
      </c>
      <c r="O201">
        <v>-6.6568000000000005</v>
      </c>
      <c r="P201">
        <v>-19.679999999999996</v>
      </c>
      <c r="Q201">
        <v>-2.04</v>
      </c>
      <c r="R201">
        <v>-3.8799999999999981</v>
      </c>
      <c r="S201">
        <v>-1.2000000000000028</v>
      </c>
      <c r="T201">
        <v>-1.0399999999999996</v>
      </c>
      <c r="U201">
        <v>29</v>
      </c>
      <c r="V201">
        <v>29</v>
      </c>
      <c r="W201">
        <v>-1.56</v>
      </c>
      <c r="X201">
        <v>25</v>
      </c>
      <c r="Y201">
        <v>21</v>
      </c>
      <c r="Z201">
        <v>27</v>
      </c>
      <c r="AA201">
        <v>-5.6218922573214149E-3</v>
      </c>
      <c r="AB201">
        <v>2</v>
      </c>
      <c r="AC201">
        <v>3.9191081372193293E-2</v>
      </c>
      <c r="AD201">
        <v>30</v>
      </c>
      <c r="AE201">
        <v>8.1840000000000028</v>
      </c>
      <c r="AF201">
        <v>25</v>
      </c>
      <c r="AG201">
        <v>3.3600000000000003</v>
      </c>
      <c r="AH201">
        <v>-3.4000000000000012</v>
      </c>
      <c r="AI201">
        <v>-4.88</v>
      </c>
      <c r="AJ201">
        <v>-0.83999999999999986</v>
      </c>
      <c r="AK201">
        <v>-27.759999999999991</v>
      </c>
      <c r="AL201">
        <v>0.7199999999999932</v>
      </c>
      <c r="AM201">
        <v>-24.479999999999997</v>
      </c>
      <c r="AN201">
        <v>-3.28</v>
      </c>
      <c r="AO201">
        <v>-0.72000000000000031</v>
      </c>
      <c r="AP201">
        <v>7</v>
      </c>
      <c r="AQ201">
        <v>6.5196000000000005</v>
      </c>
      <c r="AR201">
        <v>2.5249600000000005</v>
      </c>
      <c r="AS201">
        <v>25.199999999999989</v>
      </c>
      <c r="AT201">
        <v>-6.5196000000000005</v>
      </c>
      <c r="AU201">
        <v>-1.8092500000000005</v>
      </c>
      <c r="AV201">
        <v>-0.61262500000000009</v>
      </c>
      <c r="AW201">
        <v>4.2449999999999821E-2</v>
      </c>
      <c r="AX201" t="s">
        <v>288</v>
      </c>
      <c r="AY201">
        <v>7</v>
      </c>
      <c r="AZ201">
        <v>-0.12000000000000063</v>
      </c>
      <c r="BA201">
        <v>6.2224000000000004</v>
      </c>
      <c r="BB201">
        <v>-6.08</v>
      </c>
      <c r="BC201">
        <v>1.8800000000000001</v>
      </c>
      <c r="BD201">
        <v>-13.604000000000001</v>
      </c>
      <c r="BE201">
        <v>-60.519999999999996</v>
      </c>
      <c r="BF201">
        <v>0.12</v>
      </c>
      <c r="BG201">
        <v>20</v>
      </c>
      <c r="BH201">
        <v>21</v>
      </c>
      <c r="BI201">
        <v>-2.12</v>
      </c>
      <c r="BJ201">
        <v>2</v>
      </c>
      <c r="BK201">
        <v>7.25</v>
      </c>
      <c r="BL201">
        <v>4</v>
      </c>
      <c r="BM201">
        <v>2.5478000483529151E-2</v>
      </c>
      <c r="BN201">
        <v>13</v>
      </c>
      <c r="BO201">
        <v>4.4638370251939398E-3</v>
      </c>
      <c r="BP201">
        <v>3</v>
      </c>
      <c r="BQ201">
        <v>-21.403999999999996</v>
      </c>
      <c r="BR201">
        <v>9</v>
      </c>
      <c r="BS201">
        <v>1.7599999999999998</v>
      </c>
      <c r="BT201">
        <v>6.1200000000000028</v>
      </c>
      <c r="BU201">
        <v>-2.3600000000000003</v>
      </c>
      <c r="BV201">
        <v>-0.51999999999999991</v>
      </c>
      <c r="BW201">
        <v>-24.8</v>
      </c>
      <c r="BX201">
        <v>-23.8</v>
      </c>
      <c r="BY201">
        <v>-4.6800000000000015</v>
      </c>
      <c r="BZ201">
        <v>0.44000000000000006</v>
      </c>
      <c r="CA201">
        <v>3.2400000000000011</v>
      </c>
      <c r="CB201">
        <v>29</v>
      </c>
      <c r="CC201">
        <v>-6.3424000000000014</v>
      </c>
      <c r="CD201">
        <v>-5.8560000000000008</v>
      </c>
      <c r="CE201">
        <v>-19.119999999999997</v>
      </c>
      <c r="CF201">
        <v>-1.2677</v>
      </c>
    </row>
    <row r="202" spans="1:84" x14ac:dyDescent="0.2">
      <c r="A202" s="39">
        <v>43786</v>
      </c>
      <c r="B202" s="22" t="s">
        <v>259</v>
      </c>
      <c r="C202" s="41" t="s">
        <v>285</v>
      </c>
      <c r="D202" s="22" t="s">
        <v>256</v>
      </c>
      <c r="E202">
        <v>13.7</v>
      </c>
      <c r="F202">
        <v>10.199999999999999</v>
      </c>
      <c r="G202">
        <v>12.5</v>
      </c>
      <c r="H202">
        <v>1.4</v>
      </c>
      <c r="I202">
        <v>10</v>
      </c>
      <c r="J202">
        <v>44</v>
      </c>
      <c r="L202" s="1" t="s">
        <v>285</v>
      </c>
      <c r="M202">
        <v>12</v>
      </c>
      <c r="N202">
        <v>1.2112000000000023</v>
      </c>
      <c r="O202">
        <v>3.5649999999999999</v>
      </c>
      <c r="P202">
        <v>-9.9699999999999989</v>
      </c>
      <c r="Q202">
        <v>-1.36</v>
      </c>
      <c r="R202">
        <v>-5.0920000000000005</v>
      </c>
      <c r="S202">
        <v>-8.8800000000000026</v>
      </c>
      <c r="T202">
        <v>-5.3599999999999994</v>
      </c>
      <c r="U202">
        <v>21</v>
      </c>
      <c r="V202">
        <v>20</v>
      </c>
      <c r="W202">
        <v>-4.6399999999999997</v>
      </c>
      <c r="X202">
        <v>9</v>
      </c>
      <c r="Y202">
        <v>12.25</v>
      </c>
      <c r="Z202">
        <v>20</v>
      </c>
      <c r="AA202">
        <v>-7.0512924245924369E-2</v>
      </c>
      <c r="AB202">
        <v>7</v>
      </c>
      <c r="AC202">
        <v>-1.5783531433996977E-2</v>
      </c>
      <c r="AD202">
        <v>4</v>
      </c>
      <c r="AE202">
        <v>-7.1400000000000023</v>
      </c>
      <c r="AF202">
        <v>18</v>
      </c>
      <c r="AG202">
        <v>-2.6399999999999997</v>
      </c>
      <c r="AH202">
        <v>-4.1199999999999992</v>
      </c>
      <c r="AI202">
        <v>2.4799999999999995</v>
      </c>
      <c r="AJ202">
        <v>-2.6</v>
      </c>
      <c r="AK202">
        <v>9.5200000000000049</v>
      </c>
      <c r="AL202">
        <v>4.8799999999999955</v>
      </c>
      <c r="AM202">
        <v>-10.680000000000001</v>
      </c>
      <c r="AN202">
        <v>1.92</v>
      </c>
      <c r="AO202">
        <v>13.4</v>
      </c>
      <c r="AP202">
        <v>19</v>
      </c>
      <c r="AQ202">
        <v>-2.3537999999999974</v>
      </c>
      <c r="AR202">
        <v>-2.5586599999999997</v>
      </c>
      <c r="AS202">
        <v>15.559999999999997</v>
      </c>
      <c r="AT202">
        <v>2.3537999999999979</v>
      </c>
      <c r="AU202">
        <v>-9.4749999999996434E-3</v>
      </c>
      <c r="AV202">
        <v>-0.33264999999999978</v>
      </c>
      <c r="AW202">
        <v>1.9850000000000001</v>
      </c>
      <c r="AX202" t="s">
        <v>256</v>
      </c>
      <c r="AY202">
        <v>22</v>
      </c>
      <c r="AZ202">
        <v>-2.9064000000000005</v>
      </c>
      <c r="BA202">
        <v>-4.6360000000000001</v>
      </c>
      <c r="BB202">
        <v>3.0199999999999996</v>
      </c>
      <c r="BC202">
        <v>-0.96</v>
      </c>
      <c r="BD202">
        <v>-11.260000000000002</v>
      </c>
      <c r="BE202">
        <v>-53.8</v>
      </c>
      <c r="BF202">
        <v>-2.72</v>
      </c>
      <c r="BG202">
        <v>18</v>
      </c>
      <c r="BH202">
        <v>20</v>
      </c>
      <c r="BI202">
        <v>0.36000000000000015</v>
      </c>
      <c r="BJ202">
        <v>13</v>
      </c>
      <c r="BK202">
        <v>14.75</v>
      </c>
      <c r="BL202">
        <v>23</v>
      </c>
      <c r="BM202">
        <v>-1.3953058888773028E-2</v>
      </c>
      <c r="BN202">
        <v>8</v>
      </c>
      <c r="BO202">
        <v>5.7933214711236504E-2</v>
      </c>
      <c r="BP202">
        <v>24</v>
      </c>
      <c r="BQ202">
        <v>1.1839999999999975</v>
      </c>
      <c r="BR202">
        <v>4</v>
      </c>
      <c r="BS202">
        <v>5.68</v>
      </c>
      <c r="BT202">
        <v>-2.319999999999999</v>
      </c>
      <c r="BU202">
        <v>-4.7199999999999989</v>
      </c>
      <c r="BV202">
        <v>1.44</v>
      </c>
      <c r="BW202">
        <v>-39.199999999999989</v>
      </c>
      <c r="BX202">
        <v>-60.480000000000018</v>
      </c>
      <c r="BY202">
        <v>10.959999999999997</v>
      </c>
      <c r="BZ202">
        <v>-1.56</v>
      </c>
      <c r="CA202">
        <v>11.88</v>
      </c>
      <c r="CB202">
        <v>11</v>
      </c>
      <c r="CC202">
        <v>1.7295999999999996</v>
      </c>
      <c r="CD202">
        <v>-0.51528000000000063</v>
      </c>
      <c r="CE202">
        <v>-71.440000000000012</v>
      </c>
      <c r="CF202">
        <v>-2.6502999999999997</v>
      </c>
    </row>
    <row r="203" spans="1:84" x14ac:dyDescent="0.2">
      <c r="A203" s="39">
        <v>43786</v>
      </c>
      <c r="B203" s="22" t="s">
        <v>259</v>
      </c>
      <c r="C203" s="41" t="s">
        <v>295</v>
      </c>
      <c r="D203" s="22" t="s">
        <v>301</v>
      </c>
      <c r="E203">
        <v>14.7</v>
      </c>
      <c r="F203">
        <v>31.3</v>
      </c>
      <c r="G203">
        <v>5.2</v>
      </c>
      <c r="H203">
        <v>4.3</v>
      </c>
      <c r="I203">
        <v>3.5</v>
      </c>
      <c r="J203">
        <v>49</v>
      </c>
      <c r="K203" t="s">
        <v>109</v>
      </c>
      <c r="L203" s="1" t="s">
        <v>295</v>
      </c>
      <c r="M203">
        <v>11</v>
      </c>
      <c r="N203">
        <v>1.5895999999999986</v>
      </c>
      <c r="O203">
        <v>-2.7350000000000012</v>
      </c>
      <c r="P203">
        <v>-6.9300000000000006</v>
      </c>
      <c r="Q203">
        <v>-1.1599999999999999</v>
      </c>
      <c r="R203">
        <v>8.104000000000001</v>
      </c>
      <c r="S203">
        <v>34.519999999999996</v>
      </c>
      <c r="T203">
        <v>0</v>
      </c>
      <c r="U203">
        <v>4</v>
      </c>
      <c r="V203">
        <v>7</v>
      </c>
      <c r="W203">
        <v>-0.99999999999999978</v>
      </c>
      <c r="X203">
        <v>14</v>
      </c>
      <c r="Y203">
        <v>14</v>
      </c>
      <c r="Z203">
        <v>7</v>
      </c>
      <c r="AA203">
        <v>5.6287993945918116E-2</v>
      </c>
      <c r="AB203">
        <v>9</v>
      </c>
      <c r="AC203">
        <v>6.358214553195715E-3</v>
      </c>
      <c r="AD203">
        <v>26</v>
      </c>
      <c r="AE203">
        <v>9.0079999999999991</v>
      </c>
      <c r="AF203">
        <v>14</v>
      </c>
      <c r="AG203">
        <v>-1.4400000000000002</v>
      </c>
      <c r="AH203">
        <v>-2.0399999999999991</v>
      </c>
      <c r="AI203">
        <v>0.59999999999999964</v>
      </c>
      <c r="AJ203">
        <v>-0.56000000000000016</v>
      </c>
      <c r="AK203">
        <v>17.720000000000006</v>
      </c>
      <c r="AL203">
        <v>32.839999999999989</v>
      </c>
      <c r="AM203">
        <v>-5.4800000000000013</v>
      </c>
      <c r="AN203">
        <v>0.12000000000000002</v>
      </c>
      <c r="AO203">
        <v>-9.76</v>
      </c>
      <c r="AP203">
        <v>10</v>
      </c>
      <c r="AQ203">
        <v>4.3245999999999993</v>
      </c>
      <c r="AR203">
        <v>3.3062200000000006</v>
      </c>
      <c r="AS203">
        <v>38.319999999999993</v>
      </c>
      <c r="AT203">
        <v>-4.3246000000000002</v>
      </c>
      <c r="AU203">
        <v>1.1898249999999999</v>
      </c>
      <c r="AV203">
        <v>0.28627500000000028</v>
      </c>
      <c r="AW203">
        <v>0.34705000000000008</v>
      </c>
      <c r="AX203" t="s">
        <v>301</v>
      </c>
      <c r="AY203">
        <v>14</v>
      </c>
      <c r="AZ203">
        <v>-3.0319999999999991</v>
      </c>
      <c r="BA203">
        <v>5.2160000000000011</v>
      </c>
      <c r="BB203">
        <v>8.9600000000000044</v>
      </c>
      <c r="BC203">
        <v>-1.56</v>
      </c>
      <c r="BD203">
        <v>0.4600000000000013</v>
      </c>
      <c r="BE203">
        <v>21.959999999999994</v>
      </c>
      <c r="BF203">
        <v>0.47999999999999932</v>
      </c>
      <c r="BG203">
        <v>10</v>
      </c>
      <c r="BH203">
        <v>11.5</v>
      </c>
      <c r="BI203">
        <v>4.5999999999999996</v>
      </c>
      <c r="BJ203">
        <v>18</v>
      </c>
      <c r="BK203">
        <v>16.25</v>
      </c>
      <c r="BL203">
        <v>18</v>
      </c>
      <c r="BM203">
        <v>-1.6612738603690492E-2</v>
      </c>
      <c r="BN203">
        <v>16</v>
      </c>
      <c r="BO203">
        <v>1.7043735430308935E-2</v>
      </c>
      <c r="BP203">
        <v>8</v>
      </c>
      <c r="BQ203">
        <v>1.4360000000000042</v>
      </c>
      <c r="BR203">
        <v>23</v>
      </c>
      <c r="BS203">
        <v>-3.9999999999999855E-2</v>
      </c>
      <c r="BT203">
        <v>-4.000000000000057E-2</v>
      </c>
      <c r="BU203">
        <v>5.84</v>
      </c>
      <c r="BV203">
        <v>0.27999999999999992</v>
      </c>
      <c r="BW203">
        <v>24.439999999999998</v>
      </c>
      <c r="BX203">
        <v>2.4</v>
      </c>
      <c r="BY203">
        <v>23.6</v>
      </c>
      <c r="BZ203">
        <v>2.6399999999999997</v>
      </c>
      <c r="CA203">
        <v>-4.2</v>
      </c>
      <c r="CB203">
        <v>31</v>
      </c>
      <c r="CC203">
        <v>-8.2479999999999993</v>
      </c>
      <c r="CD203">
        <v>-3.1223999999999998</v>
      </c>
      <c r="CE203">
        <v>-21.200000000000003</v>
      </c>
      <c r="CF203">
        <v>0.22550000000000042</v>
      </c>
    </row>
    <row r="204" spans="1:84" x14ac:dyDescent="0.2">
      <c r="A204" s="39">
        <v>43786</v>
      </c>
      <c r="B204" s="22" t="s">
        <v>259</v>
      </c>
      <c r="C204" s="41" t="s">
        <v>305</v>
      </c>
      <c r="D204" s="22" t="s">
        <v>311</v>
      </c>
      <c r="E204">
        <v>4.3</v>
      </c>
      <c r="F204">
        <v>3.3</v>
      </c>
      <c r="G204">
        <v>8.5</v>
      </c>
      <c r="H204">
        <f>17.5+4+3.6</f>
        <v>25.1</v>
      </c>
      <c r="I204">
        <v>-4</v>
      </c>
      <c r="J204">
        <v>51</v>
      </c>
      <c r="L204" s="1" t="s">
        <v>305</v>
      </c>
      <c r="M204">
        <v>1</v>
      </c>
      <c r="N204">
        <v>8.4575999999999993</v>
      </c>
      <c r="O204">
        <v>3.056</v>
      </c>
      <c r="P204">
        <v>16.68</v>
      </c>
      <c r="Q204">
        <v>-2.04</v>
      </c>
      <c r="R204">
        <v>-4.3279999999999976</v>
      </c>
      <c r="S204">
        <v>-30.439999999999984</v>
      </c>
      <c r="T204">
        <v>-4.5599999999999987</v>
      </c>
      <c r="U204">
        <v>8</v>
      </c>
      <c r="V204">
        <v>8.5</v>
      </c>
      <c r="W204">
        <v>4.9999999999999982</v>
      </c>
      <c r="X204">
        <v>31</v>
      </c>
      <c r="Y204">
        <v>29.25</v>
      </c>
      <c r="Z204">
        <v>27</v>
      </c>
      <c r="AA204">
        <v>-3.2843124265690214E-2</v>
      </c>
      <c r="AB204">
        <v>31</v>
      </c>
      <c r="AC204">
        <v>-1.8820762357118777E-2</v>
      </c>
      <c r="AD204">
        <v>27</v>
      </c>
      <c r="AE204">
        <v>14.231999999999999</v>
      </c>
      <c r="AF204">
        <v>32</v>
      </c>
      <c r="AG204">
        <v>-5.32</v>
      </c>
      <c r="AH204">
        <v>-1.3199999999999974</v>
      </c>
      <c r="AI204">
        <v>7.44</v>
      </c>
      <c r="AJ204">
        <v>3.8400000000000007</v>
      </c>
      <c r="AK204">
        <v>24.520000000000003</v>
      </c>
      <c r="AL204">
        <v>-54.760000000000012</v>
      </c>
      <c r="AM204">
        <v>22.240000000000002</v>
      </c>
      <c r="AN204">
        <v>-3.08</v>
      </c>
      <c r="AO204">
        <v>60.120000000000005</v>
      </c>
      <c r="AP204">
        <v>6</v>
      </c>
      <c r="AQ204">
        <v>5.4015999999999993</v>
      </c>
      <c r="AR204">
        <v>-0.70208000000000004</v>
      </c>
      <c r="AS204">
        <v>-77.000000000000014</v>
      </c>
      <c r="AT204">
        <v>-5.4015999999999993</v>
      </c>
      <c r="AU204">
        <v>1.2332000000000001</v>
      </c>
      <c r="AV204">
        <v>-0.75787500000000008</v>
      </c>
      <c r="AW204">
        <v>-2.2881499999999999</v>
      </c>
      <c r="AX204" t="s">
        <v>311</v>
      </c>
      <c r="AY204">
        <v>6</v>
      </c>
      <c r="AZ204">
        <v>3.5551999999999979</v>
      </c>
      <c r="BA204">
        <v>0.19200000000000061</v>
      </c>
      <c r="BB204">
        <v>-21.92</v>
      </c>
      <c r="BC204">
        <v>0.7200000000000002</v>
      </c>
      <c r="BD204">
        <v>4.4320000000000004</v>
      </c>
      <c r="BE204">
        <v>15.466666666666665</v>
      </c>
      <c r="BF204">
        <v>0.96</v>
      </c>
      <c r="BG204">
        <v>22</v>
      </c>
      <c r="BH204">
        <v>21.5</v>
      </c>
      <c r="BI204">
        <v>-2.2799999999999998</v>
      </c>
      <c r="BJ204">
        <v>27</v>
      </c>
      <c r="BK204">
        <v>22.75</v>
      </c>
      <c r="BL204">
        <v>31</v>
      </c>
      <c r="BM204">
        <v>-4.81555335803351E-2</v>
      </c>
      <c r="BN204">
        <v>30</v>
      </c>
      <c r="BO204">
        <v>-2.6886412194979437E-2</v>
      </c>
      <c r="BP204">
        <v>2</v>
      </c>
      <c r="BQ204">
        <v>-12.496</v>
      </c>
      <c r="BR204">
        <v>28</v>
      </c>
      <c r="BS204">
        <v>-1.2</v>
      </c>
      <c r="BT204">
        <v>-3.0799999999999996</v>
      </c>
      <c r="BU204">
        <v>1.2</v>
      </c>
      <c r="BV204">
        <v>-2.0000000000000004</v>
      </c>
      <c r="BW204">
        <v>8.7999999999999883</v>
      </c>
      <c r="BX204">
        <v>34.08</v>
      </c>
      <c r="BY204">
        <v>-18.2</v>
      </c>
      <c r="BZ204">
        <v>-5.2</v>
      </c>
      <c r="CA204">
        <v>-1.8799999999999986</v>
      </c>
      <c r="CB204">
        <v>7</v>
      </c>
      <c r="CC204">
        <v>3.3631999999999977</v>
      </c>
      <c r="CD204">
        <v>1.5014399999999992</v>
      </c>
      <c r="CE204">
        <v>52.28</v>
      </c>
      <c r="CF204">
        <v>0.77239999999999975</v>
      </c>
    </row>
    <row r="205" spans="1:84" x14ac:dyDescent="0.2">
      <c r="A205" s="39">
        <v>43786</v>
      </c>
      <c r="B205" s="22" t="s">
        <v>259</v>
      </c>
      <c r="C205" s="41" t="s">
        <v>276</v>
      </c>
      <c r="D205" s="22" t="s">
        <v>293</v>
      </c>
      <c r="E205">
        <v>37.700000000000003</v>
      </c>
      <c r="F205">
        <v>7.8</v>
      </c>
      <c r="G205">
        <v>6.1</v>
      </c>
      <c r="H205">
        <v>12.8</v>
      </c>
      <c r="I205">
        <v>-7</v>
      </c>
      <c r="J205">
        <v>41.5</v>
      </c>
      <c r="K205" t="s">
        <v>110</v>
      </c>
      <c r="L205" s="1" t="s">
        <v>276</v>
      </c>
      <c r="M205">
        <v>4</v>
      </c>
      <c r="N205">
        <v>5.2952000000000021</v>
      </c>
      <c r="O205">
        <v>-5.1439999999999992</v>
      </c>
      <c r="P205">
        <v>-14.399999999999997</v>
      </c>
      <c r="Q205">
        <v>-1.7999999999999998</v>
      </c>
      <c r="R205">
        <v>-2.7189999999999994</v>
      </c>
      <c r="S205">
        <v>-11.700000000000003</v>
      </c>
      <c r="T205">
        <v>-0.2300000000000002</v>
      </c>
      <c r="U205">
        <v>25</v>
      </c>
      <c r="V205">
        <v>23</v>
      </c>
      <c r="W205">
        <v>-1.3199999999999998</v>
      </c>
      <c r="X205">
        <v>24</v>
      </c>
      <c r="Y205">
        <v>20.75</v>
      </c>
      <c r="Z205">
        <v>25</v>
      </c>
      <c r="AA205">
        <v>-3.4739172914955617E-2</v>
      </c>
      <c r="AB205">
        <v>25</v>
      </c>
      <c r="AC205">
        <v>-9.9553279086046845E-3</v>
      </c>
      <c r="AD205">
        <v>5</v>
      </c>
      <c r="AE205">
        <v>-19.027999999999999</v>
      </c>
      <c r="AF205">
        <v>28</v>
      </c>
      <c r="AG205">
        <v>-1.6800000000000004</v>
      </c>
      <c r="AH205">
        <v>-2.3599999999999994</v>
      </c>
      <c r="AI205">
        <v>0.40000000000000069</v>
      </c>
      <c r="AJ205">
        <v>0.72</v>
      </c>
      <c r="AK205">
        <v>-20.320000000000004</v>
      </c>
      <c r="AL205">
        <v>-20.04</v>
      </c>
      <c r="AM205">
        <v>-18.2</v>
      </c>
      <c r="AN205">
        <v>-1.0799999999999998</v>
      </c>
      <c r="AO205">
        <v>19</v>
      </c>
      <c r="AP205">
        <v>2</v>
      </c>
      <c r="AQ205">
        <v>10.439200000000003</v>
      </c>
      <c r="AR205">
        <v>3.0872400000000004</v>
      </c>
      <c r="AS205">
        <v>-1.8399999999999999</v>
      </c>
      <c r="AT205">
        <v>-10.439200000000001</v>
      </c>
      <c r="AU205">
        <v>-0.46097499999999958</v>
      </c>
      <c r="AV205">
        <v>1.110625</v>
      </c>
      <c r="AW205">
        <v>0.88115000000000032</v>
      </c>
      <c r="AX205" t="s">
        <v>293</v>
      </c>
      <c r="AY205">
        <v>2</v>
      </c>
      <c r="AZ205">
        <v>0.68079999999999996</v>
      </c>
      <c r="BA205">
        <v>-0.75600000000000023</v>
      </c>
      <c r="BB205">
        <v>14.76</v>
      </c>
      <c r="BC205">
        <v>-0.35999999999999988</v>
      </c>
      <c r="BD205">
        <v>6.5559999999999974</v>
      </c>
      <c r="BE205">
        <v>20.329999999999998</v>
      </c>
      <c r="BF205">
        <v>3.6100000000000003</v>
      </c>
      <c r="BG205">
        <v>1</v>
      </c>
      <c r="BH205">
        <v>1.5</v>
      </c>
      <c r="BI205">
        <v>0.6</v>
      </c>
      <c r="BJ205">
        <v>31</v>
      </c>
      <c r="BK205">
        <v>29</v>
      </c>
      <c r="BL205">
        <v>29</v>
      </c>
      <c r="BM205">
        <v>-8.1261440817176289E-2</v>
      </c>
      <c r="BN205">
        <v>32</v>
      </c>
      <c r="BO205">
        <v>-2.0590863867861221E-2</v>
      </c>
      <c r="BP205">
        <v>30</v>
      </c>
      <c r="BQ205">
        <v>9.5240000000000009</v>
      </c>
      <c r="BR205">
        <v>25</v>
      </c>
      <c r="BS205">
        <v>-2.2800000000000002</v>
      </c>
      <c r="BT205">
        <v>1.7199999999999989</v>
      </c>
      <c r="BU205">
        <v>2.9600000000000009</v>
      </c>
      <c r="BV205">
        <v>-0.28000000000000008</v>
      </c>
      <c r="BW205">
        <v>38.04</v>
      </c>
      <c r="BX205">
        <v>21.119999999999997</v>
      </c>
      <c r="BY205">
        <v>18.639999999999997</v>
      </c>
      <c r="BZ205">
        <v>-1.3599999999999999</v>
      </c>
      <c r="CA205">
        <v>-0.36000000000000065</v>
      </c>
      <c r="CB205">
        <v>13</v>
      </c>
      <c r="CC205">
        <v>1.4368000000000001</v>
      </c>
      <c r="CD205">
        <v>1.8253599999999999</v>
      </c>
      <c r="CE205">
        <v>2.4800000000000004</v>
      </c>
      <c r="CF205">
        <v>1.3400999999999996</v>
      </c>
    </row>
    <row r="206" spans="1:84" x14ac:dyDescent="0.2">
      <c r="A206" s="39">
        <v>43786</v>
      </c>
      <c r="B206" s="22" t="s">
        <v>259</v>
      </c>
      <c r="C206" s="41" t="s">
        <v>301</v>
      </c>
      <c r="D206" s="22" t="s">
        <v>295</v>
      </c>
      <c r="E206">
        <v>17.5</v>
      </c>
      <c r="F206">
        <v>6.5</v>
      </c>
      <c r="G206">
        <v>2.9</v>
      </c>
      <c r="H206">
        <v>10.7</v>
      </c>
      <c r="I206">
        <v>-3.5</v>
      </c>
      <c r="J206">
        <v>49</v>
      </c>
      <c r="K206" t="s">
        <v>109</v>
      </c>
      <c r="L206" s="1" t="s">
        <v>301</v>
      </c>
      <c r="M206">
        <v>30</v>
      </c>
      <c r="N206">
        <v>-6.1863999999999981</v>
      </c>
      <c r="O206">
        <v>8.4420000000000019</v>
      </c>
      <c r="P206">
        <v>9.1599999999999966</v>
      </c>
      <c r="Q206">
        <v>1.65</v>
      </c>
      <c r="R206">
        <v>-5.104000000000001</v>
      </c>
      <c r="S206">
        <v>-11.890000000000006</v>
      </c>
      <c r="T206">
        <v>3.1400000000000006</v>
      </c>
      <c r="U206">
        <v>32</v>
      </c>
      <c r="V206">
        <v>31.5</v>
      </c>
      <c r="W206">
        <v>-3.9999999999999855E-2</v>
      </c>
      <c r="X206">
        <v>4</v>
      </c>
      <c r="Y206">
        <v>8.5</v>
      </c>
      <c r="Z206">
        <v>4</v>
      </c>
      <c r="AA206">
        <v>6.5213301754995068E-2</v>
      </c>
      <c r="AB206">
        <v>6</v>
      </c>
      <c r="AC206">
        <v>2.1875557310148584E-2</v>
      </c>
      <c r="AD206">
        <v>17</v>
      </c>
      <c r="AE206">
        <v>-5.5959999999999992</v>
      </c>
      <c r="AF206">
        <v>7</v>
      </c>
      <c r="AG206">
        <v>4.5999999999999996</v>
      </c>
      <c r="AH206">
        <v>3.1200000000000019</v>
      </c>
      <c r="AI206">
        <v>-3.6399999999999997</v>
      </c>
      <c r="AJ206">
        <v>-0.51999999999999991</v>
      </c>
      <c r="AK206">
        <v>-13.439999999999987</v>
      </c>
      <c r="AL206">
        <v>-13.159999999999997</v>
      </c>
      <c r="AM206">
        <v>8.2800000000000011</v>
      </c>
      <c r="AN206">
        <v>1.6</v>
      </c>
      <c r="AO206">
        <v>-10.16</v>
      </c>
      <c r="AP206">
        <v>32</v>
      </c>
      <c r="AQ206">
        <v>-14.628399999999999</v>
      </c>
      <c r="AR206">
        <v>-6.4790800000000015</v>
      </c>
      <c r="AS206">
        <v>-21.439999999999998</v>
      </c>
      <c r="AT206">
        <v>14.628399999999999</v>
      </c>
      <c r="AU206">
        <v>-0.74104999999999965</v>
      </c>
      <c r="AV206">
        <v>0.28627500000000028</v>
      </c>
      <c r="AW206">
        <v>0.22550000000000042</v>
      </c>
      <c r="AX206" t="s">
        <v>295</v>
      </c>
      <c r="AY206">
        <v>27</v>
      </c>
      <c r="AZ206">
        <v>1.3343999999999998</v>
      </c>
      <c r="BA206">
        <v>1.0180000000000002</v>
      </c>
      <c r="BB206">
        <v>-17.749999999999996</v>
      </c>
      <c r="BC206">
        <v>1.7799999999999998</v>
      </c>
      <c r="BD206">
        <v>-1.2959999999999994</v>
      </c>
      <c r="BE206">
        <v>2.4400000000000022</v>
      </c>
      <c r="BF206">
        <v>1.4</v>
      </c>
      <c r="BG206">
        <v>17</v>
      </c>
      <c r="BH206">
        <v>14.5</v>
      </c>
      <c r="BI206">
        <v>-1.56</v>
      </c>
      <c r="BJ206">
        <v>19</v>
      </c>
      <c r="BK206">
        <v>16.5</v>
      </c>
      <c r="BL206">
        <v>10</v>
      </c>
      <c r="BM206">
        <v>-1.3306066293360624E-2</v>
      </c>
      <c r="BN206">
        <v>20</v>
      </c>
      <c r="BO206">
        <v>-3.221877102249175E-3</v>
      </c>
      <c r="BP206">
        <v>25</v>
      </c>
      <c r="BQ206">
        <v>12.979999999999995</v>
      </c>
      <c r="BR206">
        <v>11</v>
      </c>
      <c r="BS206">
        <v>-0.87999999999999989</v>
      </c>
      <c r="BT206">
        <v>1.5200000000000031</v>
      </c>
      <c r="BU206">
        <v>-1.3599999999999994</v>
      </c>
      <c r="BV206">
        <v>3.9999999999999945E-2</v>
      </c>
      <c r="BW206">
        <v>14.920000000000005</v>
      </c>
      <c r="BX206">
        <v>29.159999999999989</v>
      </c>
      <c r="BY206">
        <v>-9.6400000000000041</v>
      </c>
      <c r="BZ206">
        <v>-1.52</v>
      </c>
      <c r="CA206">
        <v>-3.0799999999999996</v>
      </c>
      <c r="CB206">
        <v>17</v>
      </c>
      <c r="CC206">
        <v>0.31639999999999935</v>
      </c>
      <c r="CD206">
        <v>-0.50131999999999999</v>
      </c>
      <c r="CE206">
        <v>38.799999999999997</v>
      </c>
      <c r="CF206">
        <v>0.34705000000000008</v>
      </c>
    </row>
    <row r="207" spans="1:84" x14ac:dyDescent="0.2">
      <c r="A207" s="39">
        <v>43786</v>
      </c>
      <c r="B207" s="22" t="s">
        <v>259</v>
      </c>
      <c r="C207" s="41" t="s">
        <v>265</v>
      </c>
      <c r="D207" s="22" t="s">
        <v>304</v>
      </c>
      <c r="E207">
        <v>5.5</v>
      </c>
      <c r="F207">
        <v>12.7</v>
      </c>
      <c r="G207">
        <v>11.4</v>
      </c>
      <c r="H207">
        <v>1.8</v>
      </c>
      <c r="I207">
        <v>5</v>
      </c>
      <c r="J207">
        <v>40</v>
      </c>
      <c r="L207" s="1" t="s">
        <v>265</v>
      </c>
      <c r="M207">
        <v>28</v>
      </c>
      <c r="N207">
        <v>-4.1024000000000012</v>
      </c>
      <c r="O207">
        <v>0.26499999999999968</v>
      </c>
      <c r="P207">
        <v>-5.65</v>
      </c>
      <c r="Q207">
        <v>2</v>
      </c>
      <c r="R207">
        <v>-9.4040000000000017</v>
      </c>
      <c r="S207">
        <v>-40.760000000000005</v>
      </c>
      <c r="T207">
        <v>-0.87999999999999989</v>
      </c>
      <c r="U207">
        <v>30</v>
      </c>
      <c r="V207">
        <v>29.5</v>
      </c>
      <c r="W207">
        <v>-1.4799999999999995</v>
      </c>
      <c r="X207">
        <v>18</v>
      </c>
      <c r="Y207">
        <v>15.5</v>
      </c>
      <c r="Z207">
        <v>20</v>
      </c>
      <c r="AA207">
        <v>2.2917733476831702E-2</v>
      </c>
      <c r="AB207">
        <v>11</v>
      </c>
      <c r="AC207">
        <v>2.4751229942798519E-2</v>
      </c>
      <c r="AD207">
        <v>20</v>
      </c>
      <c r="AE207">
        <v>-6.3320000000000034</v>
      </c>
      <c r="AF207">
        <v>11</v>
      </c>
      <c r="AG207">
        <v>0.99999999999999967</v>
      </c>
      <c r="AH207">
        <v>-1.5200000000000002</v>
      </c>
      <c r="AI207">
        <v>-4.68</v>
      </c>
      <c r="AJ207">
        <v>0.28000000000000008</v>
      </c>
      <c r="AK207">
        <v>-54.92</v>
      </c>
      <c r="AL207">
        <v>-43.279999999999994</v>
      </c>
      <c r="AM207">
        <v>-6.2399999999999975</v>
      </c>
      <c r="AN207">
        <v>-3.9599999999999995</v>
      </c>
      <c r="AO207">
        <v>-1.4400000000000002</v>
      </c>
      <c r="AP207">
        <v>22</v>
      </c>
      <c r="AQ207">
        <v>-4.3674000000000008</v>
      </c>
      <c r="AR207">
        <v>-2.83378</v>
      </c>
      <c r="AS207">
        <v>-37.04</v>
      </c>
      <c r="AT207">
        <v>4.3674000000000008</v>
      </c>
      <c r="AU207">
        <v>-1.9651750000000003</v>
      </c>
      <c r="AV207">
        <v>-0.97109999999999985</v>
      </c>
      <c r="AW207">
        <v>-0.90109999999999979</v>
      </c>
      <c r="AX207" t="s">
        <v>304</v>
      </c>
      <c r="AY207">
        <v>16</v>
      </c>
      <c r="AZ207">
        <v>-2.1128</v>
      </c>
      <c r="BA207">
        <v>-3.2560000000000011</v>
      </c>
      <c r="BB207">
        <v>-13.52</v>
      </c>
      <c r="BC207">
        <v>0.59999999999999987</v>
      </c>
      <c r="BD207">
        <v>-0.51999999999999913</v>
      </c>
      <c r="BE207">
        <v>8.0100000000000051</v>
      </c>
      <c r="BF207">
        <v>4.33</v>
      </c>
      <c r="BG207">
        <v>28</v>
      </c>
      <c r="BH207">
        <v>26.5</v>
      </c>
      <c r="BI207">
        <v>-1.52</v>
      </c>
      <c r="BJ207">
        <v>14</v>
      </c>
      <c r="BK207">
        <v>15</v>
      </c>
      <c r="BL207">
        <v>22</v>
      </c>
      <c r="BM207">
        <v>-6.6439737741890992E-3</v>
      </c>
      <c r="BN207">
        <v>10</v>
      </c>
      <c r="BO207">
        <v>7.6921269192743334E-3</v>
      </c>
      <c r="BP207">
        <v>22</v>
      </c>
      <c r="BQ207">
        <v>2.8480000000000003</v>
      </c>
      <c r="BR207">
        <v>6</v>
      </c>
      <c r="BS207">
        <v>3.8800000000000003</v>
      </c>
      <c r="BT207">
        <v>5.6400000000000006</v>
      </c>
      <c r="BU207">
        <v>-7</v>
      </c>
      <c r="BV207">
        <v>-0.83999999999999986</v>
      </c>
      <c r="BW207">
        <v>-16.359999999999992</v>
      </c>
      <c r="BX207">
        <v>7.0799999999999956</v>
      </c>
      <c r="BY207">
        <v>-14.520000000000001</v>
      </c>
      <c r="BZ207">
        <v>-2.5599999999999996</v>
      </c>
      <c r="CA207">
        <v>-6.3600000000000012</v>
      </c>
      <c r="CB207">
        <v>14</v>
      </c>
      <c r="CC207">
        <v>1.1432000000000009</v>
      </c>
      <c r="CD207">
        <v>1.1014400000000006</v>
      </c>
      <c r="CE207">
        <v>21.599999999999998</v>
      </c>
      <c r="CF207">
        <v>-1.0410999999999999</v>
      </c>
    </row>
    <row r="208" spans="1:84" x14ac:dyDescent="0.2">
      <c r="A208" s="39">
        <v>43786</v>
      </c>
      <c r="B208" s="28" t="s">
        <v>259</v>
      </c>
      <c r="C208" s="17" t="s">
        <v>272</v>
      </c>
      <c r="D208" s="28" t="s">
        <v>303</v>
      </c>
      <c r="E208" s="3">
        <v>2</v>
      </c>
      <c r="F208" s="3">
        <v>9.6</v>
      </c>
      <c r="G208" s="3">
        <v>1</v>
      </c>
      <c r="H208" s="3">
        <v>2.6</v>
      </c>
      <c r="I208" s="3">
        <v>13</v>
      </c>
      <c r="J208" s="3">
        <v>48</v>
      </c>
      <c r="K208" t="s">
        <v>110</v>
      </c>
      <c r="L208" s="1" t="s">
        <v>272</v>
      </c>
      <c r="M208">
        <v>18</v>
      </c>
      <c r="N208">
        <v>-1.2119999999999993</v>
      </c>
      <c r="O208">
        <v>-3.2879999999999989</v>
      </c>
      <c r="P208">
        <v>-10.719999999999999</v>
      </c>
      <c r="Q208">
        <v>-0.3999999999999998</v>
      </c>
      <c r="R208">
        <v>-4.7139999999999986</v>
      </c>
      <c r="S208">
        <v>0.71999999999999753</v>
      </c>
      <c r="T208">
        <v>3.0400000000000005</v>
      </c>
      <c r="U208">
        <v>12</v>
      </c>
      <c r="V208">
        <v>11.5</v>
      </c>
      <c r="W208">
        <v>-1.1600000000000004</v>
      </c>
      <c r="X208">
        <v>10</v>
      </c>
      <c r="Y208">
        <v>12.75</v>
      </c>
      <c r="Z208">
        <v>13</v>
      </c>
      <c r="AA208">
        <v>-4.2474291775310542E-2</v>
      </c>
      <c r="AB208">
        <v>15</v>
      </c>
      <c r="AC208">
        <v>-2.9795017574596626E-3</v>
      </c>
      <c r="AD208">
        <v>11</v>
      </c>
      <c r="AE208">
        <v>1.7679999999999978</v>
      </c>
      <c r="AF208">
        <v>12</v>
      </c>
      <c r="AG208">
        <v>1.56</v>
      </c>
      <c r="AH208">
        <v>1.4400000000000006</v>
      </c>
      <c r="AI208">
        <v>-4.8</v>
      </c>
      <c r="AJ208">
        <v>0.55999999999999994</v>
      </c>
      <c r="AK208">
        <v>-16.920000000000005</v>
      </c>
      <c r="AL208">
        <v>-13.6</v>
      </c>
      <c r="AM208">
        <v>-14.000000000000004</v>
      </c>
      <c r="AN208">
        <v>2.52</v>
      </c>
      <c r="AO208">
        <v>8.16</v>
      </c>
      <c r="AP208">
        <v>13</v>
      </c>
      <c r="AQ208">
        <v>2.0759999999999996</v>
      </c>
      <c r="AR208">
        <v>0.45879999999999987</v>
      </c>
      <c r="AS208">
        <v>0.40000000000000391</v>
      </c>
      <c r="AT208">
        <v>-2.0759999999999996</v>
      </c>
      <c r="AU208">
        <v>-1.2417499999999995</v>
      </c>
      <c r="AV208">
        <v>1.0511000000000001</v>
      </c>
      <c r="AW208">
        <v>0.98389999999999989</v>
      </c>
      <c r="AX208" t="s">
        <v>303</v>
      </c>
      <c r="AY208">
        <v>13</v>
      </c>
      <c r="AZ208">
        <v>4.3024000000000004</v>
      </c>
      <c r="BA208">
        <v>1.7400000000000009</v>
      </c>
      <c r="BB208">
        <v>3.799999999999998</v>
      </c>
      <c r="BC208">
        <v>-3.9999999999999925E-2</v>
      </c>
      <c r="BD208">
        <v>3.5040000000000013</v>
      </c>
      <c r="BE208">
        <v>9.8399999999999981</v>
      </c>
      <c r="BF208">
        <v>0.40000000000000036</v>
      </c>
      <c r="BG208">
        <v>27</v>
      </c>
      <c r="BH208">
        <v>25.5</v>
      </c>
      <c r="BI208">
        <v>-0.83999999999999986</v>
      </c>
      <c r="BJ208">
        <v>10</v>
      </c>
      <c r="BK208">
        <v>13.25</v>
      </c>
      <c r="BL208">
        <v>12</v>
      </c>
      <c r="BM208">
        <v>2.2682625349539708E-2</v>
      </c>
      <c r="BN208">
        <v>11</v>
      </c>
      <c r="BO208">
        <v>1.7265658483249326E-2</v>
      </c>
      <c r="BP208">
        <v>12</v>
      </c>
      <c r="BQ208">
        <v>8.5200000000000014</v>
      </c>
      <c r="BR208">
        <v>18</v>
      </c>
      <c r="BS208">
        <v>-0.43999999999999984</v>
      </c>
      <c r="BT208">
        <v>2.8421709430404009E-15</v>
      </c>
      <c r="BU208">
        <v>4.3599999999999994</v>
      </c>
      <c r="BV208">
        <v>-0.55999999999999994</v>
      </c>
      <c r="BW208">
        <v>32.480000000000004</v>
      </c>
      <c r="BX208">
        <v>18.760000000000002</v>
      </c>
      <c r="BY208">
        <v>5.3199999999999985</v>
      </c>
      <c r="BZ208">
        <v>3.7199999999999998</v>
      </c>
      <c r="CA208">
        <v>4.6800000000000006</v>
      </c>
      <c r="CB208">
        <v>10</v>
      </c>
      <c r="CC208">
        <v>2.5623999999999998</v>
      </c>
      <c r="CD208">
        <v>0.69127999999999978</v>
      </c>
      <c r="CE208">
        <v>13.440000000000003</v>
      </c>
      <c r="CF208">
        <v>1.1183000000000003</v>
      </c>
    </row>
    <row r="209" spans="1:84" x14ac:dyDescent="0.2">
      <c r="A209" s="39">
        <v>43786</v>
      </c>
      <c r="B209" s="22" t="s">
        <v>259</v>
      </c>
      <c r="C209" s="41" t="s">
        <v>281</v>
      </c>
      <c r="D209" s="22" t="s">
        <v>309</v>
      </c>
      <c r="E209">
        <v>10</v>
      </c>
      <c r="F209">
        <v>14.3</v>
      </c>
      <c r="G209">
        <v>5.0999999999999996</v>
      </c>
      <c r="H209">
        <v>7.8</v>
      </c>
      <c r="I209">
        <v>-3</v>
      </c>
      <c r="J209">
        <v>41.5</v>
      </c>
      <c r="L209" s="1" t="s">
        <v>281</v>
      </c>
      <c r="M209">
        <v>10</v>
      </c>
      <c r="N209">
        <v>1.9307999999999996</v>
      </c>
      <c r="O209">
        <v>7.104000000000001</v>
      </c>
      <c r="P209">
        <v>35.319999999999993</v>
      </c>
      <c r="Q209">
        <v>2.6799999999999997</v>
      </c>
      <c r="R209">
        <v>0.25600000000000156</v>
      </c>
      <c r="S209">
        <v>-1.5600000000000058</v>
      </c>
      <c r="T209">
        <v>0.88000000000000034</v>
      </c>
      <c r="U209">
        <v>4</v>
      </c>
      <c r="V209">
        <v>7</v>
      </c>
      <c r="W209">
        <v>-1.2000000000000002</v>
      </c>
      <c r="X209">
        <v>30</v>
      </c>
      <c r="Y209">
        <v>29</v>
      </c>
      <c r="Z209">
        <v>31</v>
      </c>
      <c r="AA209">
        <v>-6.3466727730403905E-2</v>
      </c>
      <c r="AB209">
        <v>30</v>
      </c>
      <c r="AC209">
        <v>-1.9804354691977624E-2</v>
      </c>
      <c r="AD209">
        <v>24</v>
      </c>
      <c r="AE209">
        <v>7.1639999999999988</v>
      </c>
      <c r="AF209">
        <v>31</v>
      </c>
      <c r="AG209">
        <v>-3.4800000000000004</v>
      </c>
      <c r="AH209">
        <v>2.3600000000000008</v>
      </c>
      <c r="AI209">
        <v>2.5999999999999996</v>
      </c>
      <c r="AJ209">
        <v>-2.4</v>
      </c>
      <c r="AK209">
        <v>25.320000000000014</v>
      </c>
      <c r="AL209">
        <v>-1.7600000000000022</v>
      </c>
      <c r="AM209">
        <v>31.439999999999998</v>
      </c>
      <c r="AN209">
        <v>-2.84</v>
      </c>
      <c r="AO209">
        <v>-1.52</v>
      </c>
      <c r="AP209">
        <v>24</v>
      </c>
      <c r="AQ209">
        <v>-5.1732000000000014</v>
      </c>
      <c r="AR209">
        <v>-3.1146400000000005</v>
      </c>
      <c r="AS209">
        <v>-33.200000000000003</v>
      </c>
      <c r="AT209">
        <v>5.1732000000000014</v>
      </c>
      <c r="AU209">
        <v>1.2413500000000002</v>
      </c>
      <c r="AV209">
        <v>-0.79776250000000004</v>
      </c>
      <c r="AW209">
        <v>-0.51947500000000013</v>
      </c>
      <c r="AX209" t="s">
        <v>309</v>
      </c>
      <c r="AY209">
        <v>31</v>
      </c>
      <c r="AZ209">
        <v>0.10759999999999917</v>
      </c>
      <c r="BA209">
        <v>-8.7879999999999985</v>
      </c>
      <c r="BB209">
        <v>-16.519999999999996</v>
      </c>
      <c r="BC209">
        <v>4.0000000000000022E-2</v>
      </c>
      <c r="BD209">
        <v>3.1920000000000002</v>
      </c>
      <c r="BE209">
        <v>-1.7600000000000007</v>
      </c>
      <c r="BF209">
        <v>1.1200000000000003</v>
      </c>
      <c r="BG209">
        <v>30</v>
      </c>
      <c r="BH209">
        <v>27.5</v>
      </c>
      <c r="BI209">
        <v>2.3199999999999998</v>
      </c>
      <c r="BJ209">
        <v>1</v>
      </c>
      <c r="BK209">
        <v>5.25</v>
      </c>
      <c r="BL209">
        <v>2</v>
      </c>
      <c r="BM209">
        <v>9.8323110752909143E-2</v>
      </c>
      <c r="BN209">
        <v>1</v>
      </c>
      <c r="BO209">
        <v>1.015920470018312E-2</v>
      </c>
      <c r="BP209">
        <v>16</v>
      </c>
      <c r="BQ209">
        <v>-0.37599999999999911</v>
      </c>
      <c r="BR209">
        <v>2</v>
      </c>
      <c r="BS209">
        <v>6.04</v>
      </c>
      <c r="BT209">
        <v>1.1600000000000008</v>
      </c>
      <c r="BU209">
        <v>-3.9200000000000004</v>
      </c>
      <c r="BV209">
        <v>1.04</v>
      </c>
      <c r="BW209">
        <v>-23.600000000000012</v>
      </c>
      <c r="BX209">
        <v>-5.0400000000000036</v>
      </c>
      <c r="BY209">
        <v>-17.360000000000003</v>
      </c>
      <c r="BZ209">
        <v>1.28</v>
      </c>
      <c r="CA209">
        <v>-2.48</v>
      </c>
      <c r="CB209">
        <v>2</v>
      </c>
      <c r="CC209">
        <v>8.8955999999999982</v>
      </c>
      <c r="CD209">
        <v>5.0539199999999989</v>
      </c>
      <c r="CE209">
        <v>12.32</v>
      </c>
      <c r="CF209">
        <v>-1.07605</v>
      </c>
    </row>
    <row r="210" spans="1:84" x14ac:dyDescent="0.2">
      <c r="A210" s="39">
        <v>43786</v>
      </c>
      <c r="B210" s="22" t="s">
        <v>259</v>
      </c>
      <c r="C210" s="41" t="s">
        <v>291</v>
      </c>
      <c r="D210" s="22" t="s">
        <v>299</v>
      </c>
      <c r="E210">
        <v>6.8</v>
      </c>
      <c r="F210">
        <v>26.8</v>
      </c>
      <c r="G210">
        <v>24.5</v>
      </c>
      <c r="H210">
        <f>8.3+5.8</f>
        <v>14.100000000000001</v>
      </c>
      <c r="I210">
        <v>-7.5</v>
      </c>
      <c r="J210">
        <v>46.5</v>
      </c>
      <c r="K210" t="s">
        <v>109</v>
      </c>
      <c r="L210" s="1" t="s">
        <v>291</v>
      </c>
      <c r="M210">
        <v>5</v>
      </c>
      <c r="N210">
        <v>3.3167999999999993</v>
      </c>
      <c r="O210">
        <v>2.996</v>
      </c>
      <c r="P210">
        <v>24.92</v>
      </c>
      <c r="Q210">
        <v>-0.27999999999999992</v>
      </c>
      <c r="R210">
        <v>13.292000000000002</v>
      </c>
      <c r="S210">
        <v>79.53</v>
      </c>
      <c r="T210">
        <v>7.12</v>
      </c>
      <c r="U210">
        <v>11</v>
      </c>
      <c r="V210">
        <v>9.5</v>
      </c>
      <c r="W210">
        <v>-0.59999999999999987</v>
      </c>
      <c r="X210">
        <v>26</v>
      </c>
      <c r="Y210">
        <v>22.25</v>
      </c>
      <c r="Z210">
        <v>18</v>
      </c>
      <c r="AA210">
        <v>3.8730094177784252E-2</v>
      </c>
      <c r="AB210">
        <v>32</v>
      </c>
      <c r="AC210">
        <v>-3.6937959384844454E-2</v>
      </c>
      <c r="AD210">
        <v>16</v>
      </c>
      <c r="AE210">
        <v>8.7559999999999949</v>
      </c>
      <c r="AF210">
        <v>23</v>
      </c>
      <c r="AG210">
        <v>-4.08</v>
      </c>
      <c r="AH210">
        <v>5.5599999999999978</v>
      </c>
      <c r="AI210">
        <v>4.0399999999999991</v>
      </c>
      <c r="AJ210">
        <v>-0.16</v>
      </c>
      <c r="AK210">
        <v>75.839999999999989</v>
      </c>
      <c r="AL210">
        <v>52.08</v>
      </c>
      <c r="AM210">
        <v>19.68</v>
      </c>
      <c r="AN210">
        <v>0.76000000000000012</v>
      </c>
      <c r="AO210">
        <v>3.3200000000000003</v>
      </c>
      <c r="AP210">
        <v>15</v>
      </c>
      <c r="AQ210">
        <v>0.32079999999999931</v>
      </c>
      <c r="AR210">
        <v>1.8237600000000003</v>
      </c>
      <c r="AS210">
        <v>32.4</v>
      </c>
      <c r="AT210">
        <v>-0.32079999999999931</v>
      </c>
      <c r="AU210">
        <v>2.9606000000000003</v>
      </c>
      <c r="AV210">
        <v>0.87498749999999992</v>
      </c>
      <c r="AW210">
        <v>-0.9960500000000001</v>
      </c>
      <c r="AX210" t="s">
        <v>299</v>
      </c>
      <c r="AY210">
        <v>3</v>
      </c>
      <c r="AZ210">
        <v>7.1568000000000014</v>
      </c>
      <c r="BA210">
        <v>8.5643999999999991</v>
      </c>
      <c r="BB210">
        <v>4.2</v>
      </c>
      <c r="BC210">
        <v>-1.9599999999999997</v>
      </c>
      <c r="BD210">
        <v>8.1670000000000016</v>
      </c>
      <c r="BE210">
        <v>32.129999999999995</v>
      </c>
      <c r="BF210">
        <v>1.1000000000000001</v>
      </c>
      <c r="BG210">
        <v>12</v>
      </c>
      <c r="BH210">
        <v>12.5</v>
      </c>
      <c r="BI210">
        <v>-1.24</v>
      </c>
      <c r="BJ210">
        <v>24</v>
      </c>
      <c r="BK210">
        <v>21</v>
      </c>
      <c r="BL210">
        <v>26</v>
      </c>
      <c r="BM210">
        <v>-8.3218223965267346E-3</v>
      </c>
      <c r="BN210">
        <v>23</v>
      </c>
      <c r="BO210">
        <v>-1.5286251779972726E-3</v>
      </c>
      <c r="BP210">
        <v>5</v>
      </c>
      <c r="BQ210">
        <v>-3.3080000000000025</v>
      </c>
      <c r="BR210">
        <v>30</v>
      </c>
      <c r="BS210">
        <v>-3.72</v>
      </c>
      <c r="BT210">
        <v>1.6400000000000006</v>
      </c>
      <c r="BU210">
        <v>7.4799999999999995</v>
      </c>
      <c r="BV210">
        <v>-1.4</v>
      </c>
      <c r="BW210">
        <v>54.36</v>
      </c>
      <c r="BX210">
        <v>47.2</v>
      </c>
      <c r="BY210">
        <v>8.52</v>
      </c>
      <c r="BZ210">
        <v>1.5200000000000007</v>
      </c>
      <c r="CA210">
        <v>-2.88</v>
      </c>
      <c r="CB210">
        <v>21</v>
      </c>
      <c r="CC210">
        <v>-1.4075999999999969</v>
      </c>
      <c r="CD210">
        <v>-1.217439999999999</v>
      </c>
      <c r="CE210">
        <v>38.680000000000007</v>
      </c>
      <c r="CF210">
        <v>2.7460249999999999</v>
      </c>
    </row>
    <row r="211" spans="1:84" x14ac:dyDescent="0.2">
      <c r="A211" s="39">
        <v>43786</v>
      </c>
      <c r="B211" t="s">
        <v>259</v>
      </c>
      <c r="C211" s="41" t="s">
        <v>278</v>
      </c>
      <c r="D211" t="s">
        <v>312</v>
      </c>
      <c r="E211">
        <v>21.82</v>
      </c>
      <c r="F211">
        <v>11.7</v>
      </c>
      <c r="G211">
        <v>0</v>
      </c>
      <c r="H211">
        <v>16.600000000000001</v>
      </c>
      <c r="I211">
        <v>10</v>
      </c>
      <c r="J211">
        <v>40.5</v>
      </c>
      <c r="L211" s="4" t="s">
        <v>278</v>
      </c>
      <c r="M211" s="3">
        <v>32</v>
      </c>
      <c r="N211" s="3">
        <v>-9.2216000000000005</v>
      </c>
      <c r="O211">
        <v>-3.0476000000000028</v>
      </c>
      <c r="P211">
        <v>9.7600000000000016</v>
      </c>
      <c r="Q211">
        <v>-1.3599999999999999</v>
      </c>
      <c r="R211">
        <v>-10.479000000000001</v>
      </c>
      <c r="S211">
        <v>-27.419999999999995</v>
      </c>
      <c r="T211">
        <v>-3.7900000000000005</v>
      </c>
      <c r="U211">
        <v>10</v>
      </c>
      <c r="V211">
        <v>9</v>
      </c>
      <c r="W211">
        <v>2.04</v>
      </c>
      <c r="X211">
        <v>22</v>
      </c>
      <c r="Y211">
        <v>20.25</v>
      </c>
      <c r="Z211">
        <v>15</v>
      </c>
      <c r="AA211">
        <v>-3.2912960937462064E-2</v>
      </c>
      <c r="AB211">
        <v>19</v>
      </c>
      <c r="AC211">
        <v>2.2541249377095285E-2</v>
      </c>
      <c r="AD211">
        <v>28</v>
      </c>
      <c r="AE211">
        <v>2.7199999999999975</v>
      </c>
      <c r="AF211">
        <v>19</v>
      </c>
      <c r="AG211">
        <v>1.4799999999999995</v>
      </c>
      <c r="AH211">
        <v>-2.6400000000000019</v>
      </c>
      <c r="AI211">
        <v>-4.88</v>
      </c>
      <c r="AJ211">
        <v>-0.91999999999999993</v>
      </c>
      <c r="AK211">
        <v>-57.719999999999992</v>
      </c>
      <c r="AL211">
        <v>-63.160000000000011</v>
      </c>
      <c r="AM211">
        <v>11.079999999999998</v>
      </c>
      <c r="AN211">
        <v>0.16000000000000006</v>
      </c>
      <c r="AO211">
        <v>-5.8</v>
      </c>
      <c r="AP211">
        <v>28</v>
      </c>
      <c r="AQ211">
        <v>-6.1739999999999977</v>
      </c>
      <c r="AR211">
        <v>-2.416319999999998</v>
      </c>
      <c r="AS211">
        <v>-74.240000000000009</v>
      </c>
      <c r="AT211">
        <v>6.1739999999999977</v>
      </c>
      <c r="AU211">
        <v>-2.8585250000000002</v>
      </c>
      <c r="AV211">
        <v>-0.28638749999999991</v>
      </c>
      <c r="AW211">
        <v>-1.9458499999999996</v>
      </c>
      <c r="AX211" t="s">
        <v>312</v>
      </c>
      <c r="AY211">
        <v>7</v>
      </c>
      <c r="AZ211">
        <v>1.6215999999999995</v>
      </c>
      <c r="BA211">
        <v>-1.7320000000000004</v>
      </c>
      <c r="BB211">
        <v>-8.2000000000000011</v>
      </c>
      <c r="BC211">
        <v>-0.47999999999999987</v>
      </c>
      <c r="BD211">
        <v>9.4550000000000001</v>
      </c>
      <c r="BE211">
        <v>30.530000000000005</v>
      </c>
      <c r="BF211">
        <v>5.7799999999999994</v>
      </c>
      <c r="BG211">
        <v>11</v>
      </c>
      <c r="BH211">
        <v>12</v>
      </c>
      <c r="BI211">
        <v>-4.9599999999999991</v>
      </c>
      <c r="BJ211">
        <v>7</v>
      </c>
      <c r="BK211">
        <v>12.25</v>
      </c>
      <c r="BL211">
        <v>19</v>
      </c>
      <c r="BM211">
        <v>4.4516385770170329E-2</v>
      </c>
      <c r="BN211">
        <v>13</v>
      </c>
      <c r="BO211">
        <v>6.8789585251140765E-3</v>
      </c>
      <c r="BP211">
        <v>1</v>
      </c>
      <c r="BQ211">
        <v>-12.955999999999994</v>
      </c>
      <c r="BR211">
        <v>16</v>
      </c>
      <c r="BS211">
        <v>0.76000000000000012</v>
      </c>
      <c r="BT211">
        <v>-1.9199999999999988</v>
      </c>
      <c r="BU211">
        <v>0.19999999999999893</v>
      </c>
      <c r="BV211">
        <v>-0.83999999999999986</v>
      </c>
      <c r="BW211">
        <v>27.080000000000005</v>
      </c>
      <c r="BX211">
        <v>39.799999999999997</v>
      </c>
      <c r="BY211">
        <v>-7.5200000000000014</v>
      </c>
      <c r="BZ211">
        <v>0.87999999999999967</v>
      </c>
      <c r="CA211">
        <v>-6.08</v>
      </c>
      <c r="CB211">
        <v>8</v>
      </c>
      <c r="CC211">
        <v>3.3536000000000001</v>
      </c>
      <c r="CD211">
        <v>3.0813199999999998</v>
      </c>
      <c r="CE211">
        <v>47.32</v>
      </c>
      <c r="CF211">
        <v>1.3730749999999998</v>
      </c>
    </row>
    <row r="212" spans="1:84" x14ac:dyDescent="0.2">
      <c r="A212" s="39">
        <v>43786</v>
      </c>
      <c r="B212" s="22" t="s">
        <v>259</v>
      </c>
      <c r="C212" s="41" t="s">
        <v>299</v>
      </c>
      <c r="D212" s="22" t="s">
        <v>291</v>
      </c>
      <c r="E212">
        <v>4.4000000000000004</v>
      </c>
      <c r="F212">
        <v>19.899999999999999</v>
      </c>
      <c r="G212">
        <v>8.6999999999999993</v>
      </c>
      <c r="H212">
        <v>1.6</v>
      </c>
      <c r="I212">
        <v>7.5</v>
      </c>
      <c r="J212">
        <v>46.5</v>
      </c>
      <c r="K212" t="s">
        <v>109</v>
      </c>
      <c r="L212" s="1" t="s">
        <v>299</v>
      </c>
      <c r="M212">
        <v>2</v>
      </c>
      <c r="N212">
        <v>6.7496000000000009</v>
      </c>
      <c r="O212">
        <v>-5.8160000000000007</v>
      </c>
      <c r="P212">
        <v>-22.44</v>
      </c>
      <c r="Q212">
        <v>0.76</v>
      </c>
      <c r="R212">
        <v>12.668000000000001</v>
      </c>
      <c r="S212">
        <v>46.360000000000007</v>
      </c>
      <c r="T212">
        <v>2.3999999999999995</v>
      </c>
      <c r="U212">
        <v>23</v>
      </c>
      <c r="V212">
        <v>22.5</v>
      </c>
      <c r="W212">
        <v>-3.72</v>
      </c>
      <c r="X212">
        <v>5</v>
      </c>
      <c r="Y212">
        <v>9</v>
      </c>
      <c r="Z212">
        <v>6</v>
      </c>
      <c r="AA212">
        <v>5.8564648081675233E-2</v>
      </c>
      <c r="AB212">
        <v>12</v>
      </c>
      <c r="AC212">
        <v>-5.5739160079465856E-4</v>
      </c>
      <c r="AD212">
        <v>9</v>
      </c>
      <c r="AE212">
        <v>2.4599999999999951</v>
      </c>
      <c r="AF212">
        <v>9</v>
      </c>
      <c r="AG212">
        <v>-1.24</v>
      </c>
      <c r="AH212">
        <v>1.8399999999999976</v>
      </c>
      <c r="AI212">
        <v>0.6</v>
      </c>
      <c r="AJ212">
        <v>-0.08</v>
      </c>
      <c r="AK212">
        <v>32.359999999999992</v>
      </c>
      <c r="AL212">
        <v>56.320000000000007</v>
      </c>
      <c r="AM212">
        <v>-19.399999999999999</v>
      </c>
      <c r="AN212">
        <v>-2.16</v>
      </c>
      <c r="AO212">
        <v>-2.4000000000000004</v>
      </c>
      <c r="AP212">
        <v>1</v>
      </c>
      <c r="AQ212">
        <v>12.565600000000002</v>
      </c>
      <c r="AR212">
        <v>6.7915200000000002</v>
      </c>
      <c r="AS212">
        <v>75.72</v>
      </c>
      <c r="AT212">
        <v>-12.565600000000002</v>
      </c>
      <c r="AU212">
        <v>1.5152000000000005</v>
      </c>
      <c r="AV212">
        <v>0.87498749999999992</v>
      </c>
      <c r="AW212">
        <v>2.7460249999999999</v>
      </c>
      <c r="AX212" t="s">
        <v>291</v>
      </c>
      <c r="AY212">
        <v>19</v>
      </c>
      <c r="AZ212">
        <v>-1.3008000000000006</v>
      </c>
      <c r="BA212">
        <v>0.19639999999999969</v>
      </c>
      <c r="BB212">
        <v>-1.879999999999999</v>
      </c>
      <c r="BC212">
        <v>4.0000000000000147E-2</v>
      </c>
      <c r="BD212">
        <v>-7.0240000000000018</v>
      </c>
      <c r="BE212">
        <v>-29.880000000000003</v>
      </c>
      <c r="BF212">
        <v>-3.3199999999999994</v>
      </c>
      <c r="BG212">
        <v>7</v>
      </c>
      <c r="BH212">
        <v>7</v>
      </c>
      <c r="BI212">
        <v>-4.08</v>
      </c>
      <c r="BJ212">
        <v>15</v>
      </c>
      <c r="BK212">
        <v>15.75</v>
      </c>
      <c r="BL212">
        <v>7</v>
      </c>
      <c r="BM212">
        <v>-1.10062807038527E-2</v>
      </c>
      <c r="BN212">
        <v>7</v>
      </c>
      <c r="BO212">
        <v>5.4145879874209772E-4</v>
      </c>
      <c r="BP212">
        <v>28</v>
      </c>
      <c r="BQ212">
        <v>3.8360000000000012</v>
      </c>
      <c r="BR212">
        <v>21</v>
      </c>
      <c r="BS212">
        <v>-0.59999999999999987</v>
      </c>
      <c r="BT212">
        <v>-3.1199999999999974</v>
      </c>
      <c r="BU212">
        <v>-0.52000000000000024</v>
      </c>
      <c r="BV212">
        <v>-1.1999999999999997</v>
      </c>
      <c r="BW212">
        <v>-17.480000000000008</v>
      </c>
      <c r="BX212">
        <v>-23.120000000000005</v>
      </c>
      <c r="BY212">
        <v>-5.9200000000000017</v>
      </c>
      <c r="BZ212">
        <v>-7.9999999999999988E-2</v>
      </c>
      <c r="CA212">
        <v>11.640000000000002</v>
      </c>
      <c r="CB212">
        <v>22</v>
      </c>
      <c r="CC212">
        <v>-1.4972000000000001</v>
      </c>
      <c r="CD212">
        <v>-1.7631600000000001</v>
      </c>
      <c r="CE212">
        <v>-17.200000000000003</v>
      </c>
      <c r="CF212">
        <v>-0.9960500000000001</v>
      </c>
    </row>
    <row r="213" spans="1:84" x14ac:dyDescent="0.2">
      <c r="A213" s="39">
        <v>43786</v>
      </c>
      <c r="B213" s="22" t="s">
        <v>259</v>
      </c>
      <c r="C213" s="41" t="s">
        <v>311</v>
      </c>
      <c r="D213" s="22" t="s">
        <v>305</v>
      </c>
      <c r="E213">
        <v>15</v>
      </c>
      <c r="F213">
        <v>6.7</v>
      </c>
      <c r="G213">
        <v>5.5</v>
      </c>
      <c r="H213">
        <v>5.3</v>
      </c>
      <c r="I213">
        <v>4</v>
      </c>
      <c r="J213">
        <v>51</v>
      </c>
      <c r="L213" s="1" t="s">
        <v>311</v>
      </c>
      <c r="M213">
        <v>7</v>
      </c>
      <c r="N213">
        <v>2.7991999999999999</v>
      </c>
      <c r="O213">
        <v>6.0400000000000897E-2</v>
      </c>
      <c r="P213">
        <v>25.64</v>
      </c>
      <c r="Q213">
        <v>-2.4</v>
      </c>
      <c r="R213">
        <v>10.218</v>
      </c>
      <c r="S213">
        <v>28.64</v>
      </c>
      <c r="T213">
        <v>3.36</v>
      </c>
      <c r="U213">
        <v>22</v>
      </c>
      <c r="V213">
        <v>20.5</v>
      </c>
      <c r="W213">
        <v>-1.2</v>
      </c>
      <c r="X213">
        <v>20</v>
      </c>
      <c r="Y213">
        <v>17.5</v>
      </c>
      <c r="Z213">
        <v>1</v>
      </c>
      <c r="AA213">
        <v>-2.1861064242943873E-2</v>
      </c>
      <c r="AB213">
        <v>24</v>
      </c>
      <c r="AC213">
        <v>-1.2799478491069794E-2</v>
      </c>
      <c r="AD213">
        <v>15</v>
      </c>
      <c r="AE213">
        <v>-1.9120000000000048</v>
      </c>
      <c r="AF213">
        <v>30</v>
      </c>
      <c r="AG213">
        <v>-2.2799999999999998</v>
      </c>
      <c r="AH213">
        <v>4.68</v>
      </c>
      <c r="AI213">
        <v>2.72</v>
      </c>
      <c r="AJ213">
        <v>-0.83999999999999986</v>
      </c>
      <c r="AK213">
        <v>47.760000000000005</v>
      </c>
      <c r="AL213">
        <v>9.2800000000000011</v>
      </c>
      <c r="AM213">
        <v>25.679999999999996</v>
      </c>
      <c r="AN213">
        <v>-3.28</v>
      </c>
      <c r="AO213">
        <v>16.080000000000002</v>
      </c>
      <c r="AP213">
        <v>12</v>
      </c>
      <c r="AQ213">
        <v>2.7387999999999986</v>
      </c>
      <c r="AR213">
        <v>2.5732399999999993</v>
      </c>
      <c r="AS213">
        <v>-16.399999999999995</v>
      </c>
      <c r="AT213">
        <v>-2.738799999999999</v>
      </c>
      <c r="AU213">
        <v>1.7997000000000003</v>
      </c>
      <c r="AV213">
        <v>-0.75787500000000008</v>
      </c>
      <c r="AW213">
        <v>0.77239999999999975</v>
      </c>
      <c r="AX213" t="s">
        <v>305</v>
      </c>
      <c r="AY213">
        <v>32</v>
      </c>
      <c r="AZ213">
        <v>-6.039200000000001</v>
      </c>
      <c r="BA213">
        <v>-4.2639999999999993</v>
      </c>
      <c r="BB213">
        <v>-10.439999999999998</v>
      </c>
      <c r="BC213">
        <v>-0.84000000000000008</v>
      </c>
      <c r="BD213">
        <v>-7.161999999999999</v>
      </c>
      <c r="BE213">
        <v>-24.979999999999997</v>
      </c>
      <c r="BF213">
        <v>-0.20000000000000007</v>
      </c>
      <c r="BG213">
        <v>23</v>
      </c>
      <c r="BH213">
        <v>22.5</v>
      </c>
      <c r="BI213">
        <v>-5.32</v>
      </c>
      <c r="BJ213">
        <v>5</v>
      </c>
      <c r="BK213">
        <v>9.75</v>
      </c>
      <c r="BL213">
        <v>15</v>
      </c>
      <c r="BM213">
        <v>1.7893576589196426E-2</v>
      </c>
      <c r="BN213">
        <v>8</v>
      </c>
      <c r="BO213">
        <v>1.2117779732636654E-3</v>
      </c>
      <c r="BP213">
        <v>15</v>
      </c>
      <c r="BQ213">
        <v>-14</v>
      </c>
      <c r="BR213">
        <v>1</v>
      </c>
      <c r="BS213">
        <v>4.9999999999999982</v>
      </c>
      <c r="BT213">
        <v>-4.3199999999999958</v>
      </c>
      <c r="BU213">
        <v>-5.92</v>
      </c>
      <c r="BV213">
        <v>-0.36000000000000015</v>
      </c>
      <c r="BW213">
        <v>-45.839999999999989</v>
      </c>
      <c r="BX213">
        <v>-26.680000000000014</v>
      </c>
      <c r="BY213">
        <v>-10.880000000000004</v>
      </c>
      <c r="BZ213">
        <v>8.0000000000000432E-2</v>
      </c>
      <c r="CA213">
        <v>-8.36</v>
      </c>
      <c r="CB213">
        <v>23</v>
      </c>
      <c r="CC213">
        <v>-1.7752000000000012</v>
      </c>
      <c r="CD213">
        <v>-0.50824000000000069</v>
      </c>
      <c r="CE213">
        <v>-15.80000000000001</v>
      </c>
      <c r="CF213">
        <v>-2.2881499999999999</v>
      </c>
    </row>
    <row r="214" spans="1:84" x14ac:dyDescent="0.2">
      <c r="A214" s="39">
        <v>43786</v>
      </c>
      <c r="B214" s="22" t="s">
        <v>259</v>
      </c>
      <c r="C214" s="41" t="s">
        <v>289</v>
      </c>
      <c r="D214" s="22" t="s">
        <v>297</v>
      </c>
      <c r="E214" s="3">
        <v>3.7</v>
      </c>
      <c r="F214" s="3">
        <v>13.8</v>
      </c>
      <c r="G214" s="3">
        <v>3.9</v>
      </c>
      <c r="H214">
        <v>6.7</v>
      </c>
      <c r="I214">
        <v>-2.5</v>
      </c>
      <c r="J214">
        <v>41.5</v>
      </c>
      <c r="K214" t="s">
        <v>110</v>
      </c>
      <c r="L214" s="1" t="s">
        <v>289</v>
      </c>
      <c r="M214">
        <v>17</v>
      </c>
      <c r="N214">
        <v>-1.1967999999999996</v>
      </c>
      <c r="O214">
        <v>4.0839999999999987</v>
      </c>
      <c r="P214">
        <v>29.960000000000008</v>
      </c>
      <c r="Q214">
        <v>-0.88000000000000056</v>
      </c>
      <c r="R214">
        <v>0.25600000000000156</v>
      </c>
      <c r="S214">
        <v>-4.8500000000000014</v>
      </c>
      <c r="T214">
        <v>3.0000000000000027E-2</v>
      </c>
      <c r="U214">
        <v>19</v>
      </c>
      <c r="V214">
        <v>19.5</v>
      </c>
      <c r="W214">
        <v>-0.56000000000000016</v>
      </c>
      <c r="X214">
        <v>3</v>
      </c>
      <c r="Y214">
        <v>7.75</v>
      </c>
      <c r="Z214">
        <v>4</v>
      </c>
      <c r="AA214">
        <v>0.11544767095331565</v>
      </c>
      <c r="AB214">
        <v>8</v>
      </c>
      <c r="AC214">
        <v>1.7540622060725319E-2</v>
      </c>
      <c r="AD214">
        <v>13</v>
      </c>
      <c r="AE214">
        <v>9.6159999999999961</v>
      </c>
      <c r="AF214">
        <v>6</v>
      </c>
      <c r="AG214">
        <v>0.44000000000000006</v>
      </c>
      <c r="AH214">
        <v>2.72</v>
      </c>
      <c r="AI214">
        <v>1.9599999999999997</v>
      </c>
      <c r="AJ214">
        <v>-0.36</v>
      </c>
      <c r="AK214">
        <v>13.920000000000005</v>
      </c>
      <c r="AL214">
        <v>-20.72</v>
      </c>
      <c r="AM214">
        <v>33.120000000000005</v>
      </c>
      <c r="AN214">
        <v>5.7200000000000006</v>
      </c>
      <c r="AO214">
        <v>-4.2000000000000011</v>
      </c>
      <c r="AP214">
        <v>25</v>
      </c>
      <c r="AQ214">
        <v>-5.2807999999999984</v>
      </c>
      <c r="AR214">
        <v>-2.2301599999999988</v>
      </c>
      <c r="AS214">
        <v>-53.84</v>
      </c>
      <c r="AT214">
        <v>5.2807999999999984</v>
      </c>
      <c r="AU214">
        <v>0.3529000000000001</v>
      </c>
      <c r="AV214">
        <v>-0.11206250000000036</v>
      </c>
      <c r="AW214">
        <v>-0.20695000000000013</v>
      </c>
      <c r="AX214" t="s">
        <v>297</v>
      </c>
      <c r="AY214">
        <v>20</v>
      </c>
      <c r="AZ214">
        <v>-0.49840000000000162</v>
      </c>
      <c r="BA214">
        <v>3.5919999999999992</v>
      </c>
      <c r="BB214">
        <v>10.760000000000003</v>
      </c>
      <c r="BC214">
        <v>0</v>
      </c>
      <c r="BD214">
        <v>-2.5110000000000023</v>
      </c>
      <c r="BE214">
        <v>-13.510000000000003</v>
      </c>
      <c r="BF214">
        <v>-1.5399999999999998</v>
      </c>
      <c r="BG214">
        <v>26</v>
      </c>
      <c r="BH214">
        <v>25</v>
      </c>
      <c r="BI214">
        <v>2.3199999999999998</v>
      </c>
      <c r="BJ214">
        <v>20</v>
      </c>
      <c r="BK214">
        <v>16.75</v>
      </c>
      <c r="BL214">
        <v>21</v>
      </c>
      <c r="BM214">
        <v>3.0336658561128237E-2</v>
      </c>
      <c r="BN214">
        <v>5</v>
      </c>
      <c r="BO214">
        <v>1.8321588381752189E-2</v>
      </c>
      <c r="BP214">
        <v>32</v>
      </c>
      <c r="BQ214">
        <v>-3.0320000000000009</v>
      </c>
      <c r="BR214">
        <v>9</v>
      </c>
      <c r="BS214">
        <v>0.87999999999999989</v>
      </c>
      <c r="BT214">
        <v>-3.1999999999999971</v>
      </c>
      <c r="BU214">
        <v>1.2</v>
      </c>
      <c r="BV214">
        <v>-1.1599999999999999</v>
      </c>
      <c r="BW214">
        <v>-7.8</v>
      </c>
      <c r="BX214">
        <v>-22.560000000000002</v>
      </c>
      <c r="BY214">
        <v>7.4799999999999986</v>
      </c>
      <c r="BZ214">
        <v>4.6400000000000006</v>
      </c>
      <c r="CA214">
        <v>2.6400000000000006</v>
      </c>
      <c r="CB214">
        <v>26</v>
      </c>
      <c r="CC214">
        <v>-4.0904000000000007</v>
      </c>
      <c r="CD214">
        <v>-2.3978800000000007</v>
      </c>
      <c r="CE214">
        <v>-30.04</v>
      </c>
      <c r="CF214">
        <v>-1.7175000000000579E-2</v>
      </c>
    </row>
    <row r="215" spans="1:84" x14ac:dyDescent="0.2">
      <c r="A215" s="39">
        <v>43786</v>
      </c>
      <c r="B215" s="22" t="s">
        <v>259</v>
      </c>
      <c r="C215" s="41" t="s">
        <v>297</v>
      </c>
      <c r="D215" s="22" t="s">
        <v>289</v>
      </c>
      <c r="E215">
        <v>7.2</v>
      </c>
      <c r="F215">
        <v>33.4</v>
      </c>
      <c r="G215">
        <v>11.8</v>
      </c>
      <c r="H215">
        <f>1.9+1.5</f>
        <v>3.4</v>
      </c>
      <c r="I215">
        <v>2.5</v>
      </c>
      <c r="J215">
        <v>41.5</v>
      </c>
      <c r="K215" t="s">
        <v>110</v>
      </c>
      <c r="L215" s="1" t="s">
        <v>297</v>
      </c>
      <c r="M215">
        <v>26</v>
      </c>
      <c r="N215">
        <v>-3.7008000000000001</v>
      </c>
      <c r="O215">
        <v>1.1290000000000009</v>
      </c>
      <c r="P215">
        <v>6.0300000000000047</v>
      </c>
      <c r="Q215">
        <v>1.1599999999999999</v>
      </c>
      <c r="R215">
        <v>-4.5480000000000009</v>
      </c>
      <c r="S215">
        <v>-15.800000000000004</v>
      </c>
      <c r="T215">
        <v>1.7999999999999998</v>
      </c>
      <c r="U215">
        <v>27</v>
      </c>
      <c r="V215">
        <v>27</v>
      </c>
      <c r="W215">
        <v>0.87999999999999989</v>
      </c>
      <c r="X215">
        <v>7</v>
      </c>
      <c r="Y215">
        <v>11.25</v>
      </c>
      <c r="Z215">
        <v>7</v>
      </c>
      <c r="AA215">
        <v>2.0348552281940137E-2</v>
      </c>
      <c r="AB215">
        <v>17</v>
      </c>
      <c r="AC215">
        <v>2.348890997539578E-3</v>
      </c>
      <c r="AD215">
        <v>18</v>
      </c>
      <c r="AE215">
        <v>-18.632000000000005</v>
      </c>
      <c r="AF215">
        <v>3</v>
      </c>
      <c r="AG215">
        <v>2.3199999999999998</v>
      </c>
      <c r="AH215">
        <v>2.9599999999999995</v>
      </c>
      <c r="AI215">
        <v>-6.8800000000000008</v>
      </c>
      <c r="AJ215">
        <v>-0.23999999999999994</v>
      </c>
      <c r="AK215">
        <v>7.119999999999993</v>
      </c>
      <c r="AL215">
        <v>3.0799999999999899</v>
      </c>
      <c r="AM215">
        <v>2.2400000000000007</v>
      </c>
      <c r="AN215">
        <v>2.56</v>
      </c>
      <c r="AO215">
        <v>-0.76000000000000012</v>
      </c>
      <c r="AP215">
        <v>23</v>
      </c>
      <c r="AQ215">
        <v>-4.8298000000000005</v>
      </c>
      <c r="AR215">
        <v>-2.2142600000000003</v>
      </c>
      <c r="AS215">
        <v>0.8399999999999892</v>
      </c>
      <c r="AT215">
        <v>4.8298000000000005</v>
      </c>
      <c r="AU215">
        <v>-1.004975</v>
      </c>
      <c r="AV215">
        <v>-0.11206250000000036</v>
      </c>
      <c r="AW215">
        <v>-1.7175000000000579E-2</v>
      </c>
      <c r="AX215" t="s">
        <v>289</v>
      </c>
      <c r="AY215">
        <v>25</v>
      </c>
      <c r="AZ215">
        <v>-1.2908000000000004</v>
      </c>
      <c r="BA215">
        <v>-3.0080000000000005</v>
      </c>
      <c r="BB215">
        <v>-17.600000000000001</v>
      </c>
      <c r="BC215">
        <v>0.4800000000000002</v>
      </c>
      <c r="BD215">
        <v>0.20320000000000016</v>
      </c>
      <c r="BE215">
        <v>1.7300000000000013</v>
      </c>
      <c r="BF215">
        <v>-0.71000000000000052</v>
      </c>
      <c r="BG215">
        <v>5</v>
      </c>
      <c r="BH215">
        <v>4.5</v>
      </c>
      <c r="BI215">
        <v>0.44000000000000006</v>
      </c>
      <c r="BJ215">
        <v>28</v>
      </c>
      <c r="BK215">
        <v>23</v>
      </c>
      <c r="BL215">
        <v>27</v>
      </c>
      <c r="BM215">
        <v>-3.7918095056881816E-3</v>
      </c>
      <c r="BN215">
        <v>18</v>
      </c>
      <c r="BO215">
        <v>-7.4073366605073732E-3</v>
      </c>
      <c r="BP215">
        <v>26</v>
      </c>
      <c r="BQ215">
        <v>7.7280000000000015</v>
      </c>
      <c r="BR215">
        <v>21</v>
      </c>
      <c r="BS215">
        <v>-0.56000000000000016</v>
      </c>
      <c r="BT215">
        <v>-2.9599999999999995</v>
      </c>
      <c r="BU215">
        <v>-0.6</v>
      </c>
      <c r="BV215">
        <v>-8.0000000000000071E-2</v>
      </c>
      <c r="BW215">
        <v>-26.079999999999995</v>
      </c>
      <c r="BX215">
        <v>-5.4</v>
      </c>
      <c r="BY215">
        <v>-17.68</v>
      </c>
      <c r="BZ215">
        <v>-0.64</v>
      </c>
      <c r="CA215">
        <v>-2.3599999999999994</v>
      </c>
      <c r="CB215">
        <v>12</v>
      </c>
      <c r="CC215">
        <v>1.7172000000000001</v>
      </c>
      <c r="CD215">
        <v>1.2864800000000003</v>
      </c>
      <c r="CE215">
        <v>12.28</v>
      </c>
      <c r="CF215">
        <v>-0.20695000000000013</v>
      </c>
    </row>
    <row r="216" spans="1:84" x14ac:dyDescent="0.2">
      <c r="A216" s="39">
        <v>43786</v>
      </c>
      <c r="B216" s="22" t="s">
        <v>259</v>
      </c>
      <c r="C216" s="41" t="s">
        <v>288</v>
      </c>
      <c r="D216" s="22" t="s">
        <v>287</v>
      </c>
      <c r="E216">
        <v>4.5999999999999996</v>
      </c>
      <c r="F216">
        <v>3.3</v>
      </c>
      <c r="G216">
        <v>1.9</v>
      </c>
      <c r="H216">
        <v>22.2</v>
      </c>
      <c r="I216">
        <v>-5.5</v>
      </c>
      <c r="J216">
        <v>52.5</v>
      </c>
      <c r="L216" s="1" t="s">
        <v>288</v>
      </c>
      <c r="M216">
        <v>14</v>
      </c>
      <c r="N216">
        <v>0.8424000000000007</v>
      </c>
      <c r="O216">
        <v>-4.1340000000000003</v>
      </c>
      <c r="P216">
        <v>1.3200000000000016</v>
      </c>
      <c r="Q216">
        <v>-1.6300000000000001</v>
      </c>
      <c r="R216">
        <v>6.0239999999999991</v>
      </c>
      <c r="S216">
        <v>18.189999999999998</v>
      </c>
      <c r="T216">
        <v>1.6600000000000001</v>
      </c>
      <c r="U216">
        <v>15</v>
      </c>
      <c r="V216">
        <v>14.5</v>
      </c>
      <c r="W216">
        <v>1.8</v>
      </c>
      <c r="X216">
        <v>29</v>
      </c>
      <c r="Y216">
        <v>25</v>
      </c>
      <c r="Z216">
        <v>26</v>
      </c>
      <c r="AA216">
        <v>-8.3026552482433263E-2</v>
      </c>
      <c r="AB216">
        <v>23</v>
      </c>
      <c r="AC216">
        <v>-9.4904745288558467E-3</v>
      </c>
      <c r="AD216">
        <v>25</v>
      </c>
      <c r="AE216">
        <v>9.208000000000002</v>
      </c>
      <c r="AF216">
        <v>26</v>
      </c>
      <c r="AG216">
        <v>-0.67999999999999994</v>
      </c>
      <c r="AH216">
        <v>-2.680000000000001</v>
      </c>
      <c r="AI216">
        <v>3.96</v>
      </c>
      <c r="AJ216">
        <v>1.0399999999999998</v>
      </c>
      <c r="AK216">
        <v>2.4800000000000066</v>
      </c>
      <c r="AL216">
        <v>7.6399999999999979</v>
      </c>
      <c r="AM216">
        <v>0.20000000000000284</v>
      </c>
      <c r="AN216">
        <v>5.5200000000000005</v>
      </c>
      <c r="AO216">
        <v>-10.88</v>
      </c>
      <c r="AP216">
        <v>7</v>
      </c>
      <c r="AQ216">
        <v>4.9764000000000017</v>
      </c>
      <c r="AR216">
        <v>3.44028</v>
      </c>
      <c r="AS216">
        <v>7.4399999999999951</v>
      </c>
      <c r="AT216">
        <v>-4.9764000000000008</v>
      </c>
      <c r="AU216">
        <v>0.63155000000000006</v>
      </c>
      <c r="AV216">
        <v>-0.66089999999999982</v>
      </c>
      <c r="AW216">
        <v>-6.8099999999999716E-2</v>
      </c>
      <c r="AX216" t="s">
        <v>287</v>
      </c>
      <c r="AY216">
        <v>26</v>
      </c>
      <c r="AZ216">
        <v>-4.2695999999999996</v>
      </c>
      <c r="BA216">
        <v>1.6839999999999995</v>
      </c>
      <c r="BB216">
        <v>2.0399999999999991</v>
      </c>
      <c r="BC216">
        <v>4.0000000000000091E-2</v>
      </c>
      <c r="BD216">
        <v>-9.0839999999999996</v>
      </c>
      <c r="BE216">
        <v>-29.910000000000004</v>
      </c>
      <c r="BF216">
        <v>-2.87</v>
      </c>
      <c r="BG216">
        <v>3</v>
      </c>
      <c r="BH216">
        <v>3.5</v>
      </c>
      <c r="BI216">
        <v>0.51999999999999991</v>
      </c>
      <c r="BJ216">
        <v>25</v>
      </c>
      <c r="BK216">
        <v>21.5</v>
      </c>
      <c r="BL216">
        <v>20</v>
      </c>
      <c r="BM216">
        <v>-2.0743720300055724E-2</v>
      </c>
      <c r="BN216">
        <v>25</v>
      </c>
      <c r="BO216">
        <v>-6.0171898673039249E-3</v>
      </c>
      <c r="BP216">
        <v>18</v>
      </c>
      <c r="BQ216">
        <v>2.2239999999999993</v>
      </c>
      <c r="BR216">
        <v>23</v>
      </c>
      <c r="BS216">
        <v>-1.44</v>
      </c>
      <c r="BT216">
        <v>-1.0400000000000005</v>
      </c>
      <c r="BU216">
        <v>-3.12</v>
      </c>
      <c r="BV216">
        <v>1.1199999999999999</v>
      </c>
      <c r="BW216">
        <v>-29.76</v>
      </c>
      <c r="BX216">
        <v>-28.240000000000002</v>
      </c>
      <c r="BY216">
        <v>1.2800000000000011</v>
      </c>
      <c r="BZ216">
        <v>-1.1200000000000001</v>
      </c>
      <c r="CA216">
        <v>-1.6800000000000004</v>
      </c>
      <c r="CB216">
        <v>28</v>
      </c>
      <c r="CC216">
        <v>-5.9535999999999989</v>
      </c>
      <c r="CD216">
        <v>-3.5127199999999998</v>
      </c>
      <c r="CE216">
        <v>-29.520000000000003</v>
      </c>
      <c r="CF216">
        <v>-1.2536999999999998</v>
      </c>
    </row>
    <row r="217" spans="1:84" x14ac:dyDescent="0.2">
      <c r="A217" s="39">
        <v>43786</v>
      </c>
      <c r="B217" s="22" t="s">
        <v>259</v>
      </c>
      <c r="C217" s="41" t="s">
        <v>303</v>
      </c>
      <c r="D217" s="22" t="s">
        <v>272</v>
      </c>
      <c r="E217">
        <v>12.2</v>
      </c>
      <c r="F217">
        <v>11.6</v>
      </c>
      <c r="G217">
        <v>5.5</v>
      </c>
      <c r="H217">
        <f>12.6+8.8</f>
        <v>21.4</v>
      </c>
      <c r="I217">
        <v>-13</v>
      </c>
      <c r="J217">
        <v>48</v>
      </c>
      <c r="K217" t="s">
        <v>110</v>
      </c>
      <c r="L217" s="1" t="s">
        <v>303</v>
      </c>
      <c r="M217">
        <v>22</v>
      </c>
      <c r="N217">
        <v>-1.9296000000000006</v>
      </c>
      <c r="O217">
        <v>-0.57399999999999995</v>
      </c>
      <c r="P217">
        <v>15.280000000000005</v>
      </c>
      <c r="Q217">
        <v>0.5299999999999998</v>
      </c>
      <c r="R217">
        <v>-0.22400000000000109</v>
      </c>
      <c r="S217">
        <v>-14.130000000000004</v>
      </c>
      <c r="T217">
        <v>-1.9799999999999998</v>
      </c>
      <c r="U217">
        <v>19</v>
      </c>
      <c r="V217">
        <v>19.5</v>
      </c>
      <c r="W217">
        <v>-0.43999999999999984</v>
      </c>
      <c r="X217">
        <v>19</v>
      </c>
      <c r="Y217">
        <v>17.25</v>
      </c>
      <c r="Z217">
        <v>14</v>
      </c>
      <c r="AA217">
        <v>-3.2368640291027456E-2</v>
      </c>
      <c r="AB217">
        <v>21</v>
      </c>
      <c r="AC217">
        <v>-4.740563263367286E-3</v>
      </c>
      <c r="AD217">
        <v>32</v>
      </c>
      <c r="AE217">
        <v>21.143999999999998</v>
      </c>
      <c r="AF217">
        <v>2</v>
      </c>
      <c r="AG217">
        <v>-0.83999999999999986</v>
      </c>
      <c r="AH217">
        <v>-1.6399999999999992</v>
      </c>
      <c r="AI217">
        <v>-0.6399999999999999</v>
      </c>
      <c r="AJ217">
        <v>-0.08</v>
      </c>
      <c r="AK217">
        <v>6.1600000000000019</v>
      </c>
      <c r="AL217">
        <v>5.3600000000000021</v>
      </c>
      <c r="AM217">
        <v>17.280000000000005</v>
      </c>
      <c r="AN217">
        <v>2.2399999999999998</v>
      </c>
      <c r="AO217">
        <v>-18.72</v>
      </c>
      <c r="AP217">
        <v>18</v>
      </c>
      <c r="AQ217">
        <v>-1.3556000000000008</v>
      </c>
      <c r="AR217">
        <v>-0.14372000000000035</v>
      </c>
      <c r="AS217">
        <v>-11.920000000000002</v>
      </c>
      <c r="AT217">
        <v>1.3556000000000008</v>
      </c>
      <c r="AU217">
        <v>-0.4609500000000003</v>
      </c>
      <c r="AV217">
        <v>1.0511000000000001</v>
      </c>
      <c r="AW217">
        <v>1.1183000000000003</v>
      </c>
      <c r="AX217" t="s">
        <v>272</v>
      </c>
      <c r="AY217">
        <v>10</v>
      </c>
      <c r="AZ217">
        <v>4.4591999999999983</v>
      </c>
      <c r="BA217">
        <v>-3.1799999999999988</v>
      </c>
      <c r="BB217">
        <v>4.0000000000000036E-2</v>
      </c>
      <c r="BC217">
        <v>-1.0799999999999998</v>
      </c>
      <c r="BD217">
        <v>5.911999999999999</v>
      </c>
      <c r="BE217">
        <v>51.773333333333333</v>
      </c>
      <c r="BF217">
        <v>-1.3199999999999998</v>
      </c>
      <c r="BG217">
        <v>20</v>
      </c>
      <c r="BH217">
        <v>21</v>
      </c>
      <c r="BI217">
        <v>1.56</v>
      </c>
      <c r="BJ217">
        <v>22</v>
      </c>
      <c r="BK217">
        <v>18.25</v>
      </c>
      <c r="BL217">
        <v>13</v>
      </c>
      <c r="BM217">
        <v>6.7333504337807378E-3</v>
      </c>
      <c r="BN217">
        <v>15</v>
      </c>
      <c r="BO217">
        <v>-3.2140710988679626E-3</v>
      </c>
      <c r="BP217">
        <v>19</v>
      </c>
      <c r="BQ217">
        <v>-0.77200000000000268</v>
      </c>
      <c r="BR217">
        <v>26</v>
      </c>
      <c r="BS217">
        <v>-1.1600000000000004</v>
      </c>
      <c r="BT217">
        <v>2.839999999999999</v>
      </c>
      <c r="BU217">
        <v>1.5200000000000002</v>
      </c>
      <c r="BV217">
        <v>0.19999999999999982</v>
      </c>
      <c r="BW217">
        <v>59.759999999999991</v>
      </c>
      <c r="BX217">
        <v>43.879999999999995</v>
      </c>
      <c r="BY217">
        <v>1.5199999999999989</v>
      </c>
      <c r="BZ217">
        <v>3.3200000000000003</v>
      </c>
      <c r="CA217">
        <v>11.040000000000003</v>
      </c>
      <c r="CB217">
        <v>3</v>
      </c>
      <c r="CC217">
        <v>7.6391999999999971</v>
      </c>
      <c r="CD217">
        <v>3.6642399999999986</v>
      </c>
      <c r="CE217">
        <v>42.36</v>
      </c>
      <c r="CF217">
        <v>0.98389999999999989</v>
      </c>
    </row>
    <row r="218" spans="1:84" x14ac:dyDescent="0.2">
      <c r="A218" s="39">
        <v>43786</v>
      </c>
      <c r="B218" s="22" t="s">
        <v>259</v>
      </c>
      <c r="C218" s="41" t="s">
        <v>287</v>
      </c>
      <c r="D218" s="22" t="s">
        <v>288</v>
      </c>
      <c r="E218">
        <v>21.1</v>
      </c>
      <c r="F218">
        <v>9.6</v>
      </c>
      <c r="G218">
        <v>0</v>
      </c>
      <c r="H218">
        <f>14.9+1.8</f>
        <v>16.7</v>
      </c>
      <c r="I218">
        <v>5.5</v>
      </c>
      <c r="J218">
        <v>52.5</v>
      </c>
      <c r="L218" s="1" t="s">
        <v>287</v>
      </c>
      <c r="M218">
        <v>25</v>
      </c>
      <c r="N218">
        <v>-2.9343999999999992</v>
      </c>
      <c r="O218">
        <v>5.9780000000000006</v>
      </c>
      <c r="P218">
        <v>-11.360000000000005</v>
      </c>
      <c r="Q218">
        <v>0.85</v>
      </c>
      <c r="R218">
        <v>-5.9799999999999986</v>
      </c>
      <c r="S218">
        <v>-9.0100000000000033</v>
      </c>
      <c r="T218">
        <v>-1.2199999999999995</v>
      </c>
      <c r="U218">
        <v>4</v>
      </c>
      <c r="V218">
        <v>7</v>
      </c>
      <c r="W218">
        <v>-1.44</v>
      </c>
      <c r="X218">
        <v>10</v>
      </c>
      <c r="Y218">
        <v>12.75</v>
      </c>
      <c r="Z218">
        <v>24</v>
      </c>
      <c r="AA218">
        <v>1.3439200716429562E-2</v>
      </c>
      <c r="AB218">
        <v>12</v>
      </c>
      <c r="AC218">
        <v>-1.7329094092174314E-3</v>
      </c>
      <c r="AD218">
        <v>7</v>
      </c>
      <c r="AE218">
        <v>-9.1439999999999984</v>
      </c>
      <c r="AF218">
        <v>8</v>
      </c>
      <c r="AG218">
        <v>0.51999999999999991</v>
      </c>
      <c r="AH218">
        <v>-5.3200000000000021</v>
      </c>
      <c r="AI218">
        <v>-0.7999999999999996</v>
      </c>
      <c r="AJ218">
        <v>-0.52</v>
      </c>
      <c r="AK218">
        <v>-20.079999999999995</v>
      </c>
      <c r="AL218">
        <v>1.4400000000000091</v>
      </c>
      <c r="AM218">
        <v>-12.039999999999997</v>
      </c>
      <c r="AN218">
        <v>0.75999999999999979</v>
      </c>
      <c r="AO218">
        <v>-10.24</v>
      </c>
      <c r="AP218">
        <v>30</v>
      </c>
      <c r="AQ218">
        <v>-8.9123999999999999</v>
      </c>
      <c r="AR218">
        <v>-4.7718800000000003</v>
      </c>
      <c r="AS218">
        <v>13.480000000000006</v>
      </c>
      <c r="AT218">
        <v>8.9123999999999999</v>
      </c>
      <c r="AU218">
        <v>-0.32204999999999956</v>
      </c>
      <c r="AV218">
        <v>-0.66089999999999982</v>
      </c>
      <c r="AW218">
        <v>-1.2536999999999998</v>
      </c>
      <c r="AX218" t="s">
        <v>288</v>
      </c>
      <c r="AY218">
        <v>7</v>
      </c>
      <c r="AZ218">
        <v>2.4576000000000007</v>
      </c>
      <c r="BA218">
        <v>8.8904000000000014</v>
      </c>
      <c r="BB218">
        <v>7.16</v>
      </c>
      <c r="BC218">
        <v>1.4400000000000002</v>
      </c>
      <c r="BD218">
        <v>-8.7727999999999984</v>
      </c>
      <c r="BE218">
        <v>-48.6</v>
      </c>
      <c r="BF218">
        <v>0.19999999999999996</v>
      </c>
      <c r="BG218">
        <v>20</v>
      </c>
      <c r="BH218">
        <v>21</v>
      </c>
      <c r="BI218">
        <v>-0.67999999999999994</v>
      </c>
      <c r="BJ218">
        <v>2</v>
      </c>
      <c r="BK218">
        <v>7.25</v>
      </c>
      <c r="BL218">
        <v>4</v>
      </c>
      <c r="BM218">
        <v>3.5932519114541463E-2</v>
      </c>
      <c r="BN218">
        <v>13</v>
      </c>
      <c r="BO218">
        <v>2.5074277143146122E-2</v>
      </c>
      <c r="BP218">
        <v>3</v>
      </c>
      <c r="BQ218">
        <v>-18.571999999999999</v>
      </c>
      <c r="BR218">
        <v>9</v>
      </c>
      <c r="BS218">
        <v>1.8</v>
      </c>
      <c r="BT218">
        <v>2.4800000000000026</v>
      </c>
      <c r="BU218">
        <v>0.71999999999999953</v>
      </c>
      <c r="BV218">
        <v>1.1199999999999999</v>
      </c>
      <c r="BW218">
        <v>4.8</v>
      </c>
      <c r="BX218">
        <v>-10.760000000000002</v>
      </c>
      <c r="BY218">
        <v>7.4399999999999977</v>
      </c>
      <c r="BZ218">
        <v>-7.9999999999999891E-2</v>
      </c>
      <c r="CA218">
        <v>8.1999999999999993</v>
      </c>
      <c r="CB218">
        <v>29</v>
      </c>
      <c r="CC218">
        <v>-6.4328000000000012</v>
      </c>
      <c r="CD218">
        <v>-5.70824</v>
      </c>
      <c r="CE218">
        <v>-18.2</v>
      </c>
      <c r="CF218">
        <v>-6.8099999999999716E-2</v>
      </c>
    </row>
    <row r="219" spans="1:84" x14ac:dyDescent="0.2">
      <c r="A219" s="39">
        <v>43786</v>
      </c>
      <c r="B219" s="22" t="s">
        <v>259</v>
      </c>
      <c r="C219" s="41" t="s">
        <v>304</v>
      </c>
      <c r="D219" s="22" t="s">
        <v>265</v>
      </c>
      <c r="E219" s="14">
        <v>8.3000000000000007</v>
      </c>
      <c r="F219">
        <v>8</v>
      </c>
      <c r="G219">
        <v>1.9</v>
      </c>
      <c r="H219">
        <v>3</v>
      </c>
      <c r="I219">
        <v>-5</v>
      </c>
      <c r="J219">
        <v>40</v>
      </c>
      <c r="L219" s="1" t="s">
        <v>304</v>
      </c>
      <c r="M219">
        <v>29</v>
      </c>
      <c r="N219">
        <v>-5.7175999999999991</v>
      </c>
      <c r="O219">
        <v>-4.4399999999999995</v>
      </c>
      <c r="P219">
        <v>1.2800000000000029</v>
      </c>
      <c r="Q219">
        <v>-2.68</v>
      </c>
      <c r="R219">
        <v>0.97200000000000042</v>
      </c>
      <c r="S219">
        <v>16.759999999999998</v>
      </c>
      <c r="T219">
        <v>2.5600000000000005</v>
      </c>
      <c r="U219">
        <v>16</v>
      </c>
      <c r="V219">
        <v>15.5</v>
      </c>
      <c r="W219">
        <v>3.8800000000000003</v>
      </c>
      <c r="X219">
        <v>23</v>
      </c>
      <c r="Y219">
        <v>20.5</v>
      </c>
      <c r="Z219">
        <v>32</v>
      </c>
      <c r="AA219">
        <v>-4.8757507568143975E-2</v>
      </c>
      <c r="AB219">
        <v>29</v>
      </c>
      <c r="AC219">
        <v>-2.1764342402346405E-2</v>
      </c>
      <c r="AD219">
        <v>8</v>
      </c>
      <c r="AE219">
        <v>-14.892000000000001</v>
      </c>
      <c r="AF219">
        <v>13</v>
      </c>
      <c r="AG219">
        <v>-1.52</v>
      </c>
      <c r="AH219">
        <v>-2.7999999999999985</v>
      </c>
      <c r="AI219">
        <v>-3.16</v>
      </c>
      <c r="AJ219">
        <v>1.1999999999999997</v>
      </c>
      <c r="AK219">
        <v>-31.95999999999999</v>
      </c>
      <c r="AL219">
        <v>-13.640000000000004</v>
      </c>
      <c r="AM219">
        <v>-0.79999999999999716</v>
      </c>
      <c r="AN219">
        <v>3.8</v>
      </c>
      <c r="AO219">
        <v>-21.32</v>
      </c>
      <c r="AP219">
        <v>17</v>
      </c>
      <c r="AQ219">
        <v>-1.2776000000000001</v>
      </c>
      <c r="AR219">
        <v>1.27088</v>
      </c>
      <c r="AS219">
        <v>-12.840000000000007</v>
      </c>
      <c r="AT219">
        <v>1.2775999999999996</v>
      </c>
      <c r="AU219">
        <v>-1.2731999999999997</v>
      </c>
      <c r="AV219">
        <v>-0.97109999999999985</v>
      </c>
      <c r="AW219">
        <v>-1.0410999999999999</v>
      </c>
      <c r="AX219" t="s">
        <v>265</v>
      </c>
      <c r="AY219">
        <v>29</v>
      </c>
      <c r="AZ219">
        <v>-2.6248000000000005</v>
      </c>
      <c r="BA219">
        <v>2.2800000000000002</v>
      </c>
      <c r="BB219">
        <v>4.759999999999998</v>
      </c>
      <c r="BC219">
        <v>-0.39999999999999974</v>
      </c>
      <c r="BD219">
        <v>-7.1839999999999993</v>
      </c>
      <c r="BE219">
        <v>-18.399999999999999</v>
      </c>
      <c r="BF219">
        <v>-1.32</v>
      </c>
      <c r="BG219">
        <v>15</v>
      </c>
      <c r="BH219">
        <v>13</v>
      </c>
      <c r="BI219">
        <v>0.99999999999999967</v>
      </c>
      <c r="BJ219">
        <v>32</v>
      </c>
      <c r="BK219">
        <v>29.25</v>
      </c>
      <c r="BL219">
        <v>28</v>
      </c>
      <c r="BM219">
        <v>-7.0895088979815099E-2</v>
      </c>
      <c r="BN219">
        <v>29</v>
      </c>
      <c r="BO219">
        <v>-2.2622690200616954E-2</v>
      </c>
      <c r="BP219">
        <v>29</v>
      </c>
      <c r="BQ219">
        <v>10.704000000000001</v>
      </c>
      <c r="BR219">
        <v>31</v>
      </c>
      <c r="BS219">
        <v>-1.4799999999999995</v>
      </c>
      <c r="BT219">
        <v>0.52000000000000313</v>
      </c>
      <c r="BU219">
        <v>0.19999999999999929</v>
      </c>
      <c r="BV219">
        <v>-0.87999999999999989</v>
      </c>
      <c r="BW219">
        <v>-32.680000000000007</v>
      </c>
      <c r="BX219">
        <v>-32.32</v>
      </c>
      <c r="BY219">
        <v>2.0399999999999978</v>
      </c>
      <c r="BZ219">
        <v>-4.12</v>
      </c>
      <c r="CA219">
        <v>1.7200000000000002</v>
      </c>
      <c r="CB219">
        <v>27</v>
      </c>
      <c r="CC219">
        <v>-4.9048000000000007</v>
      </c>
      <c r="CD219">
        <v>-3.1017600000000001</v>
      </c>
      <c r="CE219">
        <v>-34.36</v>
      </c>
      <c r="CF219">
        <v>-0.90109999999999979</v>
      </c>
    </row>
    <row r="220" spans="1:84" x14ac:dyDescent="0.2">
      <c r="A220" s="39">
        <v>43786</v>
      </c>
      <c r="B220" s="22" t="s">
        <v>259</v>
      </c>
      <c r="C220" s="41" t="s">
        <v>293</v>
      </c>
      <c r="D220" s="22" t="s">
        <v>276</v>
      </c>
      <c r="E220">
        <v>23.5</v>
      </c>
      <c r="F220">
        <v>8.3000000000000007</v>
      </c>
      <c r="G220">
        <v>18.899999999999999</v>
      </c>
      <c r="H220">
        <v>5.8</v>
      </c>
      <c r="I220">
        <v>7</v>
      </c>
      <c r="J220">
        <v>41.5</v>
      </c>
      <c r="K220" t="s">
        <v>110</v>
      </c>
      <c r="L220" s="1" t="s">
        <v>293</v>
      </c>
      <c r="M220">
        <v>13</v>
      </c>
      <c r="N220">
        <v>1.0091999999999994</v>
      </c>
      <c r="O220">
        <v>-6.2560000000000002</v>
      </c>
      <c r="P220">
        <v>-30.76</v>
      </c>
      <c r="Q220">
        <v>-8.0000000000000071E-2</v>
      </c>
      <c r="R220">
        <v>-0.10800000000000054</v>
      </c>
      <c r="S220">
        <v>10.28</v>
      </c>
      <c r="T220">
        <v>0.2</v>
      </c>
      <c r="U220">
        <v>13</v>
      </c>
      <c r="V220">
        <v>12</v>
      </c>
      <c r="W220">
        <v>-2.2800000000000002</v>
      </c>
      <c r="X220">
        <v>16</v>
      </c>
      <c r="Y220">
        <v>14.5</v>
      </c>
      <c r="Z220">
        <v>12</v>
      </c>
      <c r="AA220">
        <v>3.0079780870742728E-2</v>
      </c>
      <c r="AB220">
        <v>10</v>
      </c>
      <c r="AC220">
        <v>3.8073036525563485E-3</v>
      </c>
      <c r="AD220">
        <v>14</v>
      </c>
      <c r="AE220">
        <v>5.0839999999999979</v>
      </c>
      <c r="AF220">
        <v>22</v>
      </c>
      <c r="AG220">
        <v>0.6</v>
      </c>
      <c r="AH220">
        <v>-0.72000000000000031</v>
      </c>
      <c r="AI220">
        <v>-1.400000000000001</v>
      </c>
      <c r="AJ220">
        <v>0.35999999999999988</v>
      </c>
      <c r="AK220">
        <v>-21.719999999999992</v>
      </c>
      <c r="AL220">
        <v>11.719999999999994</v>
      </c>
      <c r="AM220">
        <v>-31.76</v>
      </c>
      <c r="AN220">
        <v>-2.04</v>
      </c>
      <c r="AO220">
        <v>0.35999999999999976</v>
      </c>
      <c r="AP220">
        <v>3</v>
      </c>
      <c r="AQ220">
        <v>7.2652000000000001</v>
      </c>
      <c r="AR220">
        <v>3.3082400000000001</v>
      </c>
      <c r="AS220">
        <v>43.48</v>
      </c>
      <c r="AT220">
        <v>-7.2652000000000001</v>
      </c>
      <c r="AU220">
        <v>-0.77435000000000009</v>
      </c>
      <c r="AV220">
        <v>1.110625</v>
      </c>
      <c r="AW220">
        <v>1.3400999999999996</v>
      </c>
      <c r="AX220" t="s">
        <v>276</v>
      </c>
      <c r="AY220">
        <v>24</v>
      </c>
      <c r="AZ220">
        <v>-0.48679999999999984</v>
      </c>
      <c r="BA220">
        <v>7.4240000000000013</v>
      </c>
      <c r="BB220">
        <v>25.080000000000002</v>
      </c>
      <c r="BC220">
        <v>1.7199999999999998</v>
      </c>
      <c r="BD220">
        <v>0.63199999999999967</v>
      </c>
      <c r="BE220">
        <v>-0.32000000000000384</v>
      </c>
      <c r="BF220">
        <v>-1.7600000000000002</v>
      </c>
      <c r="BG220">
        <v>32</v>
      </c>
      <c r="BH220">
        <v>32</v>
      </c>
      <c r="BI220">
        <v>-1.6800000000000004</v>
      </c>
      <c r="BJ220">
        <v>7</v>
      </c>
      <c r="BK220">
        <v>12.25</v>
      </c>
      <c r="BL220">
        <v>24</v>
      </c>
      <c r="BM220">
        <v>-2.8830014979980057E-3</v>
      </c>
      <c r="BN220">
        <v>3</v>
      </c>
      <c r="BO220">
        <v>-1.6720881859146469E-3</v>
      </c>
      <c r="BP220">
        <v>17</v>
      </c>
      <c r="BQ220">
        <v>-8.0759999999999952</v>
      </c>
      <c r="BR220">
        <v>5</v>
      </c>
      <c r="BS220">
        <v>-1.3199999999999998</v>
      </c>
      <c r="BT220">
        <v>1.2800000000000011</v>
      </c>
      <c r="BU220">
        <v>1.7599999999999991</v>
      </c>
      <c r="BV220">
        <v>0.68</v>
      </c>
      <c r="BW220">
        <v>36.480000000000004</v>
      </c>
      <c r="BX220">
        <v>10.199999999999994</v>
      </c>
      <c r="BY220">
        <v>24.32</v>
      </c>
      <c r="BZ220">
        <v>2.12</v>
      </c>
      <c r="CA220">
        <v>-0.15999999999999978</v>
      </c>
      <c r="CB220">
        <v>30</v>
      </c>
      <c r="CC220">
        <v>-7.9108000000000001</v>
      </c>
      <c r="CD220">
        <v>-3.6829600000000005</v>
      </c>
      <c r="CE220">
        <v>-14.120000000000006</v>
      </c>
      <c r="CF220">
        <v>0.88115000000000032</v>
      </c>
    </row>
    <row r="221" spans="1:84" x14ac:dyDescent="0.2">
      <c r="A221" s="39">
        <v>43786</v>
      </c>
      <c r="B221" s="22" t="s">
        <v>259</v>
      </c>
      <c r="C221" s="41" t="s">
        <v>312</v>
      </c>
      <c r="D221" s="22" t="s">
        <v>278</v>
      </c>
      <c r="E221" s="3">
        <v>26.1</v>
      </c>
      <c r="F221">
        <v>9.5</v>
      </c>
      <c r="G221">
        <v>0</v>
      </c>
      <c r="H221">
        <f>17.7+11+4.8</f>
        <v>33.5</v>
      </c>
      <c r="I221">
        <v>-10</v>
      </c>
      <c r="J221">
        <v>40.5</v>
      </c>
      <c r="L221" s="1" t="s">
        <v>312</v>
      </c>
      <c r="M221">
        <v>6</v>
      </c>
      <c r="N221">
        <v>2.9999999999999991</v>
      </c>
      <c r="O221">
        <v>4.2464000000000004</v>
      </c>
      <c r="P221">
        <v>37.56</v>
      </c>
      <c r="Q221">
        <v>0.32000000000000006</v>
      </c>
      <c r="R221">
        <v>11.295999999999999</v>
      </c>
      <c r="S221">
        <v>35.64</v>
      </c>
      <c r="T221">
        <v>1.1999999999999997</v>
      </c>
      <c r="U221">
        <v>26</v>
      </c>
      <c r="V221">
        <v>25</v>
      </c>
      <c r="W221">
        <v>0.76000000000000012</v>
      </c>
      <c r="X221">
        <v>28</v>
      </c>
      <c r="Y221">
        <v>24.5</v>
      </c>
      <c r="Z221">
        <v>22</v>
      </c>
      <c r="AA221">
        <v>1.2926265661550274E-2</v>
      </c>
      <c r="AB221">
        <v>27</v>
      </c>
      <c r="AC221">
        <v>-4.0830687268239498E-2</v>
      </c>
      <c r="AD221">
        <v>22</v>
      </c>
      <c r="AE221">
        <v>12.679999999999998</v>
      </c>
      <c r="AF221">
        <v>27</v>
      </c>
      <c r="AG221">
        <v>-4.9599999999999991</v>
      </c>
      <c r="AH221">
        <v>4.08</v>
      </c>
      <c r="AI221">
        <v>6.4800000000000013</v>
      </c>
      <c r="AJ221">
        <v>-0.27999999999999997</v>
      </c>
      <c r="AK221">
        <v>54.879999999999995</v>
      </c>
      <c r="AL221">
        <v>34.28</v>
      </c>
      <c r="AM221">
        <v>32.720000000000006</v>
      </c>
      <c r="AN221">
        <v>1.9600000000000002</v>
      </c>
      <c r="AO221">
        <v>-14.080000000000002</v>
      </c>
      <c r="AP221">
        <v>16</v>
      </c>
      <c r="AQ221">
        <v>-1.2464000000000011</v>
      </c>
      <c r="AR221">
        <v>0.73599999999999888</v>
      </c>
      <c r="AS221">
        <v>1.5599999999999952</v>
      </c>
      <c r="AT221">
        <v>1.2464000000000013</v>
      </c>
      <c r="AU221">
        <v>2.6177999999999995</v>
      </c>
      <c r="AV221">
        <v>-0.28638749999999991</v>
      </c>
      <c r="AW221">
        <v>1.3730749999999998</v>
      </c>
      <c r="AX221" t="s">
        <v>278</v>
      </c>
      <c r="AY221">
        <v>15</v>
      </c>
      <c r="AZ221">
        <v>-4.491200000000001</v>
      </c>
      <c r="BA221">
        <v>-7.7475999999999985</v>
      </c>
      <c r="BB221">
        <v>-49.2</v>
      </c>
      <c r="BC221">
        <v>0.36000000000000015</v>
      </c>
      <c r="BD221">
        <v>-3.968</v>
      </c>
      <c r="BE221">
        <v>-2.5600000000000023</v>
      </c>
      <c r="BF221">
        <v>-0.31999999999999917</v>
      </c>
      <c r="BG221">
        <v>9</v>
      </c>
      <c r="BH221">
        <v>9.5</v>
      </c>
      <c r="BI221">
        <v>1.4799999999999995</v>
      </c>
      <c r="BJ221">
        <v>12</v>
      </c>
      <c r="BK221">
        <v>14.5</v>
      </c>
      <c r="BL221">
        <v>25</v>
      </c>
      <c r="BM221">
        <v>-6.0139210865432689E-2</v>
      </c>
      <c r="BN221">
        <v>6</v>
      </c>
      <c r="BO221">
        <v>2.3434299961670423E-2</v>
      </c>
      <c r="BP221">
        <v>10</v>
      </c>
      <c r="BQ221">
        <v>-9.2239999999999984</v>
      </c>
      <c r="BR221">
        <v>17</v>
      </c>
      <c r="BS221">
        <v>2.04</v>
      </c>
      <c r="BT221">
        <v>-0.99999999999999856</v>
      </c>
      <c r="BU221">
        <v>-7.2</v>
      </c>
      <c r="BV221">
        <v>0.67999999999999994</v>
      </c>
      <c r="BW221">
        <v>-62.720000000000013</v>
      </c>
      <c r="BX221">
        <v>-14.280000000000006</v>
      </c>
      <c r="BY221">
        <v>-47.36</v>
      </c>
      <c r="BZ221">
        <v>-5.16</v>
      </c>
      <c r="CA221">
        <v>4.08</v>
      </c>
      <c r="CB221">
        <v>9</v>
      </c>
      <c r="CC221">
        <v>3.2563999999999975</v>
      </c>
      <c r="CD221">
        <v>2.1819599999999992</v>
      </c>
      <c r="CE221">
        <v>33.079999999999991</v>
      </c>
      <c r="CF221">
        <v>-1.9458499999999996</v>
      </c>
    </row>
    <row r="222" spans="1:84" x14ac:dyDescent="0.2">
      <c r="A222" s="39">
        <v>43786</v>
      </c>
      <c r="B222" s="22" t="s">
        <v>259</v>
      </c>
      <c r="C222" s="41" t="s">
        <v>302</v>
      </c>
      <c r="D222" s="22" t="s">
        <v>294</v>
      </c>
      <c r="E222">
        <v>14.9</v>
      </c>
      <c r="F222">
        <v>3.2</v>
      </c>
      <c r="G222">
        <v>12.3</v>
      </c>
      <c r="H222">
        <v>10.5</v>
      </c>
      <c r="I222">
        <v>-4.5</v>
      </c>
      <c r="J222">
        <v>45</v>
      </c>
      <c r="L222" s="1" t="s">
        <v>302</v>
      </c>
      <c r="M222">
        <v>24</v>
      </c>
      <c r="N222">
        <v>-2.4328000000000003</v>
      </c>
      <c r="O222">
        <v>3.3840000000000003</v>
      </c>
      <c r="P222">
        <v>-13.159999999999997</v>
      </c>
      <c r="Q222">
        <v>2.6</v>
      </c>
      <c r="R222">
        <v>-0.71100000000000119</v>
      </c>
      <c r="S222">
        <v>-13.5</v>
      </c>
      <c r="T222">
        <v>3.0500000000000007</v>
      </c>
      <c r="U222">
        <v>2</v>
      </c>
      <c r="V222">
        <v>5</v>
      </c>
      <c r="W222">
        <v>8.2799999999999994</v>
      </c>
      <c r="X222">
        <v>27</v>
      </c>
      <c r="Y222">
        <v>23.25</v>
      </c>
      <c r="Z222">
        <v>23</v>
      </c>
      <c r="AA222">
        <v>-4.2854847409853958E-2</v>
      </c>
      <c r="AB222">
        <v>26</v>
      </c>
      <c r="AC222">
        <v>-2.869380473277109E-2</v>
      </c>
      <c r="AD222">
        <v>23</v>
      </c>
      <c r="AE222">
        <v>-0.72400000000000087</v>
      </c>
      <c r="AF222">
        <v>21</v>
      </c>
      <c r="AG222">
        <v>-1.32</v>
      </c>
      <c r="AH222">
        <v>7.9999999999999982</v>
      </c>
      <c r="AI222">
        <v>0.23999999999999985</v>
      </c>
      <c r="AJ222">
        <v>2.4</v>
      </c>
      <c r="AK222">
        <v>13.479999999999995</v>
      </c>
      <c r="AL222">
        <v>27.95999999999999</v>
      </c>
      <c r="AM222">
        <v>-1.3200000000000016</v>
      </c>
      <c r="AN222">
        <v>0.7599999999999999</v>
      </c>
      <c r="AO222">
        <v>-13.919999999999998</v>
      </c>
      <c r="AP222">
        <v>27</v>
      </c>
      <c r="AQ222">
        <v>-5.8168000000000006</v>
      </c>
      <c r="AR222">
        <v>-2.3207600000000004</v>
      </c>
      <c r="AS222">
        <v>29.27999999999999</v>
      </c>
      <c r="AT222">
        <v>5.8168000000000006</v>
      </c>
      <c r="AU222">
        <v>0.10502499999999985</v>
      </c>
      <c r="AV222">
        <v>-2.3284625000000001</v>
      </c>
      <c r="AW222">
        <v>-3.2124000000000001</v>
      </c>
      <c r="AX222" t="s">
        <v>294</v>
      </c>
      <c r="AY222">
        <v>30</v>
      </c>
      <c r="AZ222">
        <v>-3.033599999999999</v>
      </c>
      <c r="BA222">
        <v>-1.7796000000000007</v>
      </c>
      <c r="BB222">
        <v>-10.879999999999999</v>
      </c>
      <c r="BC222">
        <v>0.32000000000000006</v>
      </c>
      <c r="BD222">
        <v>-5.7830000000000004</v>
      </c>
      <c r="BE222">
        <v>-30.290000000000003</v>
      </c>
      <c r="BF222">
        <v>-5.66</v>
      </c>
      <c r="BG222">
        <v>31</v>
      </c>
      <c r="BH222">
        <v>28.5</v>
      </c>
      <c r="BI222">
        <v>-0.48000000000000026</v>
      </c>
      <c r="BJ222">
        <v>4</v>
      </c>
      <c r="BK222">
        <v>8.75</v>
      </c>
      <c r="BL222">
        <v>3</v>
      </c>
      <c r="BM222">
        <v>7.5955663524353064E-3</v>
      </c>
      <c r="BN222">
        <v>4</v>
      </c>
      <c r="BO222">
        <v>2.1717556885565419E-2</v>
      </c>
      <c r="BP222">
        <v>14</v>
      </c>
      <c r="BQ222">
        <v>5.9800000000000013</v>
      </c>
      <c r="BR222">
        <v>14</v>
      </c>
      <c r="BS222">
        <v>0.27999999999999992</v>
      </c>
      <c r="BT222">
        <v>-5.8</v>
      </c>
      <c r="BU222">
        <v>-8.0000000000000432E-2</v>
      </c>
      <c r="BV222">
        <v>-1.8399999999999999</v>
      </c>
      <c r="BW222">
        <v>-39.879999999999995</v>
      </c>
      <c r="BX222">
        <v>-40.159999999999997</v>
      </c>
      <c r="BY222">
        <v>-11.120000000000005</v>
      </c>
      <c r="BZ222">
        <v>5.32</v>
      </c>
      <c r="CA222">
        <v>6.08</v>
      </c>
      <c r="CB222">
        <v>19</v>
      </c>
      <c r="CC222">
        <v>-1.2539999999999987</v>
      </c>
      <c r="CD222">
        <v>-0.87351999999999941</v>
      </c>
      <c r="CE222">
        <v>-29.039999999999992</v>
      </c>
      <c r="CF222">
        <v>-1.4445250000000001</v>
      </c>
    </row>
    <row r="223" spans="1:84" x14ac:dyDescent="0.2">
      <c r="A223" s="39">
        <v>43786</v>
      </c>
      <c r="B223" s="22" t="s">
        <v>259</v>
      </c>
      <c r="C223" s="41" t="s">
        <v>307</v>
      </c>
      <c r="D223" s="22" t="s">
        <v>284</v>
      </c>
      <c r="E223">
        <v>28.4</v>
      </c>
      <c r="F223">
        <v>9.4</v>
      </c>
      <c r="G223">
        <v>0</v>
      </c>
      <c r="H223">
        <f>11.3+2.8</f>
        <v>14.100000000000001</v>
      </c>
      <c r="I223">
        <v>-5</v>
      </c>
      <c r="J223">
        <v>50.5</v>
      </c>
      <c r="K223" t="s">
        <v>109</v>
      </c>
      <c r="L223" s="1" t="s">
        <v>307</v>
      </c>
      <c r="M223">
        <v>15</v>
      </c>
      <c r="N223">
        <v>0.32720000000000127</v>
      </c>
      <c r="O223">
        <v>6.5080000000000009</v>
      </c>
      <c r="P223">
        <v>8.6399999999999988</v>
      </c>
      <c r="Q223">
        <v>4.68</v>
      </c>
      <c r="R223">
        <v>-3.714</v>
      </c>
      <c r="S223">
        <v>-11.239999999999997</v>
      </c>
      <c r="T223">
        <v>-2.2799999999999998</v>
      </c>
      <c r="U223">
        <v>4</v>
      </c>
      <c r="V223">
        <v>7</v>
      </c>
      <c r="W223">
        <v>1.36</v>
      </c>
      <c r="X223">
        <v>32</v>
      </c>
      <c r="Y223">
        <v>29.5</v>
      </c>
      <c r="Z223">
        <v>30</v>
      </c>
      <c r="AA223">
        <v>-2.1218997726417877E-2</v>
      </c>
      <c r="AB223">
        <v>28</v>
      </c>
      <c r="AC223">
        <v>-1.4235280455858913E-2</v>
      </c>
      <c r="AD223">
        <v>31</v>
      </c>
      <c r="AE223">
        <v>1.547999999999996</v>
      </c>
      <c r="AF223">
        <v>29</v>
      </c>
      <c r="AG223">
        <v>-0.96000000000000019</v>
      </c>
      <c r="AH223">
        <v>3.240000000000002</v>
      </c>
      <c r="AI223">
        <v>-1.2400000000000013</v>
      </c>
      <c r="AJ223">
        <v>0.87999999999999989</v>
      </c>
      <c r="AK223">
        <v>30.480000000000008</v>
      </c>
      <c r="AL223">
        <v>20.879999999999995</v>
      </c>
      <c r="AM223">
        <v>13.719999999999999</v>
      </c>
      <c r="AN223">
        <v>-1.4000000000000004</v>
      </c>
      <c r="AO223">
        <v>-2.72</v>
      </c>
      <c r="AP223">
        <v>29</v>
      </c>
      <c r="AQ223">
        <v>-6.1807999999999996</v>
      </c>
      <c r="AR223">
        <v>-3.9313600000000002</v>
      </c>
      <c r="AS223">
        <v>7.1599999999999966</v>
      </c>
      <c r="AT223">
        <v>6.1807999999999996</v>
      </c>
      <c r="AU223">
        <v>0.47515000000000029</v>
      </c>
      <c r="AV223">
        <v>0.24851249999999991</v>
      </c>
      <c r="AW223">
        <v>-1.9575250000000004</v>
      </c>
      <c r="AX223" t="s">
        <v>284</v>
      </c>
      <c r="AY223">
        <v>4</v>
      </c>
      <c r="AZ223">
        <v>6.3263999999999996</v>
      </c>
      <c r="BA223">
        <v>-9.3819999999999997</v>
      </c>
      <c r="BB223">
        <v>-23.79</v>
      </c>
      <c r="BC223">
        <v>-0.61999999999999988</v>
      </c>
      <c r="BD223">
        <v>19.251999999999999</v>
      </c>
      <c r="BE223">
        <v>36.4</v>
      </c>
      <c r="BF223">
        <v>3</v>
      </c>
      <c r="BG223">
        <v>16</v>
      </c>
      <c r="BH223">
        <v>14</v>
      </c>
      <c r="BI223">
        <v>4.5999999999999996</v>
      </c>
      <c r="BJ223">
        <v>10</v>
      </c>
      <c r="BK223">
        <v>13.25</v>
      </c>
      <c r="BL223">
        <v>9</v>
      </c>
      <c r="BM223">
        <v>-3.2258835740738866E-2</v>
      </c>
      <c r="BN223">
        <v>26</v>
      </c>
      <c r="BO223">
        <v>-2.4264800203707401E-2</v>
      </c>
      <c r="BP223">
        <v>6</v>
      </c>
      <c r="BQ223">
        <v>4.535999999999996</v>
      </c>
      <c r="BR223">
        <v>12</v>
      </c>
      <c r="BS223">
        <v>-5.56</v>
      </c>
      <c r="BT223">
        <v>-0.31999999999999745</v>
      </c>
      <c r="BU223">
        <v>8.5599999999999987</v>
      </c>
      <c r="BV223">
        <v>0.40000000000000008</v>
      </c>
      <c r="BW223">
        <v>-12.439999999999998</v>
      </c>
      <c r="BX223">
        <v>11.759999999999991</v>
      </c>
      <c r="BY223">
        <v>-21.240000000000002</v>
      </c>
      <c r="BZ223">
        <v>2.5999999999999996</v>
      </c>
      <c r="CA223">
        <v>-5.5600000000000005</v>
      </c>
      <c r="CB223">
        <v>1</v>
      </c>
      <c r="CC223">
        <v>15.708399999999999</v>
      </c>
      <c r="CD223">
        <v>9.8066800000000001</v>
      </c>
      <c r="CE223">
        <v>32.999999999999993</v>
      </c>
      <c r="CF223">
        <v>2.4545500000000002</v>
      </c>
    </row>
    <row r="224" spans="1:84" x14ac:dyDescent="0.2">
      <c r="A224" s="39">
        <v>43786</v>
      </c>
      <c r="B224" s="22" t="s">
        <v>259</v>
      </c>
      <c r="C224" s="41" t="s">
        <v>298</v>
      </c>
      <c r="D224" s="22" t="s">
        <v>306</v>
      </c>
      <c r="E224">
        <v>18.600000000000001</v>
      </c>
      <c r="F224">
        <v>7.6</v>
      </c>
      <c r="G224">
        <v>8.4</v>
      </c>
      <c r="H224">
        <f>24.9+9</f>
        <v>33.9</v>
      </c>
      <c r="I224">
        <v>1</v>
      </c>
      <c r="J224">
        <v>37.5</v>
      </c>
      <c r="L224" s="1" t="s">
        <v>298</v>
      </c>
      <c r="M224">
        <v>21</v>
      </c>
      <c r="N224">
        <v>-1.8151999999999995</v>
      </c>
      <c r="O224">
        <v>-5.1080000000000005</v>
      </c>
      <c r="P224">
        <v>-31.52</v>
      </c>
      <c r="Q224">
        <v>-0.19999999999999996</v>
      </c>
      <c r="R224">
        <v>2.0620000000000025</v>
      </c>
      <c r="S224">
        <v>0.71999999999999353</v>
      </c>
      <c r="T224">
        <v>-0.59999999999999964</v>
      </c>
      <c r="U224">
        <v>14</v>
      </c>
      <c r="V224">
        <v>13.5</v>
      </c>
      <c r="W224">
        <v>-3.28</v>
      </c>
      <c r="X224">
        <v>8</v>
      </c>
      <c r="Y224">
        <v>12</v>
      </c>
      <c r="Z224">
        <v>2</v>
      </c>
      <c r="AA224">
        <v>0.10832909945927871</v>
      </c>
      <c r="AB224">
        <v>17</v>
      </c>
      <c r="AC224">
        <v>1.36051905153008E-2</v>
      </c>
      <c r="AD224">
        <v>12</v>
      </c>
      <c r="AE224">
        <v>-1.5120000000000005</v>
      </c>
      <c r="AF224">
        <v>17</v>
      </c>
      <c r="AG224">
        <v>1.64</v>
      </c>
      <c r="AH224">
        <v>-3.4799999999999995</v>
      </c>
      <c r="AI224">
        <v>-2.04</v>
      </c>
      <c r="AJ224">
        <v>-0.51999999999999991</v>
      </c>
      <c r="AK224">
        <v>-43.36</v>
      </c>
      <c r="AL224">
        <v>-0.47999999999999543</v>
      </c>
      <c r="AM224">
        <v>-32.04</v>
      </c>
      <c r="AN224">
        <v>0.6399999999999999</v>
      </c>
      <c r="AO224">
        <v>-11.48</v>
      </c>
      <c r="AP224">
        <v>11</v>
      </c>
      <c r="AQ224">
        <v>3.2928000000000006</v>
      </c>
      <c r="AR224">
        <v>2.6033600000000008</v>
      </c>
      <c r="AS224">
        <v>31.560000000000002</v>
      </c>
      <c r="AT224">
        <v>-3.2928000000000011</v>
      </c>
      <c r="AU224">
        <v>-0.8726499999999997</v>
      </c>
      <c r="AV224">
        <v>0.72310000000000019</v>
      </c>
      <c r="AW224">
        <v>2.5169000000000001</v>
      </c>
      <c r="AX224" t="s">
        <v>306</v>
      </c>
      <c r="AY224">
        <v>22</v>
      </c>
      <c r="AZ224">
        <v>-5.1579999999999986</v>
      </c>
      <c r="BA224">
        <v>3.6443999999999996</v>
      </c>
      <c r="BB224">
        <v>27</v>
      </c>
      <c r="BC224">
        <v>1.1599999999999999</v>
      </c>
      <c r="BD224">
        <v>-7.9319999999999995</v>
      </c>
      <c r="BE224">
        <v>-23.72</v>
      </c>
      <c r="BF224">
        <v>-4.5199999999999996</v>
      </c>
      <c r="BG224">
        <v>12</v>
      </c>
      <c r="BH224">
        <v>12.5</v>
      </c>
      <c r="BI224">
        <v>0.96</v>
      </c>
      <c r="BJ224">
        <v>3</v>
      </c>
      <c r="BK224">
        <v>8</v>
      </c>
      <c r="BL224">
        <v>13</v>
      </c>
      <c r="BM224">
        <v>-3.4511208393495127E-2</v>
      </c>
      <c r="BN224">
        <v>2</v>
      </c>
      <c r="BO224">
        <v>2.1252396387227632E-2</v>
      </c>
      <c r="BP224">
        <v>9</v>
      </c>
      <c r="BQ224">
        <v>-0.74000000000000055</v>
      </c>
      <c r="BR224">
        <v>8</v>
      </c>
      <c r="BS224">
        <v>-0.15999999999999998</v>
      </c>
      <c r="BT224">
        <v>1.4400000000000019</v>
      </c>
      <c r="BU224">
        <v>-2.7600000000000002</v>
      </c>
      <c r="BV224">
        <v>-1.6400000000000001</v>
      </c>
      <c r="BW224">
        <v>-2.7600000000000025</v>
      </c>
      <c r="BX224">
        <v>-22.880000000000003</v>
      </c>
      <c r="BY224">
        <v>28.079999999999995</v>
      </c>
      <c r="BZ224">
        <v>-3.6399999999999997</v>
      </c>
      <c r="CA224">
        <v>-4.32</v>
      </c>
      <c r="CB224">
        <v>32</v>
      </c>
      <c r="CC224">
        <v>-8.8023999999999987</v>
      </c>
      <c r="CD224">
        <v>-4.440199999999999</v>
      </c>
      <c r="CE224">
        <v>-50.959999999999994</v>
      </c>
      <c r="CF224">
        <v>-1.0706999999999998</v>
      </c>
    </row>
    <row r="225" spans="1:84" x14ac:dyDescent="0.2">
      <c r="A225" s="39">
        <v>43786</v>
      </c>
      <c r="B225" s="22" t="s">
        <v>259</v>
      </c>
      <c r="C225" s="41" t="s">
        <v>294</v>
      </c>
      <c r="D225" s="22" t="s">
        <v>302</v>
      </c>
      <c r="E225">
        <v>8</v>
      </c>
      <c r="F225">
        <v>1.6</v>
      </c>
      <c r="G225">
        <v>3.9</v>
      </c>
      <c r="H225">
        <f>18.4+12.6</f>
        <v>31</v>
      </c>
      <c r="I225">
        <v>4.5</v>
      </c>
      <c r="J225">
        <v>45</v>
      </c>
      <c r="L225" s="1" t="s">
        <v>294</v>
      </c>
      <c r="M225">
        <v>20</v>
      </c>
      <c r="N225">
        <v>-1.3956000000000006</v>
      </c>
      <c r="O225">
        <v>1.2960000000000007</v>
      </c>
      <c r="P225">
        <v>7.04</v>
      </c>
      <c r="Q225">
        <v>-1.3200000000000003</v>
      </c>
      <c r="R225">
        <v>-1.3959999999999972</v>
      </c>
      <c r="S225">
        <v>-5.9199999999999946</v>
      </c>
      <c r="T225">
        <v>3.48</v>
      </c>
      <c r="U225">
        <v>23</v>
      </c>
      <c r="V225">
        <v>22.5</v>
      </c>
      <c r="W225">
        <v>0.27999999999999992</v>
      </c>
      <c r="X225">
        <v>6</v>
      </c>
      <c r="Y225">
        <v>10.25</v>
      </c>
      <c r="Z225">
        <v>16</v>
      </c>
      <c r="AA225">
        <v>1.8768061802141411E-3</v>
      </c>
      <c r="AB225">
        <v>4</v>
      </c>
      <c r="AC225">
        <v>1.8320573882257028E-2</v>
      </c>
      <c r="AD225">
        <v>6</v>
      </c>
      <c r="AE225">
        <v>-9.200000000000301E-2</v>
      </c>
      <c r="AF225">
        <v>15</v>
      </c>
      <c r="AG225">
        <v>-0.48000000000000026</v>
      </c>
      <c r="AH225">
        <v>5.56</v>
      </c>
      <c r="AI225">
        <v>-0.28000000000000042</v>
      </c>
      <c r="AJ225">
        <v>-0.91999999999999993</v>
      </c>
      <c r="AK225">
        <v>14.6</v>
      </c>
      <c r="AL225">
        <v>-8.2400000000000038</v>
      </c>
      <c r="AM225">
        <v>17.360000000000003</v>
      </c>
      <c r="AN225">
        <v>-0.23999999999999985</v>
      </c>
      <c r="AO225">
        <v>5.7199999999999989</v>
      </c>
      <c r="AP225">
        <v>20</v>
      </c>
      <c r="AQ225">
        <v>-2.6916000000000011</v>
      </c>
      <c r="AR225">
        <v>-1.2063200000000003</v>
      </c>
      <c r="AS225">
        <v>-25.600000000000009</v>
      </c>
      <c r="AT225">
        <v>2.6916000000000011</v>
      </c>
      <c r="AU225">
        <v>-0.19694999999999971</v>
      </c>
      <c r="AV225">
        <v>-2.3284625000000001</v>
      </c>
      <c r="AW225">
        <v>-1.4445250000000001</v>
      </c>
      <c r="AX225" t="s">
        <v>302</v>
      </c>
      <c r="AY225">
        <v>28</v>
      </c>
      <c r="AZ225">
        <v>-7.9032000000000027</v>
      </c>
      <c r="BA225">
        <v>-5.42</v>
      </c>
      <c r="BB225">
        <v>8.1600000000000019</v>
      </c>
      <c r="BC225">
        <v>-0.79999999999999993</v>
      </c>
      <c r="BD225">
        <v>-10.016</v>
      </c>
      <c r="BE225">
        <v>-36.613333333333337</v>
      </c>
      <c r="BF225">
        <v>-3.9999999999999702E-2</v>
      </c>
      <c r="BG225">
        <v>24</v>
      </c>
      <c r="BH225">
        <v>23</v>
      </c>
      <c r="BI225">
        <v>-1.32</v>
      </c>
      <c r="BJ225">
        <v>5</v>
      </c>
      <c r="BK225">
        <v>9.75</v>
      </c>
      <c r="BL225">
        <v>1</v>
      </c>
      <c r="BM225">
        <v>9.3555593840792109E-2</v>
      </c>
      <c r="BN225">
        <v>12</v>
      </c>
      <c r="BO225">
        <v>-9.9404251500156976E-5</v>
      </c>
      <c r="BP225">
        <v>23</v>
      </c>
      <c r="BQ225">
        <v>-11.915999999999995</v>
      </c>
      <c r="BR225">
        <v>3</v>
      </c>
      <c r="BS225">
        <v>8.2799999999999994</v>
      </c>
      <c r="BT225">
        <v>-5.0400000000000009</v>
      </c>
      <c r="BU225">
        <v>-8.879999999999999</v>
      </c>
      <c r="BV225">
        <v>0.48000000000000009</v>
      </c>
      <c r="BW225">
        <v>-70.16</v>
      </c>
      <c r="BX225">
        <v>-60.480000000000004</v>
      </c>
      <c r="BY225">
        <v>3.919999999999999</v>
      </c>
      <c r="BZ225">
        <v>-1.48</v>
      </c>
      <c r="CA225">
        <v>-12.12</v>
      </c>
      <c r="CB225">
        <v>24</v>
      </c>
      <c r="CC225">
        <v>-2.4832000000000036</v>
      </c>
      <c r="CD225">
        <v>-0.87384000000000084</v>
      </c>
      <c r="CE225">
        <v>-64.400000000000006</v>
      </c>
      <c r="CF225">
        <v>-3.2124000000000001</v>
      </c>
    </row>
    <row r="226" spans="1:84" x14ac:dyDescent="0.2">
      <c r="A226" s="39">
        <v>43786</v>
      </c>
      <c r="B226" s="22" t="s">
        <v>259</v>
      </c>
      <c r="C226" s="41" t="s">
        <v>309</v>
      </c>
      <c r="D226" s="22" t="s">
        <v>281</v>
      </c>
      <c r="F226">
        <v>7.9</v>
      </c>
      <c r="G226">
        <v>4.4000000000000004</v>
      </c>
      <c r="H226">
        <v>8</v>
      </c>
      <c r="I226">
        <v>3</v>
      </c>
      <c r="J226">
        <v>41.5</v>
      </c>
      <c r="L226" s="1" t="s">
        <v>309</v>
      </c>
      <c r="M226">
        <v>27</v>
      </c>
      <c r="N226">
        <v>-4.0048000000000004</v>
      </c>
      <c r="O226">
        <v>5.7</v>
      </c>
      <c r="P226">
        <v>3.6399999999999988</v>
      </c>
      <c r="Q226">
        <v>2.8799999999999994</v>
      </c>
      <c r="R226">
        <v>-5.375</v>
      </c>
      <c r="S226">
        <v>-15.66</v>
      </c>
      <c r="T226">
        <v>-2.4600000000000004</v>
      </c>
      <c r="U226">
        <v>3</v>
      </c>
      <c r="V226">
        <v>5.5</v>
      </c>
      <c r="W226">
        <v>6.04</v>
      </c>
      <c r="X226">
        <v>12</v>
      </c>
      <c r="Y226">
        <v>13.25</v>
      </c>
      <c r="Z226">
        <v>9</v>
      </c>
      <c r="AA226">
        <v>9.6360620797413914E-3</v>
      </c>
      <c r="AB226">
        <v>20</v>
      </c>
      <c r="AC226">
        <v>-1.7173311716397001E-2</v>
      </c>
      <c r="AD226">
        <v>19</v>
      </c>
      <c r="AE226">
        <v>0.76399999999999868</v>
      </c>
      <c r="AF226">
        <v>5</v>
      </c>
      <c r="AG226">
        <v>2.3199999999999998</v>
      </c>
      <c r="AH226">
        <v>-0.12000000000000029</v>
      </c>
      <c r="AI226">
        <v>-1.5999999999999996</v>
      </c>
      <c r="AJ226">
        <v>2.36</v>
      </c>
      <c r="AK226">
        <v>-30.04</v>
      </c>
      <c r="AL226">
        <v>-26.919999999999998</v>
      </c>
      <c r="AM226">
        <v>3.9599999999999995</v>
      </c>
      <c r="AN226">
        <v>-0.84000000000000008</v>
      </c>
      <c r="AO226">
        <v>-6.24</v>
      </c>
      <c r="AP226">
        <v>31</v>
      </c>
      <c r="AQ226">
        <v>-9.7048000000000005</v>
      </c>
      <c r="AR226">
        <v>-4.7259600000000006</v>
      </c>
      <c r="AS226">
        <v>-30.88</v>
      </c>
      <c r="AT226">
        <v>9.7048000000000005</v>
      </c>
      <c r="AU226">
        <v>-0.37497500000000006</v>
      </c>
      <c r="AV226">
        <v>-0.79776250000000004</v>
      </c>
      <c r="AW226">
        <v>-1.07605</v>
      </c>
      <c r="AX226" t="s">
        <v>281</v>
      </c>
      <c r="AY226">
        <v>11</v>
      </c>
      <c r="AZ226">
        <v>2.7591999999999999</v>
      </c>
      <c r="BA226">
        <v>-0.7240000000000002</v>
      </c>
      <c r="BB226">
        <v>-3.5599999999999969</v>
      </c>
      <c r="BC226">
        <v>7.999999999999996E-2</v>
      </c>
      <c r="BD226">
        <v>-3.2710000000000008</v>
      </c>
      <c r="BE226">
        <v>-2.4500000000000011</v>
      </c>
      <c r="BF226">
        <v>-3.09</v>
      </c>
      <c r="BG226">
        <v>29</v>
      </c>
      <c r="BH226">
        <v>27</v>
      </c>
      <c r="BI226">
        <v>-3.4800000000000004</v>
      </c>
      <c r="BJ226">
        <v>9</v>
      </c>
      <c r="BK226">
        <v>12.5</v>
      </c>
      <c r="BL226">
        <v>8</v>
      </c>
      <c r="BM226">
        <v>8.1164569191846794E-2</v>
      </c>
      <c r="BN226">
        <v>16</v>
      </c>
      <c r="BO226">
        <v>1.3174747035974663E-2</v>
      </c>
      <c r="BP226">
        <v>7</v>
      </c>
      <c r="BQ226">
        <v>5.3360000000000012</v>
      </c>
      <c r="BR226">
        <v>19</v>
      </c>
      <c r="BS226">
        <v>-1.2000000000000002</v>
      </c>
      <c r="BT226">
        <v>-2.1999999999999984</v>
      </c>
      <c r="BU226">
        <v>-1.3199999999999996</v>
      </c>
      <c r="BV226">
        <v>-0.59999999999999987</v>
      </c>
      <c r="BW226">
        <v>10.760000000000002</v>
      </c>
      <c r="BX226">
        <v>16.47999999999999</v>
      </c>
      <c r="BY226">
        <v>-7.400000000000003</v>
      </c>
      <c r="BZ226">
        <v>-0.6</v>
      </c>
      <c r="CA226">
        <v>2.2800000000000002</v>
      </c>
      <c r="CB226">
        <v>6</v>
      </c>
      <c r="CC226">
        <v>3.4832000000000001</v>
      </c>
      <c r="CD226">
        <v>0.25963999999999987</v>
      </c>
      <c r="CE226">
        <v>23.879999999999992</v>
      </c>
      <c r="CF226">
        <v>-0.51947500000000013</v>
      </c>
    </row>
    <row r="227" spans="1:84" x14ac:dyDescent="0.2">
      <c r="A227" s="39">
        <v>43786</v>
      </c>
      <c r="B227" s="22" t="s">
        <v>259</v>
      </c>
      <c r="C227" s="40" t="s">
        <v>256</v>
      </c>
      <c r="D227" s="22" t="s">
        <v>285</v>
      </c>
      <c r="E227">
        <v>24.4</v>
      </c>
      <c r="F227">
        <v>13.1</v>
      </c>
      <c r="G227">
        <v>6.7</v>
      </c>
      <c r="H227">
        <v>17.399999999999999</v>
      </c>
      <c r="I227">
        <v>-10</v>
      </c>
      <c r="J227">
        <v>44</v>
      </c>
      <c r="L227" s="1" t="s">
        <v>256</v>
      </c>
      <c r="M227">
        <v>23</v>
      </c>
      <c r="N227">
        <v>-2.1072000000000024</v>
      </c>
      <c r="O227">
        <v>-3.0600000000000014</v>
      </c>
      <c r="P227">
        <v>-6.1199999999999992</v>
      </c>
      <c r="Q227">
        <v>-1.0000000000000002</v>
      </c>
      <c r="R227">
        <v>-2.8719999999999999</v>
      </c>
      <c r="S227">
        <v>-33.919999999999995</v>
      </c>
      <c r="T227">
        <v>-1.92</v>
      </c>
      <c r="U227">
        <v>17</v>
      </c>
      <c r="V227">
        <v>16</v>
      </c>
      <c r="W227">
        <v>5.4399999999999995</v>
      </c>
      <c r="X227">
        <v>21</v>
      </c>
      <c r="Y227">
        <v>17.75</v>
      </c>
      <c r="Z227">
        <v>19</v>
      </c>
      <c r="AA227">
        <v>8.1494987618955465E-3</v>
      </c>
      <c r="AB227">
        <v>3</v>
      </c>
      <c r="AC227">
        <v>4.4570213667647378E-3</v>
      </c>
      <c r="AD227">
        <v>29</v>
      </c>
      <c r="AE227">
        <v>6.5080000000000009</v>
      </c>
      <c r="AF227">
        <v>20</v>
      </c>
      <c r="AG227">
        <v>0.6</v>
      </c>
      <c r="AH227">
        <v>1.5200000000000018</v>
      </c>
      <c r="AI227">
        <v>1.1199999999999997</v>
      </c>
      <c r="AJ227">
        <v>1.1199999999999997</v>
      </c>
      <c r="AK227">
        <v>-21.399999999999988</v>
      </c>
      <c r="AL227">
        <v>-24.080000000000005</v>
      </c>
      <c r="AM227">
        <v>8.0799999999999983</v>
      </c>
      <c r="AN227">
        <v>5.12</v>
      </c>
      <c r="AO227">
        <v>-10.520000000000001</v>
      </c>
      <c r="AP227">
        <v>14</v>
      </c>
      <c r="AQ227">
        <v>0.95279999999999876</v>
      </c>
      <c r="AR227">
        <v>0.53416000000000019</v>
      </c>
      <c r="AS227">
        <v>-32.160000000000004</v>
      </c>
      <c r="AT227">
        <v>-0.95279999999999898</v>
      </c>
      <c r="AU227">
        <v>-0.92990000000000061</v>
      </c>
      <c r="AV227">
        <v>-0.33264999999999978</v>
      </c>
      <c r="AW227">
        <v>-2.6502999999999997</v>
      </c>
      <c r="AX227" t="s">
        <v>285</v>
      </c>
      <c r="AY227">
        <v>1</v>
      </c>
      <c r="AZ227">
        <v>6.3800000000000008</v>
      </c>
      <c r="BA227">
        <v>1.7720000000000007</v>
      </c>
      <c r="BB227">
        <v>21.96</v>
      </c>
      <c r="BC227">
        <v>0.35999999999999988</v>
      </c>
      <c r="BD227">
        <v>8.8079999999999963</v>
      </c>
      <c r="BE227">
        <v>34.400000000000006</v>
      </c>
      <c r="BF227">
        <v>-0.40000000000000058</v>
      </c>
      <c r="BG227">
        <v>19</v>
      </c>
      <c r="BH227">
        <v>20.5</v>
      </c>
      <c r="BI227">
        <v>-2.04</v>
      </c>
      <c r="BJ227">
        <v>26</v>
      </c>
      <c r="BK227">
        <v>22</v>
      </c>
      <c r="BL227">
        <v>5</v>
      </c>
      <c r="BM227">
        <v>-2.3472970240729484E-2</v>
      </c>
      <c r="BN227">
        <v>31</v>
      </c>
      <c r="BO227">
        <v>-1.2049216420421347E-2</v>
      </c>
      <c r="BP227">
        <v>20</v>
      </c>
      <c r="BQ227">
        <v>8.2040000000000024</v>
      </c>
      <c r="BR227">
        <v>32</v>
      </c>
      <c r="BS227">
        <v>-5.24</v>
      </c>
      <c r="BT227">
        <v>8.000000000000114E-2</v>
      </c>
      <c r="BU227">
        <v>3.12</v>
      </c>
      <c r="BV227">
        <v>-0.35999999999999988</v>
      </c>
      <c r="BW227">
        <v>41.4</v>
      </c>
      <c r="BX227">
        <v>30.4</v>
      </c>
      <c r="BY227">
        <v>14.239999999999998</v>
      </c>
      <c r="BZ227">
        <v>-4.92</v>
      </c>
      <c r="CA227">
        <v>1.6800000000000002</v>
      </c>
      <c r="CB227">
        <v>5</v>
      </c>
      <c r="CC227">
        <v>4.6080000000000005</v>
      </c>
      <c r="CD227">
        <v>2.1515999999999993</v>
      </c>
      <c r="CE227">
        <v>16.16</v>
      </c>
      <c r="CF227">
        <v>1.9850000000000001</v>
      </c>
    </row>
    <row r="228" spans="1:84" x14ac:dyDescent="0.2">
      <c r="A228" s="39">
        <v>43786</v>
      </c>
      <c r="B228" s="22" t="s">
        <v>259</v>
      </c>
      <c r="C228" s="41" t="s">
        <v>284</v>
      </c>
      <c r="D228" s="22" t="s">
        <v>307</v>
      </c>
      <c r="E228">
        <v>10.9</v>
      </c>
      <c r="F228">
        <v>13.7</v>
      </c>
      <c r="G228">
        <v>11.1</v>
      </c>
      <c r="H228">
        <v>17.3</v>
      </c>
      <c r="I228">
        <v>5</v>
      </c>
      <c r="J228">
        <v>50.5</v>
      </c>
      <c r="K228" t="s">
        <v>109</v>
      </c>
      <c r="L228" s="1" t="s">
        <v>284</v>
      </c>
      <c r="M228">
        <v>8</v>
      </c>
      <c r="N228">
        <v>2.5047999999999999</v>
      </c>
      <c r="O228">
        <v>-3.6070000000000007</v>
      </c>
      <c r="P228">
        <v>-32.33</v>
      </c>
      <c r="Q228">
        <v>-0.32000000000000023</v>
      </c>
      <c r="R228">
        <v>11.700000000000001</v>
      </c>
      <c r="S228">
        <v>59.839999999999989</v>
      </c>
      <c r="T228">
        <v>6.6000000000000005</v>
      </c>
      <c r="U228">
        <v>18</v>
      </c>
      <c r="V228">
        <v>17.5</v>
      </c>
      <c r="W228">
        <v>-5.68</v>
      </c>
      <c r="X228">
        <v>14</v>
      </c>
      <c r="Y228">
        <v>14</v>
      </c>
      <c r="Z228">
        <v>29</v>
      </c>
      <c r="AA228">
        <v>1.5787203177761056E-3</v>
      </c>
      <c r="AB228">
        <v>22</v>
      </c>
      <c r="AC228">
        <v>6.296781806849153E-3</v>
      </c>
      <c r="AD228">
        <v>1</v>
      </c>
      <c r="AE228">
        <v>-17.288000000000004</v>
      </c>
      <c r="AF228">
        <v>4</v>
      </c>
      <c r="AG228">
        <v>4.72</v>
      </c>
      <c r="AH228">
        <v>7.12</v>
      </c>
      <c r="AI228">
        <v>3.04</v>
      </c>
      <c r="AJ228">
        <v>-1.6800000000000002</v>
      </c>
      <c r="AK228">
        <v>35.840000000000011</v>
      </c>
      <c r="AL228">
        <v>57.719999999999992</v>
      </c>
      <c r="AM228">
        <v>-29.920000000000005</v>
      </c>
      <c r="AN228">
        <v>-1.7600000000000002</v>
      </c>
      <c r="AO228">
        <v>9.8000000000000007</v>
      </c>
      <c r="AP228">
        <v>4</v>
      </c>
      <c r="AQ228">
        <v>6.1118000000000006</v>
      </c>
      <c r="AR228">
        <v>4.6444600000000005</v>
      </c>
      <c r="AS228">
        <v>87.64</v>
      </c>
      <c r="AT228">
        <v>-6.1118000000000006</v>
      </c>
      <c r="AU228">
        <v>1.4147250000000002</v>
      </c>
      <c r="AV228">
        <v>0.24851249999999991</v>
      </c>
      <c r="AW228">
        <v>2.4545500000000002</v>
      </c>
      <c r="AX228" t="s">
        <v>307</v>
      </c>
      <c r="AY228">
        <v>18</v>
      </c>
      <c r="AZ228">
        <v>-4.4392000000000005</v>
      </c>
      <c r="BA228">
        <v>-4.0649999999999995</v>
      </c>
      <c r="BB228">
        <v>-13.350000000000001</v>
      </c>
      <c r="BC228">
        <v>1.2</v>
      </c>
      <c r="BD228">
        <v>-7.6359999999999992</v>
      </c>
      <c r="BE228">
        <v>-31.399999999999991</v>
      </c>
      <c r="BF228">
        <v>1.9199999999999995</v>
      </c>
      <c r="BG228">
        <v>8</v>
      </c>
      <c r="BH228">
        <v>8.5</v>
      </c>
      <c r="BI228">
        <v>-1.08</v>
      </c>
      <c r="BJ228">
        <v>17</v>
      </c>
      <c r="BK228">
        <v>16</v>
      </c>
      <c r="BL228">
        <v>6</v>
      </c>
      <c r="BM228">
        <v>4.0831763653831774E-2</v>
      </c>
      <c r="BN228">
        <v>18</v>
      </c>
      <c r="BO228">
        <v>-1.7029853346245565E-2</v>
      </c>
      <c r="BP228">
        <v>21</v>
      </c>
      <c r="BQ228">
        <v>-2.6519999999999984</v>
      </c>
      <c r="BR228">
        <v>19</v>
      </c>
      <c r="BS228">
        <v>1.48</v>
      </c>
      <c r="BT228">
        <v>-4.6400000000000032</v>
      </c>
      <c r="BU228">
        <v>-5.3999999999999995</v>
      </c>
      <c r="BV228">
        <v>0.55999999999999983</v>
      </c>
      <c r="BW228">
        <v>-72.64</v>
      </c>
      <c r="BX228">
        <v>-45.08</v>
      </c>
      <c r="BY228">
        <v>-24.36</v>
      </c>
      <c r="BZ228">
        <v>4.32</v>
      </c>
      <c r="CA228">
        <v>-7.5199999999999987</v>
      </c>
      <c r="CB228">
        <v>18</v>
      </c>
      <c r="CC228">
        <v>-0.37420000000000053</v>
      </c>
      <c r="CD228">
        <v>-0.38254000000000055</v>
      </c>
      <c r="CE228">
        <v>-20.72</v>
      </c>
      <c r="CF228">
        <v>-1.9575250000000004</v>
      </c>
    </row>
    <row r="229" spans="1:84" x14ac:dyDescent="0.2">
      <c r="A229" s="39">
        <v>43786</v>
      </c>
      <c r="B229" s="22" t="s">
        <v>259</v>
      </c>
      <c r="C229" s="41" t="s">
        <v>306</v>
      </c>
      <c r="D229" s="22" t="s">
        <v>298</v>
      </c>
      <c r="E229">
        <v>9.9</v>
      </c>
      <c r="F229">
        <v>10.3</v>
      </c>
      <c r="G229">
        <v>4.9000000000000004</v>
      </c>
      <c r="H229">
        <v>10.6</v>
      </c>
      <c r="I229">
        <v>-1</v>
      </c>
      <c r="J229">
        <v>37.5</v>
      </c>
      <c r="L229" s="1" t="s">
        <v>306</v>
      </c>
      <c r="M229">
        <v>31</v>
      </c>
      <c r="N229">
        <v>-8.9475999999999996</v>
      </c>
      <c r="O229">
        <v>-3.1679999999999993</v>
      </c>
      <c r="P229">
        <v>10.120000000000001</v>
      </c>
      <c r="Q229">
        <v>-2.16</v>
      </c>
      <c r="R229">
        <v>-20.975999999999999</v>
      </c>
      <c r="S229">
        <v>-80.2</v>
      </c>
      <c r="T229">
        <v>-9.6000000000000014</v>
      </c>
      <c r="U229">
        <v>1</v>
      </c>
      <c r="V229">
        <v>1</v>
      </c>
      <c r="W229">
        <v>-0.15999999999999998</v>
      </c>
      <c r="X229">
        <v>1</v>
      </c>
      <c r="Y229">
        <v>5.25</v>
      </c>
      <c r="Z229">
        <v>9</v>
      </c>
      <c r="AA229">
        <v>-2.2720987078639419E-2</v>
      </c>
      <c r="AB229">
        <v>1</v>
      </c>
      <c r="AC229">
        <v>4.2542658077380349E-2</v>
      </c>
      <c r="AD229">
        <v>2</v>
      </c>
      <c r="AE229">
        <v>-4.7240000000000038</v>
      </c>
      <c r="AF229">
        <v>9</v>
      </c>
      <c r="AG229">
        <v>0.96</v>
      </c>
      <c r="AH229">
        <v>-12.32</v>
      </c>
      <c r="AI229">
        <v>-10.720000000000002</v>
      </c>
      <c r="AJ229">
        <v>-1.1599999999999999</v>
      </c>
      <c r="AK229">
        <v>-93.56</v>
      </c>
      <c r="AL229">
        <v>-88.04</v>
      </c>
      <c r="AM229">
        <v>6.9200000000000017</v>
      </c>
      <c r="AN229">
        <v>-2.8</v>
      </c>
      <c r="AO229">
        <v>-9.64</v>
      </c>
      <c r="AP229">
        <v>26</v>
      </c>
      <c r="AQ229">
        <v>-5.7796000000000003</v>
      </c>
      <c r="AR229">
        <v>-4.4007200000000006</v>
      </c>
      <c r="AS229">
        <v>-94.960000000000008</v>
      </c>
      <c r="AT229">
        <v>5.7796000000000003</v>
      </c>
      <c r="AU229">
        <v>-4.4114500000000003</v>
      </c>
      <c r="AV229">
        <v>0.72310000000000019</v>
      </c>
      <c r="AW229">
        <v>-1.0706999999999998</v>
      </c>
      <c r="AX229" t="s">
        <v>298</v>
      </c>
      <c r="AY229">
        <v>9</v>
      </c>
      <c r="AZ229">
        <v>6.4971999999999994</v>
      </c>
      <c r="BA229">
        <v>0.55199999999999982</v>
      </c>
      <c r="BB229">
        <v>-19.240000000000002</v>
      </c>
      <c r="BC229">
        <v>0.4</v>
      </c>
      <c r="BD229">
        <v>12.965999999999999</v>
      </c>
      <c r="BE229">
        <v>33.54</v>
      </c>
      <c r="BF229">
        <v>1.3599999999999994</v>
      </c>
      <c r="BG229">
        <v>24</v>
      </c>
      <c r="BH229">
        <v>23</v>
      </c>
      <c r="BI229">
        <v>1.64</v>
      </c>
      <c r="BJ229">
        <v>23</v>
      </c>
      <c r="BK229">
        <v>20</v>
      </c>
      <c r="BL229">
        <v>32</v>
      </c>
      <c r="BM229">
        <v>-3.7299018427534344E-2</v>
      </c>
      <c r="BN229">
        <v>22</v>
      </c>
      <c r="BO229">
        <v>2.077783866148074E-3</v>
      </c>
      <c r="BP229">
        <v>11</v>
      </c>
      <c r="BQ229">
        <v>4.8840000000000048</v>
      </c>
      <c r="BR229">
        <v>15</v>
      </c>
      <c r="BS229">
        <v>-3.28</v>
      </c>
      <c r="BT229">
        <v>4.92</v>
      </c>
      <c r="BU229">
        <v>9.120000000000001</v>
      </c>
      <c r="BV229">
        <v>-1.3199999999999998</v>
      </c>
      <c r="BW229">
        <v>10.720000000000004</v>
      </c>
      <c r="BX229">
        <v>32.08</v>
      </c>
      <c r="BY229">
        <v>-19.880000000000003</v>
      </c>
      <c r="BZ229">
        <v>0.56000000000000016</v>
      </c>
      <c r="CA229">
        <v>-2.0399999999999996</v>
      </c>
      <c r="CB229">
        <v>4</v>
      </c>
      <c r="CC229">
        <v>5.9451999999999998</v>
      </c>
      <c r="CD229">
        <v>3.6166400000000003</v>
      </c>
      <c r="CE229">
        <v>51.96</v>
      </c>
      <c r="CF229">
        <v>2.5169000000000001</v>
      </c>
    </row>
    <row r="230" spans="1:84" x14ac:dyDescent="0.2">
      <c r="A230" s="39">
        <v>43793</v>
      </c>
      <c r="B230" s="22" t="s">
        <v>242</v>
      </c>
      <c r="C230" s="41" t="s">
        <v>295</v>
      </c>
      <c r="D230" s="22" t="s">
        <v>284</v>
      </c>
      <c r="E230">
        <v>11.8</v>
      </c>
      <c r="F230">
        <v>22</v>
      </c>
      <c r="G230">
        <v>15.6</v>
      </c>
      <c r="H230">
        <v>6.3</v>
      </c>
      <c r="I230">
        <v>-3.5</v>
      </c>
      <c r="J230">
        <v>51.5</v>
      </c>
      <c r="K230" s="20" t="s">
        <v>109</v>
      </c>
      <c r="L230" s="1" t="s">
        <v>295</v>
      </c>
      <c r="M230">
        <v>25</v>
      </c>
      <c r="N230">
        <v>-4.0592000000000015</v>
      </c>
      <c r="O230">
        <v>-4.5429999999999993</v>
      </c>
      <c r="P230">
        <v>-21.200000000000003</v>
      </c>
      <c r="Q230">
        <v>-0.55000000000000004</v>
      </c>
      <c r="R230">
        <v>0.57299999999999984</v>
      </c>
      <c r="S230">
        <v>28.777200000000001</v>
      </c>
      <c r="T230">
        <v>1.02</v>
      </c>
      <c r="U230">
        <v>4</v>
      </c>
      <c r="V230">
        <v>7</v>
      </c>
      <c r="W230">
        <v>-0.88000000000000012</v>
      </c>
      <c r="X230">
        <v>14</v>
      </c>
      <c r="Y230">
        <v>14</v>
      </c>
      <c r="Z230">
        <v>7</v>
      </c>
      <c r="AA230">
        <v>6.7851665922197504E-2</v>
      </c>
      <c r="AB230">
        <v>9</v>
      </c>
      <c r="AC230">
        <v>1.3684955967097911E-2</v>
      </c>
      <c r="AD230">
        <v>26</v>
      </c>
      <c r="AE230">
        <v>0.1160000000000025</v>
      </c>
      <c r="AF230">
        <v>14</v>
      </c>
      <c r="AG230">
        <v>2.2799999999999998</v>
      </c>
      <c r="AH230">
        <v>1.1200000000000032</v>
      </c>
      <c r="AI230">
        <v>-3.56</v>
      </c>
      <c r="AJ230">
        <v>-0.56000000000000016</v>
      </c>
      <c r="AK230">
        <v>1.5200000000000045</v>
      </c>
      <c r="AL230">
        <v>33.56</v>
      </c>
      <c r="AM230">
        <v>-19.600000000000001</v>
      </c>
      <c r="AN230">
        <v>4.0000000000000216E-2</v>
      </c>
      <c r="AO230">
        <v>-12.48</v>
      </c>
      <c r="AP230">
        <v>14</v>
      </c>
      <c r="AQ230">
        <v>0.48379999999999823</v>
      </c>
      <c r="AR230">
        <v>1.5742599999999993</v>
      </c>
      <c r="AS230">
        <v>53.160000000000004</v>
      </c>
      <c r="AT230">
        <v>-0.48379999999999779</v>
      </c>
      <c r="AU230">
        <v>-0.80365000000000031</v>
      </c>
      <c r="AV230">
        <v>0.74778750000000005</v>
      </c>
      <c r="AW230">
        <v>-0.51569999999999994</v>
      </c>
      <c r="AX230" t="s">
        <v>284</v>
      </c>
      <c r="AY230">
        <v>4</v>
      </c>
      <c r="AZ230">
        <v>3.6152000000000015</v>
      </c>
      <c r="BA230">
        <v>-7.6129999999999995</v>
      </c>
      <c r="BB230">
        <v>-24.14</v>
      </c>
      <c r="BC230">
        <v>0.32999999999999974</v>
      </c>
      <c r="BD230">
        <v>18.288</v>
      </c>
      <c r="BE230">
        <v>43.08</v>
      </c>
      <c r="BF230">
        <v>5.3199999999999994</v>
      </c>
      <c r="BG230">
        <v>16</v>
      </c>
      <c r="BH230">
        <v>14</v>
      </c>
      <c r="BI230">
        <v>1.08</v>
      </c>
      <c r="BJ230">
        <v>10</v>
      </c>
      <c r="BK230">
        <v>13.25</v>
      </c>
      <c r="BL230">
        <v>9</v>
      </c>
      <c r="BM230">
        <v>4.0707053066628583E-3</v>
      </c>
      <c r="BN230">
        <v>26</v>
      </c>
      <c r="BO230">
        <v>-1.7679525409801385E-2</v>
      </c>
      <c r="BP230">
        <v>6</v>
      </c>
      <c r="BQ230">
        <v>-5.4200000000000035</v>
      </c>
      <c r="BR230">
        <v>12</v>
      </c>
      <c r="BS230">
        <v>-1.9599999999999995</v>
      </c>
      <c r="BT230">
        <v>4.4799999999999986</v>
      </c>
      <c r="BU230">
        <v>3.84</v>
      </c>
      <c r="BV230">
        <v>0.20000000000000009</v>
      </c>
      <c r="BW230">
        <v>1.0799999999999954</v>
      </c>
      <c r="BX230">
        <v>27.880000000000003</v>
      </c>
      <c r="BY230">
        <v>-22.68</v>
      </c>
      <c r="BZ230">
        <v>1.8400000000000003</v>
      </c>
      <c r="CA230">
        <v>-5.96</v>
      </c>
      <c r="CB230">
        <v>1</v>
      </c>
      <c r="CC230">
        <v>11.228200000000003</v>
      </c>
      <c r="CD230">
        <v>8.1871400000000012</v>
      </c>
      <c r="CE230">
        <v>50.56</v>
      </c>
      <c r="CF230">
        <v>2.0112749999999999</v>
      </c>
    </row>
    <row r="231" spans="1:84" x14ac:dyDescent="0.2">
      <c r="A231" s="39">
        <v>43793</v>
      </c>
      <c r="B231" s="22" t="s">
        <v>242</v>
      </c>
      <c r="C231" s="41" t="s">
        <v>305</v>
      </c>
      <c r="D231" s="22" t="s">
        <v>304</v>
      </c>
      <c r="E231">
        <v>21.2</v>
      </c>
      <c r="F231">
        <v>15.4</v>
      </c>
      <c r="G231">
        <v>7.4</v>
      </c>
      <c r="H231">
        <v>8.1999999999999993</v>
      </c>
      <c r="I231">
        <v>-3.5</v>
      </c>
      <c r="J231">
        <v>47</v>
      </c>
      <c r="L231" s="1" t="s">
        <v>305</v>
      </c>
      <c r="M231">
        <v>1</v>
      </c>
      <c r="N231">
        <v>12.212</v>
      </c>
      <c r="O231">
        <v>5.152000000000001</v>
      </c>
      <c r="P231">
        <v>30.32</v>
      </c>
      <c r="Q231">
        <v>-3.2399999999999998</v>
      </c>
      <c r="R231">
        <v>0.62600000000000033</v>
      </c>
      <c r="S231">
        <v>-30.922800000000009</v>
      </c>
      <c r="T231">
        <v>-6.55</v>
      </c>
      <c r="U231">
        <v>8</v>
      </c>
      <c r="V231">
        <v>8.5</v>
      </c>
      <c r="W231">
        <v>7.4800000000000013</v>
      </c>
      <c r="X231">
        <v>31</v>
      </c>
      <c r="Y231">
        <v>29.25</v>
      </c>
      <c r="Z231">
        <v>27</v>
      </c>
      <c r="AA231">
        <v>-2.0965913621392974E-2</v>
      </c>
      <c r="AB231">
        <v>31</v>
      </c>
      <c r="AC231">
        <v>-2.2153357237747095E-2</v>
      </c>
      <c r="AD231">
        <v>27</v>
      </c>
      <c r="AE231">
        <v>14.720000000000002</v>
      </c>
      <c r="AF231">
        <v>32</v>
      </c>
      <c r="AG231">
        <v>-8.1999999999999993</v>
      </c>
      <c r="AH231">
        <v>-4.0799999999999983</v>
      </c>
      <c r="AI231">
        <v>14.4</v>
      </c>
      <c r="AJ231">
        <v>4.68</v>
      </c>
      <c r="AK231">
        <v>45.519999999999996</v>
      </c>
      <c r="AL231">
        <v>-47.76</v>
      </c>
      <c r="AM231">
        <v>34.32</v>
      </c>
      <c r="AN231">
        <v>-1.6400000000000001</v>
      </c>
      <c r="AO231">
        <v>60.6</v>
      </c>
      <c r="AP231">
        <v>5</v>
      </c>
      <c r="AQ231">
        <v>7.0599999999999987</v>
      </c>
      <c r="AR231">
        <v>-8.4000000000004071E-3</v>
      </c>
      <c r="AS231">
        <v>-82.08</v>
      </c>
      <c r="AT231">
        <v>-7.0599999999999987</v>
      </c>
      <c r="AU231">
        <v>2.55375</v>
      </c>
      <c r="AV231">
        <v>-0.99776249999999989</v>
      </c>
      <c r="AW231">
        <v>-2.0482999999999998</v>
      </c>
      <c r="AX231" t="s">
        <v>304</v>
      </c>
      <c r="AY231">
        <v>16</v>
      </c>
      <c r="AZ231">
        <v>0.97119999999999929</v>
      </c>
      <c r="BA231">
        <v>-1.0800000000000005</v>
      </c>
      <c r="BB231">
        <v>-4.5200000000000022</v>
      </c>
      <c r="BC231">
        <v>0.32000000000000006</v>
      </c>
      <c r="BD231">
        <v>3.0910000000000006</v>
      </c>
      <c r="BE231">
        <v>4.5400000000000009</v>
      </c>
      <c r="BF231">
        <v>4.17</v>
      </c>
      <c r="BG231">
        <v>28</v>
      </c>
      <c r="BH231">
        <v>26.5</v>
      </c>
      <c r="BI231">
        <v>-1.4800000000000004</v>
      </c>
      <c r="BJ231">
        <v>14</v>
      </c>
      <c r="BK231">
        <v>15</v>
      </c>
      <c r="BL231">
        <v>22</v>
      </c>
      <c r="BM231">
        <v>-1.2539128095067381E-2</v>
      </c>
      <c r="BN231">
        <v>10</v>
      </c>
      <c r="BO231">
        <v>1.1341474546594076E-2</v>
      </c>
      <c r="BP231">
        <v>22</v>
      </c>
      <c r="BQ231">
        <v>5.251999999999998</v>
      </c>
      <c r="BR231">
        <v>6</v>
      </c>
      <c r="BS231">
        <v>2.72</v>
      </c>
      <c r="BT231">
        <v>5.3200000000000021</v>
      </c>
      <c r="BU231">
        <v>-2.88</v>
      </c>
      <c r="BV231">
        <v>-0.83999999999999986</v>
      </c>
      <c r="BW231">
        <v>1.9600000000000137</v>
      </c>
      <c r="BX231">
        <v>11.919999999999993</v>
      </c>
      <c r="BY231">
        <v>-2.6799999999999984</v>
      </c>
      <c r="BZ231">
        <v>-1.56</v>
      </c>
      <c r="CA231">
        <v>-5.7199999999999989</v>
      </c>
      <c r="CB231">
        <v>12</v>
      </c>
      <c r="CC231">
        <v>2.0512000000000001</v>
      </c>
      <c r="CD231">
        <v>1.3524400000000005</v>
      </c>
      <c r="CE231">
        <v>14.599999999999991</v>
      </c>
      <c r="CF231">
        <v>5.2774999999999905E-2</v>
      </c>
    </row>
    <row r="232" spans="1:84" x14ac:dyDescent="0.2">
      <c r="A232" s="39">
        <v>43793</v>
      </c>
      <c r="B232" s="22" t="s">
        <v>242</v>
      </c>
      <c r="C232" s="41" t="s">
        <v>276</v>
      </c>
      <c r="D232" s="22" t="s">
        <v>278</v>
      </c>
      <c r="E232">
        <v>11.9</v>
      </c>
      <c r="F232">
        <v>19.600000000000001</v>
      </c>
      <c r="G232">
        <v>5.6</v>
      </c>
      <c r="H232">
        <f>3.1+2.4</f>
        <v>5.5</v>
      </c>
      <c r="I232">
        <v>-3.5</v>
      </c>
      <c r="J232">
        <v>37</v>
      </c>
      <c r="K232" t="s">
        <v>110</v>
      </c>
      <c r="L232" s="1" t="s">
        <v>276</v>
      </c>
      <c r="M232">
        <v>4</v>
      </c>
      <c r="N232">
        <v>5.7392000000000012</v>
      </c>
      <c r="O232">
        <v>-3.2759999999999998</v>
      </c>
      <c r="P232">
        <v>4.9599999999999973</v>
      </c>
      <c r="Q232">
        <v>-1.2400000000000002</v>
      </c>
      <c r="R232">
        <v>-1.3420000000000001</v>
      </c>
      <c r="S232">
        <v>-9.6199999999999974</v>
      </c>
      <c r="T232">
        <v>-0.49000000000000021</v>
      </c>
      <c r="U232">
        <v>25</v>
      </c>
      <c r="V232">
        <v>23</v>
      </c>
      <c r="W232">
        <v>-1.1999999999999997</v>
      </c>
      <c r="X232">
        <v>24</v>
      </c>
      <c r="Y232">
        <v>20.75</v>
      </c>
      <c r="Z232">
        <v>25</v>
      </c>
      <c r="AA232">
        <v>-2.1273936880978467E-2</v>
      </c>
      <c r="AB232">
        <v>25</v>
      </c>
      <c r="AC232">
        <v>-2.7270330051635837E-2</v>
      </c>
      <c r="AD232">
        <v>5</v>
      </c>
      <c r="AE232">
        <v>-10.512000000000002</v>
      </c>
      <c r="AF232">
        <v>28</v>
      </c>
      <c r="AG232">
        <v>-1.9200000000000004</v>
      </c>
      <c r="AH232">
        <v>1.8799999999999997</v>
      </c>
      <c r="AI232">
        <v>0.55999999999999939</v>
      </c>
      <c r="AJ232">
        <v>-0.31999999999999995</v>
      </c>
      <c r="AK232">
        <v>4.1599999999999913</v>
      </c>
      <c r="AL232">
        <v>-19.440000000000005</v>
      </c>
      <c r="AM232">
        <v>0.23999999999999772</v>
      </c>
      <c r="AN232">
        <v>2.92</v>
      </c>
      <c r="AO232">
        <v>20.440000000000001</v>
      </c>
      <c r="AP232">
        <v>2</v>
      </c>
      <c r="AQ232">
        <v>9.0152000000000001</v>
      </c>
      <c r="AR232">
        <v>2.5174400000000001</v>
      </c>
      <c r="AS232">
        <v>-19.680000000000003</v>
      </c>
      <c r="AT232">
        <v>-9.0152000000000001</v>
      </c>
      <c r="AU232">
        <v>-8.9849999999999819E-2</v>
      </c>
      <c r="AV232">
        <v>-0.37003750000000002</v>
      </c>
      <c r="AW232">
        <v>-2.9124999999999984E-2</v>
      </c>
      <c r="AX232" t="s">
        <v>278</v>
      </c>
      <c r="AY232">
        <v>15</v>
      </c>
      <c r="AZ232">
        <v>-1.5799999999999996</v>
      </c>
      <c r="BA232">
        <v>-6.0595999999999997</v>
      </c>
      <c r="BB232">
        <v>-24.200000000000003</v>
      </c>
      <c r="BC232">
        <v>-1</v>
      </c>
      <c r="BD232">
        <v>0.35199999999999981</v>
      </c>
      <c r="BE232">
        <v>6.8800000000000008</v>
      </c>
      <c r="BF232">
        <v>-0.88000000000000023</v>
      </c>
      <c r="BG232">
        <v>9</v>
      </c>
      <c r="BH232">
        <v>9.5</v>
      </c>
      <c r="BI232">
        <v>3.12</v>
      </c>
      <c r="BJ232">
        <v>12</v>
      </c>
      <c r="BK232">
        <v>14.5</v>
      </c>
      <c r="BL232">
        <v>25</v>
      </c>
      <c r="BM232">
        <v>-5.4069663992870755E-2</v>
      </c>
      <c r="BN232">
        <v>6</v>
      </c>
      <c r="BO232">
        <v>5.8741029572076274E-3</v>
      </c>
      <c r="BP232">
        <v>10</v>
      </c>
      <c r="BQ232">
        <v>0.90799999999999981</v>
      </c>
      <c r="BR232">
        <v>17</v>
      </c>
      <c r="BS232">
        <v>-0.56000000000000016</v>
      </c>
      <c r="BT232">
        <v>-0.48000000000000254</v>
      </c>
      <c r="BU232">
        <v>-2.8400000000000007</v>
      </c>
      <c r="BV232">
        <v>0.96</v>
      </c>
      <c r="BW232">
        <v>-19.920000000000005</v>
      </c>
      <c r="BX232">
        <v>-2.2000000000000002</v>
      </c>
      <c r="BY232">
        <v>-22.880000000000003</v>
      </c>
      <c r="BZ232">
        <v>-2.04</v>
      </c>
      <c r="CA232">
        <v>7.2</v>
      </c>
      <c r="CB232">
        <v>8</v>
      </c>
      <c r="CC232">
        <v>4.4796000000000005</v>
      </c>
      <c r="CD232">
        <v>2.7841999999999998</v>
      </c>
      <c r="CE232">
        <v>20.680000000000003</v>
      </c>
      <c r="CF232">
        <v>-0.71095000000000008</v>
      </c>
    </row>
    <row r="233" spans="1:84" x14ac:dyDescent="0.2">
      <c r="A233" s="39">
        <v>43793</v>
      </c>
      <c r="B233" s="22" t="s">
        <v>242</v>
      </c>
      <c r="C233" s="41" t="s">
        <v>301</v>
      </c>
      <c r="D233" s="22" t="s">
        <v>307</v>
      </c>
      <c r="E233">
        <v>34.4</v>
      </c>
      <c r="F233">
        <v>5.9</v>
      </c>
      <c r="G233">
        <v>1.4</v>
      </c>
      <c r="H233">
        <v>10.8</v>
      </c>
      <c r="I233">
        <v>10</v>
      </c>
      <c r="J233">
        <v>46</v>
      </c>
      <c r="L233" s="1" t="s">
        <v>301</v>
      </c>
      <c r="M233">
        <v>26</v>
      </c>
      <c r="N233">
        <v>-4.2463999999999986</v>
      </c>
      <c r="O233">
        <v>10.113</v>
      </c>
      <c r="P233">
        <v>18.270000000000003</v>
      </c>
      <c r="Q233">
        <v>1.66</v>
      </c>
      <c r="R233">
        <v>-3.8650000000000011</v>
      </c>
      <c r="S233">
        <v>-16.96</v>
      </c>
      <c r="T233">
        <v>1.5300000000000007</v>
      </c>
      <c r="U233">
        <v>32</v>
      </c>
      <c r="V233">
        <v>31.5</v>
      </c>
      <c r="W233">
        <v>-1.5199999999999998</v>
      </c>
      <c r="X233">
        <v>4</v>
      </c>
      <c r="Y233">
        <v>8.5</v>
      </c>
      <c r="Z233">
        <v>4</v>
      </c>
      <c r="AA233">
        <v>7.1021000083851246E-2</v>
      </c>
      <c r="AB233">
        <v>6</v>
      </c>
      <c r="AC233">
        <v>2.8969581800927881E-2</v>
      </c>
      <c r="AD233">
        <v>17</v>
      </c>
      <c r="AE233">
        <v>-7.5880000000000027</v>
      </c>
      <c r="AF233">
        <v>7</v>
      </c>
      <c r="AG233">
        <v>4.3600000000000003</v>
      </c>
      <c r="AH233">
        <v>3.160000000000001</v>
      </c>
      <c r="AI233">
        <v>-3.3999999999999995</v>
      </c>
      <c r="AJ233">
        <v>-0.79999999999999982</v>
      </c>
      <c r="AK233">
        <v>5.1600000000000019</v>
      </c>
      <c r="AL233">
        <v>-6.1599999999999966</v>
      </c>
      <c r="AM233">
        <v>17.48</v>
      </c>
      <c r="AN233">
        <v>3.9600000000000009</v>
      </c>
      <c r="AO233">
        <v>-10.119999999999999</v>
      </c>
      <c r="AP233">
        <v>32</v>
      </c>
      <c r="AQ233">
        <v>-14.359399999999997</v>
      </c>
      <c r="AR233">
        <v>-6.6787799999999997</v>
      </c>
      <c r="AS233">
        <v>-23.639999999999997</v>
      </c>
      <c r="AT233">
        <v>14.359399999999997</v>
      </c>
      <c r="AU233">
        <v>-0.12479999999999958</v>
      </c>
      <c r="AV233">
        <v>0.14551250000000024</v>
      </c>
      <c r="AW233">
        <v>0.44350000000000034</v>
      </c>
      <c r="AX233" t="s">
        <v>307</v>
      </c>
      <c r="AY233">
        <v>18</v>
      </c>
      <c r="AZ233">
        <v>0.34319999999999984</v>
      </c>
      <c r="BA233">
        <v>-3.2749999999999999</v>
      </c>
      <c r="BB233">
        <v>-25.450000000000003</v>
      </c>
      <c r="BC233">
        <v>1.5500000000000003</v>
      </c>
      <c r="BD233">
        <v>0.19200000000000106</v>
      </c>
      <c r="BE233">
        <v>-11.959999999999997</v>
      </c>
      <c r="BF233">
        <v>2.9199999999999995</v>
      </c>
      <c r="BG233">
        <v>8</v>
      </c>
      <c r="BH233">
        <v>8.5</v>
      </c>
      <c r="BI233">
        <v>-1.6799999999999997</v>
      </c>
      <c r="BJ233">
        <v>17</v>
      </c>
      <c r="BK233">
        <v>16</v>
      </c>
      <c r="BL233">
        <v>6</v>
      </c>
      <c r="BM233">
        <v>4.2113593803773289E-2</v>
      </c>
      <c r="BN233">
        <v>18</v>
      </c>
      <c r="BO233">
        <v>-2.1467360856892041E-2</v>
      </c>
      <c r="BP233">
        <v>21</v>
      </c>
      <c r="BQ233">
        <v>2.4159999999999981</v>
      </c>
      <c r="BR233">
        <v>19</v>
      </c>
      <c r="BS233">
        <v>-0.83999999999999986</v>
      </c>
      <c r="BT233">
        <v>-2.5599999999999978</v>
      </c>
      <c r="BU233">
        <v>-0.56000000000000016</v>
      </c>
      <c r="BV233">
        <v>0.76</v>
      </c>
      <c r="BW233">
        <v>-41.319999999999993</v>
      </c>
      <c r="BX233">
        <v>-14.320000000000004</v>
      </c>
      <c r="BY233">
        <v>-33.56</v>
      </c>
      <c r="BZ233">
        <v>12.639999999999999</v>
      </c>
      <c r="CA233">
        <v>-6.08</v>
      </c>
      <c r="CB233">
        <v>10</v>
      </c>
      <c r="CC233">
        <v>3.6181999999999994</v>
      </c>
      <c r="CD233">
        <v>1.7445400000000002</v>
      </c>
      <c r="CE233">
        <v>19.239999999999998</v>
      </c>
      <c r="CF233">
        <v>-0.15247499999999986</v>
      </c>
    </row>
    <row r="234" spans="1:84" x14ac:dyDescent="0.2">
      <c r="A234" s="39">
        <v>43793</v>
      </c>
      <c r="B234" s="22" t="s">
        <v>242</v>
      </c>
      <c r="C234" s="41" t="s">
        <v>265</v>
      </c>
      <c r="D234" s="22" t="s">
        <v>296</v>
      </c>
      <c r="E234">
        <v>28.1</v>
      </c>
      <c r="F234">
        <v>13.7</v>
      </c>
      <c r="G234">
        <v>2.9</v>
      </c>
      <c r="H234">
        <f>2.9+1.4</f>
        <v>4.3</v>
      </c>
      <c r="I234">
        <v>-6</v>
      </c>
      <c r="J234">
        <v>41</v>
      </c>
      <c r="L234" s="1" t="s">
        <v>265</v>
      </c>
      <c r="M234">
        <v>27</v>
      </c>
      <c r="N234">
        <v>-4.3487999999999998</v>
      </c>
      <c r="O234">
        <v>0.61200000000000143</v>
      </c>
      <c r="P234">
        <v>-5.7120000000000006</v>
      </c>
      <c r="Q234">
        <v>2.2000000000000002</v>
      </c>
      <c r="R234">
        <v>-7.6600000000000019</v>
      </c>
      <c r="S234">
        <v>-24.4</v>
      </c>
      <c r="T234">
        <v>-0.35999999999999988</v>
      </c>
      <c r="U234">
        <v>30</v>
      </c>
      <c r="V234">
        <v>29.5</v>
      </c>
      <c r="W234">
        <v>-4.4799999999999995</v>
      </c>
      <c r="X234">
        <v>18</v>
      </c>
      <c r="Y234">
        <v>15.5</v>
      </c>
      <c r="Z234">
        <v>20</v>
      </c>
      <c r="AA234">
        <v>5.1520453362304932E-3</v>
      </c>
      <c r="AB234">
        <v>11</v>
      </c>
      <c r="AC234">
        <v>1.4276288031809557E-2</v>
      </c>
      <c r="AD234">
        <v>20</v>
      </c>
      <c r="AE234">
        <v>-1.1400000000000035</v>
      </c>
      <c r="AF234">
        <v>11</v>
      </c>
      <c r="AG234">
        <v>0.6399999999999999</v>
      </c>
      <c r="AH234">
        <v>-0.27999999999999831</v>
      </c>
      <c r="AI234">
        <v>-5.76</v>
      </c>
      <c r="AJ234">
        <v>-1.6800000000000002</v>
      </c>
      <c r="AK234">
        <v>-46.52</v>
      </c>
      <c r="AL234">
        <v>-29.2</v>
      </c>
      <c r="AM234">
        <v>-8.879999999999999</v>
      </c>
      <c r="AN234">
        <v>-2.04</v>
      </c>
      <c r="AO234">
        <v>-6.4</v>
      </c>
      <c r="AP234">
        <v>25</v>
      </c>
      <c r="AQ234">
        <v>-4.9608000000000008</v>
      </c>
      <c r="AR234">
        <v>-2.7077600000000013</v>
      </c>
      <c r="AS234">
        <v>-20.32</v>
      </c>
      <c r="AT234">
        <v>4.9608000000000008</v>
      </c>
      <c r="AU234">
        <v>-1.7795999999999998</v>
      </c>
      <c r="AV234">
        <v>-0.59687500000000004</v>
      </c>
      <c r="AW234">
        <v>-1.4946250000000001</v>
      </c>
      <c r="AX234" t="s">
        <v>296</v>
      </c>
      <c r="AY234">
        <v>5</v>
      </c>
      <c r="AZ234">
        <v>-0.48399999999999965</v>
      </c>
      <c r="BA234">
        <v>-0.63700000000000001</v>
      </c>
      <c r="BB234">
        <v>9.06</v>
      </c>
      <c r="BC234">
        <v>-0.75000000000000011</v>
      </c>
      <c r="BD234">
        <v>0.96799999999999908</v>
      </c>
      <c r="BE234">
        <v>4.7999999999999972</v>
      </c>
      <c r="BF234">
        <v>-1.1199999999999999</v>
      </c>
      <c r="BG234">
        <v>2</v>
      </c>
      <c r="BH234">
        <v>3</v>
      </c>
      <c r="BI234">
        <v>5.72</v>
      </c>
      <c r="BJ234">
        <v>29</v>
      </c>
      <c r="BK234">
        <v>24</v>
      </c>
      <c r="BL234">
        <v>11</v>
      </c>
      <c r="BM234">
        <v>-4.4400737871440291E-2</v>
      </c>
      <c r="BN234">
        <v>27</v>
      </c>
      <c r="BO234">
        <v>-2.1635198960472939E-2</v>
      </c>
      <c r="BP234">
        <v>31</v>
      </c>
      <c r="BQ234">
        <v>-3.1519999999999966</v>
      </c>
      <c r="BR234">
        <v>27</v>
      </c>
      <c r="BS234">
        <v>-0.95999999999999974</v>
      </c>
      <c r="BT234">
        <v>0.91999999999999882</v>
      </c>
      <c r="BU234">
        <v>3.3199999999999994</v>
      </c>
      <c r="BV234">
        <v>2.9999999999999996</v>
      </c>
      <c r="BW234">
        <v>-7.6799999999999953</v>
      </c>
      <c r="BX234">
        <v>-12.319999999999999</v>
      </c>
      <c r="BY234">
        <v>9.76</v>
      </c>
      <c r="BZ234">
        <v>-2.6399999999999997</v>
      </c>
      <c r="CA234">
        <v>-2.4800000000000004</v>
      </c>
      <c r="CB234">
        <v>17</v>
      </c>
      <c r="CC234">
        <v>0.15300000000000036</v>
      </c>
      <c r="CD234">
        <v>0.41529999999999984</v>
      </c>
      <c r="CE234">
        <v>-22.08</v>
      </c>
      <c r="CF234">
        <v>0.30087499999999995</v>
      </c>
    </row>
    <row r="235" spans="1:84" x14ac:dyDescent="0.2">
      <c r="A235" s="39">
        <v>43793</v>
      </c>
      <c r="B235" s="28" t="s">
        <v>242</v>
      </c>
      <c r="C235" s="17" t="s">
        <v>272</v>
      </c>
      <c r="D235" s="28" t="s">
        <v>309</v>
      </c>
      <c r="E235" s="3">
        <v>23.1</v>
      </c>
      <c r="F235" s="3">
        <v>2</v>
      </c>
      <c r="G235" s="3">
        <v>6.3</v>
      </c>
      <c r="H235" s="3">
        <v>1.7</v>
      </c>
      <c r="I235" s="3">
        <v>5.5</v>
      </c>
      <c r="J235" s="3">
        <v>37.5</v>
      </c>
      <c r="K235" s="3"/>
      <c r="L235" s="1" t="s">
        <v>272</v>
      </c>
      <c r="M235">
        <v>22</v>
      </c>
      <c r="N235">
        <v>-3.0215999999999994</v>
      </c>
      <c r="O235">
        <v>-2.1</v>
      </c>
      <c r="P235">
        <v>-6.6799999999999979</v>
      </c>
      <c r="Q235">
        <v>-0.36000000000000004</v>
      </c>
      <c r="R235">
        <v>-6.261000000000001</v>
      </c>
      <c r="S235">
        <v>-0.35000000000000053</v>
      </c>
      <c r="T235">
        <v>2.79</v>
      </c>
      <c r="U235">
        <v>12</v>
      </c>
      <c r="V235">
        <v>11.5</v>
      </c>
      <c r="W235">
        <v>-3.5200000000000005</v>
      </c>
      <c r="X235">
        <v>10</v>
      </c>
      <c r="Y235">
        <v>12.75</v>
      </c>
      <c r="Z235">
        <v>13</v>
      </c>
      <c r="AA235">
        <v>2.5931277331721243E-2</v>
      </c>
      <c r="AB235">
        <v>15</v>
      </c>
      <c r="AC235">
        <v>7.7559124619972592E-3</v>
      </c>
      <c r="AD235">
        <v>11</v>
      </c>
      <c r="AE235">
        <v>2.5279999999999987</v>
      </c>
      <c r="AF235">
        <v>12</v>
      </c>
      <c r="AG235">
        <v>3.1999999999999997</v>
      </c>
      <c r="AH235">
        <v>1.6</v>
      </c>
      <c r="AI235">
        <v>-6.3599999999999994</v>
      </c>
      <c r="AJ235">
        <v>-1</v>
      </c>
      <c r="AK235">
        <v>-19.239999999999998</v>
      </c>
      <c r="AL235">
        <v>-14</v>
      </c>
      <c r="AM235">
        <v>-11.16</v>
      </c>
      <c r="AN235">
        <v>0.31999999999999995</v>
      </c>
      <c r="AO235">
        <v>5.6</v>
      </c>
      <c r="AP235">
        <v>17</v>
      </c>
      <c r="AQ235">
        <v>-0.92159999999999931</v>
      </c>
      <c r="AR235">
        <v>-0.80652000000000013</v>
      </c>
      <c r="AS235">
        <v>-2.84</v>
      </c>
      <c r="AT235">
        <v>0.92159999999999931</v>
      </c>
      <c r="AU235">
        <v>-1.4878250000000002</v>
      </c>
      <c r="AV235">
        <v>-0.26821249999999991</v>
      </c>
      <c r="AW235">
        <v>0.95277500000000026</v>
      </c>
      <c r="AX235" t="s">
        <v>309</v>
      </c>
      <c r="AY235">
        <v>31</v>
      </c>
      <c r="AZ235">
        <v>-1.1656000000000004</v>
      </c>
      <c r="BA235">
        <v>-6.8879999999999981</v>
      </c>
      <c r="BB235">
        <v>-8.9600000000000009</v>
      </c>
      <c r="BC235">
        <v>-0.36000000000000015</v>
      </c>
      <c r="BD235">
        <v>-0.38</v>
      </c>
      <c r="BE235">
        <v>-16.439999999999998</v>
      </c>
      <c r="BF235">
        <v>-1.44</v>
      </c>
      <c r="BG235">
        <v>30</v>
      </c>
      <c r="BH235">
        <v>27.5</v>
      </c>
      <c r="BI235">
        <v>3.84</v>
      </c>
      <c r="BJ235">
        <v>1</v>
      </c>
      <c r="BK235">
        <v>5.25</v>
      </c>
      <c r="BL235">
        <v>2</v>
      </c>
      <c r="BM235">
        <v>0.13215249047162195</v>
      </c>
      <c r="BN235">
        <v>1</v>
      </c>
      <c r="BO235">
        <v>2.3905117092749329E-2</v>
      </c>
      <c r="BP235">
        <v>16</v>
      </c>
      <c r="BQ235">
        <v>-3.4239999999999995</v>
      </c>
      <c r="BR235">
        <v>2</v>
      </c>
      <c r="BS235">
        <v>4.68</v>
      </c>
      <c r="BT235">
        <v>-1.6000000000000028</v>
      </c>
      <c r="BU235">
        <v>-3.72</v>
      </c>
      <c r="BV235">
        <v>1.1200000000000001</v>
      </c>
      <c r="BW235">
        <v>-31.079999999999995</v>
      </c>
      <c r="BX235">
        <v>-17.640000000000004</v>
      </c>
      <c r="BY235">
        <v>-9.56</v>
      </c>
      <c r="BZ235">
        <v>2.12</v>
      </c>
      <c r="CA235">
        <v>-6</v>
      </c>
      <c r="CB235">
        <v>6</v>
      </c>
      <c r="CC235">
        <v>5.7223999999999986</v>
      </c>
      <c r="CD235">
        <v>3.134879999999999</v>
      </c>
      <c r="CE235">
        <v>-8.0800000000000036</v>
      </c>
      <c r="CF235">
        <v>-1.4892000000000001</v>
      </c>
    </row>
    <row r="236" spans="1:84" x14ac:dyDescent="0.2">
      <c r="A236" s="39">
        <v>43793</v>
      </c>
      <c r="B236" s="22" t="s">
        <v>242</v>
      </c>
      <c r="C236" s="41" t="s">
        <v>281</v>
      </c>
      <c r="D236" s="22" t="s">
        <v>293</v>
      </c>
      <c r="E236">
        <v>20.399999999999999</v>
      </c>
      <c r="F236">
        <v>39.799999999999997</v>
      </c>
      <c r="G236">
        <v>0</v>
      </c>
      <c r="H236">
        <v>5.8</v>
      </c>
      <c r="I236">
        <v>-11</v>
      </c>
      <c r="J236">
        <v>45.5</v>
      </c>
      <c r="K236" s="20" t="s">
        <v>109</v>
      </c>
      <c r="L236" s="1" t="s">
        <v>281</v>
      </c>
      <c r="M236">
        <v>6</v>
      </c>
      <c r="N236">
        <v>3.9551999999999992</v>
      </c>
      <c r="O236">
        <v>6.4719999999999995</v>
      </c>
      <c r="P236">
        <v>23.36</v>
      </c>
      <c r="Q236">
        <v>2.2400000000000002</v>
      </c>
      <c r="R236">
        <v>6.0560000000000009</v>
      </c>
      <c r="S236">
        <v>22.96</v>
      </c>
      <c r="T236">
        <v>0.55999999999999961</v>
      </c>
      <c r="U236">
        <v>4</v>
      </c>
      <c r="V236">
        <v>7</v>
      </c>
      <c r="W236">
        <v>-0.8</v>
      </c>
      <c r="X236">
        <v>30</v>
      </c>
      <c r="Y236">
        <v>29</v>
      </c>
      <c r="Z236">
        <v>31</v>
      </c>
      <c r="AA236">
        <v>-6.7870209951148508E-2</v>
      </c>
      <c r="AB236">
        <v>30</v>
      </c>
      <c r="AC236">
        <v>-1.5717425598831481E-2</v>
      </c>
      <c r="AD236">
        <v>24</v>
      </c>
      <c r="AE236">
        <v>1.3200000000000016</v>
      </c>
      <c r="AF236">
        <v>31</v>
      </c>
      <c r="AG236">
        <v>-3.2800000000000002</v>
      </c>
      <c r="AH236">
        <v>4</v>
      </c>
      <c r="AI236">
        <v>4.68</v>
      </c>
      <c r="AJ236">
        <v>-1.36</v>
      </c>
      <c r="AK236">
        <v>42.44</v>
      </c>
      <c r="AL236">
        <v>31.27999999999999</v>
      </c>
      <c r="AM236">
        <v>20.240000000000002</v>
      </c>
      <c r="AN236">
        <v>-3.5200000000000005</v>
      </c>
      <c r="AO236">
        <v>-5.5600000000000005</v>
      </c>
      <c r="AP236">
        <v>21</v>
      </c>
      <c r="AQ236">
        <v>-2.5168000000000008</v>
      </c>
      <c r="AR236">
        <v>-1.2337599999999997</v>
      </c>
      <c r="AS236">
        <v>11.039999999999988</v>
      </c>
      <c r="AT236">
        <v>2.5168000000000004</v>
      </c>
      <c r="AU236">
        <v>2.2503999999999995</v>
      </c>
      <c r="AV236">
        <v>1.2338500000000001</v>
      </c>
      <c r="AW236">
        <v>0.10157500000000008</v>
      </c>
      <c r="AX236" t="s">
        <v>293</v>
      </c>
      <c r="AY236">
        <v>2</v>
      </c>
      <c r="AZ236">
        <v>2.1</v>
      </c>
      <c r="BA236">
        <v>2.4359999999999995</v>
      </c>
      <c r="BB236">
        <v>12.56</v>
      </c>
      <c r="BC236">
        <v>7.9999999999999932E-2</v>
      </c>
      <c r="BD236">
        <v>10.872999999999999</v>
      </c>
      <c r="BE236">
        <v>35.900000000000006</v>
      </c>
      <c r="BF236">
        <v>4.9800000000000004</v>
      </c>
      <c r="BG236">
        <v>1</v>
      </c>
      <c r="BH236">
        <v>1.5</v>
      </c>
      <c r="BI236">
        <v>-0.40000000000000019</v>
      </c>
      <c r="BJ236">
        <v>31</v>
      </c>
      <c r="BK236">
        <v>29</v>
      </c>
      <c r="BL236">
        <v>29</v>
      </c>
      <c r="BM236">
        <v>-7.7781579150107125E-2</v>
      </c>
      <c r="BN236">
        <v>32</v>
      </c>
      <c r="BO236">
        <v>-3.1676283207522762E-2</v>
      </c>
      <c r="BP236">
        <v>30</v>
      </c>
      <c r="BQ236">
        <v>11.248000000000001</v>
      </c>
      <c r="BR236">
        <v>25</v>
      </c>
      <c r="BS236">
        <v>-2.4</v>
      </c>
      <c r="BT236">
        <v>2.1999999999999984</v>
      </c>
      <c r="BU236">
        <v>5.879999999999999</v>
      </c>
      <c r="BV236">
        <v>-0.96</v>
      </c>
      <c r="BW236">
        <v>45.04</v>
      </c>
      <c r="BX236">
        <v>35.800000000000004</v>
      </c>
      <c r="BY236">
        <v>13.679999999999998</v>
      </c>
      <c r="BZ236">
        <v>-1.44</v>
      </c>
      <c r="CA236">
        <v>-2.9999999999999996</v>
      </c>
      <c r="CB236">
        <v>19</v>
      </c>
      <c r="CC236">
        <v>-0.33599999999999958</v>
      </c>
      <c r="CD236">
        <v>1.3766000000000005</v>
      </c>
      <c r="CE236">
        <v>22.120000000000005</v>
      </c>
      <c r="CF236">
        <v>2.3661250000000003</v>
      </c>
    </row>
    <row r="237" spans="1:84" x14ac:dyDescent="0.2">
      <c r="A237" s="39">
        <v>43793</v>
      </c>
      <c r="B237" s="22" t="s">
        <v>242</v>
      </c>
      <c r="C237" s="41" t="s">
        <v>291</v>
      </c>
      <c r="D237" s="22" t="s">
        <v>302</v>
      </c>
      <c r="E237">
        <v>0</v>
      </c>
      <c r="F237">
        <v>9.5</v>
      </c>
      <c r="G237">
        <v>12.6</v>
      </c>
      <c r="H237">
        <v>6.2</v>
      </c>
      <c r="I237">
        <v>5.5</v>
      </c>
      <c r="J237">
        <v>44.5</v>
      </c>
      <c r="K237" t="s">
        <v>109</v>
      </c>
      <c r="L237" s="1" t="s">
        <v>291</v>
      </c>
      <c r="M237">
        <v>3</v>
      </c>
      <c r="N237">
        <v>5.8367999999999993</v>
      </c>
      <c r="O237">
        <v>2.596000000000001</v>
      </c>
      <c r="P237">
        <v>12.608000000000001</v>
      </c>
      <c r="Q237">
        <v>0.32000000000000012</v>
      </c>
      <c r="R237">
        <v>15.9072</v>
      </c>
      <c r="S237">
        <v>81.88</v>
      </c>
      <c r="T237">
        <v>5.9600000000000009</v>
      </c>
      <c r="U237">
        <v>11</v>
      </c>
      <c r="V237">
        <v>9.5</v>
      </c>
      <c r="W237">
        <v>0.44000000000000022</v>
      </c>
      <c r="X237">
        <v>26</v>
      </c>
      <c r="Y237">
        <v>22.25</v>
      </c>
      <c r="Z237">
        <v>18</v>
      </c>
      <c r="AA237">
        <v>-1.7460506268503522E-2</v>
      </c>
      <c r="AB237">
        <v>32</v>
      </c>
      <c r="AC237">
        <v>-4.6426843491096458E-2</v>
      </c>
      <c r="AD237">
        <v>16</v>
      </c>
      <c r="AE237">
        <v>10.98</v>
      </c>
      <c r="AF237">
        <v>23</v>
      </c>
      <c r="AG237">
        <v>-4.5200000000000005</v>
      </c>
      <c r="AH237">
        <v>4.6399999999999988</v>
      </c>
      <c r="AI237">
        <v>6.7200000000000006</v>
      </c>
      <c r="AJ237">
        <v>0</v>
      </c>
      <c r="AK237">
        <v>84.47999999999999</v>
      </c>
      <c r="AL237">
        <v>75.28</v>
      </c>
      <c r="AM237">
        <v>9.0799999999999983</v>
      </c>
      <c r="AN237">
        <v>2</v>
      </c>
      <c r="AO237">
        <v>-1.8800000000000003</v>
      </c>
      <c r="AP237">
        <v>12</v>
      </c>
      <c r="AQ237">
        <v>3.2407999999999983</v>
      </c>
      <c r="AR237">
        <v>3.0507999999999984</v>
      </c>
      <c r="AS237">
        <v>66.2</v>
      </c>
      <c r="AT237">
        <v>-3.2407999999999983</v>
      </c>
      <c r="AU237">
        <v>3.4024999999999994</v>
      </c>
      <c r="AV237">
        <v>-2.9069750000000005</v>
      </c>
      <c r="AW237">
        <v>-1.690175</v>
      </c>
      <c r="AX237" t="s">
        <v>302</v>
      </c>
      <c r="AY237">
        <v>28</v>
      </c>
      <c r="AZ237">
        <v>-9.6712000000000025</v>
      </c>
      <c r="BA237">
        <v>-4.6039999999999992</v>
      </c>
      <c r="BB237">
        <v>4.6000000000000032</v>
      </c>
      <c r="BC237">
        <v>-0.20000000000000009</v>
      </c>
      <c r="BD237">
        <v>-16.195000000000004</v>
      </c>
      <c r="BE237">
        <v>-54.152799999999999</v>
      </c>
      <c r="BF237">
        <v>-0.4200000000000001</v>
      </c>
      <c r="BG237">
        <v>24</v>
      </c>
      <c r="BH237">
        <v>23</v>
      </c>
      <c r="BI237">
        <v>-4.4000000000000004</v>
      </c>
      <c r="BJ237">
        <v>5</v>
      </c>
      <c r="BK237">
        <v>9.75</v>
      </c>
      <c r="BL237">
        <v>1</v>
      </c>
      <c r="BM237">
        <v>7.5295891862391495E-2</v>
      </c>
      <c r="BN237">
        <v>12</v>
      </c>
      <c r="BO237">
        <v>4.1967991927981951E-3</v>
      </c>
      <c r="BP237">
        <v>23</v>
      </c>
      <c r="BQ237">
        <v>-10.671999999999997</v>
      </c>
      <c r="BR237">
        <v>3</v>
      </c>
      <c r="BS237">
        <v>8.76</v>
      </c>
      <c r="BT237">
        <v>-4.240000000000002</v>
      </c>
      <c r="BU237">
        <v>-11.6</v>
      </c>
      <c r="BV237">
        <v>-0.91999999999999993</v>
      </c>
      <c r="BW237">
        <v>-80.400000000000006</v>
      </c>
      <c r="BX237">
        <v>-72.359999999999985</v>
      </c>
      <c r="BY237">
        <v>1.2800000000000011</v>
      </c>
      <c r="BZ237">
        <v>-1.8400000000000003</v>
      </c>
      <c r="CA237">
        <v>-7.4799999999999986</v>
      </c>
      <c r="CB237">
        <v>27</v>
      </c>
      <c r="CC237">
        <v>-5.0672000000000033</v>
      </c>
      <c r="CD237">
        <v>-2.871240000000002</v>
      </c>
      <c r="CE237">
        <v>-73.639999999999986</v>
      </c>
      <c r="CF237">
        <v>-4.1237750000000011</v>
      </c>
    </row>
    <row r="238" spans="1:84" x14ac:dyDescent="0.2">
      <c r="A238" s="39">
        <v>43793</v>
      </c>
      <c r="B238" t="s">
        <v>242</v>
      </c>
      <c r="C238" s="41" t="s">
        <v>278</v>
      </c>
      <c r="D238" t="s">
        <v>276</v>
      </c>
      <c r="E238">
        <v>3.7</v>
      </c>
      <c r="F238">
        <v>1.3</v>
      </c>
      <c r="G238">
        <v>1</v>
      </c>
      <c r="H238">
        <v>7.2</v>
      </c>
      <c r="I238">
        <v>3.5</v>
      </c>
      <c r="J238">
        <v>37</v>
      </c>
      <c r="K238" t="s">
        <v>110</v>
      </c>
      <c r="L238" s="1" t="s">
        <v>278</v>
      </c>
      <c r="M238">
        <v>31</v>
      </c>
      <c r="N238">
        <v>-6.805600000000001</v>
      </c>
      <c r="O238">
        <v>-4.5076000000000018</v>
      </c>
      <c r="P238">
        <v>4.92</v>
      </c>
      <c r="Q238">
        <v>-2.4</v>
      </c>
      <c r="R238">
        <v>-9.3988000000000014</v>
      </c>
      <c r="S238">
        <v>-29.259999999999998</v>
      </c>
      <c r="T238">
        <v>0.54999999999999971</v>
      </c>
      <c r="U238">
        <v>10</v>
      </c>
      <c r="V238">
        <v>9</v>
      </c>
      <c r="W238">
        <v>-0.56000000000000016</v>
      </c>
      <c r="X238">
        <v>22</v>
      </c>
      <c r="Y238">
        <v>20.25</v>
      </c>
      <c r="Z238">
        <v>15</v>
      </c>
      <c r="AA238">
        <v>-1.8806458676438153E-3</v>
      </c>
      <c r="AB238">
        <v>19</v>
      </c>
      <c r="AC238">
        <v>2.9247117281389533E-2</v>
      </c>
      <c r="AD238">
        <v>28</v>
      </c>
      <c r="AE238">
        <v>10.407999999999999</v>
      </c>
      <c r="AF238">
        <v>19</v>
      </c>
      <c r="AG238">
        <v>3.12</v>
      </c>
      <c r="AH238">
        <v>-2.6799999999999997</v>
      </c>
      <c r="AI238">
        <v>-4.76</v>
      </c>
      <c r="AJ238">
        <v>-1.2</v>
      </c>
      <c r="AK238">
        <v>-53.440000000000012</v>
      </c>
      <c r="AL238">
        <v>-57.759999999999991</v>
      </c>
      <c r="AM238">
        <v>6.0799999999999983</v>
      </c>
      <c r="AN238">
        <v>0.48000000000000015</v>
      </c>
      <c r="AO238">
        <v>-2.2399999999999998</v>
      </c>
      <c r="AP238">
        <v>20</v>
      </c>
      <c r="AQ238">
        <v>-2.2979999999999996</v>
      </c>
      <c r="AR238">
        <v>-0.98707999999999885</v>
      </c>
      <c r="AS238">
        <v>-63.839999999999989</v>
      </c>
      <c r="AT238">
        <v>2.2979999999999992</v>
      </c>
      <c r="AU238">
        <v>-2.6989999999999998</v>
      </c>
      <c r="AV238">
        <v>-0.37003750000000002</v>
      </c>
      <c r="AW238">
        <v>-0.71095000000000008</v>
      </c>
      <c r="AX238" t="s">
        <v>276</v>
      </c>
      <c r="AY238">
        <v>24</v>
      </c>
      <c r="AZ238">
        <v>-2.1671999999999989</v>
      </c>
      <c r="BA238">
        <v>6.9640000000000022</v>
      </c>
      <c r="BB238">
        <v>19.328000000000003</v>
      </c>
      <c r="BC238">
        <v>2.4399999999999995</v>
      </c>
      <c r="BD238">
        <v>-3.9098000000000019</v>
      </c>
      <c r="BE238">
        <v>-26.552799999999998</v>
      </c>
      <c r="BF238">
        <v>2.9999999999999361E-2</v>
      </c>
      <c r="BG238">
        <v>32</v>
      </c>
      <c r="BH238">
        <v>32</v>
      </c>
      <c r="BI238">
        <v>-1.9200000000000004</v>
      </c>
      <c r="BJ238">
        <v>7</v>
      </c>
      <c r="BK238">
        <v>12.25</v>
      </c>
      <c r="BL238">
        <v>24</v>
      </c>
      <c r="BM238">
        <v>-8.4803230554293622E-3</v>
      </c>
      <c r="BN238">
        <v>3</v>
      </c>
      <c r="BO238">
        <v>8.8984380267632703E-3</v>
      </c>
      <c r="BP238">
        <v>17</v>
      </c>
      <c r="BQ238">
        <v>-3.0439999999999983</v>
      </c>
      <c r="BR238">
        <v>5</v>
      </c>
      <c r="BS238">
        <v>-1.1999999999999997</v>
      </c>
      <c r="BT238">
        <v>-2.1200000000000019</v>
      </c>
      <c r="BU238">
        <v>-1.0799999999999996</v>
      </c>
      <c r="BV238">
        <v>0.76</v>
      </c>
      <c r="BW238">
        <v>2.8400000000000034</v>
      </c>
      <c r="BX238">
        <v>-13.800000000000006</v>
      </c>
      <c r="BY238">
        <v>16.600000000000001</v>
      </c>
      <c r="BZ238">
        <v>1.6799999999999997</v>
      </c>
      <c r="CA238">
        <v>-1.64</v>
      </c>
      <c r="CB238">
        <v>32</v>
      </c>
      <c r="CC238">
        <v>-9.1311999999999998</v>
      </c>
      <c r="CD238">
        <v>-4.6974000000000018</v>
      </c>
      <c r="CE238">
        <v>-30.400000000000006</v>
      </c>
      <c r="CF238">
        <v>-2.9124999999999984E-2</v>
      </c>
    </row>
    <row r="239" spans="1:84" x14ac:dyDescent="0.2">
      <c r="A239" s="39">
        <v>43793</v>
      </c>
      <c r="B239" s="22" t="s">
        <v>242</v>
      </c>
      <c r="C239" s="41" t="s">
        <v>299</v>
      </c>
      <c r="D239" s="22" t="s">
        <v>306</v>
      </c>
      <c r="E239">
        <v>10.1</v>
      </c>
      <c r="F239">
        <v>9.6</v>
      </c>
      <c r="G239">
        <v>5.0999999999999996</v>
      </c>
      <c r="H239">
        <v>12.1</v>
      </c>
      <c r="I239">
        <v>-4</v>
      </c>
      <c r="J239">
        <v>39</v>
      </c>
      <c r="K239" t="s">
        <v>110</v>
      </c>
      <c r="L239" s="1" t="s">
        <v>299</v>
      </c>
      <c r="M239">
        <v>2</v>
      </c>
      <c r="N239">
        <v>6.3903999999999996</v>
      </c>
      <c r="O239">
        <v>-5.7119999999999997</v>
      </c>
      <c r="P239">
        <v>-21.16</v>
      </c>
      <c r="Q239">
        <v>0</v>
      </c>
      <c r="R239">
        <v>10.091999999999997</v>
      </c>
      <c r="S239">
        <v>52.88</v>
      </c>
      <c r="T239">
        <v>2.3200000000000003</v>
      </c>
      <c r="U239">
        <v>23</v>
      </c>
      <c r="V239">
        <v>22.5</v>
      </c>
      <c r="W239">
        <v>-3.04</v>
      </c>
      <c r="X239">
        <v>5</v>
      </c>
      <c r="Y239">
        <v>9</v>
      </c>
      <c r="Z239">
        <v>6</v>
      </c>
      <c r="AA239">
        <v>4.0004721768602911E-2</v>
      </c>
      <c r="AB239">
        <v>12</v>
      </c>
      <c r="AC239">
        <v>1.7133805050002778E-2</v>
      </c>
      <c r="AD239">
        <v>9</v>
      </c>
      <c r="AE239">
        <v>3.1879999999999979</v>
      </c>
      <c r="AF239">
        <v>9</v>
      </c>
      <c r="AG239">
        <v>2.04</v>
      </c>
      <c r="AH239">
        <v>1.9199999999999988</v>
      </c>
      <c r="AI239">
        <v>7.1054273576010023E-16</v>
      </c>
      <c r="AJ239">
        <v>0.27999999999999997</v>
      </c>
      <c r="AK239">
        <v>45.36</v>
      </c>
      <c r="AL239">
        <v>59.360000000000014</v>
      </c>
      <c r="AM239">
        <v>-18.28</v>
      </c>
      <c r="AN239">
        <v>-2.2800000000000002</v>
      </c>
      <c r="AO239">
        <v>6.5600000000000023</v>
      </c>
      <c r="AP239">
        <v>1</v>
      </c>
      <c r="AQ239">
        <v>12.102399999999998</v>
      </c>
      <c r="AR239">
        <v>6.1524799999999997</v>
      </c>
      <c r="AS239">
        <v>77.640000000000015</v>
      </c>
      <c r="AT239">
        <v>-12.102399999999999</v>
      </c>
      <c r="AU239">
        <v>1.2762999999999995</v>
      </c>
      <c r="AV239">
        <v>0.30522500000000019</v>
      </c>
      <c r="AW239">
        <v>2.4784999999999999</v>
      </c>
      <c r="AX239" t="s">
        <v>306</v>
      </c>
      <c r="AY239">
        <v>22</v>
      </c>
      <c r="AZ239">
        <v>-6.9887999999999977</v>
      </c>
      <c r="BA239">
        <v>0.52040000000000086</v>
      </c>
      <c r="BB239">
        <v>28.839999999999996</v>
      </c>
      <c r="BC239">
        <v>-1.4</v>
      </c>
      <c r="BD239">
        <v>-10.075999999999999</v>
      </c>
      <c r="BE239">
        <v>-28.799999999999997</v>
      </c>
      <c r="BF239">
        <v>-4.4800000000000004</v>
      </c>
      <c r="BG239">
        <v>12</v>
      </c>
      <c r="BH239">
        <v>12.5</v>
      </c>
      <c r="BI239">
        <v>2.04</v>
      </c>
      <c r="BJ239">
        <v>3</v>
      </c>
      <c r="BK239">
        <v>8</v>
      </c>
      <c r="BL239">
        <v>13</v>
      </c>
      <c r="BM239">
        <v>9.2874305157077171E-3</v>
      </c>
      <c r="BN239">
        <v>2</v>
      </c>
      <c r="BO239">
        <v>2.36597011466682E-2</v>
      </c>
      <c r="BP239">
        <v>9</v>
      </c>
      <c r="BQ239">
        <v>-0.53599999999999992</v>
      </c>
      <c r="BR239">
        <v>8</v>
      </c>
      <c r="BS239">
        <v>2.96</v>
      </c>
      <c r="BT239">
        <v>1.1199999999999974</v>
      </c>
      <c r="BU239">
        <v>-5</v>
      </c>
      <c r="BV239">
        <v>-1.56</v>
      </c>
      <c r="BW239">
        <v>-14.760000000000002</v>
      </c>
      <c r="BX239">
        <v>-44.11999999999999</v>
      </c>
      <c r="BY239">
        <v>29.079999999999995</v>
      </c>
      <c r="BZ239">
        <v>-3.4</v>
      </c>
      <c r="CA239">
        <v>3.6799999999999997</v>
      </c>
      <c r="CB239">
        <v>30</v>
      </c>
      <c r="CC239">
        <v>-7.509199999999999</v>
      </c>
      <c r="CD239">
        <v>-3.6731599999999993</v>
      </c>
      <c r="CE239">
        <v>-73.199999999999989</v>
      </c>
      <c r="CF239">
        <v>-1.8680499999999995</v>
      </c>
    </row>
    <row r="240" spans="1:84" x14ac:dyDescent="0.2">
      <c r="A240" s="39">
        <v>43793</v>
      </c>
      <c r="B240" s="22" t="s">
        <v>242</v>
      </c>
      <c r="C240" s="41" t="s">
        <v>300</v>
      </c>
      <c r="D240" s="22" t="s">
        <v>256</v>
      </c>
      <c r="E240">
        <v>19.3</v>
      </c>
      <c r="F240">
        <v>3.9</v>
      </c>
      <c r="G240">
        <v>3.8</v>
      </c>
      <c r="H240">
        <f>2.8+1.7</f>
        <v>4.5</v>
      </c>
      <c r="I240">
        <v>3</v>
      </c>
      <c r="J240">
        <v>48</v>
      </c>
      <c r="L240" s="1" t="s">
        <v>300</v>
      </c>
      <c r="M240">
        <v>8</v>
      </c>
      <c r="N240">
        <v>3.6583999999999994</v>
      </c>
      <c r="O240">
        <v>5.2884000000000011</v>
      </c>
      <c r="P240">
        <v>-10.440000000000001</v>
      </c>
      <c r="Q240">
        <v>1.1599999999999999</v>
      </c>
      <c r="R240">
        <v>-4.0800000000000018</v>
      </c>
      <c r="S240">
        <v>-16.919999999999995</v>
      </c>
      <c r="T240">
        <v>-2.76</v>
      </c>
      <c r="U240">
        <v>31</v>
      </c>
      <c r="V240">
        <v>31</v>
      </c>
      <c r="W240">
        <v>-3.84</v>
      </c>
      <c r="X240">
        <v>16</v>
      </c>
      <c r="Y240">
        <v>14.5</v>
      </c>
      <c r="Z240">
        <v>17</v>
      </c>
      <c r="AA240">
        <v>-2.186606896517318E-2</v>
      </c>
      <c r="AB240">
        <v>14</v>
      </c>
      <c r="AC240">
        <v>-9.6942671285626964E-3</v>
      </c>
      <c r="AD240">
        <v>3</v>
      </c>
      <c r="AE240">
        <v>-3.3919999999999986</v>
      </c>
      <c r="AF240">
        <v>24</v>
      </c>
      <c r="AG240">
        <v>-3.72</v>
      </c>
      <c r="AH240">
        <v>-3.2800000000000011</v>
      </c>
      <c r="AI240">
        <v>0.4799999999999997</v>
      </c>
      <c r="AJ240">
        <v>-1.48</v>
      </c>
      <c r="AK240">
        <v>-13.920000000000005</v>
      </c>
      <c r="AL240">
        <v>10.160000000000007</v>
      </c>
      <c r="AM240">
        <v>-16.200000000000003</v>
      </c>
      <c r="AN240">
        <v>-0.11999999999999993</v>
      </c>
      <c r="AO240">
        <v>-7.76</v>
      </c>
      <c r="AP240">
        <v>18</v>
      </c>
      <c r="AQ240">
        <v>-1.6300000000000017</v>
      </c>
      <c r="AR240">
        <v>-2.7285200000000009</v>
      </c>
      <c r="AS240">
        <v>26.36000000000001</v>
      </c>
      <c r="AT240">
        <v>1.6300000000000017</v>
      </c>
      <c r="AU240">
        <v>0.39334999999999976</v>
      </c>
      <c r="AV240">
        <v>-0.44383749999999977</v>
      </c>
      <c r="AW240">
        <v>1.1947750000000006</v>
      </c>
      <c r="AX240" t="s">
        <v>256</v>
      </c>
      <c r="AY240">
        <v>22</v>
      </c>
      <c r="AZ240">
        <v>-3.029599999999999</v>
      </c>
      <c r="BA240">
        <v>-4.1099999999999985</v>
      </c>
      <c r="BB240">
        <v>-0.83999999999999986</v>
      </c>
      <c r="BC240">
        <v>-1.9999999999999796E-2</v>
      </c>
      <c r="BD240">
        <v>-7.6400000000000006</v>
      </c>
      <c r="BE240">
        <v>-49.24</v>
      </c>
      <c r="BF240">
        <v>-0.36000000000000026</v>
      </c>
      <c r="BG240">
        <v>18</v>
      </c>
      <c r="BH240">
        <v>20</v>
      </c>
      <c r="BI240">
        <v>-0.80000000000000016</v>
      </c>
      <c r="BJ240">
        <v>13</v>
      </c>
      <c r="BK240">
        <v>14.75</v>
      </c>
      <c r="BL240">
        <v>23</v>
      </c>
      <c r="BM240">
        <v>-1.0224930424006162E-2</v>
      </c>
      <c r="BN240">
        <v>8</v>
      </c>
      <c r="BO240">
        <v>3.6541286887413475E-2</v>
      </c>
      <c r="BP240">
        <v>24</v>
      </c>
      <c r="BQ240">
        <v>3.0799999999999996</v>
      </c>
      <c r="BR240">
        <v>4</v>
      </c>
      <c r="BS240">
        <v>4.160000000000001</v>
      </c>
      <c r="BT240">
        <v>2.4</v>
      </c>
      <c r="BU240">
        <v>-4.16</v>
      </c>
      <c r="BV240">
        <v>1.44</v>
      </c>
      <c r="BW240">
        <v>-34.36</v>
      </c>
      <c r="BX240">
        <v>-53.440000000000012</v>
      </c>
      <c r="BY240">
        <v>7.1599999999999993</v>
      </c>
      <c r="BZ240">
        <v>0.96000000000000052</v>
      </c>
      <c r="CA240">
        <v>10.96</v>
      </c>
      <c r="CB240">
        <v>16</v>
      </c>
      <c r="CC240">
        <v>1.0803999999999996</v>
      </c>
      <c r="CD240">
        <v>-7.8920000000000989E-2</v>
      </c>
      <c r="CE240">
        <v>-60.600000000000009</v>
      </c>
      <c r="CF240">
        <v>-2.0824500000000001</v>
      </c>
    </row>
    <row r="241" spans="1:84" x14ac:dyDescent="0.2">
      <c r="A241" s="39">
        <v>43793</v>
      </c>
      <c r="B241" s="22" t="s">
        <v>242</v>
      </c>
      <c r="C241" s="41" t="s">
        <v>311</v>
      </c>
      <c r="D241" s="22" t="s">
        <v>289</v>
      </c>
      <c r="E241">
        <v>27.4</v>
      </c>
      <c r="F241" s="14">
        <v>24</v>
      </c>
      <c r="G241">
        <v>1.6</v>
      </c>
      <c r="H241">
        <f>5.6+3.4</f>
        <v>9</v>
      </c>
      <c r="I241">
        <v>3.5</v>
      </c>
      <c r="J241">
        <v>46</v>
      </c>
      <c r="L241" s="4" t="s">
        <v>311</v>
      </c>
      <c r="M241" s="3">
        <v>13</v>
      </c>
      <c r="N241" s="3">
        <v>2.2936000000000001</v>
      </c>
      <c r="O241">
        <v>-1.1480000000000001</v>
      </c>
      <c r="P241">
        <v>17.239999999999998</v>
      </c>
      <c r="Q241">
        <v>-2.7600000000000002</v>
      </c>
      <c r="R241">
        <v>11.318999999999997</v>
      </c>
      <c r="S241">
        <v>30.49</v>
      </c>
      <c r="T241">
        <v>1.75</v>
      </c>
      <c r="U241">
        <v>22</v>
      </c>
      <c r="V241">
        <v>20.5</v>
      </c>
      <c r="W241">
        <v>-2.44</v>
      </c>
      <c r="X241">
        <v>20</v>
      </c>
      <c r="Y241">
        <v>17.5</v>
      </c>
      <c r="Z241">
        <v>1</v>
      </c>
      <c r="AA241">
        <v>-2.1989971385540262E-3</v>
      </c>
      <c r="AB241">
        <v>24</v>
      </c>
      <c r="AC241">
        <v>5.7623190563600574E-3</v>
      </c>
      <c r="AD241">
        <v>15</v>
      </c>
      <c r="AE241">
        <v>-5.452</v>
      </c>
      <c r="AF241">
        <v>30</v>
      </c>
      <c r="AG241">
        <v>-2.4800000000000004</v>
      </c>
      <c r="AH241">
        <v>1</v>
      </c>
      <c r="AI241">
        <v>1.8400000000000003</v>
      </c>
      <c r="AJ241">
        <v>-0.83999999999999986</v>
      </c>
      <c r="AK241">
        <v>47.319999999999993</v>
      </c>
      <c r="AL241">
        <v>20.840000000000003</v>
      </c>
      <c r="AM241">
        <v>16.359999999999996</v>
      </c>
      <c r="AN241">
        <v>-1.7600000000000002</v>
      </c>
      <c r="AO241">
        <v>11.879999999999999</v>
      </c>
      <c r="AP241">
        <v>11</v>
      </c>
      <c r="AQ241">
        <v>3.4415999999999998</v>
      </c>
      <c r="AR241">
        <v>3.2965200000000001</v>
      </c>
      <c r="AS241">
        <v>4.4800000000000075</v>
      </c>
      <c r="AT241">
        <v>-3.4416000000000002</v>
      </c>
      <c r="AU241">
        <v>1.6530749999999999</v>
      </c>
      <c r="AV241">
        <v>0.32943750000000016</v>
      </c>
      <c r="AW241">
        <v>1.0983500000000004</v>
      </c>
      <c r="AX241" t="s">
        <v>289</v>
      </c>
      <c r="AY241">
        <v>25</v>
      </c>
      <c r="AZ241">
        <v>-1.4399999999999986</v>
      </c>
      <c r="BA241">
        <v>-0.94000000000000106</v>
      </c>
      <c r="BB241">
        <v>-8.0000000000000036</v>
      </c>
      <c r="BC241">
        <v>0.96000000000000008</v>
      </c>
      <c r="BD241">
        <v>-2.7758000000000003</v>
      </c>
      <c r="BE241">
        <v>-2.2199999999999984</v>
      </c>
      <c r="BF241">
        <v>-1.7000000000000002</v>
      </c>
      <c r="BG241">
        <v>5</v>
      </c>
      <c r="BH241">
        <v>4.5</v>
      </c>
      <c r="BI241">
        <v>1.72</v>
      </c>
      <c r="BJ241">
        <v>28</v>
      </c>
      <c r="BK241">
        <v>23</v>
      </c>
      <c r="BL241">
        <v>27</v>
      </c>
      <c r="BM241">
        <v>-2.9282481809458784E-2</v>
      </c>
      <c r="BN241">
        <v>18</v>
      </c>
      <c r="BO241">
        <v>-2.7927212841673876E-2</v>
      </c>
      <c r="BP241">
        <v>26</v>
      </c>
      <c r="BQ241">
        <v>8.892000000000003</v>
      </c>
      <c r="BR241">
        <v>21</v>
      </c>
      <c r="BS241">
        <v>-1.6799999999999997</v>
      </c>
      <c r="BT241">
        <v>-3.8</v>
      </c>
      <c r="BU241">
        <v>-0.88000000000000045</v>
      </c>
      <c r="BV241">
        <v>0.2</v>
      </c>
      <c r="BW241">
        <v>-28.79999999999999</v>
      </c>
      <c r="BX241">
        <v>-8.8000000000000007</v>
      </c>
      <c r="BY241">
        <v>-10.639999999999997</v>
      </c>
      <c r="BZ241">
        <v>-1.56</v>
      </c>
      <c r="CA241">
        <v>-7.8</v>
      </c>
      <c r="CB241">
        <v>20</v>
      </c>
      <c r="CC241">
        <v>-0.49999999999999756</v>
      </c>
      <c r="CD241">
        <v>-0.37315999999999927</v>
      </c>
      <c r="CE241">
        <v>1.8399999999999963</v>
      </c>
      <c r="CF241">
        <v>-0.43947500000000006</v>
      </c>
    </row>
    <row r="242" spans="1:84" x14ac:dyDescent="0.2">
      <c r="A242" s="39">
        <v>43793</v>
      </c>
      <c r="B242" s="22" t="s">
        <v>242</v>
      </c>
      <c r="C242" s="41" t="s">
        <v>289</v>
      </c>
      <c r="D242" s="22" t="s">
        <v>311</v>
      </c>
      <c r="E242">
        <v>4.8</v>
      </c>
      <c r="F242">
        <v>2.2000000000000002</v>
      </c>
      <c r="G242">
        <v>0</v>
      </c>
      <c r="H242">
        <f>8.4+5.8</f>
        <v>14.2</v>
      </c>
      <c r="I242">
        <v>-3.5</v>
      </c>
      <c r="J242">
        <v>46</v>
      </c>
      <c r="L242" s="1" t="s">
        <v>289</v>
      </c>
      <c r="M242">
        <v>29</v>
      </c>
      <c r="N242">
        <v>-5.7368000000000006</v>
      </c>
      <c r="O242">
        <v>5.3199999999999994</v>
      </c>
      <c r="P242">
        <v>33.080000000000005</v>
      </c>
      <c r="Q242">
        <v>-0.3600000000000001</v>
      </c>
      <c r="R242">
        <v>-12.468</v>
      </c>
      <c r="S242">
        <v>-46.73</v>
      </c>
      <c r="T242">
        <v>-2.3800000000000003</v>
      </c>
      <c r="U242">
        <v>19</v>
      </c>
      <c r="V242">
        <v>19.5</v>
      </c>
      <c r="W242">
        <v>-1.6799999999999997</v>
      </c>
      <c r="X242">
        <v>3</v>
      </c>
      <c r="Y242">
        <v>7.75</v>
      </c>
      <c r="Z242">
        <v>4</v>
      </c>
      <c r="AA242">
        <v>9.418761728330724E-2</v>
      </c>
      <c r="AB242">
        <v>8</v>
      </c>
      <c r="AC242">
        <v>2.2766077466829193E-2</v>
      </c>
      <c r="AD242">
        <v>13</v>
      </c>
      <c r="AE242">
        <v>1.283999999999996</v>
      </c>
      <c r="AF242">
        <v>6</v>
      </c>
      <c r="AG242">
        <v>1.72</v>
      </c>
      <c r="AH242">
        <v>1.3599999999999994</v>
      </c>
      <c r="AI242">
        <v>-2.3200000000000012</v>
      </c>
      <c r="AJ242">
        <v>-0.48000000000000009</v>
      </c>
      <c r="AK242">
        <v>-17.920000000000005</v>
      </c>
      <c r="AL242">
        <v>-54.120000000000005</v>
      </c>
      <c r="AM242">
        <v>34.68</v>
      </c>
      <c r="AN242">
        <v>5.7200000000000006</v>
      </c>
      <c r="AO242">
        <v>-4.2000000000000011</v>
      </c>
      <c r="AP242">
        <v>31</v>
      </c>
      <c r="AQ242">
        <v>-11.056799999999999</v>
      </c>
      <c r="AR242">
        <v>-6.3009599999999999</v>
      </c>
      <c r="AS242">
        <v>-88.800000000000011</v>
      </c>
      <c r="AT242">
        <v>11.056799999999999</v>
      </c>
      <c r="AU242">
        <v>-1.6355999999999999</v>
      </c>
      <c r="AV242">
        <v>0.32943750000000016</v>
      </c>
      <c r="AW242">
        <v>-0.43947500000000006</v>
      </c>
      <c r="AX242" t="s">
        <v>311</v>
      </c>
      <c r="AY242">
        <v>6</v>
      </c>
      <c r="AZ242">
        <v>4.3848000000000003</v>
      </c>
      <c r="BA242">
        <v>-0.20399999999999929</v>
      </c>
      <c r="BB242">
        <v>-15</v>
      </c>
      <c r="BC242">
        <v>0.7200000000000002</v>
      </c>
      <c r="BD242">
        <v>5.9660000000000002</v>
      </c>
      <c r="BE242">
        <v>27.439999999999998</v>
      </c>
      <c r="BF242">
        <v>1.5099999999999996</v>
      </c>
      <c r="BG242">
        <v>22</v>
      </c>
      <c r="BH242">
        <v>21.5</v>
      </c>
      <c r="BI242">
        <v>-2.4800000000000004</v>
      </c>
      <c r="BJ242">
        <v>27</v>
      </c>
      <c r="BK242">
        <v>22.75</v>
      </c>
      <c r="BL242">
        <v>31</v>
      </c>
      <c r="BM242">
        <v>-7.785657970867868E-2</v>
      </c>
      <c r="BN242">
        <v>30</v>
      </c>
      <c r="BO242">
        <v>-3.5662405549610553E-2</v>
      </c>
      <c r="BP242">
        <v>2</v>
      </c>
      <c r="BQ242">
        <v>-11.480000000000004</v>
      </c>
      <c r="BR242">
        <v>28</v>
      </c>
      <c r="BS242">
        <v>-2.44</v>
      </c>
      <c r="BT242">
        <v>-0.92000000000000171</v>
      </c>
      <c r="BU242">
        <v>0.83999999999999986</v>
      </c>
      <c r="BV242">
        <v>-1.7200000000000002</v>
      </c>
      <c r="BW242">
        <v>20.719999999999992</v>
      </c>
      <c r="BX242">
        <v>38.96</v>
      </c>
      <c r="BY242">
        <v>-12.039999999999997</v>
      </c>
      <c r="BZ242">
        <v>-6.32</v>
      </c>
      <c r="CA242">
        <v>0.12000000000000099</v>
      </c>
      <c r="CB242">
        <v>7</v>
      </c>
      <c r="CC242">
        <v>4.5888</v>
      </c>
      <c r="CD242">
        <v>2.1721599999999999</v>
      </c>
      <c r="CE242">
        <v>51</v>
      </c>
      <c r="CF242">
        <v>1.0983500000000004</v>
      </c>
    </row>
    <row r="243" spans="1:84" x14ac:dyDescent="0.2">
      <c r="A243" s="39">
        <v>43793</v>
      </c>
      <c r="B243" s="22" t="s">
        <v>242</v>
      </c>
      <c r="C243" s="41" t="s">
        <v>297</v>
      </c>
      <c r="D243" s="22" t="s">
        <v>310</v>
      </c>
      <c r="E243">
        <v>10.8</v>
      </c>
      <c r="F243">
        <v>14.9</v>
      </c>
      <c r="G243">
        <v>8.9</v>
      </c>
      <c r="H243">
        <v>7.6</v>
      </c>
      <c r="I243">
        <v>4.5</v>
      </c>
      <c r="J243">
        <v>42</v>
      </c>
      <c r="K243" t="s">
        <v>110</v>
      </c>
      <c r="L243" s="1" t="s">
        <v>297</v>
      </c>
      <c r="M243">
        <v>20</v>
      </c>
      <c r="N243">
        <v>-1.968</v>
      </c>
      <c r="O243">
        <v>2.6399999999999988</v>
      </c>
      <c r="P243">
        <v>-1.7199999999999989</v>
      </c>
      <c r="Q243">
        <v>2.4</v>
      </c>
      <c r="R243">
        <v>-1.2359999999999998</v>
      </c>
      <c r="S243">
        <v>-8.4000000000000021</v>
      </c>
      <c r="T243">
        <v>3.080000000000001</v>
      </c>
      <c r="U243">
        <v>27</v>
      </c>
      <c r="V243">
        <v>27</v>
      </c>
      <c r="W243">
        <v>0.28000000000000008</v>
      </c>
      <c r="X243">
        <v>7</v>
      </c>
      <c r="Y243">
        <v>11.25</v>
      </c>
      <c r="Z243">
        <v>7</v>
      </c>
      <c r="AA243">
        <v>2.0571256805007598E-2</v>
      </c>
      <c r="AB243">
        <v>17</v>
      </c>
      <c r="AC243">
        <v>-1.9511614917143622E-3</v>
      </c>
      <c r="AD243">
        <v>18</v>
      </c>
      <c r="AE243">
        <v>-14.512</v>
      </c>
      <c r="AF243">
        <v>3</v>
      </c>
      <c r="AG243">
        <v>1.52</v>
      </c>
      <c r="AH243">
        <v>5.8400000000000007</v>
      </c>
      <c r="AI243">
        <v>-4.24</v>
      </c>
      <c r="AJ243">
        <v>0.12000000000000002</v>
      </c>
      <c r="AK243">
        <v>22.999999999999989</v>
      </c>
      <c r="AL243">
        <v>18.400000000000006</v>
      </c>
      <c r="AM243">
        <v>-7.4</v>
      </c>
      <c r="AN243">
        <v>4.3600000000000003</v>
      </c>
      <c r="AO243">
        <v>7.6399999999999988</v>
      </c>
      <c r="AP243">
        <v>23</v>
      </c>
      <c r="AQ243">
        <v>-4.6079999999999988</v>
      </c>
      <c r="AR243">
        <v>-1.9607999999999994</v>
      </c>
      <c r="AS243">
        <v>25.800000000000004</v>
      </c>
      <c r="AT243">
        <v>4.6079999999999988</v>
      </c>
      <c r="AU243">
        <v>-0.1005000000000001</v>
      </c>
      <c r="AV243">
        <v>1.2358625000000001</v>
      </c>
      <c r="AW243">
        <v>0.83592499999999981</v>
      </c>
      <c r="AX243" t="s">
        <v>310</v>
      </c>
      <c r="AY243">
        <v>11</v>
      </c>
      <c r="AZ243">
        <v>4.0144000000000002</v>
      </c>
      <c r="BA243">
        <v>2.4400000000000008</v>
      </c>
      <c r="BB243">
        <v>2.6799999999999993</v>
      </c>
      <c r="BC243">
        <v>0.64000000000000012</v>
      </c>
      <c r="BD243">
        <v>5.1519999999999992</v>
      </c>
      <c r="BE243">
        <v>22.720000000000006</v>
      </c>
      <c r="BF243">
        <v>2.6399999999999992</v>
      </c>
      <c r="BG243">
        <v>3</v>
      </c>
      <c r="BH243">
        <v>3.5</v>
      </c>
      <c r="BI243">
        <v>-1.4000000000000001</v>
      </c>
      <c r="BJ243">
        <v>15</v>
      </c>
      <c r="BK243">
        <v>15.75</v>
      </c>
      <c r="BL243">
        <v>16</v>
      </c>
      <c r="BM243">
        <v>3.3336378702793143E-2</v>
      </c>
      <c r="BN243">
        <v>21</v>
      </c>
      <c r="BO243">
        <v>-7.2293233789136064E-3</v>
      </c>
      <c r="BP243">
        <v>13</v>
      </c>
      <c r="BQ243">
        <v>4.5279999999999987</v>
      </c>
      <c r="BR243">
        <v>13</v>
      </c>
      <c r="BS243">
        <v>-0.84000000000000008</v>
      </c>
      <c r="BT243">
        <v>5.6400000000000023</v>
      </c>
      <c r="BU243">
        <v>3.1199999999999997</v>
      </c>
      <c r="BV243">
        <v>-0.91999999999999993</v>
      </c>
      <c r="BW243">
        <v>29.640000000000008</v>
      </c>
      <c r="BX243">
        <v>33.76</v>
      </c>
      <c r="BY243">
        <v>-0.63999999999999768</v>
      </c>
      <c r="BZ243">
        <v>-2.12</v>
      </c>
      <c r="CA243">
        <v>-1.36</v>
      </c>
      <c r="CB243">
        <v>14</v>
      </c>
      <c r="CC243">
        <v>1.5743999999999994</v>
      </c>
      <c r="CD243">
        <v>0.61327999999999938</v>
      </c>
      <c r="CE243">
        <v>34.4</v>
      </c>
      <c r="CF243">
        <v>1.6358000000000001</v>
      </c>
    </row>
    <row r="244" spans="1:84" x14ac:dyDescent="0.2">
      <c r="A244" s="39">
        <v>43793</v>
      </c>
      <c r="B244" s="22" t="s">
        <v>242</v>
      </c>
      <c r="C244" s="41" t="s">
        <v>303</v>
      </c>
      <c r="D244" s="22" t="s">
        <v>298</v>
      </c>
      <c r="E244">
        <v>3.8</v>
      </c>
      <c r="F244">
        <v>6.1</v>
      </c>
      <c r="G244">
        <v>2.5</v>
      </c>
      <c r="H244">
        <v>8.4</v>
      </c>
      <c r="I244">
        <v>-3.5</v>
      </c>
      <c r="J244">
        <v>45</v>
      </c>
      <c r="L244" s="1" t="s">
        <v>303</v>
      </c>
      <c r="M244">
        <v>28</v>
      </c>
      <c r="N244">
        <v>-4.5152000000000001</v>
      </c>
      <c r="O244">
        <v>0.69600000000000128</v>
      </c>
      <c r="P244">
        <v>6.0080000000000027</v>
      </c>
      <c r="Q244">
        <v>1.1199999999999999</v>
      </c>
      <c r="R244">
        <v>-6.4320000000000022</v>
      </c>
      <c r="S244">
        <v>-28.039999999999996</v>
      </c>
      <c r="T244">
        <v>-2.3200000000000003</v>
      </c>
      <c r="U244">
        <v>19</v>
      </c>
      <c r="V244">
        <v>19.5</v>
      </c>
      <c r="W244">
        <v>-0.83999999999999986</v>
      </c>
      <c r="X244">
        <v>19</v>
      </c>
      <c r="Y244">
        <v>17.25</v>
      </c>
      <c r="Z244">
        <v>14</v>
      </c>
      <c r="AA244">
        <v>-4.4063008937547714E-2</v>
      </c>
      <c r="AB244">
        <v>21</v>
      </c>
      <c r="AC244">
        <v>-1.3655752066164151E-2</v>
      </c>
      <c r="AD244">
        <v>32</v>
      </c>
      <c r="AE244">
        <v>20.04</v>
      </c>
      <c r="AF244">
        <v>2</v>
      </c>
      <c r="AG244">
        <v>0.47999999999999987</v>
      </c>
      <c r="AH244">
        <v>-2.72</v>
      </c>
      <c r="AI244">
        <v>-2.8800000000000003</v>
      </c>
      <c r="AJ244">
        <v>-0.16000000000000017</v>
      </c>
      <c r="AK244">
        <v>-13.440000000000008</v>
      </c>
      <c r="AL244">
        <v>-9.6799999999999962</v>
      </c>
      <c r="AM244">
        <v>10.120000000000001</v>
      </c>
      <c r="AN244">
        <v>2.6799999999999997</v>
      </c>
      <c r="AO244">
        <v>-16.559999999999999</v>
      </c>
      <c r="AP244">
        <v>26</v>
      </c>
      <c r="AQ244">
        <v>-5.2112000000000016</v>
      </c>
      <c r="AR244">
        <v>-2.537440000000001</v>
      </c>
      <c r="AS244">
        <v>-19.799999999999997</v>
      </c>
      <c r="AT244">
        <v>5.2112000000000016</v>
      </c>
      <c r="AU244">
        <v>-1.3364</v>
      </c>
      <c r="AV244">
        <v>0.91625000000000012</v>
      </c>
      <c r="AW244">
        <v>0.69310000000000005</v>
      </c>
      <c r="AX244" t="s">
        <v>298</v>
      </c>
      <c r="AY244">
        <v>9</v>
      </c>
      <c r="AZ244">
        <v>4.4552000000000005</v>
      </c>
      <c r="BA244">
        <v>-3.4959999999999991</v>
      </c>
      <c r="BB244">
        <v>-19.431999999999995</v>
      </c>
      <c r="BC244">
        <v>0.35999999999999988</v>
      </c>
      <c r="BD244">
        <v>8.9960000000000022</v>
      </c>
      <c r="BE244">
        <v>22.880000000000003</v>
      </c>
      <c r="BF244">
        <v>0.59999999999999976</v>
      </c>
      <c r="BG244">
        <v>24</v>
      </c>
      <c r="BH244">
        <v>23</v>
      </c>
      <c r="BI244">
        <v>-1</v>
      </c>
      <c r="BJ244">
        <v>23</v>
      </c>
      <c r="BK244">
        <v>20</v>
      </c>
      <c r="BL244">
        <v>32</v>
      </c>
      <c r="BM244">
        <v>-3.2843293009734646E-2</v>
      </c>
      <c r="BN244">
        <v>22</v>
      </c>
      <c r="BO244">
        <v>2.1995378772974862E-4</v>
      </c>
      <c r="BP244">
        <v>11</v>
      </c>
      <c r="BQ244">
        <v>4.8080000000000016</v>
      </c>
      <c r="BR244">
        <v>15</v>
      </c>
      <c r="BS244">
        <v>1.2</v>
      </c>
      <c r="BT244">
        <v>1.7599999999999993</v>
      </c>
      <c r="BU244">
        <v>3.3599999999999994</v>
      </c>
      <c r="BV244">
        <v>-1.0799999999999996</v>
      </c>
      <c r="BW244">
        <v>-12.559999999999997</v>
      </c>
      <c r="BX244">
        <v>15.360000000000003</v>
      </c>
      <c r="BY244">
        <v>-20</v>
      </c>
      <c r="BZ244">
        <v>-4.4800000000000004</v>
      </c>
      <c r="CA244">
        <v>-3.44</v>
      </c>
      <c r="CB244">
        <v>3</v>
      </c>
      <c r="CC244">
        <v>7.9512</v>
      </c>
      <c r="CD244">
        <v>4.4382399999999995</v>
      </c>
      <c r="CE244">
        <v>35.36</v>
      </c>
      <c r="CF244">
        <v>1.1394000000000002</v>
      </c>
    </row>
    <row r="245" spans="1:84" x14ac:dyDescent="0.2">
      <c r="A245" s="39">
        <v>43793</v>
      </c>
      <c r="B245" s="22" t="s">
        <v>242</v>
      </c>
      <c r="C245" s="41" t="s">
        <v>304</v>
      </c>
      <c r="D245" s="22" t="s">
        <v>305</v>
      </c>
      <c r="E245" s="14">
        <v>9.5</v>
      </c>
      <c r="F245">
        <v>15.7</v>
      </c>
      <c r="G245">
        <v>5.3</v>
      </c>
      <c r="H245">
        <v>11.3</v>
      </c>
      <c r="I245">
        <v>3.5</v>
      </c>
      <c r="J245">
        <v>47</v>
      </c>
      <c r="L245" s="1" t="s">
        <v>304</v>
      </c>
      <c r="M245">
        <v>21</v>
      </c>
      <c r="N245">
        <v>-2.1367999999999987</v>
      </c>
      <c r="O245">
        <v>-1.9919999999999993</v>
      </c>
      <c r="P245">
        <v>-6.4799999999999969</v>
      </c>
      <c r="Q245">
        <v>-1.6799999999999997</v>
      </c>
      <c r="R245">
        <v>1.6760000000000002</v>
      </c>
      <c r="S245">
        <v>34.76</v>
      </c>
      <c r="T245">
        <v>2.44</v>
      </c>
      <c r="U245">
        <v>16</v>
      </c>
      <c r="V245">
        <v>15.5</v>
      </c>
      <c r="W245">
        <v>2.72</v>
      </c>
      <c r="X245">
        <v>23</v>
      </c>
      <c r="Y245">
        <v>20.5</v>
      </c>
      <c r="Z245">
        <v>32</v>
      </c>
      <c r="AA245">
        <v>-0.11816326875052748</v>
      </c>
      <c r="AB245">
        <v>29</v>
      </c>
      <c r="AC245">
        <v>-3.2856510527490959E-2</v>
      </c>
      <c r="AD245">
        <v>8</v>
      </c>
      <c r="AE245">
        <v>-5.4240000000000039</v>
      </c>
      <c r="AF245">
        <v>13</v>
      </c>
      <c r="AG245">
        <v>-1.4800000000000004</v>
      </c>
      <c r="AH245">
        <v>-2.5599999999999996</v>
      </c>
      <c r="AI245">
        <v>-0.95999999999999941</v>
      </c>
      <c r="AJ245">
        <v>1.3599999999999999</v>
      </c>
      <c r="AK245">
        <v>-7.8799999999999955</v>
      </c>
      <c r="AL245">
        <v>17.28</v>
      </c>
      <c r="AM245">
        <v>-10.040000000000001</v>
      </c>
      <c r="AN245">
        <v>-2.6799999999999997</v>
      </c>
      <c r="AO245">
        <v>-12.440000000000001</v>
      </c>
      <c r="AP245">
        <v>15</v>
      </c>
      <c r="AQ245">
        <v>-0.14479999999999943</v>
      </c>
      <c r="AR245">
        <v>0.90383999999999998</v>
      </c>
      <c r="AS245">
        <v>27.32</v>
      </c>
      <c r="AT245">
        <v>0.14479999999999937</v>
      </c>
      <c r="AU245">
        <v>-0.22659999999999988</v>
      </c>
      <c r="AV245">
        <v>-0.99776249999999989</v>
      </c>
      <c r="AW245">
        <v>5.2774999999999905E-2</v>
      </c>
      <c r="AX245" t="s">
        <v>305</v>
      </c>
      <c r="AY245">
        <v>32</v>
      </c>
      <c r="AZ245">
        <v>-5.5743999999999998</v>
      </c>
      <c r="BA245">
        <v>-3.5519999999999996</v>
      </c>
      <c r="BB245">
        <v>-11.24</v>
      </c>
      <c r="BC245">
        <v>-0.35999999999999988</v>
      </c>
      <c r="BD245">
        <v>-6.3399999999999981</v>
      </c>
      <c r="BE245">
        <v>-24.24</v>
      </c>
      <c r="BF245">
        <v>1.7199999999999998</v>
      </c>
      <c r="BG245">
        <v>23</v>
      </c>
      <c r="BH245">
        <v>22.5</v>
      </c>
      <c r="BI245">
        <v>-8.1999999999999993</v>
      </c>
      <c r="BJ245">
        <v>5</v>
      </c>
      <c r="BK245">
        <v>9.75</v>
      </c>
      <c r="BL245">
        <v>15</v>
      </c>
      <c r="BM245">
        <v>3.8742054837296688E-2</v>
      </c>
      <c r="BN245">
        <v>8</v>
      </c>
      <c r="BO245">
        <v>2.6151649183382116E-3</v>
      </c>
      <c r="BP245">
        <v>15</v>
      </c>
      <c r="BQ245">
        <v>-8.5480000000000018</v>
      </c>
      <c r="BR245">
        <v>1</v>
      </c>
      <c r="BS245">
        <v>7.4800000000000013</v>
      </c>
      <c r="BT245">
        <v>-2.1200000000000019</v>
      </c>
      <c r="BU245">
        <v>-6.16</v>
      </c>
      <c r="BV245">
        <v>-1.28</v>
      </c>
      <c r="BW245">
        <v>-42.279999999999987</v>
      </c>
      <c r="BX245">
        <v>-26.560000000000002</v>
      </c>
      <c r="BY245">
        <v>-11.919999999999998</v>
      </c>
      <c r="BZ245">
        <v>-0.96000000000000019</v>
      </c>
      <c r="CA245">
        <v>-2.84</v>
      </c>
      <c r="CB245">
        <v>23</v>
      </c>
      <c r="CC245">
        <v>-2.0223999999999998</v>
      </c>
      <c r="CD245">
        <v>-0.60687999999999942</v>
      </c>
      <c r="CE245">
        <v>-14.640000000000004</v>
      </c>
      <c r="CF245">
        <v>-2.0482999999999998</v>
      </c>
    </row>
    <row r="246" spans="1:84" x14ac:dyDescent="0.2">
      <c r="A246" s="39">
        <v>43793</v>
      </c>
      <c r="B246" s="22" t="s">
        <v>242</v>
      </c>
      <c r="C246" s="41" t="s">
        <v>293</v>
      </c>
      <c r="D246" s="22" t="s">
        <v>281</v>
      </c>
      <c r="E246">
        <v>15.1</v>
      </c>
      <c r="F246">
        <v>14.2</v>
      </c>
      <c r="G246">
        <v>9.6999999999999993</v>
      </c>
      <c r="H246">
        <v>11.8</v>
      </c>
      <c r="I246">
        <v>11</v>
      </c>
      <c r="J246">
        <v>45.5</v>
      </c>
      <c r="K246" s="20" t="s">
        <v>109</v>
      </c>
      <c r="L246" s="1" t="s">
        <v>293</v>
      </c>
      <c r="M246">
        <v>12</v>
      </c>
      <c r="N246">
        <v>2.3383999999999991</v>
      </c>
      <c r="O246">
        <v>-5.088000000000001</v>
      </c>
      <c r="P246">
        <v>-36.719999999999992</v>
      </c>
      <c r="Q246">
        <v>4.0000000000000036E-2</v>
      </c>
      <c r="R246">
        <v>3.8659999999999997</v>
      </c>
      <c r="S246">
        <v>13.500000000000005</v>
      </c>
      <c r="T246">
        <v>0.95</v>
      </c>
      <c r="U246">
        <v>13</v>
      </c>
      <c r="V246">
        <v>12</v>
      </c>
      <c r="W246">
        <v>-2.4</v>
      </c>
      <c r="X246">
        <v>16</v>
      </c>
      <c r="Y246">
        <v>14.5</v>
      </c>
      <c r="Z246">
        <v>12</v>
      </c>
      <c r="AA246">
        <v>7.7048958308870985E-3</v>
      </c>
      <c r="AB246">
        <v>10</v>
      </c>
      <c r="AC246">
        <v>1.2999234356601951E-2</v>
      </c>
      <c r="AD246">
        <v>14</v>
      </c>
      <c r="AE246">
        <v>-2.5440000000000014</v>
      </c>
      <c r="AF246">
        <v>22</v>
      </c>
      <c r="AG246">
        <v>-0.40000000000000019</v>
      </c>
      <c r="AH246">
        <v>1.4000000000000015</v>
      </c>
      <c r="AI246">
        <v>1.6</v>
      </c>
      <c r="AJ246">
        <v>0.36</v>
      </c>
      <c r="AK246">
        <v>-13.960000000000003</v>
      </c>
      <c r="AL246">
        <v>15.960000000000003</v>
      </c>
      <c r="AM246">
        <v>-35.4</v>
      </c>
      <c r="AN246">
        <v>-4.0000000000000216E-2</v>
      </c>
      <c r="AO246">
        <v>5.5200000000000005</v>
      </c>
      <c r="AP246">
        <v>4</v>
      </c>
      <c r="AQ246">
        <v>7.4263999999999992</v>
      </c>
      <c r="AR246">
        <v>3.7848800000000002</v>
      </c>
      <c r="AS246">
        <v>51.36</v>
      </c>
      <c r="AT246">
        <v>-7.4264000000000001</v>
      </c>
      <c r="AU246">
        <v>0.15454999999999977</v>
      </c>
      <c r="AV246">
        <v>1.2338500000000001</v>
      </c>
      <c r="AW246">
        <v>2.3661250000000003</v>
      </c>
      <c r="AX246" t="s">
        <v>281</v>
      </c>
      <c r="AY246">
        <v>11</v>
      </c>
      <c r="AZ246">
        <v>3.7456000000000005</v>
      </c>
      <c r="BA246">
        <v>-2.484</v>
      </c>
      <c r="BB246">
        <v>-12.000000000000002</v>
      </c>
      <c r="BC246">
        <v>-0.88000000000000012</v>
      </c>
      <c r="BD246">
        <v>1.7109999999999994</v>
      </c>
      <c r="BE246">
        <v>13.66</v>
      </c>
      <c r="BF246">
        <v>8.000000000000014E-2</v>
      </c>
      <c r="BG246">
        <v>29</v>
      </c>
      <c r="BH246">
        <v>27</v>
      </c>
      <c r="BI246">
        <v>-3.2800000000000002</v>
      </c>
      <c r="BJ246">
        <v>9</v>
      </c>
      <c r="BK246">
        <v>12.5</v>
      </c>
      <c r="BL246">
        <v>8</v>
      </c>
      <c r="BM246">
        <v>5.0962088850609377E-2</v>
      </c>
      <c r="BN246">
        <v>16</v>
      </c>
      <c r="BO246">
        <v>4.5602738650104809E-3</v>
      </c>
      <c r="BP246">
        <v>7</v>
      </c>
      <c r="BQ246">
        <v>-6.9880000000000022</v>
      </c>
      <c r="BR246">
        <v>19</v>
      </c>
      <c r="BS246">
        <v>-0.8</v>
      </c>
      <c r="BT246">
        <v>-3.680000000000001</v>
      </c>
      <c r="BU246">
        <v>-0.12000000000000029</v>
      </c>
      <c r="BV246">
        <v>0.44000000000000011</v>
      </c>
      <c r="BW246">
        <v>3.280000000000018</v>
      </c>
      <c r="BX246">
        <v>13.439999999999998</v>
      </c>
      <c r="BY246">
        <v>-14.52</v>
      </c>
      <c r="BZ246">
        <v>-1.6800000000000002</v>
      </c>
      <c r="CA246">
        <v>6.04</v>
      </c>
      <c r="CB246">
        <v>5</v>
      </c>
      <c r="CC246">
        <v>6.2295999999999996</v>
      </c>
      <c r="CD246">
        <v>2.3333200000000001</v>
      </c>
      <c r="CE246">
        <v>27.959999999999997</v>
      </c>
      <c r="CF246">
        <v>0.10157500000000008</v>
      </c>
    </row>
    <row r="247" spans="1:84" x14ac:dyDescent="0.2">
      <c r="A247" s="39">
        <v>43793</v>
      </c>
      <c r="B247" s="22" t="s">
        <v>242</v>
      </c>
      <c r="C247" s="41" t="s">
        <v>302</v>
      </c>
      <c r="D247" s="22" t="s">
        <v>291</v>
      </c>
      <c r="E247">
        <v>17.3</v>
      </c>
      <c r="F247">
        <v>11.4</v>
      </c>
      <c r="G247">
        <v>8</v>
      </c>
      <c r="H247">
        <v>1.5</v>
      </c>
      <c r="I247">
        <v>-5.5</v>
      </c>
      <c r="J247">
        <v>44.5</v>
      </c>
      <c r="K247" t="s">
        <v>109</v>
      </c>
      <c r="L247" s="1" t="s">
        <v>302</v>
      </c>
      <c r="M247">
        <v>23</v>
      </c>
      <c r="N247">
        <v>-3.0671999999999997</v>
      </c>
      <c r="O247">
        <v>2.4799999999999995</v>
      </c>
      <c r="P247">
        <v>-8.52</v>
      </c>
      <c r="Q247">
        <v>1.4399999999999997</v>
      </c>
      <c r="R247">
        <v>3.2499999999999991</v>
      </c>
      <c r="S247">
        <v>1.5</v>
      </c>
      <c r="T247">
        <v>3.39</v>
      </c>
      <c r="U247">
        <v>2</v>
      </c>
      <c r="V247">
        <v>5</v>
      </c>
      <c r="W247">
        <v>8.76</v>
      </c>
      <c r="X247">
        <v>27</v>
      </c>
      <c r="Y247">
        <v>23.25</v>
      </c>
      <c r="Z247">
        <v>23</v>
      </c>
      <c r="AA247">
        <v>-4.2842351852465529E-2</v>
      </c>
      <c r="AB247">
        <v>26</v>
      </c>
      <c r="AC247">
        <v>-4.349826192346886E-2</v>
      </c>
      <c r="AD247">
        <v>23</v>
      </c>
      <c r="AE247">
        <v>2.8159999999999967</v>
      </c>
      <c r="AF247">
        <v>21</v>
      </c>
      <c r="AG247">
        <v>-4.4000000000000004</v>
      </c>
      <c r="AH247">
        <v>7.8800000000000008</v>
      </c>
      <c r="AI247">
        <v>2.3999999999999995</v>
      </c>
      <c r="AJ247">
        <v>1.36</v>
      </c>
      <c r="AK247">
        <v>7.0799999999999956</v>
      </c>
      <c r="AL247">
        <v>22.6</v>
      </c>
      <c r="AM247">
        <v>1.4</v>
      </c>
      <c r="AN247">
        <v>2.4</v>
      </c>
      <c r="AO247">
        <v>-19.32</v>
      </c>
      <c r="AP247">
        <v>27</v>
      </c>
      <c r="AQ247">
        <v>-5.5471999999999992</v>
      </c>
      <c r="AR247">
        <v>-1.2034399999999998</v>
      </c>
      <c r="AS247">
        <v>21.200000000000003</v>
      </c>
      <c r="AT247">
        <v>5.5471999999999992</v>
      </c>
      <c r="AU247">
        <v>0.61284999999999967</v>
      </c>
      <c r="AV247">
        <v>-2.9069750000000005</v>
      </c>
      <c r="AW247">
        <v>-4.1237750000000011</v>
      </c>
      <c r="AX247" t="s">
        <v>291</v>
      </c>
      <c r="AY247">
        <v>19</v>
      </c>
      <c r="AZ247">
        <v>-2.3407999999999984</v>
      </c>
      <c r="BA247">
        <v>-1.1395999999999993</v>
      </c>
      <c r="BB247">
        <v>7.0400000000000018</v>
      </c>
      <c r="BC247">
        <v>-0.19999999999999979</v>
      </c>
      <c r="BD247">
        <v>-10.641000000000002</v>
      </c>
      <c r="BE247">
        <v>-45.672800000000002</v>
      </c>
      <c r="BF247">
        <v>-3.6500000000000004</v>
      </c>
      <c r="BG247">
        <v>7</v>
      </c>
      <c r="BH247">
        <v>7</v>
      </c>
      <c r="BI247">
        <v>-4.5200000000000005</v>
      </c>
      <c r="BJ247">
        <v>15</v>
      </c>
      <c r="BK247">
        <v>15.75</v>
      </c>
      <c r="BL247">
        <v>7</v>
      </c>
      <c r="BM247">
        <v>2.9796157057883299E-2</v>
      </c>
      <c r="BN247">
        <v>7</v>
      </c>
      <c r="BO247">
        <v>1.0617288655289797E-4</v>
      </c>
      <c r="BP247">
        <v>28</v>
      </c>
      <c r="BQ247">
        <v>6.5279999999999969</v>
      </c>
      <c r="BR247">
        <v>21</v>
      </c>
      <c r="BS247">
        <v>0.44000000000000022</v>
      </c>
      <c r="BT247">
        <v>-3.2800000000000038</v>
      </c>
      <c r="BU247">
        <v>-1.9199999999999995</v>
      </c>
      <c r="BV247">
        <v>-0.91999999999999993</v>
      </c>
      <c r="BW247">
        <v>-35.879999999999995</v>
      </c>
      <c r="BX247">
        <v>-47.92</v>
      </c>
      <c r="BY247">
        <v>4.24</v>
      </c>
      <c r="BZ247">
        <v>-0.64000000000000012</v>
      </c>
      <c r="CA247">
        <v>8.4400000000000013</v>
      </c>
      <c r="CB247">
        <v>21</v>
      </c>
      <c r="CC247">
        <v>-1.2011999999999992</v>
      </c>
      <c r="CD247">
        <v>-2.0265599999999999</v>
      </c>
      <c r="CE247">
        <v>-52.160000000000004</v>
      </c>
      <c r="CF247">
        <v>-1.690175</v>
      </c>
    </row>
    <row r="248" spans="1:84" x14ac:dyDescent="0.2">
      <c r="A248" s="39">
        <v>43793</v>
      </c>
      <c r="B248" s="22" t="s">
        <v>242</v>
      </c>
      <c r="C248" s="41" t="s">
        <v>307</v>
      </c>
      <c r="D248" s="22" t="s">
        <v>301</v>
      </c>
      <c r="E248">
        <v>29.1</v>
      </c>
      <c r="F248">
        <v>8.3000000000000007</v>
      </c>
      <c r="G248">
        <v>5.8</v>
      </c>
      <c r="H248">
        <v>24.1</v>
      </c>
      <c r="I248">
        <v>-10</v>
      </c>
      <c r="J248">
        <v>46</v>
      </c>
      <c r="L248" s="1" t="s">
        <v>307</v>
      </c>
      <c r="M248">
        <v>11</v>
      </c>
      <c r="N248">
        <v>3.0920000000000019</v>
      </c>
      <c r="O248">
        <v>9.7279999999999998</v>
      </c>
      <c r="P248">
        <v>20.880000000000003</v>
      </c>
      <c r="Q248">
        <v>4.84</v>
      </c>
      <c r="R248">
        <v>0.71600000000000152</v>
      </c>
      <c r="S248">
        <v>-0.51999999999999247</v>
      </c>
      <c r="T248">
        <v>-0.96000000000000008</v>
      </c>
      <c r="U248">
        <v>4</v>
      </c>
      <c r="V248">
        <v>7</v>
      </c>
      <c r="W248">
        <v>-0.96000000000000019</v>
      </c>
      <c r="X248">
        <v>32</v>
      </c>
      <c r="Y248">
        <v>29.5</v>
      </c>
      <c r="Z248">
        <v>30</v>
      </c>
      <c r="AA248">
        <v>-5.6249299717306481E-2</v>
      </c>
      <c r="AB248">
        <v>28</v>
      </c>
      <c r="AC248">
        <v>-1.9710926131177375E-2</v>
      </c>
      <c r="AD248">
        <v>31</v>
      </c>
      <c r="AE248">
        <v>15.455999999999998</v>
      </c>
      <c r="AF248">
        <v>29</v>
      </c>
      <c r="AG248">
        <v>-1.56</v>
      </c>
      <c r="AH248">
        <v>2.2000000000000002</v>
      </c>
      <c r="AI248">
        <v>2.4799999999999991</v>
      </c>
      <c r="AJ248">
        <v>0.11999999999999993</v>
      </c>
      <c r="AK248">
        <v>38.280000000000008</v>
      </c>
      <c r="AL248">
        <v>23.600000000000005</v>
      </c>
      <c r="AM248">
        <v>22.4</v>
      </c>
      <c r="AN248">
        <v>-3.4</v>
      </c>
      <c r="AO248">
        <v>-4.32</v>
      </c>
      <c r="AP248">
        <v>28</v>
      </c>
      <c r="AQ248">
        <v>-6.6359999999999983</v>
      </c>
      <c r="AR248">
        <v>-4.1023999999999994</v>
      </c>
      <c r="AS248">
        <v>1.2000000000000064</v>
      </c>
      <c r="AT248">
        <v>6.6359999999999975</v>
      </c>
      <c r="AU248">
        <v>1.9120000000000006</v>
      </c>
      <c r="AV248">
        <v>0.14551250000000024</v>
      </c>
      <c r="AW248">
        <v>-0.15247499999999986</v>
      </c>
      <c r="AX248" t="s">
        <v>301</v>
      </c>
      <c r="AY248">
        <v>14</v>
      </c>
      <c r="AZ248">
        <v>-2.3159999999999998</v>
      </c>
      <c r="BA248">
        <v>4.9400000000000004</v>
      </c>
      <c r="BB248">
        <v>17.96</v>
      </c>
      <c r="BC248">
        <v>-1.76</v>
      </c>
      <c r="BD248">
        <v>0.88400000000000256</v>
      </c>
      <c r="BE248">
        <v>17.36</v>
      </c>
      <c r="BF248">
        <v>-0.72000000000000042</v>
      </c>
      <c r="BG248">
        <v>10</v>
      </c>
      <c r="BH248">
        <v>11.5</v>
      </c>
      <c r="BI248">
        <v>4.3600000000000003</v>
      </c>
      <c r="BJ248">
        <v>18</v>
      </c>
      <c r="BK248">
        <v>16.25</v>
      </c>
      <c r="BL248">
        <v>18</v>
      </c>
      <c r="BM248">
        <v>-3.5518719973755261E-2</v>
      </c>
      <c r="BN248">
        <v>16</v>
      </c>
      <c r="BO248">
        <v>6.4750453779864135E-3</v>
      </c>
      <c r="BP248">
        <v>8</v>
      </c>
      <c r="BQ248">
        <v>-0.38800000000000096</v>
      </c>
      <c r="BR248">
        <v>23</v>
      </c>
      <c r="BS248">
        <v>-1.5199999999999998</v>
      </c>
      <c r="BT248">
        <v>-1.6800000000000026</v>
      </c>
      <c r="BU248">
        <v>5.7200000000000006</v>
      </c>
      <c r="BV248">
        <v>-7.9999999999999988E-2</v>
      </c>
      <c r="BW248">
        <v>21.919999999999995</v>
      </c>
      <c r="BX248">
        <v>-5.3999999999999941</v>
      </c>
      <c r="BY248">
        <v>26.8</v>
      </c>
      <c r="BZ248">
        <v>2.08</v>
      </c>
      <c r="CA248">
        <v>-1.5599999999999998</v>
      </c>
      <c r="CB248">
        <v>29</v>
      </c>
      <c r="CC248">
        <v>-7.2560000000000002</v>
      </c>
      <c r="CD248">
        <v>-2.7563999999999997</v>
      </c>
      <c r="CE248">
        <v>-32.199999999999996</v>
      </c>
      <c r="CF248">
        <v>0.44350000000000034</v>
      </c>
    </row>
    <row r="249" spans="1:84" x14ac:dyDescent="0.2">
      <c r="A249" s="39">
        <v>43793</v>
      </c>
      <c r="B249" s="22" t="s">
        <v>242</v>
      </c>
      <c r="C249" s="41" t="s">
        <v>296</v>
      </c>
      <c r="D249" s="22" t="s">
        <v>265</v>
      </c>
      <c r="E249">
        <v>8.6999999999999993</v>
      </c>
      <c r="F249">
        <v>12.3</v>
      </c>
      <c r="G249">
        <v>10.7</v>
      </c>
      <c r="H249">
        <v>14.7</v>
      </c>
      <c r="I249">
        <v>6</v>
      </c>
      <c r="J249">
        <v>41</v>
      </c>
      <c r="L249" s="1" t="s">
        <v>296</v>
      </c>
      <c r="M249">
        <v>15</v>
      </c>
      <c r="N249">
        <v>1.7352000000000001</v>
      </c>
      <c r="O249">
        <v>-4.24</v>
      </c>
      <c r="P249">
        <v>-25.512</v>
      </c>
      <c r="Q249">
        <v>-1.2800000000000002</v>
      </c>
      <c r="R249">
        <v>4.7679999999999998</v>
      </c>
      <c r="S249">
        <v>-8.0799999999999965</v>
      </c>
      <c r="T249">
        <v>3.4000000000000004</v>
      </c>
      <c r="U249">
        <v>28</v>
      </c>
      <c r="V249">
        <v>27.5</v>
      </c>
      <c r="W249">
        <v>-1.08</v>
      </c>
      <c r="X249">
        <v>2</v>
      </c>
      <c r="Y249">
        <v>7.5</v>
      </c>
      <c r="Z249">
        <v>3</v>
      </c>
      <c r="AA249">
        <v>5.306971353389224E-2</v>
      </c>
      <c r="AB249">
        <v>16</v>
      </c>
      <c r="AC249">
        <v>3.1522032332894627E-2</v>
      </c>
      <c r="AD249">
        <v>10</v>
      </c>
      <c r="AE249">
        <v>1.1519999999999953</v>
      </c>
      <c r="AF249">
        <v>1</v>
      </c>
      <c r="AG249">
        <v>5.84</v>
      </c>
      <c r="AH249">
        <v>0.7999999999999986</v>
      </c>
      <c r="AI249">
        <v>-1.4800000000000004</v>
      </c>
      <c r="AJ249">
        <v>0.48000000000000009</v>
      </c>
      <c r="AK249">
        <v>-19.159999999999989</v>
      </c>
      <c r="AL249">
        <v>-10.719999999999999</v>
      </c>
      <c r="AM249">
        <v>-28.759999999999998</v>
      </c>
      <c r="AN249">
        <v>6</v>
      </c>
      <c r="AO249">
        <v>14.319999999999999</v>
      </c>
      <c r="AP249">
        <v>6</v>
      </c>
      <c r="AQ249">
        <v>5.9752000000000001</v>
      </c>
      <c r="AR249">
        <v>3.4206400000000001</v>
      </c>
      <c r="AS249">
        <v>18.04</v>
      </c>
      <c r="AT249">
        <v>-5.9752000000000001</v>
      </c>
      <c r="AU249">
        <v>-1.7099999999999949E-2</v>
      </c>
      <c r="AV249">
        <v>-0.59687500000000004</v>
      </c>
      <c r="AW249">
        <v>0.30087499999999995</v>
      </c>
      <c r="AX249" t="s">
        <v>265</v>
      </c>
      <c r="AY249">
        <v>29</v>
      </c>
      <c r="AZ249">
        <v>-4.3360000000000003</v>
      </c>
      <c r="BA249">
        <v>-0.70399999999999952</v>
      </c>
      <c r="BB249">
        <v>4.0000000000001812E-2</v>
      </c>
      <c r="BC249">
        <v>-0.48000000000000004</v>
      </c>
      <c r="BD249">
        <v>-6.3569999999999993</v>
      </c>
      <c r="BE249">
        <v>-28.472799999999996</v>
      </c>
      <c r="BF249">
        <v>-0.37000000000000011</v>
      </c>
      <c r="BG249">
        <v>15</v>
      </c>
      <c r="BH249">
        <v>13</v>
      </c>
      <c r="BI249">
        <v>0.6399999999999999</v>
      </c>
      <c r="BJ249">
        <v>32</v>
      </c>
      <c r="BK249">
        <v>29.25</v>
      </c>
      <c r="BL249">
        <v>28</v>
      </c>
      <c r="BM249">
        <v>-3.9958220531938649E-2</v>
      </c>
      <c r="BN249">
        <v>29</v>
      </c>
      <c r="BO249">
        <v>-3.4471054340991965E-2</v>
      </c>
      <c r="BP249">
        <v>29</v>
      </c>
      <c r="BQ249">
        <v>7.5160000000000027</v>
      </c>
      <c r="BR249">
        <v>31</v>
      </c>
      <c r="BS249">
        <v>-4.4799999999999995</v>
      </c>
      <c r="BT249">
        <v>-2.9200000000000017</v>
      </c>
      <c r="BU249">
        <v>-2.16</v>
      </c>
      <c r="BV249">
        <v>-1.2</v>
      </c>
      <c r="BW249">
        <v>-53.399999999999991</v>
      </c>
      <c r="BX249">
        <v>-48.400000000000006</v>
      </c>
      <c r="BY249">
        <v>-0.31999999999999884</v>
      </c>
      <c r="BZ249">
        <v>0.15999999999999978</v>
      </c>
      <c r="CA249">
        <v>-4.84</v>
      </c>
      <c r="CB249">
        <v>24</v>
      </c>
      <c r="CC249">
        <v>-3.6320000000000006</v>
      </c>
      <c r="CD249">
        <v>-1.7866</v>
      </c>
      <c r="CE249">
        <v>-48.080000000000005</v>
      </c>
      <c r="CF249">
        <v>-1.4946250000000001</v>
      </c>
    </row>
    <row r="250" spans="1:84" x14ac:dyDescent="0.2">
      <c r="A250" s="39">
        <v>43793</v>
      </c>
      <c r="B250" s="22" t="s">
        <v>242</v>
      </c>
      <c r="C250" s="41" t="s">
        <v>298</v>
      </c>
      <c r="D250" s="22" t="s">
        <v>303</v>
      </c>
      <c r="E250">
        <v>3.8</v>
      </c>
      <c r="F250">
        <v>18.600000000000001</v>
      </c>
      <c r="G250">
        <v>4.2</v>
      </c>
      <c r="H250">
        <v>10.3</v>
      </c>
      <c r="I250">
        <v>3.5</v>
      </c>
      <c r="J250">
        <v>45</v>
      </c>
      <c r="L250" s="1" t="s">
        <v>298</v>
      </c>
      <c r="M250">
        <v>14</v>
      </c>
      <c r="N250">
        <v>1.9135999999999993</v>
      </c>
      <c r="O250">
        <v>-6.1959999999999997</v>
      </c>
      <c r="P250">
        <v>-42.080000000000005</v>
      </c>
      <c r="Q250">
        <v>0.44000000000000017</v>
      </c>
      <c r="R250">
        <v>1.8630000000000018</v>
      </c>
      <c r="S250">
        <v>-5.9499999999999993</v>
      </c>
      <c r="T250">
        <v>-2.6900000000000004</v>
      </c>
      <c r="U250">
        <v>14</v>
      </c>
      <c r="V250">
        <v>13.5</v>
      </c>
      <c r="W250">
        <v>1.2</v>
      </c>
      <c r="X250">
        <v>8</v>
      </c>
      <c r="Y250">
        <v>12</v>
      </c>
      <c r="Z250">
        <v>2</v>
      </c>
      <c r="AA250">
        <v>8.7253799456939146E-2</v>
      </c>
      <c r="AB250">
        <v>17</v>
      </c>
      <c r="AC250">
        <v>1.3104699948087559E-2</v>
      </c>
      <c r="AD250">
        <v>12</v>
      </c>
      <c r="AE250">
        <v>-1.6319999999999992</v>
      </c>
      <c r="AF250">
        <v>17</v>
      </c>
      <c r="AG250">
        <v>-1</v>
      </c>
      <c r="AH250">
        <v>-3.160000000000001</v>
      </c>
      <c r="AI250">
        <v>-0.4799999999999997</v>
      </c>
      <c r="AJ250">
        <v>1.9999999999999996</v>
      </c>
      <c r="AK250">
        <v>-28.680000000000007</v>
      </c>
      <c r="AL250">
        <v>22.040000000000003</v>
      </c>
      <c r="AM250">
        <v>-39.320000000000007</v>
      </c>
      <c r="AN250">
        <v>-0.24000000000000005</v>
      </c>
      <c r="AO250">
        <v>-11.16</v>
      </c>
      <c r="AP250">
        <v>3</v>
      </c>
      <c r="AQ250">
        <v>8.1096000000000004</v>
      </c>
      <c r="AR250">
        <v>3.8533200000000001</v>
      </c>
      <c r="AS250">
        <v>61.360000000000014</v>
      </c>
      <c r="AT250">
        <v>-8.1095999999999986</v>
      </c>
      <c r="AU250">
        <v>-0.42242499999999994</v>
      </c>
      <c r="AV250">
        <v>0.91625000000000012</v>
      </c>
      <c r="AW250">
        <v>1.1394000000000002</v>
      </c>
      <c r="AX250" t="s">
        <v>303</v>
      </c>
      <c r="AY250">
        <v>13</v>
      </c>
      <c r="AZ250">
        <v>2.988799999999999</v>
      </c>
      <c r="BA250">
        <v>3.3039999999999998</v>
      </c>
      <c r="BB250">
        <v>6.2799999999999967</v>
      </c>
      <c r="BC250">
        <v>0.24000000000000005</v>
      </c>
      <c r="BD250">
        <v>-0.42799999999999816</v>
      </c>
      <c r="BE250">
        <v>-14.36</v>
      </c>
      <c r="BF250">
        <v>1.2400000000000002</v>
      </c>
      <c r="BG250">
        <v>27</v>
      </c>
      <c r="BH250">
        <v>25.5</v>
      </c>
      <c r="BI250">
        <v>0.47999999999999987</v>
      </c>
      <c r="BJ250">
        <v>10</v>
      </c>
      <c r="BK250">
        <v>13.25</v>
      </c>
      <c r="BL250">
        <v>12</v>
      </c>
      <c r="BM250">
        <v>-2.0831598760193314E-2</v>
      </c>
      <c r="BN250">
        <v>11</v>
      </c>
      <c r="BO250">
        <v>4.8738232284445239E-3</v>
      </c>
      <c r="BP250">
        <v>12</v>
      </c>
      <c r="BQ250">
        <v>-1.111999999999999</v>
      </c>
      <c r="BR250">
        <v>18</v>
      </c>
      <c r="BS250">
        <v>-0.83999999999999986</v>
      </c>
      <c r="BT250">
        <v>1.2399999999999991</v>
      </c>
      <c r="BU250">
        <v>2.7999999999999994</v>
      </c>
      <c r="BV250">
        <v>0.48</v>
      </c>
      <c r="BW250">
        <v>26.360000000000014</v>
      </c>
      <c r="BX250">
        <v>5.7199999999999935</v>
      </c>
      <c r="BY250">
        <v>10.040000000000001</v>
      </c>
      <c r="BZ250">
        <v>4.1599999999999993</v>
      </c>
      <c r="CA250">
        <v>6.44</v>
      </c>
      <c r="CB250">
        <v>18</v>
      </c>
      <c r="CC250">
        <v>-0.31520000000000081</v>
      </c>
      <c r="CD250">
        <v>-1.1398399999999997</v>
      </c>
      <c r="CE250">
        <v>-4.3200000000000074</v>
      </c>
      <c r="CF250">
        <v>0.69310000000000005</v>
      </c>
    </row>
    <row r="251" spans="1:84" x14ac:dyDescent="0.2">
      <c r="A251" s="39">
        <v>43793</v>
      </c>
      <c r="B251" s="22" t="s">
        <v>242</v>
      </c>
      <c r="C251" s="41" t="s">
        <v>294</v>
      </c>
      <c r="D251" s="22" t="s">
        <v>308</v>
      </c>
      <c r="H251">
        <f>27.1+9.2</f>
        <v>36.299999999999997</v>
      </c>
      <c r="I251">
        <v>1</v>
      </c>
      <c r="J251">
        <v>45.5</v>
      </c>
      <c r="L251" s="1" t="s">
        <v>294</v>
      </c>
      <c r="M251">
        <v>19</v>
      </c>
      <c r="N251">
        <v>-1.7231999999999998</v>
      </c>
      <c r="O251">
        <v>0.24800000000000133</v>
      </c>
      <c r="P251">
        <v>12.680000000000001</v>
      </c>
      <c r="Q251">
        <v>-0.96</v>
      </c>
      <c r="R251">
        <v>5.1879999999999988</v>
      </c>
      <c r="S251">
        <v>14.161200000000001</v>
      </c>
      <c r="T251">
        <v>3.0400000000000009</v>
      </c>
      <c r="U251">
        <v>23</v>
      </c>
      <c r="V251">
        <v>22.5</v>
      </c>
      <c r="W251">
        <v>0.36</v>
      </c>
      <c r="X251">
        <v>6</v>
      </c>
      <c r="Y251">
        <v>10.25</v>
      </c>
      <c r="Z251">
        <v>16</v>
      </c>
      <c r="AA251">
        <v>2.5126511068092217E-2</v>
      </c>
      <c r="AB251">
        <v>4</v>
      </c>
      <c r="AC251">
        <v>2.1799801166937867E-2</v>
      </c>
      <c r="AD251">
        <v>6</v>
      </c>
      <c r="AE251">
        <v>-1.1079999999999983</v>
      </c>
      <c r="AF251">
        <v>15</v>
      </c>
      <c r="AG251">
        <v>1.1999999999999997</v>
      </c>
      <c r="AH251">
        <v>5.4000000000000012</v>
      </c>
      <c r="AI251">
        <v>-0.4799999999999997</v>
      </c>
      <c r="AJ251">
        <v>-1.4</v>
      </c>
      <c r="AK251">
        <v>18.880000000000006</v>
      </c>
      <c r="AL251">
        <v>1.5199999999999989</v>
      </c>
      <c r="AM251">
        <v>16.200000000000003</v>
      </c>
      <c r="AN251">
        <v>-0.76</v>
      </c>
      <c r="AO251">
        <v>1.9199999999999995</v>
      </c>
      <c r="AP251">
        <v>19</v>
      </c>
      <c r="AQ251">
        <v>-1.9712000000000012</v>
      </c>
      <c r="AR251">
        <v>0.56895999999999936</v>
      </c>
      <c r="AS251">
        <v>-14.680000000000003</v>
      </c>
      <c r="AT251">
        <v>1.9712000000000012</v>
      </c>
      <c r="AU251">
        <v>0.28410000000000019</v>
      </c>
      <c r="AV251">
        <v>-1.2387937500000001</v>
      </c>
      <c r="AW251">
        <v>-2.2325000000000004</v>
      </c>
      <c r="AX251" t="s">
        <v>308</v>
      </c>
      <c r="AY251">
        <v>17</v>
      </c>
      <c r="AZ251">
        <v>-1.2832000000000003</v>
      </c>
      <c r="BA251">
        <v>-3.4639999999999991</v>
      </c>
      <c r="BB251">
        <v>-12.799999999999997</v>
      </c>
      <c r="BC251">
        <v>-0.12000000000000011</v>
      </c>
      <c r="BD251">
        <v>2.1864999999999997</v>
      </c>
      <c r="BE251">
        <v>9.6911999999999985</v>
      </c>
      <c r="BF251">
        <v>3.7875000000000001</v>
      </c>
      <c r="BG251">
        <v>12</v>
      </c>
      <c r="BH251">
        <v>12.5</v>
      </c>
      <c r="BI251">
        <v>0.3599999999999996</v>
      </c>
      <c r="BJ251">
        <v>21</v>
      </c>
      <c r="BK251">
        <v>17.25</v>
      </c>
      <c r="BL251">
        <v>30</v>
      </c>
      <c r="BM251">
        <v>-5.5260525059291778E-2</v>
      </c>
      <c r="BN251">
        <v>28</v>
      </c>
      <c r="BO251">
        <v>-9.7358714629503067E-3</v>
      </c>
      <c r="BP251">
        <v>4</v>
      </c>
      <c r="BQ251">
        <v>-11.404000000000003</v>
      </c>
      <c r="BR251">
        <v>7</v>
      </c>
      <c r="BS251">
        <v>2.8800000000000003</v>
      </c>
      <c r="BT251">
        <v>3.6</v>
      </c>
      <c r="BU251">
        <v>-5.56</v>
      </c>
      <c r="BV251">
        <v>1.6800000000000002</v>
      </c>
      <c r="BW251">
        <v>9.4</v>
      </c>
      <c r="BX251">
        <v>24.159999999999997</v>
      </c>
      <c r="BY251">
        <v>-15.199999999999998</v>
      </c>
      <c r="BZ251">
        <v>-0.95999999999999974</v>
      </c>
      <c r="CA251">
        <v>1.4000000000000021</v>
      </c>
      <c r="CB251">
        <v>11</v>
      </c>
      <c r="CC251">
        <v>2.1807999999999987</v>
      </c>
      <c r="CD251">
        <v>1.9126599999999994</v>
      </c>
      <c r="CE251">
        <v>39.359999999999992</v>
      </c>
      <c r="CF251">
        <v>-0.24508749999999996</v>
      </c>
    </row>
    <row r="252" spans="1:84" x14ac:dyDescent="0.2">
      <c r="A252" s="39">
        <v>43793</v>
      </c>
      <c r="B252" s="22" t="s">
        <v>242</v>
      </c>
      <c r="C252" s="41" t="s">
        <v>309</v>
      </c>
      <c r="D252" s="22" t="s">
        <v>272</v>
      </c>
      <c r="E252">
        <v>18.8</v>
      </c>
      <c r="F252">
        <v>5.9</v>
      </c>
      <c r="G252">
        <v>4.5</v>
      </c>
      <c r="H252">
        <v>1.1000000000000001</v>
      </c>
      <c r="I252" s="8">
        <v>-5.5</v>
      </c>
      <c r="J252" s="8">
        <v>37.5</v>
      </c>
      <c r="L252" s="1" t="s">
        <v>309</v>
      </c>
      <c r="M252">
        <v>30</v>
      </c>
      <c r="N252">
        <v>-6.2511999999999999</v>
      </c>
      <c r="O252">
        <v>2.620000000000001</v>
      </c>
      <c r="P252">
        <v>-2.2800000000000002</v>
      </c>
      <c r="Q252">
        <v>3.0800000000000005</v>
      </c>
      <c r="R252">
        <v>-7.0579999999999989</v>
      </c>
      <c r="S252">
        <v>-14.77</v>
      </c>
      <c r="T252">
        <v>-2.3000000000000003</v>
      </c>
      <c r="U252">
        <v>3</v>
      </c>
      <c r="V252">
        <v>5.5</v>
      </c>
      <c r="W252">
        <v>4.68</v>
      </c>
      <c r="X252">
        <v>12</v>
      </c>
      <c r="Y252">
        <v>13.25</v>
      </c>
      <c r="Z252">
        <v>9</v>
      </c>
      <c r="AA252">
        <v>4.3078346523261521E-2</v>
      </c>
      <c r="AB252">
        <v>20</v>
      </c>
      <c r="AC252">
        <v>6.6595496116580236E-3</v>
      </c>
      <c r="AD252">
        <v>19</v>
      </c>
      <c r="AE252">
        <v>-0.44000000000000056</v>
      </c>
      <c r="AF252">
        <v>5</v>
      </c>
      <c r="AG252">
        <v>3.84</v>
      </c>
      <c r="AH252">
        <v>1.7200000000000031</v>
      </c>
      <c r="AI252">
        <v>-4.08</v>
      </c>
      <c r="AJ252">
        <v>0.95999999999999974</v>
      </c>
      <c r="AK252">
        <v>-33.920000000000016</v>
      </c>
      <c r="AL252">
        <v>-24.240000000000002</v>
      </c>
      <c r="AM252">
        <v>4.7199999999999989</v>
      </c>
      <c r="AN252">
        <v>-1.8800000000000001</v>
      </c>
      <c r="AO252">
        <v>-12.52</v>
      </c>
      <c r="AP252">
        <v>29</v>
      </c>
      <c r="AQ252">
        <v>-8.8712</v>
      </c>
      <c r="AR252">
        <v>-3.9718400000000003</v>
      </c>
      <c r="AS252">
        <v>-28.96</v>
      </c>
      <c r="AT252">
        <v>8.8712000000000018</v>
      </c>
      <c r="AU252">
        <v>-1.2061499999999998</v>
      </c>
      <c r="AV252">
        <v>-0.26821249999999991</v>
      </c>
      <c r="AW252">
        <v>-1.4892000000000001</v>
      </c>
      <c r="AX252" t="s">
        <v>272</v>
      </c>
      <c r="AY252">
        <v>10</v>
      </c>
      <c r="AZ252">
        <v>3.8152000000000017</v>
      </c>
      <c r="BA252">
        <v>-4.2080000000000002</v>
      </c>
      <c r="BB252">
        <v>10.800000000000002</v>
      </c>
      <c r="BC252">
        <v>-2.5999999999999996</v>
      </c>
      <c r="BD252">
        <v>7.5350000000000001</v>
      </c>
      <c r="BE252">
        <v>53.540000000000006</v>
      </c>
      <c r="BF252">
        <v>-2.0300000000000002</v>
      </c>
      <c r="BG252">
        <v>20</v>
      </c>
      <c r="BH252">
        <v>21</v>
      </c>
      <c r="BI252">
        <v>3.1999999999999997</v>
      </c>
      <c r="BJ252">
        <v>22</v>
      </c>
      <c r="BK252">
        <v>18.25</v>
      </c>
      <c r="BL252">
        <v>13</v>
      </c>
      <c r="BM252">
        <v>2.6341911174199938E-2</v>
      </c>
      <c r="BN252">
        <v>15</v>
      </c>
      <c r="BO252">
        <v>1.4162539802192661E-3</v>
      </c>
      <c r="BP252">
        <v>19</v>
      </c>
      <c r="BQ252">
        <v>-4.1359999999999983</v>
      </c>
      <c r="BR252">
        <v>26</v>
      </c>
      <c r="BS252">
        <v>-3.5200000000000005</v>
      </c>
      <c r="BT252">
        <v>-0.27999999999999831</v>
      </c>
      <c r="BU252">
        <v>2.2000000000000002</v>
      </c>
      <c r="BV252">
        <v>1.04</v>
      </c>
      <c r="BW252">
        <v>53.96</v>
      </c>
      <c r="BX252">
        <v>32.520000000000003</v>
      </c>
      <c r="BY252">
        <v>15.400000000000002</v>
      </c>
      <c r="BZ252">
        <v>4.4399999999999995</v>
      </c>
      <c r="CA252">
        <v>1.6000000000000014</v>
      </c>
      <c r="CB252">
        <v>2</v>
      </c>
      <c r="CC252">
        <v>8.023200000000001</v>
      </c>
      <c r="CD252">
        <v>4.3740400000000008</v>
      </c>
      <c r="CE252">
        <v>17.12</v>
      </c>
      <c r="CF252">
        <v>0.95277500000000026</v>
      </c>
    </row>
    <row r="253" spans="1:84" x14ac:dyDescent="0.2">
      <c r="A253" s="39">
        <v>43793</v>
      </c>
      <c r="B253" s="22" t="s">
        <v>242</v>
      </c>
      <c r="C253" s="40" t="s">
        <v>256</v>
      </c>
      <c r="D253" s="22" t="s">
        <v>300</v>
      </c>
      <c r="E253">
        <v>2.5</v>
      </c>
      <c r="F253">
        <v>13</v>
      </c>
      <c r="G253">
        <v>4.7</v>
      </c>
      <c r="H253">
        <v>27.9</v>
      </c>
      <c r="I253">
        <v>-3</v>
      </c>
      <c r="J253">
        <v>48</v>
      </c>
      <c r="L253" s="1" t="s">
        <v>256</v>
      </c>
      <c r="M253">
        <v>18</v>
      </c>
      <c r="N253">
        <v>-0.43199999999999933</v>
      </c>
      <c r="O253">
        <v>0.21599999999999886</v>
      </c>
      <c r="P253">
        <v>-6.7300000000000022</v>
      </c>
      <c r="Q253">
        <v>-0.39000000000000057</v>
      </c>
      <c r="R253">
        <v>-1.3400000000000016</v>
      </c>
      <c r="S253">
        <v>-28.502799999999997</v>
      </c>
      <c r="T253">
        <v>-3.0900000000000003</v>
      </c>
      <c r="U253">
        <v>17</v>
      </c>
      <c r="V253">
        <v>16</v>
      </c>
      <c r="W253">
        <v>3.9200000000000004</v>
      </c>
      <c r="X253">
        <v>21</v>
      </c>
      <c r="Y253">
        <v>17.75</v>
      </c>
      <c r="Z253">
        <v>19</v>
      </c>
      <c r="AA253">
        <v>-4.4706725892800555E-3</v>
      </c>
      <c r="AB253">
        <v>3</v>
      </c>
      <c r="AC253">
        <v>1.9463622687077825E-2</v>
      </c>
      <c r="AD253">
        <v>29</v>
      </c>
      <c r="AE253">
        <v>2.4120000000000035</v>
      </c>
      <c r="AF253">
        <v>20</v>
      </c>
      <c r="AG253">
        <v>-0.56000000000000028</v>
      </c>
      <c r="AH253">
        <v>-0.96000000000000085</v>
      </c>
      <c r="AI253">
        <v>6.4799999999999995</v>
      </c>
      <c r="AJ253">
        <v>0.56000000000000005</v>
      </c>
      <c r="AK253">
        <v>-18</v>
      </c>
      <c r="AL253">
        <v>-19.599999999999987</v>
      </c>
      <c r="AM253">
        <v>9.9200000000000017</v>
      </c>
      <c r="AN253">
        <v>4.84</v>
      </c>
      <c r="AO253">
        <v>-13.16</v>
      </c>
      <c r="AP253">
        <v>16</v>
      </c>
      <c r="AQ253">
        <v>-0.64799999999999813</v>
      </c>
      <c r="AR253">
        <v>-0.46239999999999948</v>
      </c>
      <c r="AS253">
        <v>-29.519999999999989</v>
      </c>
      <c r="AT253">
        <v>0.64799999999999813</v>
      </c>
      <c r="AU253">
        <v>-3.9500000000000257E-2</v>
      </c>
      <c r="AV253">
        <v>-0.44383749999999977</v>
      </c>
      <c r="AW253">
        <v>-2.0824500000000001</v>
      </c>
      <c r="AX253" t="s">
        <v>300</v>
      </c>
      <c r="AY253">
        <v>21</v>
      </c>
      <c r="AZ253">
        <v>0.33920000000000028</v>
      </c>
      <c r="BA253">
        <v>-0.78799999999999837</v>
      </c>
      <c r="BB253">
        <v>18.760000000000002</v>
      </c>
      <c r="BC253">
        <v>-1.36</v>
      </c>
      <c r="BD253">
        <v>8.7270000000000039</v>
      </c>
      <c r="BE253">
        <v>49.42</v>
      </c>
      <c r="BF253">
        <v>-1.4700000000000011</v>
      </c>
      <c r="BG253">
        <v>6</v>
      </c>
      <c r="BH253">
        <v>5</v>
      </c>
      <c r="BI253">
        <v>-3.72</v>
      </c>
      <c r="BJ253">
        <v>29</v>
      </c>
      <c r="BK253">
        <v>24</v>
      </c>
      <c r="BL253">
        <v>17</v>
      </c>
      <c r="BM253">
        <v>-9.3242140906327937E-3</v>
      </c>
      <c r="BN253">
        <v>23</v>
      </c>
      <c r="BO253">
        <v>-6.3022757928228408E-3</v>
      </c>
      <c r="BP253">
        <v>27</v>
      </c>
      <c r="BQ253">
        <v>15.491999999999996</v>
      </c>
      <c r="BR253">
        <v>29</v>
      </c>
      <c r="BS253">
        <v>-3.84</v>
      </c>
      <c r="BT253">
        <v>-2.7999999999999985</v>
      </c>
      <c r="BU253">
        <v>2.2000000000000002</v>
      </c>
      <c r="BV253">
        <v>-1.2</v>
      </c>
      <c r="BW253">
        <v>41.760000000000005</v>
      </c>
      <c r="BX253">
        <v>23.080000000000002</v>
      </c>
      <c r="BY253">
        <v>24.880000000000003</v>
      </c>
      <c r="BZ253">
        <v>-4.9599999999999991</v>
      </c>
      <c r="CA253">
        <v>-1.24</v>
      </c>
      <c r="CB253">
        <v>15</v>
      </c>
      <c r="CC253">
        <v>1.1271999999999986</v>
      </c>
      <c r="CD253">
        <v>2.2072400000000001</v>
      </c>
      <c r="CE253">
        <v>-1.8000000000000007</v>
      </c>
      <c r="CF253">
        <v>1.1947750000000006</v>
      </c>
    </row>
    <row r="254" spans="1:84" x14ac:dyDescent="0.2">
      <c r="A254" s="39">
        <v>43793</v>
      </c>
      <c r="B254" s="22" t="s">
        <v>242</v>
      </c>
      <c r="C254" s="41" t="s">
        <v>308</v>
      </c>
      <c r="D254" s="22" t="s">
        <v>294</v>
      </c>
      <c r="E254">
        <v>4.8</v>
      </c>
      <c r="F254">
        <v>6.5</v>
      </c>
      <c r="G254">
        <v>10.3</v>
      </c>
      <c r="H254">
        <v>4.2</v>
      </c>
      <c r="I254">
        <v>-1</v>
      </c>
      <c r="J254">
        <v>45.5</v>
      </c>
      <c r="L254" s="1" t="s">
        <v>308</v>
      </c>
      <c r="M254">
        <v>9</v>
      </c>
      <c r="N254">
        <v>3.6295999999999999</v>
      </c>
      <c r="O254">
        <v>-9.2000000000000082E-2</v>
      </c>
      <c r="P254">
        <v>34.44</v>
      </c>
      <c r="Q254">
        <v>-2.6799999999999997</v>
      </c>
      <c r="R254">
        <v>7.2</v>
      </c>
      <c r="S254">
        <v>19.600000000000005</v>
      </c>
      <c r="T254">
        <v>0.76</v>
      </c>
      <c r="U254">
        <v>8</v>
      </c>
      <c r="V254">
        <v>8.5</v>
      </c>
      <c r="W254">
        <v>2.8800000000000003</v>
      </c>
      <c r="X254">
        <v>12</v>
      </c>
      <c r="Y254">
        <v>13.25</v>
      </c>
      <c r="Z254">
        <v>11</v>
      </c>
      <c r="AA254">
        <v>7.0645504554450039E-2</v>
      </c>
      <c r="AB254">
        <v>5</v>
      </c>
      <c r="AC254">
        <v>1.2576434122401553E-2</v>
      </c>
      <c r="AD254">
        <v>21</v>
      </c>
      <c r="AE254">
        <v>5.4839999999999973</v>
      </c>
      <c r="AF254">
        <v>16</v>
      </c>
      <c r="AG254">
        <v>0.3599999999999996</v>
      </c>
      <c r="AH254">
        <v>1.0000000000000013</v>
      </c>
      <c r="AI254">
        <v>4.4000000000000004</v>
      </c>
      <c r="AJ254">
        <v>0.20000000000000009</v>
      </c>
      <c r="AK254">
        <v>49.240000000000009</v>
      </c>
      <c r="AL254">
        <v>16.119999999999997</v>
      </c>
      <c r="AM254">
        <v>29.279999999999994</v>
      </c>
      <c r="AN254">
        <v>-1.7600000000000002</v>
      </c>
      <c r="AO254">
        <v>5.6</v>
      </c>
      <c r="AP254">
        <v>10</v>
      </c>
      <c r="AQ254">
        <v>3.7216</v>
      </c>
      <c r="AR254">
        <v>2.2119200000000001</v>
      </c>
      <c r="AS254">
        <v>-13.159999999999997</v>
      </c>
      <c r="AT254">
        <v>-3.7216</v>
      </c>
      <c r="AU254">
        <v>1.5271999999999997</v>
      </c>
      <c r="AV254">
        <v>-1.2387937500000001</v>
      </c>
      <c r="AW254">
        <v>-0.24508749999999996</v>
      </c>
      <c r="AX254" t="s">
        <v>294</v>
      </c>
      <c r="AY254">
        <v>30</v>
      </c>
      <c r="AZ254">
        <v>-5.4080000000000004</v>
      </c>
      <c r="BA254">
        <v>3.3279999999999994</v>
      </c>
      <c r="BB254">
        <v>-2</v>
      </c>
      <c r="BC254">
        <v>1.72</v>
      </c>
      <c r="BD254">
        <v>-14.26</v>
      </c>
      <c r="BE254">
        <v>-58.56</v>
      </c>
      <c r="BF254">
        <v>-7.3599999999999985</v>
      </c>
      <c r="BG254">
        <v>31</v>
      </c>
      <c r="BH254">
        <v>28.5</v>
      </c>
      <c r="BI254">
        <v>1.1999999999999997</v>
      </c>
      <c r="BJ254">
        <v>4</v>
      </c>
      <c r="BK254">
        <v>8.75</v>
      </c>
      <c r="BL254">
        <v>3</v>
      </c>
      <c r="BM254">
        <v>9.0966006250782164E-3</v>
      </c>
      <c r="BN254">
        <v>4</v>
      </c>
      <c r="BO254">
        <v>4.3996835817979113E-2</v>
      </c>
      <c r="BP254">
        <v>14</v>
      </c>
      <c r="BQ254">
        <v>1.8279999999999987</v>
      </c>
      <c r="BR254">
        <v>14</v>
      </c>
      <c r="BS254">
        <v>0.36</v>
      </c>
      <c r="BT254">
        <v>-6.7200000000000015</v>
      </c>
      <c r="BU254">
        <v>-2.16</v>
      </c>
      <c r="BV254">
        <v>-1</v>
      </c>
      <c r="BW254">
        <v>-47.91999999999998</v>
      </c>
      <c r="BX254">
        <v>-52.319999999999993</v>
      </c>
      <c r="BY254">
        <v>-1.7599999999999993</v>
      </c>
      <c r="BZ254">
        <v>2.56</v>
      </c>
      <c r="CA254">
        <v>3.6</v>
      </c>
      <c r="CB254">
        <v>31</v>
      </c>
      <c r="CC254">
        <v>-8.7359999999999989</v>
      </c>
      <c r="CD254">
        <v>-5.5975999999999999</v>
      </c>
      <c r="CE254">
        <v>-50.559999999999995</v>
      </c>
      <c r="CF254">
        <v>-2.2325000000000004</v>
      </c>
    </row>
    <row r="255" spans="1:84" x14ac:dyDescent="0.2">
      <c r="A255" s="39">
        <v>43793</v>
      </c>
      <c r="B255" s="22" t="s">
        <v>242</v>
      </c>
      <c r="C255" s="41" t="s">
        <v>284</v>
      </c>
      <c r="D255" s="22" t="s">
        <v>295</v>
      </c>
      <c r="E255">
        <v>9</v>
      </c>
      <c r="F255">
        <v>40.4</v>
      </c>
      <c r="G255">
        <v>5.4</v>
      </c>
      <c r="H255">
        <v>2</v>
      </c>
      <c r="I255">
        <v>3.5</v>
      </c>
      <c r="J255">
        <v>51.5</v>
      </c>
      <c r="K255" s="20" t="s">
        <v>109</v>
      </c>
      <c r="L255" s="1" t="s">
        <v>284</v>
      </c>
      <c r="M255">
        <v>10</v>
      </c>
      <c r="N255">
        <v>3.256800000000001</v>
      </c>
      <c r="O255">
        <v>-1.8990000000000002</v>
      </c>
      <c r="P255">
        <v>-12.120000000000001</v>
      </c>
      <c r="Q255">
        <v>-1.47</v>
      </c>
      <c r="R255">
        <v>5.4569999999999999</v>
      </c>
      <c r="S255">
        <v>40.297200000000004</v>
      </c>
      <c r="T255">
        <v>0.34000000000000008</v>
      </c>
      <c r="U255">
        <v>18</v>
      </c>
      <c r="V255">
        <v>17.5</v>
      </c>
      <c r="W255">
        <v>-2.0799999999999996</v>
      </c>
      <c r="X255">
        <v>14</v>
      </c>
      <c r="Y255">
        <v>14</v>
      </c>
      <c r="Z255">
        <v>29</v>
      </c>
      <c r="AA255">
        <v>-6.0806275305828536E-2</v>
      </c>
      <c r="AB255">
        <v>22</v>
      </c>
      <c r="AC255">
        <v>-1.3566257086646855E-2</v>
      </c>
      <c r="AD255">
        <v>1</v>
      </c>
      <c r="AE255">
        <v>-26.155999999999999</v>
      </c>
      <c r="AF255">
        <v>4</v>
      </c>
      <c r="AG255">
        <v>1.2</v>
      </c>
      <c r="AH255">
        <v>2.5600000000000009</v>
      </c>
      <c r="AI255">
        <v>5.44</v>
      </c>
      <c r="AJ255">
        <v>-0.83999999999999986</v>
      </c>
      <c r="AK255">
        <v>34.120000000000005</v>
      </c>
      <c r="AL255">
        <v>32.120000000000012</v>
      </c>
      <c r="AM255">
        <v>-10.039999999999996</v>
      </c>
      <c r="AN255">
        <v>-3.4799999999999995</v>
      </c>
      <c r="AO255">
        <v>15.52</v>
      </c>
      <c r="AP255">
        <v>8</v>
      </c>
      <c r="AQ255">
        <v>5.155800000000001</v>
      </c>
      <c r="AR255">
        <v>2.6922600000000005</v>
      </c>
      <c r="AS255">
        <v>42.160000000000011</v>
      </c>
      <c r="AT255">
        <v>-5.155800000000001</v>
      </c>
      <c r="AU255">
        <v>0.87685000000000013</v>
      </c>
      <c r="AV255">
        <v>0.74778750000000005</v>
      </c>
      <c r="AW255">
        <v>2.0112749999999999</v>
      </c>
      <c r="AX255" t="s">
        <v>295</v>
      </c>
      <c r="AY255">
        <v>27</v>
      </c>
      <c r="AZ255">
        <v>-0.20560000000000045</v>
      </c>
      <c r="BA255">
        <v>-2.2319999999999989</v>
      </c>
      <c r="BB255">
        <v>-10.920000000000002</v>
      </c>
      <c r="BC255">
        <v>0.67999999999999994</v>
      </c>
      <c r="BD255">
        <v>-2.4479999999999995</v>
      </c>
      <c r="BE255">
        <v>-0.75999999999999535</v>
      </c>
      <c r="BF255">
        <v>-0.56000000000000028</v>
      </c>
      <c r="BG255">
        <v>17</v>
      </c>
      <c r="BH255">
        <v>14.5</v>
      </c>
      <c r="BI255">
        <v>2.2799999999999998</v>
      </c>
      <c r="BJ255">
        <v>19</v>
      </c>
      <c r="BK255">
        <v>16.5</v>
      </c>
      <c r="BL255">
        <v>10</v>
      </c>
      <c r="BM255">
        <v>-5.5156896629458604E-3</v>
      </c>
      <c r="BN255">
        <v>20</v>
      </c>
      <c r="BO255">
        <v>-2.1165712766719829E-3</v>
      </c>
      <c r="BP255">
        <v>25</v>
      </c>
      <c r="BQ255">
        <v>4.0639999999999974</v>
      </c>
      <c r="BR255">
        <v>11</v>
      </c>
      <c r="BS255">
        <v>-0.88000000000000012</v>
      </c>
      <c r="BT255">
        <v>-0.84000000000000052</v>
      </c>
      <c r="BU255">
        <v>-3.1599999999999993</v>
      </c>
      <c r="BV255">
        <v>1.1599999999999997</v>
      </c>
      <c r="BW255">
        <v>-3.8399999999999865</v>
      </c>
      <c r="BX255">
        <v>2.560000000000008</v>
      </c>
      <c r="BY255">
        <v>-4.2399999999999975</v>
      </c>
      <c r="BZ255">
        <v>-0.72</v>
      </c>
      <c r="CA255">
        <v>-1.4399999999999997</v>
      </c>
      <c r="CB255">
        <v>13</v>
      </c>
      <c r="CC255">
        <v>2.0263999999999984</v>
      </c>
      <c r="CD255">
        <v>0.58527999999999947</v>
      </c>
      <c r="CE255">
        <v>6.800000000000006</v>
      </c>
      <c r="CF255">
        <v>-0.51569999999999994</v>
      </c>
    </row>
    <row r="256" spans="1:84" x14ac:dyDescent="0.2">
      <c r="A256" s="39">
        <v>43793</v>
      </c>
      <c r="B256" s="22" t="s">
        <v>242</v>
      </c>
      <c r="C256" s="41" t="s">
        <v>310</v>
      </c>
      <c r="D256" s="22" t="s">
        <v>297</v>
      </c>
      <c r="E256">
        <v>26.5</v>
      </c>
      <c r="F256">
        <v>4.9000000000000004</v>
      </c>
      <c r="G256" s="14">
        <v>5</v>
      </c>
      <c r="H256">
        <v>3.4</v>
      </c>
      <c r="I256">
        <v>-4.5</v>
      </c>
      <c r="J256">
        <v>42</v>
      </c>
      <c r="K256" t="s">
        <v>110</v>
      </c>
      <c r="L256" s="1" t="s">
        <v>310</v>
      </c>
      <c r="M256">
        <v>5</v>
      </c>
      <c r="N256">
        <v>4.8360000000000003</v>
      </c>
      <c r="O256">
        <v>-0.5995999999999988</v>
      </c>
      <c r="P256">
        <v>25.72</v>
      </c>
      <c r="Q256">
        <v>-3.16</v>
      </c>
      <c r="R256">
        <v>-2.4049999999999994</v>
      </c>
      <c r="S256">
        <v>-3.6699999999999964</v>
      </c>
      <c r="T256">
        <v>-3.6500000000000004</v>
      </c>
      <c r="U256">
        <v>29</v>
      </c>
      <c r="V256">
        <v>29</v>
      </c>
      <c r="W256">
        <v>-0.84000000000000008</v>
      </c>
      <c r="X256">
        <v>25</v>
      </c>
      <c r="Y256">
        <v>21</v>
      </c>
      <c r="Z256">
        <v>27</v>
      </c>
      <c r="AA256">
        <v>-4.7442358356770145E-2</v>
      </c>
      <c r="AB256">
        <v>2</v>
      </c>
      <c r="AC256">
        <v>8.6001709139156574E-3</v>
      </c>
      <c r="AD256">
        <v>30</v>
      </c>
      <c r="AE256">
        <v>6.94</v>
      </c>
      <c r="AF256">
        <v>25</v>
      </c>
      <c r="AG256">
        <v>-1.4000000000000001</v>
      </c>
      <c r="AH256">
        <v>-5.5200000000000005</v>
      </c>
      <c r="AI256">
        <v>4.5199999999999987</v>
      </c>
      <c r="AJ256">
        <v>0.27999999999999992</v>
      </c>
      <c r="AK256">
        <v>27.839999999999996</v>
      </c>
      <c r="AL256">
        <v>2.8</v>
      </c>
      <c r="AM256">
        <v>20.96</v>
      </c>
      <c r="AN256">
        <v>-4.4400000000000004</v>
      </c>
      <c r="AO256">
        <v>8.52</v>
      </c>
      <c r="AP256">
        <v>7</v>
      </c>
      <c r="AQ256">
        <v>5.4355999999999991</v>
      </c>
      <c r="AR256">
        <v>0.7859999999999997</v>
      </c>
      <c r="AS256">
        <v>-18.16</v>
      </c>
      <c r="AT256">
        <v>-5.4355999999999991</v>
      </c>
      <c r="AU256">
        <v>2.8925000000000312E-2</v>
      </c>
      <c r="AV256">
        <v>1.2358625000000001</v>
      </c>
      <c r="AW256">
        <v>1.6358000000000001</v>
      </c>
      <c r="AX256" t="s">
        <v>297</v>
      </c>
      <c r="AY256">
        <v>20</v>
      </c>
      <c r="AZ256">
        <v>2.5383999999999984</v>
      </c>
      <c r="BA256">
        <v>6.5679999999999996</v>
      </c>
      <c r="BB256">
        <v>22.719999999999995</v>
      </c>
      <c r="BC256">
        <v>0.15999999999999986</v>
      </c>
      <c r="BD256">
        <v>-1.4989999999999977</v>
      </c>
      <c r="BE256">
        <v>-4.2800000000000011</v>
      </c>
      <c r="BF256">
        <v>-1.6200000000000003</v>
      </c>
      <c r="BG256">
        <v>26</v>
      </c>
      <c r="BH256">
        <v>25</v>
      </c>
      <c r="BI256">
        <v>1.52</v>
      </c>
      <c r="BJ256">
        <v>20</v>
      </c>
      <c r="BK256">
        <v>16.75</v>
      </c>
      <c r="BL256">
        <v>21</v>
      </c>
      <c r="BM256">
        <v>-1.890884134935435E-2</v>
      </c>
      <c r="BN256">
        <v>5</v>
      </c>
      <c r="BO256">
        <v>-1.6915865415002133E-3</v>
      </c>
      <c r="BP256">
        <v>32</v>
      </c>
      <c r="BQ256">
        <v>5.7720000000000011</v>
      </c>
      <c r="BR256">
        <v>9</v>
      </c>
      <c r="BS256">
        <v>0.28000000000000008</v>
      </c>
      <c r="BT256">
        <v>-2.5200000000000018</v>
      </c>
      <c r="BU256">
        <v>5.3599999999999994</v>
      </c>
      <c r="BV256">
        <v>-1</v>
      </c>
      <c r="BW256">
        <v>15.320000000000004</v>
      </c>
      <c r="BX256">
        <v>-13.039999999999997</v>
      </c>
      <c r="BY256">
        <v>20.68</v>
      </c>
      <c r="BZ256">
        <v>3.16</v>
      </c>
      <c r="CA256">
        <v>4.5200000000000005</v>
      </c>
      <c r="CB256">
        <v>25</v>
      </c>
      <c r="CC256">
        <v>-4.0296000000000012</v>
      </c>
      <c r="CD256">
        <v>-3.0761199999999995</v>
      </c>
      <c r="CE256">
        <v>-33.72</v>
      </c>
      <c r="CF256">
        <v>0.83592499999999981</v>
      </c>
    </row>
    <row r="257" spans="1:84" x14ac:dyDescent="0.2">
      <c r="A257" s="39">
        <v>43793</v>
      </c>
      <c r="B257" s="22" t="s">
        <v>242</v>
      </c>
      <c r="C257" s="41" t="s">
        <v>306</v>
      </c>
      <c r="D257" s="22" t="s">
        <v>299</v>
      </c>
      <c r="E257">
        <v>12.2</v>
      </c>
      <c r="F257">
        <v>7.3</v>
      </c>
      <c r="G257">
        <v>1.6</v>
      </c>
      <c r="H257">
        <v>1.4</v>
      </c>
      <c r="I257">
        <v>4</v>
      </c>
      <c r="J257">
        <v>39</v>
      </c>
      <c r="K257" t="s">
        <v>110</v>
      </c>
      <c r="L257" s="1" t="s">
        <v>306</v>
      </c>
      <c r="M257">
        <v>32</v>
      </c>
      <c r="N257">
        <v>-10.224800000000002</v>
      </c>
      <c r="O257">
        <v>-5.48</v>
      </c>
      <c r="P257">
        <v>-4.272000000000002</v>
      </c>
      <c r="Q257">
        <v>-2.56</v>
      </c>
      <c r="R257">
        <v>-22.388800000000003</v>
      </c>
      <c r="S257">
        <v>-75.639999999999986</v>
      </c>
      <c r="T257">
        <v>-9.0799999999999983</v>
      </c>
      <c r="U257">
        <v>1</v>
      </c>
      <c r="V257">
        <v>1</v>
      </c>
      <c r="W257">
        <v>2.96</v>
      </c>
      <c r="X257">
        <v>1</v>
      </c>
      <c r="Y257">
        <v>5.25</v>
      </c>
      <c r="Z257">
        <v>9</v>
      </c>
      <c r="AA257">
        <v>-2.1725943196123587E-2</v>
      </c>
      <c r="AB257">
        <v>1</v>
      </c>
      <c r="AC257">
        <v>5.0374250467202217E-2</v>
      </c>
      <c r="AD257">
        <v>2</v>
      </c>
      <c r="AE257">
        <v>-5.6</v>
      </c>
      <c r="AF257">
        <v>9</v>
      </c>
      <c r="AG257">
        <v>2.04</v>
      </c>
      <c r="AH257">
        <v>-12.360000000000001</v>
      </c>
      <c r="AI257">
        <v>-10.64</v>
      </c>
      <c r="AJ257">
        <v>0.39999999999999986</v>
      </c>
      <c r="AK257">
        <v>-97.11999999999999</v>
      </c>
      <c r="AL257">
        <v>-85.44</v>
      </c>
      <c r="AM257">
        <v>-1.8</v>
      </c>
      <c r="AN257">
        <v>-3.9200000000000004</v>
      </c>
      <c r="AO257">
        <v>-5.96</v>
      </c>
      <c r="AP257">
        <v>24</v>
      </c>
      <c r="AQ257">
        <v>-4.7448000000000015</v>
      </c>
      <c r="AR257">
        <v>-3.7827200000000012</v>
      </c>
      <c r="AS257">
        <v>-83.64</v>
      </c>
      <c r="AT257">
        <v>4.7448000000000015</v>
      </c>
      <c r="AU257">
        <v>-4.6967000000000008</v>
      </c>
      <c r="AV257">
        <v>0.30522500000000019</v>
      </c>
      <c r="AW257">
        <v>-1.8680499999999995</v>
      </c>
      <c r="AX257" t="s">
        <v>299</v>
      </c>
      <c r="AY257">
        <v>3</v>
      </c>
      <c r="AZ257">
        <v>5.96</v>
      </c>
      <c r="BA257">
        <v>7.3520000000000003</v>
      </c>
      <c r="BB257">
        <v>-5.0719999999999992</v>
      </c>
      <c r="BC257">
        <v>-1.44</v>
      </c>
      <c r="BD257">
        <v>6.3559999999999999</v>
      </c>
      <c r="BE257">
        <v>24.04</v>
      </c>
      <c r="BF257">
        <v>1.64</v>
      </c>
      <c r="BG257">
        <v>12</v>
      </c>
      <c r="BH257">
        <v>12.5</v>
      </c>
      <c r="BI257">
        <v>2.04</v>
      </c>
      <c r="BJ257">
        <v>24</v>
      </c>
      <c r="BK257">
        <v>21</v>
      </c>
      <c r="BL257">
        <v>26</v>
      </c>
      <c r="BM257">
        <v>6.3497627772653217E-3</v>
      </c>
      <c r="BN257">
        <v>23</v>
      </c>
      <c r="BO257">
        <v>-5.7256306569020031E-3</v>
      </c>
      <c r="BP257">
        <v>5</v>
      </c>
      <c r="BQ257">
        <v>-9.4</v>
      </c>
      <c r="BR257">
        <v>30</v>
      </c>
      <c r="BS257">
        <v>-3.04</v>
      </c>
      <c r="BT257">
        <v>2.6</v>
      </c>
      <c r="BU257">
        <v>6.6</v>
      </c>
      <c r="BV257">
        <v>0.27999999999999992</v>
      </c>
      <c r="BW257">
        <v>46.680000000000014</v>
      </c>
      <c r="BX257">
        <v>45.760000000000005</v>
      </c>
      <c r="BY257">
        <v>-0.95999999999999941</v>
      </c>
      <c r="BZ257">
        <v>1.8800000000000003</v>
      </c>
      <c r="CA257">
        <v>0</v>
      </c>
      <c r="CB257">
        <v>22</v>
      </c>
      <c r="CC257">
        <v>-1.3920000000000008</v>
      </c>
      <c r="CD257">
        <v>-1.2128000000000001</v>
      </c>
      <c r="CE257">
        <v>46.720000000000006</v>
      </c>
      <c r="CF257">
        <v>2.4784999999999999</v>
      </c>
    </row>
    <row r="258" spans="1:84" x14ac:dyDescent="0.2">
      <c r="A258" s="39">
        <v>43800</v>
      </c>
      <c r="B258" s="22" t="s">
        <v>241</v>
      </c>
      <c r="C258" s="41" t="s">
        <v>285</v>
      </c>
      <c r="D258" s="22" t="s">
        <v>304</v>
      </c>
      <c r="E258">
        <v>11.6</v>
      </c>
      <c r="F258">
        <v>5.3</v>
      </c>
      <c r="G258">
        <v>6.6</v>
      </c>
      <c r="H258">
        <v>4.9000000000000004</v>
      </c>
      <c r="I258">
        <v>2.5</v>
      </c>
      <c r="J258">
        <v>47</v>
      </c>
      <c r="K258" t="s">
        <v>109</v>
      </c>
      <c r="L258" s="1" t="s">
        <v>285</v>
      </c>
      <c r="M258">
        <v>15</v>
      </c>
      <c r="N258">
        <v>0.40399999999999958</v>
      </c>
      <c r="O258">
        <v>-6.0179999999999989</v>
      </c>
      <c r="P258">
        <v>-22.839999999999996</v>
      </c>
      <c r="Q258">
        <v>-1.33</v>
      </c>
      <c r="R258">
        <v>-2.9759999999999982</v>
      </c>
      <c r="S258">
        <v>0.60000000000000231</v>
      </c>
      <c r="T258">
        <v>-4</v>
      </c>
      <c r="U258">
        <v>21</v>
      </c>
      <c r="V258">
        <v>20</v>
      </c>
      <c r="W258">
        <v>-3.2</v>
      </c>
      <c r="X258">
        <v>9</v>
      </c>
      <c r="Y258">
        <v>12.25</v>
      </c>
      <c r="Z258">
        <v>20</v>
      </c>
      <c r="AA258">
        <v>-2.177415583147101E-2</v>
      </c>
      <c r="AB258">
        <v>7</v>
      </c>
      <c r="AC258">
        <v>1.3498950159567712E-2</v>
      </c>
      <c r="AD258">
        <v>4</v>
      </c>
      <c r="AE258">
        <v>-8.6639999999999961</v>
      </c>
      <c r="AF258">
        <v>18</v>
      </c>
      <c r="AG258">
        <v>-0.23999999999999985</v>
      </c>
      <c r="AH258">
        <v>-9.16</v>
      </c>
      <c r="AI258">
        <v>-1.4</v>
      </c>
      <c r="AJ258">
        <v>-1.1199999999999999</v>
      </c>
      <c r="AK258">
        <v>-25.679999999999986</v>
      </c>
      <c r="AL258">
        <v>-4.9600000000000026</v>
      </c>
      <c r="AM258">
        <v>-22.279999999999998</v>
      </c>
      <c r="AN258">
        <v>-1.5599999999999998</v>
      </c>
      <c r="AO258">
        <v>3.1199999999999997</v>
      </c>
      <c r="AP258">
        <v>6</v>
      </c>
      <c r="AQ258">
        <v>6.4219999999999988</v>
      </c>
      <c r="AR258">
        <v>2.4945999999999997</v>
      </c>
      <c r="AS258">
        <v>17.319999999999993</v>
      </c>
      <c r="AT258">
        <v>-6.4219999999999988</v>
      </c>
      <c r="AU258">
        <v>-1.0587499999999994</v>
      </c>
      <c r="AV258">
        <v>1.6747624999999999</v>
      </c>
      <c r="AW258">
        <v>3.2849999999999997</v>
      </c>
      <c r="AX258" t="s">
        <v>304</v>
      </c>
      <c r="AY258">
        <v>16</v>
      </c>
      <c r="AZ258">
        <v>0.45520000000000138</v>
      </c>
      <c r="BA258">
        <v>-0.28200000000000114</v>
      </c>
      <c r="BB258">
        <v>-0.8000000000000016</v>
      </c>
      <c r="BC258">
        <v>0.62</v>
      </c>
      <c r="BD258">
        <v>3.142999999999998</v>
      </c>
      <c r="BE258">
        <v>14.539999999999996</v>
      </c>
      <c r="BF258">
        <v>6.23</v>
      </c>
      <c r="BG258">
        <v>28</v>
      </c>
      <c r="BH258">
        <v>26.5</v>
      </c>
      <c r="BI258">
        <v>0.23999999999999985</v>
      </c>
      <c r="BJ258">
        <v>14</v>
      </c>
      <c r="BK258">
        <v>15</v>
      </c>
      <c r="BL258">
        <v>22</v>
      </c>
      <c r="BM258">
        <v>-1.692048736449216E-2</v>
      </c>
      <c r="BN258">
        <v>10</v>
      </c>
      <c r="BO258">
        <v>9.979740436211651E-3</v>
      </c>
      <c r="BP258">
        <v>22</v>
      </c>
      <c r="BQ258">
        <v>2.5599999999999965</v>
      </c>
      <c r="BR258">
        <v>6</v>
      </c>
      <c r="BS258">
        <v>2.9599999999999995</v>
      </c>
      <c r="BT258">
        <v>9.8000000000000007</v>
      </c>
      <c r="BU258">
        <v>-3.5600000000000009</v>
      </c>
      <c r="BV258">
        <v>-0.08</v>
      </c>
      <c r="BW258">
        <v>14.439999999999987</v>
      </c>
      <c r="BX258">
        <v>16.920000000000005</v>
      </c>
      <c r="BY258">
        <v>3.9199999999999959</v>
      </c>
      <c r="BZ258">
        <v>-1.9600000000000002</v>
      </c>
      <c r="CA258">
        <v>-4.4399999999999995</v>
      </c>
      <c r="CB258">
        <v>14</v>
      </c>
      <c r="CC258">
        <v>0.73720000000000252</v>
      </c>
      <c r="CD258">
        <v>0.8606400000000004</v>
      </c>
      <c r="CE258">
        <v>13.000000000000009</v>
      </c>
      <c r="CF258">
        <v>6.4524999999999944E-2</v>
      </c>
    </row>
    <row r="259" spans="1:84" x14ac:dyDescent="0.2">
      <c r="A259" s="39">
        <v>43800</v>
      </c>
      <c r="B259" s="22" t="s">
        <v>241</v>
      </c>
      <c r="C259" s="41" t="s">
        <v>295</v>
      </c>
      <c r="D259" s="22" t="s">
        <v>307</v>
      </c>
      <c r="E259">
        <v>17.100000000000001</v>
      </c>
      <c r="F259">
        <v>16.2</v>
      </c>
      <c r="G259">
        <v>11.7</v>
      </c>
      <c r="H259">
        <v>14.1</v>
      </c>
      <c r="I259">
        <v>7</v>
      </c>
      <c r="J259">
        <v>48</v>
      </c>
      <c r="L259" s="1" t="s">
        <v>295</v>
      </c>
      <c r="M259">
        <v>22</v>
      </c>
      <c r="N259">
        <v>-0.94799999999999862</v>
      </c>
      <c r="O259">
        <v>-4.2439999999999998</v>
      </c>
      <c r="P259">
        <v>-13.919999999999998</v>
      </c>
      <c r="Q259">
        <v>-0.53999999999999981</v>
      </c>
      <c r="R259">
        <v>3.3300000000000018</v>
      </c>
      <c r="S259">
        <v>35.017200000000003</v>
      </c>
      <c r="T259">
        <v>2.5200000000000005</v>
      </c>
      <c r="U259">
        <v>4</v>
      </c>
      <c r="V259">
        <v>7</v>
      </c>
      <c r="W259">
        <v>2</v>
      </c>
      <c r="X259">
        <v>14</v>
      </c>
      <c r="Y259">
        <v>14</v>
      </c>
      <c r="Z259">
        <v>7</v>
      </c>
      <c r="AA259">
        <v>4.5047186471160516E-2</v>
      </c>
      <c r="AB259">
        <v>9</v>
      </c>
      <c r="AC259">
        <v>8.0550794135657092E-3</v>
      </c>
      <c r="AD259">
        <v>26</v>
      </c>
      <c r="AE259">
        <v>6.4720000000000013</v>
      </c>
      <c r="AF259">
        <v>14</v>
      </c>
      <c r="AG259">
        <v>0.35999999999999976</v>
      </c>
      <c r="AH259">
        <v>7.240000000000002</v>
      </c>
      <c r="AI259">
        <v>-1.4799999999999998</v>
      </c>
      <c r="AJ259">
        <v>0.27999999999999992</v>
      </c>
      <c r="AK259">
        <v>24.360000000000014</v>
      </c>
      <c r="AL259">
        <v>39.399999999999991</v>
      </c>
      <c r="AM259">
        <v>-7.2799999999999958</v>
      </c>
      <c r="AN259">
        <v>-3</v>
      </c>
      <c r="AO259">
        <v>-4.76</v>
      </c>
      <c r="AP259">
        <v>10</v>
      </c>
      <c r="AQ259">
        <v>3.2960000000000012</v>
      </c>
      <c r="AR259">
        <v>2.5984000000000003</v>
      </c>
      <c r="AS259">
        <v>46.679999999999986</v>
      </c>
      <c r="AT259">
        <v>-3.2960000000000012</v>
      </c>
      <c r="AU259">
        <v>-6.2749999999999528E-2</v>
      </c>
      <c r="AV259">
        <v>-1.396075</v>
      </c>
      <c r="AW259">
        <v>-2.1448999999999998</v>
      </c>
      <c r="AX259" t="s">
        <v>307</v>
      </c>
      <c r="AY259">
        <v>18</v>
      </c>
      <c r="AZ259">
        <v>-1.1999999999999993</v>
      </c>
      <c r="BA259">
        <v>-1.2899999999999996</v>
      </c>
      <c r="BB259">
        <v>-7.4500000000000028</v>
      </c>
      <c r="BC259">
        <v>0.59999999999999987</v>
      </c>
      <c r="BD259">
        <v>-3.8080000000000003</v>
      </c>
      <c r="BE259">
        <v>-31.840000000000003</v>
      </c>
      <c r="BF259">
        <v>0.16000000000000036</v>
      </c>
      <c r="BG259">
        <v>8</v>
      </c>
      <c r="BH259">
        <v>8.5</v>
      </c>
      <c r="BI259">
        <v>-4.0399999999999991</v>
      </c>
      <c r="BJ259">
        <v>17</v>
      </c>
      <c r="BK259">
        <v>16</v>
      </c>
      <c r="BL259">
        <v>6</v>
      </c>
      <c r="BM259">
        <v>3.6511983425626324E-2</v>
      </c>
      <c r="BN259">
        <v>18</v>
      </c>
      <c r="BO259">
        <v>-1.5946944742100927E-3</v>
      </c>
      <c r="BP259">
        <v>21</v>
      </c>
      <c r="BQ259">
        <v>1.4599999999999995</v>
      </c>
      <c r="BR259">
        <v>19</v>
      </c>
      <c r="BS259">
        <v>-0.35999999999999976</v>
      </c>
      <c r="BT259">
        <v>-1.6400000000000019</v>
      </c>
      <c r="BU259">
        <v>-1.6800000000000004</v>
      </c>
      <c r="BV259">
        <v>-1.1199999999999999</v>
      </c>
      <c r="BW259">
        <v>-40</v>
      </c>
      <c r="BX259">
        <v>-33.999999999999993</v>
      </c>
      <c r="BY259">
        <v>-15.84</v>
      </c>
      <c r="BZ259">
        <v>11.52</v>
      </c>
      <c r="CA259">
        <v>-1.6799999999999997</v>
      </c>
      <c r="CB259">
        <v>17</v>
      </c>
      <c r="CC259">
        <v>9.0000000000000302E-2</v>
      </c>
      <c r="CD259">
        <v>-0.35660000000000047</v>
      </c>
      <c r="CE259">
        <v>-18.159999999999993</v>
      </c>
      <c r="CF259">
        <v>-0.64724999999999999</v>
      </c>
    </row>
    <row r="260" spans="1:84" x14ac:dyDescent="0.2">
      <c r="A260" s="39">
        <v>43800</v>
      </c>
      <c r="B260" s="22" t="s">
        <v>241</v>
      </c>
      <c r="C260" s="41" t="s">
        <v>305</v>
      </c>
      <c r="D260" s="22" t="s">
        <v>256</v>
      </c>
      <c r="E260">
        <v>1.1000000000000001</v>
      </c>
      <c r="F260">
        <v>2.2000000000000002</v>
      </c>
      <c r="G260">
        <v>1.5</v>
      </c>
      <c r="H260">
        <f>14+5.1+1.4</f>
        <v>20.5</v>
      </c>
      <c r="I260">
        <v>-5.5</v>
      </c>
      <c r="J260">
        <v>45</v>
      </c>
      <c r="K260" t="s">
        <v>110</v>
      </c>
      <c r="L260" s="1" t="s">
        <v>305</v>
      </c>
      <c r="M260">
        <v>1</v>
      </c>
      <c r="N260">
        <v>11.3224</v>
      </c>
      <c r="O260">
        <v>4.5200000000000005</v>
      </c>
      <c r="P260">
        <v>26.840000000000003</v>
      </c>
      <c r="Q260">
        <v>-3.5599999999999996</v>
      </c>
      <c r="R260">
        <v>2.0863999999999994</v>
      </c>
      <c r="S260">
        <v>-22.36</v>
      </c>
      <c r="T260">
        <v>-5.28</v>
      </c>
      <c r="U260">
        <v>8</v>
      </c>
      <c r="V260">
        <v>8.5</v>
      </c>
      <c r="W260">
        <v>6.7200000000000006</v>
      </c>
      <c r="X260">
        <v>31</v>
      </c>
      <c r="Y260">
        <v>29.25</v>
      </c>
      <c r="Z260">
        <v>27</v>
      </c>
      <c r="AA260">
        <v>-6.8006433271882355E-2</v>
      </c>
      <c r="AB260">
        <v>31</v>
      </c>
      <c r="AC260">
        <v>-3.1046593028629343E-2</v>
      </c>
      <c r="AD260">
        <v>27</v>
      </c>
      <c r="AE260">
        <v>8.7000000000000046</v>
      </c>
      <c r="AF260">
        <v>32</v>
      </c>
      <c r="AG260">
        <v>-7.4</v>
      </c>
      <c r="AH260">
        <v>-2.0400000000000018</v>
      </c>
      <c r="AI260">
        <v>15.120000000000001</v>
      </c>
      <c r="AJ260">
        <v>2.8</v>
      </c>
      <c r="AK260">
        <v>50.44</v>
      </c>
      <c r="AL260">
        <v>-34.4</v>
      </c>
      <c r="AM260">
        <v>33</v>
      </c>
      <c r="AN260">
        <v>-1.3199999999999998</v>
      </c>
      <c r="AO260">
        <v>53.160000000000004</v>
      </c>
      <c r="AP260">
        <v>5</v>
      </c>
      <c r="AQ260">
        <v>6.8023999999999996</v>
      </c>
      <c r="AR260">
        <v>0.42175999999999947</v>
      </c>
      <c r="AS260">
        <v>-67.400000000000006</v>
      </c>
      <c r="AT260">
        <v>-6.8023999999999996</v>
      </c>
      <c r="AU260">
        <v>2.5661000000000005</v>
      </c>
      <c r="AV260">
        <v>-2.0896000000000003</v>
      </c>
      <c r="AW260">
        <v>-2.2250000000000005</v>
      </c>
      <c r="AX260" t="s">
        <v>256</v>
      </c>
      <c r="AY260">
        <v>22</v>
      </c>
      <c r="AZ260">
        <v>-1.7615999999999978</v>
      </c>
      <c r="BA260">
        <v>-4.5640000000000001</v>
      </c>
      <c r="BB260">
        <v>-9.0800000000000054</v>
      </c>
      <c r="BC260">
        <v>-8.0000000000000071E-2</v>
      </c>
      <c r="BD260">
        <v>-8.3480000000000025</v>
      </c>
      <c r="BE260">
        <v>-47.320000000000007</v>
      </c>
      <c r="BF260">
        <v>-0.76</v>
      </c>
      <c r="BG260">
        <v>18</v>
      </c>
      <c r="BH260">
        <v>20</v>
      </c>
      <c r="BI260">
        <v>-1.3199999999999998</v>
      </c>
      <c r="BJ260">
        <v>13</v>
      </c>
      <c r="BK260">
        <v>14.75</v>
      </c>
      <c r="BL260">
        <v>23</v>
      </c>
      <c r="BM260">
        <v>-2.1686095960207569E-2</v>
      </c>
      <c r="BN260">
        <v>8</v>
      </c>
      <c r="BO260">
        <v>1.7815116394958905E-2</v>
      </c>
      <c r="BP260">
        <v>24</v>
      </c>
      <c r="BQ260">
        <v>6.4040000000000017</v>
      </c>
      <c r="BR260">
        <v>4</v>
      </c>
      <c r="BS260">
        <v>3.6</v>
      </c>
      <c r="BT260">
        <v>2.8400000000000007</v>
      </c>
      <c r="BU260">
        <v>-4.3600000000000012</v>
      </c>
      <c r="BV260">
        <v>0.27999999999999992</v>
      </c>
      <c r="BW260">
        <v>-37.720000000000006</v>
      </c>
      <c r="BX260">
        <v>-48.399999999999991</v>
      </c>
      <c r="BY260">
        <v>-7.6800000000000015</v>
      </c>
      <c r="BZ260">
        <v>2.88</v>
      </c>
      <c r="CA260">
        <v>15.48</v>
      </c>
      <c r="CB260">
        <v>10</v>
      </c>
      <c r="CC260">
        <v>2.8024000000000022</v>
      </c>
      <c r="CD260">
        <v>0.26007999999999987</v>
      </c>
      <c r="CE260">
        <v>-40.719999999999992</v>
      </c>
      <c r="CF260">
        <v>-1.9542000000000002</v>
      </c>
    </row>
    <row r="261" spans="1:84" x14ac:dyDescent="0.2">
      <c r="A261" s="39">
        <v>43800</v>
      </c>
      <c r="B261" s="22" t="s">
        <v>241</v>
      </c>
      <c r="C261" s="41" t="s">
        <v>276</v>
      </c>
      <c r="D261" s="22" t="s">
        <v>291</v>
      </c>
      <c r="E261">
        <v>10.72</v>
      </c>
      <c r="F261">
        <v>26</v>
      </c>
      <c r="G261">
        <v>6.4</v>
      </c>
      <c r="H261">
        <v>4.7</v>
      </c>
      <c r="I261">
        <v>6.5</v>
      </c>
      <c r="J261">
        <v>46.5</v>
      </c>
      <c r="L261" s="1" t="s">
        <v>276</v>
      </c>
      <c r="M261">
        <v>4</v>
      </c>
      <c r="N261">
        <v>4.6040000000000019</v>
      </c>
      <c r="O261">
        <v>-2.4239999999999995</v>
      </c>
      <c r="P261">
        <v>11.280000000000001</v>
      </c>
      <c r="Q261">
        <v>-1.4</v>
      </c>
      <c r="R261">
        <v>-1.5567999999999973</v>
      </c>
      <c r="S261">
        <v>-8.3500000000000032</v>
      </c>
      <c r="T261">
        <v>-2.7</v>
      </c>
      <c r="U261">
        <v>25</v>
      </c>
      <c r="V261">
        <v>23</v>
      </c>
      <c r="W261">
        <v>3.3200000000000003</v>
      </c>
      <c r="X261">
        <v>24</v>
      </c>
      <c r="Y261">
        <v>20.75</v>
      </c>
      <c r="Z261">
        <v>25</v>
      </c>
      <c r="AA261">
        <v>-5.4412894026133182E-2</v>
      </c>
      <c r="AB261">
        <v>25</v>
      </c>
      <c r="AC261">
        <v>-1.9035363887131694E-2</v>
      </c>
      <c r="AD261">
        <v>5</v>
      </c>
      <c r="AE261">
        <v>-8.275999999999998</v>
      </c>
      <c r="AF261">
        <v>28</v>
      </c>
      <c r="AG261">
        <v>-3.8</v>
      </c>
      <c r="AH261">
        <v>1.6400000000000035</v>
      </c>
      <c r="AI261">
        <v>2.0800000000000005</v>
      </c>
      <c r="AJ261">
        <v>0.24000000000000005</v>
      </c>
      <c r="AK261">
        <v>11.04000000000001</v>
      </c>
      <c r="AL261">
        <v>-19.999999999999993</v>
      </c>
      <c r="AM261">
        <v>8.8800000000000043</v>
      </c>
      <c r="AN261">
        <v>4.08</v>
      </c>
      <c r="AO261">
        <v>18.079999999999998</v>
      </c>
      <c r="AP261">
        <v>4</v>
      </c>
      <c r="AQ261">
        <v>7.0280000000000014</v>
      </c>
      <c r="AR261">
        <v>1.8214400000000004</v>
      </c>
      <c r="AS261">
        <v>-28.879999999999995</v>
      </c>
      <c r="AT261">
        <v>-7.0280000000000014</v>
      </c>
      <c r="AU261">
        <v>4.2900000000000535E-2</v>
      </c>
      <c r="AV261">
        <v>-0.97487499999999994</v>
      </c>
      <c r="AW261">
        <v>-1.3582000000000001</v>
      </c>
      <c r="AX261" t="s">
        <v>291</v>
      </c>
      <c r="AY261">
        <v>19</v>
      </c>
      <c r="AZ261">
        <v>-1.3959999999999979</v>
      </c>
      <c r="BA261">
        <v>2.0324000000000009</v>
      </c>
      <c r="BB261">
        <v>6.1999999999999993</v>
      </c>
      <c r="BC261">
        <v>-0.48000000000000009</v>
      </c>
      <c r="BD261">
        <v>-6.3288000000000011</v>
      </c>
      <c r="BE261">
        <v>-38.400000000000006</v>
      </c>
      <c r="BF261">
        <v>-2.6799999999999993</v>
      </c>
      <c r="BG261">
        <v>7</v>
      </c>
      <c r="BH261">
        <v>7</v>
      </c>
      <c r="BI261">
        <v>-1.64</v>
      </c>
      <c r="BJ261">
        <v>15</v>
      </c>
      <c r="BK261">
        <v>15.75</v>
      </c>
      <c r="BL261">
        <v>7</v>
      </c>
      <c r="BM261">
        <v>3.4832802812091015E-2</v>
      </c>
      <c r="BN261">
        <v>7</v>
      </c>
      <c r="BO261">
        <v>1.9370085594713704E-2</v>
      </c>
      <c r="BP261">
        <v>28</v>
      </c>
      <c r="BQ261">
        <v>9.8560000000000034</v>
      </c>
      <c r="BR261">
        <v>21</v>
      </c>
      <c r="BS261">
        <v>-0.48000000000000009</v>
      </c>
      <c r="BT261">
        <v>-1.1200000000000003</v>
      </c>
      <c r="BU261">
        <v>1.0399999999999998</v>
      </c>
      <c r="BV261">
        <v>-0.6399999999999999</v>
      </c>
      <c r="BW261">
        <v>-28.24</v>
      </c>
      <c r="BX261">
        <v>-39.799999999999997</v>
      </c>
      <c r="BY261">
        <v>0.52000000000000313</v>
      </c>
      <c r="BZ261">
        <v>-0.31999999999999995</v>
      </c>
      <c r="CA261">
        <v>11.36</v>
      </c>
      <c r="CB261">
        <v>23</v>
      </c>
      <c r="CC261">
        <v>-3.4283999999999986</v>
      </c>
      <c r="CD261">
        <v>-2.5611600000000001</v>
      </c>
      <c r="CE261">
        <v>-40.32</v>
      </c>
      <c r="CF261">
        <v>-0.5915499999999998</v>
      </c>
    </row>
    <row r="262" spans="1:84" x14ac:dyDescent="0.2">
      <c r="A262" s="39">
        <v>43800</v>
      </c>
      <c r="B262" s="22" t="s">
        <v>241</v>
      </c>
      <c r="C262" s="41" t="s">
        <v>301</v>
      </c>
      <c r="D262" s="22" t="s">
        <v>306</v>
      </c>
      <c r="E262">
        <v>19.2</v>
      </c>
      <c r="F262">
        <v>16.5</v>
      </c>
      <c r="G262">
        <v>6.4</v>
      </c>
      <c r="H262">
        <f>6.4+5.2</f>
        <v>11.600000000000001</v>
      </c>
      <c r="I262">
        <v>10.5</v>
      </c>
      <c r="J262">
        <v>38.5</v>
      </c>
      <c r="K262" t="s">
        <v>110</v>
      </c>
      <c r="L262" s="1" t="s">
        <v>301</v>
      </c>
      <c r="M262">
        <v>13</v>
      </c>
      <c r="N262">
        <v>0.72400000000000164</v>
      </c>
      <c r="O262">
        <v>8.7419999999999991</v>
      </c>
      <c r="P262">
        <v>2.240000000000002</v>
      </c>
      <c r="Q262">
        <v>2.7900000000000005</v>
      </c>
      <c r="R262">
        <v>0.35000000000000053</v>
      </c>
      <c r="S262">
        <v>-7.3699999999999992</v>
      </c>
      <c r="T262">
        <v>-0.41000000000000014</v>
      </c>
      <c r="U262">
        <v>32</v>
      </c>
      <c r="V262">
        <v>31.5</v>
      </c>
      <c r="W262">
        <v>-1.4799999999999995</v>
      </c>
      <c r="X262">
        <v>4</v>
      </c>
      <c r="Y262">
        <v>8.5</v>
      </c>
      <c r="Z262">
        <v>4</v>
      </c>
      <c r="AA262">
        <v>6.6097753161763223E-2</v>
      </c>
      <c r="AB262">
        <v>6</v>
      </c>
      <c r="AC262">
        <v>1.8820344205210567E-2</v>
      </c>
      <c r="AD262">
        <v>17</v>
      </c>
      <c r="AE262">
        <v>-0.15999999999999942</v>
      </c>
      <c r="AF262">
        <v>7</v>
      </c>
      <c r="AG262">
        <v>2.6399999999999997</v>
      </c>
      <c r="AH262">
        <v>4.1200000000000019</v>
      </c>
      <c r="AI262">
        <v>-1.64</v>
      </c>
      <c r="AJ262">
        <v>-0.27999999999999997</v>
      </c>
      <c r="AK262">
        <v>7.4800000000000066</v>
      </c>
      <c r="AL262">
        <v>9.7999999999999936</v>
      </c>
      <c r="AM262">
        <v>-2.3200000000000016</v>
      </c>
      <c r="AN262">
        <v>5.08</v>
      </c>
      <c r="AO262">
        <v>-5.08</v>
      </c>
      <c r="AP262">
        <v>29</v>
      </c>
      <c r="AQ262">
        <v>-8.0179999999999971</v>
      </c>
      <c r="AR262">
        <v>-4.1561999999999992</v>
      </c>
      <c r="AS262">
        <v>12.119999999999996</v>
      </c>
      <c r="AT262">
        <v>8.0179999999999971</v>
      </c>
      <c r="AU262">
        <v>0.76700000000000013</v>
      </c>
      <c r="AV262">
        <v>0.41262500000000041</v>
      </c>
      <c r="AW262">
        <v>1.1956000000000002</v>
      </c>
      <c r="AX262" t="s">
        <v>306</v>
      </c>
      <c r="AY262">
        <v>22</v>
      </c>
      <c r="AZ262">
        <v>-1.7583999999999982</v>
      </c>
      <c r="BA262">
        <v>-0.27559999999999857</v>
      </c>
      <c r="BB262">
        <v>18.679999999999996</v>
      </c>
      <c r="BC262">
        <v>-0.6399999999999999</v>
      </c>
      <c r="BD262">
        <v>-1.488799999999999</v>
      </c>
      <c r="BE262">
        <v>-9.7600000000000069</v>
      </c>
      <c r="BF262">
        <v>-3.1199999999999997</v>
      </c>
      <c r="BG262">
        <v>12</v>
      </c>
      <c r="BH262">
        <v>12.5</v>
      </c>
      <c r="BI262">
        <v>1.7200000000000002</v>
      </c>
      <c r="BJ262">
        <v>3</v>
      </c>
      <c r="BK262">
        <v>8</v>
      </c>
      <c r="BL262">
        <v>13</v>
      </c>
      <c r="BM262">
        <v>2.5075482480320988E-3</v>
      </c>
      <c r="BN262">
        <v>2</v>
      </c>
      <c r="BO262">
        <v>3.5944845989316673E-2</v>
      </c>
      <c r="BP262">
        <v>9</v>
      </c>
      <c r="BQ262">
        <v>-3.8039999999999976</v>
      </c>
      <c r="BR262">
        <v>8</v>
      </c>
      <c r="BS262">
        <v>2.52</v>
      </c>
      <c r="BT262">
        <v>1.8800000000000026</v>
      </c>
      <c r="BU262">
        <v>0.6</v>
      </c>
      <c r="BV262">
        <v>-1</v>
      </c>
      <c r="BW262">
        <v>-0.11999999999999318</v>
      </c>
      <c r="BX262">
        <v>-16.359999999999996</v>
      </c>
      <c r="BY262">
        <v>19.880000000000003</v>
      </c>
      <c r="BZ262">
        <v>-5.6</v>
      </c>
      <c r="CA262">
        <v>1.9599999999999997</v>
      </c>
      <c r="CB262">
        <v>22</v>
      </c>
      <c r="CC262">
        <v>-1.4827999999999997</v>
      </c>
      <c r="CD262">
        <v>-0.51164000000000021</v>
      </c>
      <c r="CE262">
        <v>-36.239999999999995</v>
      </c>
      <c r="CF262">
        <v>-0.3703499999999994</v>
      </c>
    </row>
    <row r="263" spans="1:84" x14ac:dyDescent="0.2">
      <c r="A263" s="39">
        <v>43800</v>
      </c>
      <c r="B263" s="22" t="s">
        <v>241</v>
      </c>
      <c r="C263" s="41" t="s">
        <v>265</v>
      </c>
      <c r="D263" s="22" t="s">
        <v>299</v>
      </c>
      <c r="E263">
        <v>22.6</v>
      </c>
      <c r="F263">
        <v>26</v>
      </c>
      <c r="G263">
        <v>10.6</v>
      </c>
      <c r="H263">
        <v>8.8000000000000007</v>
      </c>
      <c r="I263">
        <v>-5.5</v>
      </c>
      <c r="J263">
        <v>37.5</v>
      </c>
      <c r="L263" s="1" t="s">
        <v>265</v>
      </c>
      <c r="M263">
        <v>23</v>
      </c>
      <c r="N263">
        <v>-3.1352000000000002</v>
      </c>
      <c r="O263">
        <v>-0.32400000000000029</v>
      </c>
      <c r="P263">
        <v>-10.544000000000004</v>
      </c>
      <c r="Q263">
        <v>1.8000000000000003</v>
      </c>
      <c r="R263">
        <v>-7.0799999999999983</v>
      </c>
      <c r="S263">
        <v>-27.319999999999993</v>
      </c>
      <c r="T263">
        <v>-0.11999999999999988</v>
      </c>
      <c r="U263">
        <v>30</v>
      </c>
      <c r="V263">
        <v>29.5</v>
      </c>
      <c r="W263">
        <v>-3.88</v>
      </c>
      <c r="X263">
        <v>18</v>
      </c>
      <c r="Y263">
        <v>15.5</v>
      </c>
      <c r="Z263">
        <v>20</v>
      </c>
      <c r="AA263">
        <v>-2.2299210040452978E-2</v>
      </c>
      <c r="AB263">
        <v>11</v>
      </c>
      <c r="AC263">
        <v>5.0643597799620767E-3</v>
      </c>
      <c r="AD263">
        <v>20</v>
      </c>
      <c r="AE263">
        <v>0.92399999999999805</v>
      </c>
      <c r="AF263">
        <v>11</v>
      </c>
      <c r="AG263">
        <v>0.75999999999999979</v>
      </c>
      <c r="AH263">
        <v>-3.4800000000000013</v>
      </c>
      <c r="AI263">
        <v>-5.2799999999999994</v>
      </c>
      <c r="AJ263">
        <v>-1.6800000000000002</v>
      </c>
      <c r="AK263">
        <v>-57.959999999999994</v>
      </c>
      <c r="AL263">
        <v>-32.04</v>
      </c>
      <c r="AM263">
        <v>-15.640000000000004</v>
      </c>
      <c r="AN263">
        <v>-4.5200000000000005</v>
      </c>
      <c r="AO263">
        <v>-5.76</v>
      </c>
      <c r="AP263">
        <v>19</v>
      </c>
      <c r="AQ263">
        <v>-2.8111999999999999</v>
      </c>
      <c r="AR263">
        <v>-1.8810399999999998</v>
      </c>
      <c r="AS263">
        <v>-16.399999999999995</v>
      </c>
      <c r="AT263">
        <v>2.8111999999999999</v>
      </c>
      <c r="AU263">
        <v>-1.7554000000000001</v>
      </c>
      <c r="AV263">
        <v>0.6042500000000004</v>
      </c>
      <c r="AW263">
        <v>-1.3204000000000002</v>
      </c>
      <c r="AX263" t="s">
        <v>299</v>
      </c>
      <c r="AY263">
        <v>3</v>
      </c>
      <c r="AZ263">
        <v>5.4072000000000013</v>
      </c>
      <c r="BA263">
        <v>3.9880000000000009</v>
      </c>
      <c r="BB263">
        <v>-6.5919999999999987</v>
      </c>
      <c r="BC263">
        <v>-1.24</v>
      </c>
      <c r="BD263">
        <v>9.3960000000000008</v>
      </c>
      <c r="BE263">
        <v>40.440000000000005</v>
      </c>
      <c r="BF263">
        <v>1.9999999999999993</v>
      </c>
      <c r="BG263">
        <v>12</v>
      </c>
      <c r="BH263">
        <v>12.5</v>
      </c>
      <c r="BI263">
        <v>1.9600000000000004</v>
      </c>
      <c r="BJ263">
        <v>24</v>
      </c>
      <c r="BK263">
        <v>21</v>
      </c>
      <c r="BL263">
        <v>26</v>
      </c>
      <c r="BM263">
        <v>-3.1228005055085616E-2</v>
      </c>
      <c r="BN263">
        <v>23</v>
      </c>
      <c r="BO263">
        <v>-6.8051663324504878E-3</v>
      </c>
      <c r="BP263">
        <v>5</v>
      </c>
      <c r="BQ263">
        <v>-7.0330000000000013</v>
      </c>
      <c r="BR263">
        <v>30</v>
      </c>
      <c r="BS263">
        <v>-4.0400000000000009</v>
      </c>
      <c r="BT263">
        <v>1.7599999999999993</v>
      </c>
      <c r="BU263">
        <v>6.8</v>
      </c>
      <c r="BV263">
        <v>0.55999999999999983</v>
      </c>
      <c r="BW263">
        <v>49.919999999999995</v>
      </c>
      <c r="BX263">
        <v>44.56</v>
      </c>
      <c r="BY263">
        <v>-1.2400000000000007</v>
      </c>
      <c r="BZ263">
        <v>4.4799999999999995</v>
      </c>
      <c r="CA263">
        <v>2.12</v>
      </c>
      <c r="CB263">
        <v>13</v>
      </c>
      <c r="CC263">
        <v>1.4192</v>
      </c>
      <c r="CD263">
        <v>0.96664000000000017</v>
      </c>
      <c r="CE263">
        <v>45.800000000000004</v>
      </c>
      <c r="CF263">
        <v>2.528900000000001</v>
      </c>
    </row>
    <row r="264" spans="1:84" x14ac:dyDescent="0.2">
      <c r="A264" s="39">
        <v>43800</v>
      </c>
      <c r="B264" s="22" t="s">
        <v>241</v>
      </c>
      <c r="C264" s="17" t="s">
        <v>272</v>
      </c>
      <c r="D264" s="22" t="s">
        <v>298</v>
      </c>
      <c r="E264">
        <v>16.899999999999999</v>
      </c>
      <c r="F264">
        <v>10.6</v>
      </c>
      <c r="G264">
        <v>4.0999999999999996</v>
      </c>
      <c r="H264">
        <v>12.3</v>
      </c>
      <c r="I264">
        <v>2.5</v>
      </c>
      <c r="J264">
        <v>43</v>
      </c>
      <c r="K264" t="s">
        <v>109</v>
      </c>
      <c r="L264" s="1" t="s">
        <v>272</v>
      </c>
      <c r="M264">
        <v>27</v>
      </c>
      <c r="N264">
        <v>-3.5823999999999989</v>
      </c>
      <c r="O264">
        <v>1.1839999999999997</v>
      </c>
      <c r="P264">
        <v>15.160000000000002</v>
      </c>
      <c r="Q264">
        <v>-0.31999999999999995</v>
      </c>
      <c r="R264">
        <v>-5.4200000000000026</v>
      </c>
      <c r="S264">
        <v>-7.2799999999999958</v>
      </c>
      <c r="T264">
        <v>1.1599999999999993</v>
      </c>
      <c r="U264">
        <v>12</v>
      </c>
      <c r="V264">
        <v>11.5</v>
      </c>
      <c r="W264">
        <v>-2</v>
      </c>
      <c r="X264">
        <v>10</v>
      </c>
      <c r="Y264">
        <v>12.75</v>
      </c>
      <c r="Z264">
        <v>13</v>
      </c>
      <c r="AA264">
        <v>2.0638211933368188E-2</v>
      </c>
      <c r="AB264">
        <v>15</v>
      </c>
      <c r="AC264">
        <v>1.9499198044581416E-3</v>
      </c>
      <c r="AD264">
        <v>11</v>
      </c>
      <c r="AE264">
        <v>-3.3760000000000021</v>
      </c>
      <c r="AF264">
        <v>12</v>
      </c>
      <c r="AG264">
        <v>0.6</v>
      </c>
      <c r="AH264">
        <v>1.3999999999999986</v>
      </c>
      <c r="AI264">
        <v>-4.2</v>
      </c>
      <c r="AJ264">
        <v>-1.0399999999999998</v>
      </c>
      <c r="AK264">
        <v>-1.7599999999999909</v>
      </c>
      <c r="AL264">
        <v>-15.119999999999994</v>
      </c>
      <c r="AM264">
        <v>9.52</v>
      </c>
      <c r="AN264">
        <v>1.0799999999999998</v>
      </c>
      <c r="AO264">
        <v>2.7599999999999993</v>
      </c>
      <c r="AP264">
        <v>23</v>
      </c>
      <c r="AQ264">
        <v>-4.7663999999999991</v>
      </c>
      <c r="AR264">
        <v>-2.3924799999999999</v>
      </c>
      <c r="AS264">
        <v>-24.639999999999993</v>
      </c>
      <c r="AT264">
        <v>4.7663999999999991</v>
      </c>
      <c r="AU264">
        <v>-0.88730000000000031</v>
      </c>
      <c r="AV264">
        <v>0.39348749999999988</v>
      </c>
      <c r="AW264">
        <v>0.45437500000000003</v>
      </c>
      <c r="AX264" t="s">
        <v>298</v>
      </c>
      <c r="AY264">
        <v>9</v>
      </c>
      <c r="AZ264">
        <v>3.1048000000000004</v>
      </c>
      <c r="BA264">
        <v>-5.1840000000000002</v>
      </c>
      <c r="BB264">
        <v>-35.992000000000004</v>
      </c>
      <c r="BC264">
        <v>0.83999999999999986</v>
      </c>
      <c r="BD264">
        <v>6.8439999999999976</v>
      </c>
      <c r="BE264">
        <v>18.600000000000001</v>
      </c>
      <c r="BF264">
        <v>0.52</v>
      </c>
      <c r="BG264">
        <v>24</v>
      </c>
      <c r="BH264">
        <v>23</v>
      </c>
      <c r="BI264">
        <v>-0.2</v>
      </c>
      <c r="BJ264">
        <v>23</v>
      </c>
      <c r="BK264">
        <v>20</v>
      </c>
      <c r="BL264">
        <v>32</v>
      </c>
      <c r="BM264">
        <v>-9.9181619144643671E-2</v>
      </c>
      <c r="BN264">
        <v>22</v>
      </c>
      <c r="BO264">
        <v>-5.60884888565136E-3</v>
      </c>
      <c r="BP264">
        <v>11</v>
      </c>
      <c r="BQ264">
        <v>-2.961000000000003</v>
      </c>
      <c r="BR264">
        <v>15</v>
      </c>
      <c r="BS264">
        <v>0.31999999999999995</v>
      </c>
      <c r="BT264">
        <v>0.32000000000000028</v>
      </c>
      <c r="BU264">
        <v>0.99999999999999967</v>
      </c>
      <c r="BV264">
        <v>-0.19999999999999996</v>
      </c>
      <c r="BW264">
        <v>-33.559999999999988</v>
      </c>
      <c r="BX264">
        <v>14.8</v>
      </c>
      <c r="BY264">
        <v>-36.44</v>
      </c>
      <c r="BZ264">
        <v>-5.44</v>
      </c>
      <c r="CA264">
        <v>-6.4799999999999995</v>
      </c>
      <c r="CB264">
        <v>3</v>
      </c>
      <c r="CC264">
        <v>8.2888000000000019</v>
      </c>
      <c r="CD264">
        <v>4.5817600000000001</v>
      </c>
      <c r="CE264">
        <v>51.239999999999995</v>
      </c>
      <c r="CF264">
        <v>0.33259999999999978</v>
      </c>
    </row>
    <row r="265" spans="1:84" x14ac:dyDescent="0.2">
      <c r="A265" s="39">
        <v>43800</v>
      </c>
      <c r="B265" s="22" t="s">
        <v>241</v>
      </c>
      <c r="C265" s="41" t="s">
        <v>281</v>
      </c>
      <c r="D265" s="22" t="s">
        <v>309</v>
      </c>
      <c r="E265">
        <v>5.9</v>
      </c>
      <c r="F265">
        <v>13.6</v>
      </c>
      <c r="G265">
        <v>0</v>
      </c>
      <c r="H265">
        <v>8.1</v>
      </c>
      <c r="I265">
        <v>-1</v>
      </c>
      <c r="J265">
        <v>40</v>
      </c>
      <c r="L265" s="1" t="s">
        <v>281</v>
      </c>
      <c r="M265">
        <v>11</v>
      </c>
      <c r="N265">
        <v>2.1839999999999993</v>
      </c>
      <c r="O265">
        <v>7.1959999999999997</v>
      </c>
      <c r="P265">
        <v>20.199999999999996</v>
      </c>
      <c r="Q265">
        <v>2.2800000000000002</v>
      </c>
      <c r="R265">
        <v>1.2399999999999993</v>
      </c>
      <c r="S265">
        <v>6.879999999999999</v>
      </c>
      <c r="T265">
        <v>-0.16000000000000147</v>
      </c>
      <c r="U265">
        <v>4</v>
      </c>
      <c r="V265">
        <v>7</v>
      </c>
      <c r="W265">
        <v>-0.35999999999999976</v>
      </c>
      <c r="X265">
        <v>30</v>
      </c>
      <c r="Y265">
        <v>29</v>
      </c>
      <c r="Z265">
        <v>31</v>
      </c>
      <c r="AA265">
        <v>-8.0699115689901915E-2</v>
      </c>
      <c r="AB265">
        <v>30</v>
      </c>
      <c r="AC265">
        <v>-2.7808466700446888E-2</v>
      </c>
      <c r="AD265">
        <v>24</v>
      </c>
      <c r="AE265">
        <v>3.3559999999999945</v>
      </c>
      <c r="AF265">
        <v>31</v>
      </c>
      <c r="AG265">
        <v>-5.4399999999999995</v>
      </c>
      <c r="AH265">
        <v>3.88</v>
      </c>
      <c r="AI265">
        <v>5.2</v>
      </c>
      <c r="AJ265">
        <v>-1.2400000000000002</v>
      </c>
      <c r="AK265">
        <v>22.04</v>
      </c>
      <c r="AL265">
        <v>11.600000000000005</v>
      </c>
      <c r="AM265">
        <v>19.360000000000003</v>
      </c>
      <c r="AN265">
        <v>-4.32</v>
      </c>
      <c r="AO265">
        <v>-4.5999999999999996</v>
      </c>
      <c r="AP265">
        <v>24</v>
      </c>
      <c r="AQ265">
        <v>-5.0120000000000005</v>
      </c>
      <c r="AR265">
        <v>-2.9132000000000002</v>
      </c>
      <c r="AS265">
        <v>-7.759999999999998</v>
      </c>
      <c r="AT265">
        <v>5.0120000000000005</v>
      </c>
      <c r="AU265">
        <v>1.5324999999999998</v>
      </c>
      <c r="AV265">
        <v>-1.1652281250000001</v>
      </c>
      <c r="AW265">
        <v>-0.47775624999999999</v>
      </c>
      <c r="AX265" t="s">
        <v>309</v>
      </c>
      <c r="AY265">
        <v>31</v>
      </c>
      <c r="AZ265">
        <v>-2.0456000000000008</v>
      </c>
      <c r="BA265">
        <v>-6.9720000000000004</v>
      </c>
      <c r="BB265">
        <v>-12.880000000000003</v>
      </c>
      <c r="BC265">
        <v>-0.88</v>
      </c>
      <c r="BD265">
        <v>-3.2039999999999997</v>
      </c>
      <c r="BE265">
        <v>-18.279999999999994</v>
      </c>
      <c r="BF265">
        <v>-0.43999999999999978</v>
      </c>
      <c r="BG265">
        <v>30</v>
      </c>
      <c r="BH265">
        <v>27.5</v>
      </c>
      <c r="BI265">
        <v>3.04</v>
      </c>
      <c r="BJ265">
        <v>1</v>
      </c>
      <c r="BK265">
        <v>5.25</v>
      </c>
      <c r="BL265">
        <v>2</v>
      </c>
      <c r="BM265">
        <v>0.14617023681082211</v>
      </c>
      <c r="BN265">
        <v>1</v>
      </c>
      <c r="BO265">
        <v>4.1530291182080327E-2</v>
      </c>
      <c r="BP265">
        <v>16</v>
      </c>
      <c r="BQ265">
        <v>-0.84000000000000341</v>
      </c>
      <c r="BR265">
        <v>2</v>
      </c>
      <c r="BS265">
        <v>5.88</v>
      </c>
      <c r="BT265">
        <v>-1.9200000000000004</v>
      </c>
      <c r="BU265">
        <v>-5.28</v>
      </c>
      <c r="BV265">
        <v>1.4</v>
      </c>
      <c r="BW265">
        <v>-42.279999999999987</v>
      </c>
      <c r="BX265">
        <v>-27.959999999999997</v>
      </c>
      <c r="BY265">
        <v>-14.680000000000001</v>
      </c>
      <c r="BZ265">
        <v>2.92</v>
      </c>
      <c r="CA265">
        <v>-2.5599999999999996</v>
      </c>
      <c r="CB265">
        <v>6</v>
      </c>
      <c r="CC265">
        <v>4.9263999999999992</v>
      </c>
      <c r="CD265">
        <v>2.43608</v>
      </c>
      <c r="CE265">
        <v>-13.279999999999996</v>
      </c>
      <c r="CF265">
        <v>-1.8527</v>
      </c>
    </row>
    <row r="266" spans="1:84" x14ac:dyDescent="0.2">
      <c r="A266" s="39">
        <v>43800</v>
      </c>
      <c r="B266" s="22" t="s">
        <v>241</v>
      </c>
      <c r="C266" s="41" t="s">
        <v>291</v>
      </c>
      <c r="D266" s="22" t="s">
        <v>276</v>
      </c>
      <c r="E266">
        <v>16.5</v>
      </c>
      <c r="F266">
        <v>9.3000000000000007</v>
      </c>
      <c r="G266">
        <v>8.5</v>
      </c>
      <c r="H266">
        <f>18.2+2.9</f>
        <v>21.099999999999998</v>
      </c>
      <c r="I266">
        <v>-6.5</v>
      </c>
      <c r="J266">
        <v>46.5</v>
      </c>
      <c r="L266" s="1" t="s">
        <v>291</v>
      </c>
      <c r="M266">
        <v>2</v>
      </c>
      <c r="N266">
        <v>5.5495999999999999</v>
      </c>
      <c r="O266">
        <v>0.43199999999999994</v>
      </c>
      <c r="P266">
        <v>0.2879999999999967</v>
      </c>
      <c r="Q266">
        <v>0.36</v>
      </c>
      <c r="R266">
        <v>14.685600000000001</v>
      </c>
      <c r="S266">
        <v>69.84</v>
      </c>
      <c r="T266">
        <v>7.1999999999999993</v>
      </c>
      <c r="U266">
        <v>11</v>
      </c>
      <c r="V266">
        <v>9.5</v>
      </c>
      <c r="W266">
        <v>-0.56000000000000016</v>
      </c>
      <c r="X266">
        <v>26</v>
      </c>
      <c r="Y266">
        <v>22.25</v>
      </c>
      <c r="Z266">
        <v>18</v>
      </c>
      <c r="AA266">
        <v>-5.7842792611446535E-3</v>
      </c>
      <c r="AB266">
        <v>32</v>
      </c>
      <c r="AC266">
        <v>-4.7789913210744134E-2</v>
      </c>
      <c r="AD266">
        <v>16</v>
      </c>
      <c r="AE266">
        <v>-0.3</v>
      </c>
      <c r="AF266">
        <v>23</v>
      </c>
      <c r="AG266">
        <v>-1.64</v>
      </c>
      <c r="AH266">
        <v>5.68</v>
      </c>
      <c r="AI266">
        <v>2.4</v>
      </c>
      <c r="AJ266">
        <v>-0.27999999999999992</v>
      </c>
      <c r="AK266">
        <v>74</v>
      </c>
      <c r="AL266">
        <v>83.919999999999987</v>
      </c>
      <c r="AM266">
        <v>-8.4000000000000021</v>
      </c>
      <c r="AN266">
        <v>-1</v>
      </c>
      <c r="AO266">
        <v>-0.52000000000000046</v>
      </c>
      <c r="AP266">
        <v>8</v>
      </c>
      <c r="AQ266">
        <v>5.1175999999999995</v>
      </c>
      <c r="AR266">
        <v>3.8310399999999998</v>
      </c>
      <c r="AS266">
        <v>92.32</v>
      </c>
      <c r="AT266">
        <v>-5.1175999999999995</v>
      </c>
      <c r="AU266">
        <v>2.5734000000000004</v>
      </c>
      <c r="AV266">
        <v>-0.97487499999999994</v>
      </c>
      <c r="AW266">
        <v>-0.5915499999999998</v>
      </c>
      <c r="AX266" t="s">
        <v>276</v>
      </c>
      <c r="AY266">
        <v>24</v>
      </c>
      <c r="AZ266">
        <v>-2.7328000000000001</v>
      </c>
      <c r="BA266">
        <v>1.0440000000000011</v>
      </c>
      <c r="BB266">
        <v>0.68800000000000239</v>
      </c>
      <c r="BC266">
        <v>3.12</v>
      </c>
      <c r="BD266">
        <v>-5.192800000000001</v>
      </c>
      <c r="BE266">
        <v>-36.480000000000004</v>
      </c>
      <c r="BF266">
        <v>0.68000000000000127</v>
      </c>
      <c r="BG266">
        <v>32</v>
      </c>
      <c r="BH266">
        <v>32</v>
      </c>
      <c r="BI266">
        <v>-3.8</v>
      </c>
      <c r="BJ266">
        <v>7</v>
      </c>
      <c r="BK266">
        <v>12.25</v>
      </c>
      <c r="BL266">
        <v>24</v>
      </c>
      <c r="BM266">
        <v>-2.2562964494103211E-2</v>
      </c>
      <c r="BN266">
        <v>3</v>
      </c>
      <c r="BO266">
        <v>2.7509753021974403E-2</v>
      </c>
      <c r="BP266">
        <v>17</v>
      </c>
      <c r="BQ266">
        <v>-0.3209999999999994</v>
      </c>
      <c r="BR266">
        <v>5</v>
      </c>
      <c r="BS266">
        <v>3.3200000000000003</v>
      </c>
      <c r="BT266">
        <v>-1.9600000000000022</v>
      </c>
      <c r="BU266">
        <v>-8.4400000000000013</v>
      </c>
      <c r="BV266">
        <v>0.48000000000000009</v>
      </c>
      <c r="BW266">
        <v>-16.95999999999999</v>
      </c>
      <c r="BX266">
        <v>-7.6400000000000032</v>
      </c>
      <c r="BY266">
        <v>-6.9999999999999973</v>
      </c>
      <c r="BZ266">
        <v>-0.96000000000000019</v>
      </c>
      <c r="CA266">
        <v>-1.36</v>
      </c>
      <c r="CB266">
        <v>24</v>
      </c>
      <c r="CC266">
        <v>-3.7768000000000015</v>
      </c>
      <c r="CD266">
        <v>-2.107120000000001</v>
      </c>
      <c r="CE266">
        <v>-0.6400000000000059</v>
      </c>
      <c r="CF266">
        <v>-1.3582000000000001</v>
      </c>
    </row>
    <row r="267" spans="1:84" x14ac:dyDescent="0.2">
      <c r="A267" s="39">
        <v>43800</v>
      </c>
      <c r="B267" t="s">
        <v>241</v>
      </c>
      <c r="C267" s="41" t="s">
        <v>278</v>
      </c>
      <c r="D267" t="s">
        <v>287</v>
      </c>
      <c r="E267">
        <v>23.4</v>
      </c>
      <c r="F267">
        <v>3.2</v>
      </c>
      <c r="G267">
        <v>0</v>
      </c>
      <c r="H267">
        <v>8.1</v>
      </c>
      <c r="I267">
        <v>4.5</v>
      </c>
      <c r="J267">
        <v>39</v>
      </c>
      <c r="K267" t="s">
        <v>110</v>
      </c>
      <c r="L267" s="1" t="s">
        <v>278</v>
      </c>
      <c r="M267">
        <v>28</v>
      </c>
      <c r="N267">
        <v>-4.2231999999999994</v>
      </c>
      <c r="O267">
        <v>-4.0280000000000014</v>
      </c>
      <c r="P267">
        <v>6.7599999999999989</v>
      </c>
      <c r="Q267">
        <v>-2.04</v>
      </c>
      <c r="R267">
        <v>-6.9248000000000012</v>
      </c>
      <c r="S267">
        <v>-36.51</v>
      </c>
      <c r="T267">
        <v>0.33999999999999986</v>
      </c>
      <c r="U267">
        <v>10</v>
      </c>
      <c r="V267">
        <v>9</v>
      </c>
      <c r="W267">
        <v>-8.0000000000000071E-2</v>
      </c>
      <c r="X267">
        <v>22</v>
      </c>
      <c r="Y267">
        <v>20.25</v>
      </c>
      <c r="Z267">
        <v>15</v>
      </c>
      <c r="AA267">
        <v>1.4336063030227154E-2</v>
      </c>
      <c r="AB267">
        <v>19</v>
      </c>
      <c r="AC267">
        <v>-2.0121090931856933E-3</v>
      </c>
      <c r="AD267">
        <v>28</v>
      </c>
      <c r="AE267">
        <v>9.620000000000001</v>
      </c>
      <c r="AF267">
        <v>19</v>
      </c>
      <c r="AG267">
        <v>-1</v>
      </c>
      <c r="AH267">
        <v>-3.839999999999999</v>
      </c>
      <c r="AI267">
        <v>-0.88000000000000045</v>
      </c>
      <c r="AJ267">
        <v>-1.2</v>
      </c>
      <c r="AK267">
        <v>-53.239999999999995</v>
      </c>
      <c r="AL267">
        <v>-61.4</v>
      </c>
      <c r="AM267">
        <v>7.8799999999999981</v>
      </c>
      <c r="AN267">
        <v>0.43999999999999995</v>
      </c>
      <c r="AO267">
        <v>-0.1600000000000005</v>
      </c>
      <c r="AP267">
        <v>16</v>
      </c>
      <c r="AQ267">
        <v>-0.19519999999999788</v>
      </c>
      <c r="AR267">
        <v>-0.21559999999999935</v>
      </c>
      <c r="AS267">
        <v>-69.28</v>
      </c>
      <c r="AT267">
        <v>0.19519999999999804</v>
      </c>
      <c r="AU267">
        <v>-1.7420000000000002</v>
      </c>
      <c r="AV267">
        <v>-0.50552499999999989</v>
      </c>
      <c r="AW267">
        <v>1.5500000000004677E-3</v>
      </c>
      <c r="AX267" t="s">
        <v>287</v>
      </c>
      <c r="AY267">
        <v>26</v>
      </c>
      <c r="AZ267">
        <v>-3.2359999999999998</v>
      </c>
      <c r="BA267">
        <v>2.0239999999999991</v>
      </c>
      <c r="BB267">
        <v>-5.0000000000000009</v>
      </c>
      <c r="BC267">
        <v>2.2000000000000002</v>
      </c>
      <c r="BD267">
        <v>-9.0488000000000017</v>
      </c>
      <c r="BE267">
        <v>-32.96</v>
      </c>
      <c r="BF267">
        <v>-4.2</v>
      </c>
      <c r="BG267">
        <v>3</v>
      </c>
      <c r="BH267">
        <v>3.5</v>
      </c>
      <c r="BI267">
        <v>1.9600000000000002</v>
      </c>
      <c r="BJ267">
        <v>25</v>
      </c>
      <c r="BK267">
        <v>21.5</v>
      </c>
      <c r="BL267">
        <v>20</v>
      </c>
      <c r="BM267">
        <v>-1.3252650849309756E-2</v>
      </c>
      <c r="BN267">
        <v>25</v>
      </c>
      <c r="BO267">
        <v>-1.1462043950596811E-2</v>
      </c>
      <c r="BP267">
        <v>18</v>
      </c>
      <c r="BQ267">
        <v>0.65600000000000025</v>
      </c>
      <c r="BR267">
        <v>23</v>
      </c>
      <c r="BS267">
        <v>-1.4800000000000002</v>
      </c>
      <c r="BT267">
        <v>-1</v>
      </c>
      <c r="BU267">
        <v>-1.0800000000000005</v>
      </c>
      <c r="BV267">
        <v>0.83999999999999986</v>
      </c>
      <c r="BW267">
        <v>-31.800000000000011</v>
      </c>
      <c r="BX267">
        <v>-30.799999999999994</v>
      </c>
      <c r="BY267">
        <v>-4.8000000000000025</v>
      </c>
      <c r="BZ267">
        <v>-3</v>
      </c>
      <c r="CA267">
        <v>6.8</v>
      </c>
      <c r="CB267">
        <v>28</v>
      </c>
      <c r="CC267">
        <v>-5.2599999999999989</v>
      </c>
      <c r="CD267">
        <v>-3.4689599999999996</v>
      </c>
      <c r="CE267">
        <v>-25.999999999999993</v>
      </c>
      <c r="CF267">
        <v>-1.0126000000000002</v>
      </c>
    </row>
    <row r="268" spans="1:84" x14ac:dyDescent="0.2">
      <c r="A268" s="39">
        <v>43800</v>
      </c>
      <c r="B268" s="22" t="s">
        <v>241</v>
      </c>
      <c r="C268" s="41" t="s">
        <v>299</v>
      </c>
      <c r="D268" s="22" t="s">
        <v>265</v>
      </c>
      <c r="E268">
        <v>28.8</v>
      </c>
      <c r="F268">
        <v>13</v>
      </c>
      <c r="G268">
        <v>6.2</v>
      </c>
      <c r="H268">
        <v>7.8</v>
      </c>
      <c r="I268">
        <v>5.5</v>
      </c>
      <c r="J268">
        <v>37.5</v>
      </c>
      <c r="L268" s="1" t="s">
        <v>299</v>
      </c>
      <c r="M268">
        <v>5</v>
      </c>
      <c r="N268">
        <v>4.3392000000000008</v>
      </c>
      <c r="O268">
        <v>-4.3280000000000003</v>
      </c>
      <c r="P268">
        <v>-13.28</v>
      </c>
      <c r="Q268">
        <v>-7.9999999999999849E-2</v>
      </c>
      <c r="R268">
        <v>7.1271999999999966</v>
      </c>
      <c r="S268">
        <v>43.879999999999995</v>
      </c>
      <c r="T268">
        <v>3.04</v>
      </c>
      <c r="U268">
        <v>23</v>
      </c>
      <c r="V268">
        <v>22.5</v>
      </c>
      <c r="W268">
        <v>-4.0400000000000009</v>
      </c>
      <c r="X268">
        <v>5</v>
      </c>
      <c r="Y268">
        <v>9</v>
      </c>
      <c r="Z268">
        <v>6</v>
      </c>
      <c r="AA268">
        <v>4.9772128845381715E-2</v>
      </c>
      <c r="AB268">
        <v>12</v>
      </c>
      <c r="AC268">
        <v>4.2962658538756885E-3</v>
      </c>
      <c r="AD268">
        <v>9</v>
      </c>
      <c r="AE268">
        <v>-4.0719999999999956</v>
      </c>
      <c r="AF268">
        <v>9</v>
      </c>
      <c r="AG268">
        <v>1.72</v>
      </c>
      <c r="AH268">
        <v>1.5200000000000018</v>
      </c>
      <c r="AI268">
        <v>-0.6399999999999999</v>
      </c>
      <c r="AJ268">
        <v>-0.55999999999999994</v>
      </c>
      <c r="AK268">
        <v>40.839999999999996</v>
      </c>
      <c r="AL268">
        <v>45.280000000000008</v>
      </c>
      <c r="AM268">
        <v>-9.1599999999999966</v>
      </c>
      <c r="AN268">
        <v>-3.2</v>
      </c>
      <c r="AO268">
        <v>7.92</v>
      </c>
      <c r="AP268">
        <v>3</v>
      </c>
      <c r="AQ268">
        <v>8.6672000000000011</v>
      </c>
      <c r="AR268">
        <v>4.4572799999999999</v>
      </c>
      <c r="AS268">
        <v>54.440000000000005</v>
      </c>
      <c r="AT268">
        <v>-8.6672000000000011</v>
      </c>
      <c r="AU268">
        <v>0.88229999999999964</v>
      </c>
      <c r="AV268">
        <v>0.6042500000000004</v>
      </c>
      <c r="AW268">
        <v>2.528900000000001</v>
      </c>
      <c r="AX268" t="s">
        <v>265</v>
      </c>
      <c r="AY268">
        <v>29</v>
      </c>
      <c r="AZ268">
        <v>-4.5671999999999997</v>
      </c>
      <c r="BA268">
        <v>0.64399999999999957</v>
      </c>
      <c r="BB268">
        <v>9.5599999999999969</v>
      </c>
      <c r="BC268">
        <v>-0.32000000000000006</v>
      </c>
      <c r="BD268">
        <v>-6.7600000000000007</v>
      </c>
      <c r="BE268">
        <v>-28.462800000000005</v>
      </c>
      <c r="BF268">
        <v>-1.1099999999999992</v>
      </c>
      <c r="BG268">
        <v>15</v>
      </c>
      <c r="BH268">
        <v>13</v>
      </c>
      <c r="BI268">
        <v>0.75999999999999979</v>
      </c>
      <c r="BJ268">
        <v>32</v>
      </c>
      <c r="BK268">
        <v>29.25</v>
      </c>
      <c r="BL268">
        <v>28</v>
      </c>
      <c r="BM268">
        <v>-5.2416238103274768E-2</v>
      </c>
      <c r="BN268">
        <v>29</v>
      </c>
      <c r="BO268">
        <v>-2.4252332160678798E-2</v>
      </c>
      <c r="BP268">
        <v>29</v>
      </c>
      <c r="BQ268">
        <v>10.120000000000001</v>
      </c>
      <c r="BR268">
        <v>31</v>
      </c>
      <c r="BS268">
        <v>-4.12</v>
      </c>
      <c r="BT268">
        <v>0.440000000000002</v>
      </c>
      <c r="BU268">
        <v>-2.3200000000000003</v>
      </c>
      <c r="BV268">
        <v>-0.64</v>
      </c>
      <c r="BW268">
        <v>-38.519999999999996</v>
      </c>
      <c r="BX268">
        <v>-41.399999999999991</v>
      </c>
      <c r="BY268">
        <v>9.56</v>
      </c>
      <c r="BZ268">
        <v>1.1199999999999997</v>
      </c>
      <c r="CA268">
        <v>-7.8</v>
      </c>
      <c r="CB268">
        <v>27</v>
      </c>
      <c r="CC268">
        <v>-5.2111999999999998</v>
      </c>
      <c r="CD268">
        <v>-2.5874399999999995</v>
      </c>
      <c r="CE268">
        <v>-50.959999999999994</v>
      </c>
      <c r="CF268">
        <v>-1.3204000000000002</v>
      </c>
    </row>
    <row r="269" spans="1:84" x14ac:dyDescent="0.2">
      <c r="A269" s="39">
        <v>43800</v>
      </c>
      <c r="B269" s="22" t="s">
        <v>241</v>
      </c>
      <c r="C269" s="41" t="s">
        <v>300</v>
      </c>
      <c r="D269" s="22" t="s">
        <v>296</v>
      </c>
      <c r="E269">
        <v>24.4</v>
      </c>
      <c r="F269">
        <v>22.3</v>
      </c>
      <c r="G269">
        <v>4</v>
      </c>
      <c r="H269">
        <v>9.6999999999999993</v>
      </c>
      <c r="I269">
        <v>-6.5</v>
      </c>
      <c r="J269">
        <v>43.5</v>
      </c>
      <c r="L269" s="1" t="s">
        <v>300</v>
      </c>
      <c r="M269">
        <v>21</v>
      </c>
      <c r="N269">
        <v>-0.92639999999999922</v>
      </c>
      <c r="O269">
        <v>5.0844000000000005</v>
      </c>
      <c r="P269">
        <v>-9.2799999999999976</v>
      </c>
      <c r="Q269">
        <v>1.3199999999999998</v>
      </c>
      <c r="R269">
        <v>-4.0679999999999987</v>
      </c>
      <c r="S269">
        <v>-31.84</v>
      </c>
      <c r="T269">
        <v>-0.91999999999999926</v>
      </c>
      <c r="U269">
        <v>31</v>
      </c>
      <c r="V269">
        <v>31</v>
      </c>
      <c r="W269">
        <v>-3.8400000000000007</v>
      </c>
      <c r="X269">
        <v>16</v>
      </c>
      <c r="Y269">
        <v>14.5</v>
      </c>
      <c r="Z269">
        <v>17</v>
      </c>
      <c r="AA269">
        <v>-4.3262657141531881E-3</v>
      </c>
      <c r="AB269">
        <v>14</v>
      </c>
      <c r="AC269">
        <v>3.1396143023708382E-3</v>
      </c>
      <c r="AD269">
        <v>3</v>
      </c>
      <c r="AE269">
        <v>-13.435999999999998</v>
      </c>
      <c r="AF269">
        <v>24</v>
      </c>
      <c r="AG269">
        <v>-1.8399999999999999</v>
      </c>
      <c r="AH269">
        <v>-1.4799999999999982</v>
      </c>
      <c r="AI269">
        <v>-2.0800000000000005</v>
      </c>
      <c r="AJ269">
        <v>-1.9600000000000002</v>
      </c>
      <c r="AK269">
        <v>-35.479999999999983</v>
      </c>
      <c r="AL269">
        <v>-18.160000000000004</v>
      </c>
      <c r="AM269">
        <v>-11.959999999999999</v>
      </c>
      <c r="AN269">
        <v>2.2800000000000002</v>
      </c>
      <c r="AO269">
        <v>-7.6400000000000006</v>
      </c>
      <c r="AP269">
        <v>27</v>
      </c>
      <c r="AQ269">
        <v>-6.0107999999999997</v>
      </c>
      <c r="AR269">
        <v>-3.54108</v>
      </c>
      <c r="AS269">
        <v>-6.2000000000000046</v>
      </c>
      <c r="AT269">
        <v>6.0107999999999997</v>
      </c>
      <c r="AU269">
        <v>-0.32374999999999976</v>
      </c>
      <c r="AV269">
        <v>0.60505000000000009</v>
      </c>
      <c r="AW269">
        <v>-0.13850000000000007</v>
      </c>
      <c r="AX269" t="s">
        <v>296</v>
      </c>
      <c r="AY269">
        <v>5</v>
      </c>
      <c r="AZ269">
        <v>3.5568000000000013</v>
      </c>
      <c r="BA269">
        <v>-5.7679999999999989</v>
      </c>
      <c r="BB269">
        <v>-1.6000000000000023</v>
      </c>
      <c r="BC269">
        <v>-0.16000000000000006</v>
      </c>
      <c r="BD269">
        <v>9.56</v>
      </c>
      <c r="BE269">
        <v>36.239999999999995</v>
      </c>
      <c r="BF269">
        <v>-1.92</v>
      </c>
      <c r="BG269">
        <v>2</v>
      </c>
      <c r="BH269">
        <v>3</v>
      </c>
      <c r="BI269">
        <v>5.92</v>
      </c>
      <c r="BJ269">
        <v>29</v>
      </c>
      <c r="BK269">
        <v>24</v>
      </c>
      <c r="BL269">
        <v>11</v>
      </c>
      <c r="BM269">
        <v>4.8248048271195441E-3</v>
      </c>
      <c r="BN269">
        <v>27</v>
      </c>
      <c r="BO269">
        <v>-1.8441992382289586E-2</v>
      </c>
      <c r="BP269">
        <v>31</v>
      </c>
      <c r="BQ269">
        <v>13.284000000000002</v>
      </c>
      <c r="BR269">
        <v>27</v>
      </c>
      <c r="BS269">
        <v>-2.3199999999999994</v>
      </c>
      <c r="BT269">
        <v>-0.51999999999999891</v>
      </c>
      <c r="BU269">
        <v>5.6</v>
      </c>
      <c r="BV269">
        <v>3.28</v>
      </c>
      <c r="BW269">
        <v>4.1599999999999913</v>
      </c>
      <c r="BX269">
        <v>8.1200000000000099</v>
      </c>
      <c r="BY269">
        <v>-3.1599999999999993</v>
      </c>
      <c r="BZ269">
        <v>-0.84000000000000008</v>
      </c>
      <c r="CA269">
        <v>3.9999999999999147E-2</v>
      </c>
      <c r="CB269">
        <v>2</v>
      </c>
      <c r="CC269">
        <v>9.3248000000000015</v>
      </c>
      <c r="CD269">
        <v>5.5073600000000003</v>
      </c>
      <c r="CE269">
        <v>11.280000000000008</v>
      </c>
      <c r="CF269">
        <v>1.3486000000000002</v>
      </c>
    </row>
    <row r="270" spans="1:84" x14ac:dyDescent="0.2">
      <c r="A270" s="39">
        <v>43800</v>
      </c>
      <c r="B270" s="22" t="s">
        <v>241</v>
      </c>
      <c r="C270" s="41" t="s">
        <v>311</v>
      </c>
      <c r="D270" s="22" t="s">
        <v>302</v>
      </c>
      <c r="E270">
        <v>15.64</v>
      </c>
      <c r="F270">
        <v>15.1</v>
      </c>
      <c r="G270">
        <v>1.8</v>
      </c>
      <c r="H270">
        <f>10.3+2.9</f>
        <v>13.200000000000001</v>
      </c>
      <c r="I270">
        <v>3.5</v>
      </c>
      <c r="J270">
        <v>47</v>
      </c>
      <c r="L270" s="4" t="s">
        <v>311</v>
      </c>
      <c r="M270" s="3">
        <v>6</v>
      </c>
      <c r="N270" s="3">
        <v>3.8351999999999995</v>
      </c>
      <c r="O270">
        <v>-0.57200000000000095</v>
      </c>
      <c r="P270">
        <v>2.1199999999999988</v>
      </c>
      <c r="Q270">
        <v>-0.48</v>
      </c>
      <c r="R270">
        <v>9.8283999999999949</v>
      </c>
      <c r="S270">
        <v>23.759999999999998</v>
      </c>
      <c r="T270">
        <v>1.8999999999999995</v>
      </c>
      <c r="U270">
        <v>22</v>
      </c>
      <c r="V270">
        <v>20.5</v>
      </c>
      <c r="W270">
        <v>-3.6</v>
      </c>
      <c r="X270">
        <v>20</v>
      </c>
      <c r="Y270">
        <v>17.5</v>
      </c>
      <c r="Z270">
        <v>1</v>
      </c>
      <c r="AA270">
        <v>9.7473807654720274E-2</v>
      </c>
      <c r="AB270">
        <v>24</v>
      </c>
      <c r="AC270">
        <v>-1.8166648276536801E-2</v>
      </c>
      <c r="AD270">
        <v>15</v>
      </c>
      <c r="AE270">
        <v>-0.50799999999999979</v>
      </c>
      <c r="AF270">
        <v>30</v>
      </c>
      <c r="AG270">
        <v>-4</v>
      </c>
      <c r="AH270">
        <v>0.48000000000000115</v>
      </c>
      <c r="AI270">
        <v>1.4400000000000002</v>
      </c>
      <c r="AJ270">
        <v>-1.6799999999999997</v>
      </c>
      <c r="AK270">
        <v>20.919999999999995</v>
      </c>
      <c r="AL270">
        <v>17.68</v>
      </c>
      <c r="AM270">
        <v>0.75999999999999657</v>
      </c>
      <c r="AN270">
        <v>-3.16</v>
      </c>
      <c r="AO270">
        <v>5.6400000000000006</v>
      </c>
      <c r="AP270">
        <v>9</v>
      </c>
      <c r="AQ270">
        <v>4.4071999999999996</v>
      </c>
      <c r="AR270">
        <v>3.0187199999999996</v>
      </c>
      <c r="AS270">
        <v>16.920000000000002</v>
      </c>
      <c r="AT270">
        <v>-4.4072000000000005</v>
      </c>
      <c r="AU270">
        <v>1.596449999999999</v>
      </c>
      <c r="AV270">
        <v>-1.03685</v>
      </c>
      <c r="AW270">
        <v>0.48669999999999985</v>
      </c>
      <c r="AX270" t="s">
        <v>302</v>
      </c>
      <c r="AY270">
        <v>28</v>
      </c>
      <c r="AZ270">
        <v>-4.2055999999999996</v>
      </c>
      <c r="BA270">
        <v>-2.8360000000000003</v>
      </c>
      <c r="BB270">
        <v>-4.480000000000004</v>
      </c>
      <c r="BC270">
        <v>0.15999999999999998</v>
      </c>
      <c r="BD270">
        <v>-12.321599999999998</v>
      </c>
      <c r="BE270">
        <v>-40.382799999999996</v>
      </c>
      <c r="BF270">
        <v>-3.9900000000000007</v>
      </c>
      <c r="BG270">
        <v>24</v>
      </c>
      <c r="BH270">
        <v>23</v>
      </c>
      <c r="BI270">
        <v>-1.52</v>
      </c>
      <c r="BJ270">
        <v>5</v>
      </c>
      <c r="BK270">
        <v>9.75</v>
      </c>
      <c r="BL270">
        <v>1</v>
      </c>
      <c r="BM270">
        <v>0.17537797312214998</v>
      </c>
      <c r="BN270">
        <v>12</v>
      </c>
      <c r="BO270">
        <v>6.0378223884453687E-3</v>
      </c>
      <c r="BP270">
        <v>23</v>
      </c>
      <c r="BQ270">
        <v>2.8119999999999976</v>
      </c>
      <c r="BR270">
        <v>3</v>
      </c>
      <c r="BS270">
        <v>4.5600000000000005</v>
      </c>
      <c r="BT270">
        <v>-5.4400000000000031</v>
      </c>
      <c r="BU270">
        <v>-5.6800000000000015</v>
      </c>
      <c r="BV270">
        <v>0.27999999999999997</v>
      </c>
      <c r="BW270">
        <v>-59.52</v>
      </c>
      <c r="BX270">
        <v>-45.399999999999991</v>
      </c>
      <c r="BY270">
        <v>-5.3200000000000021</v>
      </c>
      <c r="BZ270">
        <v>-0.59999999999999987</v>
      </c>
      <c r="CA270">
        <v>-8.1999999999999993</v>
      </c>
      <c r="CB270">
        <v>21</v>
      </c>
      <c r="CC270">
        <v>-1.3695999999999995</v>
      </c>
      <c r="CD270">
        <v>-1.8874399999999993</v>
      </c>
      <c r="CE270">
        <v>-40.079999999999991</v>
      </c>
      <c r="CF270">
        <v>-2.5604</v>
      </c>
    </row>
    <row r="271" spans="1:84" x14ac:dyDescent="0.2">
      <c r="A271" s="39">
        <v>43800</v>
      </c>
      <c r="B271" s="22" t="s">
        <v>241</v>
      </c>
      <c r="C271" s="41" t="s">
        <v>289</v>
      </c>
      <c r="D271" s="22" t="s">
        <v>310</v>
      </c>
      <c r="E271" s="3">
        <v>20.9</v>
      </c>
      <c r="F271" s="3">
        <v>9.5</v>
      </c>
      <c r="G271" s="3">
        <v>2.2999999999999998</v>
      </c>
      <c r="H271">
        <f>19.3+4.1</f>
        <v>23.4</v>
      </c>
      <c r="I271">
        <v>1</v>
      </c>
      <c r="J271">
        <v>41.5</v>
      </c>
      <c r="L271" s="4" t="s">
        <v>289</v>
      </c>
      <c r="M271" s="3">
        <v>29</v>
      </c>
      <c r="N271" s="3">
        <v>-4.7607999999999988</v>
      </c>
      <c r="O271">
        <v>1.4999999999999991</v>
      </c>
      <c r="P271">
        <v>17.720000000000002</v>
      </c>
      <c r="Q271">
        <v>-0.84000000000000052</v>
      </c>
      <c r="R271">
        <v>-7.5093333333333323</v>
      </c>
      <c r="S271">
        <v>-40.960000000000008</v>
      </c>
      <c r="T271">
        <v>-2.1200000000000006</v>
      </c>
      <c r="U271">
        <v>19</v>
      </c>
      <c r="V271">
        <v>19.5</v>
      </c>
      <c r="W271">
        <v>-0.4799999999999997</v>
      </c>
      <c r="X271">
        <v>3</v>
      </c>
      <c r="Y271">
        <v>7.75</v>
      </c>
      <c r="Z271">
        <v>4</v>
      </c>
      <c r="AA271">
        <v>6.635663515963923E-2</v>
      </c>
      <c r="AB271">
        <v>8</v>
      </c>
      <c r="AC271">
        <v>8.7917790673854163E-3</v>
      </c>
      <c r="AD271">
        <v>13</v>
      </c>
      <c r="AE271">
        <v>-2.0400000000000063</v>
      </c>
      <c r="AF271">
        <v>6</v>
      </c>
      <c r="AG271">
        <v>2.8</v>
      </c>
      <c r="AH271">
        <v>0.11999999999999886</v>
      </c>
      <c r="AI271">
        <v>-2.6799999999999988</v>
      </c>
      <c r="AJ271">
        <v>-0.4</v>
      </c>
      <c r="AK271">
        <v>-24.880000000000006</v>
      </c>
      <c r="AL271">
        <v>-48.919999999999995</v>
      </c>
      <c r="AM271">
        <v>26.879999999999995</v>
      </c>
      <c r="AN271">
        <v>5.6800000000000006</v>
      </c>
      <c r="AO271">
        <v>-8.5200000000000014</v>
      </c>
      <c r="AP271">
        <v>28</v>
      </c>
      <c r="AQ271">
        <v>-6.2607999999999979</v>
      </c>
      <c r="AR271">
        <v>-3.2040266666666661</v>
      </c>
      <c r="AS271">
        <v>-75.799999999999983</v>
      </c>
      <c r="AT271">
        <v>6.2607999999999979</v>
      </c>
      <c r="AU271">
        <v>-1.6262666666666665</v>
      </c>
      <c r="AV271">
        <v>0.32849999999999985</v>
      </c>
      <c r="AW271">
        <v>-0.96802500000000025</v>
      </c>
      <c r="AX271" t="s">
        <v>310</v>
      </c>
      <c r="AY271">
        <v>11</v>
      </c>
      <c r="AZ271">
        <v>2.6912000000000003</v>
      </c>
      <c r="BA271">
        <v>-0.55999999999999905</v>
      </c>
      <c r="BB271">
        <v>2.9999999999999987</v>
      </c>
      <c r="BC271">
        <v>-0.27999999999999997</v>
      </c>
      <c r="BD271">
        <v>9.0689999999999973</v>
      </c>
      <c r="BE271">
        <v>34.19</v>
      </c>
      <c r="BF271">
        <v>3.7299999999999995</v>
      </c>
      <c r="BG271">
        <v>3</v>
      </c>
      <c r="BH271">
        <v>3.5</v>
      </c>
      <c r="BI271">
        <v>-1.1999999999999997</v>
      </c>
      <c r="BJ271">
        <v>15</v>
      </c>
      <c r="BK271">
        <v>15.75</v>
      </c>
      <c r="BL271">
        <v>16</v>
      </c>
      <c r="BM271">
        <v>-5.0599095405159059E-3</v>
      </c>
      <c r="BN271">
        <v>21</v>
      </c>
      <c r="BO271">
        <v>-4.9110954486394796E-3</v>
      </c>
      <c r="BP271">
        <v>13</v>
      </c>
      <c r="BQ271">
        <v>-2.0120000000000005</v>
      </c>
      <c r="BR271">
        <v>13</v>
      </c>
      <c r="BS271">
        <v>0.52000000000000024</v>
      </c>
      <c r="BT271">
        <v>6.7200000000000006</v>
      </c>
      <c r="BU271">
        <v>2.2800000000000002</v>
      </c>
      <c r="BV271">
        <v>-0.91999999999999993</v>
      </c>
      <c r="BW271">
        <v>46.440000000000012</v>
      </c>
      <c r="BX271">
        <v>43.879999999999995</v>
      </c>
      <c r="BY271">
        <v>6.5200000000000005</v>
      </c>
      <c r="BZ271">
        <v>-1.8399999999999999</v>
      </c>
      <c r="CA271">
        <v>-2.1199999999999997</v>
      </c>
      <c r="CB271">
        <v>9</v>
      </c>
      <c r="CC271">
        <v>3.251199999999999</v>
      </c>
      <c r="CD271">
        <v>2.632039999999999</v>
      </c>
      <c r="CE271">
        <v>37.359999999999992</v>
      </c>
      <c r="CF271">
        <v>1.6250249999999999</v>
      </c>
    </row>
    <row r="272" spans="1:84" x14ac:dyDescent="0.2">
      <c r="A272" s="39">
        <v>43800</v>
      </c>
      <c r="B272" s="22" t="s">
        <v>241</v>
      </c>
      <c r="C272" s="41" t="s">
        <v>297</v>
      </c>
      <c r="D272" s="22" t="s">
        <v>284</v>
      </c>
      <c r="E272">
        <v>6.7</v>
      </c>
      <c r="F272">
        <v>19</v>
      </c>
      <c r="G272">
        <v>9.6999999999999993</v>
      </c>
      <c r="H272">
        <v>1.6</v>
      </c>
      <c r="I272">
        <v>3</v>
      </c>
      <c r="J272">
        <v>46.5</v>
      </c>
      <c r="K272" t="s">
        <v>109</v>
      </c>
      <c r="L272" s="1" t="s">
        <v>297</v>
      </c>
      <c r="M272">
        <v>24</v>
      </c>
      <c r="N272">
        <v>-3.1927999999999992</v>
      </c>
      <c r="O272">
        <v>2.7079999999999997</v>
      </c>
      <c r="P272">
        <v>-17.88</v>
      </c>
      <c r="Q272">
        <v>3.28</v>
      </c>
      <c r="R272">
        <v>-4.7660000000000009</v>
      </c>
      <c r="S272">
        <v>-21.489999999999995</v>
      </c>
      <c r="T272">
        <v>1.23</v>
      </c>
      <c r="U272">
        <v>27</v>
      </c>
      <c r="V272">
        <v>27</v>
      </c>
      <c r="W272">
        <v>-0.88000000000000045</v>
      </c>
      <c r="X272">
        <v>7</v>
      </c>
      <c r="Y272">
        <v>11.25</v>
      </c>
      <c r="Z272">
        <v>7</v>
      </c>
      <c r="AA272">
        <v>4.4517621140186495E-2</v>
      </c>
      <c r="AB272">
        <v>17</v>
      </c>
      <c r="AC272">
        <v>-1.197444969262277E-3</v>
      </c>
      <c r="AD272">
        <v>18</v>
      </c>
      <c r="AE272">
        <v>3.9999999999992038E-3</v>
      </c>
      <c r="AF272">
        <v>3</v>
      </c>
      <c r="AG272">
        <v>3.6800000000000006</v>
      </c>
      <c r="AH272">
        <v>1.5599999999999981</v>
      </c>
      <c r="AI272">
        <v>-6.3599999999999985</v>
      </c>
      <c r="AJ272">
        <v>-0.99999999999999978</v>
      </c>
      <c r="AK272">
        <v>-9.1999999999999993</v>
      </c>
      <c r="AL272">
        <v>11.680000000000007</v>
      </c>
      <c r="AM272">
        <v>-22.920000000000005</v>
      </c>
      <c r="AN272">
        <v>-1.36</v>
      </c>
      <c r="AO272">
        <v>3.4000000000000008</v>
      </c>
      <c r="AP272">
        <v>26</v>
      </c>
      <c r="AQ272">
        <v>-5.9007999999999985</v>
      </c>
      <c r="AR272">
        <v>-2.9457599999999999</v>
      </c>
      <c r="AS272">
        <v>34.600000000000009</v>
      </c>
      <c r="AT272">
        <v>5.9007999999999985</v>
      </c>
      <c r="AU272">
        <v>-0.86635000000000006</v>
      </c>
      <c r="AV272">
        <v>0.9220624999999999</v>
      </c>
      <c r="AW272">
        <v>9.0774999999999689E-2</v>
      </c>
      <c r="AX272" t="s">
        <v>284</v>
      </c>
      <c r="AY272">
        <v>4</v>
      </c>
      <c r="AZ272">
        <v>3.6528000000000005</v>
      </c>
      <c r="BA272">
        <v>-4.5380000000000003</v>
      </c>
      <c r="BB272">
        <v>-16.96</v>
      </c>
      <c r="BC272">
        <v>0.45999999999999991</v>
      </c>
      <c r="BD272">
        <v>14.672000000000001</v>
      </c>
      <c r="BE272">
        <v>43.360000000000007</v>
      </c>
      <c r="BF272">
        <v>-0.24000000000000066</v>
      </c>
      <c r="BG272">
        <v>16</v>
      </c>
      <c r="BH272">
        <v>14</v>
      </c>
      <c r="BI272">
        <v>0.28000000000000008</v>
      </c>
      <c r="BJ272">
        <v>10</v>
      </c>
      <c r="BK272">
        <v>13.25</v>
      </c>
      <c r="BL272">
        <v>9</v>
      </c>
      <c r="BM272">
        <v>2.7111846225719161E-2</v>
      </c>
      <c r="BN272">
        <v>26</v>
      </c>
      <c r="BO272">
        <v>-1.2543018236525103E-2</v>
      </c>
      <c r="BP272">
        <v>6</v>
      </c>
      <c r="BQ272">
        <v>-5.3680000000000039</v>
      </c>
      <c r="BR272">
        <v>12</v>
      </c>
      <c r="BS272">
        <v>0.76000000000000012</v>
      </c>
      <c r="BT272">
        <v>3</v>
      </c>
      <c r="BU272">
        <v>3.56</v>
      </c>
      <c r="BV272">
        <v>0.55999999999999983</v>
      </c>
      <c r="BW272">
        <v>11.880000000000006</v>
      </c>
      <c r="BX272">
        <v>30.520000000000003</v>
      </c>
      <c r="BY272">
        <v>-17.72</v>
      </c>
      <c r="BZ272">
        <v>1.6</v>
      </c>
      <c r="CA272">
        <v>-2.52</v>
      </c>
      <c r="CB272">
        <v>4</v>
      </c>
      <c r="CC272">
        <v>8.1907999999999994</v>
      </c>
      <c r="CD272">
        <v>5.9339600000000008</v>
      </c>
      <c r="CE272">
        <v>48.24</v>
      </c>
      <c r="CF272">
        <v>1.7533500000000002</v>
      </c>
    </row>
    <row r="273" spans="1:84" x14ac:dyDescent="0.2">
      <c r="A273" s="39">
        <v>43800</v>
      </c>
      <c r="B273" s="22" t="s">
        <v>241</v>
      </c>
      <c r="C273" s="41" t="s">
        <v>288</v>
      </c>
      <c r="D273" s="22" t="s">
        <v>303</v>
      </c>
      <c r="E273">
        <v>10.1</v>
      </c>
      <c r="F273">
        <v>0</v>
      </c>
      <c r="G273">
        <v>0.9</v>
      </c>
      <c r="H273">
        <v>14</v>
      </c>
      <c r="I273">
        <v>-11.5</v>
      </c>
      <c r="J273">
        <v>49.5</v>
      </c>
      <c r="L273" s="1" t="s">
        <v>288</v>
      </c>
      <c r="M273">
        <v>9</v>
      </c>
      <c r="N273">
        <v>3.1288000000000014</v>
      </c>
      <c r="O273">
        <v>-2.1639999999999997</v>
      </c>
      <c r="P273">
        <v>-9.360000000000003</v>
      </c>
      <c r="Q273">
        <v>-1.2</v>
      </c>
      <c r="R273">
        <v>4.6931999999999974</v>
      </c>
      <c r="S273">
        <v>17.150000000000006</v>
      </c>
      <c r="T273">
        <v>1.5499999999999998</v>
      </c>
      <c r="U273">
        <v>15</v>
      </c>
      <c r="V273">
        <v>14.5</v>
      </c>
      <c r="W273">
        <v>1.8</v>
      </c>
      <c r="X273">
        <v>29</v>
      </c>
      <c r="Y273">
        <v>25</v>
      </c>
      <c r="Z273">
        <v>26</v>
      </c>
      <c r="AA273">
        <v>-6.4993978365306654E-2</v>
      </c>
      <c r="AB273">
        <v>23</v>
      </c>
      <c r="AC273">
        <v>-1.3590842354220475E-2</v>
      </c>
      <c r="AD273">
        <v>25</v>
      </c>
      <c r="AE273">
        <v>6.2239999999999993</v>
      </c>
      <c r="AF273">
        <v>26</v>
      </c>
      <c r="AG273">
        <v>-1.9599999999999997</v>
      </c>
      <c r="AH273">
        <v>-1.0400000000000005</v>
      </c>
      <c r="AI273">
        <v>5.08</v>
      </c>
      <c r="AJ273">
        <v>0.56000000000000005</v>
      </c>
      <c r="AK273">
        <v>10.080000000000007</v>
      </c>
      <c r="AL273">
        <v>12.4</v>
      </c>
      <c r="AM273">
        <v>-10.960000000000003</v>
      </c>
      <c r="AN273">
        <v>3.72</v>
      </c>
      <c r="AO273">
        <v>4.919999999999999</v>
      </c>
      <c r="AP273">
        <v>7</v>
      </c>
      <c r="AQ273">
        <v>5.2928000000000006</v>
      </c>
      <c r="AR273">
        <v>2.6463999999999994</v>
      </c>
      <c r="AS273">
        <v>23.360000000000003</v>
      </c>
      <c r="AT273">
        <v>-5.2928000000000015</v>
      </c>
      <c r="AU273">
        <v>0.93724999999999992</v>
      </c>
      <c r="AV273">
        <v>9.1500000000000137E-2</v>
      </c>
      <c r="AW273">
        <v>0.58230000000000026</v>
      </c>
      <c r="AX273" t="s">
        <v>303</v>
      </c>
      <c r="AY273">
        <v>13</v>
      </c>
      <c r="AZ273">
        <v>2.1455999999999991</v>
      </c>
      <c r="BA273">
        <v>2.4080000000000004</v>
      </c>
      <c r="BB273">
        <v>-2.160000000000001</v>
      </c>
      <c r="BC273">
        <v>-0.7200000000000002</v>
      </c>
      <c r="BD273">
        <v>-6.508</v>
      </c>
      <c r="BE273">
        <v>-28.92</v>
      </c>
      <c r="BF273">
        <v>-1.3599999999999994</v>
      </c>
      <c r="BG273">
        <v>27</v>
      </c>
      <c r="BH273">
        <v>25.5</v>
      </c>
      <c r="BI273">
        <v>3.9600000000000009</v>
      </c>
      <c r="BJ273">
        <v>10</v>
      </c>
      <c r="BK273">
        <v>13.25</v>
      </c>
      <c r="BL273">
        <v>12</v>
      </c>
      <c r="BM273">
        <v>3.7147401616125842E-3</v>
      </c>
      <c r="BN273">
        <v>11</v>
      </c>
      <c r="BO273">
        <v>6.6932740277190301E-3</v>
      </c>
      <c r="BP273">
        <v>12</v>
      </c>
      <c r="BQ273">
        <v>-2.0840000000000019</v>
      </c>
      <c r="BR273">
        <v>18</v>
      </c>
      <c r="BS273">
        <v>-0.28000000000000008</v>
      </c>
      <c r="BT273">
        <v>-2.7199999999999975</v>
      </c>
      <c r="BU273">
        <v>2.96</v>
      </c>
      <c r="BV273">
        <v>1.7999999999999996</v>
      </c>
      <c r="BW273">
        <v>-0.72000000000000453</v>
      </c>
      <c r="BX273">
        <v>-13.159999999999991</v>
      </c>
      <c r="BY273">
        <v>2.9200000000000017</v>
      </c>
      <c r="BZ273">
        <v>4.5200000000000005</v>
      </c>
      <c r="CA273">
        <v>5.0000000000000009</v>
      </c>
      <c r="CB273">
        <v>18</v>
      </c>
      <c r="CC273">
        <v>-0.26240000000000152</v>
      </c>
      <c r="CD273">
        <v>-2.0764800000000001</v>
      </c>
      <c r="CE273">
        <v>-16.079999999999991</v>
      </c>
      <c r="CF273">
        <v>-0.39929999999999999</v>
      </c>
    </row>
    <row r="274" spans="1:84" x14ac:dyDescent="0.2">
      <c r="A274" s="39">
        <v>43800</v>
      </c>
      <c r="B274" s="22" t="s">
        <v>241</v>
      </c>
      <c r="C274" s="41" t="s">
        <v>303</v>
      </c>
      <c r="D274" s="22" t="s">
        <v>288</v>
      </c>
      <c r="E274">
        <v>1.9</v>
      </c>
      <c r="F274">
        <v>3.4</v>
      </c>
      <c r="G274">
        <v>2.1</v>
      </c>
      <c r="H274">
        <f>20+9+2.5</f>
        <v>31.5</v>
      </c>
      <c r="I274">
        <v>11.5</v>
      </c>
      <c r="J274">
        <v>49.5</v>
      </c>
      <c r="L274" s="1" t="s">
        <v>303</v>
      </c>
      <c r="M274">
        <v>30</v>
      </c>
      <c r="N274">
        <v>-4.8327999999999989</v>
      </c>
      <c r="O274">
        <v>0.44440000000000046</v>
      </c>
      <c r="P274">
        <v>15.808000000000003</v>
      </c>
      <c r="Q274">
        <v>-0.32000000000000028</v>
      </c>
      <c r="R274">
        <v>-6.2320000000000011</v>
      </c>
      <c r="S274">
        <v>-26.199999999999992</v>
      </c>
      <c r="T274">
        <v>-2.64</v>
      </c>
      <c r="U274">
        <v>19</v>
      </c>
      <c r="V274">
        <v>19.5</v>
      </c>
      <c r="W274">
        <v>-0.36000000000000015</v>
      </c>
      <c r="X274">
        <v>19</v>
      </c>
      <c r="Y274">
        <v>17.25</v>
      </c>
      <c r="Z274">
        <v>14</v>
      </c>
      <c r="AA274">
        <v>1.6683900279687879E-2</v>
      </c>
      <c r="AB274">
        <v>21</v>
      </c>
      <c r="AC274">
        <v>-9.2494740612268679E-3</v>
      </c>
      <c r="AD274">
        <v>32</v>
      </c>
      <c r="AE274">
        <v>23.04</v>
      </c>
      <c r="AF274">
        <v>2</v>
      </c>
      <c r="AG274">
        <v>3.9600000000000009</v>
      </c>
      <c r="AH274">
        <v>-0.4799999999999997</v>
      </c>
      <c r="AI274">
        <v>-4.76</v>
      </c>
      <c r="AJ274">
        <v>-0.16000000000000006</v>
      </c>
      <c r="AK274">
        <v>-1.9199999999999933</v>
      </c>
      <c r="AL274">
        <v>-13.52</v>
      </c>
      <c r="AM274">
        <v>17.559999999999999</v>
      </c>
      <c r="AN274">
        <v>3.6399999999999997</v>
      </c>
      <c r="AO274">
        <v>-9.6</v>
      </c>
      <c r="AP274">
        <v>25</v>
      </c>
      <c r="AQ274">
        <v>-5.2771999999999997</v>
      </c>
      <c r="AR274">
        <v>-2.4351600000000002</v>
      </c>
      <c r="AS274">
        <v>-31.08</v>
      </c>
      <c r="AT274">
        <v>5.2771999999999997</v>
      </c>
      <c r="AU274">
        <v>-1.4875499999999997</v>
      </c>
      <c r="AV274">
        <v>9.1500000000000137E-2</v>
      </c>
      <c r="AW274">
        <v>-0.39929999999999999</v>
      </c>
      <c r="AX274" t="s">
        <v>288</v>
      </c>
      <c r="AY274">
        <v>7</v>
      </c>
      <c r="AZ274">
        <v>2.3560000000000021</v>
      </c>
      <c r="BA274">
        <v>7.0624000000000002</v>
      </c>
      <c r="BB274">
        <v>7.3999999999999968</v>
      </c>
      <c r="BC274">
        <v>1.72</v>
      </c>
      <c r="BD274">
        <v>-3.5600000000000005</v>
      </c>
      <c r="BE274">
        <v>-23.72</v>
      </c>
      <c r="BF274">
        <v>-4.0000000000000036E-2</v>
      </c>
      <c r="BG274">
        <v>20</v>
      </c>
      <c r="BH274">
        <v>21</v>
      </c>
      <c r="BI274">
        <v>-1.9599999999999997</v>
      </c>
      <c r="BJ274">
        <v>2</v>
      </c>
      <c r="BK274">
        <v>7.25</v>
      </c>
      <c r="BL274">
        <v>4</v>
      </c>
      <c r="BM274">
        <v>6.7932592092711505E-2</v>
      </c>
      <c r="BN274">
        <v>13</v>
      </c>
      <c r="BO274">
        <v>4.3741768634998068E-3</v>
      </c>
      <c r="BP274">
        <v>3</v>
      </c>
      <c r="BQ274">
        <v>-12.372</v>
      </c>
      <c r="BR274">
        <v>9</v>
      </c>
      <c r="BS274">
        <v>1.8</v>
      </c>
      <c r="BT274">
        <v>1.6</v>
      </c>
      <c r="BU274">
        <v>-0.44000000000000056</v>
      </c>
      <c r="BV274">
        <v>0.28000000000000008</v>
      </c>
      <c r="BW274">
        <v>28.839999999999996</v>
      </c>
      <c r="BX274">
        <v>15.600000000000005</v>
      </c>
      <c r="BY274">
        <v>8.6</v>
      </c>
      <c r="BZ274">
        <v>-1.8800000000000001</v>
      </c>
      <c r="CA274">
        <v>6.5199999999999987</v>
      </c>
      <c r="CB274">
        <v>26</v>
      </c>
      <c r="CC274">
        <v>-4.7063999999999986</v>
      </c>
      <c r="CD274">
        <v>-3.7719999999999994</v>
      </c>
      <c r="CE274">
        <v>7.0000000000000053</v>
      </c>
      <c r="CF274">
        <v>0.58230000000000026</v>
      </c>
    </row>
    <row r="275" spans="1:84" x14ac:dyDescent="0.2">
      <c r="A275" s="39">
        <v>43800</v>
      </c>
      <c r="B275" s="22" t="s">
        <v>241</v>
      </c>
      <c r="C275" s="41" t="s">
        <v>287</v>
      </c>
      <c r="D275" s="22" t="s">
        <v>278</v>
      </c>
      <c r="E275">
        <v>18.8</v>
      </c>
      <c r="F275">
        <v>19.7</v>
      </c>
      <c r="G275">
        <v>1.8</v>
      </c>
      <c r="H275">
        <v>3</v>
      </c>
      <c r="I275">
        <v>-4.5</v>
      </c>
      <c r="J275">
        <v>39</v>
      </c>
      <c r="K275" t="s">
        <v>110</v>
      </c>
      <c r="L275" s="1" t="s">
        <v>287</v>
      </c>
      <c r="M275">
        <v>26</v>
      </c>
      <c r="N275">
        <v>-3.528</v>
      </c>
      <c r="O275">
        <v>7.1444000000000001</v>
      </c>
      <c r="P275">
        <v>8.56</v>
      </c>
      <c r="Q275">
        <v>2.2799999999999998</v>
      </c>
      <c r="R275">
        <v>-2.1920000000000006</v>
      </c>
      <c r="S275">
        <v>11.000000000000011</v>
      </c>
      <c r="T275">
        <v>-0.6000000000000002</v>
      </c>
      <c r="U275">
        <v>4</v>
      </c>
      <c r="V275">
        <v>7</v>
      </c>
      <c r="W275">
        <v>-1.4800000000000002</v>
      </c>
      <c r="X275">
        <v>10</v>
      </c>
      <c r="Y275">
        <v>12.75</v>
      </c>
      <c r="Z275">
        <v>24</v>
      </c>
      <c r="AA275">
        <v>-3.6876266192844724E-2</v>
      </c>
      <c r="AB275">
        <v>12</v>
      </c>
      <c r="AC275">
        <v>4.4126193681262001E-3</v>
      </c>
      <c r="AD275">
        <v>7</v>
      </c>
      <c r="AE275">
        <v>-5.3840000000000003</v>
      </c>
      <c r="AF275">
        <v>8</v>
      </c>
      <c r="AG275">
        <v>2.0400000000000005</v>
      </c>
      <c r="AH275">
        <v>-0.95999999999999941</v>
      </c>
      <c r="AI275">
        <v>-0.43999999999999984</v>
      </c>
      <c r="AJ275">
        <v>-0.83999999999999986</v>
      </c>
      <c r="AK275">
        <v>6.3200000000000047</v>
      </c>
      <c r="AL275">
        <v>15.400000000000006</v>
      </c>
      <c r="AM275">
        <v>4.8000000000000025</v>
      </c>
      <c r="AN275">
        <v>0.52000000000000013</v>
      </c>
      <c r="AO275">
        <v>-14.4</v>
      </c>
      <c r="AP275">
        <v>32</v>
      </c>
      <c r="AQ275">
        <v>-10.6724</v>
      </c>
      <c r="AR275">
        <v>-4.7162000000000006</v>
      </c>
      <c r="AS275">
        <v>10.600000000000003</v>
      </c>
      <c r="AT275">
        <v>10.6724</v>
      </c>
      <c r="AU275">
        <v>0.34804999999999992</v>
      </c>
      <c r="AV275">
        <v>-0.50552499999999989</v>
      </c>
      <c r="AW275">
        <v>-1.0126000000000002</v>
      </c>
      <c r="AX275" t="s">
        <v>278</v>
      </c>
      <c r="AY275">
        <v>15</v>
      </c>
      <c r="AZ275">
        <v>2.4800000000001533E-2</v>
      </c>
      <c r="BA275">
        <v>-4.4396000000000004</v>
      </c>
      <c r="BB275">
        <v>-12.560000000000004</v>
      </c>
      <c r="BC275">
        <v>-1.24</v>
      </c>
      <c r="BD275">
        <v>2.8672000000000013</v>
      </c>
      <c r="BE275">
        <v>18.96</v>
      </c>
      <c r="BF275">
        <v>-0.71999999999999931</v>
      </c>
      <c r="BG275">
        <v>9</v>
      </c>
      <c r="BH275">
        <v>9.5</v>
      </c>
      <c r="BI275">
        <v>-1</v>
      </c>
      <c r="BJ275">
        <v>12</v>
      </c>
      <c r="BK275">
        <v>14.5</v>
      </c>
      <c r="BL275">
        <v>25</v>
      </c>
      <c r="BM275">
        <v>-2.5615673163275166E-2</v>
      </c>
      <c r="BN275">
        <v>6</v>
      </c>
      <c r="BO275">
        <v>2.0068736684871667E-2</v>
      </c>
      <c r="BP275">
        <v>10</v>
      </c>
      <c r="BQ275">
        <v>-3.0720000000000001</v>
      </c>
      <c r="BR275">
        <v>17</v>
      </c>
      <c r="BS275">
        <v>-8.0000000000000071E-2</v>
      </c>
      <c r="BT275">
        <v>0.27999999999999969</v>
      </c>
      <c r="BU275">
        <v>-2.2800000000000002</v>
      </c>
      <c r="BV275">
        <v>-0.43999999999999995</v>
      </c>
      <c r="BW275">
        <v>4.5200000000000049</v>
      </c>
      <c r="BX275">
        <v>9.1199999999999992</v>
      </c>
      <c r="BY275">
        <v>-13.199999999999998</v>
      </c>
      <c r="BZ275">
        <v>-2.9200000000000004</v>
      </c>
      <c r="CA275">
        <v>11.52</v>
      </c>
      <c r="CB275">
        <v>7</v>
      </c>
      <c r="CC275">
        <v>4.4644000000000013</v>
      </c>
      <c r="CD275">
        <v>2.7982000000000005</v>
      </c>
      <c r="CE275">
        <v>22.319999999999997</v>
      </c>
      <c r="CF275">
        <v>1.5500000000004677E-3</v>
      </c>
    </row>
    <row r="276" spans="1:84" x14ac:dyDescent="0.2">
      <c r="A276" s="39">
        <v>43800</v>
      </c>
      <c r="B276" s="22" t="s">
        <v>241</v>
      </c>
      <c r="C276" s="41" t="s">
        <v>304</v>
      </c>
      <c r="D276" s="22" t="s">
        <v>285</v>
      </c>
      <c r="E276" s="14">
        <v>18.5</v>
      </c>
      <c r="F276">
        <v>33.200000000000003</v>
      </c>
      <c r="G276">
        <v>7.9</v>
      </c>
      <c r="H276">
        <v>26.7</v>
      </c>
      <c r="I276">
        <v>-2.5</v>
      </c>
      <c r="J276">
        <v>47</v>
      </c>
      <c r="K276" t="s">
        <v>109</v>
      </c>
      <c r="L276" s="1" t="s">
        <v>304</v>
      </c>
      <c r="M276">
        <v>25</v>
      </c>
      <c r="N276">
        <v>-3.3136000000000001</v>
      </c>
      <c r="O276">
        <v>-1.7559999999999998</v>
      </c>
      <c r="P276">
        <v>-1.0000000000000016</v>
      </c>
      <c r="Q276">
        <v>-1.5999999999999999</v>
      </c>
      <c r="R276">
        <v>4.2520000000000007</v>
      </c>
      <c r="S276">
        <v>50.44</v>
      </c>
      <c r="T276">
        <v>2.3999999999999995</v>
      </c>
      <c r="U276">
        <v>16</v>
      </c>
      <c r="V276">
        <v>15.5</v>
      </c>
      <c r="W276">
        <v>2.8400000000000007</v>
      </c>
      <c r="X276">
        <v>23</v>
      </c>
      <c r="Y276">
        <v>20.5</v>
      </c>
      <c r="Z276">
        <v>32</v>
      </c>
      <c r="AA276">
        <v>-8.5004429442833082E-2</v>
      </c>
      <c r="AB276">
        <v>29</v>
      </c>
      <c r="AC276">
        <v>-2.7434284153857937E-2</v>
      </c>
      <c r="AD276">
        <v>8</v>
      </c>
      <c r="AE276">
        <v>-4.4800000000000013</v>
      </c>
      <c r="AF276">
        <v>13</v>
      </c>
      <c r="AG276">
        <v>0.44000000000000006</v>
      </c>
      <c r="AH276">
        <v>-3.3599999999999994</v>
      </c>
      <c r="AI276">
        <v>-1.3199999999999998</v>
      </c>
      <c r="AJ276">
        <v>1.64</v>
      </c>
      <c r="AK276">
        <v>14.119999999999994</v>
      </c>
      <c r="AL276">
        <v>30.440000000000005</v>
      </c>
      <c r="AM276">
        <v>-2.8799999999999981</v>
      </c>
      <c r="AN276">
        <v>-2.52</v>
      </c>
      <c r="AO276">
        <v>-10.920000000000002</v>
      </c>
      <c r="AP276">
        <v>17</v>
      </c>
      <c r="AQ276">
        <v>-1.5576000000000003</v>
      </c>
      <c r="AR276">
        <v>1.0656799999999997</v>
      </c>
      <c r="AS276">
        <v>33.32</v>
      </c>
      <c r="AT276">
        <v>1.5576000000000003</v>
      </c>
      <c r="AU276">
        <v>-0.10219999999999996</v>
      </c>
      <c r="AV276">
        <v>1.6747624999999999</v>
      </c>
      <c r="AW276">
        <v>6.4524999999999944E-2</v>
      </c>
      <c r="AX276" t="s">
        <v>285</v>
      </c>
      <c r="AY276">
        <v>1</v>
      </c>
      <c r="AZ276">
        <v>10.772000000000002</v>
      </c>
      <c r="BA276">
        <v>0.10400000000000142</v>
      </c>
      <c r="BB276">
        <v>4.5999999999999988</v>
      </c>
      <c r="BC276">
        <v>0.99999999999999978</v>
      </c>
      <c r="BD276">
        <v>16.203999999999997</v>
      </c>
      <c r="BE276">
        <v>51.92</v>
      </c>
      <c r="BF276">
        <v>-1.04</v>
      </c>
      <c r="BG276">
        <v>19</v>
      </c>
      <c r="BH276">
        <v>20.5</v>
      </c>
      <c r="BI276">
        <v>0.36000000000000015</v>
      </c>
      <c r="BJ276">
        <v>26</v>
      </c>
      <c r="BK276">
        <v>22</v>
      </c>
      <c r="BL276">
        <v>5</v>
      </c>
      <c r="BM276">
        <v>5.741172916876254E-2</v>
      </c>
      <c r="BN276">
        <v>31</v>
      </c>
      <c r="BO276">
        <v>-2.5969953460242889E-2</v>
      </c>
      <c r="BP276">
        <v>20</v>
      </c>
      <c r="BQ276">
        <v>1.1240000000000065</v>
      </c>
      <c r="BR276">
        <v>32</v>
      </c>
      <c r="BS276">
        <v>-4.4799999999999995</v>
      </c>
      <c r="BT276">
        <v>6.8</v>
      </c>
      <c r="BU276">
        <v>6.16</v>
      </c>
      <c r="BV276">
        <v>0.20000000000000009</v>
      </c>
      <c r="BW276">
        <v>81.160000000000011</v>
      </c>
      <c r="BX276">
        <v>83.880000000000024</v>
      </c>
      <c r="BY276">
        <v>1.4400000000000006</v>
      </c>
      <c r="BZ276">
        <v>-3.28</v>
      </c>
      <c r="CA276">
        <v>-0.88000000000000012</v>
      </c>
      <c r="CB276">
        <v>1</v>
      </c>
      <c r="CC276">
        <v>10.668000000000001</v>
      </c>
      <c r="CD276">
        <v>5.3431999999999995</v>
      </c>
      <c r="CE276">
        <v>82.440000000000026</v>
      </c>
      <c r="CF276">
        <v>3.2849999999999997</v>
      </c>
    </row>
    <row r="277" spans="1:84" x14ac:dyDescent="0.2">
      <c r="A277" s="39">
        <v>43800</v>
      </c>
      <c r="B277" s="22" t="s">
        <v>241</v>
      </c>
      <c r="C277" s="41" t="s">
        <v>293</v>
      </c>
      <c r="D277" s="22" t="s">
        <v>294</v>
      </c>
      <c r="E277">
        <v>37.9</v>
      </c>
      <c r="F277">
        <v>11.3</v>
      </c>
      <c r="G277">
        <v>6.3</v>
      </c>
      <c r="H277">
        <f>18.9+3.3</f>
        <v>22.2</v>
      </c>
      <c r="I277">
        <v>10.5</v>
      </c>
      <c r="J277">
        <v>45</v>
      </c>
      <c r="L277" s="1" t="s">
        <v>293</v>
      </c>
      <c r="M277">
        <v>3</v>
      </c>
      <c r="N277">
        <v>5.5136000000000003</v>
      </c>
      <c r="O277">
        <v>-4.3440000000000021</v>
      </c>
      <c r="P277">
        <v>-35.08</v>
      </c>
      <c r="Q277">
        <v>-0.59999999999999987</v>
      </c>
      <c r="R277">
        <v>13.559999999999999</v>
      </c>
      <c r="S277">
        <v>52.250000000000007</v>
      </c>
      <c r="T277">
        <v>3.9399999999999995</v>
      </c>
      <c r="U277">
        <v>13</v>
      </c>
      <c r="V277">
        <v>12</v>
      </c>
      <c r="W277">
        <v>-1.8399999999999999</v>
      </c>
      <c r="X277">
        <v>16</v>
      </c>
      <c r="Y277">
        <v>14.5</v>
      </c>
      <c r="Z277">
        <v>12</v>
      </c>
      <c r="AA277">
        <v>2.6271949346686814E-2</v>
      </c>
      <c r="AB277">
        <v>10</v>
      </c>
      <c r="AC277">
        <v>5.5679443149534626E-3</v>
      </c>
      <c r="AD277">
        <v>14</v>
      </c>
      <c r="AE277">
        <v>-1.231999999999998</v>
      </c>
      <c r="AF277">
        <v>22</v>
      </c>
      <c r="AG277">
        <v>-1.56</v>
      </c>
      <c r="AH277">
        <v>4.1599999999999993</v>
      </c>
      <c r="AI277">
        <v>5.64</v>
      </c>
      <c r="AJ277">
        <v>0.72</v>
      </c>
      <c r="AK277">
        <v>21</v>
      </c>
      <c r="AL277">
        <v>45.440000000000005</v>
      </c>
      <c r="AM277">
        <v>-32.32</v>
      </c>
      <c r="AN277">
        <v>5.2</v>
      </c>
      <c r="AO277">
        <v>2.6799999999999997</v>
      </c>
      <c r="AP277">
        <v>1</v>
      </c>
      <c r="AQ277">
        <v>9.8576000000000015</v>
      </c>
      <c r="AR277">
        <v>5.9867200000000009</v>
      </c>
      <c r="AS277">
        <v>77.760000000000005</v>
      </c>
      <c r="AT277">
        <v>-9.8576000000000015</v>
      </c>
      <c r="AU277">
        <v>2.1181999999999999</v>
      </c>
      <c r="AV277">
        <v>0.35110000000000019</v>
      </c>
      <c r="AW277">
        <v>2.2844000000000002</v>
      </c>
      <c r="AX277" t="s">
        <v>294</v>
      </c>
      <c r="AY277">
        <v>30</v>
      </c>
      <c r="AZ277">
        <v>-4.9687999999999981</v>
      </c>
      <c r="BA277">
        <v>2.4080000000000004</v>
      </c>
      <c r="BB277">
        <v>-16.319999999999997</v>
      </c>
      <c r="BC277">
        <v>1.4</v>
      </c>
      <c r="BD277">
        <v>-8.7128000000000014</v>
      </c>
      <c r="BE277">
        <v>-35.32</v>
      </c>
      <c r="BF277">
        <v>-4.24</v>
      </c>
      <c r="BG277">
        <v>31</v>
      </c>
      <c r="BH277">
        <v>28.5</v>
      </c>
      <c r="BI277">
        <v>1.7763568394002506E-16</v>
      </c>
      <c r="BJ277">
        <v>4</v>
      </c>
      <c r="BK277">
        <v>8.75</v>
      </c>
      <c r="BL277">
        <v>3</v>
      </c>
      <c r="BM277">
        <v>6.8284932758726116E-2</v>
      </c>
      <c r="BN277">
        <v>4</v>
      </c>
      <c r="BO277">
        <v>2.3489460581433919E-2</v>
      </c>
      <c r="BP277">
        <v>14</v>
      </c>
      <c r="BQ277">
        <v>-1.6559999999999959</v>
      </c>
      <c r="BR277">
        <v>14</v>
      </c>
      <c r="BS277">
        <v>0.4</v>
      </c>
      <c r="BT277">
        <v>-6.68</v>
      </c>
      <c r="BU277">
        <v>-2.4799999999999995</v>
      </c>
      <c r="BV277">
        <v>-1</v>
      </c>
      <c r="BW277">
        <v>-43.56</v>
      </c>
      <c r="BX277">
        <v>-28.119999999999997</v>
      </c>
      <c r="BY277">
        <v>-18.32</v>
      </c>
      <c r="BZ277">
        <v>5.0400000000000009</v>
      </c>
      <c r="CA277">
        <v>-2.16</v>
      </c>
      <c r="CB277">
        <v>31</v>
      </c>
      <c r="CC277">
        <v>-7.3767999999999985</v>
      </c>
      <c r="CD277">
        <v>-3.9403200000000003</v>
      </c>
      <c r="CE277">
        <v>-9.7999999999999972</v>
      </c>
      <c r="CF277">
        <v>-1.5821999999999998</v>
      </c>
    </row>
    <row r="278" spans="1:84" x14ac:dyDescent="0.2">
      <c r="A278" s="39">
        <v>43800</v>
      </c>
      <c r="B278" s="22" t="s">
        <v>241</v>
      </c>
      <c r="C278" s="41" t="s">
        <v>312</v>
      </c>
      <c r="D278" s="22" t="s">
        <v>308</v>
      </c>
      <c r="E278" s="3">
        <v>9.1999999999999993</v>
      </c>
      <c r="F278">
        <v>12.8</v>
      </c>
      <c r="G278">
        <v>1.1000000000000001</v>
      </c>
      <c r="H278">
        <f>15+2.8+1.6</f>
        <v>19.400000000000002</v>
      </c>
      <c r="I278">
        <v>2.5</v>
      </c>
      <c r="J278">
        <v>48</v>
      </c>
      <c r="L278" s="1" t="s">
        <v>312</v>
      </c>
      <c r="M278">
        <v>16</v>
      </c>
      <c r="N278">
        <v>0.23520000000000074</v>
      </c>
      <c r="O278">
        <v>3.9584000000000001</v>
      </c>
      <c r="P278">
        <v>5.9600000000000026</v>
      </c>
      <c r="Q278">
        <v>2.2799999999999998</v>
      </c>
      <c r="R278">
        <v>-0.38279999999999959</v>
      </c>
      <c r="S278">
        <v>-14.822800000000001</v>
      </c>
      <c r="T278">
        <v>-1.56</v>
      </c>
      <c r="U278">
        <v>26</v>
      </c>
      <c r="V278">
        <v>25</v>
      </c>
      <c r="W278">
        <v>0.24000000000000021</v>
      </c>
      <c r="X278">
        <v>28</v>
      </c>
      <c r="Y278">
        <v>24.5</v>
      </c>
      <c r="Z278">
        <v>22</v>
      </c>
      <c r="AA278">
        <v>-2.3518700930387999E-2</v>
      </c>
      <c r="AB278">
        <v>27</v>
      </c>
      <c r="AC278">
        <v>-2.2740671519998597E-2</v>
      </c>
      <c r="AD278">
        <v>22</v>
      </c>
      <c r="AE278">
        <v>1.656000000000003</v>
      </c>
      <c r="AF278">
        <v>27</v>
      </c>
      <c r="AG278">
        <v>-3.72</v>
      </c>
      <c r="AH278">
        <v>-3.1599999999999966</v>
      </c>
      <c r="AI278">
        <v>2.7600000000000002</v>
      </c>
      <c r="AJ278">
        <v>0.56000000000000005</v>
      </c>
      <c r="AK278">
        <v>-4.0399999999999974</v>
      </c>
      <c r="AL278">
        <v>8.6800000000000015</v>
      </c>
      <c r="AM278">
        <v>-1.1199999999999961</v>
      </c>
      <c r="AN278">
        <v>4.7200000000000006</v>
      </c>
      <c r="AO278">
        <v>-16.32</v>
      </c>
      <c r="AP278">
        <v>20</v>
      </c>
      <c r="AQ278">
        <v>-3.7231999999999994</v>
      </c>
      <c r="AR278">
        <v>-2.0087199999999998</v>
      </c>
      <c r="AS278">
        <v>9.7999999999999972</v>
      </c>
      <c r="AT278">
        <v>3.7231999999999994</v>
      </c>
      <c r="AU278">
        <v>0.4613500000000002</v>
      </c>
      <c r="AV278">
        <v>0.98753750000000018</v>
      </c>
      <c r="AW278">
        <v>1.0906000000000002</v>
      </c>
      <c r="AX278" t="s">
        <v>308</v>
      </c>
      <c r="AY278">
        <v>17</v>
      </c>
      <c r="AZ278">
        <v>-0.96160000000000034</v>
      </c>
      <c r="BA278">
        <v>-1.3516000000000004</v>
      </c>
      <c r="BB278">
        <v>-17.080000000000002</v>
      </c>
      <c r="BC278">
        <v>0.24</v>
      </c>
      <c r="BD278">
        <v>9.6690000000000005</v>
      </c>
      <c r="BE278">
        <v>24.071200000000005</v>
      </c>
      <c r="BF278">
        <v>5.53</v>
      </c>
      <c r="BG278">
        <v>12</v>
      </c>
      <c r="BH278">
        <v>12.5</v>
      </c>
      <c r="BI278">
        <v>-3.9999999999999501E-2</v>
      </c>
      <c r="BJ278">
        <v>21</v>
      </c>
      <c r="BK278">
        <v>17.25</v>
      </c>
      <c r="BL278">
        <v>30</v>
      </c>
      <c r="BM278">
        <v>-6.6113792660117549E-2</v>
      </c>
      <c r="BN278">
        <v>28</v>
      </c>
      <c r="BO278">
        <v>-2.0125681400008821E-2</v>
      </c>
      <c r="BP278">
        <v>4</v>
      </c>
      <c r="BQ278">
        <v>-7.7720000000000002</v>
      </c>
      <c r="BR278">
        <v>7</v>
      </c>
      <c r="BS278">
        <v>2.88</v>
      </c>
      <c r="BT278">
        <v>1.5999999999999985</v>
      </c>
      <c r="BU278">
        <v>-2.120000000000001</v>
      </c>
      <c r="BV278">
        <v>1.1200000000000003</v>
      </c>
      <c r="BW278">
        <v>17.04</v>
      </c>
      <c r="BX278">
        <v>31.160000000000014</v>
      </c>
      <c r="BY278">
        <v>-12.64</v>
      </c>
      <c r="BZ278">
        <v>3.04</v>
      </c>
      <c r="CA278">
        <v>-4.5200000000000005</v>
      </c>
      <c r="CB278">
        <v>16</v>
      </c>
      <c r="CC278">
        <v>0.3899999999999999</v>
      </c>
      <c r="CD278">
        <v>2.4172799999999999</v>
      </c>
      <c r="CE278">
        <v>43.800000000000011</v>
      </c>
      <c r="CF278">
        <v>0.88447500000000012</v>
      </c>
    </row>
    <row r="279" spans="1:84" x14ac:dyDescent="0.2">
      <c r="A279" s="39">
        <v>43800</v>
      </c>
      <c r="B279" s="22" t="s">
        <v>241</v>
      </c>
      <c r="C279" s="41" t="s">
        <v>302</v>
      </c>
      <c r="D279" s="22" t="s">
        <v>311</v>
      </c>
      <c r="E279">
        <v>24.9</v>
      </c>
      <c r="F279">
        <v>7.6</v>
      </c>
      <c r="G279">
        <v>4.4000000000000004</v>
      </c>
      <c r="H279">
        <v>6.7</v>
      </c>
      <c r="I279">
        <v>-3.5</v>
      </c>
      <c r="J279">
        <v>47</v>
      </c>
      <c r="L279" s="1" t="s">
        <v>302</v>
      </c>
      <c r="M279">
        <v>19</v>
      </c>
      <c r="N279">
        <v>-0.70799999999999907</v>
      </c>
      <c r="O279">
        <v>-3.8280000000000021</v>
      </c>
      <c r="P279">
        <v>-4.24</v>
      </c>
      <c r="Q279">
        <v>1.5999999999999996</v>
      </c>
      <c r="R279">
        <v>4.1072000000000024</v>
      </c>
      <c r="S279">
        <v>12.17</v>
      </c>
      <c r="T279">
        <v>3.9399999999999995</v>
      </c>
      <c r="U279">
        <v>2</v>
      </c>
      <c r="V279">
        <v>5</v>
      </c>
      <c r="W279">
        <v>4.5600000000000005</v>
      </c>
      <c r="X279">
        <v>27</v>
      </c>
      <c r="Y279">
        <v>23.25</v>
      </c>
      <c r="Z279">
        <v>23</v>
      </c>
      <c r="AA279">
        <v>-2.5821579633769087E-2</v>
      </c>
      <c r="AB279">
        <v>26</v>
      </c>
      <c r="AC279">
        <v>-2.1226091553984167E-2</v>
      </c>
      <c r="AD279">
        <v>23</v>
      </c>
      <c r="AE279">
        <v>2.4160000000000026</v>
      </c>
      <c r="AF279">
        <v>21</v>
      </c>
      <c r="AG279">
        <v>-1.52</v>
      </c>
      <c r="AH279">
        <v>8.4</v>
      </c>
      <c r="AI279">
        <v>-0.35999999999999976</v>
      </c>
      <c r="AJ279">
        <v>1.3199999999999998</v>
      </c>
      <c r="AK279">
        <v>14.840000000000009</v>
      </c>
      <c r="AL279">
        <v>34.200000000000003</v>
      </c>
      <c r="AM279">
        <v>4.5999999999999996</v>
      </c>
      <c r="AN279">
        <v>-5</v>
      </c>
      <c r="AO279">
        <v>-18.959999999999997</v>
      </c>
      <c r="AP279">
        <v>11</v>
      </c>
      <c r="AQ279">
        <v>3.1200000000000028</v>
      </c>
      <c r="AR279">
        <v>2.5938400000000015</v>
      </c>
      <c r="AS279">
        <v>29.6</v>
      </c>
      <c r="AT279">
        <v>-3.1200000000000028</v>
      </c>
      <c r="AU279">
        <v>0.14340000000000014</v>
      </c>
      <c r="AV279">
        <v>-1.03685</v>
      </c>
      <c r="AW279">
        <v>-2.5604</v>
      </c>
      <c r="AX279" t="s">
        <v>311</v>
      </c>
      <c r="AY279">
        <v>6</v>
      </c>
      <c r="AZ279">
        <v>3.7656000000000001</v>
      </c>
      <c r="BA279">
        <v>3.355999999999999</v>
      </c>
      <c r="BB279">
        <v>15.559999999999999</v>
      </c>
      <c r="BC279">
        <v>1.1999999999999997</v>
      </c>
      <c r="BD279">
        <v>-2.7080000000000002</v>
      </c>
      <c r="BE279">
        <v>5.4399999999999977</v>
      </c>
      <c r="BF279">
        <v>-0.76</v>
      </c>
      <c r="BG279">
        <v>22</v>
      </c>
      <c r="BH279">
        <v>21.5</v>
      </c>
      <c r="BI279">
        <v>-3.3200000000000003</v>
      </c>
      <c r="BJ279">
        <v>27</v>
      </c>
      <c r="BK279">
        <v>22.75</v>
      </c>
      <c r="BL279">
        <v>31</v>
      </c>
      <c r="BM279">
        <v>-9.4418545042288998E-2</v>
      </c>
      <c r="BN279">
        <v>30</v>
      </c>
      <c r="BO279">
        <v>-2.5076412149959905E-2</v>
      </c>
      <c r="BP279">
        <v>2</v>
      </c>
      <c r="BQ279">
        <v>-17.844000000000001</v>
      </c>
      <c r="BR279">
        <v>28</v>
      </c>
      <c r="BS279">
        <v>-3.6</v>
      </c>
      <c r="BT279">
        <v>0.39999999999999858</v>
      </c>
      <c r="BU279">
        <v>0.6399999999999999</v>
      </c>
      <c r="BV279">
        <v>-1.48</v>
      </c>
      <c r="BW279">
        <v>44.44</v>
      </c>
      <c r="BX279">
        <v>24.280000000000008</v>
      </c>
      <c r="BY279">
        <v>17.279999999999998</v>
      </c>
      <c r="BZ279">
        <v>-4.4399999999999995</v>
      </c>
      <c r="CA279">
        <v>7.32</v>
      </c>
      <c r="CB279">
        <v>15</v>
      </c>
      <c r="CC279">
        <v>0.40960000000000107</v>
      </c>
      <c r="CD279">
        <v>-1.4664799999999993</v>
      </c>
      <c r="CE279">
        <v>7.0000000000000107</v>
      </c>
      <c r="CF279">
        <v>0.48669999999999985</v>
      </c>
    </row>
    <row r="280" spans="1:84" x14ac:dyDescent="0.2">
      <c r="A280" s="39">
        <v>43800</v>
      </c>
      <c r="B280" s="22" t="s">
        <v>241</v>
      </c>
      <c r="C280" s="41" t="s">
        <v>307</v>
      </c>
      <c r="D280" s="22" t="s">
        <v>295</v>
      </c>
      <c r="E280">
        <v>10.8</v>
      </c>
      <c r="F280">
        <v>3.4</v>
      </c>
      <c r="G280">
        <v>0</v>
      </c>
      <c r="H280">
        <v>12.7</v>
      </c>
      <c r="I280">
        <v>-7</v>
      </c>
      <c r="J280">
        <v>48</v>
      </c>
      <c r="L280" s="1" t="s">
        <v>307</v>
      </c>
      <c r="M280">
        <v>18</v>
      </c>
      <c r="N280">
        <v>-0.66319999999999912</v>
      </c>
      <c r="O280">
        <v>4.0960000000000001</v>
      </c>
      <c r="P280">
        <v>4.68</v>
      </c>
      <c r="Q280">
        <v>3.44</v>
      </c>
      <c r="R280">
        <v>-3.1559999999999979</v>
      </c>
      <c r="S280">
        <v>-24.640000000000008</v>
      </c>
      <c r="T280">
        <v>8.84</v>
      </c>
      <c r="U280">
        <v>4</v>
      </c>
      <c r="V280">
        <v>7</v>
      </c>
      <c r="W280">
        <v>0.20000000000000034</v>
      </c>
      <c r="X280">
        <v>32</v>
      </c>
      <c r="Y280">
        <v>29.5</v>
      </c>
      <c r="Z280">
        <v>30</v>
      </c>
      <c r="AA280">
        <v>-7.926933932533814E-2</v>
      </c>
      <c r="AB280">
        <v>28</v>
      </c>
      <c r="AC280">
        <v>-2.5315156705118559E-2</v>
      </c>
      <c r="AD280">
        <v>31</v>
      </c>
      <c r="AE280">
        <v>16.747999999999994</v>
      </c>
      <c r="AF280">
        <v>29</v>
      </c>
      <c r="AG280">
        <v>-3.919999999999999</v>
      </c>
      <c r="AH280">
        <v>-2.1199999999999974</v>
      </c>
      <c r="AI280">
        <v>1.2399999999999998</v>
      </c>
      <c r="AJ280">
        <v>-0.27999999999999997</v>
      </c>
      <c r="AK280">
        <v>-12.439999999999987</v>
      </c>
      <c r="AL280">
        <v>-12.400000000000011</v>
      </c>
      <c r="AM280">
        <v>6.8800000000000008</v>
      </c>
      <c r="AN280">
        <v>-1.56</v>
      </c>
      <c r="AO280">
        <v>-5.3599999999999994</v>
      </c>
      <c r="AP280">
        <v>22</v>
      </c>
      <c r="AQ280">
        <v>-4.759199999999999</v>
      </c>
      <c r="AR280">
        <v>-2.8118399999999992</v>
      </c>
      <c r="AS280">
        <v>-19.280000000000012</v>
      </c>
      <c r="AT280">
        <v>4.759199999999999</v>
      </c>
      <c r="AU280">
        <v>0.32460000000000055</v>
      </c>
      <c r="AV280">
        <v>-1.396075</v>
      </c>
      <c r="AW280">
        <v>-0.64724999999999999</v>
      </c>
      <c r="AX280" t="s">
        <v>295</v>
      </c>
      <c r="AY280">
        <v>27</v>
      </c>
      <c r="AZ280">
        <v>-3.9112</v>
      </c>
      <c r="BA280">
        <v>-5.6039999999999983</v>
      </c>
      <c r="BB280">
        <v>-14.080000000000005</v>
      </c>
      <c r="BC280">
        <v>0.43999999999999972</v>
      </c>
      <c r="BD280">
        <v>-7.764000000000002</v>
      </c>
      <c r="BE280">
        <v>-14.760000000000005</v>
      </c>
      <c r="BF280">
        <v>7.2000000000000011</v>
      </c>
      <c r="BG280">
        <v>17</v>
      </c>
      <c r="BH280">
        <v>14.5</v>
      </c>
      <c r="BI280">
        <v>0.35999999999999976</v>
      </c>
      <c r="BJ280">
        <v>19</v>
      </c>
      <c r="BK280">
        <v>16.5</v>
      </c>
      <c r="BL280">
        <v>10</v>
      </c>
      <c r="BM280">
        <v>1.3493023923273211E-2</v>
      </c>
      <c r="BN280">
        <v>20</v>
      </c>
      <c r="BO280">
        <v>-4.012887209230198E-3</v>
      </c>
      <c r="BP280">
        <v>25</v>
      </c>
      <c r="BQ280">
        <v>7.0879999999999965</v>
      </c>
      <c r="BR280">
        <v>11</v>
      </c>
      <c r="BS280">
        <v>1.3200000000000003</v>
      </c>
      <c r="BT280">
        <v>-5.5199999999999987</v>
      </c>
      <c r="BU280">
        <v>-6.6799999999999979</v>
      </c>
      <c r="BV280">
        <v>8.8817841970012528E-17</v>
      </c>
      <c r="BW280">
        <v>-28.399999999999977</v>
      </c>
      <c r="BX280">
        <v>-19.080000000000002</v>
      </c>
      <c r="BY280">
        <v>-11.559999999999997</v>
      </c>
      <c r="BZ280">
        <v>-1.48</v>
      </c>
      <c r="CA280">
        <v>3.719999999999998</v>
      </c>
      <c r="CB280">
        <v>12</v>
      </c>
      <c r="CC280">
        <v>1.6927999999999983</v>
      </c>
      <c r="CD280">
        <v>0.46695999999999893</v>
      </c>
      <c r="CE280">
        <v>-7.5200000000000049</v>
      </c>
      <c r="CF280">
        <v>-2.1448999999999998</v>
      </c>
    </row>
    <row r="281" spans="1:84" x14ac:dyDescent="0.2">
      <c r="A281" s="39">
        <v>43800</v>
      </c>
      <c r="B281" s="22" t="s">
        <v>241</v>
      </c>
      <c r="C281" s="41" t="s">
        <v>296</v>
      </c>
      <c r="D281" s="22" t="s">
        <v>300</v>
      </c>
      <c r="E281">
        <v>13</v>
      </c>
      <c r="F281">
        <v>10.4</v>
      </c>
      <c r="G281">
        <v>5.3</v>
      </c>
      <c r="H281">
        <v>13</v>
      </c>
      <c r="I281">
        <v>6.5</v>
      </c>
      <c r="J281">
        <v>43.5</v>
      </c>
      <c r="L281" s="1" t="s">
        <v>296</v>
      </c>
      <c r="M281">
        <v>8</v>
      </c>
      <c r="N281">
        <v>3.5287999999999995</v>
      </c>
      <c r="O281">
        <v>-5.3800000000000008</v>
      </c>
      <c r="P281">
        <v>-29.352</v>
      </c>
      <c r="Q281">
        <v>-0.72</v>
      </c>
      <c r="R281">
        <v>5.8071999999999981</v>
      </c>
      <c r="S281">
        <v>-9.1999999999999993</v>
      </c>
      <c r="T281">
        <v>3.4000000000000004</v>
      </c>
      <c r="U281">
        <v>28</v>
      </c>
      <c r="V281">
        <v>27.5</v>
      </c>
      <c r="W281">
        <v>-2.3999999999999995</v>
      </c>
      <c r="X281">
        <v>2</v>
      </c>
      <c r="Y281">
        <v>7.5</v>
      </c>
      <c r="Z281">
        <v>3</v>
      </c>
      <c r="AA281">
        <v>7.720312519554437E-2</v>
      </c>
      <c r="AB281">
        <v>16</v>
      </c>
      <c r="AC281">
        <v>1.4705007259229116E-3</v>
      </c>
      <c r="AD281">
        <v>10</v>
      </c>
      <c r="AE281">
        <v>-3.5840000000000032</v>
      </c>
      <c r="AF281">
        <v>1</v>
      </c>
      <c r="AG281">
        <v>6.0000000000000009</v>
      </c>
      <c r="AH281">
        <v>1.2000000000000015</v>
      </c>
      <c r="AI281">
        <v>-1.4799999999999991</v>
      </c>
      <c r="AJ281">
        <v>-0.44000000000000006</v>
      </c>
      <c r="AK281">
        <v>-16.04</v>
      </c>
      <c r="AL281">
        <v>0.72000000000000453</v>
      </c>
      <c r="AM281">
        <v>-33.04</v>
      </c>
      <c r="AN281">
        <v>5.08</v>
      </c>
      <c r="AO281">
        <v>11.2</v>
      </c>
      <c r="AP281">
        <v>2</v>
      </c>
      <c r="AQ281">
        <v>8.9087999999999994</v>
      </c>
      <c r="AR281">
        <v>4.5571999999999999</v>
      </c>
      <c r="AS281">
        <v>33.760000000000005</v>
      </c>
      <c r="AT281">
        <v>-8.9087999999999994</v>
      </c>
      <c r="AU281">
        <v>0.18449999999999978</v>
      </c>
      <c r="AV281">
        <v>0.60505000000000009</v>
      </c>
      <c r="AW281">
        <v>1.3486000000000002</v>
      </c>
      <c r="AX281" t="s">
        <v>300</v>
      </c>
      <c r="AY281">
        <v>21</v>
      </c>
      <c r="AZ281">
        <v>-3.7079999999999997</v>
      </c>
      <c r="BA281">
        <v>0.97600000000000164</v>
      </c>
      <c r="BB281">
        <v>18.679999999999996</v>
      </c>
      <c r="BC281">
        <v>-0.16000000000000025</v>
      </c>
      <c r="BD281">
        <v>-0.45600000000000129</v>
      </c>
      <c r="BE281">
        <v>23.679999999999996</v>
      </c>
      <c r="BF281">
        <v>-2.6399999999999997</v>
      </c>
      <c r="BG281">
        <v>6</v>
      </c>
      <c r="BH281">
        <v>5</v>
      </c>
      <c r="BI281">
        <v>-1.8399999999999999</v>
      </c>
      <c r="BJ281">
        <v>29</v>
      </c>
      <c r="BK281">
        <v>24</v>
      </c>
      <c r="BL281">
        <v>17</v>
      </c>
      <c r="BM281">
        <v>-7.5143537273633931E-3</v>
      </c>
      <c r="BN281">
        <v>23</v>
      </c>
      <c r="BO281">
        <v>-6.6855087310842415E-3</v>
      </c>
      <c r="BP281">
        <v>27</v>
      </c>
      <c r="BQ281">
        <v>8.7959999999999994</v>
      </c>
      <c r="BR281">
        <v>29</v>
      </c>
      <c r="BS281">
        <v>-3.8400000000000007</v>
      </c>
      <c r="BT281">
        <v>-3.3200000000000003</v>
      </c>
      <c r="BU281">
        <v>0.3999999999999993</v>
      </c>
      <c r="BV281">
        <v>-0.83999999999999986</v>
      </c>
      <c r="BW281">
        <v>16.760000000000002</v>
      </c>
      <c r="BX281">
        <v>4.2</v>
      </c>
      <c r="BY281">
        <v>23.96</v>
      </c>
      <c r="BZ281">
        <v>-5.08</v>
      </c>
      <c r="CA281">
        <v>-6.3199999999999994</v>
      </c>
      <c r="CB281">
        <v>25</v>
      </c>
      <c r="CC281">
        <v>-4.6840000000000011</v>
      </c>
      <c r="CD281">
        <v>-1.3208000000000011</v>
      </c>
      <c r="CE281">
        <v>-19.760000000000002</v>
      </c>
      <c r="CF281">
        <v>-0.13850000000000007</v>
      </c>
    </row>
    <row r="282" spans="1:84" x14ac:dyDescent="0.2">
      <c r="A282" s="39">
        <v>43800</v>
      </c>
      <c r="B282" s="22" t="s">
        <v>241</v>
      </c>
      <c r="C282" s="41" t="s">
        <v>298</v>
      </c>
      <c r="D282" s="22" t="s">
        <v>272</v>
      </c>
      <c r="E282">
        <v>2.8</v>
      </c>
      <c r="F282">
        <v>20.100000000000001</v>
      </c>
      <c r="G282">
        <v>5.3</v>
      </c>
      <c r="H282">
        <v>9.9</v>
      </c>
      <c r="I282">
        <v>-2.5</v>
      </c>
      <c r="J282">
        <v>43</v>
      </c>
      <c r="K282" t="s">
        <v>109</v>
      </c>
      <c r="L282" s="1" t="s">
        <v>298</v>
      </c>
      <c r="M282">
        <v>17</v>
      </c>
      <c r="N282">
        <v>-0.66319999999999835</v>
      </c>
      <c r="O282">
        <v>-1.5159999999999996</v>
      </c>
      <c r="P282">
        <v>-23</v>
      </c>
      <c r="Q282">
        <v>0.52</v>
      </c>
      <c r="R282">
        <v>-3.4079999999999986</v>
      </c>
      <c r="S282">
        <v>-23.439999999999991</v>
      </c>
      <c r="T282">
        <v>-1.0800000000000003</v>
      </c>
      <c r="U282">
        <v>14</v>
      </c>
      <c r="V282">
        <v>13.5</v>
      </c>
      <c r="W282">
        <v>0.31999999999999995</v>
      </c>
      <c r="X282">
        <v>8</v>
      </c>
      <c r="Y282">
        <v>12</v>
      </c>
      <c r="Z282">
        <v>2</v>
      </c>
      <c r="AA282">
        <v>7.7811455412185065E-2</v>
      </c>
      <c r="AB282">
        <v>17</v>
      </c>
      <c r="AC282">
        <v>-1.4097456669437819E-3</v>
      </c>
      <c r="AD282">
        <v>12</v>
      </c>
      <c r="AE282">
        <v>-3.0959999999999979</v>
      </c>
      <c r="AF282">
        <v>17</v>
      </c>
      <c r="AG282">
        <v>-0.2</v>
      </c>
      <c r="AH282">
        <v>-0.11999999999999886</v>
      </c>
      <c r="AI282">
        <v>-1.9200000000000004</v>
      </c>
      <c r="AJ282">
        <v>1.1600000000000001</v>
      </c>
      <c r="AK282">
        <v>-21.679999999999996</v>
      </c>
      <c r="AL282">
        <v>7.5200000000000049</v>
      </c>
      <c r="AM282">
        <v>-20.64</v>
      </c>
      <c r="AN282">
        <v>-1.6800000000000002</v>
      </c>
      <c r="AO282">
        <v>-6.8799999999999981</v>
      </c>
      <c r="AP282">
        <v>15</v>
      </c>
      <c r="AQ282">
        <v>0.85280000000000111</v>
      </c>
      <c r="AR282">
        <v>-5.6239999999999513E-2</v>
      </c>
      <c r="AS282">
        <v>28.160000000000004</v>
      </c>
      <c r="AT282">
        <v>-0.85280000000000122</v>
      </c>
      <c r="AU282">
        <v>-0.66839999999999955</v>
      </c>
      <c r="AV282">
        <v>0.39348749999999988</v>
      </c>
      <c r="AW282">
        <v>0.33259999999999978</v>
      </c>
      <c r="AX282" t="s">
        <v>272</v>
      </c>
      <c r="AY282">
        <v>10</v>
      </c>
      <c r="AZ282">
        <v>1.9240000000000019</v>
      </c>
      <c r="BA282">
        <v>-4.5560000000000009</v>
      </c>
      <c r="BB282">
        <v>-6.0800000000000054</v>
      </c>
      <c r="BC282">
        <v>-1.2</v>
      </c>
      <c r="BD282">
        <v>6.706999999999999</v>
      </c>
      <c r="BE282">
        <v>45.539999999999992</v>
      </c>
      <c r="BF282">
        <v>1.2300000000000002</v>
      </c>
      <c r="BG282">
        <v>20</v>
      </c>
      <c r="BH282">
        <v>21</v>
      </c>
      <c r="BI282">
        <v>0.6</v>
      </c>
      <c r="BJ282">
        <v>22</v>
      </c>
      <c r="BK282">
        <v>18.25</v>
      </c>
      <c r="BL282">
        <v>13</v>
      </c>
      <c r="BM282">
        <v>2.5442784003915529E-3</v>
      </c>
      <c r="BN282">
        <v>15</v>
      </c>
      <c r="BO282">
        <v>1.551280699644038E-3</v>
      </c>
      <c r="BP282">
        <v>19</v>
      </c>
      <c r="BQ282">
        <v>0.95999999999999375</v>
      </c>
      <c r="BR282">
        <v>26</v>
      </c>
      <c r="BS282">
        <v>-2</v>
      </c>
      <c r="BT282">
        <v>-0.8</v>
      </c>
      <c r="BU282">
        <v>-1.1600000000000006</v>
      </c>
      <c r="BV282">
        <v>-0.15999999999999998</v>
      </c>
      <c r="BW282">
        <v>26.439999999999998</v>
      </c>
      <c r="BX282">
        <v>31.52000000000001</v>
      </c>
      <c r="BY282">
        <v>-1.4400000000000035</v>
      </c>
      <c r="BZ282">
        <v>-1.48</v>
      </c>
      <c r="CA282">
        <v>-2.1599999999999988</v>
      </c>
      <c r="CB282">
        <v>5</v>
      </c>
      <c r="CC282">
        <v>6.4800000000000031</v>
      </c>
      <c r="CD282">
        <v>4.0042000000000009</v>
      </c>
      <c r="CE282">
        <v>32.960000000000015</v>
      </c>
      <c r="CF282">
        <v>0.45437500000000003</v>
      </c>
    </row>
    <row r="283" spans="1:84" x14ac:dyDescent="0.2">
      <c r="A283" s="39">
        <v>43800</v>
      </c>
      <c r="B283" s="22" t="s">
        <v>241</v>
      </c>
      <c r="C283" s="41" t="s">
        <v>294</v>
      </c>
      <c r="D283" s="22" t="s">
        <v>293</v>
      </c>
      <c r="E283">
        <v>31.7</v>
      </c>
      <c r="F283">
        <v>9.1</v>
      </c>
      <c r="G283">
        <v>8.5</v>
      </c>
      <c r="H283">
        <v>18</v>
      </c>
      <c r="I283">
        <v>-10.5</v>
      </c>
      <c r="J283">
        <v>45</v>
      </c>
      <c r="L283" s="1" t="s">
        <v>294</v>
      </c>
      <c r="M283">
        <v>20</v>
      </c>
      <c r="N283">
        <v>-0.91520000000000012</v>
      </c>
      <c r="O283">
        <v>1.1360000000000001</v>
      </c>
      <c r="P283">
        <v>17.439999999999994</v>
      </c>
      <c r="Q283">
        <v>-1.6399999999999997</v>
      </c>
      <c r="R283">
        <v>5.8500000000000014</v>
      </c>
      <c r="S283">
        <v>12.4512</v>
      </c>
      <c r="T283">
        <v>5.339999999999999</v>
      </c>
      <c r="U283">
        <v>23</v>
      </c>
      <c r="V283">
        <v>22.5</v>
      </c>
      <c r="W283">
        <v>0.4</v>
      </c>
      <c r="X283">
        <v>6</v>
      </c>
      <c r="Y283">
        <v>10.25</v>
      </c>
      <c r="Z283">
        <v>16</v>
      </c>
      <c r="AA283">
        <v>9.6250397225153828E-3</v>
      </c>
      <c r="AB283">
        <v>4</v>
      </c>
      <c r="AC283">
        <v>2.1977118153226109E-2</v>
      </c>
      <c r="AD283">
        <v>6</v>
      </c>
      <c r="AE283">
        <v>-6.044000000000004</v>
      </c>
      <c r="AF283">
        <v>15</v>
      </c>
      <c r="AG283">
        <v>8.0000000000000251E-2</v>
      </c>
      <c r="AH283">
        <v>5.8000000000000016</v>
      </c>
      <c r="AI283">
        <v>1.2</v>
      </c>
      <c r="AJ283">
        <v>-1.2</v>
      </c>
      <c r="AK283">
        <v>12.999999999999989</v>
      </c>
      <c r="AL283">
        <v>-9.8799999999999955</v>
      </c>
      <c r="AM283">
        <v>17.360000000000003</v>
      </c>
      <c r="AN283">
        <v>-1.3199999999999998</v>
      </c>
      <c r="AO283">
        <v>6.8400000000000007</v>
      </c>
      <c r="AP283">
        <v>18</v>
      </c>
      <c r="AQ283">
        <v>-2.0512000000000001</v>
      </c>
      <c r="AR283">
        <v>0.41896000000000011</v>
      </c>
      <c r="AS283">
        <v>-27.24</v>
      </c>
      <c r="AT283">
        <v>2.0512000000000001</v>
      </c>
      <c r="AU283">
        <v>0.69885000000000019</v>
      </c>
      <c r="AV283">
        <v>0.35110000000000019</v>
      </c>
      <c r="AW283">
        <v>-1.5821999999999998</v>
      </c>
      <c r="AX283" t="s">
        <v>293</v>
      </c>
      <c r="AY283">
        <v>2</v>
      </c>
      <c r="AZ283">
        <v>3.3720000000000012</v>
      </c>
      <c r="BA283">
        <v>0.72399999999999953</v>
      </c>
      <c r="BB283">
        <v>-0.60000000000000364</v>
      </c>
      <c r="BC283">
        <v>0.6399999999999999</v>
      </c>
      <c r="BD283">
        <v>10.099200000000002</v>
      </c>
      <c r="BE283">
        <v>37.617199999999997</v>
      </c>
      <c r="BF283">
        <v>3.8499999999999996</v>
      </c>
      <c r="BG283">
        <v>1</v>
      </c>
      <c r="BH283">
        <v>1.5</v>
      </c>
      <c r="BI283">
        <v>-1.56</v>
      </c>
      <c r="BJ283">
        <v>31</v>
      </c>
      <c r="BK283">
        <v>29</v>
      </c>
      <c r="BL283">
        <v>29</v>
      </c>
      <c r="BM283">
        <v>-6.3585029344177035E-2</v>
      </c>
      <c r="BN283">
        <v>32</v>
      </c>
      <c r="BO283">
        <v>-3.1586937526708284E-2</v>
      </c>
      <c r="BP283">
        <v>30</v>
      </c>
      <c r="BQ283">
        <v>10.563999999999998</v>
      </c>
      <c r="BR283">
        <v>25</v>
      </c>
      <c r="BS283">
        <v>-1.8399999999999999</v>
      </c>
      <c r="BT283">
        <v>0</v>
      </c>
      <c r="BU283">
        <v>5.4799999999999986</v>
      </c>
      <c r="BV283">
        <v>-0.4</v>
      </c>
      <c r="BW283">
        <v>29.080000000000005</v>
      </c>
      <c r="BX283">
        <v>36.200000000000003</v>
      </c>
      <c r="BY283">
        <v>-1.7599999999999993</v>
      </c>
      <c r="BZ283">
        <v>-1.3199999999999998</v>
      </c>
      <c r="CA283">
        <v>-4.0400000000000009</v>
      </c>
      <c r="CB283">
        <v>11</v>
      </c>
      <c r="CC283">
        <v>2.6480000000000015</v>
      </c>
      <c r="CD283">
        <v>2.3322400000000005</v>
      </c>
      <c r="CE283">
        <v>37.96</v>
      </c>
      <c r="CF283">
        <v>2.2844000000000002</v>
      </c>
    </row>
    <row r="284" spans="1:84" x14ac:dyDescent="0.2">
      <c r="A284" s="39">
        <v>43800</v>
      </c>
      <c r="B284" s="22" t="s">
        <v>241</v>
      </c>
      <c r="C284" s="41" t="s">
        <v>309</v>
      </c>
      <c r="D284" s="22" t="s">
        <v>281</v>
      </c>
      <c r="E284">
        <v>24.1</v>
      </c>
      <c r="F284">
        <v>4.0999999999999996</v>
      </c>
      <c r="G284">
        <v>3.8</v>
      </c>
      <c r="H284">
        <v>6.8</v>
      </c>
      <c r="I284">
        <v>1</v>
      </c>
      <c r="J284">
        <v>40</v>
      </c>
      <c r="L284" s="1" t="s">
        <v>309</v>
      </c>
      <c r="M284">
        <v>31</v>
      </c>
      <c r="N284">
        <v>-6.5783999999999994</v>
      </c>
      <c r="O284">
        <v>2.5279999999999996</v>
      </c>
      <c r="P284">
        <v>-2.7200000000000015</v>
      </c>
      <c r="Q284">
        <v>2.76</v>
      </c>
      <c r="R284">
        <v>-6.7850000000000001</v>
      </c>
      <c r="S284">
        <v>-13.757499999999993</v>
      </c>
      <c r="T284">
        <v>-4.5250000000000004</v>
      </c>
      <c r="U284">
        <v>3</v>
      </c>
      <c r="V284">
        <v>5.5</v>
      </c>
      <c r="W284">
        <v>5.88</v>
      </c>
      <c r="X284">
        <v>12</v>
      </c>
      <c r="Y284">
        <v>13.25</v>
      </c>
      <c r="Z284">
        <v>9</v>
      </c>
      <c r="AA284">
        <v>3.7675928640916991E-2</v>
      </c>
      <c r="AB284">
        <v>20</v>
      </c>
      <c r="AC284">
        <v>-6.4737062702296191E-3</v>
      </c>
      <c r="AD284">
        <v>19</v>
      </c>
      <c r="AE284">
        <v>0.58800000000000385</v>
      </c>
      <c r="AF284">
        <v>5</v>
      </c>
      <c r="AG284">
        <v>3.04</v>
      </c>
      <c r="AH284">
        <v>1.5599999999999994</v>
      </c>
      <c r="AI284">
        <v>-3.4800000000000004</v>
      </c>
      <c r="AJ284">
        <v>1.24</v>
      </c>
      <c r="AK284">
        <v>-27.320000000000004</v>
      </c>
      <c r="AL284">
        <v>-19.719999999999992</v>
      </c>
      <c r="AM284">
        <v>4.0799999999999983</v>
      </c>
      <c r="AN284">
        <v>1.56</v>
      </c>
      <c r="AO284">
        <v>-13.24</v>
      </c>
      <c r="AP284">
        <v>31</v>
      </c>
      <c r="AQ284">
        <v>-9.1063999999999989</v>
      </c>
      <c r="AR284">
        <v>-3.9366799999999995</v>
      </c>
      <c r="AS284">
        <v>-23.79999999999999</v>
      </c>
      <c r="AT284">
        <v>9.1063999999999989</v>
      </c>
      <c r="AU284">
        <v>-1.074425</v>
      </c>
      <c r="AV284">
        <v>-1.1652281250000001</v>
      </c>
      <c r="AW284">
        <v>-1.8527</v>
      </c>
      <c r="AX284" t="s">
        <v>281</v>
      </c>
      <c r="AY284">
        <v>11</v>
      </c>
      <c r="AZ284">
        <v>1.7832000000000015</v>
      </c>
      <c r="BA284">
        <v>-2.0920000000000014</v>
      </c>
      <c r="BB284">
        <v>-8.32</v>
      </c>
      <c r="BC284">
        <v>-1.3200000000000003</v>
      </c>
      <c r="BD284">
        <v>7.0749999999999424E-2</v>
      </c>
      <c r="BE284">
        <v>8.8649999999999984</v>
      </c>
      <c r="BF284">
        <v>0.21750000000000028</v>
      </c>
      <c r="BG284">
        <v>29</v>
      </c>
      <c r="BH284">
        <v>27</v>
      </c>
      <c r="BI284">
        <v>-5.4399999999999995</v>
      </c>
      <c r="BJ284">
        <v>9</v>
      </c>
      <c r="BK284">
        <v>12.5</v>
      </c>
      <c r="BL284">
        <v>8</v>
      </c>
      <c r="BM284">
        <v>3.1966416667051599E-2</v>
      </c>
      <c r="BN284">
        <v>16</v>
      </c>
      <c r="BO284">
        <v>4.1445162678672569E-4</v>
      </c>
      <c r="BP284">
        <v>7</v>
      </c>
      <c r="BQ284">
        <v>-4.6960000000000033</v>
      </c>
      <c r="BR284">
        <v>19</v>
      </c>
      <c r="BS284">
        <v>-0.35999999999999976</v>
      </c>
      <c r="BT284">
        <v>-4.2799999999999994</v>
      </c>
      <c r="BU284">
        <v>-0.8</v>
      </c>
      <c r="BV284">
        <v>-1.1599999999999997</v>
      </c>
      <c r="BW284">
        <v>0.31999999999999318</v>
      </c>
      <c r="BX284">
        <v>4.4799999999999951</v>
      </c>
      <c r="BY284">
        <v>-9.5599999999999987</v>
      </c>
      <c r="BZ284">
        <v>0.28000000000000008</v>
      </c>
      <c r="CA284">
        <v>5.12</v>
      </c>
      <c r="CB284">
        <v>8</v>
      </c>
      <c r="CC284">
        <v>3.8752000000000026</v>
      </c>
      <c r="CD284">
        <v>1.4167900000000009</v>
      </c>
      <c r="CE284">
        <v>14.039999999999994</v>
      </c>
      <c r="CF284">
        <v>-0.47775624999999999</v>
      </c>
    </row>
    <row r="285" spans="1:84" x14ac:dyDescent="0.2">
      <c r="A285" s="39">
        <v>43800</v>
      </c>
      <c r="B285" s="22" t="s">
        <v>241</v>
      </c>
      <c r="C285" s="40" t="s">
        <v>256</v>
      </c>
      <c r="D285" s="22" t="s">
        <v>305</v>
      </c>
      <c r="E285">
        <v>8.1</v>
      </c>
      <c r="F285">
        <v>14.1</v>
      </c>
      <c r="G285">
        <v>7.2</v>
      </c>
      <c r="H285">
        <v>3.4</v>
      </c>
      <c r="I285">
        <v>5.5</v>
      </c>
      <c r="J285">
        <v>45</v>
      </c>
      <c r="K285" t="s">
        <v>110</v>
      </c>
      <c r="L285" s="1" t="s">
        <v>256</v>
      </c>
      <c r="M285">
        <v>14</v>
      </c>
      <c r="N285">
        <v>0.4431999999999981</v>
      </c>
      <c r="O285">
        <v>-1.2560000000000007</v>
      </c>
      <c r="P285">
        <v>-1.2000000000000002</v>
      </c>
      <c r="Q285">
        <v>-0.2799999999999998</v>
      </c>
      <c r="R285">
        <v>-5.1460000000000035</v>
      </c>
      <c r="S285">
        <v>-32.502800000000001</v>
      </c>
      <c r="T285">
        <v>-5.28</v>
      </c>
      <c r="U285">
        <v>17</v>
      </c>
      <c r="V285">
        <v>16</v>
      </c>
      <c r="W285">
        <v>3.3600000000000008</v>
      </c>
      <c r="X285">
        <v>21</v>
      </c>
      <c r="Y285">
        <v>17.75</v>
      </c>
      <c r="Z285">
        <v>19</v>
      </c>
      <c r="AA285">
        <v>-1.1491454585293404E-2</v>
      </c>
      <c r="AB285">
        <v>3</v>
      </c>
      <c r="AC285">
        <v>2.4590179160782849E-2</v>
      </c>
      <c r="AD285">
        <v>29</v>
      </c>
      <c r="AE285">
        <v>11.867999999999995</v>
      </c>
      <c r="AF285">
        <v>20</v>
      </c>
      <c r="AG285">
        <v>-1.08</v>
      </c>
      <c r="AH285">
        <v>-3.519999999999996</v>
      </c>
      <c r="AI285">
        <v>1.920000000000001</v>
      </c>
      <c r="AJ285">
        <v>1.1200000000000001</v>
      </c>
      <c r="AK285">
        <v>-24.360000000000003</v>
      </c>
      <c r="AL285">
        <v>-25.159999999999997</v>
      </c>
      <c r="AM285">
        <v>3.0400000000000036</v>
      </c>
      <c r="AN285">
        <v>1.2000000000000002</v>
      </c>
      <c r="AO285">
        <v>-3.44</v>
      </c>
      <c r="AP285">
        <v>13</v>
      </c>
      <c r="AQ285">
        <v>1.6991999999999989</v>
      </c>
      <c r="AR285">
        <v>-0.31256000000000073</v>
      </c>
      <c r="AS285">
        <v>-28.2</v>
      </c>
      <c r="AT285">
        <v>-1.6991999999999987</v>
      </c>
      <c r="AU285">
        <v>-0.68485000000000062</v>
      </c>
      <c r="AV285">
        <v>-2.0896000000000003</v>
      </c>
      <c r="AW285">
        <v>-1.9542000000000002</v>
      </c>
      <c r="AX285" t="s">
        <v>305</v>
      </c>
      <c r="AY285">
        <v>32</v>
      </c>
      <c r="AZ285">
        <v>-7.5903999999999998</v>
      </c>
      <c r="BA285">
        <v>-0.55200000000000005</v>
      </c>
      <c r="BB285">
        <v>2.799999999999998</v>
      </c>
      <c r="BC285">
        <v>-1.5599999999999998</v>
      </c>
      <c r="BD285">
        <v>-8.377600000000001</v>
      </c>
      <c r="BE285">
        <v>-37.44</v>
      </c>
      <c r="BF285">
        <v>0.64000000000000012</v>
      </c>
      <c r="BG285">
        <v>23</v>
      </c>
      <c r="BH285">
        <v>22.5</v>
      </c>
      <c r="BI285">
        <v>-7.4</v>
      </c>
      <c r="BJ285">
        <v>5</v>
      </c>
      <c r="BK285">
        <v>9.75</v>
      </c>
      <c r="BL285">
        <v>15</v>
      </c>
      <c r="BM285">
        <v>-7.4433024707271089E-4</v>
      </c>
      <c r="BN285">
        <v>8</v>
      </c>
      <c r="BO285">
        <v>1.8019051186429734E-2</v>
      </c>
      <c r="BP285">
        <v>15</v>
      </c>
      <c r="BQ285">
        <v>-1.1039999999999979</v>
      </c>
      <c r="BR285">
        <v>1</v>
      </c>
      <c r="BS285">
        <v>6.7200000000000006</v>
      </c>
      <c r="BT285">
        <v>-4.5200000000000005</v>
      </c>
      <c r="BU285">
        <v>-6.5200000000000005</v>
      </c>
      <c r="BV285">
        <v>-1.56</v>
      </c>
      <c r="BW285">
        <v>-48.64</v>
      </c>
      <c r="BX285">
        <v>-53.879999999999981</v>
      </c>
      <c r="BY285">
        <v>1.319999999999999</v>
      </c>
      <c r="BZ285">
        <v>4.2799999999999994</v>
      </c>
      <c r="CA285">
        <v>-0.36000000000000038</v>
      </c>
      <c r="CB285">
        <v>30</v>
      </c>
      <c r="CC285">
        <v>-7.0383999999999993</v>
      </c>
      <c r="CD285">
        <v>-2.9176000000000011</v>
      </c>
      <c r="CE285">
        <v>-55.199999999999982</v>
      </c>
      <c r="CF285">
        <v>-2.2250000000000005</v>
      </c>
    </row>
    <row r="286" spans="1:84" x14ac:dyDescent="0.2">
      <c r="A286" s="39">
        <v>43800</v>
      </c>
      <c r="B286" s="22" t="s">
        <v>241</v>
      </c>
      <c r="C286" s="41" t="s">
        <v>308</v>
      </c>
      <c r="D286" s="22" t="s">
        <v>312</v>
      </c>
      <c r="E286">
        <v>0</v>
      </c>
      <c r="F286">
        <v>12.5</v>
      </c>
      <c r="G286">
        <v>14.5</v>
      </c>
      <c r="H286">
        <v>10.4</v>
      </c>
      <c r="I286">
        <v>-2.5</v>
      </c>
      <c r="J286">
        <v>48</v>
      </c>
      <c r="L286" s="1" t="s">
        <v>308</v>
      </c>
      <c r="M286">
        <v>10</v>
      </c>
      <c r="N286">
        <v>2.5223999999999993</v>
      </c>
      <c r="O286">
        <v>6.7799999999999985</v>
      </c>
      <c r="P286">
        <v>55.400000000000006</v>
      </c>
      <c r="Q286">
        <v>-2.64</v>
      </c>
      <c r="R286">
        <v>4.5952000000000019</v>
      </c>
      <c r="S286">
        <v>5.3599999999999994</v>
      </c>
      <c r="T286">
        <v>-3.2399999999999998</v>
      </c>
      <c r="U286">
        <v>8</v>
      </c>
      <c r="V286">
        <v>8.5</v>
      </c>
      <c r="W286">
        <v>3.56</v>
      </c>
      <c r="X286">
        <v>12</v>
      </c>
      <c r="Y286">
        <v>13.25</v>
      </c>
      <c r="Z286">
        <v>11</v>
      </c>
      <c r="AA286">
        <v>2.9340344583819178E-2</v>
      </c>
      <c r="AB286">
        <v>5</v>
      </c>
      <c r="AC286">
        <v>2.1107189561680405E-2</v>
      </c>
      <c r="AD286">
        <v>21</v>
      </c>
      <c r="AE286">
        <v>1.4039999999999992</v>
      </c>
      <c r="AF286">
        <v>16</v>
      </c>
      <c r="AG286">
        <v>-3.9999999999999501E-2</v>
      </c>
      <c r="AH286">
        <v>3.12</v>
      </c>
      <c r="AI286">
        <v>6.76</v>
      </c>
      <c r="AJ286">
        <v>0.55999999999999983</v>
      </c>
      <c r="AK286">
        <v>60.08000000000002</v>
      </c>
      <c r="AL286">
        <v>4.6399999999999917</v>
      </c>
      <c r="AM286">
        <v>57.919999999999995</v>
      </c>
      <c r="AN286">
        <v>-1.8</v>
      </c>
      <c r="AO286">
        <v>-0.67999999999999972</v>
      </c>
      <c r="AP286">
        <v>21</v>
      </c>
      <c r="AQ286">
        <v>-4.2576000000000001</v>
      </c>
      <c r="AR286">
        <v>-1.9664799999999991</v>
      </c>
      <c r="AS286">
        <v>-53.28</v>
      </c>
      <c r="AT286">
        <v>4.2575999999999992</v>
      </c>
      <c r="AU286">
        <v>1.8742000000000001</v>
      </c>
      <c r="AV286">
        <v>0.98753750000000018</v>
      </c>
      <c r="AW286">
        <v>0.88447500000000012</v>
      </c>
      <c r="AX286" t="s">
        <v>312</v>
      </c>
      <c r="AY286">
        <v>7</v>
      </c>
      <c r="AZ286">
        <v>-0.8344000000000007</v>
      </c>
      <c r="BA286">
        <v>-5.9999999999998901E-2</v>
      </c>
      <c r="BB286">
        <v>8.3680000000000003</v>
      </c>
      <c r="BC286">
        <v>-0.72</v>
      </c>
      <c r="BD286">
        <v>7.2992000000000017</v>
      </c>
      <c r="BE286">
        <v>45.2</v>
      </c>
      <c r="BF286">
        <v>3.12</v>
      </c>
      <c r="BG286">
        <v>11</v>
      </c>
      <c r="BH286">
        <v>12</v>
      </c>
      <c r="BI286">
        <v>-3.72</v>
      </c>
      <c r="BJ286">
        <v>7</v>
      </c>
      <c r="BK286">
        <v>12.25</v>
      </c>
      <c r="BL286">
        <v>19</v>
      </c>
      <c r="BM286">
        <v>-1.1548375348583096E-2</v>
      </c>
      <c r="BN286">
        <v>13</v>
      </c>
      <c r="BO286">
        <v>3.7729236709435178E-3</v>
      </c>
      <c r="BP286">
        <v>1</v>
      </c>
      <c r="BQ286">
        <v>-20.317</v>
      </c>
      <c r="BR286">
        <v>16</v>
      </c>
      <c r="BS286">
        <v>0.24000000000000021</v>
      </c>
      <c r="BT286">
        <v>2.919999999999999</v>
      </c>
      <c r="BU286">
        <v>1.4400000000000006</v>
      </c>
      <c r="BV286">
        <v>-1.1199999999999999</v>
      </c>
      <c r="BW286">
        <v>32.120000000000005</v>
      </c>
      <c r="BX286">
        <v>27.919999999999998</v>
      </c>
      <c r="BY286">
        <v>11.240000000000004</v>
      </c>
      <c r="BZ286">
        <v>1.4</v>
      </c>
      <c r="CA286">
        <v>-8.44</v>
      </c>
      <c r="CB286">
        <v>20</v>
      </c>
      <c r="CC286">
        <v>-0.77440000000000175</v>
      </c>
      <c r="CD286">
        <v>1.3229599999999997</v>
      </c>
      <c r="CE286">
        <v>16.679999999999993</v>
      </c>
      <c r="CF286">
        <v>1.0906000000000002</v>
      </c>
    </row>
    <row r="287" spans="1:84" x14ac:dyDescent="0.2">
      <c r="A287" s="39">
        <v>43800</v>
      </c>
      <c r="B287" s="22" t="s">
        <v>241</v>
      </c>
      <c r="C287" s="41" t="s">
        <v>284</v>
      </c>
      <c r="D287" s="22" t="s">
        <v>297</v>
      </c>
      <c r="E287">
        <v>9.3000000000000007</v>
      </c>
      <c r="F287">
        <v>9</v>
      </c>
      <c r="G287">
        <v>13.7</v>
      </c>
      <c r="H287">
        <v>12.6</v>
      </c>
      <c r="I287">
        <v>-3</v>
      </c>
      <c r="J287">
        <v>46.5</v>
      </c>
      <c r="K287" t="s">
        <v>109</v>
      </c>
      <c r="L287" s="1" t="s">
        <v>284</v>
      </c>
      <c r="M287">
        <v>12</v>
      </c>
      <c r="N287">
        <v>1.2327999999999999</v>
      </c>
      <c r="O287">
        <v>-1.0979999999999999</v>
      </c>
      <c r="P287">
        <v>-25.400000000000006</v>
      </c>
      <c r="Q287">
        <v>-2.09</v>
      </c>
      <c r="R287">
        <v>1.0479999999999996</v>
      </c>
      <c r="S287">
        <v>37.057199999999995</v>
      </c>
      <c r="T287">
        <v>-1.7400000000000002</v>
      </c>
      <c r="U287">
        <v>18</v>
      </c>
      <c r="V287">
        <v>17.5</v>
      </c>
      <c r="W287">
        <v>0.64000000000000024</v>
      </c>
      <c r="X287">
        <v>14</v>
      </c>
      <c r="Y287">
        <v>14</v>
      </c>
      <c r="Z287">
        <v>29</v>
      </c>
      <c r="AA287">
        <v>-6.9563665252126955E-2</v>
      </c>
      <c r="AB287">
        <v>22</v>
      </c>
      <c r="AC287">
        <v>-9.6128771024582057E-3</v>
      </c>
      <c r="AD287">
        <v>1</v>
      </c>
      <c r="AE287">
        <v>-29.584000000000003</v>
      </c>
      <c r="AF287">
        <v>4</v>
      </c>
      <c r="AG287">
        <v>3.1200000000000006</v>
      </c>
      <c r="AH287">
        <v>3.2400000000000033</v>
      </c>
      <c r="AI287">
        <v>3.5200000000000005</v>
      </c>
      <c r="AJ287">
        <v>1.1199999999999997</v>
      </c>
      <c r="AK287">
        <v>16.399999999999999</v>
      </c>
      <c r="AL287">
        <v>32.399999999999991</v>
      </c>
      <c r="AM287">
        <v>-22.96</v>
      </c>
      <c r="AN287">
        <v>-4.92</v>
      </c>
      <c r="AO287">
        <v>11.879999999999999</v>
      </c>
      <c r="AP287">
        <v>12</v>
      </c>
      <c r="AQ287">
        <v>2.3307999999999995</v>
      </c>
      <c r="AR287">
        <v>1.0051600000000001</v>
      </c>
      <c r="AS287">
        <v>55.359999999999992</v>
      </c>
      <c r="AT287">
        <v>-2.3308</v>
      </c>
      <c r="AU287">
        <v>0.18285000000000001</v>
      </c>
      <c r="AV287">
        <v>0.9220624999999999</v>
      </c>
      <c r="AW287">
        <v>1.7533500000000002</v>
      </c>
      <c r="AX287" t="s">
        <v>297</v>
      </c>
      <c r="AY287">
        <v>20</v>
      </c>
      <c r="AZ287">
        <v>-0.99280000000000013</v>
      </c>
      <c r="BA287">
        <v>6.8039999999999985</v>
      </c>
      <c r="BB287">
        <v>37.399999999999991</v>
      </c>
      <c r="BC287">
        <v>-1.1599999999999999</v>
      </c>
      <c r="BD287">
        <v>-4.4850000000000012</v>
      </c>
      <c r="BE287">
        <v>-16.22</v>
      </c>
      <c r="BF287">
        <v>-3.1100000000000003</v>
      </c>
      <c r="BG287">
        <v>26</v>
      </c>
      <c r="BH287">
        <v>25</v>
      </c>
      <c r="BI287">
        <v>3.6800000000000006</v>
      </c>
      <c r="BJ287">
        <v>20</v>
      </c>
      <c r="BK287">
        <v>16.75</v>
      </c>
      <c r="BL287">
        <v>21</v>
      </c>
      <c r="BM287">
        <v>-1.6407304147473073E-2</v>
      </c>
      <c r="BN287">
        <v>5</v>
      </c>
      <c r="BO287">
        <v>2.1520678244637874E-2</v>
      </c>
      <c r="BP287">
        <v>32</v>
      </c>
      <c r="BQ287">
        <v>13.908000000000001</v>
      </c>
      <c r="BR287">
        <v>9</v>
      </c>
      <c r="BS287">
        <v>1.8399999999999999</v>
      </c>
      <c r="BT287">
        <v>-3</v>
      </c>
      <c r="BU287">
        <v>3.16</v>
      </c>
      <c r="BV287">
        <v>-0.43999999999999995</v>
      </c>
      <c r="BW287">
        <v>8.9600000000000133</v>
      </c>
      <c r="BX287">
        <v>-32.319999999999986</v>
      </c>
      <c r="BY287">
        <v>32.679999999999993</v>
      </c>
      <c r="BZ287">
        <v>4.88</v>
      </c>
      <c r="CA287">
        <v>3.72</v>
      </c>
      <c r="CB287">
        <v>32</v>
      </c>
      <c r="CC287">
        <v>-7.7967999999999984</v>
      </c>
      <c r="CD287">
        <v>-4.49756</v>
      </c>
      <c r="CE287">
        <v>-64.999999999999972</v>
      </c>
      <c r="CF287">
        <v>9.0774999999999689E-2</v>
      </c>
    </row>
    <row r="288" spans="1:84" x14ac:dyDescent="0.2">
      <c r="A288" s="39">
        <v>43800</v>
      </c>
      <c r="B288" s="22" t="s">
        <v>241</v>
      </c>
      <c r="C288" s="41" t="s">
        <v>310</v>
      </c>
      <c r="D288" s="22" t="s">
        <v>289</v>
      </c>
      <c r="E288">
        <v>7.5</v>
      </c>
      <c r="F288">
        <v>3.3</v>
      </c>
      <c r="G288">
        <v>8.3000000000000007</v>
      </c>
      <c r="H288">
        <v>7.2</v>
      </c>
      <c r="I288">
        <v>-1</v>
      </c>
      <c r="J288">
        <v>41.5</v>
      </c>
      <c r="L288" s="1" t="s">
        <v>310</v>
      </c>
      <c r="M288">
        <v>7</v>
      </c>
      <c r="N288">
        <v>3.7800000000000002</v>
      </c>
      <c r="O288">
        <v>2.2803999999999998</v>
      </c>
      <c r="P288">
        <v>32.120000000000005</v>
      </c>
      <c r="Q288">
        <v>-2.6000000000000005</v>
      </c>
      <c r="R288">
        <v>-7.9099999999999975</v>
      </c>
      <c r="S288">
        <v>-39.239999999999995</v>
      </c>
      <c r="T288">
        <v>-5.38</v>
      </c>
      <c r="U288">
        <v>29</v>
      </c>
      <c r="V288">
        <v>29</v>
      </c>
      <c r="W288">
        <v>1.2000000000000004</v>
      </c>
      <c r="X288">
        <v>25</v>
      </c>
      <c r="Y288">
        <v>21</v>
      </c>
      <c r="Z288">
        <v>27</v>
      </c>
      <c r="AA288">
        <v>-6.7819928718210409E-2</v>
      </c>
      <c r="AB288">
        <v>2</v>
      </c>
      <c r="AC288">
        <v>3.6456782648287153E-2</v>
      </c>
      <c r="AD288">
        <v>30</v>
      </c>
      <c r="AE288">
        <v>12.879999999999999</v>
      </c>
      <c r="AF288">
        <v>25</v>
      </c>
      <c r="AG288">
        <v>-1.8799999999999997</v>
      </c>
      <c r="AH288">
        <v>-5.759999999999998</v>
      </c>
      <c r="AI288">
        <v>6.0000000000000009</v>
      </c>
      <c r="AJ288">
        <v>1.1199999999999999</v>
      </c>
      <c r="AK288">
        <v>11.639999999999997</v>
      </c>
      <c r="AL288">
        <v>-24.4</v>
      </c>
      <c r="AM288">
        <v>29.839999999999996</v>
      </c>
      <c r="AN288">
        <v>-2.92</v>
      </c>
      <c r="AO288">
        <v>9.1199999999999992</v>
      </c>
      <c r="AP288">
        <v>14</v>
      </c>
      <c r="AQ288">
        <v>1.4996000000000005</v>
      </c>
      <c r="AR288">
        <v>-1.9661999999999995</v>
      </c>
      <c r="AS288">
        <v>-54.239999999999995</v>
      </c>
      <c r="AT288">
        <v>-1.4996000000000005</v>
      </c>
      <c r="AU288">
        <v>-0.45619999999999988</v>
      </c>
      <c r="AV288">
        <v>0.32849999999999985</v>
      </c>
      <c r="AW288">
        <v>1.6250249999999999</v>
      </c>
      <c r="AX288" t="s">
        <v>289</v>
      </c>
      <c r="AY288">
        <v>25</v>
      </c>
      <c r="AZ288">
        <v>-3.1295999999999995</v>
      </c>
      <c r="BA288">
        <v>-2.628000000000001</v>
      </c>
      <c r="BB288">
        <v>0.27999999999999936</v>
      </c>
      <c r="BC288">
        <v>4.0000000000000258E-2</v>
      </c>
      <c r="BD288">
        <v>-3.9626000000000019</v>
      </c>
      <c r="BE288">
        <v>-9.5400000000000063</v>
      </c>
      <c r="BF288">
        <v>-0.57000000000000006</v>
      </c>
      <c r="BG288">
        <v>5</v>
      </c>
      <c r="BH288">
        <v>4.5</v>
      </c>
      <c r="BI288">
        <v>3.4799999999999995</v>
      </c>
      <c r="BJ288">
        <v>28</v>
      </c>
      <c r="BK288">
        <v>23</v>
      </c>
      <c r="BL288">
        <v>27</v>
      </c>
      <c r="BM288">
        <v>-4.606336331833797E-2</v>
      </c>
      <c r="BN288">
        <v>18</v>
      </c>
      <c r="BO288">
        <v>-1.5322623700895488E-3</v>
      </c>
      <c r="BP288">
        <v>26</v>
      </c>
      <c r="BQ288">
        <v>7.1839999999999957</v>
      </c>
      <c r="BR288">
        <v>21</v>
      </c>
      <c r="BS288">
        <v>-0.4799999999999997</v>
      </c>
      <c r="BT288">
        <v>-3.12</v>
      </c>
      <c r="BU288">
        <v>-2.4400000000000004</v>
      </c>
      <c r="BV288">
        <v>1.32</v>
      </c>
      <c r="BW288">
        <v>-32.839999999999996</v>
      </c>
      <c r="BX288">
        <v>-18.839999999999996</v>
      </c>
      <c r="BY288">
        <v>-3.6399999999999992</v>
      </c>
      <c r="BZ288">
        <v>-2.3200000000000003</v>
      </c>
      <c r="CA288">
        <v>-8.0399999999999991</v>
      </c>
      <c r="CB288">
        <v>19</v>
      </c>
      <c r="CC288">
        <v>-0.50159999999999849</v>
      </c>
      <c r="CD288">
        <v>-0.10443999999999987</v>
      </c>
      <c r="CE288">
        <v>-15.199999999999998</v>
      </c>
      <c r="CF288">
        <v>-0.96802500000000025</v>
      </c>
    </row>
    <row r="289" spans="1:84" x14ac:dyDescent="0.2">
      <c r="A289" s="39">
        <v>43800</v>
      </c>
      <c r="B289" s="22" t="s">
        <v>241</v>
      </c>
      <c r="C289" s="41" t="s">
        <v>306</v>
      </c>
      <c r="D289" s="22" t="s">
        <v>301</v>
      </c>
      <c r="E289">
        <v>2.8</v>
      </c>
      <c r="F289">
        <v>8.1</v>
      </c>
      <c r="G289">
        <v>5.9</v>
      </c>
      <c r="H289">
        <v>5.6</v>
      </c>
      <c r="I289">
        <v>-10.5</v>
      </c>
      <c r="J289">
        <v>38.5</v>
      </c>
      <c r="K289" t="s">
        <v>110</v>
      </c>
      <c r="L289" s="1" t="s">
        <v>306</v>
      </c>
      <c r="M289">
        <v>32</v>
      </c>
      <c r="N289">
        <v>-9.2279999999999998</v>
      </c>
      <c r="O289">
        <v>-0.24400000000000066</v>
      </c>
      <c r="P289">
        <v>14.927999999999997</v>
      </c>
      <c r="Q289">
        <v>-2.2400000000000002</v>
      </c>
      <c r="R289">
        <v>-21.584800000000001</v>
      </c>
      <c r="S289">
        <v>-84.88</v>
      </c>
      <c r="T289">
        <v>-7.64</v>
      </c>
      <c r="U289">
        <v>1</v>
      </c>
      <c r="V289">
        <v>1</v>
      </c>
      <c r="W289">
        <v>2.4400000000000004</v>
      </c>
      <c r="X289">
        <v>1</v>
      </c>
      <c r="Y289">
        <v>5.25</v>
      </c>
      <c r="Z289">
        <v>9</v>
      </c>
      <c r="AA289">
        <v>3.7777355512700325E-2</v>
      </c>
      <c r="AB289">
        <v>1</v>
      </c>
      <c r="AC289">
        <v>5.145945063823508E-2</v>
      </c>
      <c r="AD289">
        <v>2</v>
      </c>
      <c r="AE289">
        <v>-15.596000000000004</v>
      </c>
      <c r="AF289">
        <v>9</v>
      </c>
      <c r="AG289">
        <v>1.7200000000000002</v>
      </c>
      <c r="AH289">
        <v>-7.92</v>
      </c>
      <c r="AI289">
        <v>-6</v>
      </c>
      <c r="AJ289">
        <v>0.39999999999999991</v>
      </c>
      <c r="AK289">
        <v>-71.399999999999991</v>
      </c>
      <c r="AL289">
        <v>-90.320000000000007</v>
      </c>
      <c r="AM289">
        <v>19.64</v>
      </c>
      <c r="AN289">
        <v>-2.16</v>
      </c>
      <c r="AO289">
        <v>1.4399999999999997</v>
      </c>
      <c r="AP289">
        <v>30</v>
      </c>
      <c r="AQ289">
        <v>-8.984</v>
      </c>
      <c r="AR289">
        <v>-6.040560000000001</v>
      </c>
      <c r="AS289">
        <v>-109.96000000000001</v>
      </c>
      <c r="AT289">
        <v>8.9839999999999982</v>
      </c>
      <c r="AU289">
        <v>-3.6021000000000005</v>
      </c>
      <c r="AV289">
        <v>0.41262500000000041</v>
      </c>
      <c r="AW289">
        <v>-0.3703499999999994</v>
      </c>
      <c r="AX289" t="s">
        <v>301</v>
      </c>
      <c r="AY289">
        <v>14</v>
      </c>
      <c r="AZ289">
        <v>0.26880000000000132</v>
      </c>
      <c r="BA289">
        <v>5.8079999999999998</v>
      </c>
      <c r="BB289">
        <v>30.247999999999998</v>
      </c>
      <c r="BC289">
        <v>-1.52</v>
      </c>
      <c r="BD289">
        <v>3.4480000000000013</v>
      </c>
      <c r="BE289">
        <v>42.080000000000005</v>
      </c>
      <c r="BF289">
        <v>-2.9599999999999995</v>
      </c>
      <c r="BG289">
        <v>10</v>
      </c>
      <c r="BH289">
        <v>11.5</v>
      </c>
      <c r="BI289">
        <v>2.6399999999999997</v>
      </c>
      <c r="BJ289">
        <v>18</v>
      </c>
      <c r="BK289">
        <v>16.25</v>
      </c>
      <c r="BL289">
        <v>18</v>
      </c>
      <c r="BM289">
        <v>-1.0518956577681638E-2</v>
      </c>
      <c r="BN289">
        <v>16</v>
      </c>
      <c r="BO289">
        <v>2.2970746642336364E-4</v>
      </c>
      <c r="BP289">
        <v>8</v>
      </c>
      <c r="BQ289">
        <v>-4.6490000000000009</v>
      </c>
      <c r="BR289">
        <v>23</v>
      </c>
      <c r="BS289">
        <v>-1.4799999999999995</v>
      </c>
      <c r="BT289">
        <v>-0.48000000000000115</v>
      </c>
      <c r="BU289">
        <v>5.16</v>
      </c>
      <c r="BV289">
        <v>0</v>
      </c>
      <c r="BW289">
        <v>51.92</v>
      </c>
      <c r="BX289">
        <v>25.600000000000005</v>
      </c>
      <c r="BY289">
        <v>32.040000000000006</v>
      </c>
      <c r="BZ289">
        <v>-2.6399999999999997</v>
      </c>
      <c r="CA289">
        <v>-3.0799999999999996</v>
      </c>
      <c r="CB289">
        <v>29</v>
      </c>
      <c r="CC289">
        <v>-5.5391999999999975</v>
      </c>
      <c r="CD289">
        <v>-2.1606399999999994</v>
      </c>
      <c r="CE289">
        <v>-6.4400000000000013</v>
      </c>
      <c r="CF289">
        <v>1.1956000000000002</v>
      </c>
    </row>
    <row r="290" spans="1:84" x14ac:dyDescent="0.2">
      <c r="A290" s="19">
        <v>44108</v>
      </c>
      <c r="B290" s="13" t="s">
        <v>417</v>
      </c>
      <c r="C290" s="41" t="s">
        <v>285</v>
      </c>
      <c r="D290" s="14" t="s">
        <v>301</v>
      </c>
      <c r="E290">
        <v>11.1</v>
      </c>
      <c r="F290">
        <v>10.9</v>
      </c>
      <c r="G290">
        <v>2.4</v>
      </c>
      <c r="H290">
        <v>7.9</v>
      </c>
      <c r="I290">
        <v>-3</v>
      </c>
      <c r="J290">
        <v>52</v>
      </c>
      <c r="K290" t="s">
        <v>109</v>
      </c>
      <c r="L290" t="s">
        <v>285</v>
      </c>
      <c r="M290">
        <v>3</v>
      </c>
      <c r="N290">
        <v>8.948888888888888</v>
      </c>
      <c r="O290">
        <v>-2.6777777777777785</v>
      </c>
      <c r="P290">
        <v>-10.555555555555555</v>
      </c>
      <c r="Q290">
        <v>0.11111111111111072</v>
      </c>
      <c r="R290">
        <v>7.5444444444444425</v>
      </c>
      <c r="S290">
        <v>27.333333333333336</v>
      </c>
      <c r="T290">
        <v>1.9999999999999998</v>
      </c>
      <c r="U290">
        <v>19</v>
      </c>
      <c r="V290">
        <v>18</v>
      </c>
      <c r="W290">
        <v>0.44444444444444481</v>
      </c>
      <c r="X290">
        <v>26</v>
      </c>
      <c r="Y290">
        <v>21</v>
      </c>
      <c r="Z290">
        <v>26</v>
      </c>
      <c r="AA290">
        <v>-4.1748828581933906E-2</v>
      </c>
      <c r="AB290">
        <v>27</v>
      </c>
      <c r="AC290">
        <v>-1.6219567225039182E-2</v>
      </c>
      <c r="AD290">
        <v>12</v>
      </c>
      <c r="AE290">
        <v>-3.3008658008657966E-2</v>
      </c>
      <c r="AF290">
        <v>19</v>
      </c>
      <c r="AG290">
        <v>-0.11111111111111131</v>
      </c>
      <c r="AH290">
        <v>6.333333333333333</v>
      </c>
      <c r="AI290">
        <v>2.1111111111111112</v>
      </c>
      <c r="AJ290">
        <v>-0.77777777777777779</v>
      </c>
      <c r="AK290">
        <v>45.666666666666664</v>
      </c>
      <c r="AL290">
        <v>34</v>
      </c>
      <c r="AM290">
        <v>-15.555555555555559</v>
      </c>
      <c r="AN290">
        <v>-4.333333333333333</v>
      </c>
      <c r="AO290">
        <v>31.555555555555557</v>
      </c>
      <c r="AP290">
        <v>2</v>
      </c>
      <c r="AQ290">
        <v>11.626666666666667</v>
      </c>
      <c r="AR290">
        <v>4.6375555555555552</v>
      </c>
      <c r="AS290">
        <v>49.555555555555557</v>
      </c>
      <c r="AT290">
        <v>31</v>
      </c>
      <c r="AU290">
        <v>1.6713888888888884</v>
      </c>
      <c r="AV290">
        <v>0.24041666666666661</v>
      </c>
      <c r="AW290">
        <v>-0.58972222222222204</v>
      </c>
      <c r="AX290" t="s">
        <v>301</v>
      </c>
      <c r="AY290">
        <v>27</v>
      </c>
      <c r="AZ290">
        <v>-3.7577777777777772</v>
      </c>
      <c r="BA290">
        <v>14.2</v>
      </c>
      <c r="BB290">
        <v>6.7777777777777768</v>
      </c>
      <c r="BC290">
        <v>3.4444444444444446</v>
      </c>
      <c r="BD290">
        <v>-1.5444444444444456</v>
      </c>
      <c r="BE290">
        <v>-2.9999999999999947</v>
      </c>
      <c r="BF290">
        <v>-0.77777777777777835</v>
      </c>
      <c r="BG290">
        <v>22</v>
      </c>
      <c r="BH290">
        <v>23</v>
      </c>
      <c r="BI290">
        <v>-0.11111111111111094</v>
      </c>
      <c r="BJ290">
        <v>28</v>
      </c>
      <c r="BK290">
        <v>22.75</v>
      </c>
      <c r="BL290">
        <v>30</v>
      </c>
      <c r="BM290">
        <v>-5.6087108307932676E-2</v>
      </c>
      <c r="BN290">
        <v>30</v>
      </c>
      <c r="BO290">
        <v>-2.8389665781818368E-2</v>
      </c>
      <c r="BP290">
        <v>3</v>
      </c>
      <c r="BQ290">
        <v>-0.18879551820728294</v>
      </c>
      <c r="BR290">
        <v>28</v>
      </c>
      <c r="BS290">
        <v>-2.4444444444444442</v>
      </c>
      <c r="BT290">
        <v>-0.44444444444444525</v>
      </c>
      <c r="BU290">
        <v>2.5555555555555558</v>
      </c>
      <c r="BV290">
        <v>-0.22222222222222221</v>
      </c>
      <c r="BW290">
        <v>-2.2222222222222285</v>
      </c>
      <c r="BX290">
        <v>-3.1111111111111049</v>
      </c>
      <c r="BY290">
        <v>1.6666666666666714</v>
      </c>
      <c r="BZ290">
        <v>1.1111111111111114</v>
      </c>
      <c r="CA290">
        <v>-1.8888888888888891</v>
      </c>
      <c r="CB290">
        <v>32</v>
      </c>
      <c r="CC290">
        <v>-17.957777777777778</v>
      </c>
      <c r="CD290">
        <v>-8.1604444444444439</v>
      </c>
      <c r="CE290">
        <v>-4.7777777777777768</v>
      </c>
      <c r="CF290">
        <v>1.0705555555555553</v>
      </c>
    </row>
    <row r="291" spans="1:84" x14ac:dyDescent="0.2">
      <c r="A291" s="19">
        <v>44108</v>
      </c>
      <c r="B291" s="13" t="s">
        <v>417</v>
      </c>
      <c r="C291" s="41" t="s">
        <v>295</v>
      </c>
      <c r="D291" s="14" t="s">
        <v>300</v>
      </c>
      <c r="E291">
        <v>7.2</v>
      </c>
      <c r="F291">
        <v>0</v>
      </c>
      <c r="G291">
        <v>4</v>
      </c>
      <c r="H291">
        <v>9.1</v>
      </c>
      <c r="I291">
        <v>4.5</v>
      </c>
      <c r="J291">
        <v>56</v>
      </c>
      <c r="L291" t="s">
        <v>295</v>
      </c>
      <c r="M291">
        <v>20</v>
      </c>
      <c r="N291">
        <v>-1.400000000000001</v>
      </c>
      <c r="O291">
        <v>-0.15555555555555589</v>
      </c>
      <c r="P291">
        <v>18.222222222222221</v>
      </c>
      <c r="Q291">
        <v>-1.4444444444444446</v>
      </c>
      <c r="R291">
        <v>7.7666666666666613</v>
      </c>
      <c r="S291">
        <v>12.888888888888893</v>
      </c>
      <c r="T291">
        <v>2.7777777777777772</v>
      </c>
      <c r="U291">
        <v>4</v>
      </c>
      <c r="V291">
        <v>5.5</v>
      </c>
      <c r="W291">
        <v>-2.1111111111111112</v>
      </c>
      <c r="X291">
        <v>26</v>
      </c>
      <c r="Y291">
        <v>21</v>
      </c>
      <c r="Z291">
        <v>13</v>
      </c>
      <c r="AA291">
        <v>1.100646245667955E-2</v>
      </c>
      <c r="AB291">
        <v>23</v>
      </c>
      <c r="AC291">
        <v>-5.8281864211089272E-3</v>
      </c>
      <c r="AD291">
        <v>21</v>
      </c>
      <c r="AE291">
        <v>5.7231040564373892E-2</v>
      </c>
      <c r="AF291">
        <v>27</v>
      </c>
      <c r="AG291">
        <v>-2.3333333333333335</v>
      </c>
      <c r="AH291">
        <v>0.22222222222222379</v>
      </c>
      <c r="AI291">
        <v>3.7777777777777772</v>
      </c>
      <c r="AJ291">
        <v>-1</v>
      </c>
      <c r="AK291">
        <v>-3.555555555555562</v>
      </c>
      <c r="AL291">
        <v>-8.3333333333333517</v>
      </c>
      <c r="AM291">
        <v>19.777777777777782</v>
      </c>
      <c r="AN291">
        <v>-1</v>
      </c>
      <c r="AO291">
        <v>-14</v>
      </c>
      <c r="AP291">
        <v>19</v>
      </c>
      <c r="AQ291">
        <v>-1.2444444444444451</v>
      </c>
      <c r="AR291">
        <v>1.35111111111111</v>
      </c>
      <c r="AS291">
        <v>-28.111111111111136</v>
      </c>
      <c r="AT291">
        <v>14</v>
      </c>
      <c r="AU291">
        <v>1.1097222222222214</v>
      </c>
      <c r="AV291">
        <v>1.8165277777777775</v>
      </c>
      <c r="AW291">
        <v>2.3349999999999995</v>
      </c>
      <c r="AX291" t="s">
        <v>300</v>
      </c>
      <c r="AY291">
        <v>6</v>
      </c>
      <c r="AZ291">
        <v>3.9288888888888889</v>
      </c>
      <c r="BA291">
        <v>6.344444444444445</v>
      </c>
      <c r="BB291">
        <v>-12.555555555555559</v>
      </c>
      <c r="BC291">
        <v>1.6666666666666665</v>
      </c>
      <c r="BD291">
        <v>1.4444444444444442</v>
      </c>
      <c r="BE291">
        <v>3.4444444444444429</v>
      </c>
      <c r="BF291">
        <v>-1.5555555555555558</v>
      </c>
      <c r="BG291">
        <v>24</v>
      </c>
      <c r="BH291">
        <v>24</v>
      </c>
      <c r="BI291">
        <v>-6.2222222222222223</v>
      </c>
      <c r="BJ291">
        <v>20</v>
      </c>
      <c r="BK291">
        <v>17.5</v>
      </c>
      <c r="BL291">
        <v>31</v>
      </c>
      <c r="BM291">
        <v>-8.0954013391946814E-2</v>
      </c>
      <c r="BN291">
        <v>12</v>
      </c>
      <c r="BO291">
        <v>5.3594875867227732E-3</v>
      </c>
      <c r="BP291">
        <v>19</v>
      </c>
      <c r="BQ291">
        <v>2.9629629629629634E-2</v>
      </c>
      <c r="BR291">
        <v>8</v>
      </c>
      <c r="BS291">
        <v>1</v>
      </c>
      <c r="BT291">
        <v>-4</v>
      </c>
      <c r="BU291">
        <v>3.2222222222222228</v>
      </c>
      <c r="BV291">
        <v>-0.77777777777777779</v>
      </c>
      <c r="BW291">
        <v>11.444444444444457</v>
      </c>
      <c r="BX291">
        <v>15.666666666666677</v>
      </c>
      <c r="BY291">
        <v>-5.0000000000000044</v>
      </c>
      <c r="BZ291">
        <v>-2.8888888888888893</v>
      </c>
      <c r="CA291">
        <v>3.6666666666666665</v>
      </c>
      <c r="CB291">
        <v>25</v>
      </c>
      <c r="CC291">
        <v>-2.4155555555555561</v>
      </c>
      <c r="CD291">
        <v>-2.0975555555555561</v>
      </c>
      <c r="CE291">
        <v>20.666666666666682</v>
      </c>
      <c r="CF291">
        <v>1.2980555555555555</v>
      </c>
    </row>
    <row r="292" spans="1:84" x14ac:dyDescent="0.2">
      <c r="A292" s="19">
        <v>44108</v>
      </c>
      <c r="B292" s="13" t="s">
        <v>417</v>
      </c>
      <c r="C292" s="41" t="s">
        <v>305</v>
      </c>
      <c r="D292" s="14" t="s">
        <v>306</v>
      </c>
      <c r="E292">
        <v>12.6</v>
      </c>
      <c r="F292">
        <v>4.8</v>
      </c>
      <c r="G292">
        <v>4</v>
      </c>
      <c r="H292">
        <v>20.7</v>
      </c>
      <c r="I292">
        <v>-14</v>
      </c>
      <c r="J292">
        <v>44.5</v>
      </c>
      <c r="K292" t="s">
        <v>110</v>
      </c>
      <c r="L292" t="s">
        <v>305</v>
      </c>
      <c r="M292">
        <v>17</v>
      </c>
      <c r="N292">
        <v>-0.98888888888888948</v>
      </c>
      <c r="O292">
        <v>-6.0333333333333314</v>
      </c>
      <c r="P292">
        <v>-27.000000000000007</v>
      </c>
      <c r="Q292">
        <v>-2.8888888888888888</v>
      </c>
      <c r="R292">
        <v>-8.1888888888888882</v>
      </c>
      <c r="S292">
        <v>-29.444444444444443</v>
      </c>
      <c r="T292">
        <v>-6.2222222222222223</v>
      </c>
      <c r="U292">
        <v>3</v>
      </c>
      <c r="V292">
        <v>4</v>
      </c>
      <c r="W292">
        <v>6.4444444444444438</v>
      </c>
      <c r="X292">
        <v>11</v>
      </c>
      <c r="Y292">
        <v>13</v>
      </c>
      <c r="Z292">
        <v>4</v>
      </c>
      <c r="AA292">
        <v>7.7372709702086054E-2</v>
      </c>
      <c r="AB292">
        <v>1</v>
      </c>
      <c r="AC292">
        <v>2.9444158195066295E-2</v>
      </c>
      <c r="AD292">
        <v>25</v>
      </c>
      <c r="AE292">
        <v>8.5819427486094169E-2</v>
      </c>
      <c r="AF292">
        <v>22</v>
      </c>
      <c r="AG292">
        <v>-1</v>
      </c>
      <c r="AH292">
        <v>-8.6666666666666643</v>
      </c>
      <c r="AI292">
        <v>0.22222222222222263</v>
      </c>
      <c r="AJ292">
        <v>3.1111111111111107</v>
      </c>
      <c r="AK292">
        <v>-21</v>
      </c>
      <c r="AL292">
        <v>-42.444444444444457</v>
      </c>
      <c r="AM292">
        <v>-6.3333333333333384</v>
      </c>
      <c r="AN292">
        <v>-5.4444444444444438</v>
      </c>
      <c r="AO292">
        <v>33.222222222222221</v>
      </c>
      <c r="AP292">
        <v>7</v>
      </c>
      <c r="AQ292">
        <v>5.0444444444444416</v>
      </c>
      <c r="AR292">
        <v>1.1811111111111099</v>
      </c>
      <c r="AS292">
        <v>-36.111111111111121</v>
      </c>
      <c r="AT292">
        <v>26</v>
      </c>
      <c r="AU292">
        <v>-1.5541666666666667</v>
      </c>
      <c r="AV292">
        <v>-0.4904166666666665</v>
      </c>
      <c r="AW292">
        <v>-0.98861111111111122</v>
      </c>
      <c r="AX292" t="s">
        <v>306</v>
      </c>
      <c r="AY292">
        <v>14</v>
      </c>
      <c r="AZ292">
        <v>0.77333333333333343</v>
      </c>
      <c r="BA292">
        <v>-2.3222222222222211</v>
      </c>
      <c r="BB292">
        <v>-15</v>
      </c>
      <c r="BC292">
        <v>-1.1111111111111114</v>
      </c>
      <c r="BD292">
        <v>-0.27777777777777546</v>
      </c>
      <c r="BE292">
        <v>6.3333333333333375</v>
      </c>
      <c r="BF292">
        <v>-0.44444444444444398</v>
      </c>
      <c r="BG292">
        <v>6</v>
      </c>
      <c r="BH292">
        <v>6.5</v>
      </c>
      <c r="BI292">
        <v>3.2222222222222228</v>
      </c>
      <c r="BJ292">
        <v>4</v>
      </c>
      <c r="BK292">
        <v>10</v>
      </c>
      <c r="BL292">
        <v>2</v>
      </c>
      <c r="BM292">
        <v>8.9574505682576813E-2</v>
      </c>
      <c r="BN292">
        <v>1</v>
      </c>
      <c r="BO292">
        <v>5.1728410134702883E-2</v>
      </c>
      <c r="BP292">
        <v>26</v>
      </c>
      <c r="BQ292">
        <v>0.11178451178451176</v>
      </c>
      <c r="BR292">
        <v>11</v>
      </c>
      <c r="BS292">
        <v>0.22222222222222232</v>
      </c>
      <c r="BT292">
        <v>-1.9999999999999976</v>
      </c>
      <c r="BU292">
        <v>3.5555555555555549</v>
      </c>
      <c r="BV292">
        <v>0</v>
      </c>
      <c r="BW292">
        <v>-15.666666666666666</v>
      </c>
      <c r="BX292">
        <v>5.4444444444444473</v>
      </c>
      <c r="BY292">
        <v>-15.888888888888886</v>
      </c>
      <c r="BZ292">
        <v>2.6666666666666665</v>
      </c>
      <c r="CA292">
        <v>-7.8888888888888893</v>
      </c>
      <c r="CB292">
        <v>9</v>
      </c>
      <c r="CC292">
        <v>3.0955555555555545</v>
      </c>
      <c r="CD292">
        <v>1.2602222222222221</v>
      </c>
      <c r="CE292">
        <v>21.333333333333332</v>
      </c>
      <c r="CF292">
        <v>7.7777777777781887E-3</v>
      </c>
    </row>
    <row r="293" spans="1:84" x14ac:dyDescent="0.2">
      <c r="A293" s="19">
        <v>44108</v>
      </c>
      <c r="B293" s="13" t="s">
        <v>417</v>
      </c>
      <c r="C293" s="41" t="s">
        <v>276</v>
      </c>
      <c r="D293" s="14" t="s">
        <v>303</v>
      </c>
      <c r="E293">
        <v>20.5</v>
      </c>
      <c r="F293">
        <v>8.1999999999999993</v>
      </c>
      <c r="G293">
        <v>12.2</v>
      </c>
      <c r="H293">
        <v>3.6</v>
      </c>
      <c r="I293">
        <v>-3</v>
      </c>
      <c r="J293">
        <v>53</v>
      </c>
      <c r="L293" t="s">
        <v>276</v>
      </c>
      <c r="M293">
        <v>1</v>
      </c>
      <c r="N293">
        <v>13.040000000000001</v>
      </c>
      <c r="O293">
        <v>-6.7222222222222232</v>
      </c>
      <c r="P293">
        <v>-7.3333333333333348</v>
      </c>
      <c r="Q293">
        <v>-0.4444444444444442</v>
      </c>
      <c r="R293">
        <v>18.344444444444441</v>
      </c>
      <c r="S293">
        <v>85.666666666666657</v>
      </c>
      <c r="T293">
        <v>4.1111111111111116</v>
      </c>
      <c r="U293">
        <v>12</v>
      </c>
      <c r="V293">
        <v>13.5</v>
      </c>
      <c r="W293">
        <v>-1.8888888888888886</v>
      </c>
      <c r="X293">
        <v>14</v>
      </c>
      <c r="Y293">
        <v>15</v>
      </c>
      <c r="Z293">
        <v>8</v>
      </c>
      <c r="AA293">
        <v>3.7599247419552916E-2</v>
      </c>
      <c r="AB293">
        <v>17</v>
      </c>
      <c r="AC293">
        <v>7.2595086072175152E-4</v>
      </c>
      <c r="AD293">
        <v>15</v>
      </c>
      <c r="AE293">
        <v>3.1598031598030949E-3</v>
      </c>
      <c r="AF293">
        <v>20</v>
      </c>
      <c r="AG293">
        <v>-0.55555555555555547</v>
      </c>
      <c r="AH293">
        <v>1.8888888888888928</v>
      </c>
      <c r="AI293">
        <v>7.2222222222222214</v>
      </c>
      <c r="AJ293">
        <v>-1.7777777777777777</v>
      </c>
      <c r="AK293">
        <v>51.888888888888893</v>
      </c>
      <c r="AL293">
        <v>77.999999999999986</v>
      </c>
      <c r="AM293">
        <v>-28.333333333333332</v>
      </c>
      <c r="AN293">
        <v>-1.7777777777777777</v>
      </c>
      <c r="AO293">
        <v>4.0000000000000027</v>
      </c>
      <c r="AP293">
        <v>1</v>
      </c>
      <c r="AQ293">
        <v>19.762222222222224</v>
      </c>
      <c r="AR293">
        <v>9.6379999999999999</v>
      </c>
      <c r="AS293">
        <v>106.33333333333331</v>
      </c>
      <c r="AT293">
        <v>32</v>
      </c>
      <c r="AU293">
        <v>3.152222222222222</v>
      </c>
      <c r="AV293">
        <v>1.1199999999999999</v>
      </c>
      <c r="AW293">
        <v>2.2224999999999997</v>
      </c>
      <c r="AX293" t="s">
        <v>303</v>
      </c>
      <c r="AY293">
        <v>26</v>
      </c>
      <c r="AZ293">
        <v>-3.4933333333333336</v>
      </c>
      <c r="BA293">
        <v>6.0888888888888877</v>
      </c>
      <c r="BB293">
        <v>36.888888888888886</v>
      </c>
      <c r="BC293">
        <v>-0.2222222222222221</v>
      </c>
      <c r="BD293">
        <v>-3.5666666666666647</v>
      </c>
      <c r="BE293">
        <v>-32.666666666666671</v>
      </c>
      <c r="BF293">
        <v>-0.22222222222222232</v>
      </c>
      <c r="BG293">
        <v>14</v>
      </c>
      <c r="BH293">
        <v>13.5</v>
      </c>
      <c r="BI293">
        <v>-0.99999999999999967</v>
      </c>
      <c r="BJ293">
        <v>21</v>
      </c>
      <c r="BK293">
        <v>18.5</v>
      </c>
      <c r="BL293">
        <v>7</v>
      </c>
      <c r="BM293">
        <v>2.0625268521089063E-2</v>
      </c>
      <c r="BN293">
        <v>29</v>
      </c>
      <c r="BO293">
        <v>-2.736790610214733E-2</v>
      </c>
      <c r="BP293">
        <v>12</v>
      </c>
      <c r="BQ293">
        <v>-4.2712842712842668E-2</v>
      </c>
      <c r="BR293">
        <v>26</v>
      </c>
      <c r="BS293">
        <v>-2</v>
      </c>
      <c r="BT293">
        <v>0.11111111111110954</v>
      </c>
      <c r="BU293">
        <v>3</v>
      </c>
      <c r="BV293">
        <v>-1.4802973661668753E-16</v>
      </c>
      <c r="BW293">
        <v>19.222222222222229</v>
      </c>
      <c r="BX293">
        <v>-17.111111111111104</v>
      </c>
      <c r="BY293">
        <v>40.333333333333336</v>
      </c>
      <c r="BZ293">
        <v>-0.55555555555555569</v>
      </c>
      <c r="CA293">
        <v>-3.4444444444444433</v>
      </c>
      <c r="CB293">
        <v>28</v>
      </c>
      <c r="CC293">
        <v>-9.5822222222222209</v>
      </c>
      <c r="CD293">
        <v>-4.4564444444444433</v>
      </c>
      <c r="CE293">
        <v>-57.444444444444443</v>
      </c>
      <c r="CF293">
        <v>1.7500000000000043E-2</v>
      </c>
    </row>
    <row r="294" spans="1:84" x14ac:dyDescent="0.2">
      <c r="A294" s="19">
        <v>44108</v>
      </c>
      <c r="B294" s="13" t="s">
        <v>417</v>
      </c>
      <c r="C294" s="41" t="s">
        <v>301</v>
      </c>
      <c r="D294" s="14" t="s">
        <v>285</v>
      </c>
      <c r="E294">
        <v>17.899999999999999</v>
      </c>
      <c r="F294">
        <v>8.9</v>
      </c>
      <c r="G294">
        <v>7.8</v>
      </c>
      <c r="H294">
        <v>8.5</v>
      </c>
      <c r="I294">
        <v>3</v>
      </c>
      <c r="J294">
        <v>52</v>
      </c>
      <c r="K294" t="s">
        <v>109</v>
      </c>
      <c r="L294" t="s">
        <v>301</v>
      </c>
      <c r="M294">
        <v>16</v>
      </c>
      <c r="N294">
        <v>-0.90444444444444494</v>
      </c>
      <c r="O294">
        <v>3.2</v>
      </c>
      <c r="P294">
        <v>-2.9999999999999982</v>
      </c>
      <c r="Q294">
        <v>-0.44444444444444414</v>
      </c>
      <c r="R294">
        <v>6.533333333333335</v>
      </c>
      <c r="S294">
        <v>44.444444444444443</v>
      </c>
      <c r="T294">
        <v>-0.11111111111111116</v>
      </c>
      <c r="U294">
        <v>6</v>
      </c>
      <c r="V294">
        <v>6.5</v>
      </c>
      <c r="W294">
        <v>-2.4444444444444442</v>
      </c>
      <c r="X294">
        <v>18</v>
      </c>
      <c r="Y294">
        <v>16.75</v>
      </c>
      <c r="Z294">
        <v>21</v>
      </c>
      <c r="AA294">
        <v>-2.5983116189901744E-2</v>
      </c>
      <c r="AB294">
        <v>16</v>
      </c>
      <c r="AC294">
        <v>2.5883484092894572E-3</v>
      </c>
      <c r="AD294">
        <v>14</v>
      </c>
      <c r="AE294">
        <v>2.819865319865352E-3</v>
      </c>
      <c r="AF294">
        <v>16</v>
      </c>
      <c r="AG294">
        <v>-0.11111111111111094</v>
      </c>
      <c r="AH294">
        <v>-1.8888888888888904</v>
      </c>
      <c r="AI294">
        <v>1.1111111111111107</v>
      </c>
      <c r="AJ294">
        <v>-1.5555555555555556</v>
      </c>
      <c r="AK294">
        <v>22.777777777777771</v>
      </c>
      <c r="AL294">
        <v>38.444444444444436</v>
      </c>
      <c r="AM294">
        <v>-9.6666666666666714</v>
      </c>
      <c r="AN294">
        <v>3.5555555555555558</v>
      </c>
      <c r="AO294">
        <v>-9.5555555555555554</v>
      </c>
      <c r="AP294">
        <v>24</v>
      </c>
      <c r="AQ294">
        <v>-4.1044444444444448</v>
      </c>
      <c r="AR294">
        <v>-0.4742222222222221</v>
      </c>
      <c r="AS294">
        <v>48.111111111111107</v>
      </c>
      <c r="AT294">
        <v>9</v>
      </c>
      <c r="AU294">
        <v>1.2147222222222225</v>
      </c>
      <c r="AV294">
        <v>0.24041666666666661</v>
      </c>
      <c r="AW294">
        <v>1.0705555555555553</v>
      </c>
      <c r="AX294" t="s">
        <v>285</v>
      </c>
      <c r="AY294">
        <v>15</v>
      </c>
      <c r="AZ294">
        <v>0.56000000000000105</v>
      </c>
      <c r="BA294">
        <v>-1.6555555555555554</v>
      </c>
      <c r="BB294">
        <v>14.111111111111111</v>
      </c>
      <c r="BC294">
        <v>-0.66666666666666674</v>
      </c>
      <c r="BD294">
        <v>-4.6222222222222218</v>
      </c>
      <c r="BE294">
        <v>-10.222222222222227</v>
      </c>
      <c r="BF294">
        <v>-1.1111111111111112</v>
      </c>
      <c r="BG294">
        <v>12</v>
      </c>
      <c r="BH294">
        <v>13</v>
      </c>
      <c r="BI294">
        <v>-0.11111111111111131</v>
      </c>
      <c r="BJ294">
        <v>12</v>
      </c>
      <c r="BK294">
        <v>14.25</v>
      </c>
      <c r="BL294">
        <v>24</v>
      </c>
      <c r="BM294">
        <v>-2.5451124545253261E-2</v>
      </c>
      <c r="BN294">
        <v>6</v>
      </c>
      <c r="BO294">
        <v>1.8398278766180876E-2</v>
      </c>
      <c r="BP294">
        <v>18</v>
      </c>
      <c r="BQ294">
        <v>2.5925925925925946E-2</v>
      </c>
      <c r="BR294">
        <v>9</v>
      </c>
      <c r="BS294">
        <v>0.44444444444444481</v>
      </c>
      <c r="BT294">
        <v>-3.3333333333333335</v>
      </c>
      <c r="BU294">
        <v>-4</v>
      </c>
      <c r="BV294">
        <v>0</v>
      </c>
      <c r="BW294">
        <v>-2.7777777777777906</v>
      </c>
      <c r="BX294">
        <v>1.777777777777781</v>
      </c>
      <c r="BY294">
        <v>3.4444444444444429</v>
      </c>
      <c r="BZ294">
        <v>-6.2222222222222214</v>
      </c>
      <c r="CA294">
        <v>-1.7777777777777779</v>
      </c>
      <c r="CB294">
        <v>14</v>
      </c>
      <c r="CC294">
        <v>2.2155555555555564</v>
      </c>
      <c r="CD294">
        <v>1.5333333333333421E-2</v>
      </c>
      <c r="CE294">
        <v>-1.6666666666666619</v>
      </c>
      <c r="CF294">
        <v>-0.58972222222222204</v>
      </c>
    </row>
    <row r="295" spans="1:84" x14ac:dyDescent="0.2">
      <c r="A295" s="19">
        <v>44108</v>
      </c>
      <c r="B295" s="13" t="s">
        <v>417</v>
      </c>
      <c r="C295" s="41" t="s">
        <v>265</v>
      </c>
      <c r="D295" s="14" t="s">
        <v>289</v>
      </c>
      <c r="E295">
        <v>26.1</v>
      </c>
      <c r="F295">
        <v>4.5999999999999996</v>
      </c>
      <c r="G295">
        <v>9.9</v>
      </c>
      <c r="H295">
        <v>7.3</v>
      </c>
      <c r="I295">
        <v>3</v>
      </c>
      <c r="J295">
        <v>43.5</v>
      </c>
      <c r="K295" t="s">
        <v>110</v>
      </c>
      <c r="L295" t="s">
        <v>265</v>
      </c>
      <c r="M295">
        <v>23</v>
      </c>
      <c r="N295">
        <v>-2.1799999999999997</v>
      </c>
      <c r="O295">
        <v>-8.6222222222222236</v>
      </c>
      <c r="P295">
        <v>-11.222222222222225</v>
      </c>
      <c r="Q295">
        <v>-0.11111111111111094</v>
      </c>
      <c r="R295">
        <v>-0.79999999999999938</v>
      </c>
      <c r="S295">
        <v>-29.111111111111111</v>
      </c>
      <c r="T295">
        <v>1.3333333333333335</v>
      </c>
      <c r="U295">
        <v>24</v>
      </c>
      <c r="V295">
        <v>24.5</v>
      </c>
      <c r="W295">
        <v>-0.11111111111111087</v>
      </c>
      <c r="X295">
        <v>3</v>
      </c>
      <c r="Y295">
        <v>9</v>
      </c>
      <c r="Z295">
        <v>20</v>
      </c>
      <c r="AA295">
        <v>-2.3932601476461118E-2</v>
      </c>
      <c r="AB295">
        <v>7</v>
      </c>
      <c r="AC295">
        <v>1.1562005304695365E-2</v>
      </c>
      <c r="AD295">
        <v>2</v>
      </c>
      <c r="AE295">
        <v>-0.24629629629629632</v>
      </c>
      <c r="AF295">
        <v>7</v>
      </c>
      <c r="AG295">
        <v>2.4444444444444442</v>
      </c>
      <c r="AH295">
        <v>1</v>
      </c>
      <c r="AI295">
        <v>-5.5555555555555545</v>
      </c>
      <c r="AJ295">
        <v>-0.77777777777777779</v>
      </c>
      <c r="AK295">
        <v>-36</v>
      </c>
      <c r="AL295">
        <v>-39.777777777777779</v>
      </c>
      <c r="AM295">
        <v>-13.111111111111114</v>
      </c>
      <c r="AN295">
        <v>8.8888888888888893</v>
      </c>
      <c r="AO295">
        <v>8</v>
      </c>
      <c r="AP295">
        <v>5</v>
      </c>
      <c r="AQ295">
        <v>6.442222222222223</v>
      </c>
      <c r="AR295">
        <v>3.7151111111111117</v>
      </c>
      <c r="AS295">
        <v>-26.666666666666664</v>
      </c>
      <c r="AT295">
        <v>28</v>
      </c>
      <c r="AU295">
        <v>-1.783611111111111</v>
      </c>
      <c r="AV295">
        <v>-1.8702777777777779</v>
      </c>
      <c r="AW295">
        <v>-0.86277777777777798</v>
      </c>
      <c r="AX295" t="s">
        <v>289</v>
      </c>
      <c r="AY295">
        <v>30</v>
      </c>
      <c r="AZ295">
        <v>-4.8666666666666663</v>
      </c>
      <c r="BA295">
        <v>-7.6888888888888891</v>
      </c>
      <c r="BB295">
        <v>-16.666666666666664</v>
      </c>
      <c r="BC295">
        <v>-1.4444444444444444</v>
      </c>
      <c r="BD295">
        <v>-10.688888888888886</v>
      </c>
      <c r="BE295">
        <v>-47.555555555555557</v>
      </c>
      <c r="BF295">
        <v>-5.1111111111111107</v>
      </c>
      <c r="BG295">
        <v>17</v>
      </c>
      <c r="BH295">
        <v>17</v>
      </c>
      <c r="BI295">
        <v>1.1111111111111112</v>
      </c>
      <c r="BJ295">
        <v>13</v>
      </c>
      <c r="BK295">
        <v>14.75</v>
      </c>
      <c r="BL295">
        <v>32</v>
      </c>
      <c r="BM295">
        <v>-0.10212576742602325</v>
      </c>
      <c r="BN295">
        <v>22</v>
      </c>
      <c r="BO295">
        <v>-1.1328772676052411E-2</v>
      </c>
      <c r="BP295">
        <v>2</v>
      </c>
      <c r="BQ295">
        <v>-0.21111111111111114</v>
      </c>
      <c r="BR295">
        <v>3</v>
      </c>
      <c r="BS295">
        <v>5.333333333333333</v>
      </c>
      <c r="BT295">
        <v>0</v>
      </c>
      <c r="BU295">
        <v>-5.2222222222222223</v>
      </c>
      <c r="BV295">
        <v>0</v>
      </c>
      <c r="BW295">
        <v>-89.222222222222229</v>
      </c>
      <c r="BX295">
        <v>-67.777777777777771</v>
      </c>
      <c r="BY295">
        <v>-15</v>
      </c>
      <c r="BZ295">
        <v>-3.7777777777777772</v>
      </c>
      <c r="CA295">
        <v>-2.6666666666666665</v>
      </c>
      <c r="CB295">
        <v>11</v>
      </c>
      <c r="CC295">
        <v>2.8222222222222229</v>
      </c>
      <c r="CD295">
        <v>0.73333333333333384</v>
      </c>
      <c r="CE295">
        <v>-52.777777777777771</v>
      </c>
      <c r="CF295">
        <v>-2.8777777777777778</v>
      </c>
    </row>
    <row r="296" spans="1:84" x14ac:dyDescent="0.2">
      <c r="A296" s="19">
        <v>44108</v>
      </c>
      <c r="B296" s="13" t="s">
        <v>417</v>
      </c>
      <c r="C296" s="17" t="s">
        <v>272</v>
      </c>
      <c r="D296" s="14" t="s">
        <v>297</v>
      </c>
      <c r="E296">
        <v>16.399999999999999</v>
      </c>
      <c r="F296">
        <v>1.3</v>
      </c>
      <c r="G296">
        <v>13</v>
      </c>
      <c r="H296">
        <v>7.7</v>
      </c>
      <c r="I296">
        <v>-1</v>
      </c>
      <c r="J296">
        <v>50</v>
      </c>
      <c r="L296" t="s">
        <v>272</v>
      </c>
      <c r="M296">
        <v>6</v>
      </c>
      <c r="N296">
        <v>1.7711111111111109</v>
      </c>
      <c r="O296">
        <v>-2.5888888888888895</v>
      </c>
      <c r="P296">
        <v>-6.6666666666666661</v>
      </c>
      <c r="Q296">
        <v>2.0000000000000004</v>
      </c>
      <c r="R296">
        <v>-0.62222222222222134</v>
      </c>
      <c r="S296">
        <v>-6.7777777777777759</v>
      </c>
      <c r="T296">
        <v>5.8888888888888893</v>
      </c>
      <c r="U296">
        <v>5</v>
      </c>
      <c r="V296">
        <v>6</v>
      </c>
      <c r="W296">
        <v>-4.2222222222222214</v>
      </c>
      <c r="X296">
        <v>8</v>
      </c>
      <c r="Y296">
        <v>11.5</v>
      </c>
      <c r="Z296">
        <v>10</v>
      </c>
      <c r="AA296">
        <v>1.8064963049994331E-2</v>
      </c>
      <c r="AB296">
        <v>5</v>
      </c>
      <c r="AC296">
        <v>2.1161519445272392E-2</v>
      </c>
      <c r="AD296">
        <v>23</v>
      </c>
      <c r="AE296">
        <v>6.2951092117758803E-2</v>
      </c>
      <c r="AF296">
        <v>8</v>
      </c>
      <c r="AG296">
        <v>2.3333333333333335</v>
      </c>
      <c r="AH296">
        <v>8.0000000000000018</v>
      </c>
      <c r="AI296">
        <v>-3.7777777777777772</v>
      </c>
      <c r="AJ296">
        <v>0</v>
      </c>
      <c r="AK296">
        <v>-6.7777777777777901</v>
      </c>
      <c r="AL296">
        <v>16.888888888888875</v>
      </c>
      <c r="AM296">
        <v>-12.666666666666666</v>
      </c>
      <c r="AN296">
        <v>-9.4444444444444446</v>
      </c>
      <c r="AO296">
        <v>-1.5555555555555565</v>
      </c>
      <c r="AP296">
        <v>9</v>
      </c>
      <c r="AQ296">
        <v>4.3600000000000003</v>
      </c>
      <c r="AR296">
        <v>1.5242222222222226</v>
      </c>
      <c r="AS296">
        <v>29.555555555555543</v>
      </c>
      <c r="AT296">
        <v>24</v>
      </c>
      <c r="AU296">
        <v>5.5555555555550362E-4</v>
      </c>
      <c r="AV296">
        <v>0.33055555555555582</v>
      </c>
      <c r="AW296">
        <v>0.321388888888889</v>
      </c>
      <c r="AX296" t="s">
        <v>297</v>
      </c>
      <c r="AY296">
        <v>3</v>
      </c>
      <c r="AZ296">
        <v>5.2400000000000011</v>
      </c>
      <c r="BA296">
        <v>0.76666666666666772</v>
      </c>
      <c r="BB296">
        <v>-14.777777777777775</v>
      </c>
      <c r="BC296">
        <v>1.666666666666667</v>
      </c>
      <c r="BD296">
        <v>-1.622222222222222</v>
      </c>
      <c r="BE296">
        <v>-36.333333333333336</v>
      </c>
      <c r="BF296">
        <v>-3.6666666666666665</v>
      </c>
      <c r="BG296">
        <v>31</v>
      </c>
      <c r="BH296">
        <v>28.5</v>
      </c>
      <c r="BI296">
        <v>-1.6666666666666667</v>
      </c>
      <c r="BJ296">
        <v>24</v>
      </c>
      <c r="BK296">
        <v>20</v>
      </c>
      <c r="BL296">
        <v>13</v>
      </c>
      <c r="BM296">
        <v>-4.3277030761386297E-3</v>
      </c>
      <c r="BN296">
        <v>18</v>
      </c>
      <c r="BO296">
        <v>-6.1074800290486569E-3</v>
      </c>
      <c r="BP296">
        <v>28</v>
      </c>
      <c r="BQ296">
        <v>0.11878306878306881</v>
      </c>
      <c r="BR296">
        <v>21</v>
      </c>
      <c r="BS296">
        <v>-1.3333333333333333</v>
      </c>
      <c r="BT296">
        <v>-3.7777777777777786</v>
      </c>
      <c r="BU296">
        <v>4</v>
      </c>
      <c r="BV296">
        <v>-1.7777777777777777</v>
      </c>
      <c r="BW296">
        <v>-3.8888888888888951</v>
      </c>
      <c r="BX296">
        <v>-1.4444444444444475</v>
      </c>
      <c r="BY296">
        <v>-18.444444444444446</v>
      </c>
      <c r="BZ296">
        <v>10.444444444444446</v>
      </c>
      <c r="CA296">
        <v>5.5555555555555545</v>
      </c>
      <c r="CB296">
        <v>7</v>
      </c>
      <c r="CC296">
        <v>4.4733333333333336</v>
      </c>
      <c r="CD296">
        <v>0.34022222222222198</v>
      </c>
      <c r="CE296">
        <v>17</v>
      </c>
      <c r="CF296">
        <v>0.33972222222222259</v>
      </c>
    </row>
    <row r="297" spans="1:84" x14ac:dyDescent="0.2">
      <c r="A297" s="19">
        <v>44108</v>
      </c>
      <c r="B297" s="13" t="s">
        <v>417</v>
      </c>
      <c r="C297" s="41" t="s">
        <v>281</v>
      </c>
      <c r="D297" s="14" t="s">
        <v>291</v>
      </c>
      <c r="E297">
        <v>38.4</v>
      </c>
      <c r="F297">
        <v>15.28</v>
      </c>
      <c r="G297">
        <v>0</v>
      </c>
      <c r="H297">
        <v>14.4</v>
      </c>
      <c r="I297">
        <v>3</v>
      </c>
      <c r="J297">
        <v>56</v>
      </c>
      <c r="K297" t="s">
        <v>110</v>
      </c>
      <c r="L297" t="s">
        <v>281</v>
      </c>
      <c r="M297">
        <v>30</v>
      </c>
      <c r="N297">
        <v>-6.3822222222222225</v>
      </c>
      <c r="O297">
        <v>14.4</v>
      </c>
      <c r="P297">
        <v>55.888888888888886</v>
      </c>
      <c r="Q297">
        <v>-0.22222222222222188</v>
      </c>
      <c r="R297">
        <v>-9.3000000000000007</v>
      </c>
      <c r="S297">
        <v>-47.222222222222214</v>
      </c>
      <c r="T297">
        <v>-5.5555555555555554</v>
      </c>
      <c r="U297">
        <v>32</v>
      </c>
      <c r="V297">
        <v>30.5</v>
      </c>
      <c r="W297">
        <v>-0.66666666666666652</v>
      </c>
      <c r="X297">
        <v>24</v>
      </c>
      <c r="Y297">
        <v>20.5</v>
      </c>
      <c r="Z297">
        <v>16</v>
      </c>
      <c r="AA297">
        <v>1.2956247395213654E-3</v>
      </c>
      <c r="AB297">
        <v>28</v>
      </c>
      <c r="AC297">
        <v>-1.6735878643628598E-2</v>
      </c>
      <c r="AD297">
        <v>9</v>
      </c>
      <c r="AE297">
        <v>-6.1087061087061099E-2</v>
      </c>
      <c r="AF297">
        <v>29</v>
      </c>
      <c r="AG297">
        <v>-2.5555555555555554</v>
      </c>
      <c r="AH297">
        <v>-5.666666666666667</v>
      </c>
      <c r="AI297">
        <v>1.5555555555555547</v>
      </c>
      <c r="AJ297">
        <v>0</v>
      </c>
      <c r="AK297">
        <v>-25</v>
      </c>
      <c r="AL297">
        <v>-57.888888888888893</v>
      </c>
      <c r="AM297">
        <v>54</v>
      </c>
      <c r="AN297">
        <v>-1.7777777777777779</v>
      </c>
      <c r="AO297">
        <v>-19.333333333333332</v>
      </c>
      <c r="AP297">
        <v>32</v>
      </c>
      <c r="AQ297">
        <v>-20.782222222222224</v>
      </c>
      <c r="AR297">
        <v>-10.336444444444444</v>
      </c>
      <c r="AS297">
        <v>-111.88888888888889</v>
      </c>
      <c r="AT297">
        <v>1</v>
      </c>
      <c r="AU297">
        <v>-0.49361111111111144</v>
      </c>
      <c r="AV297">
        <v>0.98416666666666641</v>
      </c>
      <c r="AW297">
        <v>2.298888888888889</v>
      </c>
      <c r="AX297" t="s">
        <v>291</v>
      </c>
      <c r="AY297">
        <v>16</v>
      </c>
      <c r="AZ297">
        <v>0.54444444444444196</v>
      </c>
      <c r="BA297">
        <v>-5.0222222222222221</v>
      </c>
      <c r="BB297">
        <v>-7.4444444444444455</v>
      </c>
      <c r="BC297">
        <v>-1</v>
      </c>
      <c r="BD297">
        <v>0.27777777777777612</v>
      </c>
      <c r="BE297">
        <v>-6.4444444444444358</v>
      </c>
      <c r="BF297">
        <v>0.77777777777777835</v>
      </c>
      <c r="BG297">
        <v>7</v>
      </c>
      <c r="BH297">
        <v>7.5</v>
      </c>
      <c r="BI297">
        <v>1.3333333333333333</v>
      </c>
      <c r="BJ297">
        <v>21</v>
      </c>
      <c r="BK297">
        <v>18.5</v>
      </c>
      <c r="BL297">
        <v>26</v>
      </c>
      <c r="BM297">
        <v>-3.7169487348827357E-2</v>
      </c>
      <c r="BN297">
        <v>15</v>
      </c>
      <c r="BO297">
        <v>-3.9984140414556528E-3</v>
      </c>
      <c r="BP297">
        <v>10</v>
      </c>
      <c r="BQ297">
        <v>-6.8430335097001804E-2</v>
      </c>
      <c r="BR297">
        <v>23</v>
      </c>
      <c r="BS297">
        <v>-1.6666666666666672</v>
      </c>
      <c r="BT297">
        <v>3.8888888888888928</v>
      </c>
      <c r="BU297">
        <v>-0.33333333333333454</v>
      </c>
      <c r="BV297">
        <v>0.44444444444444448</v>
      </c>
      <c r="BW297">
        <v>-12.666666666666666</v>
      </c>
      <c r="BX297">
        <v>-17.777777777777771</v>
      </c>
      <c r="BY297">
        <v>8.8888888888888928</v>
      </c>
      <c r="BZ297">
        <v>-6.333333333333333</v>
      </c>
      <c r="CA297">
        <v>2.5555555555555554</v>
      </c>
      <c r="CB297">
        <v>4</v>
      </c>
      <c r="CC297">
        <v>5.5666666666666638</v>
      </c>
      <c r="CD297">
        <v>2.6755555555555546</v>
      </c>
      <c r="CE297">
        <v>-26.666666666666664</v>
      </c>
      <c r="CF297">
        <v>-0.33055555555555605</v>
      </c>
    </row>
    <row r="298" spans="1:84" x14ac:dyDescent="0.2">
      <c r="A298" s="19">
        <v>44108</v>
      </c>
      <c r="B298" s="13" t="s">
        <v>417</v>
      </c>
      <c r="C298" s="41" t="s">
        <v>291</v>
      </c>
      <c r="D298" s="14" t="s">
        <v>281</v>
      </c>
      <c r="E298">
        <v>36.4</v>
      </c>
      <c r="F298">
        <v>25.2</v>
      </c>
      <c r="G298">
        <v>4.9000000000000004</v>
      </c>
      <c r="H298">
        <v>17.2</v>
      </c>
      <c r="I298">
        <v>-3</v>
      </c>
      <c r="J298">
        <v>56</v>
      </c>
      <c r="K298" t="s">
        <v>110</v>
      </c>
      <c r="L298" t="s">
        <v>291</v>
      </c>
      <c r="M298">
        <v>13</v>
      </c>
      <c r="N298">
        <v>0.34666666666666518</v>
      </c>
      <c r="O298">
        <v>3.1777777777777763</v>
      </c>
      <c r="P298">
        <v>7.5555555555555571</v>
      </c>
      <c r="Q298">
        <v>1.1111111111111112</v>
      </c>
      <c r="R298">
        <v>1.1444444444444453</v>
      </c>
      <c r="S298">
        <v>21.55555555555555</v>
      </c>
      <c r="T298">
        <v>2.0000000000000004</v>
      </c>
      <c r="U298">
        <v>9</v>
      </c>
      <c r="V298">
        <v>10</v>
      </c>
      <c r="W298">
        <v>-1.6666666666666672</v>
      </c>
      <c r="X298">
        <v>12</v>
      </c>
      <c r="Y298">
        <v>14</v>
      </c>
      <c r="Z298">
        <v>14</v>
      </c>
      <c r="AA298">
        <v>1.0660175815746612E-2</v>
      </c>
      <c r="AB298">
        <v>22</v>
      </c>
      <c r="AC298">
        <v>-4.5788490179552504E-3</v>
      </c>
      <c r="AD298">
        <v>10</v>
      </c>
      <c r="AE298">
        <v>-5.3744403744403778E-2</v>
      </c>
      <c r="AF298">
        <v>10</v>
      </c>
      <c r="AG298">
        <v>1.3333333333333333</v>
      </c>
      <c r="AH298">
        <v>5.5555555555555571</v>
      </c>
      <c r="AI298">
        <v>0.66666666666666663</v>
      </c>
      <c r="AJ298">
        <v>-0.77777777777777779</v>
      </c>
      <c r="AK298">
        <v>46.777777777777771</v>
      </c>
      <c r="AL298">
        <v>37.555555555555543</v>
      </c>
      <c r="AM298">
        <v>9.5555555555555571</v>
      </c>
      <c r="AN298">
        <v>-2.1111111111111112</v>
      </c>
      <c r="AO298">
        <v>1.7777777777777775</v>
      </c>
      <c r="AP298">
        <v>22</v>
      </c>
      <c r="AQ298">
        <v>-2.8311111111111114</v>
      </c>
      <c r="AR298">
        <v>-1.290666666666666</v>
      </c>
      <c r="AS298">
        <v>27.999999999999986</v>
      </c>
      <c r="AT298">
        <v>11</v>
      </c>
      <c r="AU298">
        <v>0.69472222222222191</v>
      </c>
      <c r="AV298">
        <v>0.98416666666666641</v>
      </c>
      <c r="AW298">
        <v>-0.33055555555555605</v>
      </c>
      <c r="AX298" t="s">
        <v>281</v>
      </c>
      <c r="AY298">
        <v>4</v>
      </c>
      <c r="AZ298">
        <v>4.38</v>
      </c>
      <c r="BA298">
        <v>1.6333333333333326</v>
      </c>
      <c r="BB298">
        <v>-14.888888888888886</v>
      </c>
      <c r="BC298">
        <v>1.3333333333333333</v>
      </c>
      <c r="BD298">
        <v>13.488888888888889</v>
      </c>
      <c r="BE298">
        <v>44</v>
      </c>
      <c r="BF298">
        <v>4.333333333333333</v>
      </c>
      <c r="BG298">
        <v>26</v>
      </c>
      <c r="BH298">
        <v>26</v>
      </c>
      <c r="BI298">
        <v>-2.5555555555555554</v>
      </c>
      <c r="BJ298">
        <v>27</v>
      </c>
      <c r="BK298">
        <v>22</v>
      </c>
      <c r="BL298">
        <v>18</v>
      </c>
      <c r="BM298">
        <v>-1.9003883375279741E-2</v>
      </c>
      <c r="BN298">
        <v>31</v>
      </c>
      <c r="BO298">
        <v>-3.0822487280746286E-2</v>
      </c>
      <c r="BP298">
        <v>20</v>
      </c>
      <c r="BQ298">
        <v>3.1271197937864571E-2</v>
      </c>
      <c r="BR298">
        <v>19</v>
      </c>
      <c r="BS298">
        <v>-0.66666666666666652</v>
      </c>
      <c r="BT298">
        <v>3.4444444444444451</v>
      </c>
      <c r="BU298">
        <v>6.5555555555555545</v>
      </c>
      <c r="BV298">
        <v>-1.5555555555555556</v>
      </c>
      <c r="BW298">
        <v>27.333333333333332</v>
      </c>
      <c r="BX298">
        <v>48.999999999999993</v>
      </c>
      <c r="BY298">
        <v>-19.555555555555557</v>
      </c>
      <c r="BZ298">
        <v>6.4444444444444455</v>
      </c>
      <c r="CA298">
        <v>-8.5555555555555554</v>
      </c>
      <c r="CB298">
        <v>12</v>
      </c>
      <c r="CC298">
        <v>2.746666666666667</v>
      </c>
      <c r="CD298">
        <v>2.7571111111111115</v>
      </c>
      <c r="CE298">
        <v>68.555555555555543</v>
      </c>
      <c r="CF298">
        <v>2.298888888888889</v>
      </c>
    </row>
    <row r="299" spans="1:84" x14ac:dyDescent="0.2">
      <c r="A299" s="19">
        <v>44108</v>
      </c>
      <c r="B299" s="13" t="s">
        <v>417</v>
      </c>
      <c r="C299" s="41" t="s">
        <v>278</v>
      </c>
      <c r="D299" s="14" t="s">
        <v>298</v>
      </c>
      <c r="E299">
        <v>14.1</v>
      </c>
      <c r="F299">
        <v>26.3</v>
      </c>
      <c r="G299">
        <v>1.9</v>
      </c>
      <c r="H299">
        <v>8.5</v>
      </c>
      <c r="I299">
        <v>1.5</v>
      </c>
      <c r="J299">
        <v>41</v>
      </c>
      <c r="L299" t="s">
        <v>278</v>
      </c>
      <c r="M299">
        <v>26</v>
      </c>
      <c r="N299">
        <v>-2.8355555555555565</v>
      </c>
      <c r="O299">
        <v>-6.7444444444444436</v>
      </c>
      <c r="P299">
        <v>-2.8888888888888875</v>
      </c>
      <c r="Q299">
        <v>-2.1111111111111107</v>
      </c>
      <c r="R299">
        <v>-4.1444444444444466</v>
      </c>
      <c r="S299">
        <v>-1.2222222222222214</v>
      </c>
      <c r="T299">
        <v>3.1111111111111112</v>
      </c>
      <c r="U299">
        <v>17</v>
      </c>
      <c r="V299">
        <v>17</v>
      </c>
      <c r="W299">
        <v>-0.22222222222222232</v>
      </c>
      <c r="X299">
        <v>1</v>
      </c>
      <c r="Y299">
        <v>7.75</v>
      </c>
      <c r="Z299">
        <v>11</v>
      </c>
      <c r="AA299">
        <v>1.7361411360159822E-2</v>
      </c>
      <c r="AB299">
        <v>11</v>
      </c>
      <c r="AC299">
        <v>3.9130668385987458E-3</v>
      </c>
      <c r="AD299">
        <v>3</v>
      </c>
      <c r="AE299">
        <v>-0.18724082934609246</v>
      </c>
      <c r="AF299">
        <v>6</v>
      </c>
      <c r="AG299">
        <v>3</v>
      </c>
      <c r="AH299">
        <v>1.6666666666666643</v>
      </c>
      <c r="AI299">
        <v>-5.666666666666667</v>
      </c>
      <c r="AJ299">
        <v>-0.77777777777777779</v>
      </c>
      <c r="AK299">
        <v>-40.888888888888893</v>
      </c>
      <c r="AL299">
        <v>-28.444444444444457</v>
      </c>
      <c r="AM299">
        <v>-2.7777777777777737</v>
      </c>
      <c r="AN299">
        <v>-6.8888888888888884</v>
      </c>
      <c r="AO299">
        <v>-2.7777777777777772</v>
      </c>
      <c r="AP299">
        <v>10</v>
      </c>
      <c r="AQ299">
        <v>3.9088888888888871</v>
      </c>
      <c r="AR299">
        <v>1.9762222222222212</v>
      </c>
      <c r="AS299">
        <v>-25.666666666666682</v>
      </c>
      <c r="AT299">
        <v>23</v>
      </c>
      <c r="AU299">
        <v>-1.771111111111112</v>
      </c>
      <c r="AV299">
        <v>-0.58013888888888898</v>
      </c>
      <c r="AW299">
        <v>-4.1944444444444451E-2</v>
      </c>
      <c r="AX299" t="s">
        <v>298</v>
      </c>
      <c r="AY299">
        <v>22</v>
      </c>
      <c r="AZ299">
        <v>-2.6577777777777798</v>
      </c>
      <c r="BA299">
        <v>-4.0555555555555554</v>
      </c>
      <c r="BB299">
        <v>-6.2222222222222232</v>
      </c>
      <c r="BC299">
        <v>0.11111111111111127</v>
      </c>
      <c r="BD299">
        <v>-1.6777777777777771</v>
      </c>
      <c r="BE299">
        <v>-16.222222222222225</v>
      </c>
      <c r="BF299">
        <v>-0.99999999999999967</v>
      </c>
      <c r="BG299">
        <v>16</v>
      </c>
      <c r="BH299">
        <v>16.5</v>
      </c>
      <c r="BI299">
        <v>4</v>
      </c>
      <c r="BJ299">
        <v>7</v>
      </c>
      <c r="BK299">
        <v>12</v>
      </c>
      <c r="BL299">
        <v>10</v>
      </c>
      <c r="BM299">
        <v>1.7326893450012676E-2</v>
      </c>
      <c r="BN299">
        <v>20</v>
      </c>
      <c r="BO299">
        <v>-7.494463458272353E-3</v>
      </c>
      <c r="BP299">
        <v>7</v>
      </c>
      <c r="BQ299">
        <v>-0.108987308987309</v>
      </c>
      <c r="BR299">
        <v>11</v>
      </c>
      <c r="BS299">
        <v>0.22222222222222232</v>
      </c>
      <c r="BT299">
        <v>0.66666666666666663</v>
      </c>
      <c r="BU299">
        <v>-1.3333333333333333</v>
      </c>
      <c r="BV299">
        <v>3.5555555555555558</v>
      </c>
      <c r="BW299">
        <v>-30.000000000000018</v>
      </c>
      <c r="BX299">
        <v>-45.444444444444436</v>
      </c>
      <c r="BY299">
        <v>13.555555555555557</v>
      </c>
      <c r="BZ299">
        <v>-5.666666666666667</v>
      </c>
      <c r="CA299">
        <v>7.5555555555555545</v>
      </c>
      <c r="CB299">
        <v>16</v>
      </c>
      <c r="CC299">
        <v>1.3977777777777756</v>
      </c>
      <c r="CD299">
        <v>1.1606666666666661</v>
      </c>
      <c r="CE299">
        <v>-58.999999999999993</v>
      </c>
      <c r="CF299">
        <v>-1.1183333333333336</v>
      </c>
    </row>
    <row r="300" spans="1:84" x14ac:dyDescent="0.2">
      <c r="A300" s="19">
        <v>44108</v>
      </c>
      <c r="B300" s="13" t="s">
        <v>417</v>
      </c>
      <c r="C300" s="41" t="s">
        <v>299</v>
      </c>
      <c r="D300" s="14" t="s">
        <v>307</v>
      </c>
      <c r="E300">
        <v>16.2</v>
      </c>
      <c r="F300">
        <v>7.7</v>
      </c>
      <c r="G300">
        <v>1.9</v>
      </c>
      <c r="H300">
        <v>10.9</v>
      </c>
      <c r="I300">
        <v>3</v>
      </c>
      <c r="J300">
        <v>51.5</v>
      </c>
      <c r="L300" t="s">
        <v>299</v>
      </c>
      <c r="M300">
        <v>11</v>
      </c>
      <c r="N300">
        <v>0.58444444444444399</v>
      </c>
      <c r="O300">
        <v>-8.0444444444444443</v>
      </c>
      <c r="P300">
        <v>-13.111111111111109</v>
      </c>
      <c r="Q300">
        <v>-1.2222222222222221</v>
      </c>
      <c r="R300">
        <v>2.1555555555555559</v>
      </c>
      <c r="S300">
        <v>16.111111111111114</v>
      </c>
      <c r="T300">
        <v>1.7777777777777781</v>
      </c>
      <c r="U300">
        <v>6</v>
      </c>
      <c r="V300">
        <v>6.5</v>
      </c>
      <c r="W300">
        <v>-0.55555555555555547</v>
      </c>
      <c r="X300">
        <v>17</v>
      </c>
      <c r="Y300">
        <v>16.5</v>
      </c>
      <c r="Z300">
        <v>12</v>
      </c>
      <c r="AA300">
        <v>1.5913012960840134E-2</v>
      </c>
      <c r="AB300">
        <v>10</v>
      </c>
      <c r="AC300">
        <v>4.7836228795662414E-3</v>
      </c>
      <c r="AD300">
        <v>27</v>
      </c>
      <c r="AE300">
        <v>0.11913580246913576</v>
      </c>
      <c r="AF300">
        <v>17</v>
      </c>
      <c r="AG300">
        <v>-0.11111111111111101</v>
      </c>
      <c r="AH300">
        <v>3.3333333333333357</v>
      </c>
      <c r="AI300">
        <v>0.22222222222222263</v>
      </c>
      <c r="AJ300">
        <v>0</v>
      </c>
      <c r="AK300">
        <v>4.6666666666666474</v>
      </c>
      <c r="AL300">
        <v>12.666666666666657</v>
      </c>
      <c r="AM300">
        <v>-3.7777777777777763</v>
      </c>
      <c r="AN300">
        <v>-0.99999999999999989</v>
      </c>
      <c r="AO300">
        <v>-3.2222222222222219</v>
      </c>
      <c r="AP300">
        <v>3</v>
      </c>
      <c r="AQ300">
        <v>8.6288888888888877</v>
      </c>
      <c r="AR300">
        <v>4.5702222222222222</v>
      </c>
      <c r="AS300">
        <v>16.444444444444432</v>
      </c>
      <c r="AT300">
        <v>30</v>
      </c>
      <c r="AU300">
        <v>-0.51027777777777772</v>
      </c>
      <c r="AV300">
        <v>-0.669027777777778</v>
      </c>
      <c r="AW300">
        <v>-0.68055555555555547</v>
      </c>
      <c r="AX300" t="s">
        <v>307</v>
      </c>
      <c r="AY300">
        <v>9</v>
      </c>
      <c r="AZ300">
        <v>2.3066666666666671</v>
      </c>
      <c r="BA300">
        <v>-9.6555555555555586</v>
      </c>
      <c r="BB300">
        <v>-22.333333333333336</v>
      </c>
      <c r="BC300">
        <v>-2.3333333333333335</v>
      </c>
      <c r="BD300">
        <v>1.4222222222222216</v>
      </c>
      <c r="BE300">
        <v>-3.2222222222222214</v>
      </c>
      <c r="BF300">
        <v>0.8888888888888884</v>
      </c>
      <c r="BG300">
        <v>12</v>
      </c>
      <c r="BH300">
        <v>13</v>
      </c>
      <c r="BI300">
        <v>-4.666666666666667</v>
      </c>
      <c r="BJ300">
        <v>1</v>
      </c>
      <c r="BK300">
        <v>9</v>
      </c>
      <c r="BL300">
        <v>3</v>
      </c>
      <c r="BM300">
        <v>8.7559029524596266E-2</v>
      </c>
      <c r="BN300">
        <v>4</v>
      </c>
      <c r="BO300">
        <v>2.3709229113341976E-2</v>
      </c>
      <c r="BP300">
        <v>23</v>
      </c>
      <c r="BQ300">
        <v>7.9365079365079347E-2</v>
      </c>
      <c r="BR300">
        <v>6</v>
      </c>
      <c r="BS300">
        <v>2.4444444444444446</v>
      </c>
      <c r="BT300">
        <v>-0.5555555555555548</v>
      </c>
      <c r="BU300">
        <v>0.1111111111111119</v>
      </c>
      <c r="BV300">
        <v>-1.2222222222222221</v>
      </c>
      <c r="BW300">
        <v>-30.111111111111104</v>
      </c>
      <c r="BX300">
        <v>-0.66666666666666663</v>
      </c>
      <c r="BY300">
        <v>-29.888888888888889</v>
      </c>
      <c r="BZ300">
        <v>-2.5555555555555558</v>
      </c>
      <c r="CA300">
        <v>3</v>
      </c>
      <c r="CB300">
        <v>2</v>
      </c>
      <c r="CC300">
        <v>11.962222222222225</v>
      </c>
      <c r="CD300">
        <v>5.5735555555555569</v>
      </c>
      <c r="CE300">
        <v>29.222222222222221</v>
      </c>
      <c r="CF300">
        <v>-0.65750000000000064</v>
      </c>
    </row>
    <row r="301" spans="1:84" x14ac:dyDescent="0.2">
      <c r="A301" s="19">
        <v>44108</v>
      </c>
      <c r="B301" s="13" t="s">
        <v>417</v>
      </c>
      <c r="C301" s="41" t="s">
        <v>300</v>
      </c>
      <c r="D301" s="14" t="s">
        <v>295</v>
      </c>
      <c r="E301">
        <v>8.5</v>
      </c>
      <c r="F301">
        <v>4.0999999999999996</v>
      </c>
      <c r="G301">
        <v>3</v>
      </c>
      <c r="H301">
        <v>33.799999999999997</v>
      </c>
      <c r="I301">
        <v>-4.5</v>
      </c>
      <c r="J301">
        <v>56</v>
      </c>
      <c r="L301" t="s">
        <v>300</v>
      </c>
      <c r="M301">
        <v>5</v>
      </c>
      <c r="N301">
        <v>3.2511111111111091</v>
      </c>
      <c r="O301">
        <v>9.2333333333333343</v>
      </c>
      <c r="P301">
        <v>16.444444444444446</v>
      </c>
      <c r="Q301">
        <v>3</v>
      </c>
      <c r="R301">
        <v>3.5111111111111106</v>
      </c>
      <c r="S301">
        <v>13.111111111111114</v>
      </c>
      <c r="T301">
        <v>-1.3333333333333333</v>
      </c>
      <c r="U301">
        <v>20</v>
      </c>
      <c r="V301">
        <v>18.5</v>
      </c>
      <c r="W301">
        <v>1</v>
      </c>
      <c r="X301">
        <v>30</v>
      </c>
      <c r="Y301">
        <v>23.25</v>
      </c>
      <c r="Z301">
        <v>24</v>
      </c>
      <c r="AA301">
        <v>-3.3845078532628338E-2</v>
      </c>
      <c r="AB301">
        <v>29</v>
      </c>
      <c r="AC301">
        <v>-1.9656871095576654E-2</v>
      </c>
      <c r="AD301">
        <v>8</v>
      </c>
      <c r="AE301">
        <v>-6.7857142857142838E-2</v>
      </c>
      <c r="AF301">
        <v>32</v>
      </c>
      <c r="AG301">
        <v>-6.2222222222222223</v>
      </c>
      <c r="AH301">
        <v>0.11111111111110954</v>
      </c>
      <c r="AI301">
        <v>6.8888888888888902</v>
      </c>
      <c r="AJ301">
        <v>2</v>
      </c>
      <c r="AK301">
        <v>54.333333333333336</v>
      </c>
      <c r="AL301">
        <v>22.666666666666657</v>
      </c>
      <c r="AM301">
        <v>33.999999999999993</v>
      </c>
      <c r="AN301">
        <v>1.333333333333333</v>
      </c>
      <c r="AO301">
        <v>-3.6666666666666665</v>
      </c>
      <c r="AP301">
        <v>26</v>
      </c>
      <c r="AQ301">
        <v>-5.9822222222222257</v>
      </c>
      <c r="AR301">
        <v>-3.264222222222223</v>
      </c>
      <c r="AS301">
        <v>-11.333333333333336</v>
      </c>
      <c r="AT301">
        <v>7</v>
      </c>
      <c r="AU301">
        <v>2.0827777777777778</v>
      </c>
      <c r="AV301">
        <v>1.8165277777777775</v>
      </c>
      <c r="AW301">
        <v>1.2980555555555555</v>
      </c>
      <c r="AX301" t="s">
        <v>295</v>
      </c>
      <c r="AY301">
        <v>1</v>
      </c>
      <c r="AZ301">
        <v>6.8911111111111092</v>
      </c>
      <c r="BA301">
        <v>1.9444444444444433</v>
      </c>
      <c r="BB301">
        <v>-11</v>
      </c>
      <c r="BC301">
        <v>1</v>
      </c>
      <c r="BD301">
        <v>8.1777777777777736</v>
      </c>
      <c r="BE301">
        <v>38.222222222222221</v>
      </c>
      <c r="BF301">
        <v>3.2222222222222219</v>
      </c>
      <c r="BG301">
        <v>10</v>
      </c>
      <c r="BH301">
        <v>9</v>
      </c>
      <c r="BI301">
        <v>-2.3333333333333335</v>
      </c>
      <c r="BJ301">
        <v>31</v>
      </c>
      <c r="BK301">
        <v>24.5</v>
      </c>
      <c r="BL301">
        <v>17</v>
      </c>
      <c r="BM301">
        <v>-1.1595476407304387E-2</v>
      </c>
      <c r="BN301">
        <v>25</v>
      </c>
      <c r="BO301">
        <v>-1.3076979438986608E-2</v>
      </c>
      <c r="BP301">
        <v>29</v>
      </c>
      <c r="BQ301">
        <v>0.12195767195767195</v>
      </c>
      <c r="BR301">
        <v>27</v>
      </c>
      <c r="BS301">
        <v>-2.1111111111111112</v>
      </c>
      <c r="BT301">
        <v>2.888888888888888</v>
      </c>
      <c r="BU301">
        <v>5.8888888888888884</v>
      </c>
      <c r="BV301">
        <v>-0.22222222222222221</v>
      </c>
      <c r="BW301">
        <v>45.222222222222207</v>
      </c>
      <c r="BX301">
        <v>44.777777777777779</v>
      </c>
      <c r="BY301">
        <v>-6.7777777777777786</v>
      </c>
      <c r="BZ301">
        <v>5.1111111111111116</v>
      </c>
      <c r="CA301">
        <v>2.1111111111111107</v>
      </c>
      <c r="CB301">
        <v>5</v>
      </c>
      <c r="CC301">
        <v>4.9466666666666654</v>
      </c>
      <c r="CD301">
        <v>2.0415555555555551</v>
      </c>
      <c r="CE301">
        <v>51.555555555555557</v>
      </c>
      <c r="CF301">
        <v>2.3349999999999995</v>
      </c>
    </row>
    <row r="302" spans="1:84" x14ac:dyDescent="0.2">
      <c r="A302" s="19">
        <v>44108</v>
      </c>
      <c r="B302" s="13" t="s">
        <v>417</v>
      </c>
      <c r="C302" s="41" t="s">
        <v>311</v>
      </c>
      <c r="D302" s="14" t="s">
        <v>312</v>
      </c>
      <c r="E302">
        <v>25.8</v>
      </c>
      <c r="F302">
        <v>11.9</v>
      </c>
      <c r="G302">
        <v>5.6</v>
      </c>
      <c r="H302">
        <v>7.6</v>
      </c>
      <c r="I302">
        <v>-3</v>
      </c>
      <c r="J302">
        <v>53</v>
      </c>
      <c r="K302" t="s">
        <v>109</v>
      </c>
      <c r="L302" t="s">
        <v>311</v>
      </c>
      <c r="M302">
        <v>25</v>
      </c>
      <c r="N302">
        <v>-2.5800000000000005</v>
      </c>
      <c r="O302">
        <v>-4.0555555555555562</v>
      </c>
      <c r="P302">
        <v>-21.000000000000004</v>
      </c>
      <c r="Q302">
        <v>-1.2222222222222221</v>
      </c>
      <c r="R302">
        <v>-2.6333333333333346</v>
      </c>
      <c r="S302">
        <v>13.000000000000004</v>
      </c>
      <c r="T302">
        <v>-3</v>
      </c>
      <c r="U302">
        <v>21</v>
      </c>
      <c r="V302">
        <v>19</v>
      </c>
      <c r="W302">
        <v>-1.7777777777777779</v>
      </c>
      <c r="X302">
        <v>2</v>
      </c>
      <c r="Y302">
        <v>8.75</v>
      </c>
      <c r="Z302">
        <v>15</v>
      </c>
      <c r="AA302">
        <v>1.9482644744342286E-3</v>
      </c>
      <c r="AB302">
        <v>2</v>
      </c>
      <c r="AC302">
        <v>2.788564838262975E-2</v>
      </c>
      <c r="AD302">
        <v>6</v>
      </c>
      <c r="AE302">
        <v>-8.3680370961072725E-2</v>
      </c>
      <c r="AF302">
        <v>12</v>
      </c>
      <c r="AG302">
        <v>0.33333333333333304</v>
      </c>
      <c r="AH302">
        <v>-9.4444444444444446</v>
      </c>
      <c r="AI302">
        <v>0.44444444444444403</v>
      </c>
      <c r="AJ302">
        <v>-0.77777777777777779</v>
      </c>
      <c r="AK302">
        <v>-33.777777777777771</v>
      </c>
      <c r="AL302">
        <v>5.2222222222222188</v>
      </c>
      <c r="AM302">
        <v>-27.777777777777775</v>
      </c>
      <c r="AN302">
        <v>-4.666666666666667</v>
      </c>
      <c r="AO302">
        <v>-6.5555555555555545</v>
      </c>
      <c r="AP302">
        <v>16</v>
      </c>
      <c r="AQ302">
        <v>1.4755555555555562</v>
      </c>
      <c r="AR302">
        <v>0.98511111111111105</v>
      </c>
      <c r="AS302">
        <v>32.999999999999993</v>
      </c>
      <c r="AT302">
        <v>17</v>
      </c>
      <c r="AU302">
        <v>-1.1586111111111115</v>
      </c>
      <c r="AV302">
        <v>0.79708333333333337</v>
      </c>
      <c r="AW302">
        <v>-0.37638888888888916</v>
      </c>
      <c r="AX302" t="s">
        <v>312</v>
      </c>
      <c r="AY302">
        <v>17</v>
      </c>
      <c r="AZ302">
        <v>0.26444444444444376</v>
      </c>
      <c r="BA302">
        <v>-0.62222222222222345</v>
      </c>
      <c r="BB302">
        <v>5.5555555555555571</v>
      </c>
      <c r="BC302">
        <v>-0.88888888888888873</v>
      </c>
      <c r="BD302">
        <v>11.011111111111116</v>
      </c>
      <c r="BE302">
        <v>57.444444444444436</v>
      </c>
      <c r="BF302">
        <v>3.1111111111111107</v>
      </c>
      <c r="BG302">
        <v>1</v>
      </c>
      <c r="BH302">
        <v>1.5</v>
      </c>
      <c r="BI302">
        <v>0.11111111111111101</v>
      </c>
      <c r="BJ302">
        <v>8</v>
      </c>
      <c r="BK302">
        <v>13.25</v>
      </c>
      <c r="BL302">
        <v>15</v>
      </c>
      <c r="BM302">
        <v>-9.6054757214540289E-3</v>
      </c>
      <c r="BN302">
        <v>10</v>
      </c>
      <c r="BO302">
        <v>8.9395716846697223E-3</v>
      </c>
      <c r="BP302">
        <v>15</v>
      </c>
      <c r="BQ302">
        <v>-1.8253968253968227E-2</v>
      </c>
      <c r="BR302">
        <v>13</v>
      </c>
      <c r="BS302">
        <v>0.22222222222222218</v>
      </c>
      <c r="BT302">
        <v>5</v>
      </c>
      <c r="BU302">
        <v>3.8888888888888893</v>
      </c>
      <c r="BV302">
        <v>-2.1111111111111112</v>
      </c>
      <c r="BW302">
        <v>28.777777777777771</v>
      </c>
      <c r="BX302">
        <v>21.111111111111104</v>
      </c>
      <c r="BY302">
        <v>7.6666666666666616</v>
      </c>
      <c r="BZ302">
        <v>3.1111111111111107</v>
      </c>
      <c r="CA302">
        <v>-3.1111111111111107</v>
      </c>
      <c r="CB302">
        <v>18</v>
      </c>
      <c r="CC302">
        <v>0.88666666666666716</v>
      </c>
      <c r="CD302">
        <v>2.5662222222222235</v>
      </c>
      <c r="CE302">
        <v>13.444444444444443</v>
      </c>
      <c r="CF302">
        <v>1.9705555555555558</v>
      </c>
    </row>
    <row r="303" spans="1:84" x14ac:dyDescent="0.2">
      <c r="A303" s="19">
        <v>44108</v>
      </c>
      <c r="B303" s="13" t="s">
        <v>417</v>
      </c>
      <c r="C303" s="41" t="s">
        <v>289</v>
      </c>
      <c r="D303" s="14" t="s">
        <v>265</v>
      </c>
      <c r="E303">
        <v>5.9</v>
      </c>
      <c r="F303">
        <v>8.8000000000000007</v>
      </c>
      <c r="G303">
        <v>3.7</v>
      </c>
      <c r="H303">
        <v>8.3000000000000007</v>
      </c>
      <c r="I303">
        <v>-3</v>
      </c>
      <c r="J303">
        <v>43.5</v>
      </c>
      <c r="K303" t="s">
        <v>110</v>
      </c>
      <c r="L303" t="s">
        <v>289</v>
      </c>
      <c r="M303">
        <v>31</v>
      </c>
      <c r="N303">
        <v>-6.8666666666666663</v>
      </c>
      <c r="O303">
        <v>5.3444444444444441</v>
      </c>
      <c r="P303">
        <v>3.4444444444444446</v>
      </c>
      <c r="Q303">
        <v>0.88888888888888906</v>
      </c>
      <c r="R303">
        <v>-10.555555555555555</v>
      </c>
      <c r="S303">
        <v>-22.444444444444446</v>
      </c>
      <c r="T303">
        <v>-1.1111111111111112</v>
      </c>
      <c r="U303">
        <v>13</v>
      </c>
      <c r="V303">
        <v>14</v>
      </c>
      <c r="W303">
        <v>5.333333333333333</v>
      </c>
      <c r="X303">
        <v>25</v>
      </c>
      <c r="Y303">
        <v>20.75</v>
      </c>
      <c r="Z303">
        <v>28</v>
      </c>
      <c r="AA303">
        <v>-5.4923555066737191E-2</v>
      </c>
      <c r="AB303">
        <v>24</v>
      </c>
      <c r="AC303">
        <v>-1.0251751509613145E-2</v>
      </c>
      <c r="AD303">
        <v>20</v>
      </c>
      <c r="AE303">
        <v>4.4444444444444418E-2</v>
      </c>
      <c r="AF303">
        <v>11</v>
      </c>
      <c r="AG303">
        <v>1.1111111111111112</v>
      </c>
      <c r="AH303">
        <v>-2.3333333333333308</v>
      </c>
      <c r="AI303">
        <v>-6.8888888888888884</v>
      </c>
      <c r="AJ303">
        <v>3.3333333333333339</v>
      </c>
      <c r="AK303">
        <v>-10.333333333333314</v>
      </c>
      <c r="AL303">
        <v>2.6666666666666572</v>
      </c>
      <c r="AM303">
        <v>1</v>
      </c>
      <c r="AN303">
        <v>-2.6666666666666665</v>
      </c>
      <c r="AO303">
        <v>-11.333333333333334</v>
      </c>
      <c r="AP303">
        <v>31</v>
      </c>
      <c r="AQ303">
        <v>-12.21111111111111</v>
      </c>
      <c r="AR303">
        <v>-6.1566666666666663</v>
      </c>
      <c r="AS303">
        <v>1.6666666666666572</v>
      </c>
      <c r="AT303">
        <v>2</v>
      </c>
      <c r="AU303">
        <v>-1.5791666666666666</v>
      </c>
      <c r="AV303">
        <v>-1.8702777777777779</v>
      </c>
      <c r="AW303">
        <v>-2.8777777777777778</v>
      </c>
      <c r="AX303" t="s">
        <v>265</v>
      </c>
      <c r="AY303">
        <v>29</v>
      </c>
      <c r="AZ303">
        <v>-4.7577777777777781</v>
      </c>
      <c r="BA303">
        <v>7.2222222222222214</v>
      </c>
      <c r="BB303">
        <v>31.444444444444443</v>
      </c>
      <c r="BC303">
        <v>0.33333333333333315</v>
      </c>
      <c r="BD303">
        <v>-8.1444444444444439</v>
      </c>
      <c r="BE303">
        <v>-18.888888888888889</v>
      </c>
      <c r="BF303">
        <v>-0.22222222222222227</v>
      </c>
      <c r="BG303">
        <v>15</v>
      </c>
      <c r="BH303">
        <v>14.5</v>
      </c>
      <c r="BI303">
        <v>2.4444444444444442</v>
      </c>
      <c r="BJ303">
        <v>16</v>
      </c>
      <c r="BK303">
        <v>16</v>
      </c>
      <c r="BL303">
        <v>23</v>
      </c>
      <c r="BM303">
        <v>-2.4512182838460388E-2</v>
      </c>
      <c r="BN303">
        <v>21</v>
      </c>
      <c r="BO303">
        <v>-9.614477943691609E-3</v>
      </c>
      <c r="BP303">
        <v>5</v>
      </c>
      <c r="BQ303">
        <v>-0.15030864197530869</v>
      </c>
      <c r="BR303">
        <v>15</v>
      </c>
      <c r="BS303">
        <v>-0.11111111111111087</v>
      </c>
      <c r="BT303">
        <v>1.7777777777777786</v>
      </c>
      <c r="BU303">
        <v>-1.3333333333333328</v>
      </c>
      <c r="BV303">
        <v>0</v>
      </c>
      <c r="BW303">
        <v>12.555555555555562</v>
      </c>
      <c r="BX303">
        <v>-15.888888888888877</v>
      </c>
      <c r="BY303">
        <v>25.777777777777782</v>
      </c>
      <c r="BZ303">
        <v>2.7777777777777781</v>
      </c>
      <c r="CA303">
        <v>-0.1111111111111119</v>
      </c>
      <c r="CB303">
        <v>31</v>
      </c>
      <c r="CC303">
        <v>-11.98</v>
      </c>
      <c r="CD303">
        <v>-6.1915555555555555</v>
      </c>
      <c r="CE303">
        <v>-41.666666666666657</v>
      </c>
      <c r="CF303">
        <v>-0.86277777777777798</v>
      </c>
    </row>
    <row r="304" spans="1:84" x14ac:dyDescent="0.2">
      <c r="A304" s="19">
        <v>44108</v>
      </c>
      <c r="B304" s="13" t="s">
        <v>417</v>
      </c>
      <c r="C304" s="41" t="s">
        <v>297</v>
      </c>
      <c r="D304" s="14" t="s">
        <v>272</v>
      </c>
      <c r="E304">
        <v>29.5</v>
      </c>
      <c r="F304">
        <v>14.1</v>
      </c>
      <c r="G304">
        <v>8.6</v>
      </c>
      <c r="H304">
        <v>4.2</v>
      </c>
      <c r="I304">
        <v>1</v>
      </c>
      <c r="J304">
        <v>50</v>
      </c>
      <c r="L304" t="s">
        <v>297</v>
      </c>
      <c r="M304">
        <v>8</v>
      </c>
      <c r="N304">
        <v>1.3266666666666656</v>
      </c>
      <c r="O304">
        <v>6</v>
      </c>
      <c r="P304">
        <v>-18.111111111111111</v>
      </c>
      <c r="Q304">
        <v>2.3333333333333335</v>
      </c>
      <c r="R304">
        <v>1.5999999999999994</v>
      </c>
      <c r="S304">
        <v>-20.555555555555554</v>
      </c>
      <c r="T304">
        <v>0</v>
      </c>
      <c r="U304">
        <v>11</v>
      </c>
      <c r="V304">
        <v>11</v>
      </c>
      <c r="W304">
        <v>-1.3333333333333333</v>
      </c>
      <c r="X304">
        <v>29</v>
      </c>
      <c r="Y304">
        <v>21.5</v>
      </c>
      <c r="Z304">
        <v>32</v>
      </c>
      <c r="AA304">
        <v>-0.1062608991054852</v>
      </c>
      <c r="AB304">
        <v>25</v>
      </c>
      <c r="AC304">
        <v>-1.114903443310669E-2</v>
      </c>
      <c r="AD304">
        <v>4</v>
      </c>
      <c r="AE304">
        <v>-0.15872615039281704</v>
      </c>
      <c r="AF304">
        <v>25</v>
      </c>
      <c r="AG304">
        <v>-1.6666666666666667</v>
      </c>
      <c r="AH304">
        <v>-0.22222222222222143</v>
      </c>
      <c r="AI304">
        <v>2.888888888888888</v>
      </c>
      <c r="AJ304">
        <v>0</v>
      </c>
      <c r="AK304">
        <v>6.7777777777777812</v>
      </c>
      <c r="AL304">
        <v>28.444444444444429</v>
      </c>
      <c r="AM304">
        <v>-27.888888888888886</v>
      </c>
      <c r="AN304">
        <v>7.666666666666667</v>
      </c>
      <c r="AO304">
        <v>-1.4444444444444435</v>
      </c>
      <c r="AP304">
        <v>25</v>
      </c>
      <c r="AQ304">
        <v>-4.6733333333333347</v>
      </c>
      <c r="AR304">
        <v>-2.4146666666666672</v>
      </c>
      <c r="AS304">
        <v>56.333333333333314</v>
      </c>
      <c r="AT304">
        <v>8</v>
      </c>
      <c r="AU304">
        <v>1.3519444444444444</v>
      </c>
      <c r="AV304">
        <v>0.33055555555555582</v>
      </c>
      <c r="AW304">
        <v>0.33972222222222259</v>
      </c>
      <c r="AX304" t="s">
        <v>272</v>
      </c>
      <c r="AY304">
        <v>18</v>
      </c>
      <c r="AZ304">
        <v>-0.43999999999999889</v>
      </c>
      <c r="BA304">
        <v>1.2888888888888901</v>
      </c>
      <c r="BB304">
        <v>22.333333333333332</v>
      </c>
      <c r="BC304">
        <v>-2.2222222222222219</v>
      </c>
      <c r="BD304">
        <v>-0.72222222222222321</v>
      </c>
      <c r="BE304">
        <v>1.8888888888888902</v>
      </c>
      <c r="BF304">
        <v>0.11111111111111138</v>
      </c>
      <c r="BG304">
        <v>5</v>
      </c>
      <c r="BH304">
        <v>4.5</v>
      </c>
      <c r="BI304">
        <v>2.3333333333333335</v>
      </c>
      <c r="BJ304">
        <v>32</v>
      </c>
      <c r="BK304">
        <v>26.5</v>
      </c>
      <c r="BL304">
        <v>25</v>
      </c>
      <c r="BM304">
        <v>-2.8229280352652042E-2</v>
      </c>
      <c r="BN304">
        <v>28</v>
      </c>
      <c r="BO304">
        <v>-2.3215907332386099E-2</v>
      </c>
      <c r="BP304">
        <v>21</v>
      </c>
      <c r="BQ304">
        <v>5.6098095803978176E-2</v>
      </c>
      <c r="BR304">
        <v>32</v>
      </c>
      <c r="BS304">
        <v>-4.2222222222222214</v>
      </c>
      <c r="BT304">
        <v>1.2222222222222214</v>
      </c>
      <c r="BU304">
        <v>4</v>
      </c>
      <c r="BV304">
        <v>0</v>
      </c>
      <c r="BW304">
        <v>13.333333333333334</v>
      </c>
      <c r="BX304">
        <v>-21.555555555555554</v>
      </c>
      <c r="BY304">
        <v>23.666666666666671</v>
      </c>
      <c r="BZ304">
        <v>-2.5555555555555554</v>
      </c>
      <c r="CA304">
        <v>13.777777777777779</v>
      </c>
      <c r="CB304">
        <v>23</v>
      </c>
      <c r="CC304">
        <v>-1.7288888888888889</v>
      </c>
      <c r="CD304">
        <v>-0.8768888888888895</v>
      </c>
      <c r="CE304">
        <v>-45.222222222222229</v>
      </c>
      <c r="CF304">
        <v>0.321388888888889</v>
      </c>
    </row>
    <row r="305" spans="1:84" x14ac:dyDescent="0.2">
      <c r="A305" s="19">
        <v>44108</v>
      </c>
      <c r="B305" s="13" t="s">
        <v>417</v>
      </c>
      <c r="C305" s="41" t="s">
        <v>288</v>
      </c>
      <c r="D305" s="14" t="s">
        <v>302</v>
      </c>
      <c r="E305">
        <v>16.399999999999999</v>
      </c>
      <c r="F305">
        <v>7.3</v>
      </c>
      <c r="G305">
        <v>12.7</v>
      </c>
      <c r="H305">
        <v>10</v>
      </c>
      <c r="I305">
        <v>-11</v>
      </c>
      <c r="J305">
        <v>49</v>
      </c>
      <c r="L305" t="s">
        <v>288</v>
      </c>
      <c r="M305">
        <v>2</v>
      </c>
      <c r="N305">
        <v>10.291111111111112</v>
      </c>
      <c r="O305">
        <v>1.8555555555555565</v>
      </c>
      <c r="P305">
        <v>-6.3333333333333375</v>
      </c>
      <c r="Q305">
        <v>0.33333333333333326</v>
      </c>
      <c r="R305">
        <v>19.177777777777777</v>
      </c>
      <c r="S305">
        <v>55.8888888888889</v>
      </c>
      <c r="T305">
        <v>6.1111111111111107</v>
      </c>
      <c r="U305">
        <v>26</v>
      </c>
      <c r="V305">
        <v>25.5</v>
      </c>
      <c r="W305">
        <v>-0.22222222222222188</v>
      </c>
      <c r="X305">
        <v>31</v>
      </c>
      <c r="Y305">
        <v>28</v>
      </c>
      <c r="Z305">
        <v>18</v>
      </c>
      <c r="AA305">
        <v>-1.7615145772483836E-2</v>
      </c>
      <c r="AB305">
        <v>32</v>
      </c>
      <c r="AC305">
        <v>-3.8434718912356433E-2</v>
      </c>
      <c r="AD305">
        <v>32</v>
      </c>
      <c r="AE305">
        <v>0.15337902837902842</v>
      </c>
      <c r="AF305">
        <v>30</v>
      </c>
      <c r="AG305">
        <v>-3.3333333333333335</v>
      </c>
      <c r="AH305">
        <v>4.0000000000000027</v>
      </c>
      <c r="AI305">
        <v>8</v>
      </c>
      <c r="AJ305">
        <v>-0.77777777777777779</v>
      </c>
      <c r="AK305">
        <v>57.333333333333314</v>
      </c>
      <c r="AL305">
        <v>51.444444444444436</v>
      </c>
      <c r="AM305">
        <v>-4.6666666666666714</v>
      </c>
      <c r="AN305">
        <v>7.1111111111111107</v>
      </c>
      <c r="AO305">
        <v>3.4444444444444429</v>
      </c>
      <c r="AP305">
        <v>4</v>
      </c>
      <c r="AQ305">
        <v>8.4355555555555561</v>
      </c>
      <c r="AR305">
        <v>4.9660000000000002</v>
      </c>
      <c r="AS305">
        <v>56.111111111111107</v>
      </c>
      <c r="AT305">
        <v>29</v>
      </c>
      <c r="AU305">
        <v>3.8044444444444445</v>
      </c>
      <c r="AV305">
        <v>-1.5366666666666668</v>
      </c>
      <c r="AW305">
        <v>-0.3911111111111113</v>
      </c>
      <c r="AX305" t="s">
        <v>302</v>
      </c>
      <c r="AY305">
        <v>28</v>
      </c>
      <c r="AZ305">
        <v>-4.7466666666666653</v>
      </c>
      <c r="BA305">
        <v>-4.4888888888888889</v>
      </c>
      <c r="BB305">
        <v>-2.333333333333333</v>
      </c>
      <c r="BC305">
        <v>-0.2222222222222221</v>
      </c>
      <c r="BD305">
        <v>-9.6666666666666679</v>
      </c>
      <c r="BE305">
        <v>-20.888888888888882</v>
      </c>
      <c r="BF305">
        <v>-2.4444444444444438</v>
      </c>
      <c r="BG305">
        <v>24</v>
      </c>
      <c r="BH305">
        <v>24</v>
      </c>
      <c r="BI305">
        <v>-1.4444444444444446</v>
      </c>
      <c r="BJ305">
        <v>8</v>
      </c>
      <c r="BK305">
        <v>13.25</v>
      </c>
      <c r="BL305">
        <v>9</v>
      </c>
      <c r="BM305">
        <v>1.9341916253680952E-2</v>
      </c>
      <c r="BN305">
        <v>16</v>
      </c>
      <c r="BO305">
        <v>-5.0174371742999239E-3</v>
      </c>
      <c r="BP305">
        <v>27</v>
      </c>
      <c r="BQ305">
        <v>0.11402116402116402</v>
      </c>
      <c r="BR305">
        <v>1</v>
      </c>
      <c r="BS305">
        <v>6.4444444444444438</v>
      </c>
      <c r="BT305">
        <v>-0.44444444444444287</v>
      </c>
      <c r="BU305">
        <v>-7.666666666666667</v>
      </c>
      <c r="BV305">
        <v>-0.22222222222222221</v>
      </c>
      <c r="BW305">
        <v>-33.444444444444436</v>
      </c>
      <c r="BX305">
        <v>-18.666666666666657</v>
      </c>
      <c r="BY305">
        <v>-12.333333333333336</v>
      </c>
      <c r="BZ305">
        <v>-5.7777777777777777</v>
      </c>
      <c r="CA305">
        <v>3.3333333333333335</v>
      </c>
      <c r="CB305">
        <v>20</v>
      </c>
      <c r="CC305">
        <v>-0.25777777777777633</v>
      </c>
      <c r="CD305">
        <v>-0.63822222222222225</v>
      </c>
      <c r="CE305">
        <v>-6.3333333333333215</v>
      </c>
      <c r="CF305">
        <v>-2.6822222222222223</v>
      </c>
    </row>
    <row r="306" spans="1:84" x14ac:dyDescent="0.2">
      <c r="A306" s="19">
        <v>44108</v>
      </c>
      <c r="B306" s="13" t="s">
        <v>417</v>
      </c>
      <c r="C306" s="41" t="s">
        <v>303</v>
      </c>
      <c r="D306" s="14" t="s">
        <v>276</v>
      </c>
      <c r="E306">
        <v>10.7</v>
      </c>
      <c r="F306">
        <v>14.4</v>
      </c>
      <c r="G306">
        <v>7.2</v>
      </c>
      <c r="H306">
        <v>16.8</v>
      </c>
      <c r="I306">
        <v>3</v>
      </c>
      <c r="J306">
        <v>53</v>
      </c>
      <c r="L306" t="s">
        <v>303</v>
      </c>
      <c r="M306">
        <v>21</v>
      </c>
      <c r="N306">
        <v>-1.4333333333333325</v>
      </c>
      <c r="O306">
        <v>0.9777777777777773</v>
      </c>
      <c r="P306">
        <v>14.222222222222223</v>
      </c>
      <c r="Q306">
        <v>-0.1111111111111111</v>
      </c>
      <c r="R306">
        <v>-3.4000000000000004</v>
      </c>
      <c r="S306">
        <v>-23.666666666666664</v>
      </c>
      <c r="T306">
        <v>-1.2222222222222228</v>
      </c>
      <c r="U306">
        <v>1</v>
      </c>
      <c r="V306">
        <v>2.5</v>
      </c>
      <c r="W306">
        <v>-2</v>
      </c>
      <c r="X306">
        <v>19</v>
      </c>
      <c r="Y306">
        <v>18</v>
      </c>
      <c r="Z306">
        <v>25</v>
      </c>
      <c r="AA306">
        <v>-3.8681544100996751E-2</v>
      </c>
      <c r="AB306">
        <v>15</v>
      </c>
      <c r="AC306">
        <v>3.0105874055234749E-3</v>
      </c>
      <c r="AD306">
        <v>11</v>
      </c>
      <c r="AE306">
        <v>-4.9120759414877056E-2</v>
      </c>
      <c r="AF306">
        <v>21</v>
      </c>
      <c r="AG306">
        <v>-0.99999999999999967</v>
      </c>
      <c r="AH306">
        <v>-0.1111111111111119</v>
      </c>
      <c r="AI306">
        <v>2.5555555555555558</v>
      </c>
      <c r="AJ306">
        <v>0</v>
      </c>
      <c r="AK306">
        <v>21.888888888888875</v>
      </c>
      <c r="AL306">
        <v>2.2222222222222192</v>
      </c>
      <c r="AM306">
        <v>25.222222222222218</v>
      </c>
      <c r="AN306">
        <v>1.8888888888888891</v>
      </c>
      <c r="AO306">
        <v>-7.4444444444444438</v>
      </c>
      <c r="AP306">
        <v>21</v>
      </c>
      <c r="AQ306">
        <v>-2.4111111111111097</v>
      </c>
      <c r="AR306">
        <v>-1.455555555555555</v>
      </c>
      <c r="AS306">
        <v>-23</v>
      </c>
      <c r="AT306">
        <v>12</v>
      </c>
      <c r="AU306">
        <v>-0.1902777777777776</v>
      </c>
      <c r="AV306">
        <v>1.1199999999999999</v>
      </c>
      <c r="AW306">
        <v>1.7500000000000043E-2</v>
      </c>
      <c r="AX306" t="s">
        <v>276</v>
      </c>
      <c r="AY306">
        <v>8</v>
      </c>
      <c r="AZ306">
        <v>3.4244444444444451</v>
      </c>
      <c r="BA306">
        <v>2.2222222222222442E-2</v>
      </c>
      <c r="BB306">
        <v>-9.2222222222222179</v>
      </c>
      <c r="BC306">
        <v>0.55555555555555558</v>
      </c>
      <c r="BD306">
        <v>13.444444444444443</v>
      </c>
      <c r="BE306">
        <v>60.222222222222229</v>
      </c>
      <c r="BF306">
        <v>6.3333333333333339</v>
      </c>
      <c r="BG306">
        <v>11</v>
      </c>
      <c r="BH306">
        <v>11</v>
      </c>
      <c r="BI306">
        <v>-0.55555555555555547</v>
      </c>
      <c r="BJ306">
        <v>15</v>
      </c>
      <c r="BK306">
        <v>15.5</v>
      </c>
      <c r="BL306">
        <v>16</v>
      </c>
      <c r="BM306">
        <v>-1.1472304021323635E-2</v>
      </c>
      <c r="BN306">
        <v>5</v>
      </c>
      <c r="BO306">
        <v>1.8488033389994173E-2</v>
      </c>
      <c r="BP306">
        <v>16</v>
      </c>
      <c r="BQ306">
        <v>-2.6455026455026362E-3</v>
      </c>
      <c r="BR306">
        <v>25</v>
      </c>
      <c r="BS306">
        <v>-1.8888888888888886</v>
      </c>
      <c r="BT306">
        <v>-5.5555555555555545</v>
      </c>
      <c r="BU306">
        <v>3.8888888888888888</v>
      </c>
      <c r="BV306">
        <v>0</v>
      </c>
      <c r="BW306">
        <v>38</v>
      </c>
      <c r="BX306">
        <v>54.222222222222207</v>
      </c>
      <c r="BY306">
        <v>-5.2222222222222188</v>
      </c>
      <c r="BZ306">
        <v>-3.5555555555555554</v>
      </c>
      <c r="CA306">
        <v>-7.4444444444444455</v>
      </c>
      <c r="CB306">
        <v>8</v>
      </c>
      <c r="CC306">
        <v>3.4022222222222225</v>
      </c>
      <c r="CD306">
        <v>3.3626666666666667</v>
      </c>
      <c r="CE306">
        <v>59.444444444444429</v>
      </c>
      <c r="CF306">
        <v>2.2224999999999997</v>
      </c>
    </row>
    <row r="307" spans="1:84" x14ac:dyDescent="0.2">
      <c r="A307" s="19">
        <v>44108</v>
      </c>
      <c r="B307" s="13" t="s">
        <v>417</v>
      </c>
      <c r="C307" s="41" t="s">
        <v>287</v>
      </c>
      <c r="D307" s="14" t="s">
        <v>284</v>
      </c>
      <c r="E307">
        <v>14.2</v>
      </c>
      <c r="F307">
        <v>14.2</v>
      </c>
      <c r="G307">
        <v>12.3</v>
      </c>
      <c r="H307">
        <v>5.9</v>
      </c>
      <c r="I307">
        <v>7</v>
      </c>
      <c r="J307">
        <v>42</v>
      </c>
      <c r="L307" t="s">
        <v>287</v>
      </c>
      <c r="M307">
        <v>10</v>
      </c>
      <c r="N307">
        <v>0.99111111111110917</v>
      </c>
      <c r="O307">
        <v>-0.48888888888889004</v>
      </c>
      <c r="P307">
        <v>13.111111111111107</v>
      </c>
      <c r="Q307">
        <v>0.44444444444444436</v>
      </c>
      <c r="R307">
        <v>4.7888888888888896</v>
      </c>
      <c r="S307">
        <v>37.444444444444443</v>
      </c>
      <c r="T307">
        <v>4.6666666666666679</v>
      </c>
      <c r="U307">
        <v>10</v>
      </c>
      <c r="V307">
        <v>10.5</v>
      </c>
      <c r="W307">
        <v>0.3333333333333332</v>
      </c>
      <c r="X307">
        <v>15</v>
      </c>
      <c r="Y307">
        <v>15.5</v>
      </c>
      <c r="Z307">
        <v>5</v>
      </c>
      <c r="AA307">
        <v>7.6537664607937428E-2</v>
      </c>
      <c r="AB307">
        <v>20</v>
      </c>
      <c r="AC307">
        <v>-3.1443063819370787E-3</v>
      </c>
      <c r="AD307">
        <v>28</v>
      </c>
      <c r="AE307">
        <v>0.13236850295673822</v>
      </c>
      <c r="AF307">
        <v>9</v>
      </c>
      <c r="AG307">
        <v>1.8888888888888893</v>
      </c>
      <c r="AH307">
        <v>7.4444444444444402</v>
      </c>
      <c r="AI307">
        <v>-5.7777777777777786</v>
      </c>
      <c r="AJ307">
        <v>-0.77777777777777779</v>
      </c>
      <c r="AK307">
        <v>48.666666666666664</v>
      </c>
      <c r="AL307">
        <v>49.777777777777771</v>
      </c>
      <c r="AM307">
        <v>9.7777777777777715</v>
      </c>
      <c r="AN307">
        <v>1.1111111111111114</v>
      </c>
      <c r="AO307">
        <v>-12</v>
      </c>
      <c r="AP307">
        <v>15</v>
      </c>
      <c r="AQ307">
        <v>1.4799999999999991</v>
      </c>
      <c r="AR307">
        <v>1.4004444444444446</v>
      </c>
      <c r="AS307">
        <v>40</v>
      </c>
      <c r="AT307">
        <v>18</v>
      </c>
      <c r="AU307">
        <v>0.66138888888888858</v>
      </c>
      <c r="AV307">
        <v>-1.5177777777777779</v>
      </c>
      <c r="AW307">
        <v>-2.3638888888888894</v>
      </c>
      <c r="AX307" t="s">
        <v>284</v>
      </c>
      <c r="AY307">
        <v>24</v>
      </c>
      <c r="AZ307">
        <v>-2.8400000000000012</v>
      </c>
      <c r="BA307">
        <v>-3.0555555555555567</v>
      </c>
      <c r="BB307">
        <v>-28.111111111111111</v>
      </c>
      <c r="BC307">
        <v>1.5555555555555558</v>
      </c>
      <c r="BD307">
        <v>1.9666666666666679</v>
      </c>
      <c r="BE307">
        <v>4.444444444444442</v>
      </c>
      <c r="BF307">
        <v>1.7777777777777779</v>
      </c>
      <c r="BG307">
        <v>29</v>
      </c>
      <c r="BH307">
        <v>26.5</v>
      </c>
      <c r="BI307">
        <v>3.1111111111111112</v>
      </c>
      <c r="BJ307">
        <v>1</v>
      </c>
      <c r="BK307">
        <v>9</v>
      </c>
      <c r="BL307">
        <v>8</v>
      </c>
      <c r="BM307">
        <v>2.0100992649445603E-2</v>
      </c>
      <c r="BN307">
        <v>2</v>
      </c>
      <c r="BO307">
        <v>3.9797598263082504E-2</v>
      </c>
      <c r="BP307">
        <v>22</v>
      </c>
      <c r="BQ307">
        <v>7.2857227243192199E-2</v>
      </c>
      <c r="BR307">
        <v>4</v>
      </c>
      <c r="BS307">
        <v>4.333333333333333</v>
      </c>
      <c r="BT307">
        <v>4.2222222222222188</v>
      </c>
      <c r="BU307">
        <v>-3.5555555555555558</v>
      </c>
      <c r="BV307">
        <v>1.5555555555555554</v>
      </c>
      <c r="BW307">
        <v>-27</v>
      </c>
      <c r="BX307">
        <v>-0.88888888888888573</v>
      </c>
      <c r="BY307">
        <v>-29</v>
      </c>
      <c r="BZ307">
        <v>3.7777777777777772</v>
      </c>
      <c r="CA307">
        <v>-0.88888888888888873</v>
      </c>
      <c r="CB307">
        <v>19</v>
      </c>
      <c r="CC307">
        <v>0.2155555555555555</v>
      </c>
      <c r="CD307">
        <v>1.3531111111111118</v>
      </c>
      <c r="CE307">
        <v>28.111111111111114</v>
      </c>
      <c r="CF307">
        <v>-0.67166666666666663</v>
      </c>
    </row>
    <row r="308" spans="1:84" x14ac:dyDescent="0.2">
      <c r="A308" s="19">
        <v>44108</v>
      </c>
      <c r="B308" s="13" t="s">
        <v>417</v>
      </c>
      <c r="C308" s="41" t="s">
        <v>304</v>
      </c>
      <c r="D308" s="14" t="s">
        <v>296</v>
      </c>
      <c r="E308">
        <v>9.6999999999999993</v>
      </c>
      <c r="F308">
        <v>17.7</v>
      </c>
      <c r="G308">
        <v>5.5</v>
      </c>
      <c r="H308">
        <v>5.0999999999999996</v>
      </c>
      <c r="I308">
        <v>-13.5</v>
      </c>
      <c r="J308">
        <v>50.5</v>
      </c>
      <c r="L308" t="s">
        <v>304</v>
      </c>
      <c r="M308">
        <v>28</v>
      </c>
      <c r="N308">
        <v>-3.4</v>
      </c>
      <c r="O308">
        <v>6.6444444444444448</v>
      </c>
      <c r="P308">
        <v>46.777777777777779</v>
      </c>
      <c r="Q308">
        <v>0.11111111111111105</v>
      </c>
      <c r="R308">
        <v>-1.1666666666666685</v>
      </c>
      <c r="S308">
        <v>3.6666666666666652</v>
      </c>
      <c r="T308">
        <v>-5</v>
      </c>
      <c r="U308">
        <v>25</v>
      </c>
      <c r="V308">
        <v>25</v>
      </c>
      <c r="W308">
        <v>-1.6666666666666663</v>
      </c>
      <c r="X308">
        <v>21</v>
      </c>
      <c r="Y308">
        <v>19.5</v>
      </c>
      <c r="Z308">
        <v>27</v>
      </c>
      <c r="AA308">
        <v>-4.9790925681647835E-2</v>
      </c>
      <c r="AB308">
        <v>31</v>
      </c>
      <c r="AC308">
        <v>-2.6638059851833169E-2</v>
      </c>
      <c r="AD308">
        <v>5</v>
      </c>
      <c r="AE308">
        <v>-0.1406084656084656</v>
      </c>
      <c r="AF308">
        <v>15</v>
      </c>
      <c r="AG308">
        <v>0</v>
      </c>
      <c r="AH308">
        <v>1.8888888888888904</v>
      </c>
      <c r="AI308">
        <v>0.88888888888888806</v>
      </c>
      <c r="AJ308">
        <v>-0.22222222222222221</v>
      </c>
      <c r="AK308">
        <v>68.666666666666671</v>
      </c>
      <c r="AL308">
        <v>11.666666666666657</v>
      </c>
      <c r="AM308">
        <v>39.888888888888893</v>
      </c>
      <c r="AN308">
        <v>18</v>
      </c>
      <c r="AO308">
        <v>-0.88888888888888895</v>
      </c>
      <c r="AP308">
        <v>30</v>
      </c>
      <c r="AQ308">
        <v>-10.044444444444444</v>
      </c>
      <c r="AR308">
        <v>-4.235555555555556</v>
      </c>
      <c r="AS308">
        <v>-28.222222222222236</v>
      </c>
      <c r="AT308">
        <v>3</v>
      </c>
      <c r="AU308">
        <v>-1.805555555555588E-2</v>
      </c>
      <c r="AV308">
        <v>-1.2205555555555561</v>
      </c>
      <c r="AW308">
        <v>-1.5533333333333337</v>
      </c>
      <c r="AX308" t="s">
        <v>296</v>
      </c>
      <c r="AY308">
        <v>20</v>
      </c>
      <c r="AZ308">
        <v>-2.0800000000000018</v>
      </c>
      <c r="BA308">
        <v>1.4333333333333331</v>
      </c>
      <c r="BB308">
        <v>-8.2222222222222214</v>
      </c>
      <c r="BC308">
        <v>-0.77777777777777768</v>
      </c>
      <c r="BD308">
        <v>-7.1222222222222236</v>
      </c>
      <c r="BE308">
        <v>-21.888888888888889</v>
      </c>
      <c r="BF308">
        <v>-3.1111111111111116</v>
      </c>
      <c r="BG308">
        <v>9</v>
      </c>
      <c r="BH308">
        <v>8.5</v>
      </c>
      <c r="BI308">
        <v>3.1111111111111112</v>
      </c>
      <c r="BJ308">
        <v>4</v>
      </c>
      <c r="BK308">
        <v>10</v>
      </c>
      <c r="BL308">
        <v>14</v>
      </c>
      <c r="BM308">
        <v>-4.3580942703749974E-3</v>
      </c>
      <c r="BN308">
        <v>8</v>
      </c>
      <c r="BO308">
        <v>1.5620979802266351E-2</v>
      </c>
      <c r="BP308">
        <v>4</v>
      </c>
      <c r="BQ308">
        <v>-0.17460317460317457</v>
      </c>
      <c r="BR308">
        <v>14</v>
      </c>
      <c r="BS308">
        <v>1.4802973661668753E-16</v>
      </c>
      <c r="BT308">
        <v>0</v>
      </c>
      <c r="BU308">
        <v>-0.22222222222222263</v>
      </c>
      <c r="BV308">
        <v>-0.22222222222222221</v>
      </c>
      <c r="BW308">
        <v>-20</v>
      </c>
      <c r="BX308">
        <v>-4.7777777777777812</v>
      </c>
      <c r="BY308">
        <v>-21.555555555555557</v>
      </c>
      <c r="BZ308">
        <v>8.5555555555555554</v>
      </c>
      <c r="CA308">
        <v>-2.2222222222222223</v>
      </c>
      <c r="CB308">
        <v>26</v>
      </c>
      <c r="CC308">
        <v>-3.513333333333335</v>
      </c>
      <c r="CD308">
        <v>-2.5571111111111113</v>
      </c>
      <c r="CE308">
        <v>16.777777777777775</v>
      </c>
      <c r="CF308">
        <v>-0.88777777777777833</v>
      </c>
    </row>
    <row r="309" spans="1:84" x14ac:dyDescent="0.2">
      <c r="A309" s="19">
        <v>44108</v>
      </c>
      <c r="B309" s="13" t="s">
        <v>417</v>
      </c>
      <c r="C309" s="41" t="s">
        <v>293</v>
      </c>
      <c r="D309" s="14" t="s">
        <v>308</v>
      </c>
      <c r="E309">
        <v>24</v>
      </c>
      <c r="F309">
        <v>8.8000000000000007</v>
      </c>
      <c r="G309">
        <v>4.5</v>
      </c>
      <c r="H309">
        <v>2.5</v>
      </c>
      <c r="I309">
        <v>4</v>
      </c>
      <c r="J309">
        <v>55</v>
      </c>
      <c r="L309" t="s">
        <v>293</v>
      </c>
      <c r="M309">
        <v>18</v>
      </c>
      <c r="N309">
        <v>-1.1066666666666662</v>
      </c>
      <c r="O309">
        <v>-1.5777777777777788</v>
      </c>
      <c r="P309">
        <v>-16.555555555555557</v>
      </c>
      <c r="Q309">
        <v>-0.55555555555555558</v>
      </c>
      <c r="R309">
        <v>-3.8333333333333348</v>
      </c>
      <c r="S309">
        <v>-15.888888888888891</v>
      </c>
      <c r="T309">
        <v>-0.66666666666666674</v>
      </c>
      <c r="U309">
        <v>22</v>
      </c>
      <c r="V309">
        <v>19.5</v>
      </c>
      <c r="W309">
        <v>1.1111111111111112</v>
      </c>
      <c r="X309">
        <v>22</v>
      </c>
      <c r="Y309">
        <v>19.75</v>
      </c>
      <c r="Z309">
        <v>17</v>
      </c>
      <c r="AA309">
        <v>-1.6666408011144485E-2</v>
      </c>
      <c r="AB309">
        <v>21</v>
      </c>
      <c r="AC309">
        <v>-3.288137667222637E-3</v>
      </c>
      <c r="AD309">
        <v>17</v>
      </c>
      <c r="AE309">
        <v>3.2804232804232801E-2</v>
      </c>
      <c r="AF309">
        <v>24</v>
      </c>
      <c r="AG309">
        <v>-1.5555555555555554</v>
      </c>
      <c r="AH309">
        <v>1.2222222222222239</v>
      </c>
      <c r="AI309">
        <v>-1.8888888888888893</v>
      </c>
      <c r="AJ309">
        <v>0</v>
      </c>
      <c r="AK309">
        <v>-33.444444444444436</v>
      </c>
      <c r="AL309">
        <v>-36.55555555555555</v>
      </c>
      <c r="AM309">
        <v>-4.666666666666667</v>
      </c>
      <c r="AN309">
        <v>0.88888888888888928</v>
      </c>
      <c r="AO309">
        <v>6.8888888888888893</v>
      </c>
      <c r="AP309">
        <v>18</v>
      </c>
      <c r="AQ309">
        <v>0.47111111111111265</v>
      </c>
      <c r="AR309">
        <v>-0.19911111111111046</v>
      </c>
      <c r="AS309">
        <v>-31.888888888888882</v>
      </c>
      <c r="AT309">
        <v>15</v>
      </c>
      <c r="AU309">
        <v>-0.77305555555555561</v>
      </c>
      <c r="AV309">
        <v>0.74166666666666625</v>
      </c>
      <c r="AW309">
        <v>-1.4175000000000004</v>
      </c>
      <c r="AX309" t="s">
        <v>308</v>
      </c>
      <c r="AY309">
        <v>2</v>
      </c>
      <c r="AZ309">
        <v>6.6288888888888868</v>
      </c>
      <c r="BA309">
        <v>-7.4333333333333318</v>
      </c>
      <c r="BB309">
        <v>-43.666666666666671</v>
      </c>
      <c r="BC309">
        <v>1.6666666666666667</v>
      </c>
      <c r="BD309">
        <v>24.788888888888888</v>
      </c>
      <c r="BE309">
        <v>126.1111111111111</v>
      </c>
      <c r="BF309">
        <v>7.8888888888888884</v>
      </c>
      <c r="BG309">
        <v>20</v>
      </c>
      <c r="BH309">
        <v>21</v>
      </c>
      <c r="BI309">
        <v>-2.3333333333333335</v>
      </c>
      <c r="BJ309">
        <v>23</v>
      </c>
      <c r="BK309">
        <v>19</v>
      </c>
      <c r="BL309">
        <v>28</v>
      </c>
      <c r="BM309">
        <v>-4.2695799740484507E-2</v>
      </c>
      <c r="BN309">
        <v>26</v>
      </c>
      <c r="BO309">
        <v>-1.5331582062251501E-2</v>
      </c>
      <c r="BP309">
        <v>17</v>
      </c>
      <c r="BQ309">
        <v>2.535273368606698E-2</v>
      </c>
      <c r="BR309">
        <v>5</v>
      </c>
      <c r="BS309">
        <v>2.7777777777777772</v>
      </c>
      <c r="BT309">
        <v>4</v>
      </c>
      <c r="BU309">
        <v>-1.5555555555555547</v>
      </c>
      <c r="BV309">
        <v>0.77777777777777768</v>
      </c>
      <c r="BW309">
        <v>55.333333333333336</v>
      </c>
      <c r="BX309">
        <v>121.55555555555556</v>
      </c>
      <c r="BY309">
        <v>-58</v>
      </c>
      <c r="BZ309">
        <v>-5.8888888888888893</v>
      </c>
      <c r="CA309">
        <v>-2.333333333333333</v>
      </c>
      <c r="CB309">
        <v>1</v>
      </c>
      <c r="CC309">
        <v>14.062222222222218</v>
      </c>
      <c r="CD309">
        <v>10.000222222222222</v>
      </c>
      <c r="CE309">
        <v>179.55555555555554</v>
      </c>
      <c r="CF309">
        <v>2.9008333333333329</v>
      </c>
    </row>
    <row r="310" spans="1:84" x14ac:dyDescent="0.2">
      <c r="A310" s="19">
        <v>44108</v>
      </c>
      <c r="B310" s="13" t="s">
        <v>417</v>
      </c>
      <c r="C310" s="41" t="s">
        <v>312</v>
      </c>
      <c r="D310" s="14" t="s">
        <v>311</v>
      </c>
      <c r="E310">
        <v>29.2</v>
      </c>
      <c r="F310">
        <v>17.3</v>
      </c>
      <c r="G310">
        <v>0</v>
      </c>
      <c r="H310">
        <v>4.7</v>
      </c>
      <c r="I310">
        <v>3</v>
      </c>
      <c r="J310">
        <v>53</v>
      </c>
      <c r="K310" t="s">
        <v>109</v>
      </c>
      <c r="L310" t="s">
        <v>312</v>
      </c>
      <c r="M310">
        <v>24</v>
      </c>
      <c r="N310">
        <v>-2.3755555555555552</v>
      </c>
      <c r="O310">
        <v>0.9777777777777783</v>
      </c>
      <c r="P310">
        <v>30.000000000000004</v>
      </c>
      <c r="Q310">
        <v>-1.3333333333333333</v>
      </c>
      <c r="R310">
        <v>2.7222222222222228</v>
      </c>
      <c r="S310">
        <v>18.222222222222218</v>
      </c>
      <c r="T310">
        <v>-1</v>
      </c>
      <c r="U310">
        <v>23</v>
      </c>
      <c r="V310">
        <v>21</v>
      </c>
      <c r="W310">
        <v>0.22222222222222218</v>
      </c>
      <c r="X310">
        <v>6</v>
      </c>
      <c r="Y310">
        <v>10.75</v>
      </c>
      <c r="Z310">
        <v>1</v>
      </c>
      <c r="AA310">
        <v>0.11793897647830064</v>
      </c>
      <c r="AB310">
        <v>4</v>
      </c>
      <c r="AC310">
        <v>2.3979094524925176E-2</v>
      </c>
      <c r="AD310">
        <v>24</v>
      </c>
      <c r="AE310">
        <v>7.5617283950617301E-2</v>
      </c>
      <c r="AF310">
        <v>14</v>
      </c>
      <c r="AG310">
        <v>0.11111111111111101</v>
      </c>
      <c r="AH310">
        <v>-5.666666666666667</v>
      </c>
      <c r="AI310">
        <v>2.3333333333333335</v>
      </c>
      <c r="AJ310">
        <v>0</v>
      </c>
      <c r="AK310">
        <v>1.6666666666666572</v>
      </c>
      <c r="AL310">
        <v>-20.222222222222239</v>
      </c>
      <c r="AM310">
        <v>23.666666666666671</v>
      </c>
      <c r="AN310">
        <v>-4.333333333333333</v>
      </c>
      <c r="AO310">
        <v>2.5555555555555567</v>
      </c>
      <c r="AP310">
        <v>23</v>
      </c>
      <c r="AQ310">
        <v>-3.3533333333333335</v>
      </c>
      <c r="AR310">
        <v>-0.41955555555555574</v>
      </c>
      <c r="AS310">
        <v>-43.888888888888914</v>
      </c>
      <c r="AT310">
        <v>10</v>
      </c>
      <c r="AU310">
        <v>2.6666666666666755E-2</v>
      </c>
      <c r="AV310">
        <v>0.79708333333333337</v>
      </c>
      <c r="AW310">
        <v>1.9705555555555558</v>
      </c>
      <c r="AX310" t="s">
        <v>311</v>
      </c>
      <c r="AY310">
        <v>31</v>
      </c>
      <c r="AZ310">
        <v>-5.1222222222222227</v>
      </c>
      <c r="BA310">
        <v>6.344444444444445</v>
      </c>
      <c r="BB310">
        <v>51.444444444444443</v>
      </c>
      <c r="BC310">
        <v>-0.11111111111111072</v>
      </c>
      <c r="BD310">
        <v>-6.3444444444444459</v>
      </c>
      <c r="BE310">
        <v>-34.444444444444443</v>
      </c>
      <c r="BF310">
        <v>-1.0000000000000004</v>
      </c>
      <c r="BG310">
        <v>3</v>
      </c>
      <c r="BH310">
        <v>3.5</v>
      </c>
      <c r="BI310">
        <v>0.33333333333333304</v>
      </c>
      <c r="BJ310">
        <v>29</v>
      </c>
      <c r="BK310">
        <v>23</v>
      </c>
      <c r="BL310">
        <v>27</v>
      </c>
      <c r="BM310">
        <v>-4.0540818987056866E-2</v>
      </c>
      <c r="BN310">
        <v>9</v>
      </c>
      <c r="BO310">
        <v>1.467059263994131E-2</v>
      </c>
      <c r="BP310">
        <v>32</v>
      </c>
      <c r="BQ310">
        <v>0.13750801667468335</v>
      </c>
      <c r="BR310">
        <v>24</v>
      </c>
      <c r="BS310">
        <v>-1.7777777777777779</v>
      </c>
      <c r="BT310">
        <v>3.7777777777777786</v>
      </c>
      <c r="BU310">
        <v>2</v>
      </c>
      <c r="BV310">
        <v>0.55555555555555547</v>
      </c>
      <c r="BW310">
        <v>6.6666666666666856</v>
      </c>
      <c r="BX310">
        <v>-33.777777777777771</v>
      </c>
      <c r="BY310">
        <v>55.222222222222221</v>
      </c>
      <c r="BZ310">
        <v>-2.3333333333333335</v>
      </c>
      <c r="CA310">
        <v>-12.444444444444445</v>
      </c>
      <c r="CB310">
        <v>29</v>
      </c>
      <c r="CC310">
        <v>-11.466666666666669</v>
      </c>
      <c r="CD310">
        <v>-5.4655555555555564</v>
      </c>
      <c r="CE310">
        <v>-89</v>
      </c>
      <c r="CF310">
        <v>-0.37638888888888916</v>
      </c>
    </row>
    <row r="311" spans="1:84" x14ac:dyDescent="0.2">
      <c r="A311" s="19">
        <v>44108</v>
      </c>
      <c r="B311" s="13" t="s">
        <v>417</v>
      </c>
      <c r="C311" s="41" t="s">
        <v>302</v>
      </c>
      <c r="D311" s="14" t="s">
        <v>288</v>
      </c>
      <c r="E311">
        <v>6.5</v>
      </c>
      <c r="F311">
        <v>11.1</v>
      </c>
      <c r="G311">
        <v>13</v>
      </c>
      <c r="H311">
        <v>0</v>
      </c>
      <c r="I311">
        <v>11</v>
      </c>
      <c r="J311">
        <v>49</v>
      </c>
      <c r="L311" t="s">
        <v>302</v>
      </c>
      <c r="M311">
        <v>12</v>
      </c>
      <c r="N311">
        <v>0.5555555555555548</v>
      </c>
      <c r="O311">
        <v>-1.8111111111111118</v>
      </c>
      <c r="P311">
        <v>6.3333333333333286</v>
      </c>
      <c r="Q311">
        <v>-0.55555555555555558</v>
      </c>
      <c r="R311">
        <v>-17.066666666666666</v>
      </c>
      <c r="S311">
        <v>-57.999999999999993</v>
      </c>
      <c r="T311">
        <v>-5.2222222222222223</v>
      </c>
      <c r="U311">
        <v>16</v>
      </c>
      <c r="V311">
        <v>16</v>
      </c>
      <c r="W311">
        <v>6.4444444444444438</v>
      </c>
      <c r="X311">
        <v>23</v>
      </c>
      <c r="Y311">
        <v>20</v>
      </c>
      <c r="Z311">
        <v>29</v>
      </c>
      <c r="AA311">
        <v>-5.5406947066217078E-2</v>
      </c>
      <c r="AB311">
        <v>6</v>
      </c>
      <c r="AC311">
        <v>1.679228615692975E-2</v>
      </c>
      <c r="AD311">
        <v>22</v>
      </c>
      <c r="AE311">
        <v>5.9836459836459834E-2</v>
      </c>
      <c r="AF311">
        <v>23</v>
      </c>
      <c r="AG311">
        <v>-1.4444444444444446</v>
      </c>
      <c r="AH311">
        <v>0.11111111111110954</v>
      </c>
      <c r="AI311">
        <v>-0.88888888888888928</v>
      </c>
      <c r="AJ311">
        <v>3.1111111111111107</v>
      </c>
      <c r="AK311">
        <v>-28.111111111111104</v>
      </c>
      <c r="AL311">
        <v>-85.000000000000014</v>
      </c>
      <c r="AM311">
        <v>28.555555555555554</v>
      </c>
      <c r="AN311">
        <v>6.333333333333333</v>
      </c>
      <c r="AO311">
        <v>22</v>
      </c>
      <c r="AP311">
        <v>12</v>
      </c>
      <c r="AQ311">
        <v>2.3666666666666663</v>
      </c>
      <c r="AR311">
        <v>-2.3966666666666665</v>
      </c>
      <c r="AS311">
        <v>-113.55555555555557</v>
      </c>
      <c r="AT311">
        <v>21</v>
      </c>
      <c r="AU311">
        <v>-2.3736111111111113</v>
      </c>
      <c r="AV311">
        <v>-1.5366666666666668</v>
      </c>
      <c r="AW311">
        <v>-2.6822222222222223</v>
      </c>
      <c r="AX311" t="s">
        <v>288</v>
      </c>
      <c r="AY311">
        <v>10</v>
      </c>
      <c r="AZ311">
        <v>2.1044444444444452</v>
      </c>
      <c r="BA311">
        <v>1.0111111111111115</v>
      </c>
      <c r="BB311">
        <v>9.5555555555555554</v>
      </c>
      <c r="BC311">
        <v>0.55555555555555602</v>
      </c>
      <c r="BD311">
        <v>-4.3555555555555578</v>
      </c>
      <c r="BE311">
        <v>-38.000000000000007</v>
      </c>
      <c r="BF311">
        <v>-0.33333333333333359</v>
      </c>
      <c r="BG311">
        <v>26</v>
      </c>
      <c r="BH311">
        <v>26</v>
      </c>
      <c r="BI311">
        <v>-3.3333333333333335</v>
      </c>
      <c r="BJ311">
        <v>18</v>
      </c>
      <c r="BK311">
        <v>16.75</v>
      </c>
      <c r="BL311">
        <v>29</v>
      </c>
      <c r="BM311">
        <v>-4.4349687695366215E-2</v>
      </c>
      <c r="BN311">
        <v>13</v>
      </c>
      <c r="BO311">
        <v>3.8055313564464544E-3</v>
      </c>
      <c r="BP311">
        <v>9</v>
      </c>
      <c r="BQ311">
        <v>-8.2762734723519027E-2</v>
      </c>
      <c r="BR311">
        <v>16</v>
      </c>
      <c r="BS311">
        <v>-0.22222222222222188</v>
      </c>
      <c r="BT311">
        <v>0.88888888888888806</v>
      </c>
      <c r="BU311">
        <v>-3</v>
      </c>
      <c r="BV311">
        <v>0.77777777777777768</v>
      </c>
      <c r="BW311">
        <v>-2</v>
      </c>
      <c r="BX311">
        <v>-27</v>
      </c>
      <c r="BY311">
        <v>10.555555555555559</v>
      </c>
      <c r="BZ311">
        <v>1.7777777777777779</v>
      </c>
      <c r="CA311">
        <v>12.666666666666666</v>
      </c>
      <c r="CB311">
        <v>17</v>
      </c>
      <c r="CC311">
        <v>1.0933333333333337</v>
      </c>
      <c r="CD311">
        <v>-0.95577777777777828</v>
      </c>
      <c r="CE311">
        <v>-37.555555555555557</v>
      </c>
      <c r="CF311">
        <v>-0.3911111111111113</v>
      </c>
    </row>
    <row r="312" spans="1:84" x14ac:dyDescent="0.2">
      <c r="A312" s="19">
        <v>44108</v>
      </c>
      <c r="B312" s="13" t="s">
        <v>417</v>
      </c>
      <c r="C312" s="41" t="s">
        <v>307</v>
      </c>
      <c r="D312" s="14" t="s">
        <v>299</v>
      </c>
      <c r="E312">
        <v>21.4</v>
      </c>
      <c r="F312">
        <v>15.3</v>
      </c>
      <c r="G312">
        <v>3</v>
      </c>
      <c r="H312">
        <v>1.7</v>
      </c>
      <c r="I312">
        <v>-3</v>
      </c>
      <c r="J312">
        <v>51.5</v>
      </c>
      <c r="L312" t="s">
        <v>307</v>
      </c>
      <c r="M312">
        <v>7</v>
      </c>
      <c r="N312">
        <v>1.5666666666666675</v>
      </c>
      <c r="O312">
        <v>8.1777777777777771</v>
      </c>
      <c r="P312">
        <v>5.3333333333333348</v>
      </c>
      <c r="Q312">
        <v>2.3333333333333335</v>
      </c>
      <c r="R312">
        <v>-6.1777777777777771</v>
      </c>
      <c r="S312">
        <v>-41.111111111111114</v>
      </c>
      <c r="T312">
        <v>-2.333333333333333</v>
      </c>
      <c r="U312">
        <v>8</v>
      </c>
      <c r="V312">
        <v>9</v>
      </c>
      <c r="W312">
        <v>2.4444444444444446</v>
      </c>
      <c r="X312">
        <v>32</v>
      </c>
      <c r="Y312">
        <v>30.25</v>
      </c>
      <c r="Z312">
        <v>30</v>
      </c>
      <c r="AA312">
        <v>-6.2143389889660172E-2</v>
      </c>
      <c r="AB312">
        <v>30</v>
      </c>
      <c r="AC312">
        <v>-2.2988628342094367E-2</v>
      </c>
      <c r="AD312">
        <v>30</v>
      </c>
      <c r="AE312">
        <v>0.1377104377104377</v>
      </c>
      <c r="AF312">
        <v>31</v>
      </c>
      <c r="AG312">
        <v>-4.666666666666667</v>
      </c>
      <c r="AH312">
        <v>-1.3333333333333357</v>
      </c>
      <c r="AI312">
        <v>2.3333333333333335</v>
      </c>
      <c r="AJ312">
        <v>0.77777777777777757</v>
      </c>
      <c r="AK312">
        <v>-3.555555555555562</v>
      </c>
      <c r="AL312">
        <v>7.3333333333333242</v>
      </c>
      <c r="AM312">
        <v>-4.8888888888888902</v>
      </c>
      <c r="AN312">
        <v>-0.33333333333333331</v>
      </c>
      <c r="AO312">
        <v>-5.666666666666667</v>
      </c>
      <c r="AP312">
        <v>28</v>
      </c>
      <c r="AQ312">
        <v>-6.6111111111111089</v>
      </c>
      <c r="AR312">
        <v>-5.0111111111111111</v>
      </c>
      <c r="AS312">
        <v>12.222222222222214</v>
      </c>
      <c r="AT312">
        <v>5</v>
      </c>
      <c r="AU312">
        <v>0.68194444444444469</v>
      </c>
      <c r="AV312">
        <v>-0.669027777777778</v>
      </c>
      <c r="AW312">
        <v>-0.65750000000000064</v>
      </c>
      <c r="AX312" t="s">
        <v>299</v>
      </c>
      <c r="AY312">
        <v>25</v>
      </c>
      <c r="AZ312">
        <v>-2.9333333333333336</v>
      </c>
      <c r="BA312">
        <v>4.8000000000000007</v>
      </c>
      <c r="BB312">
        <v>38.555555555555557</v>
      </c>
      <c r="BC312">
        <v>-1.1111111111111109</v>
      </c>
      <c r="BD312">
        <v>-7.0888888888888886</v>
      </c>
      <c r="BE312">
        <v>-28.333333333333339</v>
      </c>
      <c r="BF312">
        <v>-3.1111111111111116</v>
      </c>
      <c r="BG312">
        <v>20</v>
      </c>
      <c r="BH312">
        <v>21</v>
      </c>
      <c r="BI312">
        <v>-0.11111111111111101</v>
      </c>
      <c r="BJ312">
        <v>26</v>
      </c>
      <c r="BK312">
        <v>21.5</v>
      </c>
      <c r="BL312">
        <v>19</v>
      </c>
      <c r="BM312">
        <v>-1.9809122225902892E-2</v>
      </c>
      <c r="BN312">
        <v>24</v>
      </c>
      <c r="BO312">
        <v>-1.2486232588071772E-2</v>
      </c>
      <c r="BP312">
        <v>25</v>
      </c>
      <c r="BQ312">
        <v>9.4708994708994701E-2</v>
      </c>
      <c r="BR312">
        <v>18</v>
      </c>
      <c r="BS312">
        <v>-0.55555555555555547</v>
      </c>
      <c r="BT312">
        <v>-4.4444444444444429</v>
      </c>
      <c r="BU312">
        <v>-1</v>
      </c>
      <c r="BV312">
        <v>1.3333333333333333</v>
      </c>
      <c r="BW312">
        <v>0.66666666666666663</v>
      </c>
      <c r="BX312">
        <v>-18.333333333333343</v>
      </c>
      <c r="BY312">
        <v>35</v>
      </c>
      <c r="BZ312">
        <v>-5</v>
      </c>
      <c r="CA312">
        <v>-11</v>
      </c>
      <c r="CB312">
        <v>27</v>
      </c>
      <c r="CC312">
        <v>-7.7333333333333343</v>
      </c>
      <c r="CD312">
        <v>-4.4044444444444455</v>
      </c>
      <c r="CE312">
        <v>-53.333333333333343</v>
      </c>
      <c r="CF312">
        <v>-0.68055555555555547</v>
      </c>
    </row>
    <row r="313" spans="1:84" x14ac:dyDescent="0.2">
      <c r="A313" s="19">
        <v>44108</v>
      </c>
      <c r="B313" s="13" t="s">
        <v>417</v>
      </c>
      <c r="C313" s="41" t="s">
        <v>296</v>
      </c>
      <c r="D313" s="14" t="s">
        <v>304</v>
      </c>
      <c r="E313">
        <v>7.8</v>
      </c>
      <c r="F313">
        <v>6</v>
      </c>
      <c r="G313">
        <v>6.4</v>
      </c>
      <c r="H313">
        <v>9.5</v>
      </c>
      <c r="I313">
        <v>13.5</v>
      </c>
      <c r="J313">
        <v>50.5</v>
      </c>
      <c r="L313" t="s">
        <v>296</v>
      </c>
      <c r="M313">
        <v>27</v>
      </c>
      <c r="N313">
        <v>-3.1377777777777776</v>
      </c>
      <c r="O313">
        <v>-5.4333333333333336</v>
      </c>
      <c r="P313">
        <v>-42.666666666666664</v>
      </c>
      <c r="Q313">
        <v>1.2222222222222223</v>
      </c>
      <c r="R313">
        <v>-5.3000000000000007</v>
      </c>
      <c r="S313">
        <v>-26.777777777777779</v>
      </c>
      <c r="T313">
        <v>-1.5555555555555558</v>
      </c>
      <c r="U313">
        <v>17</v>
      </c>
      <c r="V313">
        <v>17</v>
      </c>
      <c r="W313">
        <v>1.4802973661668753E-16</v>
      </c>
      <c r="X313">
        <v>7</v>
      </c>
      <c r="Y313">
        <v>11</v>
      </c>
      <c r="Z313">
        <v>9</v>
      </c>
      <c r="AA313">
        <v>3.3902903521176364E-2</v>
      </c>
      <c r="AB313">
        <v>18</v>
      </c>
      <c r="AC313">
        <v>-1.2498938969527178E-3</v>
      </c>
      <c r="AD313">
        <v>13</v>
      </c>
      <c r="AE313">
        <v>-6.9688109161793283E-3</v>
      </c>
      <c r="AF313">
        <v>4</v>
      </c>
      <c r="AG313">
        <v>3.1111111111111112</v>
      </c>
      <c r="AH313">
        <v>-5.1111111111111098</v>
      </c>
      <c r="AI313">
        <v>-5.7777777777777786</v>
      </c>
      <c r="AJ313">
        <v>0</v>
      </c>
      <c r="AK313">
        <v>-49.222222222222229</v>
      </c>
      <c r="AL313">
        <v>-9.5555555555555625</v>
      </c>
      <c r="AM313">
        <v>-43.55555555555555</v>
      </c>
      <c r="AN313">
        <v>-1.7777777777777777</v>
      </c>
      <c r="AO313">
        <v>5.666666666666667</v>
      </c>
      <c r="AP313">
        <v>13</v>
      </c>
      <c r="AQ313">
        <v>2.2955555555555565</v>
      </c>
      <c r="AR313">
        <v>1.0291111111111111</v>
      </c>
      <c r="AS313">
        <v>33.999999999999986</v>
      </c>
      <c r="AT313">
        <v>20</v>
      </c>
      <c r="AU313">
        <v>-1.6783333333333337</v>
      </c>
      <c r="AV313">
        <v>-1.2205555555555561</v>
      </c>
      <c r="AW313">
        <v>-0.88777777777777833</v>
      </c>
      <c r="AX313" t="s">
        <v>304</v>
      </c>
      <c r="AY313">
        <v>32</v>
      </c>
      <c r="AZ313">
        <v>-5.660000000000001</v>
      </c>
      <c r="BA313">
        <v>5.8555555555555561</v>
      </c>
      <c r="BB313">
        <v>21.999999999999996</v>
      </c>
      <c r="BC313">
        <v>-0.22222222222222221</v>
      </c>
      <c r="BD313">
        <v>-10.4</v>
      </c>
      <c r="BE313">
        <v>-55.333333333333329</v>
      </c>
      <c r="BF313">
        <v>-3.9999999999999996</v>
      </c>
      <c r="BG313">
        <v>30</v>
      </c>
      <c r="BH313">
        <v>28</v>
      </c>
      <c r="BI313">
        <v>0</v>
      </c>
      <c r="BJ313">
        <v>6</v>
      </c>
      <c r="BK313">
        <v>11.75</v>
      </c>
      <c r="BL313">
        <v>5</v>
      </c>
      <c r="BM313">
        <v>4.6681638269181362E-2</v>
      </c>
      <c r="BN313">
        <v>14</v>
      </c>
      <c r="BO313">
        <v>2.1063533753734598E-3</v>
      </c>
      <c r="BP313">
        <v>6</v>
      </c>
      <c r="BQ313">
        <v>-0.11502201502201503</v>
      </c>
      <c r="BR313">
        <v>22</v>
      </c>
      <c r="BS313">
        <v>-1.6666666666666663</v>
      </c>
      <c r="BT313">
        <v>-6.8888888888888902</v>
      </c>
      <c r="BU313">
        <v>-3</v>
      </c>
      <c r="BV313">
        <v>0</v>
      </c>
      <c r="BW313">
        <v>-43.888888888888893</v>
      </c>
      <c r="BX313">
        <v>-56.222222222222221</v>
      </c>
      <c r="BY313">
        <v>23.555555555555557</v>
      </c>
      <c r="BZ313">
        <v>0.44444444444444448</v>
      </c>
      <c r="CA313">
        <v>-11.666666666666666</v>
      </c>
      <c r="CB313">
        <v>30</v>
      </c>
      <c r="CC313">
        <v>-11.515555555555558</v>
      </c>
      <c r="CD313">
        <v>-6.1397777777777787</v>
      </c>
      <c r="CE313">
        <v>-79.777777777777771</v>
      </c>
      <c r="CF313">
        <v>-1.5533333333333337</v>
      </c>
    </row>
    <row r="314" spans="1:84" x14ac:dyDescent="0.2">
      <c r="A314" s="19">
        <v>44108</v>
      </c>
      <c r="B314" s="13" t="s">
        <v>417</v>
      </c>
      <c r="C314" s="41" t="s">
        <v>298</v>
      </c>
      <c r="D314" s="14" t="s">
        <v>278</v>
      </c>
      <c r="E314">
        <v>20.399999999999999</v>
      </c>
      <c r="F314">
        <v>15.1</v>
      </c>
      <c r="G314">
        <v>6.3</v>
      </c>
      <c r="H314">
        <v>2.1</v>
      </c>
      <c r="I314">
        <v>-1.5</v>
      </c>
      <c r="J314">
        <v>41</v>
      </c>
      <c r="L314" t="s">
        <v>298</v>
      </c>
      <c r="M314">
        <v>29</v>
      </c>
      <c r="N314">
        <v>-4.522222222222223</v>
      </c>
      <c r="O314">
        <v>-2.4222222222222225</v>
      </c>
      <c r="P314">
        <v>-11.555555555555555</v>
      </c>
      <c r="Q314">
        <v>-0.44444444444444453</v>
      </c>
      <c r="R314">
        <v>-5.0666666666666691</v>
      </c>
      <c r="S314">
        <v>-26.666666666666671</v>
      </c>
      <c r="T314">
        <v>0.99999999999999967</v>
      </c>
      <c r="U314">
        <v>29</v>
      </c>
      <c r="V314">
        <v>29</v>
      </c>
      <c r="W314">
        <v>0.22222222222222232</v>
      </c>
      <c r="X314">
        <v>3</v>
      </c>
      <c r="Y314">
        <v>9</v>
      </c>
      <c r="Z314">
        <v>3</v>
      </c>
      <c r="AA314">
        <v>8.8272499293459428E-2</v>
      </c>
      <c r="AB314">
        <v>13</v>
      </c>
      <c r="AC314">
        <v>3.1940725990759755E-3</v>
      </c>
      <c r="AD314">
        <v>18</v>
      </c>
      <c r="AE314">
        <v>4.0211640211640275E-2</v>
      </c>
      <c r="AF314">
        <v>2</v>
      </c>
      <c r="AG314">
        <v>4</v>
      </c>
      <c r="AH314">
        <v>2.7777777777777786</v>
      </c>
      <c r="AI314">
        <v>-6.333333333333333</v>
      </c>
      <c r="AJ314">
        <v>0</v>
      </c>
      <c r="AK314">
        <v>-41.44444444444445</v>
      </c>
      <c r="AL314">
        <v>-24.444444444444446</v>
      </c>
      <c r="AM314">
        <v>-2.7777777777777786</v>
      </c>
      <c r="AN314">
        <v>-1.7777777777777779</v>
      </c>
      <c r="AO314">
        <v>-12.444444444444445</v>
      </c>
      <c r="AP314">
        <v>20</v>
      </c>
      <c r="AQ314">
        <v>-2.1000000000000005</v>
      </c>
      <c r="AR314">
        <v>-0.70666666666666722</v>
      </c>
      <c r="AS314">
        <v>-21.666666666666668</v>
      </c>
      <c r="AT314">
        <v>13</v>
      </c>
      <c r="AU314">
        <v>-1.8069444444444449</v>
      </c>
      <c r="AV314">
        <v>-0.58013888888888898</v>
      </c>
      <c r="AW314">
        <v>-1.1183333333333336</v>
      </c>
      <c r="AX314" t="s">
        <v>278</v>
      </c>
      <c r="AY314">
        <v>13</v>
      </c>
      <c r="AZ314">
        <v>1.453333333333332</v>
      </c>
      <c r="BA314">
        <v>-3.3111111111111109</v>
      </c>
      <c r="BB314">
        <v>-11.333333333333332</v>
      </c>
      <c r="BC314">
        <v>-0.11111111111111097</v>
      </c>
      <c r="BD314">
        <v>5.18888888888889</v>
      </c>
      <c r="BE314">
        <v>22.44444444444445</v>
      </c>
      <c r="BF314">
        <v>3.7777777777777772</v>
      </c>
      <c r="BG314">
        <v>26</v>
      </c>
      <c r="BH314">
        <v>26</v>
      </c>
      <c r="BI314">
        <v>3</v>
      </c>
      <c r="BJ314">
        <v>18</v>
      </c>
      <c r="BK314">
        <v>16.75</v>
      </c>
      <c r="BL314">
        <v>20</v>
      </c>
      <c r="BM314">
        <v>-2.0986275593321658E-2</v>
      </c>
      <c r="BN314">
        <v>17</v>
      </c>
      <c r="BO314">
        <v>-5.8957703944153769E-3</v>
      </c>
      <c r="BP314">
        <v>13</v>
      </c>
      <c r="BQ314">
        <v>-3.5582010582010604E-2</v>
      </c>
      <c r="BR314">
        <v>17</v>
      </c>
      <c r="BS314">
        <v>-0.22222222222222232</v>
      </c>
      <c r="BT314">
        <v>2.2222222222222214</v>
      </c>
      <c r="BU314">
        <v>-4.4444444444444455</v>
      </c>
      <c r="BV314">
        <v>0.88888888888888895</v>
      </c>
      <c r="BW314">
        <v>9.1111111111111054</v>
      </c>
      <c r="BX314">
        <v>25.777777777777771</v>
      </c>
      <c r="BY314">
        <v>-11.77777777777778</v>
      </c>
      <c r="BZ314">
        <v>-3.5555555555555554</v>
      </c>
      <c r="CA314">
        <v>-1.333333333333333</v>
      </c>
      <c r="CB314">
        <v>6</v>
      </c>
      <c r="CC314">
        <v>4.7644444444444431</v>
      </c>
      <c r="CD314">
        <v>2.984</v>
      </c>
      <c r="CE314">
        <v>37.55555555555555</v>
      </c>
      <c r="CF314">
        <v>-4.1944444444444451E-2</v>
      </c>
    </row>
    <row r="315" spans="1:84" x14ac:dyDescent="0.2">
      <c r="A315" s="19">
        <v>44108</v>
      </c>
      <c r="B315" s="13" t="s">
        <v>417</v>
      </c>
      <c r="C315" s="41" t="s">
        <v>294</v>
      </c>
      <c r="D315" s="14" t="s">
        <v>256</v>
      </c>
      <c r="E315">
        <v>7.8</v>
      </c>
      <c r="F315">
        <v>13.7</v>
      </c>
      <c r="G315">
        <v>4.2</v>
      </c>
      <c r="H315">
        <v>6.9</v>
      </c>
      <c r="I315">
        <v>8</v>
      </c>
      <c r="J315">
        <v>45.5</v>
      </c>
      <c r="L315" t="s">
        <v>294</v>
      </c>
      <c r="M315">
        <v>22</v>
      </c>
      <c r="N315">
        <v>-2.0977777777777784</v>
      </c>
      <c r="O315">
        <v>-8.033333333333335</v>
      </c>
      <c r="P315">
        <v>-27.888888888888886</v>
      </c>
      <c r="Q315">
        <v>1.9999999999999996</v>
      </c>
      <c r="R315">
        <v>0.41111111111111054</v>
      </c>
      <c r="S315">
        <v>-4.5555555555555571</v>
      </c>
      <c r="T315">
        <v>2.5555555555555558</v>
      </c>
      <c r="U315">
        <v>13</v>
      </c>
      <c r="V315">
        <v>14</v>
      </c>
      <c r="W315">
        <v>-2.5555555555555554</v>
      </c>
      <c r="X315">
        <v>13</v>
      </c>
      <c r="Y315">
        <v>14.75</v>
      </c>
      <c r="Z315">
        <v>31</v>
      </c>
      <c r="AA315">
        <v>-6.9097356808255114E-2</v>
      </c>
      <c r="AB315">
        <v>8</v>
      </c>
      <c r="AC315">
        <v>8.4739776531842208E-3</v>
      </c>
      <c r="AD315">
        <v>19</v>
      </c>
      <c r="AE315">
        <v>4.163799163799161E-2</v>
      </c>
      <c r="AF315">
        <v>1</v>
      </c>
      <c r="AG315">
        <v>4.8888888888888884</v>
      </c>
      <c r="AH315">
        <v>5.8888888888888902</v>
      </c>
      <c r="AI315">
        <v>-5.4444444444444455</v>
      </c>
      <c r="AJ315">
        <v>0</v>
      </c>
      <c r="AK315">
        <v>-22.333333333333332</v>
      </c>
      <c r="AL315">
        <v>3.1111111111111049</v>
      </c>
      <c r="AM315">
        <v>-28.111111111111114</v>
      </c>
      <c r="AN315">
        <v>-2.4444444444444442</v>
      </c>
      <c r="AO315">
        <v>5.1111111111111134</v>
      </c>
      <c r="AP315">
        <v>6</v>
      </c>
      <c r="AQ315">
        <v>5.9355555555555561</v>
      </c>
      <c r="AR315">
        <v>3.679333333333334</v>
      </c>
      <c r="AS315">
        <v>31.222222222222218</v>
      </c>
      <c r="AT315">
        <v>27</v>
      </c>
      <c r="AU315">
        <v>-1.1872222222222226</v>
      </c>
      <c r="AV315">
        <v>0.13583333333333325</v>
      </c>
      <c r="AW315">
        <v>0.74972222222222185</v>
      </c>
      <c r="AX315" t="s">
        <v>256</v>
      </c>
      <c r="AY315">
        <v>19</v>
      </c>
      <c r="AZ315">
        <v>-1.4911111111111104</v>
      </c>
      <c r="BA315">
        <v>-1.2111111111111117</v>
      </c>
      <c r="BB315">
        <v>0.55555555555555669</v>
      </c>
      <c r="BC315">
        <v>0</v>
      </c>
      <c r="BD315">
        <v>-3.1222222222222205</v>
      </c>
      <c r="BE315">
        <v>-3.5555555555555545</v>
      </c>
      <c r="BF315">
        <v>1.4444444444444444</v>
      </c>
      <c r="BG315">
        <v>3</v>
      </c>
      <c r="BH315">
        <v>3.5</v>
      </c>
      <c r="BI315">
        <v>-1.8888888888888884</v>
      </c>
      <c r="BJ315">
        <v>29</v>
      </c>
      <c r="BK315">
        <v>23</v>
      </c>
      <c r="BL315">
        <v>22</v>
      </c>
      <c r="BM315">
        <v>-2.2446448277913977E-2</v>
      </c>
      <c r="BN315">
        <v>27</v>
      </c>
      <c r="BO315">
        <v>-1.8283839374762138E-2</v>
      </c>
      <c r="BP315">
        <v>14</v>
      </c>
      <c r="BQ315">
        <v>-2.6851851851851904E-2</v>
      </c>
      <c r="BR315">
        <v>29</v>
      </c>
      <c r="BS315">
        <v>-2.5555555555555554</v>
      </c>
      <c r="BT315">
        <v>-1.2222222222222214</v>
      </c>
      <c r="BU315">
        <v>-1.555555555555556</v>
      </c>
      <c r="BV315">
        <v>0</v>
      </c>
      <c r="BW315">
        <v>-13.111111111111123</v>
      </c>
      <c r="BX315">
        <v>-31.444444444444446</v>
      </c>
      <c r="BY315">
        <v>1.0000000000000036</v>
      </c>
      <c r="BZ315">
        <v>2.3333333333333335</v>
      </c>
      <c r="CA315">
        <v>15</v>
      </c>
      <c r="CB315">
        <v>21</v>
      </c>
      <c r="CC315">
        <v>-0.27999999999999869</v>
      </c>
      <c r="CD315">
        <v>-0.31711111111111023</v>
      </c>
      <c r="CE315">
        <v>-32.44444444444445</v>
      </c>
      <c r="CF315">
        <v>-0.47805555555555534</v>
      </c>
    </row>
    <row r="316" spans="1:84" x14ac:dyDescent="0.2">
      <c r="A316" s="19">
        <v>44108</v>
      </c>
      <c r="B316" s="14" t="s">
        <v>417</v>
      </c>
      <c r="C316" s="40" t="s">
        <v>256</v>
      </c>
      <c r="D316" s="14" t="s">
        <v>294</v>
      </c>
      <c r="E316">
        <v>13.6</v>
      </c>
      <c r="F316">
        <v>7.5</v>
      </c>
      <c r="G316">
        <v>6.3</v>
      </c>
      <c r="H316">
        <v>43.1</v>
      </c>
      <c r="I316">
        <v>-8</v>
      </c>
      <c r="J316">
        <v>45.5</v>
      </c>
      <c r="L316" t="s">
        <v>256</v>
      </c>
      <c r="M316">
        <v>14</v>
      </c>
      <c r="N316">
        <v>-0.51333333333333364</v>
      </c>
      <c r="O316">
        <v>9.3222222222222211</v>
      </c>
      <c r="P316">
        <v>-6.8888888888888911</v>
      </c>
      <c r="Q316">
        <v>1.3333333333333335</v>
      </c>
      <c r="R316">
        <v>-4.7666666666666639</v>
      </c>
      <c r="S316">
        <v>-27.444444444444443</v>
      </c>
      <c r="T316">
        <v>-1.8888888888888886</v>
      </c>
      <c r="U316">
        <v>15</v>
      </c>
      <c r="V316">
        <v>15</v>
      </c>
      <c r="W316">
        <v>-2.5555555555555554</v>
      </c>
      <c r="X316">
        <v>20</v>
      </c>
      <c r="Y316">
        <v>18.25</v>
      </c>
      <c r="Z316">
        <v>6</v>
      </c>
      <c r="AA316">
        <v>4.4232029008593077E-2</v>
      </c>
      <c r="AB316">
        <v>12</v>
      </c>
      <c r="AC316">
        <v>3.7081024502408238E-3</v>
      </c>
      <c r="AD316">
        <v>29</v>
      </c>
      <c r="AE316">
        <v>0.13703703703703701</v>
      </c>
      <c r="AF316">
        <v>26</v>
      </c>
      <c r="AG316">
        <v>-1.8888888888888884</v>
      </c>
      <c r="AH316">
        <v>-0.33333333333333098</v>
      </c>
      <c r="AI316">
        <v>4.7777777777777786</v>
      </c>
      <c r="AJ316">
        <v>-1.7777777777777777</v>
      </c>
      <c r="AK316">
        <v>26.444444444444439</v>
      </c>
      <c r="AL316">
        <v>16.666666666666668</v>
      </c>
      <c r="AM316">
        <v>14.888888888888886</v>
      </c>
      <c r="AN316">
        <v>3.0000000000000004</v>
      </c>
      <c r="AO316">
        <v>-8.1111111111111107</v>
      </c>
      <c r="AP316">
        <v>29</v>
      </c>
      <c r="AQ316">
        <v>-9.8355555555555547</v>
      </c>
      <c r="AR316">
        <v>-5.7171111111111106</v>
      </c>
      <c r="AS316">
        <v>1.7777777777777821</v>
      </c>
      <c r="AT316">
        <v>4</v>
      </c>
      <c r="AU316">
        <v>0.69972222222222236</v>
      </c>
      <c r="AV316">
        <v>0.13583333333333325</v>
      </c>
      <c r="AW316">
        <v>-0.47805555555555534</v>
      </c>
      <c r="AX316" t="s">
        <v>294</v>
      </c>
      <c r="AY316">
        <v>12</v>
      </c>
      <c r="AZ316">
        <v>1.7644444444444438</v>
      </c>
      <c r="BA316">
        <v>-0.29999999999999932</v>
      </c>
      <c r="BB316">
        <v>-7.1111111111111089</v>
      </c>
      <c r="BC316">
        <v>-1.6666666666666665</v>
      </c>
      <c r="BD316">
        <v>2.6444444444444417</v>
      </c>
      <c r="BE316">
        <v>-14.77777777777778</v>
      </c>
      <c r="BF316">
        <v>-2</v>
      </c>
      <c r="BG316">
        <v>8</v>
      </c>
      <c r="BH316">
        <v>8</v>
      </c>
      <c r="BI316">
        <v>4.8888888888888884</v>
      </c>
      <c r="BJ316">
        <v>16</v>
      </c>
      <c r="BK316">
        <v>16</v>
      </c>
      <c r="BL316">
        <v>4</v>
      </c>
      <c r="BM316">
        <v>7.6389618745328694E-2</v>
      </c>
      <c r="BN316">
        <v>7</v>
      </c>
      <c r="BO316">
        <v>1.8193073814911771E-2</v>
      </c>
      <c r="BP316">
        <v>24</v>
      </c>
      <c r="BQ316">
        <v>7.9955229955229953E-2</v>
      </c>
      <c r="BR316">
        <v>29</v>
      </c>
      <c r="BS316">
        <v>-2.5555555555555554</v>
      </c>
      <c r="BT316">
        <v>-0.11111111111110954</v>
      </c>
      <c r="BU316">
        <v>4.8888888888888884</v>
      </c>
      <c r="BV316">
        <v>0</v>
      </c>
      <c r="BW316">
        <v>-14.222222222222229</v>
      </c>
      <c r="BX316">
        <v>-4.2222222222222383</v>
      </c>
      <c r="BY316">
        <v>-6.1111111111111098</v>
      </c>
      <c r="BZ316">
        <v>0.11111111111111131</v>
      </c>
      <c r="CA316">
        <v>-4</v>
      </c>
      <c r="CB316">
        <v>15</v>
      </c>
      <c r="CC316">
        <v>2.064444444444443</v>
      </c>
      <c r="CD316">
        <v>1.0317777777777768</v>
      </c>
      <c r="CE316">
        <v>1.8888888888888715</v>
      </c>
      <c r="CF316">
        <v>0.74972222222222185</v>
      </c>
    </row>
    <row r="317" spans="1:84" x14ac:dyDescent="0.2">
      <c r="A317" s="19">
        <v>44108</v>
      </c>
      <c r="B317" s="13" t="s">
        <v>417</v>
      </c>
      <c r="C317" s="41" t="s">
        <v>308</v>
      </c>
      <c r="D317" s="14" t="s">
        <v>293</v>
      </c>
      <c r="E317">
        <v>5.9</v>
      </c>
      <c r="F317">
        <v>17.600000000000001</v>
      </c>
      <c r="G317">
        <v>18.5</v>
      </c>
      <c r="H317">
        <v>8.5</v>
      </c>
      <c r="I317">
        <v>-4</v>
      </c>
      <c r="J317">
        <v>55</v>
      </c>
      <c r="L317" t="s">
        <v>308</v>
      </c>
      <c r="M317">
        <v>4</v>
      </c>
      <c r="N317">
        <v>8.1622222222222245</v>
      </c>
      <c r="O317">
        <v>3.7666666666666657</v>
      </c>
      <c r="P317">
        <v>-6.4444444444444446</v>
      </c>
      <c r="Q317">
        <v>-0.55555555555555547</v>
      </c>
      <c r="R317">
        <v>5.8666666666666671</v>
      </c>
      <c r="S317">
        <v>8.4444444444444446</v>
      </c>
      <c r="T317">
        <v>-1.8888888888888888</v>
      </c>
      <c r="U317">
        <v>30</v>
      </c>
      <c r="V317">
        <v>29.5</v>
      </c>
      <c r="W317">
        <v>2.7777777777777772</v>
      </c>
      <c r="X317">
        <v>16</v>
      </c>
      <c r="Y317">
        <v>15.75</v>
      </c>
      <c r="Z317">
        <v>2</v>
      </c>
      <c r="AA317">
        <v>8.9313493863948198E-2</v>
      </c>
      <c r="AB317">
        <v>3</v>
      </c>
      <c r="AC317">
        <v>2.6554685432415386E-2</v>
      </c>
      <c r="AD317">
        <v>31</v>
      </c>
      <c r="AE317">
        <v>0.15224867724867727</v>
      </c>
      <c r="AF317">
        <v>27</v>
      </c>
      <c r="AG317">
        <v>-2.3333333333333335</v>
      </c>
      <c r="AH317">
        <v>-6.1111111111111072</v>
      </c>
      <c r="AI317">
        <v>6.4444444444444438</v>
      </c>
      <c r="AJ317">
        <v>0.44444444444444448</v>
      </c>
      <c r="AK317">
        <v>-13.222222222222209</v>
      </c>
      <c r="AL317">
        <v>9.3333333333333233</v>
      </c>
      <c r="AM317">
        <v>-26.777777777777775</v>
      </c>
      <c r="AN317">
        <v>-2.5555555555555558</v>
      </c>
      <c r="AO317">
        <v>6.7777777777777777</v>
      </c>
      <c r="AP317">
        <v>8</v>
      </c>
      <c r="AQ317">
        <v>4.3955555555555588</v>
      </c>
      <c r="AR317">
        <v>0.92244444444444573</v>
      </c>
      <c r="AS317">
        <v>36.1111111111111</v>
      </c>
      <c r="AT317">
        <v>25</v>
      </c>
      <c r="AU317">
        <v>2.0161111111111119</v>
      </c>
      <c r="AV317">
        <v>0.74166666666666625</v>
      </c>
      <c r="AW317">
        <v>2.9008333333333329</v>
      </c>
      <c r="AX317" t="s">
        <v>293</v>
      </c>
      <c r="AY317">
        <v>21</v>
      </c>
      <c r="AZ317">
        <v>-2.2955555555555578</v>
      </c>
      <c r="BA317">
        <v>-0.11111111111111227</v>
      </c>
      <c r="BB317">
        <v>-9.5555555555555571</v>
      </c>
      <c r="BC317">
        <v>-1.1111111111111109</v>
      </c>
      <c r="BD317">
        <v>-5.9333333333333327</v>
      </c>
      <c r="BE317">
        <v>-9.6666666666666661</v>
      </c>
      <c r="BF317">
        <v>-0.11111111111111086</v>
      </c>
      <c r="BG317">
        <v>32</v>
      </c>
      <c r="BH317">
        <v>31</v>
      </c>
      <c r="BI317">
        <v>-1.5555555555555554</v>
      </c>
      <c r="BJ317">
        <v>14</v>
      </c>
      <c r="BK317">
        <v>15</v>
      </c>
      <c r="BL317">
        <v>12</v>
      </c>
      <c r="BM317">
        <v>4.1761482003681112E-3</v>
      </c>
      <c r="BN317">
        <v>11</v>
      </c>
      <c r="BO317">
        <v>7.409392613602424E-3</v>
      </c>
      <c r="BP317">
        <v>30</v>
      </c>
      <c r="BQ317">
        <v>0.12750860250860249</v>
      </c>
      <c r="BR317">
        <v>7</v>
      </c>
      <c r="BS317">
        <v>1.1111111111111112</v>
      </c>
      <c r="BT317">
        <v>-2.7777777777777786</v>
      </c>
      <c r="BU317">
        <v>-4.5555555555555545</v>
      </c>
      <c r="BV317">
        <v>-1.5555555555555556</v>
      </c>
      <c r="BW317">
        <v>2.8888888888888764</v>
      </c>
      <c r="BX317">
        <v>-0.44444444444443815</v>
      </c>
      <c r="BY317">
        <v>-0.88888888888888573</v>
      </c>
      <c r="BZ317">
        <v>-1.8888888888888886</v>
      </c>
      <c r="CA317">
        <v>6.1111111111111116</v>
      </c>
      <c r="CB317">
        <v>24</v>
      </c>
      <c r="CC317">
        <v>-2.1844444444444457</v>
      </c>
      <c r="CD317">
        <v>-1.5902222222222222</v>
      </c>
      <c r="CE317">
        <v>0.44444444444444758</v>
      </c>
      <c r="CF317">
        <v>-1.4175000000000004</v>
      </c>
    </row>
    <row r="318" spans="1:84" x14ac:dyDescent="0.2">
      <c r="A318" s="19">
        <v>44108</v>
      </c>
      <c r="B318" s="13" t="s">
        <v>417</v>
      </c>
      <c r="C318" s="41" t="s">
        <v>284</v>
      </c>
      <c r="D318" s="14" t="s">
        <v>287</v>
      </c>
      <c r="E318">
        <v>28.2</v>
      </c>
      <c r="F318">
        <v>19.3</v>
      </c>
      <c r="G318">
        <v>8</v>
      </c>
      <c r="H318">
        <v>14</v>
      </c>
      <c r="I318">
        <v>-7</v>
      </c>
      <c r="J318">
        <v>42</v>
      </c>
      <c r="L318" t="s">
        <v>284</v>
      </c>
      <c r="M318">
        <v>15</v>
      </c>
      <c r="N318">
        <v>-0.88888888888888873</v>
      </c>
      <c r="O318">
        <v>-3.6555555555555546</v>
      </c>
      <c r="P318">
        <v>-11.555555555555555</v>
      </c>
      <c r="Q318">
        <v>-0.55555555555555558</v>
      </c>
      <c r="R318">
        <v>-1.5000000000000004</v>
      </c>
      <c r="S318">
        <v>-11.111111111111111</v>
      </c>
      <c r="T318">
        <v>-2.0000000000000004</v>
      </c>
      <c r="U318">
        <v>26</v>
      </c>
      <c r="V318">
        <v>25.5</v>
      </c>
      <c r="W318">
        <v>4.333333333333333</v>
      </c>
      <c r="X318">
        <v>10</v>
      </c>
      <c r="Y318">
        <v>12.75</v>
      </c>
      <c r="Z318">
        <v>22</v>
      </c>
      <c r="AA318">
        <v>-3.2798432048587706E-2</v>
      </c>
      <c r="AB318">
        <v>9</v>
      </c>
      <c r="AC318">
        <v>6.5882786446207417E-3</v>
      </c>
      <c r="AD318">
        <v>16</v>
      </c>
      <c r="AE318">
        <v>4.7152194211017755E-3</v>
      </c>
      <c r="AF318">
        <v>4</v>
      </c>
      <c r="AG318">
        <v>3.1111111111111112</v>
      </c>
      <c r="AH318">
        <v>-4.2222222222222241</v>
      </c>
      <c r="AI318">
        <v>-0.11111111111111072</v>
      </c>
      <c r="AJ318">
        <v>0.22222222222222224</v>
      </c>
      <c r="AK318">
        <v>-38.111111111111121</v>
      </c>
      <c r="AL318">
        <v>-21.111111111111125</v>
      </c>
      <c r="AM318">
        <v>-14.888888888888891</v>
      </c>
      <c r="AN318">
        <v>0.55555555555555569</v>
      </c>
      <c r="AO318">
        <v>-2.6666666666666665</v>
      </c>
      <c r="AP318">
        <v>11</v>
      </c>
      <c r="AQ318">
        <v>2.7666666666666657</v>
      </c>
      <c r="AR318">
        <v>1.3499999999999994</v>
      </c>
      <c r="AS318">
        <v>-6.2222222222222339</v>
      </c>
      <c r="AT318">
        <v>22</v>
      </c>
      <c r="AU318">
        <v>-0.92222222222222194</v>
      </c>
      <c r="AV318">
        <v>-1.5177777777777779</v>
      </c>
      <c r="AW318">
        <v>-0.67166666666666663</v>
      </c>
      <c r="AX318" t="s">
        <v>287</v>
      </c>
      <c r="AY318">
        <v>23</v>
      </c>
      <c r="AZ318">
        <v>-2.7333333333333347</v>
      </c>
      <c r="BA318">
        <v>-5.7888888888888896</v>
      </c>
      <c r="BB318">
        <v>-14.333333333333332</v>
      </c>
      <c r="BC318">
        <v>0.55555555555555558</v>
      </c>
      <c r="BD318">
        <v>-12.5</v>
      </c>
      <c r="BE318">
        <v>-32.666666666666671</v>
      </c>
      <c r="BF318">
        <v>-4.4444444444444438</v>
      </c>
      <c r="BG318">
        <v>2</v>
      </c>
      <c r="BH318">
        <v>2</v>
      </c>
      <c r="BI318">
        <v>1.8888888888888893</v>
      </c>
      <c r="BJ318">
        <v>1</v>
      </c>
      <c r="BK318">
        <v>9</v>
      </c>
      <c r="BL318">
        <v>6</v>
      </c>
      <c r="BM318">
        <v>3.5998418648550336E-2</v>
      </c>
      <c r="BN318">
        <v>19</v>
      </c>
      <c r="BO318">
        <v>-6.4286560119164509E-3</v>
      </c>
      <c r="BP318">
        <v>1</v>
      </c>
      <c r="BQ318">
        <v>-0.22178839678839682</v>
      </c>
      <c r="BR318">
        <v>10</v>
      </c>
      <c r="BS318">
        <v>0.3333333333333332</v>
      </c>
      <c r="BT318">
        <v>-6.4444444444444455</v>
      </c>
      <c r="BU318">
        <v>-6</v>
      </c>
      <c r="BV318">
        <v>0</v>
      </c>
      <c r="BW318">
        <v>-41.444444444444436</v>
      </c>
      <c r="BX318">
        <v>-44.444444444444436</v>
      </c>
      <c r="BY318">
        <v>-11.777777777777777</v>
      </c>
      <c r="BZ318">
        <v>-2.3333333333333335</v>
      </c>
      <c r="CA318">
        <v>17.111111111111111</v>
      </c>
      <c r="CB318">
        <v>10</v>
      </c>
      <c r="CC318">
        <v>3.0555555555555549</v>
      </c>
      <c r="CD318">
        <v>-0.15222222222222204</v>
      </c>
      <c r="CE318">
        <v>-32.666666666666657</v>
      </c>
      <c r="CF318">
        <v>-2.3638888888888894</v>
      </c>
    </row>
    <row r="319" spans="1:84" x14ac:dyDescent="0.2">
      <c r="A319" s="19">
        <v>44108</v>
      </c>
      <c r="B319" s="13" t="s">
        <v>417</v>
      </c>
      <c r="C319" s="41" t="s">
        <v>306</v>
      </c>
      <c r="D319" s="14" t="s">
        <v>305</v>
      </c>
      <c r="E319">
        <v>24.8</v>
      </c>
      <c r="F319">
        <v>6.9</v>
      </c>
      <c r="G319">
        <v>6.9</v>
      </c>
      <c r="H319">
        <v>1.8</v>
      </c>
      <c r="I319">
        <v>14</v>
      </c>
      <c r="J319">
        <v>44.5</v>
      </c>
      <c r="K319" t="s">
        <v>110</v>
      </c>
      <c r="L319" t="s">
        <v>306</v>
      </c>
      <c r="M319">
        <v>32</v>
      </c>
      <c r="N319">
        <v>-7.0844444444444434</v>
      </c>
      <c r="O319">
        <v>-1.0000000000000009</v>
      </c>
      <c r="P319">
        <v>2.8888888888888875</v>
      </c>
      <c r="Q319">
        <v>-1.1111111111111112</v>
      </c>
      <c r="R319">
        <v>-4.322222222222222</v>
      </c>
      <c r="S319">
        <v>-1.3333333333333268</v>
      </c>
      <c r="T319">
        <v>0.77777777777777746</v>
      </c>
      <c r="U319">
        <v>31</v>
      </c>
      <c r="V319">
        <v>30</v>
      </c>
      <c r="W319">
        <v>0.22222222222222232</v>
      </c>
      <c r="X319">
        <v>5</v>
      </c>
      <c r="Y319">
        <v>10.25</v>
      </c>
      <c r="Z319">
        <v>23</v>
      </c>
      <c r="AA319">
        <v>-3.2870978332905303E-2</v>
      </c>
      <c r="AB319">
        <v>14</v>
      </c>
      <c r="AC319">
        <v>3.1005554471432348E-3</v>
      </c>
      <c r="AD319">
        <v>1</v>
      </c>
      <c r="AE319">
        <v>-0.26642924976258309</v>
      </c>
      <c r="AF319">
        <v>3</v>
      </c>
      <c r="AG319">
        <v>3.2222222222222228</v>
      </c>
      <c r="AH319">
        <v>-2.3333333333333308</v>
      </c>
      <c r="AI319">
        <v>-5.5555555555555545</v>
      </c>
      <c r="AJ319">
        <v>0</v>
      </c>
      <c r="AK319">
        <v>-53.777777777777793</v>
      </c>
      <c r="AL319">
        <v>-50.888888888888893</v>
      </c>
      <c r="AM319">
        <v>-2</v>
      </c>
      <c r="AN319">
        <v>2.1111111111111112</v>
      </c>
      <c r="AO319">
        <v>-3.0000000000000004</v>
      </c>
      <c r="AP319">
        <v>27</v>
      </c>
      <c r="AQ319">
        <v>-6.0844444444444425</v>
      </c>
      <c r="AR319">
        <v>-1.781333333333333</v>
      </c>
      <c r="AS319">
        <v>-48.888888888888893</v>
      </c>
      <c r="AT319">
        <v>6</v>
      </c>
      <c r="AU319">
        <v>-2.0647222222222226</v>
      </c>
      <c r="AV319">
        <v>-0.4904166666666665</v>
      </c>
      <c r="AW319">
        <v>7.7777777777781887E-3</v>
      </c>
      <c r="AX319" t="s">
        <v>305</v>
      </c>
      <c r="AY319">
        <v>11</v>
      </c>
      <c r="AZ319">
        <v>1.9688888888888876</v>
      </c>
      <c r="BA319">
        <v>-7.7888888888888888</v>
      </c>
      <c r="BB319">
        <v>-24.111111111111111</v>
      </c>
      <c r="BC319">
        <v>0.7777777777777779</v>
      </c>
      <c r="BD319">
        <v>-0.64444444444444504</v>
      </c>
      <c r="BE319">
        <v>20.777777777777779</v>
      </c>
      <c r="BF319">
        <v>1.4444444444444449</v>
      </c>
      <c r="BG319">
        <v>19</v>
      </c>
      <c r="BH319">
        <v>20.5</v>
      </c>
      <c r="BI319">
        <v>-1</v>
      </c>
      <c r="BJ319">
        <v>8</v>
      </c>
      <c r="BK319">
        <v>13.25</v>
      </c>
      <c r="BL319">
        <v>21</v>
      </c>
      <c r="BM319">
        <v>-2.1411832610311377E-2</v>
      </c>
      <c r="BN319">
        <v>23</v>
      </c>
      <c r="BO319">
        <v>-1.2012070949269017E-2</v>
      </c>
      <c r="BP319">
        <v>8</v>
      </c>
      <c r="BQ319">
        <v>-9.8494869328202631E-2</v>
      </c>
      <c r="BR319">
        <v>1</v>
      </c>
      <c r="BS319">
        <v>6.4444444444444438</v>
      </c>
      <c r="BT319">
        <v>3.7777777777777786</v>
      </c>
      <c r="BU319">
        <v>-6.1111111111111107</v>
      </c>
      <c r="BV319">
        <v>0</v>
      </c>
      <c r="BW319">
        <v>14.222222222222229</v>
      </c>
      <c r="BX319">
        <v>32.555555555555564</v>
      </c>
      <c r="BY319">
        <v>-21.888888888888886</v>
      </c>
      <c r="BZ319">
        <v>3.5555555555555554</v>
      </c>
      <c r="CA319">
        <v>0</v>
      </c>
      <c r="CB319">
        <v>3</v>
      </c>
      <c r="CC319">
        <v>9.7577777777777754</v>
      </c>
      <c r="CD319">
        <v>4.1593333333333327</v>
      </c>
      <c r="CE319">
        <v>54.44444444444445</v>
      </c>
      <c r="CF319">
        <v>-0.98861111111111122</v>
      </c>
    </row>
    <row r="320" spans="1:84" x14ac:dyDescent="0.2">
      <c r="A320" s="19">
        <v>44115</v>
      </c>
      <c r="B320" s="13" t="s">
        <v>381</v>
      </c>
      <c r="C320" s="41" t="s">
        <v>285</v>
      </c>
      <c r="D320" s="14" t="s">
        <v>298</v>
      </c>
      <c r="E320">
        <v>28.1</v>
      </c>
      <c r="F320">
        <v>12.8</v>
      </c>
      <c r="G320">
        <v>7.5</v>
      </c>
      <c r="H320">
        <v>5.7</v>
      </c>
      <c r="I320">
        <v>-7</v>
      </c>
      <c r="J320">
        <v>48</v>
      </c>
      <c r="K320" t="s">
        <v>734</v>
      </c>
      <c r="L320" t="s">
        <v>285</v>
      </c>
      <c r="M320">
        <v>2</v>
      </c>
      <c r="N320">
        <v>8.1387499999999999</v>
      </c>
      <c r="O320">
        <v>-6.2500000000000018</v>
      </c>
      <c r="P320">
        <v>-18.625</v>
      </c>
      <c r="Q320">
        <v>-0.3125</v>
      </c>
      <c r="R320">
        <v>4.0875000000000004</v>
      </c>
      <c r="S320">
        <v>6.875</v>
      </c>
      <c r="T320">
        <v>2.4375</v>
      </c>
      <c r="U320">
        <v>16</v>
      </c>
      <c r="V320">
        <v>16</v>
      </c>
      <c r="W320">
        <v>-1.25</v>
      </c>
      <c r="X320">
        <v>25</v>
      </c>
      <c r="Y320">
        <v>20.75</v>
      </c>
      <c r="Z320">
        <v>24</v>
      </c>
      <c r="AA320">
        <v>-3.8203614279639302E-2</v>
      </c>
      <c r="AB320">
        <v>27</v>
      </c>
      <c r="AC320">
        <v>-1.1494045283415303E-2</v>
      </c>
      <c r="AD320">
        <v>17</v>
      </c>
      <c r="AE320">
        <v>2.1436131270690106E-2</v>
      </c>
      <c r="AF320">
        <v>15</v>
      </c>
      <c r="AG320">
        <v>6.25E-2</v>
      </c>
      <c r="AH320">
        <v>3.25</v>
      </c>
      <c r="AI320">
        <v>-0.375</v>
      </c>
      <c r="AJ320">
        <v>-0.875</v>
      </c>
      <c r="AK320">
        <v>15.4375</v>
      </c>
      <c r="AL320">
        <v>4.5625</v>
      </c>
      <c r="AM320">
        <v>-21.625</v>
      </c>
      <c r="AN320">
        <v>-4</v>
      </c>
      <c r="AO320">
        <v>36.5</v>
      </c>
      <c r="AP320">
        <v>2</v>
      </c>
      <c r="AQ320">
        <v>14.388750000000002</v>
      </c>
      <c r="AR320">
        <v>5.5702500000000015</v>
      </c>
      <c r="AS320">
        <v>26.1875</v>
      </c>
      <c r="AT320">
        <v>31</v>
      </c>
      <c r="AU320">
        <v>0.66109374999999981</v>
      </c>
      <c r="AV320">
        <v>-7.820312500000004E-2</v>
      </c>
      <c r="AW320">
        <v>-0.44187500000000002</v>
      </c>
      <c r="AX320" t="s">
        <v>298</v>
      </c>
      <c r="AY320">
        <v>20</v>
      </c>
      <c r="AZ320">
        <v>-0.9099999999999997</v>
      </c>
      <c r="BA320">
        <v>1.0812499999999987</v>
      </c>
      <c r="BB320">
        <v>4.9375</v>
      </c>
      <c r="BC320">
        <v>6.25E-2</v>
      </c>
      <c r="BD320">
        <v>-0.26249999999999929</v>
      </c>
      <c r="BE320">
        <v>-8.375</v>
      </c>
      <c r="BF320">
        <v>-1.625</v>
      </c>
      <c r="BG320">
        <v>6</v>
      </c>
      <c r="BH320">
        <v>6.5</v>
      </c>
      <c r="BI320">
        <v>3.875</v>
      </c>
      <c r="BJ320">
        <v>18</v>
      </c>
      <c r="BK320">
        <v>17.5</v>
      </c>
      <c r="BL320">
        <v>13</v>
      </c>
      <c r="BM320">
        <v>2.9435961909774211E-3</v>
      </c>
      <c r="BN320">
        <v>31</v>
      </c>
      <c r="BO320">
        <v>-2.2890877771233428E-2</v>
      </c>
      <c r="BP320">
        <v>6</v>
      </c>
      <c r="BQ320">
        <v>-8.3404880937775691E-2</v>
      </c>
      <c r="BR320">
        <v>20</v>
      </c>
      <c r="BS320">
        <v>-1.0625</v>
      </c>
      <c r="BT320">
        <v>0</v>
      </c>
      <c r="BU320">
        <v>3.9375</v>
      </c>
      <c r="BV320">
        <v>3</v>
      </c>
      <c r="BW320">
        <v>-6.875</v>
      </c>
      <c r="BX320">
        <v>-29.5625</v>
      </c>
      <c r="BY320">
        <v>22.5625</v>
      </c>
      <c r="BZ320">
        <v>-7.125</v>
      </c>
      <c r="CA320">
        <v>7.25</v>
      </c>
      <c r="CB320">
        <v>22</v>
      </c>
      <c r="CC320">
        <v>-1.9912499999999984</v>
      </c>
      <c r="CD320">
        <v>-0.77512499999999918</v>
      </c>
      <c r="CE320">
        <v>-52.125</v>
      </c>
      <c r="CF320">
        <v>0.28546874999999994</v>
      </c>
    </row>
    <row r="321" spans="1:84" x14ac:dyDescent="0.2">
      <c r="A321" s="19">
        <v>44115</v>
      </c>
      <c r="B321" s="13" t="s">
        <v>381</v>
      </c>
      <c r="C321" s="41" t="s">
        <v>295</v>
      </c>
      <c r="D321" s="14" t="s">
        <v>301</v>
      </c>
      <c r="E321">
        <v>24.6</v>
      </c>
      <c r="F321">
        <v>3.6</v>
      </c>
      <c r="G321">
        <v>2.2999999999999998</v>
      </c>
      <c r="H321">
        <v>2.8</v>
      </c>
      <c r="I321">
        <v>-2.5</v>
      </c>
      <c r="J321">
        <v>53.5</v>
      </c>
      <c r="L321" t="s">
        <v>295</v>
      </c>
      <c r="M321">
        <v>22</v>
      </c>
      <c r="N321">
        <v>-1.4187499999999997</v>
      </c>
      <c r="O321">
        <v>-2.4375</v>
      </c>
      <c r="P321">
        <v>3.625</v>
      </c>
      <c r="Q321">
        <v>-1.5625</v>
      </c>
      <c r="R321">
        <v>5.3262499999999964</v>
      </c>
      <c r="S321">
        <v>19.8125</v>
      </c>
      <c r="T321">
        <v>3.5625</v>
      </c>
      <c r="U321">
        <v>14</v>
      </c>
      <c r="V321">
        <v>14</v>
      </c>
      <c r="W321">
        <v>-1.0625</v>
      </c>
      <c r="X321">
        <v>16</v>
      </c>
      <c r="Y321">
        <v>16.5</v>
      </c>
      <c r="Z321">
        <v>15</v>
      </c>
      <c r="AA321">
        <v>9.1791980700207526E-3</v>
      </c>
      <c r="AB321">
        <v>17</v>
      </c>
      <c r="AC321">
        <v>-7.0396940944471298E-4</v>
      </c>
      <c r="AD321">
        <v>8</v>
      </c>
      <c r="AE321">
        <v>-6.3386093073593094E-2</v>
      </c>
      <c r="AF321">
        <v>26</v>
      </c>
      <c r="AG321">
        <v>-1.5</v>
      </c>
      <c r="AH321">
        <v>2.875</v>
      </c>
      <c r="AI321">
        <v>-0.25</v>
      </c>
      <c r="AJ321">
        <v>-0.5625</v>
      </c>
      <c r="AK321">
        <v>1.625</v>
      </c>
      <c r="AL321">
        <v>17.5</v>
      </c>
      <c r="AM321">
        <v>0.5</v>
      </c>
      <c r="AN321">
        <v>-5.4375</v>
      </c>
      <c r="AO321">
        <v>-10.9375</v>
      </c>
      <c r="AP321">
        <v>14</v>
      </c>
      <c r="AQ321">
        <v>1.0187500000000005</v>
      </c>
      <c r="AR321">
        <v>2.0002499999999994</v>
      </c>
      <c r="AS321">
        <v>17</v>
      </c>
      <c r="AT321">
        <v>19</v>
      </c>
      <c r="AU321">
        <v>0.23062499999999964</v>
      </c>
      <c r="AV321">
        <v>0.85664062499999993</v>
      </c>
      <c r="AW321">
        <v>1.8645312500000002</v>
      </c>
      <c r="AX321" t="s">
        <v>301</v>
      </c>
      <c r="AY321">
        <v>30</v>
      </c>
      <c r="AZ321">
        <v>-5.6600000000000019</v>
      </c>
      <c r="BA321">
        <v>12.13125</v>
      </c>
      <c r="BB321">
        <v>7.125</v>
      </c>
      <c r="BC321">
        <v>2.375</v>
      </c>
      <c r="BD321">
        <v>-6.1812500000000004</v>
      </c>
      <c r="BE321">
        <v>-32.625</v>
      </c>
      <c r="BF321">
        <v>-1.625</v>
      </c>
      <c r="BG321">
        <v>27</v>
      </c>
      <c r="BH321">
        <v>27.5</v>
      </c>
      <c r="BI321">
        <v>-0.5625</v>
      </c>
      <c r="BJ321">
        <v>26</v>
      </c>
      <c r="BK321">
        <v>21.5</v>
      </c>
      <c r="BL321">
        <v>30</v>
      </c>
      <c r="BM321">
        <v>-6.008707674152057E-2</v>
      </c>
      <c r="BN321">
        <v>29</v>
      </c>
      <c r="BO321">
        <v>-2.2339042908225137E-2</v>
      </c>
      <c r="BP321">
        <v>2</v>
      </c>
      <c r="BQ321">
        <v>-0.12933139164756813</v>
      </c>
      <c r="BR321">
        <v>25</v>
      </c>
      <c r="BS321">
        <v>-1.9375</v>
      </c>
      <c r="BT321">
        <v>-2.8125</v>
      </c>
      <c r="BU321">
        <v>0.3125</v>
      </c>
      <c r="BV321">
        <v>-0.5625</v>
      </c>
      <c r="BW321">
        <v>-33.0625</v>
      </c>
      <c r="BX321">
        <v>-37.4375</v>
      </c>
      <c r="BY321">
        <v>2.125</v>
      </c>
      <c r="BZ321">
        <v>1.5625</v>
      </c>
      <c r="CA321">
        <v>0.6875</v>
      </c>
      <c r="CB321">
        <v>32</v>
      </c>
      <c r="CC321">
        <v>-17.791250000000002</v>
      </c>
      <c r="CD321">
        <v>-8.4338750000000005</v>
      </c>
      <c r="CE321">
        <v>-39.5625</v>
      </c>
      <c r="CF321">
        <v>-0.15125000000000027</v>
      </c>
    </row>
    <row r="322" spans="1:84" x14ac:dyDescent="0.2">
      <c r="A322" s="19">
        <v>44115</v>
      </c>
      <c r="B322" s="13" t="s">
        <v>381</v>
      </c>
      <c r="C322" s="41" t="s">
        <v>305</v>
      </c>
      <c r="D322" s="14" t="s">
        <v>272</v>
      </c>
      <c r="E322">
        <v>19.8</v>
      </c>
      <c r="F322">
        <v>7.9</v>
      </c>
      <c r="G322">
        <v>0</v>
      </c>
      <c r="H322">
        <v>17.600000000000001</v>
      </c>
      <c r="I322">
        <v>-11.5</v>
      </c>
      <c r="J322">
        <v>50</v>
      </c>
      <c r="L322" t="s">
        <v>305</v>
      </c>
      <c r="M322">
        <v>12</v>
      </c>
      <c r="N322">
        <v>2.5000000000003908E-3</v>
      </c>
      <c r="O322">
        <v>-7.8062500000000004</v>
      </c>
      <c r="P322">
        <v>-28</v>
      </c>
      <c r="Q322">
        <v>-3.125</v>
      </c>
      <c r="R322">
        <v>-7.5125000000000002</v>
      </c>
      <c r="S322">
        <v>-31</v>
      </c>
      <c r="T322">
        <v>-5.875</v>
      </c>
      <c r="U322">
        <v>4</v>
      </c>
      <c r="V322">
        <v>6</v>
      </c>
      <c r="W322">
        <v>5</v>
      </c>
      <c r="X322">
        <v>12</v>
      </c>
      <c r="Y322">
        <v>14</v>
      </c>
      <c r="Z322">
        <v>6</v>
      </c>
      <c r="AA322">
        <v>4.3100296046459208E-2</v>
      </c>
      <c r="AB322">
        <v>10</v>
      </c>
      <c r="AC322">
        <v>1.0875371033466317E-2</v>
      </c>
      <c r="AD322">
        <v>12</v>
      </c>
      <c r="AE322">
        <v>-1.0348505661005675E-2</v>
      </c>
      <c r="AF322">
        <v>28</v>
      </c>
      <c r="AG322">
        <v>-2.0625</v>
      </c>
      <c r="AH322">
        <v>-9.625</v>
      </c>
      <c r="AI322">
        <v>0.75</v>
      </c>
      <c r="AJ322">
        <v>2.625</v>
      </c>
      <c r="AK322">
        <v>-35.3125</v>
      </c>
      <c r="AL322">
        <v>-55.125</v>
      </c>
      <c r="AM322">
        <v>-9.9375</v>
      </c>
      <c r="AN322">
        <v>-4.625</v>
      </c>
      <c r="AO322">
        <v>34.375</v>
      </c>
      <c r="AP322">
        <v>5</v>
      </c>
      <c r="AQ322">
        <v>7.8087500000000016</v>
      </c>
      <c r="AR322">
        <v>2.4011250000000004</v>
      </c>
      <c r="AS322">
        <v>-45.1875</v>
      </c>
      <c r="AT322">
        <v>28</v>
      </c>
      <c r="AU322">
        <v>-1.58640625</v>
      </c>
      <c r="AV322">
        <v>-5.1171874999999811E-2</v>
      </c>
      <c r="AW322">
        <v>-0.60124999999999984</v>
      </c>
      <c r="AX322" t="s">
        <v>272</v>
      </c>
      <c r="AY322">
        <v>18</v>
      </c>
      <c r="AZ322">
        <v>-0.12249999999999872</v>
      </c>
      <c r="BA322">
        <v>0.75625000000000009</v>
      </c>
      <c r="BB322">
        <v>26.8125</v>
      </c>
      <c r="BC322">
        <v>-1.6875</v>
      </c>
      <c r="BD322">
        <v>0.29500000000000015</v>
      </c>
      <c r="BE322">
        <v>20</v>
      </c>
      <c r="BF322">
        <v>2.3125</v>
      </c>
      <c r="BG322">
        <v>1</v>
      </c>
      <c r="BH322">
        <v>1.5</v>
      </c>
      <c r="BI322">
        <v>1.0625</v>
      </c>
      <c r="BJ322">
        <v>32</v>
      </c>
      <c r="BK322">
        <v>26.5</v>
      </c>
      <c r="BL322">
        <v>28</v>
      </c>
      <c r="BM322">
        <v>-4.8340826283538585E-2</v>
      </c>
      <c r="BN322">
        <v>27</v>
      </c>
      <c r="BO322">
        <v>-2.051037110311078E-2</v>
      </c>
      <c r="BP322">
        <v>22</v>
      </c>
      <c r="BQ322">
        <v>3.676802160258047E-2</v>
      </c>
      <c r="BR322">
        <v>29</v>
      </c>
      <c r="BS322">
        <v>-2.8125</v>
      </c>
      <c r="BT322">
        <v>3.25</v>
      </c>
      <c r="BU322">
        <v>1.5</v>
      </c>
      <c r="BV322">
        <v>-0.875</v>
      </c>
      <c r="BW322">
        <v>27.0625</v>
      </c>
      <c r="BX322">
        <v>4.75</v>
      </c>
      <c r="BY322">
        <v>24.125</v>
      </c>
      <c r="BZ322">
        <v>-8.4375</v>
      </c>
      <c r="CA322">
        <v>6.625</v>
      </c>
      <c r="CB322">
        <v>20</v>
      </c>
      <c r="CC322">
        <v>-0.87874999999999881</v>
      </c>
      <c r="CD322">
        <v>-0.34362499999999974</v>
      </c>
      <c r="CE322">
        <v>-19.375</v>
      </c>
      <c r="CF322">
        <v>0.49890625000000022</v>
      </c>
    </row>
    <row r="323" spans="1:84" x14ac:dyDescent="0.2">
      <c r="A323" s="19">
        <v>44115</v>
      </c>
      <c r="B323" s="13" t="s">
        <v>381</v>
      </c>
      <c r="C323" s="41" t="s">
        <v>276</v>
      </c>
      <c r="D323" s="14" t="s">
        <v>310</v>
      </c>
      <c r="E323">
        <v>23.6</v>
      </c>
      <c r="F323">
        <v>11.3</v>
      </c>
      <c r="G323">
        <v>10.8</v>
      </c>
      <c r="H323">
        <v>2.5</v>
      </c>
      <c r="I323">
        <v>-3</v>
      </c>
      <c r="J323">
        <v>52</v>
      </c>
      <c r="K323" t="s">
        <v>734</v>
      </c>
      <c r="L323" t="s">
        <v>276</v>
      </c>
      <c r="M323">
        <v>1</v>
      </c>
      <c r="N323">
        <v>12.465000000000002</v>
      </c>
      <c r="O323">
        <v>-9.2312499999999993</v>
      </c>
      <c r="P323">
        <v>-19.4375</v>
      </c>
      <c r="Q323">
        <v>-0.3125</v>
      </c>
      <c r="R323">
        <v>15.612500000000001</v>
      </c>
      <c r="S323">
        <v>73.4375</v>
      </c>
      <c r="T323">
        <v>2.8125</v>
      </c>
      <c r="U323">
        <v>27</v>
      </c>
      <c r="V323">
        <v>25.5</v>
      </c>
      <c r="W323">
        <v>-1.125</v>
      </c>
      <c r="X323">
        <v>14</v>
      </c>
      <c r="Y323">
        <v>15.75</v>
      </c>
      <c r="Z323">
        <v>9</v>
      </c>
      <c r="AA323">
        <v>2.4677026763919085E-2</v>
      </c>
      <c r="AB323">
        <v>15</v>
      </c>
      <c r="AC323">
        <v>6.1228173837947486E-4</v>
      </c>
      <c r="AD323">
        <v>14</v>
      </c>
      <c r="AE323">
        <v>-4.2287573537573564E-3</v>
      </c>
      <c r="AF323">
        <v>25</v>
      </c>
      <c r="AG323">
        <v>-1.1875</v>
      </c>
      <c r="AH323">
        <v>0.6875</v>
      </c>
      <c r="AI323">
        <v>5.5</v>
      </c>
      <c r="AJ323">
        <v>-1.4375</v>
      </c>
      <c r="AK323">
        <v>30.25</v>
      </c>
      <c r="AL323">
        <v>66.8125</v>
      </c>
      <c r="AM323">
        <v>-35.375</v>
      </c>
      <c r="AN323">
        <v>-1.3125</v>
      </c>
      <c r="AO323">
        <v>0.125</v>
      </c>
      <c r="AP323">
        <v>1</v>
      </c>
      <c r="AQ323">
        <v>21.696249999999999</v>
      </c>
      <c r="AR323">
        <v>10.231125</v>
      </c>
      <c r="AS323">
        <v>102.1875</v>
      </c>
      <c r="AT323">
        <v>32</v>
      </c>
      <c r="AU323">
        <v>2.1682812500000002</v>
      </c>
      <c r="AV323">
        <v>1.5485937500000004</v>
      </c>
      <c r="AW323">
        <v>1.8190625</v>
      </c>
      <c r="AX323" t="s">
        <v>310</v>
      </c>
      <c r="AY323">
        <v>4</v>
      </c>
      <c r="AZ323">
        <v>3.800000000000002</v>
      </c>
      <c r="BA323">
        <v>3.7250000000000014</v>
      </c>
      <c r="BB323">
        <v>42.916666666666671</v>
      </c>
      <c r="BC323">
        <v>0.33333333333333337</v>
      </c>
      <c r="BD323">
        <v>5.116666666666668</v>
      </c>
      <c r="BE323">
        <v>15.166666666666664</v>
      </c>
      <c r="BF323">
        <v>-8.3333333333333259E-2</v>
      </c>
      <c r="BG323">
        <v>30</v>
      </c>
      <c r="BH323">
        <v>28.5</v>
      </c>
      <c r="BI323">
        <v>-0.58333333333333337</v>
      </c>
      <c r="BJ323">
        <v>25</v>
      </c>
      <c r="BK323">
        <v>21</v>
      </c>
      <c r="BL323">
        <v>10</v>
      </c>
      <c r="BM323">
        <v>1.0428175576808049E-2</v>
      </c>
      <c r="BN323">
        <v>32</v>
      </c>
      <c r="BO323">
        <v>-3.7584210383081802E-2</v>
      </c>
      <c r="BP323">
        <v>10</v>
      </c>
      <c r="BQ323">
        <v>-5.5259676970203252E-2</v>
      </c>
      <c r="BR323">
        <v>32</v>
      </c>
      <c r="BS323">
        <v>-3.0833333333333335</v>
      </c>
      <c r="BT323">
        <v>1</v>
      </c>
      <c r="BU323">
        <v>1.0833333333333333</v>
      </c>
      <c r="BV323">
        <v>0</v>
      </c>
      <c r="BW323">
        <v>70.25</v>
      </c>
      <c r="BX323">
        <v>20</v>
      </c>
      <c r="BY323">
        <v>42.416666666666664</v>
      </c>
      <c r="BZ323">
        <v>7.666666666666667</v>
      </c>
      <c r="CA323">
        <v>0.16666666666666666</v>
      </c>
      <c r="CB323">
        <v>16</v>
      </c>
      <c r="CC323">
        <v>7.5000000000000622E-2</v>
      </c>
      <c r="CD323">
        <v>-7.9166666666666385E-2</v>
      </c>
      <c r="CE323">
        <v>-22.416666666666664</v>
      </c>
      <c r="CF323">
        <v>1.2781250000000008</v>
      </c>
    </row>
    <row r="324" spans="1:84" x14ac:dyDescent="0.2">
      <c r="A324" s="19">
        <v>44115</v>
      </c>
      <c r="B324" s="13" t="s">
        <v>381</v>
      </c>
      <c r="C324" s="41" t="s">
        <v>301</v>
      </c>
      <c r="D324" s="14" t="s">
        <v>295</v>
      </c>
      <c r="E324">
        <v>22.5</v>
      </c>
      <c r="F324">
        <v>19.3</v>
      </c>
      <c r="G324">
        <v>11.4</v>
      </c>
      <c r="H324">
        <v>0</v>
      </c>
      <c r="I324">
        <v>2.5</v>
      </c>
      <c r="J324">
        <v>53.5</v>
      </c>
      <c r="L324" t="s">
        <v>301</v>
      </c>
      <c r="M324">
        <v>17</v>
      </c>
      <c r="N324">
        <v>-0.88375000000000137</v>
      </c>
      <c r="O324">
        <v>6.6124999999999989</v>
      </c>
      <c r="P324">
        <v>8.5</v>
      </c>
      <c r="Q324">
        <v>0.5625</v>
      </c>
      <c r="R324">
        <v>3.6062500000000011</v>
      </c>
      <c r="S324">
        <v>27.375</v>
      </c>
      <c r="T324">
        <v>1</v>
      </c>
      <c r="U324">
        <v>6</v>
      </c>
      <c r="V324">
        <v>8.5</v>
      </c>
      <c r="W324">
        <v>-1.9375</v>
      </c>
      <c r="X324">
        <v>27</v>
      </c>
      <c r="Y324">
        <v>21.75</v>
      </c>
      <c r="Z324">
        <v>26</v>
      </c>
      <c r="AA324">
        <v>-4.971532022970121E-2</v>
      </c>
      <c r="AB324">
        <v>26</v>
      </c>
      <c r="AC324">
        <v>-1.1145726874627932E-2</v>
      </c>
      <c r="AD324">
        <v>13</v>
      </c>
      <c r="AE324">
        <v>-9.1551677489177252E-3</v>
      </c>
      <c r="AF324">
        <v>22</v>
      </c>
      <c r="AG324">
        <v>-0.5625</v>
      </c>
      <c r="AH324">
        <v>1.375</v>
      </c>
      <c r="AI324">
        <v>1.125</v>
      </c>
      <c r="AJ324">
        <v>-1.3125</v>
      </c>
      <c r="AK324">
        <v>28.8125</v>
      </c>
      <c r="AL324">
        <v>21.625</v>
      </c>
      <c r="AM324">
        <v>2.5</v>
      </c>
      <c r="AN324">
        <v>3.1875</v>
      </c>
      <c r="AO324">
        <v>1.5</v>
      </c>
      <c r="AP324">
        <v>28</v>
      </c>
      <c r="AQ324">
        <v>-7.4962499999999999</v>
      </c>
      <c r="AR324">
        <v>-2.7617499999999997</v>
      </c>
      <c r="AS324">
        <v>19.125</v>
      </c>
      <c r="AT324">
        <v>5</v>
      </c>
      <c r="AU324">
        <v>1.2449999999999999</v>
      </c>
      <c r="AV324">
        <v>0.85664062499999993</v>
      </c>
      <c r="AW324">
        <v>-0.15125000000000027</v>
      </c>
      <c r="AX324" t="s">
        <v>295</v>
      </c>
      <c r="AY324">
        <v>1</v>
      </c>
      <c r="AZ324">
        <v>7.2287500000000016</v>
      </c>
      <c r="BA324">
        <v>2.2374999999999989</v>
      </c>
      <c r="BB324">
        <v>-14.0625</v>
      </c>
      <c r="BC324">
        <v>1.625</v>
      </c>
      <c r="BD324">
        <v>4.95</v>
      </c>
      <c r="BE324">
        <v>17.3125</v>
      </c>
      <c r="BF324">
        <v>1.5</v>
      </c>
      <c r="BG324">
        <v>14</v>
      </c>
      <c r="BH324">
        <v>13.5</v>
      </c>
      <c r="BI324">
        <v>-1.5</v>
      </c>
      <c r="BJ324">
        <v>26</v>
      </c>
      <c r="BK324">
        <v>21.5</v>
      </c>
      <c r="BL324">
        <v>18</v>
      </c>
      <c r="BM324">
        <v>-6.0549200222468832E-3</v>
      </c>
      <c r="BN324">
        <v>19</v>
      </c>
      <c r="BO324">
        <v>-5.1813521150570483E-3</v>
      </c>
      <c r="BP324">
        <v>29</v>
      </c>
      <c r="BQ324">
        <v>9.6726190476190452E-2</v>
      </c>
      <c r="BR324">
        <v>20</v>
      </c>
      <c r="BS324">
        <v>-1.0625</v>
      </c>
      <c r="BT324">
        <v>1.375</v>
      </c>
      <c r="BU324">
        <v>3.625</v>
      </c>
      <c r="BV324">
        <v>-0.6875</v>
      </c>
      <c r="BW324">
        <v>21.8125</v>
      </c>
      <c r="BX324">
        <v>29.625</v>
      </c>
      <c r="BY324">
        <v>-17.1875</v>
      </c>
      <c r="BZ324">
        <v>4.3125</v>
      </c>
      <c r="CA324">
        <v>5.0625</v>
      </c>
      <c r="CB324">
        <v>8</v>
      </c>
      <c r="CC324">
        <v>4.9912500000000026</v>
      </c>
      <c r="CD324">
        <v>1.3170000000000006</v>
      </c>
      <c r="CE324">
        <v>46.8125</v>
      </c>
      <c r="CF324">
        <v>1.8645312500000002</v>
      </c>
    </row>
    <row r="325" spans="1:84" x14ac:dyDescent="0.2">
      <c r="A325" s="19">
        <v>44115</v>
      </c>
      <c r="B325" s="13" t="s">
        <v>381</v>
      </c>
      <c r="C325" s="41" t="s">
        <v>265</v>
      </c>
      <c r="D325" s="13" t="s">
        <v>284</v>
      </c>
      <c r="E325">
        <v>19</v>
      </c>
      <c r="F325">
        <v>6.8</v>
      </c>
      <c r="G325">
        <v>3.5</v>
      </c>
      <c r="H325">
        <v>12.3</v>
      </c>
      <c r="I325">
        <v>3.5</v>
      </c>
      <c r="J325">
        <v>43.5</v>
      </c>
      <c r="L325" t="s">
        <v>265</v>
      </c>
      <c r="M325">
        <v>13</v>
      </c>
      <c r="N325">
        <v>-0.125</v>
      </c>
      <c r="O325">
        <v>-8.65</v>
      </c>
      <c r="P325">
        <v>-15.3125</v>
      </c>
      <c r="Q325">
        <v>-0.25</v>
      </c>
      <c r="R325">
        <v>3.96875</v>
      </c>
      <c r="S325">
        <v>1</v>
      </c>
      <c r="T325">
        <v>4.5</v>
      </c>
      <c r="U325">
        <v>19</v>
      </c>
      <c r="V325">
        <v>19</v>
      </c>
      <c r="W325">
        <v>-0.375</v>
      </c>
      <c r="X325">
        <v>9</v>
      </c>
      <c r="Y325">
        <v>12.5</v>
      </c>
      <c r="Z325">
        <v>22</v>
      </c>
      <c r="AA325">
        <v>-3.1076503697840575E-2</v>
      </c>
      <c r="AB325">
        <v>13</v>
      </c>
      <c r="AC325">
        <v>2.1885100436464296E-3</v>
      </c>
      <c r="AD325">
        <v>2</v>
      </c>
      <c r="AE325">
        <v>-0.19858630952380951</v>
      </c>
      <c r="AF325">
        <v>13</v>
      </c>
      <c r="AG325">
        <v>0.5</v>
      </c>
      <c r="AH325">
        <v>1.9375</v>
      </c>
      <c r="AI325">
        <v>-4.375</v>
      </c>
      <c r="AJ325">
        <v>-0.4375</v>
      </c>
      <c r="AK325">
        <v>-9</v>
      </c>
      <c r="AL325">
        <v>-5.625</v>
      </c>
      <c r="AM325">
        <v>-18.5625</v>
      </c>
      <c r="AN325">
        <v>8.3125</v>
      </c>
      <c r="AO325">
        <v>6.875</v>
      </c>
      <c r="AP325">
        <v>4</v>
      </c>
      <c r="AQ325">
        <v>8.5250000000000004</v>
      </c>
      <c r="AR325">
        <v>5.09375</v>
      </c>
      <c r="AS325">
        <v>12.9375</v>
      </c>
      <c r="AT325">
        <v>29</v>
      </c>
      <c r="AU325">
        <v>-0.83515625000000004</v>
      </c>
      <c r="AV325">
        <v>-0.99695312499999988</v>
      </c>
      <c r="AW325">
        <v>-0.77093750000000016</v>
      </c>
      <c r="AX325" t="s">
        <v>284</v>
      </c>
      <c r="AY325">
        <v>22</v>
      </c>
      <c r="AZ325">
        <v>-1.7587499999999996</v>
      </c>
      <c r="BA325">
        <v>-7.8124999999999991</v>
      </c>
      <c r="BB325">
        <v>-52.625</v>
      </c>
      <c r="BC325">
        <v>1.0625</v>
      </c>
      <c r="BD325">
        <v>1.100000000000001</v>
      </c>
      <c r="BE325">
        <v>3.3125</v>
      </c>
      <c r="BF325">
        <v>-0.25</v>
      </c>
      <c r="BG325">
        <v>22</v>
      </c>
      <c r="BH325">
        <v>23.5</v>
      </c>
      <c r="BI325">
        <v>2.0625</v>
      </c>
      <c r="BJ325">
        <v>4</v>
      </c>
      <c r="BK325">
        <v>9.5</v>
      </c>
      <c r="BL325">
        <v>5</v>
      </c>
      <c r="BM325">
        <v>4.2303554420883363E-2</v>
      </c>
      <c r="BN325">
        <v>1</v>
      </c>
      <c r="BO325">
        <v>4.3510832088033261E-2</v>
      </c>
      <c r="BP325">
        <v>28</v>
      </c>
      <c r="BQ325">
        <v>7.213603443769856E-2</v>
      </c>
      <c r="BR325">
        <v>4</v>
      </c>
      <c r="BS325">
        <v>3.8125</v>
      </c>
      <c r="BT325">
        <v>-2.5</v>
      </c>
      <c r="BU325">
        <v>-3.8125</v>
      </c>
      <c r="BV325">
        <v>2.625</v>
      </c>
      <c r="BW325">
        <v>-46.75</v>
      </c>
      <c r="BX325">
        <v>2.6875</v>
      </c>
      <c r="BY325">
        <v>-51.5625</v>
      </c>
      <c r="BZ325">
        <v>3.25</v>
      </c>
      <c r="CA325">
        <v>-1.125</v>
      </c>
      <c r="CB325">
        <v>5</v>
      </c>
      <c r="CC325">
        <v>6.0537499999999991</v>
      </c>
      <c r="CD325">
        <v>3.7744999999999997</v>
      </c>
      <c r="CE325">
        <v>54.25</v>
      </c>
      <c r="CF325">
        <v>-1.2229687499999997</v>
      </c>
    </row>
    <row r="326" spans="1:84" x14ac:dyDescent="0.2">
      <c r="A326" s="19">
        <v>44115</v>
      </c>
      <c r="B326" s="13" t="s">
        <v>381</v>
      </c>
      <c r="C326" s="17" t="s">
        <v>272</v>
      </c>
      <c r="D326" s="14" t="s">
        <v>305</v>
      </c>
      <c r="E326">
        <v>10.199999999999999</v>
      </c>
      <c r="F326">
        <v>8.1999999999999993</v>
      </c>
      <c r="G326">
        <v>2.2000000000000002</v>
      </c>
      <c r="H326">
        <v>4.2</v>
      </c>
      <c r="I326">
        <v>11.5</v>
      </c>
      <c r="J326">
        <v>50</v>
      </c>
      <c r="L326" t="s">
        <v>272</v>
      </c>
      <c r="M326">
        <v>21</v>
      </c>
      <c r="N326">
        <v>-1.4125000000000005</v>
      </c>
      <c r="O326">
        <v>0.36249999999999982</v>
      </c>
      <c r="P326">
        <v>10.5625</v>
      </c>
      <c r="Q326">
        <v>0.4375</v>
      </c>
      <c r="R326">
        <v>-6.15</v>
      </c>
      <c r="S326">
        <v>-12.625</v>
      </c>
      <c r="T326">
        <v>4.8125</v>
      </c>
      <c r="U326">
        <v>1</v>
      </c>
      <c r="V326">
        <v>1</v>
      </c>
      <c r="W326">
        <v>-2.8125</v>
      </c>
      <c r="X326">
        <v>5</v>
      </c>
      <c r="Y326">
        <v>9.5</v>
      </c>
      <c r="Z326">
        <v>5</v>
      </c>
      <c r="AA326">
        <v>4.5225528797047845E-2</v>
      </c>
      <c r="AB326">
        <v>6</v>
      </c>
      <c r="AC326">
        <v>1.4570996537296375E-2</v>
      </c>
      <c r="AD326">
        <v>19</v>
      </c>
      <c r="AE326">
        <v>2.7637553418803404E-2</v>
      </c>
      <c r="AF326">
        <v>8</v>
      </c>
      <c r="AG326">
        <v>1.0625</v>
      </c>
      <c r="AH326">
        <v>6.4375</v>
      </c>
      <c r="AI326">
        <v>-3.0625</v>
      </c>
      <c r="AJ326">
        <v>0</v>
      </c>
      <c r="AK326">
        <v>-7.25</v>
      </c>
      <c r="AL326">
        <v>-6.1875</v>
      </c>
      <c r="AM326">
        <v>4.6875</v>
      </c>
      <c r="AN326">
        <v>-7.0625</v>
      </c>
      <c r="AO326">
        <v>1.3125</v>
      </c>
      <c r="AP326">
        <v>21</v>
      </c>
      <c r="AQ326">
        <v>-1.7750000000000004</v>
      </c>
      <c r="AR326">
        <v>-1.6937500000000003</v>
      </c>
      <c r="AS326">
        <v>-10.875</v>
      </c>
      <c r="AT326">
        <v>12</v>
      </c>
      <c r="AU326">
        <v>-0.42343750000000013</v>
      </c>
      <c r="AV326">
        <v>-5.1171874999999811E-2</v>
      </c>
      <c r="AW326">
        <v>0.49890625000000022</v>
      </c>
      <c r="AX326" t="s">
        <v>305</v>
      </c>
      <c r="AY326">
        <v>5</v>
      </c>
      <c r="AZ326">
        <v>3.4262500000000005</v>
      </c>
      <c r="BA326">
        <v>-2.4312499999999999</v>
      </c>
      <c r="BB326">
        <v>-24.1875</v>
      </c>
      <c r="BC326">
        <v>2.625</v>
      </c>
      <c r="BD326">
        <v>-3.1799999999999984</v>
      </c>
      <c r="BE326">
        <v>13.1875</v>
      </c>
      <c r="BF326">
        <v>1.625</v>
      </c>
      <c r="BG326">
        <v>23</v>
      </c>
      <c r="BH326">
        <v>24</v>
      </c>
      <c r="BI326">
        <v>-2.0625</v>
      </c>
      <c r="BJ326">
        <v>11</v>
      </c>
      <c r="BK326">
        <v>14.25</v>
      </c>
      <c r="BL326">
        <v>24</v>
      </c>
      <c r="BM326">
        <v>-2.9272112020216443E-2</v>
      </c>
      <c r="BN326">
        <v>23</v>
      </c>
      <c r="BO326">
        <v>-1.1925269494397782E-2</v>
      </c>
      <c r="BP326">
        <v>8</v>
      </c>
      <c r="BQ326">
        <v>-6.6767000360750367E-2</v>
      </c>
      <c r="BR326">
        <v>2</v>
      </c>
      <c r="BS326">
        <v>5</v>
      </c>
      <c r="BT326">
        <v>3.75</v>
      </c>
      <c r="BU326">
        <v>-6.3125</v>
      </c>
      <c r="BV326">
        <v>-0.4375</v>
      </c>
      <c r="BW326">
        <v>20.375</v>
      </c>
      <c r="BX326">
        <v>47.375</v>
      </c>
      <c r="BY326">
        <v>-24.9375</v>
      </c>
      <c r="BZ326">
        <v>-1.125</v>
      </c>
      <c r="CA326">
        <v>-0.9375</v>
      </c>
      <c r="CB326">
        <v>6</v>
      </c>
      <c r="CC326">
        <v>5.8574999999999999</v>
      </c>
      <c r="CD326">
        <v>1.2648750000000002</v>
      </c>
      <c r="CE326">
        <v>72.3125</v>
      </c>
      <c r="CF326">
        <v>-0.60124999999999984</v>
      </c>
    </row>
    <row r="327" spans="1:84" x14ac:dyDescent="0.2">
      <c r="A327" s="19">
        <v>44115</v>
      </c>
      <c r="B327" s="13" t="s">
        <v>381</v>
      </c>
      <c r="C327" s="41" t="s">
        <v>281</v>
      </c>
      <c r="D327" s="14" t="s">
        <v>289</v>
      </c>
      <c r="E327">
        <v>11.42</v>
      </c>
      <c r="F327">
        <v>12.8</v>
      </c>
      <c r="G327">
        <v>12.1</v>
      </c>
      <c r="H327">
        <v>10.7</v>
      </c>
      <c r="I327">
        <v>-1</v>
      </c>
      <c r="J327">
        <v>48.5</v>
      </c>
      <c r="K327" t="s">
        <v>735</v>
      </c>
      <c r="L327" t="s">
        <v>281</v>
      </c>
      <c r="M327">
        <v>32</v>
      </c>
      <c r="N327">
        <v>-7.6887499999999998</v>
      </c>
      <c r="O327">
        <v>13.15625</v>
      </c>
      <c r="P327">
        <v>64.3125</v>
      </c>
      <c r="Q327">
        <v>-1.0625</v>
      </c>
      <c r="R327">
        <v>-7.1975000000000025</v>
      </c>
      <c r="S327">
        <v>-52.8125</v>
      </c>
      <c r="T327">
        <v>-5.3125</v>
      </c>
      <c r="U327">
        <v>30</v>
      </c>
      <c r="V327">
        <v>28.5</v>
      </c>
      <c r="W327">
        <v>-0.1875</v>
      </c>
      <c r="X327">
        <v>26</v>
      </c>
      <c r="Y327">
        <v>21</v>
      </c>
      <c r="Z327">
        <v>12</v>
      </c>
      <c r="AA327">
        <v>1.9082783347200302E-2</v>
      </c>
      <c r="AB327">
        <v>24</v>
      </c>
      <c r="AC327">
        <v>-9.3305687397869236E-3</v>
      </c>
      <c r="AD327">
        <v>20</v>
      </c>
      <c r="AE327">
        <v>3.3123647186147173E-2</v>
      </c>
      <c r="AF327">
        <v>28</v>
      </c>
      <c r="AG327">
        <v>-2.0625</v>
      </c>
      <c r="AH327">
        <v>-2.9375</v>
      </c>
      <c r="AI327">
        <v>4.25</v>
      </c>
      <c r="AJ327">
        <v>-0.125</v>
      </c>
      <c r="AK327">
        <v>-8.625</v>
      </c>
      <c r="AL327">
        <v>-73.9375</v>
      </c>
      <c r="AM327">
        <v>70.9375</v>
      </c>
      <c r="AN327">
        <v>11.125</v>
      </c>
      <c r="AO327">
        <v>-16.75</v>
      </c>
      <c r="AP327">
        <v>32</v>
      </c>
      <c r="AQ327">
        <v>-20.844999999999999</v>
      </c>
      <c r="AR327">
        <v>-9.5553750000000015</v>
      </c>
      <c r="AS327">
        <v>-144.875</v>
      </c>
      <c r="AT327">
        <v>1</v>
      </c>
      <c r="AU327">
        <v>-0.39593750000000044</v>
      </c>
      <c r="AV327">
        <v>-0.53890624999999992</v>
      </c>
      <c r="AW327">
        <v>2.0770312500000001</v>
      </c>
      <c r="AX327" t="s">
        <v>289</v>
      </c>
      <c r="AY327">
        <v>32</v>
      </c>
      <c r="AZ327">
        <v>-6.9324999999999992</v>
      </c>
      <c r="BA327">
        <v>-6.5062499999999988</v>
      </c>
      <c r="BB327">
        <v>-23.9375</v>
      </c>
      <c r="BC327">
        <v>-0.6875</v>
      </c>
      <c r="BD327">
        <v>-9.9875000000000007</v>
      </c>
      <c r="BE327">
        <v>-44</v>
      </c>
      <c r="BF327">
        <v>-3.8125</v>
      </c>
      <c r="BG327">
        <v>27</v>
      </c>
      <c r="BH327">
        <v>27.5</v>
      </c>
      <c r="BI327">
        <v>-0.5</v>
      </c>
      <c r="BJ327">
        <v>15</v>
      </c>
      <c r="BK327">
        <v>16</v>
      </c>
      <c r="BL327">
        <v>32</v>
      </c>
      <c r="BM327">
        <v>-7.5546126992497908E-2</v>
      </c>
      <c r="BN327">
        <v>28</v>
      </c>
      <c r="BO327">
        <v>-2.2201962833372842E-2</v>
      </c>
      <c r="BP327">
        <v>3</v>
      </c>
      <c r="BQ327">
        <v>-0.11701388888888885</v>
      </c>
      <c r="BR327">
        <v>1</v>
      </c>
      <c r="BS327">
        <v>5.375</v>
      </c>
      <c r="BT327">
        <v>-3.5</v>
      </c>
      <c r="BU327">
        <v>-7.5</v>
      </c>
      <c r="BV327">
        <v>-0.4375</v>
      </c>
      <c r="BW327">
        <v>-102.4375</v>
      </c>
      <c r="BX327">
        <v>-63.375</v>
      </c>
      <c r="BY327">
        <v>-22.3125</v>
      </c>
      <c r="BZ327">
        <v>-6.125</v>
      </c>
      <c r="CA327">
        <v>-10.625</v>
      </c>
      <c r="CB327">
        <v>18</v>
      </c>
      <c r="CC327">
        <v>-0.42625000000000046</v>
      </c>
      <c r="CD327">
        <v>-0.13087500000000007</v>
      </c>
      <c r="CE327">
        <v>-41.0625</v>
      </c>
      <c r="CF327">
        <v>-3.1548437499999999</v>
      </c>
    </row>
    <row r="328" spans="1:84" x14ac:dyDescent="0.2">
      <c r="A328" s="19">
        <v>44115</v>
      </c>
      <c r="B328" s="13" t="s">
        <v>381</v>
      </c>
      <c r="C328" s="41" t="s">
        <v>291</v>
      </c>
      <c r="D328" s="14" t="s">
        <v>296</v>
      </c>
      <c r="E328">
        <v>4.0999999999999996</v>
      </c>
      <c r="F328">
        <v>23.4</v>
      </c>
      <c r="G328">
        <v>10.64</v>
      </c>
      <c r="H328">
        <v>1.6</v>
      </c>
      <c r="I328">
        <v>-7.5</v>
      </c>
      <c r="J328">
        <v>52.5</v>
      </c>
      <c r="K328" t="s">
        <v>734</v>
      </c>
      <c r="L328" t="s">
        <v>291</v>
      </c>
      <c r="M328">
        <v>5</v>
      </c>
      <c r="N328">
        <v>5.3562499999999993</v>
      </c>
      <c r="O328">
        <v>4.2312500000000011</v>
      </c>
      <c r="P328">
        <v>8.8125</v>
      </c>
      <c r="Q328">
        <v>1.5625</v>
      </c>
      <c r="R328">
        <v>10.612500000000001</v>
      </c>
      <c r="S328">
        <v>56.3125</v>
      </c>
      <c r="T328">
        <v>3.8125</v>
      </c>
      <c r="U328">
        <v>25</v>
      </c>
      <c r="V328">
        <v>23.5</v>
      </c>
      <c r="W328">
        <v>-2.8125</v>
      </c>
      <c r="X328">
        <v>13</v>
      </c>
      <c r="Y328">
        <v>15.25</v>
      </c>
      <c r="Z328">
        <v>18</v>
      </c>
      <c r="AA328">
        <v>-1.014142725161752E-2</v>
      </c>
      <c r="AB328">
        <v>21</v>
      </c>
      <c r="AC328">
        <v>-7.6431765360656075E-3</v>
      </c>
      <c r="AD328">
        <v>11</v>
      </c>
      <c r="AE328">
        <v>-1.8111749361749391E-2</v>
      </c>
      <c r="AF328">
        <v>11</v>
      </c>
      <c r="AG328">
        <v>0.6875</v>
      </c>
      <c r="AH328">
        <v>7.1875</v>
      </c>
      <c r="AI328">
        <v>3.625</v>
      </c>
      <c r="AJ328">
        <v>-0.4375</v>
      </c>
      <c r="AK328">
        <v>89.75</v>
      </c>
      <c r="AL328">
        <v>86</v>
      </c>
      <c r="AM328">
        <v>8.25</v>
      </c>
      <c r="AN328">
        <v>-2.3125</v>
      </c>
      <c r="AO328">
        <v>-2.1875</v>
      </c>
      <c r="AP328">
        <v>12</v>
      </c>
      <c r="AQ328">
        <v>1.1249999999999987</v>
      </c>
      <c r="AR328">
        <v>1.0781249999999996</v>
      </c>
      <c r="AS328">
        <v>77.75</v>
      </c>
      <c r="AT328">
        <v>21</v>
      </c>
      <c r="AU328">
        <v>2.3687500000000004</v>
      </c>
      <c r="AV328">
        <v>-2.7369791666666865E-2</v>
      </c>
      <c r="AW328">
        <v>1.4710937499999999</v>
      </c>
      <c r="AX328" t="s">
        <v>296</v>
      </c>
      <c r="AY328">
        <v>23</v>
      </c>
      <c r="AZ328">
        <v>-1.9337500000000016</v>
      </c>
      <c r="BA328">
        <v>-4.5833333333333837E-2</v>
      </c>
      <c r="BB328">
        <v>-13.770833333333332</v>
      </c>
      <c r="BC328">
        <v>-0.27083333333333326</v>
      </c>
      <c r="BD328">
        <v>-11.185416666666669</v>
      </c>
      <c r="BE328">
        <v>-41.833333333333329</v>
      </c>
      <c r="BF328">
        <v>-3.1458333333333339</v>
      </c>
      <c r="BG328">
        <v>9</v>
      </c>
      <c r="BH328">
        <v>10</v>
      </c>
      <c r="BI328">
        <v>3.8541666666666665</v>
      </c>
      <c r="BJ328">
        <v>6</v>
      </c>
      <c r="BK328">
        <v>10</v>
      </c>
      <c r="BL328">
        <v>12</v>
      </c>
      <c r="BM328">
        <v>5.339108749518956E-3</v>
      </c>
      <c r="BN328">
        <v>7</v>
      </c>
      <c r="BO328">
        <v>1.6390948439129555E-2</v>
      </c>
      <c r="BP328">
        <v>4</v>
      </c>
      <c r="BQ328">
        <v>-0.10133928571428573</v>
      </c>
      <c r="BR328">
        <v>17</v>
      </c>
      <c r="BS328">
        <v>-0.77083333333333337</v>
      </c>
      <c r="BT328">
        <v>-1.875</v>
      </c>
      <c r="BU328">
        <v>-1.125</v>
      </c>
      <c r="BV328">
        <v>-0.16666666666666666</v>
      </c>
      <c r="BW328">
        <v>-49.020833333333329</v>
      </c>
      <c r="BX328">
        <v>-24.4375</v>
      </c>
      <c r="BY328">
        <v>-22.583333333333336</v>
      </c>
      <c r="BZ328">
        <v>0.27083333333333326</v>
      </c>
      <c r="CA328">
        <v>-2.270833333333333</v>
      </c>
      <c r="CB328">
        <v>21</v>
      </c>
      <c r="CC328">
        <v>-1.8879166666666678</v>
      </c>
      <c r="CD328">
        <v>-2.6009166666666665</v>
      </c>
      <c r="CE328">
        <v>-1.8541666666666643</v>
      </c>
      <c r="CF328">
        <v>-1.5258333333333336</v>
      </c>
    </row>
    <row r="329" spans="1:84" x14ac:dyDescent="0.2">
      <c r="A329" s="19">
        <v>44115</v>
      </c>
      <c r="B329" s="13" t="s">
        <v>381</v>
      </c>
      <c r="C329" s="41" t="s">
        <v>311</v>
      </c>
      <c r="D329" s="14" t="s">
        <v>297</v>
      </c>
      <c r="E329">
        <v>15.8</v>
      </c>
      <c r="F329">
        <v>33.1</v>
      </c>
      <c r="G329">
        <v>10.7</v>
      </c>
      <c r="H329">
        <v>13.7</v>
      </c>
      <c r="I329">
        <v>-5.5</v>
      </c>
      <c r="J329">
        <v>54.5</v>
      </c>
      <c r="L329" t="s">
        <v>311</v>
      </c>
      <c r="M329">
        <v>15</v>
      </c>
      <c r="N329">
        <v>-0.49458333333333293</v>
      </c>
      <c r="O329">
        <v>-6.0229166666666689</v>
      </c>
      <c r="P329">
        <v>-21.229166666666668</v>
      </c>
      <c r="Q329">
        <v>-1.2291666666666665</v>
      </c>
      <c r="R329">
        <v>-3.0729166666666661</v>
      </c>
      <c r="S329">
        <v>5.645833333333333</v>
      </c>
      <c r="T329">
        <v>-3.854166666666667</v>
      </c>
      <c r="U329">
        <v>21</v>
      </c>
      <c r="V329">
        <v>20.5</v>
      </c>
      <c r="W329">
        <v>-2.7083333333333335</v>
      </c>
      <c r="X329">
        <v>2</v>
      </c>
      <c r="Y329">
        <v>8.25</v>
      </c>
      <c r="Z329">
        <v>10</v>
      </c>
      <c r="AA329">
        <v>2.3799941506435073E-2</v>
      </c>
      <c r="AB329">
        <v>2</v>
      </c>
      <c r="AC329">
        <v>2.554616609204673E-2</v>
      </c>
      <c r="AD329">
        <v>9</v>
      </c>
      <c r="AE329">
        <v>-5.8735657008683329E-2</v>
      </c>
      <c r="AF329">
        <v>12</v>
      </c>
      <c r="AG329">
        <v>0.54166666666666652</v>
      </c>
      <c r="AH329">
        <v>-9.875</v>
      </c>
      <c r="AI329">
        <v>-0.89583333333333304</v>
      </c>
      <c r="AJ329">
        <v>-0.5625</v>
      </c>
      <c r="AK329">
        <v>-34.583333333333329</v>
      </c>
      <c r="AL329">
        <v>3.9375</v>
      </c>
      <c r="AM329">
        <v>-31.979166666666664</v>
      </c>
      <c r="AN329">
        <v>-5.3125</v>
      </c>
      <c r="AO329">
        <v>-1.2291666666666665</v>
      </c>
      <c r="AP329">
        <v>6</v>
      </c>
      <c r="AQ329">
        <v>5.528333333333336</v>
      </c>
      <c r="AR329">
        <v>2.2979583333333347</v>
      </c>
      <c r="AS329">
        <v>35.916666666666664</v>
      </c>
      <c r="AT329">
        <v>27</v>
      </c>
      <c r="AU329">
        <v>-1.2586979166666665</v>
      </c>
      <c r="AV329">
        <v>0.67546875000000017</v>
      </c>
      <c r="AW329">
        <v>0.45838541666666677</v>
      </c>
      <c r="AX329" t="s">
        <v>297</v>
      </c>
      <c r="AY329">
        <v>8</v>
      </c>
      <c r="AZ329">
        <v>3.034166666666668</v>
      </c>
      <c r="BA329">
        <v>7.3395833333333327</v>
      </c>
      <c r="BB329">
        <v>10.166666666666668</v>
      </c>
      <c r="BC329">
        <v>0.97916666666666674</v>
      </c>
      <c r="BD329">
        <v>-2.1916666666666669</v>
      </c>
      <c r="BE329">
        <v>-19.520833333333336</v>
      </c>
      <c r="BF329">
        <v>-4.1875</v>
      </c>
      <c r="BG329">
        <v>24</v>
      </c>
      <c r="BH329">
        <v>24.5</v>
      </c>
      <c r="BI329">
        <v>-0.125</v>
      </c>
      <c r="BJ329">
        <v>31</v>
      </c>
      <c r="BK329">
        <v>26.25</v>
      </c>
      <c r="BL329">
        <v>22</v>
      </c>
      <c r="BM329">
        <v>-2.1382092225594514E-2</v>
      </c>
      <c r="BN329">
        <v>26</v>
      </c>
      <c r="BO329">
        <v>-2.0308756240128789E-2</v>
      </c>
      <c r="BP329">
        <v>31</v>
      </c>
      <c r="BQ329">
        <v>0.11970876345876344</v>
      </c>
      <c r="BR329">
        <v>26</v>
      </c>
      <c r="BS329">
        <v>-2.0208333333333335</v>
      </c>
      <c r="BT329">
        <v>-4.1875</v>
      </c>
      <c r="BU329">
        <v>5.270833333333333</v>
      </c>
      <c r="BV329">
        <v>-1</v>
      </c>
      <c r="BW329">
        <v>26.395833333333329</v>
      </c>
      <c r="BX329">
        <v>3.3333333333333286</v>
      </c>
      <c r="BY329">
        <v>9.0208333333333321</v>
      </c>
      <c r="BZ329">
        <v>12.958333333333334</v>
      </c>
      <c r="CA329">
        <v>1.0833333333333335</v>
      </c>
      <c r="CB329">
        <v>24</v>
      </c>
      <c r="CC329">
        <v>-4.3054166666666642</v>
      </c>
      <c r="CD329">
        <v>-3.501291666666666</v>
      </c>
      <c r="CE329">
        <v>-5.6875000000000036</v>
      </c>
      <c r="CF329">
        <v>0.89255208333333358</v>
      </c>
    </row>
    <row r="330" spans="1:84" x14ac:dyDescent="0.2">
      <c r="A330" s="19">
        <v>44115</v>
      </c>
      <c r="B330" s="13" t="s">
        <v>381</v>
      </c>
      <c r="C330" s="41" t="s">
        <v>289</v>
      </c>
      <c r="D330" s="14" t="s">
        <v>281</v>
      </c>
      <c r="E330">
        <v>12.9</v>
      </c>
      <c r="F330">
        <v>3.5</v>
      </c>
      <c r="G330">
        <v>8.3000000000000007</v>
      </c>
      <c r="H330">
        <v>8.3000000000000007</v>
      </c>
      <c r="I330">
        <v>1</v>
      </c>
      <c r="J330">
        <v>48.5</v>
      </c>
      <c r="K330" t="s">
        <v>735</v>
      </c>
      <c r="L330" t="s">
        <v>289</v>
      </c>
      <c r="M330">
        <v>30</v>
      </c>
      <c r="N330">
        <v>-5.0787499999999994</v>
      </c>
      <c r="O330">
        <v>0.80624999999999947</v>
      </c>
      <c r="P330">
        <v>-4.9375</v>
      </c>
      <c r="Q330">
        <v>0.375</v>
      </c>
      <c r="R330">
        <v>-10.206249999999997</v>
      </c>
      <c r="S330">
        <v>-32.75</v>
      </c>
      <c r="T330">
        <v>-2.75</v>
      </c>
      <c r="U330">
        <v>11</v>
      </c>
      <c r="V330">
        <v>11.5</v>
      </c>
      <c r="W330">
        <v>5.375</v>
      </c>
      <c r="X330">
        <v>29</v>
      </c>
      <c r="Y330">
        <v>24.75</v>
      </c>
      <c r="Z330">
        <v>27</v>
      </c>
      <c r="AA330">
        <v>-5.1221838688917762E-2</v>
      </c>
      <c r="AB330">
        <v>22</v>
      </c>
      <c r="AC330">
        <v>-7.7859167647405317E-3</v>
      </c>
      <c r="AD330">
        <v>30</v>
      </c>
      <c r="AE330">
        <v>9.8561507936507961E-2</v>
      </c>
      <c r="AF330">
        <v>20</v>
      </c>
      <c r="AG330">
        <v>-0.5</v>
      </c>
      <c r="AH330">
        <v>-1.25</v>
      </c>
      <c r="AI330">
        <v>-5.875</v>
      </c>
      <c r="AJ330">
        <v>2.875</v>
      </c>
      <c r="AK330">
        <v>-27.375</v>
      </c>
      <c r="AL330">
        <v>-13.3125</v>
      </c>
      <c r="AM330">
        <v>-0.3125</v>
      </c>
      <c r="AN330">
        <v>-2.8125</v>
      </c>
      <c r="AO330">
        <v>-10.9375</v>
      </c>
      <c r="AP330">
        <v>25</v>
      </c>
      <c r="AQ330">
        <v>-5.8849999999999989</v>
      </c>
      <c r="AR330">
        <v>-3.4601249999999992</v>
      </c>
      <c r="AS330">
        <v>-13</v>
      </c>
      <c r="AT330">
        <v>8</v>
      </c>
      <c r="AU330">
        <v>-1.8254687499999998</v>
      </c>
      <c r="AV330">
        <v>-0.53890624999999992</v>
      </c>
      <c r="AW330">
        <v>-3.1548437499999999</v>
      </c>
      <c r="AX330" t="s">
        <v>281</v>
      </c>
      <c r="AY330">
        <v>3</v>
      </c>
      <c r="AZ330">
        <v>4.5975000000000001</v>
      </c>
      <c r="BA330">
        <v>-0.12500000000000044</v>
      </c>
      <c r="BB330">
        <v>-18.0625</v>
      </c>
      <c r="BC330">
        <v>0.8125</v>
      </c>
      <c r="BD330">
        <v>14.018749999999999</v>
      </c>
      <c r="BE330">
        <v>30.0625</v>
      </c>
      <c r="BF330">
        <v>4.375</v>
      </c>
      <c r="BG330">
        <v>30</v>
      </c>
      <c r="BH330">
        <v>28.5</v>
      </c>
      <c r="BI330">
        <v>-2.0625</v>
      </c>
      <c r="BJ330">
        <v>22</v>
      </c>
      <c r="BK330">
        <v>20</v>
      </c>
      <c r="BL330">
        <v>21</v>
      </c>
      <c r="BM330">
        <v>-1.1554494438113898E-2</v>
      </c>
      <c r="BN330">
        <v>21</v>
      </c>
      <c r="BO330">
        <v>-1.0383526260958136E-2</v>
      </c>
      <c r="BP330">
        <v>25</v>
      </c>
      <c r="BQ330">
        <v>4.5928724053724015E-2</v>
      </c>
      <c r="BR330">
        <v>13</v>
      </c>
      <c r="BS330">
        <v>-0.1875</v>
      </c>
      <c r="BT330">
        <v>3.0625</v>
      </c>
      <c r="BU330">
        <v>5.75</v>
      </c>
      <c r="BV330">
        <v>-0.875</v>
      </c>
      <c r="BW330">
        <v>23.0625</v>
      </c>
      <c r="BX330">
        <v>48.5</v>
      </c>
      <c r="BY330">
        <v>-21.25</v>
      </c>
      <c r="BZ330">
        <v>3.3125</v>
      </c>
      <c r="CA330">
        <v>-7.5</v>
      </c>
      <c r="CB330">
        <v>9</v>
      </c>
      <c r="CC330">
        <v>4.7225000000000001</v>
      </c>
      <c r="CD330">
        <v>3.7857500000000002</v>
      </c>
      <c r="CE330">
        <v>69.75</v>
      </c>
      <c r="CF330">
        <v>2.0770312500000001</v>
      </c>
    </row>
    <row r="331" spans="1:84" x14ac:dyDescent="0.2">
      <c r="A331" s="19">
        <v>44115</v>
      </c>
      <c r="B331" s="13" t="s">
        <v>381</v>
      </c>
      <c r="C331" s="41" t="s">
        <v>297</v>
      </c>
      <c r="D331" s="14" t="s">
        <v>311</v>
      </c>
      <c r="E331">
        <v>4.5999999999999996</v>
      </c>
      <c r="F331">
        <v>14.9</v>
      </c>
      <c r="G331">
        <v>10.7</v>
      </c>
      <c r="H331">
        <v>4.5999999999999996</v>
      </c>
      <c r="I331">
        <v>5.5</v>
      </c>
      <c r="J331">
        <v>54.5</v>
      </c>
      <c r="L331" t="s">
        <v>297</v>
      </c>
      <c r="M331">
        <v>6</v>
      </c>
      <c r="N331">
        <v>2.4804166666666667</v>
      </c>
      <c r="O331">
        <v>1.3874999999999988</v>
      </c>
      <c r="P331">
        <v>-26.666666666666664</v>
      </c>
      <c r="Q331">
        <v>1.7083333333333333</v>
      </c>
      <c r="R331">
        <v>2.9104166666666664</v>
      </c>
      <c r="S331">
        <v>-13.645833333333332</v>
      </c>
      <c r="T331">
        <v>-0.33333333333333326</v>
      </c>
      <c r="U331">
        <v>3</v>
      </c>
      <c r="V331">
        <v>4</v>
      </c>
      <c r="W331">
        <v>-2.0208333333333335</v>
      </c>
      <c r="X331">
        <v>18</v>
      </c>
      <c r="Y331">
        <v>16.75</v>
      </c>
      <c r="Z331">
        <v>32</v>
      </c>
      <c r="AA331">
        <v>-8.5500211441152468E-2</v>
      </c>
      <c r="AB331">
        <v>14</v>
      </c>
      <c r="AC331">
        <v>1.6232042218169446E-3</v>
      </c>
      <c r="AD331">
        <v>4</v>
      </c>
      <c r="AE331">
        <v>-0.13023914742664744</v>
      </c>
      <c r="AF331">
        <v>17</v>
      </c>
      <c r="AG331">
        <v>-0.125</v>
      </c>
      <c r="AH331">
        <v>-1.8333333333333339</v>
      </c>
      <c r="AI331">
        <v>1.895833333333333</v>
      </c>
      <c r="AJ331">
        <v>0</v>
      </c>
      <c r="AK331">
        <v>7.7708333333333286</v>
      </c>
      <c r="AL331">
        <v>35.395833333333329</v>
      </c>
      <c r="AM331">
        <v>-33.541666666666664</v>
      </c>
      <c r="AN331">
        <v>7.6458333333333339</v>
      </c>
      <c r="AO331">
        <v>-1.7291666666666661</v>
      </c>
      <c r="AP331">
        <v>13</v>
      </c>
      <c r="AQ331">
        <v>1.0929166666666679</v>
      </c>
      <c r="AR331">
        <v>0.38441666666666729</v>
      </c>
      <c r="AS331">
        <v>68.9375</v>
      </c>
      <c r="AT331">
        <v>20</v>
      </c>
      <c r="AU331">
        <v>1.0998958333333331</v>
      </c>
      <c r="AV331">
        <v>0.67546875000000017</v>
      </c>
      <c r="AW331">
        <v>0.89255208333333358</v>
      </c>
      <c r="AX331" t="s">
        <v>311</v>
      </c>
      <c r="AY331">
        <v>26</v>
      </c>
      <c r="AZ331">
        <v>-3.5850000000000004</v>
      </c>
      <c r="BA331">
        <v>7.5791666666666675</v>
      </c>
      <c r="BB331">
        <v>43.479166666666671</v>
      </c>
      <c r="BC331">
        <v>-0.39583333333333326</v>
      </c>
      <c r="BD331">
        <v>-2.4729166666666655</v>
      </c>
      <c r="BE331">
        <v>-14.020833333333332</v>
      </c>
      <c r="BF331">
        <v>-0.20833333333333359</v>
      </c>
      <c r="BG331">
        <v>6</v>
      </c>
      <c r="BH331">
        <v>6.5</v>
      </c>
      <c r="BI331">
        <v>0.54166666666666652</v>
      </c>
      <c r="BJ331">
        <v>28</v>
      </c>
      <c r="BK331">
        <v>22</v>
      </c>
      <c r="BL331">
        <v>23</v>
      </c>
      <c r="BM331">
        <v>-2.5216139878508535E-2</v>
      </c>
      <c r="BN331">
        <v>5</v>
      </c>
      <c r="BO331">
        <v>2.1126419863558354E-2</v>
      </c>
      <c r="BP331">
        <v>32</v>
      </c>
      <c r="BQ331">
        <v>0.14818159271284273</v>
      </c>
      <c r="BR331">
        <v>28</v>
      </c>
      <c r="BS331">
        <v>-2.7083333333333335</v>
      </c>
      <c r="BT331">
        <v>6.25</v>
      </c>
      <c r="BU331">
        <v>3</v>
      </c>
      <c r="BV331">
        <v>0.27083333333333337</v>
      </c>
      <c r="BW331">
        <v>25.979166666666671</v>
      </c>
      <c r="BX331">
        <v>-11.4375</v>
      </c>
      <c r="BY331">
        <v>48.291666666666664</v>
      </c>
      <c r="BZ331">
        <v>0.33333333333333304</v>
      </c>
      <c r="CA331">
        <v>-11.208333333333332</v>
      </c>
      <c r="CB331">
        <v>31</v>
      </c>
      <c r="CC331">
        <v>-11.164166666666668</v>
      </c>
      <c r="CD331">
        <v>-5.0011666666666672</v>
      </c>
      <c r="CE331">
        <v>-59.729166666666664</v>
      </c>
      <c r="CF331">
        <v>0.45838541666666677</v>
      </c>
    </row>
    <row r="332" spans="1:84" x14ac:dyDescent="0.2">
      <c r="A332" s="19">
        <v>44115</v>
      </c>
      <c r="B332" s="13" t="s">
        <v>381</v>
      </c>
      <c r="C332" s="41" t="s">
        <v>288</v>
      </c>
      <c r="D332" s="14" t="s">
        <v>303</v>
      </c>
      <c r="E332">
        <v>18.3</v>
      </c>
      <c r="F332">
        <v>10.4</v>
      </c>
      <c r="G332">
        <v>7</v>
      </c>
      <c r="H332">
        <v>27.8</v>
      </c>
      <c r="I332">
        <v>-10.5</v>
      </c>
      <c r="J332">
        <v>54</v>
      </c>
      <c r="L332" t="s">
        <v>288</v>
      </c>
      <c r="M332">
        <v>4</v>
      </c>
      <c r="N332">
        <v>7.1087499999999997</v>
      </c>
      <c r="O332">
        <v>-2.5562500000000008</v>
      </c>
      <c r="P332">
        <v>-8.5</v>
      </c>
      <c r="Q332">
        <v>-0.5</v>
      </c>
      <c r="R332">
        <v>13.65625</v>
      </c>
      <c r="S332">
        <v>39.3125</v>
      </c>
      <c r="T332">
        <v>5.25</v>
      </c>
      <c r="U332">
        <v>16</v>
      </c>
      <c r="V332">
        <v>16</v>
      </c>
      <c r="W332">
        <v>3.25</v>
      </c>
      <c r="X332">
        <v>31</v>
      </c>
      <c r="Y332">
        <v>26.25</v>
      </c>
      <c r="Z332">
        <v>17</v>
      </c>
      <c r="AA332">
        <v>-6.3148979286806323E-3</v>
      </c>
      <c r="AB332">
        <v>32</v>
      </c>
      <c r="AC332">
        <v>-3.3130994891262644E-2</v>
      </c>
      <c r="AD332">
        <v>26</v>
      </c>
      <c r="AE332">
        <v>7.5842126623376638E-2</v>
      </c>
      <c r="AF332">
        <v>30</v>
      </c>
      <c r="AG332">
        <v>-3.25</v>
      </c>
      <c r="AH332">
        <v>0.9375</v>
      </c>
      <c r="AI332">
        <v>4.25</v>
      </c>
      <c r="AJ332">
        <v>0.875</v>
      </c>
      <c r="AK332">
        <v>32.9375</v>
      </c>
      <c r="AL332">
        <v>24.125</v>
      </c>
      <c r="AM332">
        <v>-4.3125</v>
      </c>
      <c r="AN332">
        <v>5.4375</v>
      </c>
      <c r="AO332">
        <v>7.6875</v>
      </c>
      <c r="AP332">
        <v>3</v>
      </c>
      <c r="AQ332">
        <v>9.6650000000000009</v>
      </c>
      <c r="AR332">
        <v>5.4311249999999998</v>
      </c>
      <c r="AS332">
        <v>28.4375</v>
      </c>
      <c r="AT332">
        <v>30</v>
      </c>
      <c r="AU332">
        <v>2.3698437499999998</v>
      </c>
      <c r="AV332">
        <v>-0.7420312499999997</v>
      </c>
      <c r="AW332">
        <v>-0.92421874999999976</v>
      </c>
      <c r="AX332" t="s">
        <v>303</v>
      </c>
      <c r="AY332">
        <v>28</v>
      </c>
      <c r="AZ332">
        <v>-4.1849999999999996</v>
      </c>
      <c r="BA332">
        <v>4.2625000000000011</v>
      </c>
      <c r="BB332">
        <v>14.125</v>
      </c>
      <c r="BC332">
        <v>0.3125</v>
      </c>
      <c r="BD332">
        <v>-5.9937499999999986</v>
      </c>
      <c r="BE332">
        <v>-37.625</v>
      </c>
      <c r="BF332">
        <v>-1.875</v>
      </c>
      <c r="BG332">
        <v>11</v>
      </c>
      <c r="BH332">
        <v>11</v>
      </c>
      <c r="BI332">
        <v>6.25E-2</v>
      </c>
      <c r="BJ332">
        <v>30</v>
      </c>
      <c r="BK332">
        <v>22.75</v>
      </c>
      <c r="BL332">
        <v>17</v>
      </c>
      <c r="BM332">
        <v>-2.7112190836264885E-3</v>
      </c>
      <c r="BN332">
        <v>30</v>
      </c>
      <c r="BO332">
        <v>-2.2885328787652974E-2</v>
      </c>
      <c r="BP332">
        <v>13</v>
      </c>
      <c r="BQ332">
        <v>-1.181943056943055E-2</v>
      </c>
      <c r="BR332">
        <v>31</v>
      </c>
      <c r="BS332">
        <v>-2.9375</v>
      </c>
      <c r="BT332">
        <v>-2.8125</v>
      </c>
      <c r="BU332">
        <v>1.9375</v>
      </c>
      <c r="BV332">
        <v>0.4375</v>
      </c>
      <c r="BW332">
        <v>-7.5625</v>
      </c>
      <c r="BX332">
        <v>-18.5625</v>
      </c>
      <c r="BY332">
        <v>15.5625</v>
      </c>
      <c r="BZ332">
        <v>1.875</v>
      </c>
      <c r="CA332">
        <v>-6.4375</v>
      </c>
      <c r="CB332">
        <v>29</v>
      </c>
      <c r="CC332">
        <v>-8.4475000000000016</v>
      </c>
      <c r="CD332">
        <v>-4.1669999999999998</v>
      </c>
      <c r="CE332">
        <v>-34.125</v>
      </c>
      <c r="CF332">
        <v>-0.55984374999999964</v>
      </c>
    </row>
    <row r="333" spans="1:84" x14ac:dyDescent="0.2">
      <c r="A333" s="19">
        <v>44115</v>
      </c>
      <c r="B333" s="13" t="s">
        <v>381</v>
      </c>
      <c r="C333" s="41" t="s">
        <v>303</v>
      </c>
      <c r="D333" s="14" t="s">
        <v>288</v>
      </c>
      <c r="E333">
        <v>22.8</v>
      </c>
      <c r="F333">
        <v>14.7</v>
      </c>
      <c r="G333">
        <v>5.2</v>
      </c>
      <c r="H333">
        <v>15.8</v>
      </c>
      <c r="I333">
        <v>10.5</v>
      </c>
      <c r="J333">
        <v>54</v>
      </c>
      <c r="L333" t="s">
        <v>303</v>
      </c>
      <c r="M333">
        <v>18</v>
      </c>
      <c r="N333">
        <v>-0.89874999999999838</v>
      </c>
      <c r="O333">
        <v>0.9562499999999986</v>
      </c>
      <c r="P333">
        <v>14.4375</v>
      </c>
      <c r="Q333">
        <v>0.625</v>
      </c>
      <c r="R333">
        <v>-3.6187499999999995</v>
      </c>
      <c r="S333">
        <v>-16.6875</v>
      </c>
      <c r="T333">
        <v>-0.5625</v>
      </c>
      <c r="U333">
        <v>2</v>
      </c>
      <c r="V333">
        <v>2</v>
      </c>
      <c r="W333">
        <v>-2.9375</v>
      </c>
      <c r="X333">
        <v>19</v>
      </c>
      <c r="Y333">
        <v>17.75</v>
      </c>
      <c r="Z333">
        <v>21</v>
      </c>
      <c r="AA333">
        <v>-2.8764626188068285E-2</v>
      </c>
      <c r="AB333">
        <v>19</v>
      </c>
      <c r="AC333">
        <v>-3.6346886625371246E-3</v>
      </c>
      <c r="AD333">
        <v>16</v>
      </c>
      <c r="AE333">
        <v>1.1060049019607859E-2</v>
      </c>
      <c r="AF333">
        <v>15</v>
      </c>
      <c r="AG333">
        <v>6.25E-2</v>
      </c>
      <c r="AH333">
        <v>3.5</v>
      </c>
      <c r="AI333">
        <v>2.125</v>
      </c>
      <c r="AJ333">
        <v>-0.4375</v>
      </c>
      <c r="AK333">
        <v>29.6875</v>
      </c>
      <c r="AL333">
        <v>18.625</v>
      </c>
      <c r="AM333">
        <v>20.25</v>
      </c>
      <c r="AN333">
        <v>-0.25</v>
      </c>
      <c r="AO333">
        <v>-8.9375</v>
      </c>
      <c r="AP333">
        <v>22</v>
      </c>
      <c r="AQ333">
        <v>-1.8549999999999969</v>
      </c>
      <c r="AR333">
        <v>-1.381624999999999</v>
      </c>
      <c r="AS333">
        <v>-1.625</v>
      </c>
      <c r="AT333">
        <v>11</v>
      </c>
      <c r="AU333">
        <v>-7.6562499999999201E-3</v>
      </c>
      <c r="AV333">
        <v>-0.7420312499999997</v>
      </c>
      <c r="AW333">
        <v>-0.55984374999999964</v>
      </c>
      <c r="AX333" t="s">
        <v>288</v>
      </c>
      <c r="AY333">
        <v>25</v>
      </c>
      <c r="AZ333">
        <v>-2.6312499999999996</v>
      </c>
      <c r="BA333">
        <v>2.3875000000000011</v>
      </c>
      <c r="BB333">
        <v>19.3125</v>
      </c>
      <c r="BC333">
        <v>0.625</v>
      </c>
      <c r="BD333">
        <v>-5.2124999999999995</v>
      </c>
      <c r="BE333">
        <v>-42.5</v>
      </c>
      <c r="BF333">
        <v>1.1875</v>
      </c>
      <c r="BG333">
        <v>24</v>
      </c>
      <c r="BH333">
        <v>24.5</v>
      </c>
      <c r="BI333">
        <v>-3.25</v>
      </c>
      <c r="BJ333">
        <v>8</v>
      </c>
      <c r="BK333">
        <v>10.75</v>
      </c>
      <c r="BL333">
        <v>19</v>
      </c>
      <c r="BM333">
        <v>-8.9630822151520462E-3</v>
      </c>
      <c r="BN333">
        <v>12</v>
      </c>
      <c r="BO333">
        <v>6.9900753705203576E-3</v>
      </c>
      <c r="BP333">
        <v>7</v>
      </c>
      <c r="BQ333">
        <v>-7.0532663823104996E-2</v>
      </c>
      <c r="BR333">
        <v>5</v>
      </c>
      <c r="BS333">
        <v>3.25</v>
      </c>
      <c r="BT333">
        <v>3.1875</v>
      </c>
      <c r="BU333">
        <v>-5.9375</v>
      </c>
      <c r="BV333">
        <v>-0.4375</v>
      </c>
      <c r="BW333">
        <v>-5.625</v>
      </c>
      <c r="BX333">
        <v>-31.8125</v>
      </c>
      <c r="BY333">
        <v>22.5625</v>
      </c>
      <c r="BZ333">
        <v>0.6875</v>
      </c>
      <c r="CA333">
        <v>2.9375</v>
      </c>
      <c r="CB333">
        <v>26</v>
      </c>
      <c r="CC333">
        <v>-5.0187500000000007</v>
      </c>
      <c r="CD333">
        <v>-2.7625000000000002</v>
      </c>
      <c r="CE333">
        <v>-54.375</v>
      </c>
      <c r="CF333">
        <v>-0.92421874999999976</v>
      </c>
    </row>
    <row r="334" spans="1:84" x14ac:dyDescent="0.2">
      <c r="A334" s="19">
        <v>44115</v>
      </c>
      <c r="B334" s="13" t="s">
        <v>381</v>
      </c>
      <c r="C334" s="41" t="s">
        <v>287</v>
      </c>
      <c r="D334" s="14" t="s">
        <v>307</v>
      </c>
      <c r="E334">
        <v>10.9</v>
      </c>
      <c r="F334">
        <v>30.9</v>
      </c>
      <c r="G334">
        <v>5.5</v>
      </c>
      <c r="H334">
        <v>12.3</v>
      </c>
      <c r="I334">
        <v>7</v>
      </c>
      <c r="J334">
        <v>49</v>
      </c>
      <c r="L334" t="s">
        <v>287</v>
      </c>
      <c r="M334">
        <v>7</v>
      </c>
      <c r="N334">
        <v>2.2799999999999994</v>
      </c>
      <c r="O334">
        <v>-1.9500000000000011</v>
      </c>
      <c r="P334">
        <v>11.0625</v>
      </c>
      <c r="Q334">
        <v>-0.75</v>
      </c>
      <c r="R334">
        <v>4.2625000000000011</v>
      </c>
      <c r="S334">
        <v>37.875</v>
      </c>
      <c r="T334">
        <v>1.875</v>
      </c>
      <c r="U334">
        <v>9</v>
      </c>
      <c r="V334">
        <v>10</v>
      </c>
      <c r="W334">
        <v>0.125</v>
      </c>
      <c r="X334">
        <v>20</v>
      </c>
      <c r="Y334">
        <v>18.5</v>
      </c>
      <c r="Z334">
        <v>3</v>
      </c>
      <c r="AA334">
        <v>8.978002298402929E-2</v>
      </c>
      <c r="AB334">
        <v>25</v>
      </c>
      <c r="AC334">
        <v>-1.0662077509187176E-2</v>
      </c>
      <c r="AD334">
        <v>27</v>
      </c>
      <c r="AE334">
        <v>9.1441065062388582E-2</v>
      </c>
      <c r="AF334">
        <v>19</v>
      </c>
      <c r="AG334">
        <v>-0.375</v>
      </c>
      <c r="AH334">
        <v>3.0625</v>
      </c>
      <c r="AI334">
        <v>-2.375</v>
      </c>
      <c r="AJ334">
        <v>0.4375</v>
      </c>
      <c r="AK334">
        <v>41.8125</v>
      </c>
      <c r="AL334">
        <v>43.6875</v>
      </c>
      <c r="AM334">
        <v>9.3125</v>
      </c>
      <c r="AN334">
        <v>-1.75</v>
      </c>
      <c r="AO334">
        <v>-9.4375</v>
      </c>
      <c r="AP334">
        <v>8</v>
      </c>
      <c r="AQ334">
        <v>4.2300000000000004</v>
      </c>
      <c r="AR334">
        <v>2.2835000000000005</v>
      </c>
      <c r="AS334">
        <v>34.375</v>
      </c>
      <c r="AT334">
        <v>25</v>
      </c>
      <c r="AU334">
        <v>0.61312499999999992</v>
      </c>
      <c r="AV334">
        <v>-0.75164062500000006</v>
      </c>
      <c r="AW334">
        <v>-0.56812499999999977</v>
      </c>
      <c r="AX334" t="s">
        <v>307</v>
      </c>
      <c r="AY334">
        <v>15</v>
      </c>
      <c r="AZ334">
        <v>0.88124999999999787</v>
      </c>
      <c r="BA334">
        <v>-6.5562500000000004</v>
      </c>
      <c r="BB334">
        <v>-15.875</v>
      </c>
      <c r="BC334">
        <v>-2.4375</v>
      </c>
      <c r="BD334">
        <v>-1.3687500000000021</v>
      </c>
      <c r="BE334">
        <v>-21.25</v>
      </c>
      <c r="BF334">
        <v>-1.4375</v>
      </c>
      <c r="BG334">
        <v>20</v>
      </c>
      <c r="BH334">
        <v>20</v>
      </c>
      <c r="BI334">
        <v>-3.3125</v>
      </c>
      <c r="BJ334">
        <v>1</v>
      </c>
      <c r="BK334">
        <v>8.75</v>
      </c>
      <c r="BL334">
        <v>3</v>
      </c>
      <c r="BM334">
        <v>8.0052089170000118E-2</v>
      </c>
      <c r="BN334">
        <v>6</v>
      </c>
      <c r="BO334">
        <v>2.0499827085330508E-2</v>
      </c>
      <c r="BP334">
        <v>19</v>
      </c>
      <c r="BQ334">
        <v>1.1235119047619035E-2</v>
      </c>
      <c r="BR334">
        <v>7</v>
      </c>
      <c r="BS334">
        <v>1.4375</v>
      </c>
      <c r="BT334">
        <v>-2.4375</v>
      </c>
      <c r="BU334">
        <v>1.3125</v>
      </c>
      <c r="BV334">
        <v>-0.6875</v>
      </c>
      <c r="BW334">
        <v>-43.8125</v>
      </c>
      <c r="BX334">
        <v>-25</v>
      </c>
      <c r="BY334">
        <v>-22.1875</v>
      </c>
      <c r="BZ334">
        <v>-0.9375</v>
      </c>
      <c r="CA334">
        <v>4.3125</v>
      </c>
      <c r="CB334">
        <v>3</v>
      </c>
      <c r="CC334">
        <v>7.4374999999999982</v>
      </c>
      <c r="CD334">
        <v>3.1806249999999991</v>
      </c>
      <c r="CE334">
        <v>-2.8125</v>
      </c>
      <c r="CF334">
        <v>-0.93515625000000047</v>
      </c>
    </row>
    <row r="335" spans="1:84" x14ac:dyDescent="0.2">
      <c r="A335" s="19">
        <v>44115</v>
      </c>
      <c r="B335" s="13" t="s">
        <v>381</v>
      </c>
      <c r="C335" s="41" t="s">
        <v>304</v>
      </c>
      <c r="D335" s="14" t="s">
        <v>306</v>
      </c>
      <c r="E335">
        <v>17.100000000000001</v>
      </c>
      <c r="F335">
        <v>11.6</v>
      </c>
      <c r="G335">
        <v>6.6</v>
      </c>
      <c r="H335">
        <v>13</v>
      </c>
      <c r="I335">
        <v>-7</v>
      </c>
      <c r="J335">
        <v>45</v>
      </c>
      <c r="K335" t="s">
        <v>735</v>
      </c>
      <c r="L335" t="s">
        <v>304</v>
      </c>
      <c r="M335">
        <v>26</v>
      </c>
      <c r="N335">
        <v>-3.1850000000000014</v>
      </c>
      <c r="O335">
        <v>2.237499999999998</v>
      </c>
      <c r="P335">
        <v>26.75</v>
      </c>
      <c r="Q335">
        <v>6.25E-2</v>
      </c>
      <c r="R335">
        <v>-1.573750000000004</v>
      </c>
      <c r="S335">
        <v>5</v>
      </c>
      <c r="T335">
        <v>-3.3125</v>
      </c>
      <c r="U335">
        <v>29</v>
      </c>
      <c r="V335">
        <v>28</v>
      </c>
      <c r="W335">
        <v>-0.5625</v>
      </c>
      <c r="X335">
        <v>23</v>
      </c>
      <c r="Y335">
        <v>19</v>
      </c>
      <c r="Z335">
        <v>20</v>
      </c>
      <c r="AA335">
        <v>-2.4494778926731187E-2</v>
      </c>
      <c r="AB335">
        <v>29</v>
      </c>
      <c r="AC335">
        <v>-2.3214282953531989E-2</v>
      </c>
      <c r="AD335">
        <v>7</v>
      </c>
      <c r="AE335">
        <v>-8.2961309523809534E-2</v>
      </c>
      <c r="AF335">
        <v>20</v>
      </c>
      <c r="AG335">
        <v>-0.5</v>
      </c>
      <c r="AH335">
        <v>-1.25</v>
      </c>
      <c r="AI335">
        <v>-1.4375</v>
      </c>
      <c r="AJ335">
        <v>-0.125</v>
      </c>
      <c r="AK335">
        <v>20.1875</v>
      </c>
      <c r="AL335">
        <v>-0.5625</v>
      </c>
      <c r="AM335">
        <v>19.375</v>
      </c>
      <c r="AN335">
        <v>3.625</v>
      </c>
      <c r="AO335">
        <v>-2.25</v>
      </c>
      <c r="AP335">
        <v>24</v>
      </c>
      <c r="AQ335">
        <v>-5.4224999999999994</v>
      </c>
      <c r="AR335">
        <v>-2.0705</v>
      </c>
      <c r="AS335">
        <v>-19.9375</v>
      </c>
      <c r="AT335">
        <v>9</v>
      </c>
      <c r="AU335">
        <v>-0.61984375000000091</v>
      </c>
      <c r="AV335">
        <v>-0.49812499999999993</v>
      </c>
      <c r="AW335">
        <v>-1.1754687499999998</v>
      </c>
      <c r="AX335" t="s">
        <v>306</v>
      </c>
      <c r="AY335">
        <v>12</v>
      </c>
      <c r="AZ335">
        <v>1.6887499999999989</v>
      </c>
      <c r="BA335">
        <v>-1.0750000000000002</v>
      </c>
      <c r="BB335">
        <v>-6.375</v>
      </c>
      <c r="BC335">
        <v>-0.625</v>
      </c>
      <c r="BD335">
        <v>-0.11749999999999883</v>
      </c>
      <c r="BE335">
        <v>20.125</v>
      </c>
      <c r="BF335">
        <v>-6.25E-2</v>
      </c>
      <c r="BG335">
        <v>11</v>
      </c>
      <c r="BH335">
        <v>11</v>
      </c>
      <c r="BI335">
        <v>0.75</v>
      </c>
      <c r="BJ335">
        <v>2</v>
      </c>
      <c r="BK335">
        <v>9</v>
      </c>
      <c r="BL335">
        <v>4</v>
      </c>
      <c r="BM335">
        <v>4.6790291071448192E-2</v>
      </c>
      <c r="BN335">
        <v>3</v>
      </c>
      <c r="BO335">
        <v>2.5411387198352391E-2</v>
      </c>
      <c r="BP335">
        <v>20</v>
      </c>
      <c r="BQ335">
        <v>1.778048340548341E-2</v>
      </c>
      <c r="BR335">
        <v>9</v>
      </c>
      <c r="BS335">
        <v>1.0625</v>
      </c>
      <c r="BT335">
        <v>-0.6875</v>
      </c>
      <c r="BU335">
        <v>2.5625</v>
      </c>
      <c r="BV335">
        <v>-1.3125</v>
      </c>
      <c r="BW335">
        <v>-8.875</v>
      </c>
      <c r="BX335">
        <v>16.5</v>
      </c>
      <c r="BY335">
        <v>-13.4375</v>
      </c>
      <c r="BZ335">
        <v>-2.6875</v>
      </c>
      <c r="CA335">
        <v>-9.25</v>
      </c>
      <c r="CB335">
        <v>13</v>
      </c>
      <c r="CC335">
        <v>2.763749999999999</v>
      </c>
      <c r="CD335">
        <v>0.85175000000000023</v>
      </c>
      <c r="CE335">
        <v>29.9375</v>
      </c>
      <c r="CF335">
        <v>0.17921875000000004</v>
      </c>
    </row>
    <row r="336" spans="1:84" x14ac:dyDescent="0.2">
      <c r="A336" s="19">
        <v>44115</v>
      </c>
      <c r="B336" s="13" t="s">
        <v>381</v>
      </c>
      <c r="C336" s="41" t="s">
        <v>293</v>
      </c>
      <c r="D336" s="14" t="s">
        <v>256</v>
      </c>
      <c r="E336">
        <v>13</v>
      </c>
      <c r="F336">
        <v>23.6</v>
      </c>
      <c r="G336">
        <v>4.3</v>
      </c>
      <c r="H336">
        <v>14.1</v>
      </c>
      <c r="I336">
        <v>8.5</v>
      </c>
      <c r="J336">
        <v>50.5</v>
      </c>
      <c r="K336" t="s">
        <v>735</v>
      </c>
      <c r="L336" t="s">
        <v>293</v>
      </c>
      <c r="M336">
        <v>24</v>
      </c>
      <c r="N336">
        <v>-2.1149999999999989</v>
      </c>
      <c r="O336">
        <v>-1.4812500000000006</v>
      </c>
      <c r="P336">
        <v>-15.6875</v>
      </c>
      <c r="Q336">
        <v>-0.75</v>
      </c>
      <c r="R336">
        <v>-10.199999999999999</v>
      </c>
      <c r="S336">
        <v>-53.375</v>
      </c>
      <c r="T336">
        <v>-2.875</v>
      </c>
      <c r="U336">
        <v>9</v>
      </c>
      <c r="V336">
        <v>10</v>
      </c>
      <c r="W336">
        <v>0.3125</v>
      </c>
      <c r="X336">
        <v>24</v>
      </c>
      <c r="Y336">
        <v>19.25</v>
      </c>
      <c r="Z336">
        <v>16</v>
      </c>
      <c r="AA336">
        <v>-4.8216179946745374E-3</v>
      </c>
      <c r="AB336">
        <v>16</v>
      </c>
      <c r="AC336">
        <v>-1.6357709131438469E-4</v>
      </c>
      <c r="AD336">
        <v>21</v>
      </c>
      <c r="AE336">
        <v>3.7008477633477643E-2</v>
      </c>
      <c r="AF336">
        <v>24</v>
      </c>
      <c r="AG336">
        <v>-1.125</v>
      </c>
      <c r="AH336">
        <v>-1.25</v>
      </c>
      <c r="AI336">
        <v>-2</v>
      </c>
      <c r="AJ336">
        <v>-0.875</v>
      </c>
      <c r="AK336">
        <v>-49.6875</v>
      </c>
      <c r="AL336">
        <v>-54.4375</v>
      </c>
      <c r="AM336">
        <v>-5.75</v>
      </c>
      <c r="AN336">
        <v>1.75</v>
      </c>
      <c r="AO336">
        <v>8.75</v>
      </c>
      <c r="AP336">
        <v>18</v>
      </c>
      <c r="AQ336">
        <v>-0.63374999999999826</v>
      </c>
      <c r="AR336">
        <v>-1.7223749999999993</v>
      </c>
      <c r="AS336">
        <v>-48.6875</v>
      </c>
      <c r="AT336">
        <v>15</v>
      </c>
      <c r="AU336">
        <v>-1.5839062499999996</v>
      </c>
      <c r="AV336">
        <v>-0.89164062499999974</v>
      </c>
      <c r="AW336">
        <v>-1.0814062499999997</v>
      </c>
      <c r="AX336" t="s">
        <v>256</v>
      </c>
      <c r="AY336">
        <v>19</v>
      </c>
      <c r="AZ336">
        <v>-0.69625000000000004</v>
      </c>
      <c r="BA336">
        <v>-2.1687500000000002</v>
      </c>
      <c r="BB336">
        <v>-7.3125</v>
      </c>
      <c r="BC336">
        <v>-0.5</v>
      </c>
      <c r="BD336">
        <v>-3.0624999999999987</v>
      </c>
      <c r="BE336">
        <v>-5.6875</v>
      </c>
      <c r="BF336">
        <v>-0.9375</v>
      </c>
      <c r="BG336">
        <v>14</v>
      </c>
      <c r="BH336">
        <v>13.5</v>
      </c>
      <c r="BI336">
        <v>1.1875</v>
      </c>
      <c r="BJ336">
        <v>15</v>
      </c>
      <c r="BK336">
        <v>16</v>
      </c>
      <c r="BL336">
        <v>8</v>
      </c>
      <c r="BM336">
        <v>2.3026346025627698E-2</v>
      </c>
      <c r="BN336">
        <v>24</v>
      </c>
      <c r="BO336">
        <v>-1.6259232653606449E-2</v>
      </c>
      <c r="BP336">
        <v>5</v>
      </c>
      <c r="BQ336">
        <v>-9.8850108225108216E-2</v>
      </c>
      <c r="BR336">
        <v>27</v>
      </c>
      <c r="BS336">
        <v>-2.25</v>
      </c>
      <c r="BT336">
        <v>-3.875</v>
      </c>
      <c r="BU336">
        <v>-1.5</v>
      </c>
      <c r="BV336">
        <v>0.875</v>
      </c>
      <c r="BW336">
        <v>-24.375</v>
      </c>
      <c r="BX336">
        <v>-26.375</v>
      </c>
      <c r="BY336">
        <v>-9.375</v>
      </c>
      <c r="BZ336">
        <v>2.25</v>
      </c>
      <c r="CA336">
        <v>9.125</v>
      </c>
      <c r="CB336">
        <v>15</v>
      </c>
      <c r="CC336">
        <v>1.4725000000000001</v>
      </c>
      <c r="CD336">
        <v>0.33262500000000039</v>
      </c>
      <c r="CE336">
        <v>-17</v>
      </c>
      <c r="CF336">
        <v>-0.7018749999999998</v>
      </c>
    </row>
    <row r="337" spans="1:84" x14ac:dyDescent="0.2">
      <c r="A337" s="19">
        <v>44115</v>
      </c>
      <c r="B337" s="13" t="s">
        <v>381</v>
      </c>
      <c r="C337" s="41" t="s">
        <v>312</v>
      </c>
      <c r="D337" s="14" t="s">
        <v>308</v>
      </c>
      <c r="E337">
        <v>29.3</v>
      </c>
      <c r="F337">
        <v>5.5</v>
      </c>
      <c r="G337">
        <v>2.2999999999999998</v>
      </c>
      <c r="H337">
        <v>10.4</v>
      </c>
      <c r="I337">
        <v>6.5</v>
      </c>
      <c r="J337">
        <v>55</v>
      </c>
      <c r="L337" t="s">
        <v>312</v>
      </c>
      <c r="M337">
        <v>25</v>
      </c>
      <c r="N337">
        <v>-2.1508333333333334</v>
      </c>
      <c r="O337">
        <v>3.9187500000000006</v>
      </c>
      <c r="P337">
        <v>26.770833333333336</v>
      </c>
      <c r="Q337">
        <v>-1.2916666666666667</v>
      </c>
      <c r="R337">
        <v>3.541666666666667</v>
      </c>
      <c r="S337">
        <v>27.041666666666671</v>
      </c>
      <c r="T337">
        <v>-2.770833333333333</v>
      </c>
      <c r="U337">
        <v>22</v>
      </c>
      <c r="V337">
        <v>21</v>
      </c>
      <c r="W337">
        <v>-0.83333333333333337</v>
      </c>
      <c r="X337">
        <v>2</v>
      </c>
      <c r="Y337">
        <v>8.25</v>
      </c>
      <c r="Z337">
        <v>1</v>
      </c>
      <c r="AA337">
        <v>0.11844731643410493</v>
      </c>
      <c r="AB337">
        <v>1</v>
      </c>
      <c r="AC337">
        <v>2.7677498105147979E-2</v>
      </c>
      <c r="AD337">
        <v>22</v>
      </c>
      <c r="AE337">
        <v>3.922784391534391E-2</v>
      </c>
      <c r="AF337">
        <v>9</v>
      </c>
      <c r="AG337">
        <v>0.75</v>
      </c>
      <c r="AH337">
        <v>-5.8958333333333339</v>
      </c>
      <c r="AI337">
        <v>3.083333333333333</v>
      </c>
      <c r="AJ337">
        <v>-0.4375</v>
      </c>
      <c r="AK337">
        <v>3.2708333333333286</v>
      </c>
      <c r="AL337">
        <v>-14.604166666666671</v>
      </c>
      <c r="AM337">
        <v>19.333333333333336</v>
      </c>
      <c r="AN337">
        <v>-2.2916666666666665</v>
      </c>
      <c r="AO337">
        <v>0.83333333333333393</v>
      </c>
      <c r="AP337">
        <v>26</v>
      </c>
      <c r="AQ337">
        <v>-6.0695833333333349</v>
      </c>
      <c r="AR337">
        <v>-1.6812083333333336</v>
      </c>
      <c r="AS337">
        <v>-33.937500000000007</v>
      </c>
      <c r="AT337">
        <v>7</v>
      </c>
      <c r="AU337">
        <v>0.47098958333333329</v>
      </c>
      <c r="AV337">
        <v>2.5902604166666663</v>
      </c>
      <c r="AW337">
        <v>2.3517708333333331</v>
      </c>
      <c r="AX337" t="s">
        <v>308</v>
      </c>
      <c r="AY337">
        <v>2</v>
      </c>
      <c r="AZ337">
        <v>7.1362499999999995</v>
      </c>
      <c r="BA337">
        <v>-6.9499999999999993</v>
      </c>
      <c r="BB337">
        <v>-33.625</v>
      </c>
      <c r="BC337">
        <v>1.5</v>
      </c>
      <c r="BD337">
        <v>20.131249999999998</v>
      </c>
      <c r="BE337">
        <v>111.0625</v>
      </c>
      <c r="BF337">
        <v>7.625</v>
      </c>
      <c r="BG337">
        <v>5</v>
      </c>
      <c r="BH337">
        <v>5.5</v>
      </c>
      <c r="BI337">
        <v>-1.5625</v>
      </c>
      <c r="BJ337">
        <v>23</v>
      </c>
      <c r="BK337">
        <v>20.25</v>
      </c>
      <c r="BL337">
        <v>26</v>
      </c>
      <c r="BM337">
        <v>-3.2477444998064188E-2</v>
      </c>
      <c r="BN337">
        <v>25</v>
      </c>
      <c r="BO337">
        <v>-1.9012720672438171E-2</v>
      </c>
      <c r="BP337">
        <v>21</v>
      </c>
      <c r="BQ337">
        <v>2.428526334776332E-2</v>
      </c>
      <c r="BR337">
        <v>9</v>
      </c>
      <c r="BS337">
        <v>1.0625</v>
      </c>
      <c r="BT337">
        <v>3.6875</v>
      </c>
      <c r="BU337">
        <v>0</v>
      </c>
      <c r="BV337">
        <v>0.875</v>
      </c>
      <c r="BW337">
        <v>58.8125</v>
      </c>
      <c r="BX337">
        <v>106.375</v>
      </c>
      <c r="BY337">
        <v>-48.5</v>
      </c>
      <c r="BZ337">
        <v>-4.75</v>
      </c>
      <c r="CA337">
        <v>5.6875</v>
      </c>
      <c r="CB337">
        <v>1</v>
      </c>
      <c r="CC337">
        <v>14.08625</v>
      </c>
      <c r="CD337">
        <v>8.9284999999999997</v>
      </c>
      <c r="CE337">
        <v>154.875</v>
      </c>
      <c r="CF337">
        <v>2.8287499999999994</v>
      </c>
    </row>
    <row r="338" spans="1:84" x14ac:dyDescent="0.2">
      <c r="A338" s="19">
        <v>44115</v>
      </c>
      <c r="B338" s="13" t="s">
        <v>381</v>
      </c>
      <c r="C338" s="41" t="s">
        <v>307</v>
      </c>
      <c r="D338" s="14" t="s">
        <v>287</v>
      </c>
      <c r="E338">
        <v>27.2</v>
      </c>
      <c r="F338">
        <v>7.4</v>
      </c>
      <c r="G338">
        <v>2.8</v>
      </c>
      <c r="H338">
        <v>13.2</v>
      </c>
      <c r="I338">
        <v>-7</v>
      </c>
      <c r="J338">
        <v>49</v>
      </c>
      <c r="L338" t="s">
        <v>307</v>
      </c>
      <c r="M338">
        <v>14</v>
      </c>
      <c r="N338">
        <v>-0.35500000000000087</v>
      </c>
      <c r="O338">
        <v>11.874999999999998</v>
      </c>
      <c r="P338">
        <v>12.875</v>
      </c>
      <c r="Q338">
        <v>2.6875</v>
      </c>
      <c r="R338">
        <v>-4.6437499999999989</v>
      </c>
      <c r="S338">
        <v>-34.5625</v>
      </c>
      <c r="T338">
        <v>-2</v>
      </c>
      <c r="U338">
        <v>13</v>
      </c>
      <c r="V338">
        <v>13</v>
      </c>
      <c r="W338">
        <v>1.4375</v>
      </c>
      <c r="X338">
        <v>32</v>
      </c>
      <c r="Y338">
        <v>27</v>
      </c>
      <c r="Z338">
        <v>25</v>
      </c>
      <c r="AA338">
        <v>-4.8481548614120573E-2</v>
      </c>
      <c r="AB338">
        <v>20</v>
      </c>
      <c r="AC338">
        <v>-6.8681659394951144E-3</v>
      </c>
      <c r="AD338">
        <v>32</v>
      </c>
      <c r="AE338">
        <v>0.20623647186147187</v>
      </c>
      <c r="AF338">
        <v>31</v>
      </c>
      <c r="AG338">
        <v>-3.3125</v>
      </c>
      <c r="AH338">
        <v>0.3125</v>
      </c>
      <c r="AI338">
        <v>3.25</v>
      </c>
      <c r="AJ338">
        <v>0</v>
      </c>
      <c r="AK338">
        <v>-0.375</v>
      </c>
      <c r="AL338">
        <v>-0.8125</v>
      </c>
      <c r="AM338">
        <v>5.125</v>
      </c>
      <c r="AN338">
        <v>1.8125</v>
      </c>
      <c r="AO338">
        <v>-6.5</v>
      </c>
      <c r="AP338">
        <v>31</v>
      </c>
      <c r="AQ338">
        <v>-12.229999999999999</v>
      </c>
      <c r="AR338">
        <v>-6.9372499999999988</v>
      </c>
      <c r="AS338">
        <v>-5.9375</v>
      </c>
      <c r="AT338">
        <v>2</v>
      </c>
      <c r="AU338">
        <v>0.98453124999999975</v>
      </c>
      <c r="AV338">
        <v>-0.75164062500000006</v>
      </c>
      <c r="AW338">
        <v>-0.93515625000000047</v>
      </c>
      <c r="AX338" t="s">
        <v>287</v>
      </c>
      <c r="AY338">
        <v>13</v>
      </c>
      <c r="AZ338">
        <v>1.4737499999999994</v>
      </c>
      <c r="BA338">
        <v>-4.09375</v>
      </c>
      <c r="BB338">
        <v>-15.375</v>
      </c>
      <c r="BC338">
        <v>1.9375</v>
      </c>
      <c r="BD338">
        <v>-3.5499999999999985</v>
      </c>
      <c r="BE338">
        <v>-2.8125</v>
      </c>
      <c r="BF338">
        <v>-1.6875</v>
      </c>
      <c r="BG338">
        <v>4</v>
      </c>
      <c r="BH338">
        <v>5</v>
      </c>
      <c r="BI338">
        <v>-0.375</v>
      </c>
      <c r="BJ338">
        <v>3</v>
      </c>
      <c r="BK338">
        <v>9.25</v>
      </c>
      <c r="BL338">
        <v>6</v>
      </c>
      <c r="BM338">
        <v>3.0525479016432489E-2</v>
      </c>
      <c r="BN338">
        <v>18</v>
      </c>
      <c r="BO338">
        <v>-3.5727554036423118E-3</v>
      </c>
      <c r="BP338">
        <v>1</v>
      </c>
      <c r="BQ338">
        <v>-0.193940000971251</v>
      </c>
      <c r="BR338">
        <v>12</v>
      </c>
      <c r="BS338">
        <v>0.125</v>
      </c>
      <c r="BT338">
        <v>-2.25</v>
      </c>
      <c r="BU338">
        <v>-2.875</v>
      </c>
      <c r="BV338">
        <v>-0.5625</v>
      </c>
      <c r="BW338">
        <v>-10.75</v>
      </c>
      <c r="BX338">
        <v>-8</v>
      </c>
      <c r="BY338">
        <v>-11.9375</v>
      </c>
      <c r="BZ338">
        <v>-1.875</v>
      </c>
      <c r="CA338">
        <v>11.0625</v>
      </c>
      <c r="CB338">
        <v>7</v>
      </c>
      <c r="CC338">
        <v>5.567499999999999</v>
      </c>
      <c r="CD338">
        <v>1.6316250000000001</v>
      </c>
      <c r="CE338">
        <v>3.9375</v>
      </c>
      <c r="CF338">
        <v>-0.56812499999999977</v>
      </c>
    </row>
    <row r="339" spans="1:84" x14ac:dyDescent="0.2">
      <c r="A339" s="19">
        <v>44115</v>
      </c>
      <c r="B339" s="13" t="s">
        <v>381</v>
      </c>
      <c r="C339" s="41" t="s">
        <v>296</v>
      </c>
      <c r="D339" s="14" t="s">
        <v>291</v>
      </c>
      <c r="E339">
        <v>23.9</v>
      </c>
      <c r="F339">
        <v>8.1999999999999993</v>
      </c>
      <c r="G339">
        <v>0</v>
      </c>
      <c r="H339">
        <v>9.5</v>
      </c>
      <c r="I339">
        <v>7.5</v>
      </c>
      <c r="J339">
        <v>52.5</v>
      </c>
      <c r="K339" t="s">
        <v>734</v>
      </c>
      <c r="L339" t="s">
        <v>296</v>
      </c>
      <c r="M339">
        <v>29</v>
      </c>
      <c r="N339">
        <v>-4.7633333333333336</v>
      </c>
      <c r="O339">
        <v>-5.2666666666666666</v>
      </c>
      <c r="P339">
        <v>-36.166666666666664</v>
      </c>
      <c r="Q339">
        <v>0.52083333333333337</v>
      </c>
      <c r="R339">
        <v>-5.7541666666666664</v>
      </c>
      <c r="S339">
        <v>-27.291666666666668</v>
      </c>
      <c r="T339">
        <v>0.33333333333333304</v>
      </c>
      <c r="U339">
        <v>6</v>
      </c>
      <c r="V339">
        <v>8.5</v>
      </c>
      <c r="W339">
        <v>-0.77083333333333337</v>
      </c>
      <c r="X339">
        <v>6</v>
      </c>
      <c r="Y339">
        <v>10.25</v>
      </c>
      <c r="Z339">
        <v>13</v>
      </c>
      <c r="AA339">
        <v>1.8048608749875947E-2</v>
      </c>
      <c r="AB339">
        <v>11</v>
      </c>
      <c r="AC339">
        <v>6.8441470154548996E-3</v>
      </c>
      <c r="AD339">
        <v>15</v>
      </c>
      <c r="AE339">
        <v>9.1932890452627314E-3</v>
      </c>
      <c r="AF339">
        <v>2</v>
      </c>
      <c r="AG339">
        <v>3.8541666666666665</v>
      </c>
      <c r="AH339">
        <v>-3.5625</v>
      </c>
      <c r="AI339">
        <v>-7.145833333333333</v>
      </c>
      <c r="AJ339">
        <v>-0.4375</v>
      </c>
      <c r="AK339">
        <v>-42.708333333333329</v>
      </c>
      <c r="AL339">
        <v>-18.25</v>
      </c>
      <c r="AM339">
        <v>-34.979166666666664</v>
      </c>
      <c r="AN339">
        <v>-0.5</v>
      </c>
      <c r="AO339">
        <v>11.020833333333334</v>
      </c>
      <c r="AP339">
        <v>15</v>
      </c>
      <c r="AQ339">
        <v>0.50333333333333297</v>
      </c>
      <c r="AR339">
        <v>0.52983333333333338</v>
      </c>
      <c r="AS339">
        <v>16.729166666666664</v>
      </c>
      <c r="AT339">
        <v>18</v>
      </c>
      <c r="AU339">
        <v>-1.8610416666666665</v>
      </c>
      <c r="AV339">
        <v>-2.7369791666666865E-2</v>
      </c>
      <c r="AW339">
        <v>-1.5258333333333336</v>
      </c>
      <c r="AX339" t="s">
        <v>291</v>
      </c>
      <c r="AY339">
        <v>9</v>
      </c>
      <c r="AZ339">
        <v>2.49125</v>
      </c>
      <c r="BA339">
        <v>-5.6437500000000007</v>
      </c>
      <c r="BB339">
        <v>0</v>
      </c>
      <c r="BC339">
        <v>-1.75</v>
      </c>
      <c r="BD339">
        <v>12.171250000000001</v>
      </c>
      <c r="BE339">
        <v>12.1875</v>
      </c>
      <c r="BF339">
        <v>2.25</v>
      </c>
      <c r="BG339">
        <v>3</v>
      </c>
      <c r="BH339">
        <v>3</v>
      </c>
      <c r="BI339">
        <v>0.6875</v>
      </c>
      <c r="BJ339">
        <v>28</v>
      </c>
      <c r="BK339">
        <v>22</v>
      </c>
      <c r="BL339">
        <v>27</v>
      </c>
      <c r="BM339">
        <v>-3.573218579159218E-2</v>
      </c>
      <c r="BN339">
        <v>17</v>
      </c>
      <c r="BO339">
        <v>-2.7087999693810334E-3</v>
      </c>
      <c r="BP339">
        <v>15</v>
      </c>
      <c r="BQ339">
        <v>-5.6795634920634996E-3</v>
      </c>
      <c r="BR339">
        <v>29</v>
      </c>
      <c r="BS339">
        <v>-2.8125</v>
      </c>
      <c r="BT339">
        <v>5.8125</v>
      </c>
      <c r="BU339">
        <v>6.25</v>
      </c>
      <c r="BV339">
        <v>0.375</v>
      </c>
      <c r="BW339">
        <v>24.3125</v>
      </c>
      <c r="BX339">
        <v>-13.1875</v>
      </c>
      <c r="BY339">
        <v>22</v>
      </c>
      <c r="BZ339">
        <v>10.9375</v>
      </c>
      <c r="CA339">
        <v>4.5625</v>
      </c>
      <c r="CB339">
        <v>2</v>
      </c>
      <c r="CC339">
        <v>8.1350000000000016</v>
      </c>
      <c r="CD339">
        <v>5.7543750000000005</v>
      </c>
      <c r="CE339">
        <v>-35.1875</v>
      </c>
      <c r="CF339">
        <v>1.4710937499999999</v>
      </c>
    </row>
    <row r="340" spans="1:84" x14ac:dyDescent="0.2">
      <c r="A340" s="19">
        <v>44115</v>
      </c>
      <c r="B340" s="13" t="s">
        <v>381</v>
      </c>
      <c r="C340" s="41" t="s">
        <v>298</v>
      </c>
      <c r="D340" s="14" t="s">
        <v>285</v>
      </c>
      <c r="E340">
        <v>28.6</v>
      </c>
      <c r="F340">
        <v>5.3</v>
      </c>
      <c r="G340">
        <v>5</v>
      </c>
      <c r="H340">
        <v>4.4000000000000004</v>
      </c>
      <c r="I340">
        <v>7</v>
      </c>
      <c r="J340">
        <v>48</v>
      </c>
      <c r="K340" t="s">
        <v>734</v>
      </c>
      <c r="L340" t="s">
        <v>298</v>
      </c>
      <c r="M340">
        <v>28</v>
      </c>
      <c r="N340">
        <v>-3.80125</v>
      </c>
      <c r="O340">
        <v>-2.975000000000001</v>
      </c>
      <c r="P340">
        <v>-17.4375</v>
      </c>
      <c r="Q340">
        <v>-0.4375</v>
      </c>
      <c r="R340">
        <v>-6.3750000000000009</v>
      </c>
      <c r="S340">
        <v>-25.3125</v>
      </c>
      <c r="T340">
        <v>0.8125</v>
      </c>
      <c r="U340">
        <v>15</v>
      </c>
      <c r="V340">
        <v>15.5</v>
      </c>
      <c r="W340">
        <v>-1.0625</v>
      </c>
      <c r="X340">
        <v>1</v>
      </c>
      <c r="Y340">
        <v>7.5</v>
      </c>
      <c r="Z340">
        <v>2</v>
      </c>
      <c r="AA340">
        <v>9.6975671694391391E-2</v>
      </c>
      <c r="AB340">
        <v>4</v>
      </c>
      <c r="AC340">
        <v>1.7780305712755545E-2</v>
      </c>
      <c r="AD340">
        <v>23</v>
      </c>
      <c r="AE340">
        <v>4.2261904761904764E-2</v>
      </c>
      <c r="AF340">
        <v>1</v>
      </c>
      <c r="AG340">
        <v>3.875</v>
      </c>
      <c r="AH340">
        <v>2.625</v>
      </c>
      <c r="AI340">
        <v>-4.6875</v>
      </c>
      <c r="AJ340">
        <v>0.625</v>
      </c>
      <c r="AK340">
        <v>-33.75</v>
      </c>
      <c r="AL340">
        <v>-33.125</v>
      </c>
      <c r="AM340">
        <v>-6</v>
      </c>
      <c r="AN340">
        <v>-0.375</v>
      </c>
      <c r="AO340">
        <v>5.75</v>
      </c>
      <c r="AP340">
        <v>19</v>
      </c>
      <c r="AQ340">
        <v>-0.82624999999999904</v>
      </c>
      <c r="AR340">
        <v>-0.54774999999999952</v>
      </c>
      <c r="AS340">
        <v>-27.125</v>
      </c>
      <c r="AT340">
        <v>14</v>
      </c>
      <c r="AU340">
        <v>-1.5735937500000001</v>
      </c>
      <c r="AV340">
        <v>-7.820312500000004E-2</v>
      </c>
      <c r="AW340">
        <v>0.28546874999999994</v>
      </c>
      <c r="AX340" t="s">
        <v>285</v>
      </c>
      <c r="AY340">
        <v>11</v>
      </c>
      <c r="AZ340">
        <v>1.8025000000000002</v>
      </c>
      <c r="BA340">
        <v>-0.70625000000000049</v>
      </c>
      <c r="BB340">
        <v>26.6875</v>
      </c>
      <c r="BC340">
        <v>-1.4375</v>
      </c>
      <c r="BD340">
        <v>-5.6312499999999996</v>
      </c>
      <c r="BE340">
        <v>-13.3125</v>
      </c>
      <c r="BF340">
        <v>-0.5</v>
      </c>
      <c r="BG340">
        <v>10</v>
      </c>
      <c r="BH340">
        <v>10.5</v>
      </c>
      <c r="BI340">
        <v>6.25E-2</v>
      </c>
      <c r="BJ340">
        <v>24</v>
      </c>
      <c r="BK340">
        <v>20.75</v>
      </c>
      <c r="BL340">
        <v>29</v>
      </c>
      <c r="BM340">
        <v>-5.3525892850447329E-2</v>
      </c>
      <c r="BN340">
        <v>14</v>
      </c>
      <c r="BO340">
        <v>1.6923306215591242E-3</v>
      </c>
      <c r="BP340">
        <v>16</v>
      </c>
      <c r="BQ340">
        <v>-1.7045454545454586E-3</v>
      </c>
      <c r="BR340">
        <v>24</v>
      </c>
      <c r="BS340">
        <v>-1.25</v>
      </c>
      <c r="BT340">
        <v>-0.9375</v>
      </c>
      <c r="BU340">
        <v>-1</v>
      </c>
      <c r="BV340">
        <v>0</v>
      </c>
      <c r="BW340">
        <v>5.4375</v>
      </c>
      <c r="BX340">
        <v>-8.375</v>
      </c>
      <c r="BY340">
        <v>21.8125</v>
      </c>
      <c r="BZ340">
        <v>-10</v>
      </c>
      <c r="CA340">
        <v>2</v>
      </c>
      <c r="CB340">
        <v>14</v>
      </c>
      <c r="CC340">
        <v>2.5087500000000009</v>
      </c>
      <c r="CD340">
        <v>-0.41262499999999969</v>
      </c>
      <c r="CE340">
        <v>-30.1875</v>
      </c>
      <c r="CF340">
        <v>-0.44187500000000002</v>
      </c>
    </row>
    <row r="341" spans="1:84" x14ac:dyDescent="0.2">
      <c r="A341" s="19">
        <v>44115</v>
      </c>
      <c r="B341" s="13" t="s">
        <v>381</v>
      </c>
      <c r="C341" s="41" t="s">
        <v>294</v>
      </c>
      <c r="D341" s="14" t="s">
        <v>309</v>
      </c>
      <c r="E341">
        <v>34.200000000000003</v>
      </c>
      <c r="F341">
        <v>12.6</v>
      </c>
      <c r="G341">
        <v>5.8</v>
      </c>
      <c r="H341">
        <v>1.6</v>
      </c>
      <c r="I341">
        <v>7</v>
      </c>
      <c r="J341">
        <v>44.5</v>
      </c>
      <c r="L341" t="s">
        <v>294</v>
      </c>
      <c r="M341">
        <v>16</v>
      </c>
      <c r="N341">
        <v>-0.6575000000000002</v>
      </c>
      <c r="O341">
        <v>-4.6937500000000014</v>
      </c>
      <c r="P341">
        <v>-13.6875</v>
      </c>
      <c r="Q341">
        <v>1.625</v>
      </c>
      <c r="R341">
        <v>-0.86874999999999858</v>
      </c>
      <c r="S341">
        <v>-6.625</v>
      </c>
      <c r="T341">
        <v>0.4375</v>
      </c>
      <c r="U341">
        <v>23</v>
      </c>
      <c r="V341">
        <v>22.5</v>
      </c>
      <c r="W341">
        <v>1.375</v>
      </c>
      <c r="X341">
        <v>8</v>
      </c>
      <c r="Y341">
        <v>12.25</v>
      </c>
      <c r="Z341">
        <v>19</v>
      </c>
      <c r="AA341">
        <v>-2.2167147552321957E-2</v>
      </c>
      <c r="AB341">
        <v>8</v>
      </c>
      <c r="AC341">
        <v>1.4412679189953471E-2</v>
      </c>
      <c r="AD341">
        <v>18</v>
      </c>
      <c r="AE341">
        <v>2.651254995004991E-2</v>
      </c>
      <c r="AF341">
        <v>4</v>
      </c>
      <c r="AG341">
        <v>2.9375</v>
      </c>
      <c r="AH341">
        <v>4.875</v>
      </c>
      <c r="AI341">
        <v>-2.9375</v>
      </c>
      <c r="AJ341">
        <v>1.3125</v>
      </c>
      <c r="AK341">
        <v>-19.3125</v>
      </c>
      <c r="AL341">
        <v>1.375</v>
      </c>
      <c r="AM341">
        <v>-18.8125</v>
      </c>
      <c r="AN341">
        <v>-3</v>
      </c>
      <c r="AO341">
        <v>1.125</v>
      </c>
      <c r="AP341">
        <v>9</v>
      </c>
      <c r="AQ341">
        <v>4.0362500000000008</v>
      </c>
      <c r="AR341">
        <v>2.0416250000000007</v>
      </c>
      <c r="AS341">
        <v>20.1875</v>
      </c>
      <c r="AT341">
        <v>24</v>
      </c>
      <c r="AU341">
        <v>-0.90250000000000008</v>
      </c>
      <c r="AV341">
        <v>0.87380208333333331</v>
      </c>
      <c r="AW341">
        <v>0.9759374999999999</v>
      </c>
      <c r="AX341" t="s">
        <v>309</v>
      </c>
      <c r="AY341">
        <v>6</v>
      </c>
      <c r="AZ341">
        <v>3.1983333333333337</v>
      </c>
      <c r="BA341">
        <v>-0.80833333333333313</v>
      </c>
      <c r="BB341">
        <v>-19.416666666666668</v>
      </c>
      <c r="BC341">
        <v>0.25</v>
      </c>
      <c r="BD341">
        <v>6.9499999999999993</v>
      </c>
      <c r="BE341">
        <v>16.75</v>
      </c>
      <c r="BF341">
        <v>-0.41666666666666663</v>
      </c>
      <c r="BG341">
        <v>32</v>
      </c>
      <c r="BH341">
        <v>29</v>
      </c>
      <c r="BI341">
        <v>-0.16666666666666666</v>
      </c>
      <c r="BJ341">
        <v>9</v>
      </c>
      <c r="BK341">
        <v>12.25</v>
      </c>
      <c r="BL341">
        <v>1</v>
      </c>
      <c r="BM341">
        <v>0.10783733677450973</v>
      </c>
      <c r="BN341">
        <v>2</v>
      </c>
      <c r="BO341">
        <v>3.9239793145320438E-2</v>
      </c>
      <c r="BP341">
        <v>30</v>
      </c>
      <c r="BQ341">
        <v>0.1082393483709273</v>
      </c>
      <c r="BR341">
        <v>16</v>
      </c>
      <c r="BS341">
        <v>-0.58333333333333337</v>
      </c>
      <c r="BT341">
        <v>0.83333333333333337</v>
      </c>
      <c r="BU341">
        <v>1.9166666666666667</v>
      </c>
      <c r="BV341">
        <v>0</v>
      </c>
      <c r="BW341">
        <v>1.0833333333333333</v>
      </c>
      <c r="BX341">
        <v>27.666666666666668</v>
      </c>
      <c r="BY341">
        <v>-20.333333333333332</v>
      </c>
      <c r="BZ341">
        <v>1.6666666666666667</v>
      </c>
      <c r="CA341">
        <v>-7.916666666666667</v>
      </c>
      <c r="CB341">
        <v>12</v>
      </c>
      <c r="CC341">
        <v>4.0066666666666668</v>
      </c>
      <c r="CD341">
        <v>2.4338333333333333</v>
      </c>
      <c r="CE341">
        <v>48</v>
      </c>
      <c r="CF341">
        <v>0.77166666666666672</v>
      </c>
    </row>
    <row r="342" spans="1:84" x14ac:dyDescent="0.2">
      <c r="A342" s="19">
        <v>44115</v>
      </c>
      <c r="B342" s="13" t="s">
        <v>381</v>
      </c>
      <c r="C342" s="41" t="s">
        <v>309</v>
      </c>
      <c r="D342" s="14" t="s">
        <v>294</v>
      </c>
      <c r="E342">
        <v>45.6</v>
      </c>
      <c r="F342">
        <v>6.8</v>
      </c>
      <c r="G342">
        <v>0.8</v>
      </c>
      <c r="H342">
        <v>8.3000000000000007</v>
      </c>
      <c r="I342">
        <v>-7</v>
      </c>
      <c r="J342">
        <v>44.5</v>
      </c>
      <c r="L342" t="s">
        <v>309</v>
      </c>
      <c r="M342">
        <v>8</v>
      </c>
      <c r="N342">
        <v>1.923333333333332</v>
      </c>
      <c r="O342">
        <v>1.4666666666666668</v>
      </c>
      <c r="P342">
        <v>23.416666666666668</v>
      </c>
      <c r="Q342">
        <v>0.49999999999999994</v>
      </c>
      <c r="R342">
        <v>6.4833333333333343</v>
      </c>
      <c r="S342">
        <v>15</v>
      </c>
      <c r="T342">
        <v>1.25</v>
      </c>
      <c r="U342">
        <v>28</v>
      </c>
      <c r="V342">
        <v>26.5</v>
      </c>
      <c r="W342">
        <v>-0.58333333333333337</v>
      </c>
      <c r="X342">
        <v>30</v>
      </c>
      <c r="Y342">
        <v>26</v>
      </c>
      <c r="Z342">
        <v>30</v>
      </c>
      <c r="AA342">
        <v>-6.032447174530603E-2</v>
      </c>
      <c r="AB342">
        <v>31</v>
      </c>
      <c r="AC342">
        <v>-2.4635311709534979E-2</v>
      </c>
      <c r="AD342">
        <v>25</v>
      </c>
      <c r="AE342">
        <v>7.2619047619047583E-2</v>
      </c>
      <c r="AF342">
        <v>18</v>
      </c>
      <c r="AG342">
        <v>-0.16666666666666666</v>
      </c>
      <c r="AH342">
        <v>0.33333333333333331</v>
      </c>
      <c r="AI342">
        <v>0.83333333333333337</v>
      </c>
      <c r="AJ342">
        <v>-0.83333333333333337</v>
      </c>
      <c r="AK342">
        <v>15.75</v>
      </c>
      <c r="AL342">
        <v>10.916666666666666</v>
      </c>
      <c r="AM342">
        <v>19.333333333333332</v>
      </c>
      <c r="AN342">
        <v>-1.3333333333333333</v>
      </c>
      <c r="AO342">
        <v>-13.166666666666666</v>
      </c>
      <c r="AP342">
        <v>16</v>
      </c>
      <c r="AQ342">
        <v>0.45666666666666522</v>
      </c>
      <c r="AR342">
        <v>0.94799999999999995</v>
      </c>
      <c r="AS342">
        <v>-8.4166666666666661</v>
      </c>
      <c r="AT342">
        <v>17</v>
      </c>
      <c r="AU342">
        <v>1.0987499999999999</v>
      </c>
      <c r="AV342">
        <v>0.87380208333333331</v>
      </c>
      <c r="AW342">
        <v>0.77166666666666672</v>
      </c>
      <c r="AX342" t="s">
        <v>294</v>
      </c>
      <c r="AY342">
        <v>16</v>
      </c>
      <c r="AZ342">
        <v>0.76374999999999993</v>
      </c>
      <c r="BA342">
        <v>-3.7562499999999996</v>
      </c>
      <c r="BB342">
        <v>-10</v>
      </c>
      <c r="BC342">
        <v>-1.3125</v>
      </c>
      <c r="BD342">
        <v>10.987499999999999</v>
      </c>
      <c r="BE342">
        <v>17.9375</v>
      </c>
      <c r="BF342">
        <v>0.6875</v>
      </c>
      <c r="BG342">
        <v>17</v>
      </c>
      <c r="BH342">
        <v>17</v>
      </c>
      <c r="BI342">
        <v>2.9375</v>
      </c>
      <c r="BJ342">
        <v>4</v>
      </c>
      <c r="BK342">
        <v>9.5</v>
      </c>
      <c r="BL342">
        <v>2</v>
      </c>
      <c r="BM342">
        <v>8.1047829432016216E-2</v>
      </c>
      <c r="BN342">
        <v>4</v>
      </c>
      <c r="BO342">
        <v>2.3412965791857334E-2</v>
      </c>
      <c r="BP342">
        <v>24</v>
      </c>
      <c r="BQ342">
        <v>4.323870573870571E-2</v>
      </c>
      <c r="BR342">
        <v>8</v>
      </c>
      <c r="BS342">
        <v>1.375</v>
      </c>
      <c r="BT342">
        <v>1.625</v>
      </c>
      <c r="BU342">
        <v>2.3125</v>
      </c>
      <c r="BV342">
        <v>0</v>
      </c>
      <c r="BW342">
        <v>-3</v>
      </c>
      <c r="BX342">
        <v>7.375</v>
      </c>
      <c r="BY342">
        <v>-16.1875</v>
      </c>
      <c r="BZ342">
        <v>7.375</v>
      </c>
      <c r="CA342">
        <v>-1.5625</v>
      </c>
      <c r="CB342">
        <v>10</v>
      </c>
      <c r="CC342">
        <v>4.5199999999999996</v>
      </c>
      <c r="CD342">
        <v>4.2283749999999998</v>
      </c>
      <c r="CE342">
        <v>23.5625</v>
      </c>
      <c r="CF342">
        <v>0.9759374999999999</v>
      </c>
    </row>
    <row r="343" spans="1:84" x14ac:dyDescent="0.2">
      <c r="A343" s="19">
        <v>44115</v>
      </c>
      <c r="B343" s="14" t="s">
        <v>381</v>
      </c>
      <c r="C343" s="40" t="s">
        <v>256</v>
      </c>
      <c r="D343" s="13" t="s">
        <v>293</v>
      </c>
      <c r="E343">
        <v>4.2</v>
      </c>
      <c r="F343">
        <v>7.4</v>
      </c>
      <c r="G343">
        <v>11</v>
      </c>
      <c r="H343">
        <v>8.4</v>
      </c>
      <c r="I343">
        <v>-8.5</v>
      </c>
      <c r="J343">
        <v>50.5</v>
      </c>
      <c r="K343" t="s">
        <v>735</v>
      </c>
      <c r="L343" t="s">
        <v>256</v>
      </c>
      <c r="M343">
        <v>20</v>
      </c>
      <c r="N343">
        <v>-1.2675000000000001</v>
      </c>
      <c r="O343">
        <v>7.1937499999999988</v>
      </c>
      <c r="P343">
        <v>-12.25</v>
      </c>
      <c r="Q343">
        <v>2</v>
      </c>
      <c r="R343">
        <v>-1.2874999999999996</v>
      </c>
      <c r="S343">
        <v>-10.4375</v>
      </c>
      <c r="T343">
        <v>-0.9375</v>
      </c>
      <c r="U343">
        <v>23</v>
      </c>
      <c r="V343">
        <v>22.5</v>
      </c>
      <c r="W343">
        <v>-2.25</v>
      </c>
      <c r="X343">
        <v>11</v>
      </c>
      <c r="Y343">
        <v>13</v>
      </c>
      <c r="Z343">
        <v>7</v>
      </c>
      <c r="AA343">
        <v>3.683829345958968E-2</v>
      </c>
      <c r="AB343">
        <v>7</v>
      </c>
      <c r="AC343">
        <v>1.4491679950928454E-2</v>
      </c>
      <c r="AD343">
        <v>31</v>
      </c>
      <c r="AE343">
        <v>0.13090277777777776</v>
      </c>
      <c r="AF343">
        <v>7</v>
      </c>
      <c r="AG343">
        <v>1.1875</v>
      </c>
      <c r="AH343">
        <v>0</v>
      </c>
      <c r="AI343">
        <v>1.125</v>
      </c>
      <c r="AJ343">
        <v>-1</v>
      </c>
      <c r="AK343">
        <v>39.8125</v>
      </c>
      <c r="AL343">
        <v>31</v>
      </c>
      <c r="AM343">
        <v>6.3125</v>
      </c>
      <c r="AN343">
        <v>10.5</v>
      </c>
      <c r="AO343">
        <v>-8</v>
      </c>
      <c r="AP343">
        <v>30</v>
      </c>
      <c r="AQ343">
        <v>-8.4612499999999997</v>
      </c>
      <c r="AR343">
        <v>-4.1078749999999999</v>
      </c>
      <c r="AS343">
        <v>24.6875</v>
      </c>
      <c r="AT343">
        <v>3</v>
      </c>
      <c r="AU343">
        <v>0.53296874999999977</v>
      </c>
      <c r="AV343">
        <v>-0.89164062499999974</v>
      </c>
      <c r="AW343">
        <v>-0.7018749999999998</v>
      </c>
      <c r="AX343" t="s">
        <v>293</v>
      </c>
      <c r="AY343">
        <v>24</v>
      </c>
      <c r="AZ343">
        <v>-2.4762499999999985</v>
      </c>
      <c r="BA343">
        <v>2.1874999999999991</v>
      </c>
      <c r="BB343">
        <v>-5.9375</v>
      </c>
      <c r="BC343">
        <v>-0.6875</v>
      </c>
      <c r="BD343">
        <v>-6.299999999999998</v>
      </c>
      <c r="BE343">
        <v>0.75</v>
      </c>
      <c r="BF343">
        <v>-0.6875</v>
      </c>
      <c r="BG343">
        <v>27</v>
      </c>
      <c r="BH343">
        <v>27.5</v>
      </c>
      <c r="BI343">
        <v>-1.125</v>
      </c>
      <c r="BJ343">
        <v>17</v>
      </c>
      <c r="BK343">
        <v>16.5</v>
      </c>
      <c r="BL343">
        <v>15</v>
      </c>
      <c r="BM343">
        <v>-1.4199420412268765E-3</v>
      </c>
      <c r="BN343">
        <v>13</v>
      </c>
      <c r="BO343">
        <v>4.0654689288125573E-3</v>
      </c>
      <c r="BP343">
        <v>27</v>
      </c>
      <c r="BQ343">
        <v>6.2197524697524709E-2</v>
      </c>
      <c r="BR343">
        <v>11</v>
      </c>
      <c r="BS343">
        <v>0.3125</v>
      </c>
      <c r="BT343">
        <v>-2.375</v>
      </c>
      <c r="BU343">
        <v>-3.5625</v>
      </c>
      <c r="BV343">
        <v>-1</v>
      </c>
      <c r="BW343">
        <v>19.125</v>
      </c>
      <c r="BX343">
        <v>10.4375</v>
      </c>
      <c r="BY343">
        <v>5.5</v>
      </c>
      <c r="BZ343">
        <v>-1.625</v>
      </c>
      <c r="CA343">
        <v>4.8125</v>
      </c>
      <c r="CB343">
        <v>25</v>
      </c>
      <c r="CC343">
        <v>-4.6637499999999976</v>
      </c>
      <c r="CD343">
        <v>-2.8489999999999993</v>
      </c>
      <c r="CE343">
        <v>4.9375</v>
      </c>
      <c r="CF343">
        <v>-1.0814062499999997</v>
      </c>
    </row>
    <row r="344" spans="1:84" x14ac:dyDescent="0.2">
      <c r="A344" s="19">
        <v>44115</v>
      </c>
      <c r="B344" s="13" t="s">
        <v>381</v>
      </c>
      <c r="C344" s="41" t="s">
        <v>308</v>
      </c>
      <c r="D344" s="14" t="s">
        <v>312</v>
      </c>
      <c r="E344">
        <v>8.4</v>
      </c>
      <c r="F344">
        <v>27.3</v>
      </c>
      <c r="G344">
        <v>0</v>
      </c>
      <c r="H344">
        <v>8.9</v>
      </c>
      <c r="I344">
        <v>-6.5</v>
      </c>
      <c r="J344">
        <v>55</v>
      </c>
      <c r="L344" t="s">
        <v>308</v>
      </c>
      <c r="M344">
        <v>3</v>
      </c>
      <c r="N344">
        <v>7.1712500000000006</v>
      </c>
      <c r="O344">
        <v>3.3749999999999996</v>
      </c>
      <c r="P344">
        <v>-6.4375</v>
      </c>
      <c r="Q344">
        <v>-0.625</v>
      </c>
      <c r="R344">
        <v>6.7387500000000005</v>
      </c>
      <c r="S344">
        <v>30.375</v>
      </c>
      <c r="T344">
        <v>-0.8125</v>
      </c>
      <c r="U344">
        <v>26</v>
      </c>
      <c r="V344">
        <v>24.5</v>
      </c>
      <c r="W344">
        <v>1.0625</v>
      </c>
      <c r="X344">
        <v>14</v>
      </c>
      <c r="Y344">
        <v>15.75</v>
      </c>
      <c r="Z344">
        <v>4</v>
      </c>
      <c r="AA344">
        <v>8.1529130405725264E-2</v>
      </c>
      <c r="AB344">
        <v>3</v>
      </c>
      <c r="AC344">
        <v>1.8827244356681747E-2</v>
      </c>
      <c r="AD344">
        <v>29</v>
      </c>
      <c r="AE344">
        <v>9.4446699134199147E-2</v>
      </c>
      <c r="AF344">
        <v>27</v>
      </c>
      <c r="AG344">
        <v>-1.5625</v>
      </c>
      <c r="AH344">
        <v>-3.375</v>
      </c>
      <c r="AI344">
        <v>6.0625</v>
      </c>
      <c r="AJ344">
        <v>-6.25E-2</v>
      </c>
      <c r="AK344">
        <v>-0.3125</v>
      </c>
      <c r="AL344">
        <v>32.25</v>
      </c>
      <c r="AM344">
        <v>-26.5625</v>
      </c>
      <c r="AN344">
        <v>-6.75</v>
      </c>
      <c r="AO344">
        <v>0.75</v>
      </c>
      <c r="AP344">
        <v>10</v>
      </c>
      <c r="AQ344">
        <v>3.796250000000001</v>
      </c>
      <c r="AR344">
        <v>1.0945000000000003</v>
      </c>
      <c r="AS344">
        <v>58.8125</v>
      </c>
      <c r="AT344">
        <v>23</v>
      </c>
      <c r="AU344">
        <v>2.1059375</v>
      </c>
      <c r="AV344">
        <v>2.5902604166666663</v>
      </c>
      <c r="AW344">
        <v>2.8287499999999994</v>
      </c>
      <c r="AX344" t="s">
        <v>312</v>
      </c>
      <c r="AY344">
        <v>14</v>
      </c>
      <c r="AZ344">
        <v>1.0079166666666661</v>
      </c>
      <c r="BA344">
        <v>0.94583333333333264</v>
      </c>
      <c r="BB344">
        <v>14.229166666666668</v>
      </c>
      <c r="BC344">
        <v>-0.27083333333333326</v>
      </c>
      <c r="BD344">
        <v>11.402083333333335</v>
      </c>
      <c r="BE344">
        <v>53.354166666666664</v>
      </c>
      <c r="BF344">
        <v>2.75</v>
      </c>
      <c r="BG344">
        <v>1</v>
      </c>
      <c r="BH344">
        <v>1.5</v>
      </c>
      <c r="BI344">
        <v>0.75</v>
      </c>
      <c r="BJ344">
        <v>21</v>
      </c>
      <c r="BK344">
        <v>19.25</v>
      </c>
      <c r="BL344">
        <v>25</v>
      </c>
      <c r="BM344">
        <v>-3.023083553701536E-2</v>
      </c>
      <c r="BN344">
        <v>20</v>
      </c>
      <c r="BO344">
        <v>-6.1565803280423945E-3</v>
      </c>
      <c r="BP344">
        <v>14</v>
      </c>
      <c r="BQ344">
        <v>-1.066468253968253E-2</v>
      </c>
      <c r="BR344">
        <v>18</v>
      </c>
      <c r="BS344">
        <v>-0.83333333333333337</v>
      </c>
      <c r="BT344">
        <v>5.4375</v>
      </c>
      <c r="BU344">
        <v>4.333333333333333</v>
      </c>
      <c r="BV344">
        <v>-1.0625</v>
      </c>
      <c r="BW344">
        <v>43.270833333333329</v>
      </c>
      <c r="BX344">
        <v>25.645833333333329</v>
      </c>
      <c r="BY344">
        <v>17.708333333333332</v>
      </c>
      <c r="BZ344">
        <v>3.0208333333333335</v>
      </c>
      <c r="CA344">
        <v>-3.1041666666666665</v>
      </c>
      <c r="CB344">
        <v>17</v>
      </c>
      <c r="CC344">
        <v>6.208333333333349E-2</v>
      </c>
      <c r="CD344">
        <v>2.0090833333333338</v>
      </c>
      <c r="CE344">
        <v>7.9374999999999964</v>
      </c>
      <c r="CF344">
        <v>2.3517708333333331</v>
      </c>
    </row>
    <row r="345" spans="1:84" x14ac:dyDescent="0.2">
      <c r="A345" s="19">
        <v>44115</v>
      </c>
      <c r="B345" s="13" t="s">
        <v>381</v>
      </c>
      <c r="C345" s="41" t="s">
        <v>284</v>
      </c>
      <c r="D345" s="14" t="s">
        <v>265</v>
      </c>
      <c r="E345">
        <v>15.1</v>
      </c>
      <c r="F345">
        <v>0</v>
      </c>
      <c r="G345">
        <v>10.1</v>
      </c>
      <c r="H345">
        <v>8.1999999999999993</v>
      </c>
      <c r="I345">
        <v>-3.5</v>
      </c>
      <c r="J345">
        <v>43.5</v>
      </c>
      <c r="L345" t="s">
        <v>284</v>
      </c>
      <c r="M345">
        <v>9</v>
      </c>
      <c r="N345">
        <v>1.5587499999999999</v>
      </c>
      <c r="O345">
        <v>1.7124999999999995</v>
      </c>
      <c r="P345">
        <v>11.9375</v>
      </c>
      <c r="Q345">
        <v>0.375</v>
      </c>
      <c r="R345">
        <v>6.6875000000000018</v>
      </c>
      <c r="S345">
        <v>21.0625</v>
      </c>
      <c r="T345">
        <v>-0.6875</v>
      </c>
      <c r="U345">
        <v>32</v>
      </c>
      <c r="V345">
        <v>29</v>
      </c>
      <c r="W345">
        <v>3.8125</v>
      </c>
      <c r="X345">
        <v>20</v>
      </c>
      <c r="Y345">
        <v>18.5</v>
      </c>
      <c r="Z345">
        <v>31</v>
      </c>
      <c r="AA345">
        <v>-7.4595340682370004E-2</v>
      </c>
      <c r="AB345">
        <v>28</v>
      </c>
      <c r="AC345">
        <v>-1.2192690468336638E-2</v>
      </c>
      <c r="AD345">
        <v>10</v>
      </c>
      <c r="AE345">
        <v>-3.0941439075630253E-2</v>
      </c>
      <c r="AF345">
        <v>5</v>
      </c>
      <c r="AG345">
        <v>2.0625</v>
      </c>
      <c r="AH345">
        <v>-0.3125</v>
      </c>
      <c r="AI345">
        <v>4.0625</v>
      </c>
      <c r="AJ345">
        <v>-0.1875</v>
      </c>
      <c r="AK345">
        <v>9.125</v>
      </c>
      <c r="AL345">
        <v>22.1875</v>
      </c>
      <c r="AM345">
        <v>7.4375</v>
      </c>
      <c r="AN345">
        <v>-0.5625</v>
      </c>
      <c r="AO345">
        <v>-19.9375</v>
      </c>
      <c r="AP345">
        <v>17</v>
      </c>
      <c r="AQ345">
        <v>-0.15374999999999961</v>
      </c>
      <c r="AR345">
        <v>0.79300000000000015</v>
      </c>
      <c r="AS345">
        <v>14.75</v>
      </c>
      <c r="AT345">
        <v>16</v>
      </c>
      <c r="AU345">
        <v>0.99484375000000003</v>
      </c>
      <c r="AV345">
        <v>-0.99695312499999988</v>
      </c>
      <c r="AW345">
        <v>-1.2229687499999997</v>
      </c>
      <c r="AX345" t="s">
        <v>265</v>
      </c>
      <c r="AY345">
        <v>27</v>
      </c>
      <c r="AZ345">
        <v>-3.8175000000000008</v>
      </c>
      <c r="BA345">
        <v>1.7499999999999996</v>
      </c>
      <c r="BB345">
        <v>23.6875</v>
      </c>
      <c r="BC345">
        <v>-0.1875</v>
      </c>
      <c r="BD345">
        <v>-4.4750000000000005</v>
      </c>
      <c r="BE345">
        <v>-8.0625</v>
      </c>
      <c r="BF345">
        <v>0.1875</v>
      </c>
      <c r="BG345">
        <v>8</v>
      </c>
      <c r="BH345">
        <v>8</v>
      </c>
      <c r="BI345">
        <v>0.5</v>
      </c>
      <c r="BJ345">
        <v>12</v>
      </c>
      <c r="BK345">
        <v>14.75</v>
      </c>
      <c r="BL345">
        <v>14</v>
      </c>
      <c r="BM345">
        <v>2.8990031423337254E-3</v>
      </c>
      <c r="BN345">
        <v>22</v>
      </c>
      <c r="BO345">
        <v>-1.1722170636076721E-2</v>
      </c>
      <c r="BP345">
        <v>9</v>
      </c>
      <c r="BQ345">
        <v>-6.0193452380952389E-2</v>
      </c>
      <c r="BR345">
        <v>14</v>
      </c>
      <c r="BS345">
        <v>-0.375</v>
      </c>
      <c r="BT345">
        <v>2.3125</v>
      </c>
      <c r="BU345">
        <v>-0.8125</v>
      </c>
      <c r="BV345">
        <v>-1</v>
      </c>
      <c r="BW345">
        <v>-1.8125</v>
      </c>
      <c r="BX345">
        <v>-18.0625</v>
      </c>
      <c r="BY345">
        <v>18.3125</v>
      </c>
      <c r="BZ345">
        <v>1.1875</v>
      </c>
      <c r="CA345">
        <v>-3.25</v>
      </c>
      <c r="CB345">
        <v>28</v>
      </c>
      <c r="CC345">
        <v>-5.5675000000000008</v>
      </c>
      <c r="CD345">
        <v>-2.5335000000000001</v>
      </c>
      <c r="CE345">
        <v>-36.375</v>
      </c>
      <c r="CF345">
        <v>-0.77093750000000016</v>
      </c>
    </row>
    <row r="346" spans="1:84" x14ac:dyDescent="0.2">
      <c r="A346" s="19">
        <v>44115</v>
      </c>
      <c r="B346" s="13" t="s">
        <v>381</v>
      </c>
      <c r="C346" s="41" t="s">
        <v>310</v>
      </c>
      <c r="D346" s="14" t="s">
        <v>276</v>
      </c>
      <c r="E346">
        <v>21.2</v>
      </c>
      <c r="F346">
        <v>4.5999999999999996</v>
      </c>
      <c r="G346">
        <v>2.2000000000000002</v>
      </c>
      <c r="H346">
        <v>21</v>
      </c>
      <c r="I346">
        <v>3</v>
      </c>
      <c r="J346">
        <v>52</v>
      </c>
      <c r="K346" t="s">
        <v>734</v>
      </c>
      <c r="L346" t="s">
        <v>310</v>
      </c>
      <c r="M346">
        <v>19</v>
      </c>
      <c r="N346">
        <v>-1.2316666666666656</v>
      </c>
      <c r="O346">
        <v>-3.5666666666666673</v>
      </c>
      <c r="P346">
        <v>14.833333333333334</v>
      </c>
      <c r="Q346">
        <v>-2.416666666666667</v>
      </c>
      <c r="R346">
        <v>3.0166666666666684</v>
      </c>
      <c r="S346">
        <v>14.333333333333332</v>
      </c>
      <c r="T346">
        <v>0.41666666666666652</v>
      </c>
      <c r="U346">
        <v>5</v>
      </c>
      <c r="V346">
        <v>6.5</v>
      </c>
      <c r="W346">
        <v>-3.0833333333333335</v>
      </c>
      <c r="X346">
        <v>16</v>
      </c>
      <c r="Y346">
        <v>16.5</v>
      </c>
      <c r="Z346">
        <v>14</v>
      </c>
      <c r="AA346">
        <v>1.3173675054143916E-2</v>
      </c>
      <c r="AB346">
        <v>23</v>
      </c>
      <c r="AC346">
        <v>-7.9308981797860494E-3</v>
      </c>
      <c r="AD346">
        <v>6</v>
      </c>
      <c r="AE346">
        <v>-8.3862433862433861E-2</v>
      </c>
      <c r="AF346">
        <v>23</v>
      </c>
      <c r="AG346">
        <v>-0.58333333333333337</v>
      </c>
      <c r="AH346">
        <v>2.0833333333333335</v>
      </c>
      <c r="AI346">
        <v>-0.41666666666666669</v>
      </c>
      <c r="AJ346">
        <v>-1.0833333333333333</v>
      </c>
      <c r="AK346">
        <v>-9.0833333333333339</v>
      </c>
      <c r="AL346">
        <v>-10.666666666666666</v>
      </c>
      <c r="AM346">
        <v>10.333333333333334</v>
      </c>
      <c r="AN346">
        <v>-5.333333333333333</v>
      </c>
      <c r="AO346">
        <v>-3.4166666666666665</v>
      </c>
      <c r="AP346">
        <v>11</v>
      </c>
      <c r="AQ346">
        <v>2.3350000000000017</v>
      </c>
      <c r="AR346">
        <v>2.1403333333333339</v>
      </c>
      <c r="AS346">
        <v>-21</v>
      </c>
      <c r="AT346">
        <v>22</v>
      </c>
      <c r="AU346">
        <v>-0.11854166666666639</v>
      </c>
      <c r="AV346">
        <v>1.5485937500000004</v>
      </c>
      <c r="AW346">
        <v>1.2781250000000008</v>
      </c>
      <c r="AX346" t="s">
        <v>276</v>
      </c>
      <c r="AY346">
        <v>7</v>
      </c>
      <c r="AZ346">
        <v>3.1025</v>
      </c>
      <c r="BA346">
        <v>-1.1625000000000001</v>
      </c>
      <c r="BB346">
        <v>-10.9375</v>
      </c>
      <c r="BC346">
        <v>0.4375</v>
      </c>
      <c r="BD346">
        <v>12.862499999999999</v>
      </c>
      <c r="BE346">
        <v>57.5625</v>
      </c>
      <c r="BF346">
        <v>5.875</v>
      </c>
      <c r="BG346">
        <v>16</v>
      </c>
      <c r="BH346">
        <v>16.5</v>
      </c>
      <c r="BI346">
        <v>-1.1875</v>
      </c>
      <c r="BJ346">
        <v>14</v>
      </c>
      <c r="BK346">
        <v>15.75</v>
      </c>
      <c r="BL346">
        <v>16</v>
      </c>
      <c r="BM346">
        <v>-1.975995163425795E-3</v>
      </c>
      <c r="BN346">
        <v>8</v>
      </c>
      <c r="BO346">
        <v>9.9940355919823174E-3</v>
      </c>
      <c r="BP346">
        <v>17</v>
      </c>
      <c r="BQ346">
        <v>3.9502164502164261E-3</v>
      </c>
      <c r="BR346">
        <v>22</v>
      </c>
      <c r="BS346">
        <v>-1.125</v>
      </c>
      <c r="BT346">
        <v>-3.625</v>
      </c>
      <c r="BU346">
        <v>2</v>
      </c>
      <c r="BV346">
        <v>-0.4375</v>
      </c>
      <c r="BW346">
        <v>31.6875</v>
      </c>
      <c r="BX346">
        <v>46.25</v>
      </c>
      <c r="BY346">
        <v>-5.5625</v>
      </c>
      <c r="BZ346">
        <v>-1.125</v>
      </c>
      <c r="CA346">
        <v>-7.875</v>
      </c>
      <c r="CB346">
        <v>11</v>
      </c>
      <c r="CC346">
        <v>4.2650000000000006</v>
      </c>
      <c r="CD346">
        <v>3.7742500000000003</v>
      </c>
      <c r="CE346">
        <v>51.8125</v>
      </c>
      <c r="CF346">
        <v>1.8190625</v>
      </c>
    </row>
    <row r="347" spans="1:84" x14ac:dyDescent="0.2">
      <c r="A347" s="19">
        <v>44115</v>
      </c>
      <c r="B347" s="13" t="s">
        <v>381</v>
      </c>
      <c r="C347" s="41" t="s">
        <v>306</v>
      </c>
      <c r="D347" s="14" t="s">
        <v>304</v>
      </c>
      <c r="E347">
        <v>5.6</v>
      </c>
      <c r="F347">
        <v>0.8</v>
      </c>
      <c r="G347">
        <v>1.3</v>
      </c>
      <c r="H347">
        <v>1.4</v>
      </c>
      <c r="I347">
        <v>7</v>
      </c>
      <c r="J347">
        <v>45</v>
      </c>
      <c r="K347" t="s">
        <v>735</v>
      </c>
      <c r="L347" t="s">
        <v>306</v>
      </c>
      <c r="M347">
        <v>31</v>
      </c>
      <c r="N347">
        <v>-7.07</v>
      </c>
      <c r="O347">
        <v>0.37499999999999845</v>
      </c>
      <c r="P347">
        <v>-4.875</v>
      </c>
      <c r="Q347">
        <v>-0.375</v>
      </c>
      <c r="R347">
        <v>-7.1312500000000014</v>
      </c>
      <c r="S347">
        <v>-23.0625</v>
      </c>
      <c r="T347">
        <v>0.5</v>
      </c>
      <c r="U347">
        <v>30</v>
      </c>
      <c r="V347">
        <v>28.5</v>
      </c>
      <c r="W347">
        <v>1.0625</v>
      </c>
      <c r="X347">
        <v>7</v>
      </c>
      <c r="Y347">
        <v>10.5</v>
      </c>
      <c r="Z347">
        <v>23</v>
      </c>
      <c r="AA347">
        <v>-3.195786002835705E-2</v>
      </c>
      <c r="AB347">
        <v>9</v>
      </c>
      <c r="AC347">
        <v>1.2021488095549083E-2</v>
      </c>
      <c r="AD347">
        <v>1</v>
      </c>
      <c r="AE347">
        <v>-0.25308614996114998</v>
      </c>
      <c r="AF347">
        <v>9</v>
      </c>
      <c r="AG347">
        <v>0.75</v>
      </c>
      <c r="AH347">
        <v>-2.375</v>
      </c>
      <c r="AI347">
        <v>-5.125</v>
      </c>
      <c r="AJ347">
        <v>0</v>
      </c>
      <c r="AK347">
        <v>-66.375</v>
      </c>
      <c r="AL347">
        <v>-53.5625</v>
      </c>
      <c r="AM347">
        <v>-7.875</v>
      </c>
      <c r="AN347">
        <v>0.125</v>
      </c>
      <c r="AO347">
        <v>-5.0625</v>
      </c>
      <c r="AP347">
        <v>27</v>
      </c>
      <c r="AQ347">
        <v>-7.4449999999999985</v>
      </c>
      <c r="AR347">
        <v>-3.0277499999999993</v>
      </c>
      <c r="AS347">
        <v>-45.6875</v>
      </c>
      <c r="AT347">
        <v>6</v>
      </c>
      <c r="AU347">
        <v>-2.0798437500000002</v>
      </c>
      <c r="AV347">
        <v>-0.49812499999999993</v>
      </c>
      <c r="AW347">
        <v>0.17921875000000004</v>
      </c>
      <c r="AX347" t="s">
        <v>304</v>
      </c>
      <c r="AY347">
        <v>29</v>
      </c>
      <c r="AZ347">
        <v>-4.8849999999999998</v>
      </c>
      <c r="BA347">
        <v>4.9249999999999998</v>
      </c>
      <c r="BB347">
        <v>31.625</v>
      </c>
      <c r="BC347">
        <v>-0.625</v>
      </c>
      <c r="BD347">
        <v>-8.6312499999999979</v>
      </c>
      <c r="BE347">
        <v>-39.8125</v>
      </c>
      <c r="BF347">
        <v>-1.625</v>
      </c>
      <c r="BG347">
        <v>18</v>
      </c>
      <c r="BH347">
        <v>18</v>
      </c>
      <c r="BI347">
        <v>-0.5</v>
      </c>
      <c r="BJ347">
        <v>7</v>
      </c>
      <c r="BK347">
        <v>10.5</v>
      </c>
      <c r="BL347">
        <v>7</v>
      </c>
      <c r="BM347">
        <v>2.4663960574049022E-2</v>
      </c>
      <c r="BN347">
        <v>9</v>
      </c>
      <c r="BO347">
        <v>9.8201393063512242E-3</v>
      </c>
      <c r="BP347">
        <v>11</v>
      </c>
      <c r="BQ347">
        <v>-4.6671037296037277E-2</v>
      </c>
      <c r="BR347">
        <v>15</v>
      </c>
      <c r="BS347">
        <v>-0.5625</v>
      </c>
      <c r="BT347">
        <v>-2.5</v>
      </c>
      <c r="BU347">
        <v>-3.3125</v>
      </c>
      <c r="BV347">
        <v>-0.4375</v>
      </c>
      <c r="BW347">
        <v>-19.875</v>
      </c>
      <c r="BX347">
        <v>-49.9375</v>
      </c>
      <c r="BY347">
        <v>34.9375</v>
      </c>
      <c r="BZ347">
        <v>0</v>
      </c>
      <c r="CA347">
        <v>-4.875</v>
      </c>
      <c r="CB347">
        <v>30</v>
      </c>
      <c r="CC347">
        <v>-9.8099999999999987</v>
      </c>
      <c r="CD347">
        <v>-5.1657499999999992</v>
      </c>
      <c r="CE347">
        <v>-84.875</v>
      </c>
      <c r="CF347">
        <v>-1.1754687499999998</v>
      </c>
    </row>
    <row r="348" spans="1:84" x14ac:dyDescent="0.2">
      <c r="A348" s="19">
        <v>44122</v>
      </c>
      <c r="B348" s="13" t="s">
        <v>252</v>
      </c>
      <c r="C348" s="41" t="s">
        <v>285</v>
      </c>
      <c r="D348" s="14" t="s">
        <v>291</v>
      </c>
      <c r="E348">
        <v>9.3000000000000007</v>
      </c>
      <c r="F348">
        <v>22.6</v>
      </c>
      <c r="G348">
        <v>5.2</v>
      </c>
      <c r="H348">
        <v>1.1000000000000001</v>
      </c>
      <c r="I348">
        <v>0</v>
      </c>
      <c r="J348">
        <v>55</v>
      </c>
      <c r="L348" t="s">
        <v>285</v>
      </c>
      <c r="M348">
        <v>4</v>
      </c>
      <c r="N348">
        <v>7.9372000000000016</v>
      </c>
      <c r="O348">
        <v>-4.7290000000000019</v>
      </c>
      <c r="P348">
        <v>-17.009999999999998</v>
      </c>
      <c r="Q348">
        <v>-0.14000000000000012</v>
      </c>
      <c r="R348">
        <v>3.9919999999999991</v>
      </c>
      <c r="S348">
        <v>11.509999999999998</v>
      </c>
      <c r="T348">
        <v>2.48</v>
      </c>
      <c r="U348">
        <v>25</v>
      </c>
      <c r="V348">
        <v>23.5</v>
      </c>
      <c r="W348">
        <v>-1.8700000000000003</v>
      </c>
      <c r="X348">
        <v>19</v>
      </c>
      <c r="Y348">
        <v>19.25</v>
      </c>
      <c r="Z348">
        <v>26</v>
      </c>
      <c r="AA348">
        <v>-5.6440238710977454E-2</v>
      </c>
      <c r="AB348">
        <v>23</v>
      </c>
      <c r="AC348">
        <v>-1.0302115530627131E-2</v>
      </c>
      <c r="AD348">
        <v>12</v>
      </c>
      <c r="AE348">
        <v>-2.3955479161361516E-2</v>
      </c>
      <c r="AF348">
        <v>16</v>
      </c>
      <c r="AG348">
        <v>6.9999999999999923E-2</v>
      </c>
      <c r="AH348">
        <v>3.0099999999999993</v>
      </c>
      <c r="AI348">
        <v>-0.87999999999999967</v>
      </c>
      <c r="AJ348">
        <v>-1.27</v>
      </c>
      <c r="AK348">
        <v>22.930000000000007</v>
      </c>
      <c r="AL348">
        <v>15.5</v>
      </c>
      <c r="AM348">
        <v>-25.38</v>
      </c>
      <c r="AN348">
        <v>-2.58</v>
      </c>
      <c r="AO348">
        <v>35.39</v>
      </c>
      <c r="AP348">
        <v>2</v>
      </c>
      <c r="AQ348">
        <v>12.666200000000003</v>
      </c>
      <c r="AR348">
        <v>4.7503400000000013</v>
      </c>
      <c r="AS348">
        <v>40.879999999999995</v>
      </c>
      <c r="AT348">
        <v>31</v>
      </c>
      <c r="AU348">
        <v>0.72502499999999981</v>
      </c>
      <c r="AV348">
        <v>0.87009999999999965</v>
      </c>
      <c r="AW348">
        <v>-7.0200000000000179E-2</v>
      </c>
      <c r="AX348" t="s">
        <v>291</v>
      </c>
      <c r="AY348">
        <v>12</v>
      </c>
      <c r="AZ348">
        <v>1.679199999999998</v>
      </c>
      <c r="BA348">
        <v>-3.3239999999999998</v>
      </c>
      <c r="BB348">
        <v>8.120000000000001</v>
      </c>
      <c r="BC348">
        <v>-1.7999999999999998</v>
      </c>
      <c r="BD348">
        <v>12.247999999999998</v>
      </c>
      <c r="BE348">
        <v>15.360000000000005</v>
      </c>
      <c r="BF348">
        <v>0.84000000000000052</v>
      </c>
      <c r="BG348">
        <v>3</v>
      </c>
      <c r="BH348">
        <v>3.5</v>
      </c>
      <c r="BI348">
        <v>1.2</v>
      </c>
      <c r="BJ348">
        <v>28</v>
      </c>
      <c r="BK348">
        <v>21.5</v>
      </c>
      <c r="BL348">
        <v>11</v>
      </c>
      <c r="BM348">
        <v>8.50109740861138E-3</v>
      </c>
      <c r="BN348">
        <v>19</v>
      </c>
      <c r="BO348">
        <v>-5.5448948862590929E-3</v>
      </c>
      <c r="BP348">
        <v>24</v>
      </c>
      <c r="BQ348">
        <v>5.2126984126984154E-2</v>
      </c>
      <c r="BR348">
        <v>32</v>
      </c>
      <c r="BS348">
        <v>-3</v>
      </c>
      <c r="BT348">
        <v>5.3200000000000021</v>
      </c>
      <c r="BU348">
        <v>8.360000000000003</v>
      </c>
      <c r="BV348">
        <v>1.08</v>
      </c>
      <c r="BW348">
        <v>24.519999999999992</v>
      </c>
      <c r="BX348">
        <v>-7.3199999999999816</v>
      </c>
      <c r="BY348">
        <v>24.52</v>
      </c>
      <c r="BZ348">
        <v>11.6</v>
      </c>
      <c r="CA348">
        <v>-4.28</v>
      </c>
      <c r="CB348">
        <v>7</v>
      </c>
      <c r="CC348">
        <v>5.0031999999999979</v>
      </c>
      <c r="CD348">
        <v>4.4474399999999985</v>
      </c>
      <c r="CE348">
        <v>-31.839999999999982</v>
      </c>
      <c r="CF348">
        <v>1.8103999999999996</v>
      </c>
    </row>
    <row r="349" spans="1:84" x14ac:dyDescent="0.2">
      <c r="A349" s="19">
        <v>44122</v>
      </c>
      <c r="B349" s="13" t="s">
        <v>252</v>
      </c>
      <c r="C349" s="41" t="s">
        <v>295</v>
      </c>
      <c r="D349" s="14" t="s">
        <v>312</v>
      </c>
      <c r="E349">
        <v>36.700000000000003</v>
      </c>
      <c r="F349">
        <v>18.899999999999999</v>
      </c>
      <c r="G349">
        <v>10.5</v>
      </c>
      <c r="H349">
        <v>15.7</v>
      </c>
      <c r="I349">
        <v>4</v>
      </c>
      <c r="J349">
        <v>53.5</v>
      </c>
      <c r="L349" t="s">
        <v>295</v>
      </c>
      <c r="M349">
        <v>20</v>
      </c>
      <c r="N349">
        <v>-1.3671999999999993</v>
      </c>
      <c r="O349">
        <v>-2.7900000000000005</v>
      </c>
      <c r="P349">
        <v>7.6399999999999988</v>
      </c>
      <c r="Q349">
        <v>-1.7100000000000002</v>
      </c>
      <c r="R349">
        <v>5.3077999999999994</v>
      </c>
      <c r="S349">
        <v>26.229999999999997</v>
      </c>
      <c r="T349">
        <v>4.16</v>
      </c>
      <c r="U349">
        <v>10</v>
      </c>
      <c r="V349">
        <v>10</v>
      </c>
      <c r="W349">
        <v>-1.9799999999999998</v>
      </c>
      <c r="X349">
        <v>12</v>
      </c>
      <c r="Y349">
        <v>14.25</v>
      </c>
      <c r="Z349">
        <v>11</v>
      </c>
      <c r="AA349">
        <v>1.3653761093792016E-2</v>
      </c>
      <c r="AB349">
        <v>13</v>
      </c>
      <c r="AC349">
        <v>2.0789060004244506E-3</v>
      </c>
      <c r="AD349">
        <v>9</v>
      </c>
      <c r="AE349">
        <v>-3.9853747559629948E-2</v>
      </c>
      <c r="AF349">
        <v>24</v>
      </c>
      <c r="AG349">
        <v>-1.4500000000000002</v>
      </c>
      <c r="AH349">
        <v>2.4700000000000015</v>
      </c>
      <c r="AI349">
        <v>-1.3300000000000012</v>
      </c>
      <c r="AJ349">
        <v>-0.64</v>
      </c>
      <c r="AK349">
        <v>13.25</v>
      </c>
      <c r="AL349">
        <v>20.719999999999992</v>
      </c>
      <c r="AM349">
        <v>7.05</v>
      </c>
      <c r="AN349">
        <v>-4.26</v>
      </c>
      <c r="AO349">
        <v>-10.26</v>
      </c>
      <c r="AP349">
        <v>13</v>
      </c>
      <c r="AQ349">
        <v>1.422800000000001</v>
      </c>
      <c r="AR349">
        <v>2.1831200000000002</v>
      </c>
      <c r="AS349">
        <v>13.669999999999991</v>
      </c>
      <c r="AT349">
        <v>20</v>
      </c>
      <c r="AU349">
        <v>0.23007499999999986</v>
      </c>
      <c r="AV349">
        <v>1.6179375</v>
      </c>
      <c r="AW349">
        <v>2.1437499999999998</v>
      </c>
      <c r="AX349" t="s">
        <v>312</v>
      </c>
      <c r="AY349">
        <v>19</v>
      </c>
      <c r="AZ349">
        <v>-1.0620000000000012</v>
      </c>
      <c r="BA349">
        <v>-3.9999999999992264E-3</v>
      </c>
      <c r="BB349">
        <v>10.420000000000002</v>
      </c>
      <c r="BC349">
        <v>0.1</v>
      </c>
      <c r="BD349">
        <v>5.9030000000000005</v>
      </c>
      <c r="BE349">
        <v>27.119999999999997</v>
      </c>
      <c r="BF349">
        <v>1.61</v>
      </c>
      <c r="BG349">
        <v>2</v>
      </c>
      <c r="BH349">
        <v>3</v>
      </c>
      <c r="BI349">
        <v>0.36</v>
      </c>
      <c r="BJ349">
        <v>13</v>
      </c>
      <c r="BK349">
        <v>15</v>
      </c>
      <c r="BL349">
        <v>22</v>
      </c>
      <c r="BM349">
        <v>-1.5693786278653511E-2</v>
      </c>
      <c r="BN349">
        <v>15</v>
      </c>
      <c r="BO349">
        <v>3.9710523647665148E-3</v>
      </c>
      <c r="BP349">
        <v>10</v>
      </c>
      <c r="BQ349">
        <v>-5.0055555555555541E-2</v>
      </c>
      <c r="BR349">
        <v>13</v>
      </c>
      <c r="BS349">
        <v>-9.9999999999999638E-3</v>
      </c>
      <c r="BT349">
        <v>3.5100000000000007</v>
      </c>
      <c r="BU349">
        <v>1.2300000000000004</v>
      </c>
      <c r="BV349">
        <v>-1.05</v>
      </c>
      <c r="BW349">
        <v>22.809999999999992</v>
      </c>
      <c r="BX349">
        <v>4.4200000000000044</v>
      </c>
      <c r="BY349">
        <v>15.16</v>
      </c>
      <c r="BZ349">
        <v>2.1100000000000003</v>
      </c>
      <c r="CA349">
        <v>1.1199999999999997</v>
      </c>
      <c r="CB349">
        <v>17</v>
      </c>
      <c r="CC349">
        <v>-1.058000000000002</v>
      </c>
      <c r="CD349">
        <v>0.97019999999999951</v>
      </c>
      <c r="CE349">
        <v>-10.739999999999995</v>
      </c>
      <c r="CF349">
        <v>1.0921250000000002</v>
      </c>
    </row>
    <row r="350" spans="1:84" x14ac:dyDescent="0.2">
      <c r="A350" s="19">
        <v>44122</v>
      </c>
      <c r="B350" s="13" t="s">
        <v>252</v>
      </c>
      <c r="C350" s="41" t="s">
        <v>305</v>
      </c>
      <c r="D350" s="14" t="s">
        <v>294</v>
      </c>
      <c r="E350">
        <v>9.6999999999999993</v>
      </c>
      <c r="F350">
        <v>6.1</v>
      </c>
      <c r="G350">
        <v>4.2</v>
      </c>
      <c r="H350">
        <v>4.0999999999999996</v>
      </c>
      <c r="I350">
        <v>-10</v>
      </c>
      <c r="J350">
        <v>47</v>
      </c>
      <c r="K350" t="s">
        <v>734</v>
      </c>
      <c r="L350" t="s">
        <v>305</v>
      </c>
      <c r="M350">
        <v>18</v>
      </c>
      <c r="N350">
        <v>-0.67680000000000007</v>
      </c>
      <c r="O350">
        <v>-8.1639999999999997</v>
      </c>
      <c r="P350">
        <v>-27.48</v>
      </c>
      <c r="Q350">
        <v>-2.8399999999999994</v>
      </c>
      <c r="R350">
        <v>-5.1879999999999988</v>
      </c>
      <c r="S350">
        <v>-36.47999999999999</v>
      </c>
      <c r="T350">
        <v>-4.08</v>
      </c>
      <c r="U350">
        <v>7</v>
      </c>
      <c r="V350">
        <v>7.5</v>
      </c>
      <c r="W350">
        <v>6.839999999999999</v>
      </c>
      <c r="X350">
        <v>9</v>
      </c>
      <c r="Y350">
        <v>12.75</v>
      </c>
      <c r="Z350">
        <v>8</v>
      </c>
      <c r="AA350">
        <v>4.243064622460848E-2</v>
      </c>
      <c r="AB350">
        <v>8</v>
      </c>
      <c r="AC350">
        <v>1.3148567657253713E-2</v>
      </c>
      <c r="AD350">
        <v>10</v>
      </c>
      <c r="AE350">
        <v>-3.4591297591297587E-2</v>
      </c>
      <c r="AF350">
        <v>25</v>
      </c>
      <c r="AG350">
        <v>-1.6800000000000002</v>
      </c>
      <c r="AH350">
        <v>-8.4</v>
      </c>
      <c r="AI350">
        <v>3.9999999999999855E-2</v>
      </c>
      <c r="AJ350">
        <v>3.0799999999999992</v>
      </c>
      <c r="AK350">
        <v>-41.319999999999993</v>
      </c>
      <c r="AL350">
        <v>-63.480000000000004</v>
      </c>
      <c r="AM350">
        <v>-8.9200000000000017</v>
      </c>
      <c r="AN350">
        <v>3.7599999999999993</v>
      </c>
      <c r="AO350">
        <v>27.32</v>
      </c>
      <c r="AP350">
        <v>6</v>
      </c>
      <c r="AQ350">
        <v>7.4872000000000005</v>
      </c>
      <c r="AR350">
        <v>2.9090400000000001</v>
      </c>
      <c r="AS350">
        <v>-54.56</v>
      </c>
      <c r="AT350">
        <v>27</v>
      </c>
      <c r="AU350">
        <v>-1.5085999999999999</v>
      </c>
      <c r="AV350">
        <v>-0.10650000000000048</v>
      </c>
      <c r="AW350">
        <v>-1.6500000000000004</v>
      </c>
      <c r="AX350" t="s">
        <v>294</v>
      </c>
      <c r="AY350">
        <v>13</v>
      </c>
      <c r="AZ350">
        <v>1.3579999999999988</v>
      </c>
      <c r="BA350">
        <v>-3.4190000000000005</v>
      </c>
      <c r="BB350">
        <v>-16.02</v>
      </c>
      <c r="BC350">
        <v>-1.5899999999999999</v>
      </c>
      <c r="BD350">
        <v>13.036999999999999</v>
      </c>
      <c r="BE350">
        <v>18.330000000000002</v>
      </c>
      <c r="BF350">
        <v>1.2400000000000002</v>
      </c>
      <c r="BG350">
        <v>13</v>
      </c>
      <c r="BH350">
        <v>13.5</v>
      </c>
      <c r="BI350">
        <v>2.4400000000000004</v>
      </c>
      <c r="BJ350">
        <v>11</v>
      </c>
      <c r="BK350">
        <v>14.5</v>
      </c>
      <c r="BL350">
        <v>3</v>
      </c>
      <c r="BM350">
        <v>7.2072093993855904E-2</v>
      </c>
      <c r="BN350">
        <v>12</v>
      </c>
      <c r="BO350">
        <v>6.0502501286230654E-3</v>
      </c>
      <c r="BP350">
        <v>25</v>
      </c>
      <c r="BQ350">
        <v>5.7768009768009755E-2</v>
      </c>
      <c r="BR350">
        <v>18</v>
      </c>
      <c r="BS350">
        <v>-0.64999999999999991</v>
      </c>
      <c r="BT350">
        <v>2.2900000000000005</v>
      </c>
      <c r="BU350">
        <v>5.16</v>
      </c>
      <c r="BV350">
        <v>-0.1</v>
      </c>
      <c r="BW350">
        <v>10.270000000000005</v>
      </c>
      <c r="BX350">
        <v>14.6</v>
      </c>
      <c r="BY350">
        <v>-20.729999999999997</v>
      </c>
      <c r="BZ350">
        <v>17.46</v>
      </c>
      <c r="CA350">
        <v>-1.0599999999999998</v>
      </c>
      <c r="CB350">
        <v>8</v>
      </c>
      <c r="CC350">
        <v>4.7769999999999992</v>
      </c>
      <c r="CD350">
        <v>4.5884999999999998</v>
      </c>
      <c r="CE350">
        <v>35.33</v>
      </c>
      <c r="CF350">
        <v>1.4369999999999994</v>
      </c>
    </row>
    <row r="351" spans="1:84" x14ac:dyDescent="0.2">
      <c r="A351" s="19">
        <v>44122</v>
      </c>
      <c r="B351" s="13" t="s">
        <v>252</v>
      </c>
      <c r="C351" s="41" t="s">
        <v>276</v>
      </c>
      <c r="D351" s="14" t="s">
        <v>288</v>
      </c>
      <c r="E351">
        <v>16.600000000000001</v>
      </c>
      <c r="F351">
        <v>14.5</v>
      </c>
      <c r="G351">
        <v>1.7</v>
      </c>
      <c r="H351">
        <v>1.7</v>
      </c>
      <c r="I351">
        <v>5</v>
      </c>
      <c r="J351">
        <v>56.5</v>
      </c>
      <c r="L351" t="s">
        <v>276</v>
      </c>
      <c r="M351">
        <v>1</v>
      </c>
      <c r="N351">
        <v>9.5440000000000005</v>
      </c>
      <c r="O351">
        <v>-8.1769999999999996</v>
      </c>
      <c r="P351">
        <v>-22.2</v>
      </c>
      <c r="Q351">
        <v>-0.89</v>
      </c>
      <c r="R351">
        <v>12.513999999999999</v>
      </c>
      <c r="S351">
        <v>64.210000000000008</v>
      </c>
      <c r="T351">
        <v>4.37</v>
      </c>
      <c r="U351">
        <v>19</v>
      </c>
      <c r="V351">
        <v>20.5</v>
      </c>
      <c r="W351">
        <v>-1.0699999999999998</v>
      </c>
      <c r="X351">
        <v>19</v>
      </c>
      <c r="Y351">
        <v>19.25</v>
      </c>
      <c r="Z351">
        <v>13</v>
      </c>
      <c r="AA351">
        <v>6.1094463052377866E-3</v>
      </c>
      <c r="AB351">
        <v>22</v>
      </c>
      <c r="AC351">
        <v>-1.0228124775865809E-2</v>
      </c>
      <c r="AD351">
        <v>21</v>
      </c>
      <c r="AE351">
        <v>3.9878232878232868E-2</v>
      </c>
      <c r="AF351">
        <v>21</v>
      </c>
      <c r="AG351">
        <v>-0.98999999999999988</v>
      </c>
      <c r="AH351">
        <v>2.069999999999999</v>
      </c>
      <c r="AI351">
        <v>3.5799999999999996</v>
      </c>
      <c r="AJ351">
        <v>-0.91999999999999993</v>
      </c>
      <c r="AK351">
        <v>24</v>
      </c>
      <c r="AL351">
        <v>58.17</v>
      </c>
      <c r="AM351">
        <v>-32.839999999999996</v>
      </c>
      <c r="AN351">
        <v>-3.13</v>
      </c>
      <c r="AO351">
        <v>1.8</v>
      </c>
      <c r="AP351">
        <v>1</v>
      </c>
      <c r="AQ351">
        <v>17.721</v>
      </c>
      <c r="AR351">
        <v>8.5000999999999998</v>
      </c>
      <c r="AS351">
        <v>91.009999999999991</v>
      </c>
      <c r="AT351">
        <v>32</v>
      </c>
      <c r="AU351">
        <v>1.6163750000000001</v>
      </c>
      <c r="AV351">
        <v>0.33574999999999988</v>
      </c>
      <c r="AW351">
        <v>1.0518749999999994</v>
      </c>
      <c r="AX351" t="s">
        <v>288</v>
      </c>
      <c r="AY351">
        <v>20</v>
      </c>
      <c r="AZ351">
        <v>-1.1740000000000002</v>
      </c>
      <c r="BA351">
        <v>3.2360000000000002</v>
      </c>
      <c r="BB351">
        <v>20.329999999999998</v>
      </c>
      <c r="BC351">
        <v>-1.9999999999999962E-2</v>
      </c>
      <c r="BD351">
        <v>-3.6249999999999982</v>
      </c>
      <c r="BE351">
        <v>-21.35</v>
      </c>
      <c r="BF351">
        <v>-0.95999999999999985</v>
      </c>
      <c r="BG351">
        <v>21</v>
      </c>
      <c r="BH351">
        <v>22.5</v>
      </c>
      <c r="BI351">
        <v>-2.96</v>
      </c>
      <c r="BJ351">
        <v>2</v>
      </c>
      <c r="BK351">
        <v>9.25</v>
      </c>
      <c r="BL351">
        <v>15</v>
      </c>
      <c r="BM351">
        <v>1.6124057069607177E-3</v>
      </c>
      <c r="BN351">
        <v>11</v>
      </c>
      <c r="BO351">
        <v>7.9312040229468032E-3</v>
      </c>
      <c r="BP351">
        <v>6</v>
      </c>
      <c r="BQ351">
        <v>-5.6203175909058281E-2</v>
      </c>
      <c r="BR351">
        <v>5</v>
      </c>
      <c r="BS351">
        <v>1.8200000000000003</v>
      </c>
      <c r="BT351">
        <v>2.5300000000000025</v>
      </c>
      <c r="BU351">
        <v>-3.2300000000000004</v>
      </c>
      <c r="BV351">
        <v>-0.42000000000000004</v>
      </c>
      <c r="BW351">
        <v>8.1300000000000061</v>
      </c>
      <c r="BX351">
        <v>-15.759999999999996</v>
      </c>
      <c r="BY351">
        <v>22.259999999999998</v>
      </c>
      <c r="BZ351">
        <v>-1.65</v>
      </c>
      <c r="CA351">
        <v>3.2800000000000011</v>
      </c>
      <c r="CB351">
        <v>26</v>
      </c>
      <c r="CC351">
        <v>-4.41</v>
      </c>
      <c r="CD351">
        <v>-2.5777999999999999</v>
      </c>
      <c r="CE351">
        <v>-38.019999999999996</v>
      </c>
      <c r="CF351">
        <v>-0.38037499999999974</v>
      </c>
    </row>
    <row r="352" spans="1:84" x14ac:dyDescent="0.2">
      <c r="A352" s="19">
        <v>44122</v>
      </c>
      <c r="B352" s="13" t="s">
        <v>252</v>
      </c>
      <c r="C352" s="41" t="s">
        <v>301</v>
      </c>
      <c r="D352" s="14" t="s">
        <v>265</v>
      </c>
      <c r="E352">
        <v>11.7</v>
      </c>
      <c r="F352">
        <v>14.3</v>
      </c>
      <c r="G352">
        <v>2.2999999999999998</v>
      </c>
      <c r="H352">
        <v>1.9</v>
      </c>
      <c r="I352">
        <v>-2</v>
      </c>
      <c r="J352">
        <v>45.5</v>
      </c>
      <c r="K352" t="s">
        <v>735</v>
      </c>
      <c r="L352" t="s">
        <v>301</v>
      </c>
      <c r="M352">
        <v>23</v>
      </c>
      <c r="N352">
        <v>-3.2600000000000025</v>
      </c>
      <c r="O352">
        <v>6.7599999999999989</v>
      </c>
      <c r="P352">
        <v>13.160000000000004</v>
      </c>
      <c r="Q352">
        <v>0.5199999999999998</v>
      </c>
      <c r="R352">
        <v>-6.4000000000001833E-2</v>
      </c>
      <c r="S352">
        <v>16.039999999999992</v>
      </c>
      <c r="T352">
        <v>-0.47999999999999954</v>
      </c>
      <c r="U352">
        <v>4</v>
      </c>
      <c r="V352">
        <v>6.5</v>
      </c>
      <c r="W352">
        <v>-0.67999999999999994</v>
      </c>
      <c r="X352">
        <v>26</v>
      </c>
      <c r="Y352">
        <v>21.75</v>
      </c>
      <c r="Z352">
        <v>28</v>
      </c>
      <c r="AA352">
        <v>-6.5708184947098486E-2</v>
      </c>
      <c r="AB352">
        <v>27</v>
      </c>
      <c r="AC352">
        <v>-1.4412438910555759E-2</v>
      </c>
      <c r="AD352">
        <v>13</v>
      </c>
      <c r="AE352">
        <v>6.3109668109668452E-3</v>
      </c>
      <c r="AF352">
        <v>19</v>
      </c>
      <c r="AG352">
        <v>-0.68000000000000027</v>
      </c>
      <c r="AH352">
        <v>-0.16000000000000086</v>
      </c>
      <c r="AI352">
        <v>-0.84000000000000052</v>
      </c>
      <c r="AJ352">
        <v>-0.83999999999999986</v>
      </c>
      <c r="AK352">
        <v>21.719999999999992</v>
      </c>
      <c r="AL352">
        <v>9.0800000000000018</v>
      </c>
      <c r="AM352">
        <v>9.0800000000000018</v>
      </c>
      <c r="AN352">
        <v>5.2</v>
      </c>
      <c r="AO352">
        <v>-1.64</v>
      </c>
      <c r="AP352">
        <v>29</v>
      </c>
      <c r="AQ352">
        <v>-10.020000000000001</v>
      </c>
      <c r="AR352">
        <v>-4.0448000000000004</v>
      </c>
      <c r="AS352">
        <v>0</v>
      </c>
      <c r="AT352">
        <v>4</v>
      </c>
      <c r="AU352">
        <v>0.55949999999999933</v>
      </c>
      <c r="AV352">
        <v>-0.91410000000000013</v>
      </c>
      <c r="AW352">
        <v>-0.69719999999999993</v>
      </c>
      <c r="AX352" t="s">
        <v>265</v>
      </c>
      <c r="AY352">
        <v>29</v>
      </c>
      <c r="AZ352">
        <v>-3.9610000000000012</v>
      </c>
      <c r="BA352">
        <v>-4.5999999999999874E-2</v>
      </c>
      <c r="BB352">
        <v>16.78</v>
      </c>
      <c r="BC352">
        <v>-0.10000000000000003</v>
      </c>
      <c r="BD352">
        <v>-5.9009999999999989</v>
      </c>
      <c r="BE352">
        <v>-12.910000000000002</v>
      </c>
      <c r="BF352">
        <v>0.12000000000000011</v>
      </c>
      <c r="BG352">
        <v>5</v>
      </c>
      <c r="BH352">
        <v>5.5</v>
      </c>
      <c r="BI352">
        <v>-0.2900000000000002</v>
      </c>
      <c r="BJ352">
        <v>10</v>
      </c>
      <c r="BK352">
        <v>13.5</v>
      </c>
      <c r="BL352">
        <v>9</v>
      </c>
      <c r="BM352">
        <v>1.5422640060317811E-2</v>
      </c>
      <c r="BN352">
        <v>17</v>
      </c>
      <c r="BO352">
        <v>-2.6375495340327767E-3</v>
      </c>
      <c r="BP352">
        <v>8</v>
      </c>
      <c r="BQ352">
        <v>-5.4460317460317473E-2</v>
      </c>
      <c r="BR352">
        <v>20</v>
      </c>
      <c r="BS352">
        <v>-0.86999999999999988</v>
      </c>
      <c r="BT352">
        <v>2.4</v>
      </c>
      <c r="BU352">
        <v>-2.3099999999999996</v>
      </c>
      <c r="BV352">
        <v>-1.28</v>
      </c>
      <c r="BW352">
        <v>-1.9600000000000022</v>
      </c>
      <c r="BX352">
        <v>-15.129999999999995</v>
      </c>
      <c r="BY352">
        <v>13.540000000000003</v>
      </c>
      <c r="BZ352">
        <v>0.48000000000000015</v>
      </c>
      <c r="CA352">
        <v>-0.85</v>
      </c>
      <c r="CB352">
        <v>24</v>
      </c>
      <c r="CC352">
        <v>-3.9150000000000014</v>
      </c>
      <c r="CD352">
        <v>-1.9494000000000005</v>
      </c>
      <c r="CE352">
        <v>-28.669999999999998</v>
      </c>
      <c r="CF352">
        <v>-1.1310000000000002</v>
      </c>
    </row>
    <row r="353" spans="1:84" x14ac:dyDescent="0.2">
      <c r="A353" s="19">
        <v>44122</v>
      </c>
      <c r="B353" s="13" t="s">
        <v>252</v>
      </c>
      <c r="C353" s="41" t="s">
        <v>265</v>
      </c>
      <c r="D353" s="13" t="s">
        <v>301</v>
      </c>
      <c r="E353">
        <v>10.3</v>
      </c>
      <c r="F353">
        <v>3.8</v>
      </c>
      <c r="G353">
        <v>6.6</v>
      </c>
      <c r="H353">
        <v>8.4</v>
      </c>
      <c r="I353">
        <v>2</v>
      </c>
      <c r="J353">
        <v>45.5</v>
      </c>
      <c r="K353" t="s">
        <v>735</v>
      </c>
      <c r="L353" t="s">
        <v>265</v>
      </c>
      <c r="M353">
        <v>17</v>
      </c>
      <c r="N353">
        <v>-0.47160000000000046</v>
      </c>
      <c r="O353">
        <v>-8.0290000000000017</v>
      </c>
      <c r="P353">
        <v>-18.730000000000004</v>
      </c>
      <c r="Q353">
        <v>-0.29999999999999988</v>
      </c>
      <c r="R353">
        <v>2.7616000000000005</v>
      </c>
      <c r="S353">
        <v>-8.0100000000000016</v>
      </c>
      <c r="T353">
        <v>4.4399999999999995</v>
      </c>
      <c r="U353">
        <v>20</v>
      </c>
      <c r="V353">
        <v>21</v>
      </c>
      <c r="W353">
        <v>-0.86999999999999988</v>
      </c>
      <c r="X353">
        <v>11</v>
      </c>
      <c r="Y353">
        <v>14</v>
      </c>
      <c r="Z353">
        <v>19</v>
      </c>
      <c r="AA353">
        <v>-1.656713055420525E-2</v>
      </c>
      <c r="AB353">
        <v>16</v>
      </c>
      <c r="AC353">
        <v>-3.9293963617368922E-4</v>
      </c>
      <c r="AD353">
        <v>3</v>
      </c>
      <c r="AE353">
        <v>-0.17685786435786435</v>
      </c>
      <c r="AF353">
        <v>18</v>
      </c>
      <c r="AG353">
        <v>-0.2900000000000002</v>
      </c>
      <c r="AH353">
        <v>0.65000000000000147</v>
      </c>
      <c r="AI353">
        <v>-3.5600000000000009</v>
      </c>
      <c r="AJ353">
        <v>-1.55</v>
      </c>
      <c r="AK353">
        <v>-22.470000000000006</v>
      </c>
      <c r="AL353">
        <v>-11.660000000000002</v>
      </c>
      <c r="AM353">
        <v>-21.5</v>
      </c>
      <c r="AN353">
        <v>6.5400000000000009</v>
      </c>
      <c r="AO353">
        <v>4.1500000000000004</v>
      </c>
      <c r="AP353">
        <v>5</v>
      </c>
      <c r="AQ353">
        <v>7.5574000000000012</v>
      </c>
      <c r="AR353">
        <v>4.472500000000001</v>
      </c>
      <c r="AS353">
        <v>9.8399999999999981</v>
      </c>
      <c r="AT353">
        <v>28</v>
      </c>
      <c r="AU353">
        <v>-0.95737500000000031</v>
      </c>
      <c r="AV353">
        <v>-0.91410000000000013</v>
      </c>
      <c r="AW353">
        <v>-1.1310000000000002</v>
      </c>
      <c r="AX353" t="s">
        <v>301</v>
      </c>
      <c r="AY353">
        <v>32</v>
      </c>
      <c r="AZ353">
        <v>-6.7896000000000001</v>
      </c>
      <c r="BA353">
        <v>11.672000000000001</v>
      </c>
      <c r="BB353">
        <v>14.92</v>
      </c>
      <c r="BC353">
        <v>2.2800000000000002</v>
      </c>
      <c r="BD353">
        <v>-9.6999999999999993</v>
      </c>
      <c r="BE353">
        <v>-43.6</v>
      </c>
      <c r="BF353">
        <v>-1.3199999999999994</v>
      </c>
      <c r="BG353">
        <v>23</v>
      </c>
      <c r="BH353">
        <v>25</v>
      </c>
      <c r="BI353">
        <v>-0.68000000000000027</v>
      </c>
      <c r="BJ353">
        <v>20</v>
      </c>
      <c r="BK353">
        <v>18.75</v>
      </c>
      <c r="BL353">
        <v>26</v>
      </c>
      <c r="BM353">
        <v>-4.0463405910694257E-2</v>
      </c>
      <c r="BN353">
        <v>26</v>
      </c>
      <c r="BO353">
        <v>-1.9587103934301332E-2</v>
      </c>
      <c r="BP353">
        <v>4</v>
      </c>
      <c r="BQ353">
        <v>-7.9642951819422422E-2</v>
      </c>
      <c r="BR353">
        <v>19</v>
      </c>
      <c r="BS353">
        <v>-0.67999999999999994</v>
      </c>
      <c r="BT353">
        <v>-3.3599999999999994</v>
      </c>
      <c r="BU353">
        <v>-2.04</v>
      </c>
      <c r="BV353">
        <v>-0.36</v>
      </c>
      <c r="BW353">
        <v>-37</v>
      </c>
      <c r="BX353">
        <v>-50.64</v>
      </c>
      <c r="BY353">
        <v>11.000000000000004</v>
      </c>
      <c r="BZ353">
        <v>1.2</v>
      </c>
      <c r="CA353">
        <v>1.4400000000000008</v>
      </c>
      <c r="CB353">
        <v>32</v>
      </c>
      <c r="CC353">
        <v>-18.461600000000001</v>
      </c>
      <c r="CD353">
        <v>-9.1339199999999998</v>
      </c>
      <c r="CE353">
        <v>-61.64</v>
      </c>
      <c r="CF353">
        <v>-0.69719999999999993</v>
      </c>
    </row>
    <row r="354" spans="1:84" x14ac:dyDescent="0.2">
      <c r="A354" s="19">
        <v>44122</v>
      </c>
      <c r="B354" s="13" t="s">
        <v>252</v>
      </c>
      <c r="C354" s="17" t="s">
        <v>272</v>
      </c>
      <c r="D354" s="14" t="s">
        <v>289</v>
      </c>
      <c r="E354">
        <v>12.9</v>
      </c>
      <c r="F354">
        <v>21.7</v>
      </c>
      <c r="G354">
        <v>17.600000000000001</v>
      </c>
      <c r="H354">
        <v>0</v>
      </c>
      <c r="I354">
        <v>7</v>
      </c>
      <c r="J354">
        <v>46</v>
      </c>
      <c r="K354" t="s">
        <v>735</v>
      </c>
      <c r="L354" t="s">
        <v>272</v>
      </c>
      <c r="M354">
        <v>24</v>
      </c>
      <c r="N354">
        <v>-3.6536000000000008</v>
      </c>
      <c r="O354">
        <v>0.22399999999999909</v>
      </c>
      <c r="P354">
        <v>6.24</v>
      </c>
      <c r="Q354">
        <v>0.76000000000000012</v>
      </c>
      <c r="R354">
        <v>-8.1239999999999988</v>
      </c>
      <c r="S354">
        <v>-23.439999999999998</v>
      </c>
      <c r="T354">
        <v>2.7600000000000002</v>
      </c>
      <c r="U354">
        <v>2</v>
      </c>
      <c r="V354">
        <v>2.5</v>
      </c>
      <c r="W354">
        <v>-2.6399999999999997</v>
      </c>
      <c r="X354">
        <v>1</v>
      </c>
      <c r="Y354">
        <v>6</v>
      </c>
      <c r="Z354">
        <v>5</v>
      </c>
      <c r="AA354">
        <v>7.3258486945301543E-2</v>
      </c>
      <c r="AB354">
        <v>1</v>
      </c>
      <c r="AC354">
        <v>3.5916622138106168E-2</v>
      </c>
      <c r="AD354">
        <v>14</v>
      </c>
      <c r="AE354">
        <v>9.31973581973582E-3</v>
      </c>
      <c r="AF354">
        <v>4</v>
      </c>
      <c r="AG354">
        <v>3.3600000000000003</v>
      </c>
      <c r="AH354">
        <v>5.5600000000000023</v>
      </c>
      <c r="AI354">
        <v>-4.9999999999999991</v>
      </c>
      <c r="AJ354">
        <v>-0.27999999999999997</v>
      </c>
      <c r="AK354">
        <v>-27.560000000000002</v>
      </c>
      <c r="AL354">
        <v>-23</v>
      </c>
      <c r="AM354">
        <v>1.0399999999999978</v>
      </c>
      <c r="AN354">
        <v>-7.6399999999999988</v>
      </c>
      <c r="AO354">
        <v>2.0399999999999996</v>
      </c>
      <c r="AP354">
        <v>23</v>
      </c>
      <c r="AQ354">
        <v>-3.8775999999999993</v>
      </c>
      <c r="AR354">
        <v>-2.4675199999999995</v>
      </c>
      <c r="AS354">
        <v>-24.04</v>
      </c>
      <c r="AT354">
        <v>10</v>
      </c>
      <c r="AU354">
        <v>-1.1441999999999999</v>
      </c>
      <c r="AV354">
        <v>-1.0473999999999999</v>
      </c>
      <c r="AW354">
        <v>0.27200000000000008</v>
      </c>
      <c r="AX354" t="s">
        <v>289</v>
      </c>
      <c r="AY354">
        <v>30</v>
      </c>
      <c r="AZ354">
        <v>-4.7504000000000008</v>
      </c>
      <c r="BA354">
        <v>-7.26</v>
      </c>
      <c r="BB354">
        <v>-30</v>
      </c>
      <c r="BC354">
        <v>-0.52000000000000013</v>
      </c>
      <c r="BD354">
        <v>-6.5240000000000027</v>
      </c>
      <c r="BE354">
        <v>-20.16</v>
      </c>
      <c r="BF354">
        <v>-1.72</v>
      </c>
      <c r="BG354">
        <v>18</v>
      </c>
      <c r="BH354">
        <v>18.5</v>
      </c>
      <c r="BI354">
        <v>0.59999999999999987</v>
      </c>
      <c r="BJ354">
        <v>15</v>
      </c>
      <c r="BK354">
        <v>16</v>
      </c>
      <c r="BL354">
        <v>32</v>
      </c>
      <c r="BM354">
        <v>-8.6634335967895118E-2</v>
      </c>
      <c r="BN354">
        <v>28</v>
      </c>
      <c r="BO354">
        <v>-1.9918075254197358E-2</v>
      </c>
      <c r="BP354">
        <v>2</v>
      </c>
      <c r="BQ354">
        <v>-0.14187301587301587</v>
      </c>
      <c r="BR354">
        <v>2</v>
      </c>
      <c r="BS354">
        <v>5.64</v>
      </c>
      <c r="BT354">
        <v>-2.9200000000000004</v>
      </c>
      <c r="BU354">
        <v>-6.6400000000000006</v>
      </c>
      <c r="BV354">
        <v>1.1600000000000001</v>
      </c>
      <c r="BW354">
        <v>-84.6</v>
      </c>
      <c r="BX354">
        <v>-41.6</v>
      </c>
      <c r="BY354">
        <v>-30.639999999999997</v>
      </c>
      <c r="BZ354">
        <v>-7.6400000000000006</v>
      </c>
      <c r="CA354">
        <v>-4.7199999999999989</v>
      </c>
      <c r="CB354">
        <v>11</v>
      </c>
      <c r="CC354">
        <v>2.5095999999999989</v>
      </c>
      <c r="CD354">
        <v>1.375119999999999</v>
      </c>
      <c r="CE354">
        <v>-10.960000000000004</v>
      </c>
      <c r="CF354">
        <v>-2.3668</v>
      </c>
    </row>
    <row r="355" spans="1:84" x14ac:dyDescent="0.2">
      <c r="A355" s="19">
        <v>44122</v>
      </c>
      <c r="B355" s="13" t="s">
        <v>252</v>
      </c>
      <c r="C355" s="41" t="s">
        <v>281</v>
      </c>
      <c r="D355" s="14" t="s">
        <v>309</v>
      </c>
      <c r="E355">
        <v>4.5</v>
      </c>
      <c r="F355">
        <v>7</v>
      </c>
      <c r="G355">
        <v>8.3000000000000007</v>
      </c>
      <c r="H355">
        <v>10.199999999999999</v>
      </c>
      <c r="I355">
        <v>3</v>
      </c>
      <c r="J355">
        <v>50.5</v>
      </c>
      <c r="L355" t="s">
        <v>281</v>
      </c>
      <c r="M355">
        <v>26</v>
      </c>
      <c r="N355">
        <v>-3.9727999999999994</v>
      </c>
      <c r="O355">
        <v>12.152000000000001</v>
      </c>
      <c r="P355">
        <v>61.76</v>
      </c>
      <c r="Q355">
        <v>-0.96000000000000008</v>
      </c>
      <c r="R355">
        <v>-2.5160000000000031</v>
      </c>
      <c r="S355">
        <v>-23.439999999999998</v>
      </c>
      <c r="T355">
        <v>-1.6800000000000002</v>
      </c>
      <c r="U355">
        <v>22</v>
      </c>
      <c r="V355">
        <v>22.5</v>
      </c>
      <c r="W355">
        <v>0.31999999999999984</v>
      </c>
      <c r="X355">
        <v>29</v>
      </c>
      <c r="Y355">
        <v>23.5</v>
      </c>
      <c r="Z355">
        <v>16</v>
      </c>
      <c r="AA355">
        <v>-4.2847460262088414E-3</v>
      </c>
      <c r="AB355">
        <v>25</v>
      </c>
      <c r="AC355">
        <v>-1.3473159141610503E-2</v>
      </c>
      <c r="AD355">
        <v>24</v>
      </c>
      <c r="AE355">
        <v>6.8199134199134204E-2</v>
      </c>
      <c r="AF355">
        <v>29</v>
      </c>
      <c r="AG355">
        <v>-2.7600000000000002</v>
      </c>
      <c r="AH355">
        <v>0.48000000000000254</v>
      </c>
      <c r="AI355">
        <v>5.92</v>
      </c>
      <c r="AJ355">
        <v>0.8</v>
      </c>
      <c r="AK355">
        <v>21.639999999999997</v>
      </c>
      <c r="AL355">
        <v>-42.519999999999996</v>
      </c>
      <c r="AM355">
        <v>65.88</v>
      </c>
      <c r="AN355">
        <v>7.3999999999999986</v>
      </c>
      <c r="AO355">
        <v>-9.1199999999999992</v>
      </c>
      <c r="AP355">
        <v>32</v>
      </c>
      <c r="AQ355">
        <v>-16.1248</v>
      </c>
      <c r="AR355">
        <v>-7.3737600000000008</v>
      </c>
      <c r="AS355">
        <v>-108.39999999999999</v>
      </c>
      <c r="AT355">
        <v>1</v>
      </c>
      <c r="AU355">
        <v>0.70789999999999986</v>
      </c>
      <c r="AV355">
        <v>1.3101374999999997</v>
      </c>
      <c r="AW355">
        <v>2.0234000000000001</v>
      </c>
      <c r="AX355" t="s">
        <v>309</v>
      </c>
      <c r="AY355">
        <v>9</v>
      </c>
      <c r="AZ355">
        <v>2.1624999999999988</v>
      </c>
      <c r="BA355">
        <v>0.59499999999999842</v>
      </c>
      <c r="BB355">
        <v>-18.687500000000004</v>
      </c>
      <c r="BC355">
        <v>-0.24999999999999989</v>
      </c>
      <c r="BD355">
        <v>6.3800000000000008</v>
      </c>
      <c r="BE355">
        <v>10.387500000000003</v>
      </c>
      <c r="BF355">
        <v>0.76250000000000029</v>
      </c>
      <c r="BG355">
        <v>32</v>
      </c>
      <c r="BH355">
        <v>31.5</v>
      </c>
      <c r="BI355">
        <v>-2.5375000000000001</v>
      </c>
      <c r="BJ355">
        <v>5</v>
      </c>
      <c r="BK355">
        <v>9.75</v>
      </c>
      <c r="BL355">
        <v>1</v>
      </c>
      <c r="BM355">
        <v>8.7716251381104823E-2</v>
      </c>
      <c r="BN355">
        <v>1</v>
      </c>
      <c r="BO355">
        <v>4.3360970602235677E-2</v>
      </c>
      <c r="BP355">
        <v>21</v>
      </c>
      <c r="BQ355">
        <v>3.3881531480215679E-2</v>
      </c>
      <c r="BR355">
        <v>16</v>
      </c>
      <c r="BS355">
        <v>-0.22500000000000009</v>
      </c>
      <c r="BT355">
        <v>-2.2124999999999986</v>
      </c>
      <c r="BU355">
        <v>2.125</v>
      </c>
      <c r="BV355">
        <v>-0.7</v>
      </c>
      <c r="BW355">
        <v>-1.4124999999999943</v>
      </c>
      <c r="BX355">
        <v>25.162500000000009</v>
      </c>
      <c r="BY355">
        <v>-18.987499999999997</v>
      </c>
      <c r="BZ355">
        <v>1.2124999999999999</v>
      </c>
      <c r="CA355">
        <v>-8.8000000000000007</v>
      </c>
      <c r="CB355">
        <v>15</v>
      </c>
      <c r="CC355">
        <v>1.5675000000000003</v>
      </c>
      <c r="CD355">
        <v>1.4110000000000009</v>
      </c>
      <c r="CE355">
        <v>44.150000000000006</v>
      </c>
      <c r="CF355">
        <v>0.5968749999999996</v>
      </c>
    </row>
    <row r="356" spans="1:84" x14ac:dyDescent="0.2">
      <c r="A356" s="19">
        <v>44122</v>
      </c>
      <c r="B356" s="13" t="s">
        <v>252</v>
      </c>
      <c r="C356" s="41" t="s">
        <v>291</v>
      </c>
      <c r="D356" s="14" t="s">
        <v>285</v>
      </c>
      <c r="E356">
        <v>20.9</v>
      </c>
      <c r="F356">
        <v>13.4</v>
      </c>
      <c r="G356">
        <v>3</v>
      </c>
      <c r="H356">
        <v>7.5</v>
      </c>
      <c r="I356">
        <v>0</v>
      </c>
      <c r="J356">
        <v>55</v>
      </c>
      <c r="L356" t="s">
        <v>291</v>
      </c>
      <c r="M356">
        <v>5</v>
      </c>
      <c r="N356">
        <v>6.6479999999999979</v>
      </c>
      <c r="O356">
        <v>3.2839999999999994</v>
      </c>
      <c r="P356">
        <v>9.5599999999999969</v>
      </c>
      <c r="Q356">
        <v>0.8400000000000003</v>
      </c>
      <c r="R356">
        <v>12.6624</v>
      </c>
      <c r="S356">
        <v>65.399999999999991</v>
      </c>
      <c r="T356">
        <v>4.8</v>
      </c>
      <c r="U356">
        <v>17</v>
      </c>
      <c r="V356">
        <v>18.5</v>
      </c>
      <c r="W356">
        <v>-3</v>
      </c>
      <c r="X356">
        <v>18</v>
      </c>
      <c r="Y356">
        <v>16.25</v>
      </c>
      <c r="Z356">
        <v>15</v>
      </c>
      <c r="AA356">
        <v>-3.466594776169779E-3</v>
      </c>
      <c r="AB356">
        <v>24</v>
      </c>
      <c r="AC356">
        <v>-1.2349920009370612E-2</v>
      </c>
      <c r="AD356">
        <v>17</v>
      </c>
      <c r="AE356">
        <v>1.8567210567210578E-2</v>
      </c>
      <c r="AF356">
        <v>9</v>
      </c>
      <c r="AG356">
        <v>1.2</v>
      </c>
      <c r="AH356">
        <v>7.0000000000000027</v>
      </c>
      <c r="AI356">
        <v>5.3199999999999994</v>
      </c>
      <c r="AJ356">
        <v>0.55999999999999983</v>
      </c>
      <c r="AK356">
        <v>97.12</v>
      </c>
      <c r="AL356">
        <v>91.839999999999989</v>
      </c>
      <c r="AM356">
        <v>8.8000000000000007</v>
      </c>
      <c r="AN356">
        <v>-5.3199999999999994</v>
      </c>
      <c r="AO356">
        <v>1.8</v>
      </c>
      <c r="AP356">
        <v>11</v>
      </c>
      <c r="AQ356">
        <v>3.3639999999999985</v>
      </c>
      <c r="AR356">
        <v>2.2200800000000003</v>
      </c>
      <c r="AS356">
        <v>83.039999999999992</v>
      </c>
      <c r="AT356">
        <v>22</v>
      </c>
      <c r="AU356">
        <v>2.7892999999999999</v>
      </c>
      <c r="AV356">
        <v>0.87009999999999965</v>
      </c>
      <c r="AW356">
        <v>1.8103999999999996</v>
      </c>
      <c r="AX356" t="s">
        <v>285</v>
      </c>
      <c r="AY356">
        <v>11</v>
      </c>
      <c r="AZ356">
        <v>1.6973999999999987</v>
      </c>
      <c r="BA356">
        <v>-0.14999999999999947</v>
      </c>
      <c r="BB356">
        <v>28.26</v>
      </c>
      <c r="BC356">
        <v>-1.9400000000000002</v>
      </c>
      <c r="BD356">
        <v>-2.289000000000001</v>
      </c>
      <c r="BE356">
        <v>-1.6299999999999997</v>
      </c>
      <c r="BF356">
        <v>0.2400000000000001</v>
      </c>
      <c r="BG356">
        <v>16</v>
      </c>
      <c r="BH356">
        <v>14</v>
      </c>
      <c r="BI356">
        <v>6.9999999999999923E-2</v>
      </c>
      <c r="BJ356">
        <v>29</v>
      </c>
      <c r="BK356">
        <v>22.75</v>
      </c>
      <c r="BL356">
        <v>28</v>
      </c>
      <c r="BM356">
        <v>-4.5018805034360357E-2</v>
      </c>
      <c r="BN356">
        <v>20</v>
      </c>
      <c r="BO356">
        <v>-5.9320878533703674E-3</v>
      </c>
      <c r="BP356">
        <v>18</v>
      </c>
      <c r="BQ356">
        <v>5.4011544011543953E-3</v>
      </c>
      <c r="BR356">
        <v>25</v>
      </c>
      <c r="BS356">
        <v>-1.8700000000000003</v>
      </c>
      <c r="BT356">
        <v>-0.2</v>
      </c>
      <c r="BU356">
        <v>-0.66999999999999993</v>
      </c>
      <c r="BV356">
        <v>-0.27999999999999997</v>
      </c>
      <c r="BW356">
        <v>17.2</v>
      </c>
      <c r="BX356">
        <v>0.66999999999999882</v>
      </c>
      <c r="BY356">
        <v>22.020000000000003</v>
      </c>
      <c r="BZ356">
        <v>-6.2399999999999993</v>
      </c>
      <c r="CA356">
        <v>0.75</v>
      </c>
      <c r="CB356">
        <v>14</v>
      </c>
      <c r="CC356">
        <v>1.8473999999999982</v>
      </c>
      <c r="CD356">
        <v>-4.332000000000083E-2</v>
      </c>
      <c r="CE356">
        <v>-21.350000000000005</v>
      </c>
      <c r="CF356">
        <v>-7.0200000000000179E-2</v>
      </c>
    </row>
    <row r="357" spans="1:84" x14ac:dyDescent="0.2">
      <c r="A357" s="19">
        <v>44122</v>
      </c>
      <c r="B357" s="13" t="s">
        <v>252</v>
      </c>
      <c r="C357" s="41" t="s">
        <v>278</v>
      </c>
      <c r="D357" s="14" t="s">
        <v>302</v>
      </c>
      <c r="E357">
        <v>5.2</v>
      </c>
      <c r="F357">
        <v>17.100000000000001</v>
      </c>
      <c r="G357">
        <v>0</v>
      </c>
      <c r="H357">
        <v>6.5</v>
      </c>
      <c r="I357">
        <v>7</v>
      </c>
      <c r="J357">
        <v>44</v>
      </c>
      <c r="K357" t="s">
        <v>735</v>
      </c>
      <c r="L357" t="s">
        <v>278</v>
      </c>
      <c r="M357">
        <v>25</v>
      </c>
      <c r="N357">
        <v>-3.9602499999999998</v>
      </c>
      <c r="O357">
        <v>-2.1987499999999995</v>
      </c>
      <c r="P357">
        <v>8.3250000000000028</v>
      </c>
      <c r="Q357">
        <v>-1.3749999999999998</v>
      </c>
      <c r="R357">
        <v>-2.6012500000000021</v>
      </c>
      <c r="S357">
        <v>-1.6124999999999972</v>
      </c>
      <c r="T357">
        <v>0.72499999999999987</v>
      </c>
      <c r="U357">
        <v>10</v>
      </c>
      <c r="V357">
        <v>10</v>
      </c>
      <c r="W357">
        <v>-0.30000000000000004</v>
      </c>
      <c r="X357">
        <v>2</v>
      </c>
      <c r="Y357">
        <v>8</v>
      </c>
      <c r="Z357">
        <v>9</v>
      </c>
      <c r="AA357">
        <v>4.0653795036575208E-2</v>
      </c>
      <c r="AB357">
        <v>15</v>
      </c>
      <c r="AC357">
        <v>-3.3142285498828118E-4</v>
      </c>
      <c r="AD357">
        <v>5</v>
      </c>
      <c r="AE357">
        <v>-0.12421460849092425</v>
      </c>
      <c r="AF357">
        <v>3</v>
      </c>
      <c r="AG357">
        <v>3.5625</v>
      </c>
      <c r="AH357">
        <v>1.6374999999999993</v>
      </c>
      <c r="AI357">
        <v>-2.7125000000000004</v>
      </c>
      <c r="AJ357">
        <v>-1.5</v>
      </c>
      <c r="AK357">
        <v>-38.050000000000011</v>
      </c>
      <c r="AL357">
        <v>-30.724999999999994</v>
      </c>
      <c r="AM357">
        <v>1.7375000000000007</v>
      </c>
      <c r="AN357">
        <v>-3.375</v>
      </c>
      <c r="AO357">
        <v>-5.6875</v>
      </c>
      <c r="AP357">
        <v>22</v>
      </c>
      <c r="AQ357">
        <v>-1.7614999999999998</v>
      </c>
      <c r="AR357">
        <v>-0.2129250000000007</v>
      </c>
      <c r="AS357">
        <v>-32.462499999999991</v>
      </c>
      <c r="AT357">
        <v>11</v>
      </c>
      <c r="AU357">
        <v>-0.91221875000000008</v>
      </c>
      <c r="AV357">
        <v>-1.432765625</v>
      </c>
      <c r="AW357">
        <v>0.34434375000000006</v>
      </c>
      <c r="AX357" t="s">
        <v>302</v>
      </c>
      <c r="AY357">
        <v>31</v>
      </c>
      <c r="AZ357">
        <v>-6.4240000000000013</v>
      </c>
      <c r="BA357">
        <v>-5.0799999999999974</v>
      </c>
      <c r="BB357">
        <v>-4.4999999999999991</v>
      </c>
      <c r="BC357">
        <v>-1.2000000000000002</v>
      </c>
      <c r="BD357">
        <v>-10.825000000000003</v>
      </c>
      <c r="BE357">
        <v>-36.900000000000006</v>
      </c>
      <c r="BF357">
        <v>-2.8499999999999996</v>
      </c>
      <c r="BG357">
        <v>23</v>
      </c>
      <c r="BH357">
        <v>25</v>
      </c>
      <c r="BI357">
        <v>1.9</v>
      </c>
      <c r="BJ357">
        <v>18</v>
      </c>
      <c r="BK357">
        <v>16.75</v>
      </c>
      <c r="BL357">
        <v>20</v>
      </c>
      <c r="BM357">
        <v>-4.2443568291323647E-3</v>
      </c>
      <c r="BN357">
        <v>18</v>
      </c>
      <c r="BO357">
        <v>-3.0453935817272969E-3</v>
      </c>
      <c r="BP357">
        <v>26</v>
      </c>
      <c r="BQ357">
        <v>6.299512987012984E-2</v>
      </c>
      <c r="BR357">
        <v>3</v>
      </c>
      <c r="BS357">
        <v>5.3500000000000005</v>
      </c>
      <c r="BT357">
        <v>-3.25</v>
      </c>
      <c r="BU357">
        <v>-8.5499999999999989</v>
      </c>
      <c r="BV357">
        <v>1.2999999999999998</v>
      </c>
      <c r="BW357">
        <v>-61.650000000000006</v>
      </c>
      <c r="BX357">
        <v>-44.099999999999994</v>
      </c>
      <c r="BY357">
        <v>-13.75</v>
      </c>
      <c r="BZ357">
        <v>-5.2</v>
      </c>
      <c r="CA357">
        <v>1.3999999999999995</v>
      </c>
      <c r="CB357">
        <v>18</v>
      </c>
      <c r="CC357">
        <v>-1.3440000000000039</v>
      </c>
      <c r="CD357">
        <v>-0.90980000000000194</v>
      </c>
      <c r="CE357">
        <v>-30.349999999999994</v>
      </c>
      <c r="CF357">
        <v>-3.2098750000000003</v>
      </c>
    </row>
    <row r="358" spans="1:84" x14ac:dyDescent="0.2">
      <c r="A358" s="19">
        <v>44122</v>
      </c>
      <c r="B358" s="13" t="s">
        <v>252</v>
      </c>
      <c r="C358" s="41" t="s">
        <v>299</v>
      </c>
      <c r="D358" s="14" t="s">
        <v>297</v>
      </c>
      <c r="E358">
        <v>17.5</v>
      </c>
      <c r="F358">
        <v>5.0999999999999996</v>
      </c>
      <c r="G358">
        <v>2.8</v>
      </c>
      <c r="H358">
        <v>9.6999999999999993</v>
      </c>
      <c r="I358">
        <v>-3</v>
      </c>
      <c r="J358">
        <v>53</v>
      </c>
      <c r="K358" t="s">
        <v>734</v>
      </c>
      <c r="L358" t="s">
        <v>299</v>
      </c>
      <c r="M358">
        <v>13</v>
      </c>
      <c r="N358">
        <v>0.57899999999999885</v>
      </c>
      <c r="O358">
        <v>-3.4074999999999998</v>
      </c>
      <c r="P358">
        <v>-16.900000000000002</v>
      </c>
      <c r="Q358">
        <v>-0.38749999999999996</v>
      </c>
      <c r="R358">
        <v>7.8749999999999876E-2</v>
      </c>
      <c r="S358">
        <v>7.1875000000000009</v>
      </c>
      <c r="T358">
        <v>0.75000000000000067</v>
      </c>
      <c r="U358">
        <v>15</v>
      </c>
      <c r="V358">
        <v>15.5</v>
      </c>
      <c r="W358">
        <v>-0.92499999999999993</v>
      </c>
      <c r="X358">
        <v>15</v>
      </c>
      <c r="Y358">
        <v>15.25</v>
      </c>
      <c r="Z358">
        <v>14</v>
      </c>
      <c r="AA358">
        <v>2.6610684253065564E-3</v>
      </c>
      <c r="AB358">
        <v>7</v>
      </c>
      <c r="AC358">
        <v>1.4278370422998257E-2</v>
      </c>
      <c r="AD358">
        <v>25</v>
      </c>
      <c r="AE358">
        <v>7.1132478632478624E-2</v>
      </c>
      <c r="AF358">
        <v>15</v>
      </c>
      <c r="AG358">
        <v>0.23749999999999982</v>
      </c>
      <c r="AH358">
        <v>-0.86250000000000071</v>
      </c>
      <c r="AI358">
        <v>0.83750000000000036</v>
      </c>
      <c r="AJ358">
        <v>0</v>
      </c>
      <c r="AK358">
        <v>-7.5374999999999943</v>
      </c>
      <c r="AL358">
        <v>1.1000000000000014</v>
      </c>
      <c r="AM358">
        <v>-8.0374999999999979</v>
      </c>
      <c r="AN358">
        <v>-0.57499999999999996</v>
      </c>
      <c r="AO358">
        <v>-2.4999999999999911E-2</v>
      </c>
      <c r="AP358">
        <v>9</v>
      </c>
      <c r="AQ358">
        <v>3.9864999999999986</v>
      </c>
      <c r="AR358">
        <v>1.8352999999999997</v>
      </c>
      <c r="AS358">
        <v>9.1374999999999993</v>
      </c>
      <c r="AT358">
        <v>24</v>
      </c>
      <c r="AU358">
        <v>-0.37340625000000022</v>
      </c>
      <c r="AV358">
        <v>0.74149374999999995</v>
      </c>
      <c r="AW358">
        <v>-0.3046875</v>
      </c>
      <c r="AX358" t="s">
        <v>297</v>
      </c>
      <c r="AY358">
        <v>4</v>
      </c>
      <c r="AZ358">
        <v>4.1153999999999993</v>
      </c>
      <c r="BA358">
        <v>5.9520000000000008</v>
      </c>
      <c r="BB358">
        <v>17.430000000000003</v>
      </c>
      <c r="BC358">
        <v>0.67000000000000026</v>
      </c>
      <c r="BD358">
        <v>3.8739999999999997</v>
      </c>
      <c r="BE358">
        <v>4.7399999999999958</v>
      </c>
      <c r="BF358">
        <v>-0.95</v>
      </c>
      <c r="BG358">
        <v>17</v>
      </c>
      <c r="BH358">
        <v>15</v>
      </c>
      <c r="BI358">
        <v>0.73000000000000009</v>
      </c>
      <c r="BJ358">
        <v>32</v>
      </c>
      <c r="BK358">
        <v>29</v>
      </c>
      <c r="BL358">
        <v>27</v>
      </c>
      <c r="BM358">
        <v>-4.3621805188359494E-2</v>
      </c>
      <c r="BN358">
        <v>31</v>
      </c>
      <c r="BO358">
        <v>-3.1898065105927929E-2</v>
      </c>
      <c r="BP358">
        <v>27</v>
      </c>
      <c r="BQ358">
        <v>7.1105672105672063E-2</v>
      </c>
      <c r="BR358">
        <v>31</v>
      </c>
      <c r="BS358">
        <v>-2.95</v>
      </c>
      <c r="BT358">
        <v>-1.7200000000000002</v>
      </c>
      <c r="BU358">
        <v>5.3400000000000007</v>
      </c>
      <c r="BV358">
        <v>-0.91999999999999993</v>
      </c>
      <c r="BW358">
        <v>51.179999999999993</v>
      </c>
      <c r="BX358">
        <v>20.279999999999994</v>
      </c>
      <c r="BY358">
        <v>17.550000000000004</v>
      </c>
      <c r="BZ358">
        <v>11.4</v>
      </c>
      <c r="CA358">
        <v>1.95</v>
      </c>
      <c r="CB358">
        <v>19</v>
      </c>
      <c r="CC358">
        <v>-1.8366000000000016</v>
      </c>
      <c r="CD358">
        <v>-1.3781200000000007</v>
      </c>
      <c r="CE358">
        <v>2.7299999999999898</v>
      </c>
      <c r="CF358">
        <v>1.7876749999999999</v>
      </c>
    </row>
    <row r="359" spans="1:84" x14ac:dyDescent="0.2">
      <c r="A359" s="19">
        <v>44122</v>
      </c>
      <c r="B359" s="13" t="s">
        <v>252</v>
      </c>
      <c r="C359" s="41" t="s">
        <v>300</v>
      </c>
      <c r="D359" s="14" t="s">
        <v>284</v>
      </c>
      <c r="E359">
        <v>12.1</v>
      </c>
      <c r="F359">
        <v>6.2</v>
      </c>
      <c r="G359">
        <v>2.6</v>
      </c>
      <c r="H359">
        <v>5.5</v>
      </c>
      <c r="I359">
        <v>-2.5</v>
      </c>
      <c r="J359">
        <v>54.5</v>
      </c>
      <c r="L359" t="s">
        <v>300</v>
      </c>
      <c r="M359">
        <v>8</v>
      </c>
      <c r="N359">
        <v>1.7874999999999979</v>
      </c>
      <c r="O359">
        <v>9.3987500000000015</v>
      </c>
      <c r="P359">
        <v>17.987500000000001</v>
      </c>
      <c r="Q359">
        <v>2.7750000000000004</v>
      </c>
      <c r="R359">
        <v>1.0199999999999974</v>
      </c>
      <c r="S359">
        <v>1.9874999999999954</v>
      </c>
      <c r="T359">
        <v>-1.9999999999999996</v>
      </c>
      <c r="U359">
        <v>8</v>
      </c>
      <c r="V359">
        <v>9</v>
      </c>
      <c r="W359">
        <v>1.7625</v>
      </c>
      <c r="X359">
        <v>30</v>
      </c>
      <c r="Y359">
        <v>24.5</v>
      </c>
      <c r="Z359">
        <v>30</v>
      </c>
      <c r="AA359">
        <v>-7.320284127007963E-2</v>
      </c>
      <c r="AB359">
        <v>30</v>
      </c>
      <c r="AC359">
        <v>-2.5008671690300667E-2</v>
      </c>
      <c r="AD359">
        <v>6</v>
      </c>
      <c r="AE359">
        <v>-0.10195283882783876</v>
      </c>
      <c r="AF359">
        <v>32</v>
      </c>
      <c r="AG359">
        <v>-5.1124999999999998</v>
      </c>
      <c r="AH359">
        <v>-0.58750000000000036</v>
      </c>
      <c r="AI359">
        <v>5.2999999999999989</v>
      </c>
      <c r="AJ359">
        <v>1.7124999999999999</v>
      </c>
      <c r="AK359">
        <v>42.612499999999997</v>
      </c>
      <c r="AL359">
        <v>20.125</v>
      </c>
      <c r="AM359">
        <v>33.975000000000001</v>
      </c>
      <c r="AN359">
        <v>-2.5249999999999999</v>
      </c>
      <c r="AO359">
        <v>-8.9624999999999986</v>
      </c>
      <c r="AP359">
        <v>26</v>
      </c>
      <c r="AQ359">
        <v>-7.6112500000000036</v>
      </c>
      <c r="AR359">
        <v>-4.137875000000002</v>
      </c>
      <c r="AS359">
        <v>-13.850000000000001</v>
      </c>
      <c r="AT359">
        <v>7</v>
      </c>
      <c r="AU359">
        <v>1.7882812499999994</v>
      </c>
      <c r="AV359">
        <v>-1.1003374999999997</v>
      </c>
      <c r="AW359">
        <v>-0.80687500000000001</v>
      </c>
      <c r="AX359" t="s">
        <v>284</v>
      </c>
      <c r="AY359">
        <v>28</v>
      </c>
      <c r="AZ359">
        <v>-3.9164000000000008</v>
      </c>
      <c r="BA359">
        <v>-4.9359999999999991</v>
      </c>
      <c r="BB359">
        <v>-47.949999999999989</v>
      </c>
      <c r="BC359">
        <v>1</v>
      </c>
      <c r="BD359">
        <v>-1.7679999999999993</v>
      </c>
      <c r="BE359">
        <v>-3.5700000000000029</v>
      </c>
      <c r="BF359">
        <v>0.33000000000000052</v>
      </c>
      <c r="BG359">
        <v>19</v>
      </c>
      <c r="BH359">
        <v>20</v>
      </c>
      <c r="BI359">
        <v>1.9299999999999997</v>
      </c>
      <c r="BJ359">
        <v>7</v>
      </c>
      <c r="BK359">
        <v>10.5</v>
      </c>
      <c r="BL359">
        <v>4</v>
      </c>
      <c r="BM359">
        <v>4.9574741672891519E-2</v>
      </c>
      <c r="BN359">
        <v>2</v>
      </c>
      <c r="BO359">
        <v>3.8538748782998081E-2</v>
      </c>
      <c r="BP359">
        <v>32</v>
      </c>
      <c r="BQ359">
        <v>0.12830768457548647</v>
      </c>
      <c r="BR359">
        <v>4</v>
      </c>
      <c r="BS359">
        <v>3.38</v>
      </c>
      <c r="BT359">
        <v>-3.6899999999999977</v>
      </c>
      <c r="BU359">
        <v>-3.54</v>
      </c>
      <c r="BV359">
        <v>2.2399999999999998</v>
      </c>
      <c r="BW359">
        <v>-52.090000000000011</v>
      </c>
      <c r="BX359">
        <v>-1.6300000000000068</v>
      </c>
      <c r="BY359">
        <v>-46.95</v>
      </c>
      <c r="BZ359">
        <v>0.3300000000000004</v>
      </c>
      <c r="CA359">
        <v>-3.84</v>
      </c>
      <c r="CB359">
        <v>16</v>
      </c>
      <c r="CC359">
        <v>1.0195999999999983</v>
      </c>
      <c r="CD359">
        <v>1.3311199999999994</v>
      </c>
      <c r="CE359">
        <v>45.319999999999993</v>
      </c>
      <c r="CF359">
        <v>-1.3937999999999997</v>
      </c>
    </row>
    <row r="360" spans="1:84" x14ac:dyDescent="0.2">
      <c r="A360" s="19">
        <v>44122</v>
      </c>
      <c r="B360" s="13" t="s">
        <v>252</v>
      </c>
      <c r="C360" s="41" t="s">
        <v>311</v>
      </c>
      <c r="D360" s="14" t="s">
        <v>310</v>
      </c>
      <c r="E360">
        <v>27.3</v>
      </c>
      <c r="F360">
        <v>21.8</v>
      </c>
      <c r="G360">
        <v>10.7</v>
      </c>
      <c r="H360">
        <v>20.5</v>
      </c>
      <c r="I360">
        <v>3.5</v>
      </c>
      <c r="J360">
        <v>52.5</v>
      </c>
      <c r="K360" t="s">
        <v>734</v>
      </c>
      <c r="L360" t="s">
        <v>311</v>
      </c>
      <c r="M360">
        <v>11</v>
      </c>
      <c r="N360">
        <v>0.83339999999999959</v>
      </c>
      <c r="O360">
        <v>-7.5619999999999994</v>
      </c>
      <c r="P360">
        <v>-17.060000000000002</v>
      </c>
      <c r="Q360">
        <v>-1.25</v>
      </c>
      <c r="R360">
        <v>2.4289999999999985</v>
      </c>
      <c r="S360">
        <v>30.180000000000003</v>
      </c>
      <c r="T360">
        <v>-1.3899999999999995</v>
      </c>
      <c r="U360">
        <v>14</v>
      </c>
      <c r="V360">
        <v>14.5</v>
      </c>
      <c r="W360">
        <v>-1.53</v>
      </c>
      <c r="X360">
        <v>5</v>
      </c>
      <c r="Y360">
        <v>9.5</v>
      </c>
      <c r="Z360">
        <v>12</v>
      </c>
      <c r="AA360">
        <v>1.2055732113009332E-2</v>
      </c>
      <c r="AB360">
        <v>6</v>
      </c>
      <c r="AC360">
        <v>1.5797808622995058E-2</v>
      </c>
      <c r="AD360">
        <v>7</v>
      </c>
      <c r="AE360">
        <v>-8.5284954811270589E-2</v>
      </c>
      <c r="AF360">
        <v>13</v>
      </c>
      <c r="AG360">
        <v>0.48</v>
      </c>
      <c r="AH360">
        <v>-7.919999999999999</v>
      </c>
      <c r="AI360">
        <v>-1.31</v>
      </c>
      <c r="AJ360">
        <v>-0.36</v>
      </c>
      <c r="AK360">
        <v>-11.880000000000006</v>
      </c>
      <c r="AL360">
        <v>20.210000000000008</v>
      </c>
      <c r="AM360">
        <v>-25.53</v>
      </c>
      <c r="AN360">
        <v>-6.33</v>
      </c>
      <c r="AO360">
        <v>-0.23000000000000043</v>
      </c>
      <c r="AP360">
        <v>4</v>
      </c>
      <c r="AQ360">
        <v>8.3953999999999986</v>
      </c>
      <c r="AR360">
        <v>4.4334799999999994</v>
      </c>
      <c r="AS360">
        <v>45.740000000000009</v>
      </c>
      <c r="AT360">
        <v>29</v>
      </c>
      <c r="AU360">
        <v>-0.47745000000000021</v>
      </c>
      <c r="AV360">
        <v>9.3850000000000378E-2</v>
      </c>
      <c r="AW360">
        <v>-0.21479999999999971</v>
      </c>
      <c r="AX360" t="s">
        <v>310</v>
      </c>
      <c r="AY360">
        <v>17</v>
      </c>
      <c r="AZ360">
        <v>-0.27749999999999764</v>
      </c>
      <c r="BA360">
        <v>2.910000000000001</v>
      </c>
      <c r="BB360">
        <v>32.412500000000009</v>
      </c>
      <c r="BC360">
        <v>-0.60000000000000031</v>
      </c>
      <c r="BD360">
        <v>2.5499999999999998</v>
      </c>
      <c r="BE360">
        <v>8.3875000000000011</v>
      </c>
      <c r="BF360">
        <v>1.2625</v>
      </c>
      <c r="BG360">
        <v>29</v>
      </c>
      <c r="BH360">
        <v>28</v>
      </c>
      <c r="BI360">
        <v>-2.5874999999999999</v>
      </c>
      <c r="BJ360">
        <v>23</v>
      </c>
      <c r="BK360">
        <v>20</v>
      </c>
      <c r="BL360">
        <v>13</v>
      </c>
      <c r="BM360">
        <v>4.5537139289629491E-3</v>
      </c>
      <c r="BN360">
        <v>32</v>
      </c>
      <c r="BO360">
        <v>-3.2861066671776802E-2</v>
      </c>
      <c r="BP360">
        <v>12</v>
      </c>
      <c r="BQ360">
        <v>-4.3385872168766965E-2</v>
      </c>
      <c r="BR360">
        <v>23</v>
      </c>
      <c r="BS360">
        <v>-1.4750000000000001</v>
      </c>
      <c r="BT360">
        <v>-0.26250000000000107</v>
      </c>
      <c r="BU360">
        <v>-1.625</v>
      </c>
      <c r="BV360">
        <v>0</v>
      </c>
      <c r="BW360">
        <v>40.4375</v>
      </c>
      <c r="BX360">
        <v>3.4624999999999986</v>
      </c>
      <c r="BY360">
        <v>31.162500000000001</v>
      </c>
      <c r="BZ360">
        <v>5.7125000000000004</v>
      </c>
      <c r="CA360">
        <v>0.10000000000000053</v>
      </c>
      <c r="CB360">
        <v>23</v>
      </c>
      <c r="CC360">
        <v>-3.1874999999999987</v>
      </c>
      <c r="CD360">
        <v>-1.0005000000000002</v>
      </c>
      <c r="CE360">
        <v>-27.700000000000003</v>
      </c>
      <c r="CF360">
        <v>0.40250000000000047</v>
      </c>
    </row>
    <row r="361" spans="1:84" x14ac:dyDescent="0.2">
      <c r="A361" s="19">
        <v>44122</v>
      </c>
      <c r="B361" s="13" t="s">
        <v>252</v>
      </c>
      <c r="C361" s="41" t="s">
        <v>289</v>
      </c>
      <c r="D361" s="14" t="s">
        <v>272</v>
      </c>
      <c r="E361">
        <v>2.1</v>
      </c>
      <c r="F361">
        <v>15.4</v>
      </c>
      <c r="G361">
        <v>18.8</v>
      </c>
      <c r="H361">
        <v>21.9</v>
      </c>
      <c r="I361">
        <v>-7</v>
      </c>
      <c r="J361">
        <v>46</v>
      </c>
      <c r="K361" t="s">
        <v>735</v>
      </c>
      <c r="L361" t="s">
        <v>289</v>
      </c>
      <c r="M361">
        <v>32</v>
      </c>
      <c r="N361">
        <v>-8.2264000000000017</v>
      </c>
      <c r="O361">
        <v>0.84400000000000008</v>
      </c>
      <c r="P361">
        <v>-2.4800000000000022</v>
      </c>
      <c r="Q361">
        <v>0.19999999999999996</v>
      </c>
      <c r="R361">
        <v>-13.992000000000001</v>
      </c>
      <c r="S361">
        <v>-42.639999999999993</v>
      </c>
      <c r="T361">
        <v>-4.0399999999999991</v>
      </c>
      <c r="U361">
        <v>4</v>
      </c>
      <c r="V361">
        <v>6.5</v>
      </c>
      <c r="W361">
        <v>5.64</v>
      </c>
      <c r="X361">
        <v>28</v>
      </c>
      <c r="Y361">
        <v>23.25</v>
      </c>
      <c r="Z361">
        <v>24</v>
      </c>
      <c r="AA361">
        <v>-4.422687056042534E-2</v>
      </c>
      <c r="AB361">
        <v>26</v>
      </c>
      <c r="AC361">
        <v>-1.4101422701022714E-2</v>
      </c>
      <c r="AD361">
        <v>31</v>
      </c>
      <c r="AE361">
        <v>0.12545054945054948</v>
      </c>
      <c r="AF361">
        <v>12</v>
      </c>
      <c r="AG361">
        <v>0.59999999999999987</v>
      </c>
      <c r="AH361">
        <v>-3.2400000000000007</v>
      </c>
      <c r="AI361">
        <v>-7.08</v>
      </c>
      <c r="AJ361">
        <v>3.6</v>
      </c>
      <c r="AK361">
        <v>-44.720000000000006</v>
      </c>
      <c r="AL361">
        <v>-31</v>
      </c>
      <c r="AM361">
        <v>2.9599999999999995</v>
      </c>
      <c r="AN361">
        <v>-1.9599999999999997</v>
      </c>
      <c r="AO361">
        <v>-14.719999999999999</v>
      </c>
      <c r="AP361">
        <v>28</v>
      </c>
      <c r="AQ361">
        <v>-9.0704000000000011</v>
      </c>
      <c r="AR361">
        <v>-4.8656799999999993</v>
      </c>
      <c r="AS361">
        <v>-33.96</v>
      </c>
      <c r="AT361">
        <v>5</v>
      </c>
      <c r="AU361">
        <v>-2.5568</v>
      </c>
      <c r="AV361">
        <v>-1.0473999999999999</v>
      </c>
      <c r="AW361">
        <v>-2.3668</v>
      </c>
      <c r="AX361" t="s">
        <v>272</v>
      </c>
      <c r="AY361">
        <v>21</v>
      </c>
      <c r="AZ361">
        <v>-1.7879999999999989</v>
      </c>
      <c r="BA361">
        <v>0.9479999999999994</v>
      </c>
      <c r="BB361">
        <v>27.84</v>
      </c>
      <c r="BC361">
        <v>-1.3200000000000003</v>
      </c>
      <c r="BD361">
        <v>0.25599999999999973</v>
      </c>
      <c r="BE361">
        <v>12</v>
      </c>
      <c r="BF361">
        <v>2.0000000000000004</v>
      </c>
      <c r="BG361">
        <v>1</v>
      </c>
      <c r="BH361">
        <v>2</v>
      </c>
      <c r="BI361">
        <v>3.3600000000000003</v>
      </c>
      <c r="BJ361">
        <v>31</v>
      </c>
      <c r="BK361">
        <v>26.75</v>
      </c>
      <c r="BL361">
        <v>30</v>
      </c>
      <c r="BM361">
        <v>-5.9267428381285944E-2</v>
      </c>
      <c r="BN361">
        <v>30</v>
      </c>
      <c r="BO361">
        <v>-2.8129321137902129E-2</v>
      </c>
      <c r="BP361">
        <v>17</v>
      </c>
      <c r="BQ361">
        <v>3.0017302958479262E-3</v>
      </c>
      <c r="BR361">
        <v>30</v>
      </c>
      <c r="BS361">
        <v>-2.6399999999999997</v>
      </c>
      <c r="BT361">
        <v>3.0000000000000044</v>
      </c>
      <c r="BU361">
        <v>7.999999999999971E-2</v>
      </c>
      <c r="BV361">
        <v>-0.36</v>
      </c>
      <c r="BW361">
        <v>20.840000000000011</v>
      </c>
      <c r="BX361">
        <v>-2.680000000000001</v>
      </c>
      <c r="BY361">
        <v>25.56</v>
      </c>
      <c r="BZ361">
        <v>1.2799999999999996</v>
      </c>
      <c r="CA361">
        <v>-3.3199999999999994</v>
      </c>
      <c r="CB361">
        <v>21</v>
      </c>
      <c r="CC361">
        <v>-2.7359999999999984</v>
      </c>
      <c r="CD361">
        <v>-0.78039999999999954</v>
      </c>
      <c r="CE361">
        <v>-28.24</v>
      </c>
      <c r="CF361">
        <v>0.27200000000000008</v>
      </c>
    </row>
    <row r="362" spans="1:84" x14ac:dyDescent="0.2">
      <c r="A362" s="19">
        <v>44122</v>
      </c>
      <c r="B362" s="13" t="s">
        <v>252</v>
      </c>
      <c r="C362" s="41" t="s">
        <v>297</v>
      </c>
      <c r="D362" s="14" t="s">
        <v>299</v>
      </c>
      <c r="E362">
        <v>11.5</v>
      </c>
      <c r="F362">
        <v>23.3</v>
      </c>
      <c r="G362">
        <v>4.0999999999999996</v>
      </c>
      <c r="H362">
        <v>0</v>
      </c>
      <c r="I362">
        <v>3</v>
      </c>
      <c r="J362">
        <v>53</v>
      </c>
      <c r="K362" t="s">
        <v>734</v>
      </c>
      <c r="L362" t="s">
        <v>297</v>
      </c>
      <c r="M362">
        <v>6</v>
      </c>
      <c r="N362">
        <v>3.6328000000000005</v>
      </c>
      <c r="O362">
        <v>0.12699999999999967</v>
      </c>
      <c r="P362">
        <v>-34.879999999999995</v>
      </c>
      <c r="Q362">
        <v>2.5099999999999998</v>
      </c>
      <c r="R362">
        <v>0.48919999999999897</v>
      </c>
      <c r="S362">
        <v>-18.749999999999996</v>
      </c>
      <c r="T362">
        <v>-1.07</v>
      </c>
      <c r="U362">
        <v>12</v>
      </c>
      <c r="V362">
        <v>12.5</v>
      </c>
      <c r="W362">
        <v>-2.95</v>
      </c>
      <c r="X362">
        <v>12</v>
      </c>
      <c r="Y362">
        <v>14.25</v>
      </c>
      <c r="Z362">
        <v>25</v>
      </c>
      <c r="AA362">
        <v>-5.6304330958634061E-2</v>
      </c>
      <c r="AB362">
        <v>17</v>
      </c>
      <c r="AC362">
        <v>-3.2968263194284599E-3</v>
      </c>
      <c r="AD362">
        <v>4</v>
      </c>
      <c r="AE362">
        <v>-0.12734776334776335</v>
      </c>
      <c r="AF362">
        <v>11</v>
      </c>
      <c r="AG362">
        <v>0.73000000000000009</v>
      </c>
      <c r="AH362">
        <v>-1.2100000000000009</v>
      </c>
      <c r="AI362">
        <v>-0.46000000000000085</v>
      </c>
      <c r="AJ362">
        <v>-0.91999999999999993</v>
      </c>
      <c r="AK362">
        <v>6.5600000000000023</v>
      </c>
      <c r="AL362">
        <v>44.370000000000005</v>
      </c>
      <c r="AM362">
        <v>-43.44</v>
      </c>
      <c r="AN362">
        <v>4.8699999999999992</v>
      </c>
      <c r="AO362">
        <v>0.76000000000000012</v>
      </c>
      <c r="AP362">
        <v>10</v>
      </c>
      <c r="AQ362">
        <v>3.5058000000000007</v>
      </c>
      <c r="AR362">
        <v>0.76090000000000013</v>
      </c>
      <c r="AS362">
        <v>87.81</v>
      </c>
      <c r="AT362">
        <v>23</v>
      </c>
      <c r="AU362">
        <v>0.49737499999999985</v>
      </c>
      <c r="AV362">
        <v>0.74149374999999995</v>
      </c>
      <c r="AW362">
        <v>1.7876749999999999</v>
      </c>
      <c r="AX362" t="s">
        <v>299</v>
      </c>
      <c r="AY362">
        <v>22</v>
      </c>
      <c r="AZ362">
        <v>-1.8537500000000016</v>
      </c>
      <c r="BA362">
        <v>3.6350000000000007</v>
      </c>
      <c r="BB362">
        <v>51.237499999999997</v>
      </c>
      <c r="BC362">
        <v>-2.5124999999999997</v>
      </c>
      <c r="BD362">
        <v>-3.4437499999999988</v>
      </c>
      <c r="BE362">
        <v>-15.925000000000001</v>
      </c>
      <c r="BF362">
        <v>-3.3</v>
      </c>
      <c r="BG362">
        <v>22</v>
      </c>
      <c r="BH362">
        <v>23</v>
      </c>
      <c r="BI362">
        <v>0.23749999999999982</v>
      </c>
      <c r="BJ362">
        <v>26</v>
      </c>
      <c r="BK362">
        <v>21</v>
      </c>
      <c r="BL362">
        <v>19</v>
      </c>
      <c r="BM362">
        <v>-2.6148235069413453E-3</v>
      </c>
      <c r="BN362">
        <v>16</v>
      </c>
      <c r="BO362">
        <v>-1.4550090186385067E-3</v>
      </c>
      <c r="BP362">
        <v>28</v>
      </c>
      <c r="BQ362">
        <v>7.1160714285714285E-2</v>
      </c>
      <c r="BR362">
        <v>21</v>
      </c>
      <c r="BS362">
        <v>-0.92499999999999993</v>
      </c>
      <c r="BT362">
        <v>8.7499999999998579E-2</v>
      </c>
      <c r="BU362">
        <v>2.1124999999999998</v>
      </c>
      <c r="BV362">
        <v>0.83750000000000002</v>
      </c>
      <c r="BW362">
        <v>22.837499999999991</v>
      </c>
      <c r="BX362">
        <v>-21.775000000000006</v>
      </c>
      <c r="BY362">
        <v>51.012500000000003</v>
      </c>
      <c r="BZ362">
        <v>-0.71249999999999991</v>
      </c>
      <c r="CA362">
        <v>-5.6874999999999982</v>
      </c>
      <c r="CB362">
        <v>28</v>
      </c>
      <c r="CC362">
        <v>-5.4887500000000022</v>
      </c>
      <c r="CD362">
        <v>-2.8770000000000007</v>
      </c>
      <c r="CE362">
        <v>-72.787500000000009</v>
      </c>
      <c r="CF362">
        <v>-0.3046875</v>
      </c>
    </row>
    <row r="363" spans="1:84" x14ac:dyDescent="0.2">
      <c r="A363" s="19">
        <v>44122</v>
      </c>
      <c r="B363" s="13" t="s">
        <v>252</v>
      </c>
      <c r="C363" s="41" t="s">
        <v>288</v>
      </c>
      <c r="D363" s="14" t="s">
        <v>276</v>
      </c>
      <c r="E363">
        <v>5.5</v>
      </c>
      <c r="F363">
        <v>11.9</v>
      </c>
      <c r="G363">
        <v>0</v>
      </c>
      <c r="H363">
        <v>22.5</v>
      </c>
      <c r="I363">
        <v>-5</v>
      </c>
      <c r="J363">
        <v>56.5</v>
      </c>
      <c r="L363" t="s">
        <v>288</v>
      </c>
      <c r="M363">
        <v>2</v>
      </c>
      <c r="N363">
        <v>8.1826000000000008</v>
      </c>
      <c r="O363">
        <v>-4.4420000000000011</v>
      </c>
      <c r="P363">
        <v>-12.360000000000001</v>
      </c>
      <c r="Q363">
        <v>-0.11999999999999994</v>
      </c>
      <c r="R363">
        <v>16.294999999999998</v>
      </c>
      <c r="S363">
        <v>52.65</v>
      </c>
      <c r="T363">
        <v>4.7700000000000005</v>
      </c>
      <c r="U363">
        <v>17</v>
      </c>
      <c r="V363">
        <v>18.5</v>
      </c>
      <c r="W363">
        <v>1.8200000000000003</v>
      </c>
      <c r="X363">
        <v>25</v>
      </c>
      <c r="Y363">
        <v>21.5</v>
      </c>
      <c r="Z363">
        <v>10</v>
      </c>
      <c r="AA363">
        <v>1.5137692053602447E-2</v>
      </c>
      <c r="AB363">
        <v>31</v>
      </c>
      <c r="AC363">
        <v>-2.6082245130638115E-2</v>
      </c>
      <c r="AD363">
        <v>15</v>
      </c>
      <c r="AE363">
        <v>1.6194805194805217E-2</v>
      </c>
      <c r="AF363">
        <v>30</v>
      </c>
      <c r="AG363">
        <v>-2.96</v>
      </c>
      <c r="AH363">
        <v>0.85</v>
      </c>
      <c r="AI363">
        <v>4.99</v>
      </c>
      <c r="AJ363">
        <v>0.49000000000000005</v>
      </c>
      <c r="AK363">
        <v>35.589999999999996</v>
      </c>
      <c r="AL363">
        <v>31.840000000000003</v>
      </c>
      <c r="AM363">
        <v>-9.6599999999999966</v>
      </c>
      <c r="AN363">
        <v>5.839999999999999</v>
      </c>
      <c r="AO363">
        <v>7.5699999999999985</v>
      </c>
      <c r="AP363">
        <v>3</v>
      </c>
      <c r="AQ363">
        <v>12.624600000000001</v>
      </c>
      <c r="AR363">
        <v>7.1165199999999995</v>
      </c>
      <c r="AS363">
        <v>41.5</v>
      </c>
      <c r="AT363">
        <v>30</v>
      </c>
      <c r="AU363">
        <v>2.5544499999999997</v>
      </c>
      <c r="AV363">
        <v>0.33574999999999988</v>
      </c>
      <c r="AW363">
        <v>-0.38037499999999974</v>
      </c>
      <c r="AX363" t="s">
        <v>276</v>
      </c>
      <c r="AY363">
        <v>7</v>
      </c>
      <c r="AZ363">
        <v>2.7209999999999988</v>
      </c>
      <c r="BA363">
        <v>-1.1279999999999994</v>
      </c>
      <c r="BB363">
        <v>-16.809999999999999</v>
      </c>
      <c r="BC363">
        <v>0.59000000000000008</v>
      </c>
      <c r="BD363">
        <v>8.341999999999997</v>
      </c>
      <c r="BE363">
        <v>23.740000000000002</v>
      </c>
      <c r="BF363">
        <v>4.53</v>
      </c>
      <c r="BG363">
        <v>27</v>
      </c>
      <c r="BH363">
        <v>26.5</v>
      </c>
      <c r="BI363">
        <v>-0.98999999999999988</v>
      </c>
      <c r="BJ363">
        <v>22</v>
      </c>
      <c r="BK363">
        <v>19.75</v>
      </c>
      <c r="BL363">
        <v>14</v>
      </c>
      <c r="BM363">
        <v>2.4105222850828055E-3</v>
      </c>
      <c r="BN363">
        <v>14</v>
      </c>
      <c r="BO363">
        <v>4.2895709916117384E-3</v>
      </c>
      <c r="BP363">
        <v>29</v>
      </c>
      <c r="BQ363">
        <v>8.0226551226551202E-2</v>
      </c>
      <c r="BR363">
        <v>22</v>
      </c>
      <c r="BS363">
        <v>-1.0699999999999998</v>
      </c>
      <c r="BT363">
        <v>-4.08</v>
      </c>
      <c r="BU363">
        <v>2.6600000000000006</v>
      </c>
      <c r="BV363">
        <v>-0.27999999999999997</v>
      </c>
      <c r="BW363">
        <v>6.1399999999999979</v>
      </c>
      <c r="BX363">
        <v>17.360000000000007</v>
      </c>
      <c r="BY363">
        <v>-10.809999999999999</v>
      </c>
      <c r="BZ363">
        <v>-0.11999999999999975</v>
      </c>
      <c r="CA363">
        <v>-0.28999999999999843</v>
      </c>
      <c r="CB363">
        <v>9</v>
      </c>
      <c r="CC363">
        <v>3.8489999999999984</v>
      </c>
      <c r="CD363">
        <v>2.7765999999999988</v>
      </c>
      <c r="CE363">
        <v>28.170000000000005</v>
      </c>
      <c r="CF363">
        <v>1.0518749999999994</v>
      </c>
    </row>
    <row r="364" spans="1:84" x14ac:dyDescent="0.2">
      <c r="A364" s="19">
        <v>44122</v>
      </c>
      <c r="B364" s="13" t="s">
        <v>252</v>
      </c>
      <c r="C364" s="41" t="s">
        <v>304</v>
      </c>
      <c r="D364" s="14" t="s">
        <v>256</v>
      </c>
      <c r="E364">
        <v>14</v>
      </c>
      <c r="F364">
        <v>4.0999999999999996</v>
      </c>
      <c r="G364">
        <v>12.5</v>
      </c>
      <c r="H364">
        <v>8.6</v>
      </c>
      <c r="I364">
        <v>-2</v>
      </c>
      <c r="J364">
        <v>51</v>
      </c>
      <c r="L364" t="s">
        <v>304</v>
      </c>
      <c r="M364">
        <v>21</v>
      </c>
      <c r="N364">
        <v>-1.4807999999999992</v>
      </c>
      <c r="O364">
        <v>2.7679999999999998</v>
      </c>
      <c r="P364">
        <v>21.560000000000002</v>
      </c>
      <c r="Q364">
        <v>0.23999999999999977</v>
      </c>
      <c r="R364">
        <v>0.98319999999999985</v>
      </c>
      <c r="S364">
        <v>22.679999999999996</v>
      </c>
      <c r="T364">
        <v>-1.9600000000000004</v>
      </c>
      <c r="U364">
        <v>31</v>
      </c>
      <c r="V364">
        <v>30.5</v>
      </c>
      <c r="W364">
        <v>-0.12000000000000029</v>
      </c>
      <c r="X364">
        <v>22</v>
      </c>
      <c r="Y364">
        <v>20</v>
      </c>
      <c r="Z364">
        <v>29</v>
      </c>
      <c r="AA364">
        <v>-7.2422323824070475E-2</v>
      </c>
      <c r="AB364">
        <v>29</v>
      </c>
      <c r="AC364">
        <v>-2.2357815062890671E-2</v>
      </c>
      <c r="AD364">
        <v>2</v>
      </c>
      <c r="AE364">
        <v>-0.21353391053391055</v>
      </c>
      <c r="AF364">
        <v>20</v>
      </c>
      <c r="AG364">
        <v>-0.96000000000000019</v>
      </c>
      <c r="AH364">
        <v>-0.31999999999999745</v>
      </c>
      <c r="AI364">
        <v>-1.8399999999999999</v>
      </c>
      <c r="AJ364">
        <v>-0.64</v>
      </c>
      <c r="AK364">
        <v>34.319999999999993</v>
      </c>
      <c r="AL364">
        <v>18.079999999999995</v>
      </c>
      <c r="AM364">
        <v>20.88</v>
      </c>
      <c r="AN364">
        <v>2.2800000000000002</v>
      </c>
      <c r="AO364">
        <v>-6.919999999999999</v>
      </c>
      <c r="AP364">
        <v>24</v>
      </c>
      <c r="AQ364">
        <v>-4.2487999999999992</v>
      </c>
      <c r="AR364">
        <v>-1.4835199999999999</v>
      </c>
      <c r="AS364">
        <v>-2.8000000000000043</v>
      </c>
      <c r="AT364">
        <v>9</v>
      </c>
      <c r="AU364">
        <v>-9.6199999999999952E-2</v>
      </c>
      <c r="AV364">
        <v>-0.84400000000000031</v>
      </c>
      <c r="AW364">
        <v>-1.6147000000000002</v>
      </c>
      <c r="AX364" t="s">
        <v>256</v>
      </c>
      <c r="AY364">
        <v>14</v>
      </c>
      <c r="AZ364">
        <v>0.89759999999999951</v>
      </c>
      <c r="BA364">
        <v>-1.532</v>
      </c>
      <c r="BB364">
        <v>-5.3199999999999985</v>
      </c>
      <c r="BC364">
        <v>-0.11999999999999986</v>
      </c>
      <c r="BD364">
        <v>-1.9120000000000026</v>
      </c>
      <c r="BE364">
        <v>2.9199999999999942</v>
      </c>
      <c r="BF364">
        <v>-1.96</v>
      </c>
      <c r="BG364">
        <v>7</v>
      </c>
      <c r="BH364">
        <v>7.5</v>
      </c>
      <c r="BI364">
        <v>2.12</v>
      </c>
      <c r="BJ364">
        <v>17</v>
      </c>
      <c r="BK364">
        <v>16.25</v>
      </c>
      <c r="BL364">
        <v>5</v>
      </c>
      <c r="BM364">
        <v>2.9312884651620942E-2</v>
      </c>
      <c r="BN364">
        <v>22</v>
      </c>
      <c r="BO364">
        <v>-8.4284882505910562E-3</v>
      </c>
      <c r="BP364">
        <v>9</v>
      </c>
      <c r="BQ364">
        <v>-5.3505050505050535E-2</v>
      </c>
      <c r="BR364">
        <v>29</v>
      </c>
      <c r="BS364">
        <v>-2.4800000000000004</v>
      </c>
      <c r="BT364">
        <v>-2.7200000000000015</v>
      </c>
      <c r="BU364">
        <v>0.91999999999999993</v>
      </c>
      <c r="BV364">
        <v>0.55999999999999983</v>
      </c>
      <c r="BW364">
        <v>-13.039999999999997</v>
      </c>
      <c r="BX364">
        <v>-12.319999999999999</v>
      </c>
      <c r="BY364">
        <v>-8.7199999999999971</v>
      </c>
      <c r="BZ364">
        <v>-1.6</v>
      </c>
      <c r="CA364">
        <v>9.6000000000000014</v>
      </c>
      <c r="CB364">
        <v>12</v>
      </c>
      <c r="CC364">
        <v>2.4295999999999998</v>
      </c>
      <c r="CD364">
        <v>0.5631199999999994</v>
      </c>
      <c r="CE364">
        <v>-3.6000000000000014</v>
      </c>
      <c r="CF364">
        <v>-7.330000000000042E-2</v>
      </c>
    </row>
    <row r="365" spans="1:84" x14ac:dyDescent="0.2">
      <c r="A365" s="19">
        <v>44122</v>
      </c>
      <c r="B365" s="13" t="s">
        <v>252</v>
      </c>
      <c r="C365" s="41" t="s">
        <v>293</v>
      </c>
      <c r="D365" s="14" t="s">
        <v>298</v>
      </c>
      <c r="E365">
        <v>6.5</v>
      </c>
      <c r="F365">
        <v>9.8000000000000007</v>
      </c>
      <c r="G365">
        <v>8.8000000000000007</v>
      </c>
      <c r="H365">
        <v>14.1</v>
      </c>
      <c r="I365">
        <v>-8.5</v>
      </c>
      <c r="J365">
        <v>46.5</v>
      </c>
      <c r="L365" t="s">
        <v>293</v>
      </c>
      <c r="M365">
        <v>15</v>
      </c>
      <c r="N365">
        <v>0.34100000000000075</v>
      </c>
      <c r="O365">
        <v>0.46999999999999931</v>
      </c>
      <c r="P365">
        <v>-13.879999999999999</v>
      </c>
      <c r="Q365">
        <v>-0.28000000000000014</v>
      </c>
      <c r="R365">
        <v>-5.0969999999999995</v>
      </c>
      <c r="S365">
        <v>-22.070000000000004</v>
      </c>
      <c r="T365">
        <v>-2.95</v>
      </c>
      <c r="U365">
        <v>3</v>
      </c>
      <c r="V365">
        <v>3.5</v>
      </c>
      <c r="W365">
        <v>0.69999999999999984</v>
      </c>
      <c r="X365">
        <v>24</v>
      </c>
      <c r="Y365">
        <v>20.5</v>
      </c>
      <c r="Z365">
        <v>18</v>
      </c>
      <c r="AA365">
        <v>-5.481008531598941E-3</v>
      </c>
      <c r="AB365">
        <v>11</v>
      </c>
      <c r="AC365">
        <v>2.6787841118853335E-3</v>
      </c>
      <c r="AD365">
        <v>27</v>
      </c>
      <c r="AE365">
        <v>8.0966810966810979E-2</v>
      </c>
      <c r="AF365">
        <v>26</v>
      </c>
      <c r="AG365">
        <v>-2</v>
      </c>
      <c r="AH365">
        <v>-0.9899999999999991</v>
      </c>
      <c r="AI365">
        <v>1.9900000000000007</v>
      </c>
      <c r="AJ365">
        <v>-0.90999999999999992</v>
      </c>
      <c r="AK365">
        <v>-17.21</v>
      </c>
      <c r="AL365">
        <v>-12.2</v>
      </c>
      <c r="AM365">
        <v>-6.6599999999999993</v>
      </c>
      <c r="AN365">
        <v>0.6</v>
      </c>
      <c r="AO365">
        <v>1.0499999999999994</v>
      </c>
      <c r="AP365">
        <v>18</v>
      </c>
      <c r="AQ365">
        <v>-0.12899999999999856</v>
      </c>
      <c r="AR365">
        <v>-1.1861999999999995</v>
      </c>
      <c r="AS365">
        <v>-5.54</v>
      </c>
      <c r="AT365">
        <v>15</v>
      </c>
      <c r="AU365">
        <v>-0.14574999999999999</v>
      </c>
      <c r="AV365">
        <v>-2.1487499999999882E-2</v>
      </c>
      <c r="AW365">
        <v>-1.2401749999999998</v>
      </c>
      <c r="AX365" t="s">
        <v>298</v>
      </c>
      <c r="AY365">
        <v>15</v>
      </c>
      <c r="AZ365">
        <v>0.86360000000000026</v>
      </c>
      <c r="BA365">
        <v>3.7759999999999989</v>
      </c>
      <c r="BB365">
        <v>5.8100000000000005</v>
      </c>
      <c r="BC365">
        <v>0.52</v>
      </c>
      <c r="BD365">
        <v>2.3879999999999999</v>
      </c>
      <c r="BE365">
        <v>12.470000000000006</v>
      </c>
      <c r="BF365">
        <v>-2.0299999999999998</v>
      </c>
      <c r="BG365">
        <v>6</v>
      </c>
      <c r="BH365">
        <v>6</v>
      </c>
      <c r="BI365">
        <v>4.2099999999999991</v>
      </c>
      <c r="BJ365">
        <v>25</v>
      </c>
      <c r="BK365">
        <v>20.75</v>
      </c>
      <c r="BL365">
        <v>24</v>
      </c>
      <c r="BM365">
        <v>-1.8836010232579092E-2</v>
      </c>
      <c r="BN365">
        <v>29</v>
      </c>
      <c r="BO365">
        <v>-2.0487905685038842E-2</v>
      </c>
      <c r="BP365">
        <v>3</v>
      </c>
      <c r="BQ365">
        <v>-0.12253409456041039</v>
      </c>
      <c r="BR365">
        <v>27</v>
      </c>
      <c r="BS365">
        <v>-2.06</v>
      </c>
      <c r="BT365">
        <v>0.70999999999999797</v>
      </c>
      <c r="BU365">
        <v>5.22</v>
      </c>
      <c r="BV365">
        <v>2.2800000000000002</v>
      </c>
      <c r="BW365">
        <v>24.029999999999994</v>
      </c>
      <c r="BX365">
        <v>7.1299999999999955</v>
      </c>
      <c r="BY365">
        <v>21.370000000000005</v>
      </c>
      <c r="BZ365">
        <v>-4.7499999999999991</v>
      </c>
      <c r="CA365">
        <v>0.27999999999999969</v>
      </c>
      <c r="CB365">
        <v>22</v>
      </c>
      <c r="CC365">
        <v>-2.9123999999999985</v>
      </c>
      <c r="CD365">
        <v>-1.2376799999999994</v>
      </c>
      <c r="CE365">
        <v>-14.240000000000009</v>
      </c>
      <c r="CF365">
        <v>1.1972</v>
      </c>
    </row>
    <row r="366" spans="1:84" x14ac:dyDescent="0.2">
      <c r="A366" s="19">
        <v>44122</v>
      </c>
      <c r="B366" s="13" t="s">
        <v>252</v>
      </c>
      <c r="C366" s="41" t="s">
        <v>312</v>
      </c>
      <c r="D366" s="14" t="s">
        <v>295</v>
      </c>
      <c r="E366">
        <v>14.1</v>
      </c>
      <c r="F366">
        <v>42.6</v>
      </c>
      <c r="G366">
        <v>3.3</v>
      </c>
      <c r="H366">
        <v>11.5</v>
      </c>
      <c r="I366">
        <v>-4</v>
      </c>
      <c r="J366">
        <v>53.5</v>
      </c>
      <c r="L366" t="s">
        <v>312</v>
      </c>
      <c r="M366">
        <v>28</v>
      </c>
      <c r="N366">
        <v>-4.5375999999999994</v>
      </c>
      <c r="O366">
        <v>7.6570000000000009</v>
      </c>
      <c r="P366">
        <v>47.8</v>
      </c>
      <c r="Q366">
        <v>-1.2399999999999998</v>
      </c>
      <c r="R366">
        <v>-0.89980000000000038</v>
      </c>
      <c r="S366">
        <v>-6.8800000000000026</v>
      </c>
      <c r="T366">
        <v>-5.19</v>
      </c>
      <c r="U366">
        <v>24</v>
      </c>
      <c r="V366">
        <v>23</v>
      </c>
      <c r="W366">
        <v>-9.9999999999999638E-3</v>
      </c>
      <c r="X366">
        <v>6</v>
      </c>
      <c r="Y366">
        <v>9.75</v>
      </c>
      <c r="Z366">
        <v>1</v>
      </c>
      <c r="AA366">
        <v>0.11368361073408387</v>
      </c>
      <c r="AB366">
        <v>2</v>
      </c>
      <c r="AC366">
        <v>3.1818299722654424E-2</v>
      </c>
      <c r="AD366">
        <v>22</v>
      </c>
      <c r="AE366">
        <v>4.54963924963925E-2</v>
      </c>
      <c r="AF366">
        <v>14</v>
      </c>
      <c r="AG366">
        <v>0.36</v>
      </c>
      <c r="AH366">
        <v>-4.339999999999999</v>
      </c>
      <c r="AI366">
        <v>3.2499999999999991</v>
      </c>
      <c r="AJ366">
        <v>-0.91999999999999993</v>
      </c>
      <c r="AK366">
        <v>-3.4299999999999953</v>
      </c>
      <c r="AL366">
        <v>-43.790000000000006</v>
      </c>
      <c r="AM366">
        <v>45.45</v>
      </c>
      <c r="AN366">
        <v>-0.59000000000000008</v>
      </c>
      <c r="AO366">
        <v>-4.5</v>
      </c>
      <c r="AP366">
        <v>31</v>
      </c>
      <c r="AQ366">
        <v>-12.194600000000001</v>
      </c>
      <c r="AR366">
        <v>-4.9159800000000002</v>
      </c>
      <c r="AS366">
        <v>-89.240000000000009</v>
      </c>
      <c r="AT366">
        <v>2</v>
      </c>
      <c r="AU366">
        <v>0.14495000000000025</v>
      </c>
      <c r="AV366">
        <v>1.6179375</v>
      </c>
      <c r="AW366">
        <v>1.0921250000000002</v>
      </c>
      <c r="AX366" t="s">
        <v>295</v>
      </c>
      <c r="AY366">
        <v>1</v>
      </c>
      <c r="AZ366">
        <v>7.9025999999999996</v>
      </c>
      <c r="BA366">
        <v>1.4240000000000006</v>
      </c>
      <c r="BB366">
        <v>-10.649999999999999</v>
      </c>
      <c r="BC366">
        <v>1.5500000000000003</v>
      </c>
      <c r="BD366">
        <v>7.4833999999999978</v>
      </c>
      <c r="BE366">
        <v>28.339999999999996</v>
      </c>
      <c r="BF366">
        <v>1.5200000000000002</v>
      </c>
      <c r="BG366">
        <v>13</v>
      </c>
      <c r="BH366">
        <v>13.5</v>
      </c>
      <c r="BI366">
        <v>-1.4500000000000002</v>
      </c>
      <c r="BJ366">
        <v>30</v>
      </c>
      <c r="BK366">
        <v>25.75</v>
      </c>
      <c r="BL366">
        <v>23</v>
      </c>
      <c r="BM366">
        <v>-1.7420898681411567E-2</v>
      </c>
      <c r="BN366">
        <v>24</v>
      </c>
      <c r="BO366">
        <v>-1.4481318091573239E-2</v>
      </c>
      <c r="BP366">
        <v>30</v>
      </c>
      <c r="BQ366">
        <v>9.844083694083694E-2</v>
      </c>
      <c r="BR366">
        <v>26</v>
      </c>
      <c r="BS366">
        <v>-1.9799999999999998</v>
      </c>
      <c r="BT366">
        <v>2.1900000000000022</v>
      </c>
      <c r="BU366">
        <v>3.0500000000000007</v>
      </c>
      <c r="BV366">
        <v>-0.80999999999999994</v>
      </c>
      <c r="BW366">
        <v>34.029999999999994</v>
      </c>
      <c r="BX366">
        <v>38.140000000000008</v>
      </c>
      <c r="BY366">
        <v>-13.670000000000002</v>
      </c>
      <c r="BZ366">
        <v>7.75</v>
      </c>
      <c r="CA366">
        <v>1.8099999999999998</v>
      </c>
      <c r="CB366">
        <v>4</v>
      </c>
      <c r="CC366">
        <v>6.4785999999999992</v>
      </c>
      <c r="CD366">
        <v>2.3651999999999993</v>
      </c>
      <c r="CE366">
        <v>51.810000000000009</v>
      </c>
      <c r="CF366">
        <v>2.1437499999999998</v>
      </c>
    </row>
    <row r="367" spans="1:84" x14ac:dyDescent="0.2">
      <c r="A367" s="19">
        <v>44122</v>
      </c>
      <c r="B367" s="13" t="s">
        <v>252</v>
      </c>
      <c r="C367" s="41" t="s">
        <v>302</v>
      </c>
      <c r="D367" s="14" t="s">
        <v>278</v>
      </c>
      <c r="E367">
        <v>4.32</v>
      </c>
      <c r="F367">
        <v>6.8</v>
      </c>
      <c r="G367">
        <v>0</v>
      </c>
      <c r="H367">
        <v>5.8</v>
      </c>
      <c r="I367">
        <v>-7</v>
      </c>
      <c r="J367">
        <v>44</v>
      </c>
      <c r="K367" t="s">
        <v>735</v>
      </c>
      <c r="L367" t="s">
        <v>302</v>
      </c>
      <c r="M367">
        <v>22</v>
      </c>
      <c r="N367">
        <v>-1.6410000000000009</v>
      </c>
      <c r="O367">
        <v>-0.20500000000000007</v>
      </c>
      <c r="P367">
        <v>4.1499999999999986</v>
      </c>
      <c r="Q367">
        <v>0.3999999999999998</v>
      </c>
      <c r="R367">
        <v>-13.45</v>
      </c>
      <c r="S367">
        <v>-42.55</v>
      </c>
      <c r="T367">
        <v>-1.8999999999999997</v>
      </c>
      <c r="U367">
        <v>22</v>
      </c>
      <c r="V367">
        <v>22.5</v>
      </c>
      <c r="W367">
        <v>5.3500000000000005</v>
      </c>
      <c r="X367">
        <v>23</v>
      </c>
      <c r="Y367">
        <v>20.25</v>
      </c>
      <c r="Z367">
        <v>31</v>
      </c>
      <c r="AA367">
        <v>-7.4024078600046755E-2</v>
      </c>
      <c r="AB367">
        <v>12</v>
      </c>
      <c r="AC367">
        <v>2.2190256037134459E-3</v>
      </c>
      <c r="AD367">
        <v>30</v>
      </c>
      <c r="AE367">
        <v>0.12264610389610389</v>
      </c>
      <c r="AF367">
        <v>8</v>
      </c>
      <c r="AG367">
        <v>1.9</v>
      </c>
      <c r="AH367">
        <v>2.25</v>
      </c>
      <c r="AI367">
        <v>-3.7000000000000011</v>
      </c>
      <c r="AJ367">
        <v>2.4499999999999997</v>
      </c>
      <c r="AK367">
        <v>-13.549999999999997</v>
      </c>
      <c r="AL367">
        <v>-65.400000000000006</v>
      </c>
      <c r="AM367">
        <v>28.950000000000003</v>
      </c>
      <c r="AN367">
        <v>6.0500000000000007</v>
      </c>
      <c r="AO367">
        <v>16.850000000000001</v>
      </c>
      <c r="AP367">
        <v>21</v>
      </c>
      <c r="AQ367">
        <v>-1.4360000000000008</v>
      </c>
      <c r="AR367">
        <v>-2.9157000000000002</v>
      </c>
      <c r="AS367">
        <v>-94.350000000000009</v>
      </c>
      <c r="AT367">
        <v>12</v>
      </c>
      <c r="AU367">
        <v>-2.1182500000000002</v>
      </c>
      <c r="AV367">
        <v>-1.432765625</v>
      </c>
      <c r="AW367">
        <v>-3.2098750000000003</v>
      </c>
      <c r="AX367" t="s">
        <v>278</v>
      </c>
      <c r="AY367">
        <v>8</v>
      </c>
      <c r="AZ367">
        <v>2.3247499999999999</v>
      </c>
      <c r="BA367">
        <v>-3.7137499999999988</v>
      </c>
      <c r="BB367">
        <v>-11.487499999999999</v>
      </c>
      <c r="BC367">
        <v>-0.10000000000000009</v>
      </c>
      <c r="BD367">
        <v>4.2437499999999986</v>
      </c>
      <c r="BE367">
        <v>31.137500000000003</v>
      </c>
      <c r="BF367">
        <v>4.0625</v>
      </c>
      <c r="BG367">
        <v>10</v>
      </c>
      <c r="BH367">
        <v>10.5</v>
      </c>
      <c r="BI367">
        <v>3.5625</v>
      </c>
      <c r="BJ367">
        <v>15</v>
      </c>
      <c r="BK367">
        <v>16</v>
      </c>
      <c r="BL367">
        <v>25</v>
      </c>
      <c r="BM367">
        <v>-2.3460217192864181E-2</v>
      </c>
      <c r="BN367">
        <v>9</v>
      </c>
      <c r="BO367">
        <v>1.092186582766156E-2</v>
      </c>
      <c r="BP367">
        <v>13</v>
      </c>
      <c r="BQ367">
        <v>-2.6011904761904736E-2</v>
      </c>
      <c r="BR367">
        <v>17</v>
      </c>
      <c r="BS367">
        <v>-0.30000000000000004</v>
      </c>
      <c r="BT367">
        <v>3.7624999999999993</v>
      </c>
      <c r="BU367">
        <v>-3.3749999999999996</v>
      </c>
      <c r="BV367">
        <v>2.1749999999999998</v>
      </c>
      <c r="BW367">
        <v>22.012500000000003</v>
      </c>
      <c r="BX367">
        <v>30.6</v>
      </c>
      <c r="BY367">
        <v>-13.024999999999999</v>
      </c>
      <c r="BZ367">
        <v>-7.4749999999999996</v>
      </c>
      <c r="CA367">
        <v>11.9125</v>
      </c>
      <c r="CB367">
        <v>5</v>
      </c>
      <c r="CC367">
        <v>6.0384999999999991</v>
      </c>
      <c r="CD367">
        <v>3.1705749999999995</v>
      </c>
      <c r="CE367">
        <v>43.625</v>
      </c>
      <c r="CF367">
        <v>0.34434375000000006</v>
      </c>
    </row>
    <row r="368" spans="1:84" x14ac:dyDescent="0.2">
      <c r="A368" s="19">
        <v>44122</v>
      </c>
      <c r="B368" s="13" t="s">
        <v>252</v>
      </c>
      <c r="C368" s="41" t="s">
        <v>296</v>
      </c>
      <c r="D368" s="14" t="s">
        <v>306</v>
      </c>
      <c r="E368">
        <v>11.8</v>
      </c>
      <c r="F368">
        <v>2.1</v>
      </c>
      <c r="G368">
        <v>1.8</v>
      </c>
      <c r="H368">
        <v>5</v>
      </c>
      <c r="I368">
        <v>-2</v>
      </c>
      <c r="J368">
        <v>42</v>
      </c>
      <c r="L368" t="s">
        <v>296</v>
      </c>
      <c r="M368">
        <v>31</v>
      </c>
      <c r="N368">
        <v>-6.3089999999999984</v>
      </c>
      <c r="O368">
        <v>-4.9779999999999998</v>
      </c>
      <c r="P368">
        <v>-34.14</v>
      </c>
      <c r="Q368">
        <v>0.47</v>
      </c>
      <c r="R368">
        <v>-7.898200000000001</v>
      </c>
      <c r="S368">
        <v>-25.26</v>
      </c>
      <c r="T368">
        <v>-0.27</v>
      </c>
      <c r="U368">
        <v>4</v>
      </c>
      <c r="V368">
        <v>6.5</v>
      </c>
      <c r="W368">
        <v>0.2700000000000003</v>
      </c>
      <c r="X368">
        <v>7</v>
      </c>
      <c r="Y368">
        <v>10</v>
      </c>
      <c r="Z368">
        <v>6</v>
      </c>
      <c r="AA368">
        <v>6.7893751141854558E-2</v>
      </c>
      <c r="AB368">
        <v>14</v>
      </c>
      <c r="AC368">
        <v>5.2228055067586601E-5</v>
      </c>
      <c r="AD368">
        <v>19</v>
      </c>
      <c r="AE368">
        <v>2.0983221456905655E-2</v>
      </c>
      <c r="AF368">
        <v>1</v>
      </c>
      <c r="AG368">
        <v>4.6400000000000006</v>
      </c>
      <c r="AH368">
        <v>-3.6</v>
      </c>
      <c r="AI368">
        <v>-8.27</v>
      </c>
      <c r="AJ368">
        <v>0.76</v>
      </c>
      <c r="AK368">
        <v>-51.719999999999992</v>
      </c>
      <c r="AL368">
        <v>-21.35</v>
      </c>
      <c r="AM368">
        <v>-36.370000000000005</v>
      </c>
      <c r="AN368">
        <v>-1.65</v>
      </c>
      <c r="AO368">
        <v>7.65</v>
      </c>
      <c r="AP368">
        <v>20</v>
      </c>
      <c r="AQ368">
        <v>-1.3309999999999982</v>
      </c>
      <c r="AR368">
        <v>-0.35244000000000009</v>
      </c>
      <c r="AS368">
        <v>15.020000000000003</v>
      </c>
      <c r="AT368">
        <v>13</v>
      </c>
      <c r="AU368">
        <v>-2.1781500000000005</v>
      </c>
      <c r="AV368">
        <v>-0.83555000000000068</v>
      </c>
      <c r="AW368">
        <v>-1.8088000000000009</v>
      </c>
      <c r="AX368" t="s">
        <v>306</v>
      </c>
      <c r="AY368">
        <v>6</v>
      </c>
      <c r="AZ368">
        <v>3.1895999999999995</v>
      </c>
      <c r="BA368">
        <v>-0.46000000000000107</v>
      </c>
      <c r="BB368">
        <v>-5.92</v>
      </c>
      <c r="BC368">
        <v>-0.72</v>
      </c>
      <c r="BD368">
        <v>-2.308000000000002</v>
      </c>
      <c r="BE368">
        <v>18.040000000000003</v>
      </c>
      <c r="BF368">
        <v>-1.1199999999999997</v>
      </c>
      <c r="BG368">
        <v>11</v>
      </c>
      <c r="BH368">
        <v>12</v>
      </c>
      <c r="BI368">
        <v>0.83999999999999986</v>
      </c>
      <c r="BJ368">
        <v>5</v>
      </c>
      <c r="BK368">
        <v>9.75</v>
      </c>
      <c r="BL368">
        <v>10</v>
      </c>
      <c r="BM368">
        <v>1.5296075413298593E-2</v>
      </c>
      <c r="BN368">
        <v>5</v>
      </c>
      <c r="BO368">
        <v>2.0000486763816487E-2</v>
      </c>
      <c r="BP368">
        <v>14</v>
      </c>
      <c r="BQ368">
        <v>-2.1919191919191915E-2</v>
      </c>
      <c r="BR368">
        <v>10</v>
      </c>
      <c r="BS368">
        <v>0.4</v>
      </c>
      <c r="BT368">
        <v>-0.39999999999999714</v>
      </c>
      <c r="BU368">
        <v>2.6</v>
      </c>
      <c r="BV368">
        <v>-1.48</v>
      </c>
      <c r="BW368">
        <v>-7.4</v>
      </c>
      <c r="BX368">
        <v>10.360000000000008</v>
      </c>
      <c r="BY368">
        <v>-6.8800000000000008</v>
      </c>
      <c r="BZ368">
        <v>-6.3999999999999995</v>
      </c>
      <c r="CA368">
        <v>-4.4799999999999986</v>
      </c>
      <c r="CB368">
        <v>10</v>
      </c>
      <c r="CC368">
        <v>3.6496000000000004</v>
      </c>
      <c r="CD368">
        <v>0.40632000000000001</v>
      </c>
      <c r="CE368">
        <v>17.240000000000009</v>
      </c>
      <c r="CF368">
        <v>0.1376999999999996</v>
      </c>
    </row>
    <row r="369" spans="1:84" x14ac:dyDescent="0.2">
      <c r="A369" s="19">
        <v>44122</v>
      </c>
      <c r="B369" s="13" t="s">
        <v>252</v>
      </c>
      <c r="C369" s="41" t="s">
        <v>298</v>
      </c>
      <c r="D369" s="14" t="s">
        <v>293</v>
      </c>
      <c r="E369">
        <v>11.8</v>
      </c>
      <c r="F369">
        <v>10.199999999999999</v>
      </c>
      <c r="G369">
        <v>1.8</v>
      </c>
      <c r="H369">
        <v>3.7</v>
      </c>
      <c r="I369">
        <v>8.5</v>
      </c>
      <c r="J369">
        <v>46.5</v>
      </c>
      <c r="L369" t="s">
        <v>298</v>
      </c>
      <c r="M369">
        <v>29</v>
      </c>
      <c r="N369">
        <v>-5.0563999999999991</v>
      </c>
      <c r="O369">
        <v>-5.9789999999999992</v>
      </c>
      <c r="P369">
        <v>-20.16</v>
      </c>
      <c r="Q369">
        <v>-0.9900000000000001</v>
      </c>
      <c r="R369">
        <v>-4.9828000000000001</v>
      </c>
      <c r="S369">
        <v>-23.660000000000004</v>
      </c>
      <c r="T369">
        <v>1.4899999999999998</v>
      </c>
      <c r="U369">
        <v>26</v>
      </c>
      <c r="V369">
        <v>24</v>
      </c>
      <c r="W369">
        <v>-2.06</v>
      </c>
      <c r="X369">
        <v>3</v>
      </c>
      <c r="Y369">
        <v>8.25</v>
      </c>
      <c r="Z369">
        <v>2</v>
      </c>
      <c r="AA369">
        <v>0.10682389534736222</v>
      </c>
      <c r="AB369">
        <v>9</v>
      </c>
      <c r="AC369">
        <v>1.2876759508007807E-2</v>
      </c>
      <c r="AD369">
        <v>20</v>
      </c>
      <c r="AE369">
        <v>3.6301587301587321E-2</v>
      </c>
      <c r="AF369">
        <v>2</v>
      </c>
      <c r="AG369">
        <v>4.2099999999999991</v>
      </c>
      <c r="AH369">
        <v>1.5899999999999992</v>
      </c>
      <c r="AI369">
        <v>-7.95</v>
      </c>
      <c r="AJ369">
        <v>0.21000000000000005</v>
      </c>
      <c r="AK369">
        <v>-44.629999999999995</v>
      </c>
      <c r="AL369">
        <v>-41.51</v>
      </c>
      <c r="AM369">
        <v>-11.6</v>
      </c>
      <c r="AN369">
        <v>2.7199999999999998</v>
      </c>
      <c r="AO369">
        <v>5.7599999999999989</v>
      </c>
      <c r="AP369">
        <v>16</v>
      </c>
      <c r="AQ369">
        <v>0.92260000000000031</v>
      </c>
      <c r="AR369">
        <v>0.98165999999999976</v>
      </c>
      <c r="AS369">
        <v>-29.909999999999997</v>
      </c>
      <c r="AT369">
        <v>17</v>
      </c>
      <c r="AU369">
        <v>-2.1297749999999995</v>
      </c>
      <c r="AV369">
        <v>-2.1487499999999882E-2</v>
      </c>
      <c r="AW369">
        <v>1.1972</v>
      </c>
      <c r="AX369" t="s">
        <v>293</v>
      </c>
      <c r="AY369">
        <v>25</v>
      </c>
      <c r="AZ369">
        <v>-2.6923999999999992</v>
      </c>
      <c r="BA369">
        <v>-4.7999999999999599E-2</v>
      </c>
      <c r="BB369">
        <v>2.8900000000000023</v>
      </c>
      <c r="BC369">
        <v>-1.26</v>
      </c>
      <c r="BD369">
        <v>-5.5410000000000004</v>
      </c>
      <c r="BE369">
        <v>1.7699999999999998</v>
      </c>
      <c r="BF369">
        <v>-0.23999999999999957</v>
      </c>
      <c r="BG369">
        <v>27</v>
      </c>
      <c r="BH369">
        <v>26.5</v>
      </c>
      <c r="BI369">
        <v>-2</v>
      </c>
      <c r="BJ369">
        <v>11</v>
      </c>
      <c r="BK369">
        <v>14.5</v>
      </c>
      <c r="BL369">
        <v>16</v>
      </c>
      <c r="BM369">
        <v>1.2972281323759937E-3</v>
      </c>
      <c r="BN369">
        <v>10</v>
      </c>
      <c r="BO369">
        <v>1.0403541169815608E-2</v>
      </c>
      <c r="BP369">
        <v>23</v>
      </c>
      <c r="BQ369">
        <v>4.915417915417912E-2</v>
      </c>
      <c r="BR369">
        <v>9</v>
      </c>
      <c r="BS369">
        <v>0.69999999999999984</v>
      </c>
      <c r="BT369">
        <v>-3.1900000000000004</v>
      </c>
      <c r="BU369">
        <v>-3.1100000000000003</v>
      </c>
      <c r="BV369">
        <v>-0.78</v>
      </c>
      <c r="BW369">
        <v>3.2100000000000022</v>
      </c>
      <c r="BX369">
        <v>-4.6399999999999979</v>
      </c>
      <c r="BY369">
        <v>8.86</v>
      </c>
      <c r="BZ369">
        <v>-3.2899999999999991</v>
      </c>
      <c r="CA369">
        <v>2.2800000000000002</v>
      </c>
      <c r="CB369">
        <v>20</v>
      </c>
      <c r="CC369">
        <v>-2.6443999999999996</v>
      </c>
      <c r="CD369">
        <v>-1.6226800000000001</v>
      </c>
      <c r="CE369">
        <v>-13.499999999999996</v>
      </c>
      <c r="CF369">
        <v>-1.2401749999999998</v>
      </c>
    </row>
    <row r="370" spans="1:84" x14ac:dyDescent="0.2">
      <c r="A370" s="19">
        <v>44122</v>
      </c>
      <c r="B370" s="13" t="s">
        <v>252</v>
      </c>
      <c r="C370" s="41" t="s">
        <v>294</v>
      </c>
      <c r="D370" s="14" t="s">
        <v>305</v>
      </c>
      <c r="E370">
        <v>19.5</v>
      </c>
      <c r="F370">
        <v>5.9</v>
      </c>
      <c r="G370">
        <v>6</v>
      </c>
      <c r="H370">
        <v>7.3</v>
      </c>
      <c r="I370">
        <v>10</v>
      </c>
      <c r="J370">
        <v>47</v>
      </c>
      <c r="K370" t="s">
        <v>734</v>
      </c>
      <c r="L370" t="s">
        <v>294</v>
      </c>
      <c r="M370">
        <v>19</v>
      </c>
      <c r="N370">
        <v>-0.72179999999999789</v>
      </c>
      <c r="O370">
        <v>-2.7460000000000004</v>
      </c>
      <c r="P370">
        <v>-1.6600000000000037</v>
      </c>
      <c r="Q370">
        <v>0.79</v>
      </c>
      <c r="R370">
        <v>0.40899999999999936</v>
      </c>
      <c r="S370">
        <v>-5.5400000000000009</v>
      </c>
      <c r="T370">
        <v>2.3299999999999996</v>
      </c>
      <c r="U370">
        <v>29</v>
      </c>
      <c r="V370">
        <v>26</v>
      </c>
      <c r="W370">
        <v>-0.64999999999999991</v>
      </c>
      <c r="X370">
        <v>9</v>
      </c>
      <c r="Y370">
        <v>12.75</v>
      </c>
      <c r="Z370">
        <v>20</v>
      </c>
      <c r="AA370">
        <v>-2.3830278451668102E-2</v>
      </c>
      <c r="AB370">
        <v>10</v>
      </c>
      <c r="AC370">
        <v>8.5852142426352945E-3</v>
      </c>
      <c r="AD370">
        <v>16</v>
      </c>
      <c r="AE370">
        <v>1.7916843390527591E-2</v>
      </c>
      <c r="AF370">
        <v>5</v>
      </c>
      <c r="AG370">
        <v>2.4400000000000004</v>
      </c>
      <c r="AH370">
        <v>4.0400000000000009</v>
      </c>
      <c r="AI370">
        <v>-1.4699999999999995</v>
      </c>
      <c r="AJ370">
        <v>0.83999999999999986</v>
      </c>
      <c r="AK370">
        <v>-5.9599999999999911</v>
      </c>
      <c r="AL370">
        <v>0.53000000000000114</v>
      </c>
      <c r="AM370">
        <v>-7.4900000000000038</v>
      </c>
      <c r="AN370">
        <v>-4.01</v>
      </c>
      <c r="AO370">
        <v>5.0099999999999989</v>
      </c>
      <c r="AP370">
        <v>12</v>
      </c>
      <c r="AQ370">
        <v>2.0242000000000027</v>
      </c>
      <c r="AR370">
        <v>1.3104400000000005</v>
      </c>
      <c r="AS370">
        <v>8.0200000000000049</v>
      </c>
      <c r="AT370">
        <v>21</v>
      </c>
      <c r="AU370">
        <v>-0.5723499999999998</v>
      </c>
      <c r="AV370">
        <v>-0.10650000000000048</v>
      </c>
      <c r="AW370">
        <v>1.4369999999999994</v>
      </c>
      <c r="AX370" t="s">
        <v>305</v>
      </c>
      <c r="AY370">
        <v>18</v>
      </c>
      <c r="AZ370">
        <v>-0.3680000000000021</v>
      </c>
      <c r="BA370">
        <v>-2.3879999999999999</v>
      </c>
      <c r="BB370">
        <v>-19.800000000000004</v>
      </c>
      <c r="BC370">
        <v>1.88</v>
      </c>
      <c r="BD370">
        <v>-6.3640000000000008</v>
      </c>
      <c r="BE370">
        <v>-1.4799999999999998</v>
      </c>
      <c r="BF370">
        <v>-0.91999999999999948</v>
      </c>
      <c r="BG370">
        <v>31</v>
      </c>
      <c r="BH370">
        <v>29</v>
      </c>
      <c r="BI370">
        <v>-1.6800000000000002</v>
      </c>
      <c r="BJ370">
        <v>2</v>
      </c>
      <c r="BK370">
        <v>9.25</v>
      </c>
      <c r="BL370">
        <v>18</v>
      </c>
      <c r="BM370">
        <v>-2.4039971427737505E-3</v>
      </c>
      <c r="BN370">
        <v>13</v>
      </c>
      <c r="BO370">
        <v>5.840740063167189E-3</v>
      </c>
      <c r="BP370">
        <v>5</v>
      </c>
      <c r="BQ370">
        <v>-7.2140359640359641E-2</v>
      </c>
      <c r="BR370">
        <v>1</v>
      </c>
      <c r="BS370">
        <v>6.839999999999999</v>
      </c>
      <c r="BT370">
        <v>1.7600000000000009</v>
      </c>
      <c r="BU370">
        <v>-8.4</v>
      </c>
      <c r="BV370">
        <v>-0.64</v>
      </c>
      <c r="BW370">
        <v>-3.9600000000000022</v>
      </c>
      <c r="BX370">
        <v>19</v>
      </c>
      <c r="BY370">
        <v>-19.36</v>
      </c>
      <c r="BZ370">
        <v>-0.72</v>
      </c>
      <c r="CA370">
        <v>-2.8800000000000003</v>
      </c>
      <c r="CB370">
        <v>13</v>
      </c>
      <c r="CC370">
        <v>2.0199999999999978</v>
      </c>
      <c r="CD370">
        <v>-0.15240000000000054</v>
      </c>
      <c r="CE370">
        <v>38.36</v>
      </c>
      <c r="CF370">
        <v>-1.6500000000000004</v>
      </c>
    </row>
    <row r="371" spans="1:84" x14ac:dyDescent="0.2">
      <c r="A371" s="19">
        <v>44122</v>
      </c>
      <c r="B371" s="13" t="s">
        <v>252</v>
      </c>
      <c r="C371" s="41" t="s">
        <v>309</v>
      </c>
      <c r="D371" s="14" t="s">
        <v>281</v>
      </c>
      <c r="E371">
        <v>18.100000000000001</v>
      </c>
      <c r="F371">
        <v>16.8</v>
      </c>
      <c r="G371">
        <v>2.6</v>
      </c>
      <c r="H371">
        <v>2.9</v>
      </c>
      <c r="I371">
        <v>-3</v>
      </c>
      <c r="J371">
        <v>50.5</v>
      </c>
      <c r="L371" t="s">
        <v>309</v>
      </c>
      <c r="M371">
        <v>9</v>
      </c>
      <c r="N371">
        <v>1.6634999999999991</v>
      </c>
      <c r="O371">
        <v>0.52124999999999977</v>
      </c>
      <c r="P371">
        <v>17.700000000000003</v>
      </c>
      <c r="Q371">
        <v>-0.33749999999999997</v>
      </c>
      <c r="R371">
        <v>6.2605000000000013</v>
      </c>
      <c r="S371">
        <v>6.3750000000000027</v>
      </c>
      <c r="T371">
        <v>0.16250000000000031</v>
      </c>
      <c r="U371">
        <v>28</v>
      </c>
      <c r="V371">
        <v>25</v>
      </c>
      <c r="W371">
        <v>-0.22500000000000009</v>
      </c>
      <c r="X371">
        <v>32</v>
      </c>
      <c r="Y371">
        <v>30</v>
      </c>
      <c r="Z371">
        <v>32</v>
      </c>
      <c r="AA371">
        <v>-7.4651622806064313E-2</v>
      </c>
      <c r="AB371">
        <v>32</v>
      </c>
      <c r="AC371">
        <v>-2.9230843049474892E-2</v>
      </c>
      <c r="AD371">
        <v>29</v>
      </c>
      <c r="AE371">
        <v>9.2738095238095203E-2</v>
      </c>
      <c r="AF371">
        <v>27</v>
      </c>
      <c r="AG371">
        <v>-2.5375000000000001</v>
      </c>
      <c r="AH371">
        <v>-0.46249999999999858</v>
      </c>
      <c r="AI371">
        <v>3.3624999999999998</v>
      </c>
      <c r="AJ371">
        <v>-0.88749999999999996</v>
      </c>
      <c r="AK371">
        <v>9.4124999999999943</v>
      </c>
      <c r="AL371">
        <v>-4.2875000000000014</v>
      </c>
      <c r="AM371">
        <v>16.100000000000001</v>
      </c>
      <c r="AN371">
        <v>9.6000000000000014</v>
      </c>
      <c r="AO371">
        <v>-12</v>
      </c>
      <c r="AP371">
        <v>14</v>
      </c>
      <c r="AQ371">
        <v>1.1422499999999993</v>
      </c>
      <c r="AR371">
        <v>1.3241750000000001</v>
      </c>
      <c r="AS371">
        <v>-20.387500000000003</v>
      </c>
      <c r="AT371">
        <v>19</v>
      </c>
      <c r="AU371">
        <v>1.0150312499999998</v>
      </c>
      <c r="AV371">
        <v>1.3101374999999997</v>
      </c>
      <c r="AW371">
        <v>0.5968749999999996</v>
      </c>
      <c r="AX371" t="s">
        <v>281</v>
      </c>
      <c r="AY371">
        <v>3</v>
      </c>
      <c r="AZ371">
        <v>4.3528000000000002</v>
      </c>
      <c r="BA371">
        <v>-0.66400000000000015</v>
      </c>
      <c r="BB371">
        <v>-18.36</v>
      </c>
      <c r="BC371">
        <v>0.47999999999999993</v>
      </c>
      <c r="BD371">
        <v>14.0184</v>
      </c>
      <c r="BE371">
        <v>38.6</v>
      </c>
      <c r="BF371">
        <v>5.08</v>
      </c>
      <c r="BG371">
        <v>29</v>
      </c>
      <c r="BH371">
        <v>28</v>
      </c>
      <c r="BI371">
        <v>-2.7600000000000002</v>
      </c>
      <c r="BJ371">
        <v>20</v>
      </c>
      <c r="BK371">
        <v>18.75</v>
      </c>
      <c r="BL371">
        <v>17</v>
      </c>
      <c r="BM371">
        <v>-2.0668770480358478E-3</v>
      </c>
      <c r="BN371">
        <v>25</v>
      </c>
      <c r="BO371">
        <v>-1.5408300420698587E-2</v>
      </c>
      <c r="BP371">
        <v>22</v>
      </c>
      <c r="BQ371">
        <v>3.7912087912087868E-2</v>
      </c>
      <c r="BR371">
        <v>11</v>
      </c>
      <c r="BS371">
        <v>0.31999999999999984</v>
      </c>
      <c r="BT371">
        <v>1.6000000000000014</v>
      </c>
      <c r="BU371">
        <v>5.36</v>
      </c>
      <c r="BV371">
        <v>-0.6399999999999999</v>
      </c>
      <c r="BW371">
        <v>27.840000000000011</v>
      </c>
      <c r="BX371">
        <v>52.879999999999995</v>
      </c>
      <c r="BY371">
        <v>-23.56</v>
      </c>
      <c r="BZ371">
        <v>1.5599999999999998</v>
      </c>
      <c r="CA371">
        <v>-3.04</v>
      </c>
      <c r="CB371">
        <v>6</v>
      </c>
      <c r="CC371">
        <v>5.0167999999999999</v>
      </c>
      <c r="CD371">
        <v>4.00624</v>
      </c>
      <c r="CE371">
        <v>76.44</v>
      </c>
      <c r="CF371">
        <v>2.0234000000000001</v>
      </c>
    </row>
    <row r="372" spans="1:84" x14ac:dyDescent="0.2">
      <c r="A372" s="19">
        <v>44122</v>
      </c>
      <c r="B372" s="14" t="s">
        <v>252</v>
      </c>
      <c r="C372" s="40" t="s">
        <v>256</v>
      </c>
      <c r="D372" s="13" t="s">
        <v>304</v>
      </c>
      <c r="E372">
        <v>18</v>
      </c>
      <c r="F372">
        <v>9.1999999999999993</v>
      </c>
      <c r="G372">
        <v>6.4</v>
      </c>
      <c r="H372">
        <v>26.9</v>
      </c>
      <c r="I372">
        <v>2</v>
      </c>
      <c r="J372">
        <v>51</v>
      </c>
      <c r="L372" t="s">
        <v>256</v>
      </c>
      <c r="M372">
        <v>27</v>
      </c>
      <c r="N372">
        <v>-4.0856000000000003</v>
      </c>
      <c r="O372">
        <v>4.8119999999999994</v>
      </c>
      <c r="P372">
        <v>-3.4799999999999995</v>
      </c>
      <c r="Q372">
        <v>1.6</v>
      </c>
      <c r="R372">
        <v>-3.7615999999999978</v>
      </c>
      <c r="S372">
        <v>-24.639999999999993</v>
      </c>
      <c r="T372">
        <v>-0.3199999999999994</v>
      </c>
      <c r="U372">
        <v>21</v>
      </c>
      <c r="V372">
        <v>22</v>
      </c>
      <c r="W372">
        <v>-2.4800000000000004</v>
      </c>
      <c r="X372">
        <v>7</v>
      </c>
      <c r="Y372">
        <v>10</v>
      </c>
      <c r="Z372">
        <v>7</v>
      </c>
      <c r="AA372">
        <v>4.7355545070397131E-2</v>
      </c>
      <c r="AB372">
        <v>4</v>
      </c>
      <c r="AC372">
        <v>2.5800125245570162E-2</v>
      </c>
      <c r="AD372">
        <v>23</v>
      </c>
      <c r="AE372">
        <v>5.2747474747474724E-2</v>
      </c>
      <c r="AF372">
        <v>6</v>
      </c>
      <c r="AG372">
        <v>2.12</v>
      </c>
      <c r="AH372">
        <v>-0.52000000000000024</v>
      </c>
      <c r="AI372">
        <v>-0.43999999999999984</v>
      </c>
      <c r="AJ372">
        <v>-0.91999999999999993</v>
      </c>
      <c r="AK372">
        <v>6.9199999999999928</v>
      </c>
      <c r="AL372">
        <v>1.0800000000000012</v>
      </c>
      <c r="AM372">
        <v>11.559999999999999</v>
      </c>
      <c r="AN372">
        <v>6.2</v>
      </c>
      <c r="AO372">
        <v>-11.919999999999998</v>
      </c>
      <c r="AP372">
        <v>27</v>
      </c>
      <c r="AQ372">
        <v>-8.8976000000000006</v>
      </c>
      <c r="AR372">
        <v>-3.975439999999999</v>
      </c>
      <c r="AS372">
        <v>-10.479999999999997</v>
      </c>
      <c r="AT372">
        <v>6</v>
      </c>
      <c r="AU372">
        <v>-0.4244</v>
      </c>
      <c r="AV372">
        <v>-0.84400000000000031</v>
      </c>
      <c r="AW372">
        <v>-7.330000000000042E-2</v>
      </c>
      <c r="AX372" t="s">
        <v>304</v>
      </c>
      <c r="AY372">
        <v>26</v>
      </c>
      <c r="AZ372">
        <v>-3.1679999999999997</v>
      </c>
      <c r="BA372">
        <v>2.8079999999999994</v>
      </c>
      <c r="BB372">
        <v>14.359999999999998</v>
      </c>
      <c r="BC372">
        <v>1.0399999999999998</v>
      </c>
      <c r="BD372">
        <v>-11.5976</v>
      </c>
      <c r="BE372">
        <v>-52.11999999999999</v>
      </c>
      <c r="BF372">
        <v>-3.48</v>
      </c>
      <c r="BG372">
        <v>19</v>
      </c>
      <c r="BH372">
        <v>20</v>
      </c>
      <c r="BI372">
        <v>-0.96000000000000019</v>
      </c>
      <c r="BJ372">
        <v>8</v>
      </c>
      <c r="BK372">
        <v>11</v>
      </c>
      <c r="BL372">
        <v>8</v>
      </c>
      <c r="BM372">
        <v>1.9602086655718359E-2</v>
      </c>
      <c r="BN372">
        <v>3</v>
      </c>
      <c r="BO372">
        <v>2.6467625308963072E-2</v>
      </c>
      <c r="BP372">
        <v>19</v>
      </c>
      <c r="BQ372">
        <v>1.7614163614163625E-2</v>
      </c>
      <c r="BR372">
        <v>14</v>
      </c>
      <c r="BS372">
        <v>-0.12000000000000029</v>
      </c>
      <c r="BT372">
        <v>-3.3999999999999986</v>
      </c>
      <c r="BU372">
        <v>-4.5600000000000005</v>
      </c>
      <c r="BV372">
        <v>-0.83999999999999986</v>
      </c>
      <c r="BW372">
        <v>-39.159999999999989</v>
      </c>
      <c r="BX372">
        <v>-53.79999999999999</v>
      </c>
      <c r="BY372">
        <v>16.760000000000002</v>
      </c>
      <c r="BZ372">
        <v>-1.52</v>
      </c>
      <c r="CA372">
        <v>-0.60000000000000075</v>
      </c>
      <c r="CB372">
        <v>29</v>
      </c>
      <c r="CC372">
        <v>-5.9759999999999991</v>
      </c>
      <c r="CD372">
        <v>-4.3571199999999992</v>
      </c>
      <c r="CE372">
        <v>-70.559999999999988</v>
      </c>
      <c r="CF372">
        <v>-1.6147000000000002</v>
      </c>
    </row>
    <row r="373" spans="1:84" x14ac:dyDescent="0.2">
      <c r="A373" s="19">
        <v>44122</v>
      </c>
      <c r="B373" s="13" t="s">
        <v>252</v>
      </c>
      <c r="C373" s="41" t="s">
        <v>284</v>
      </c>
      <c r="D373" s="14" t="s">
        <v>300</v>
      </c>
      <c r="E373">
        <v>2</v>
      </c>
      <c r="F373">
        <v>9.8000000000000007</v>
      </c>
      <c r="G373">
        <v>7.7</v>
      </c>
      <c r="H373">
        <v>18.8</v>
      </c>
      <c r="I373">
        <v>2.5</v>
      </c>
      <c r="J373">
        <v>54.5</v>
      </c>
      <c r="L373" t="s">
        <v>284</v>
      </c>
      <c r="M373">
        <v>10</v>
      </c>
      <c r="N373">
        <v>1.0556000000000001</v>
      </c>
      <c r="O373">
        <v>0.78099999999999992</v>
      </c>
      <c r="P373">
        <v>7.879999999999999</v>
      </c>
      <c r="Q373">
        <v>0.56999999999999995</v>
      </c>
      <c r="R373">
        <v>4.2780000000000005</v>
      </c>
      <c r="S373">
        <v>12.339999999999993</v>
      </c>
      <c r="T373">
        <v>-1.1899999999999995</v>
      </c>
      <c r="U373">
        <v>27</v>
      </c>
      <c r="V373">
        <v>24.5</v>
      </c>
      <c r="W373">
        <v>3.38</v>
      </c>
      <c r="X373">
        <v>16</v>
      </c>
      <c r="Y373">
        <v>15.5</v>
      </c>
      <c r="Z373">
        <v>27</v>
      </c>
      <c r="AA373">
        <v>-6.4089079852385294E-2</v>
      </c>
      <c r="AB373">
        <v>20</v>
      </c>
      <c r="AC373">
        <v>-8.4628367415951443E-3</v>
      </c>
      <c r="AD373">
        <v>8</v>
      </c>
      <c r="AE373">
        <v>-5.5261617467499823E-2</v>
      </c>
      <c r="AF373">
        <v>7</v>
      </c>
      <c r="AG373">
        <v>1.9299999999999997</v>
      </c>
      <c r="AH373">
        <v>-1.3700000000000003</v>
      </c>
      <c r="AI373">
        <v>3.3299999999999996</v>
      </c>
      <c r="AJ373">
        <v>-0.15</v>
      </c>
      <c r="AK373">
        <v>3.8500000000000112</v>
      </c>
      <c r="AL373">
        <v>17.29</v>
      </c>
      <c r="AM373">
        <v>3.1599999999999993</v>
      </c>
      <c r="AN373">
        <v>-0.72000000000000008</v>
      </c>
      <c r="AO373">
        <v>-15.879999999999999</v>
      </c>
      <c r="AP373">
        <v>17</v>
      </c>
      <c r="AQ373">
        <v>0.27460000000000012</v>
      </c>
      <c r="AR373">
        <v>0.67622000000000015</v>
      </c>
      <c r="AS373">
        <v>14.129999999999999</v>
      </c>
      <c r="AT373">
        <v>16</v>
      </c>
      <c r="AU373">
        <v>0.63682499999999986</v>
      </c>
      <c r="AV373">
        <v>-1.1003374999999997</v>
      </c>
      <c r="AW373">
        <v>-1.3937999999999997</v>
      </c>
      <c r="AX373" t="s">
        <v>300</v>
      </c>
      <c r="AY373">
        <v>16</v>
      </c>
      <c r="AZ373">
        <v>0.51374999999999904</v>
      </c>
      <c r="BA373">
        <v>4.4625000000000012</v>
      </c>
      <c r="BB373">
        <v>-23.774999999999999</v>
      </c>
      <c r="BC373">
        <v>1.2250000000000001</v>
      </c>
      <c r="BD373">
        <v>-8.8562499999999993</v>
      </c>
      <c r="BE373">
        <v>-35.037500000000001</v>
      </c>
      <c r="BF373">
        <v>-3.8999999999999995</v>
      </c>
      <c r="BG373">
        <v>26</v>
      </c>
      <c r="BH373">
        <v>26</v>
      </c>
      <c r="BI373">
        <v>-5.1124999999999998</v>
      </c>
      <c r="BJ373">
        <v>14</v>
      </c>
      <c r="BK373">
        <v>15.25</v>
      </c>
      <c r="BL373">
        <v>31</v>
      </c>
      <c r="BM373">
        <v>-8.2734912674989225E-2</v>
      </c>
      <c r="BN373">
        <v>8</v>
      </c>
      <c r="BO373">
        <v>1.1137505693814546E-2</v>
      </c>
      <c r="BP373">
        <v>16</v>
      </c>
      <c r="BQ373">
        <v>-7.2222222222222271E-3</v>
      </c>
      <c r="BR373">
        <v>6</v>
      </c>
      <c r="BS373">
        <v>1.7625</v>
      </c>
      <c r="BT373">
        <v>-6.1000000000000014</v>
      </c>
      <c r="BU373">
        <v>-0.93749999999999911</v>
      </c>
      <c r="BV373">
        <v>-0.35</v>
      </c>
      <c r="BW373">
        <v>-10.350000000000009</v>
      </c>
      <c r="BX373">
        <v>6.7875000000000014</v>
      </c>
      <c r="BY373">
        <v>-18.524999999999999</v>
      </c>
      <c r="BZ373">
        <v>-3.2</v>
      </c>
      <c r="CA373">
        <v>4.5875000000000004</v>
      </c>
      <c r="CB373">
        <v>25</v>
      </c>
      <c r="CC373">
        <v>-3.9487500000000022</v>
      </c>
      <c r="CD373">
        <v>-3.8997500000000009</v>
      </c>
      <c r="CE373">
        <v>25.3125</v>
      </c>
      <c r="CF373">
        <v>-0.80687500000000001</v>
      </c>
    </row>
    <row r="374" spans="1:84" x14ac:dyDescent="0.2">
      <c r="A374" s="19">
        <v>44122</v>
      </c>
      <c r="B374" s="13" t="s">
        <v>252</v>
      </c>
      <c r="C374" s="41" t="s">
        <v>310</v>
      </c>
      <c r="D374" s="14" t="s">
        <v>311</v>
      </c>
      <c r="E374">
        <v>22.8</v>
      </c>
      <c r="F374">
        <v>18.399999999999999</v>
      </c>
      <c r="G374">
        <v>6.2</v>
      </c>
      <c r="H374">
        <v>28.3</v>
      </c>
      <c r="I374">
        <v>-3.5</v>
      </c>
      <c r="J374">
        <v>52.5</v>
      </c>
      <c r="K374" t="s">
        <v>734</v>
      </c>
      <c r="L374" t="s">
        <v>310</v>
      </c>
      <c r="M374">
        <v>16</v>
      </c>
      <c r="N374">
        <v>0.26350000000000051</v>
      </c>
      <c r="O374">
        <v>-0.80374999999999952</v>
      </c>
      <c r="P374">
        <v>16.850000000000001</v>
      </c>
      <c r="Q374">
        <v>-2.3875000000000002</v>
      </c>
      <c r="R374">
        <v>-0.1324999999999994</v>
      </c>
      <c r="S374">
        <v>-7.2249999999999996</v>
      </c>
      <c r="T374">
        <v>-1.8874999999999997</v>
      </c>
      <c r="U374">
        <v>8</v>
      </c>
      <c r="V374">
        <v>9</v>
      </c>
      <c r="W374">
        <v>-1.4750000000000001</v>
      </c>
      <c r="X374">
        <v>27</v>
      </c>
      <c r="Y374">
        <v>22.75</v>
      </c>
      <c r="Z374">
        <v>17</v>
      </c>
      <c r="AA374">
        <v>-4.3789614918050418E-3</v>
      </c>
      <c r="AB374">
        <v>28</v>
      </c>
      <c r="AC374">
        <v>-2.0895522267521931E-2</v>
      </c>
      <c r="AD374">
        <v>18</v>
      </c>
      <c r="AE374">
        <v>1.9087301587301625E-2</v>
      </c>
      <c r="AF374">
        <v>28</v>
      </c>
      <c r="AG374">
        <v>-2.5874999999999999</v>
      </c>
      <c r="AH374">
        <v>2.8375000000000004</v>
      </c>
      <c r="AI374">
        <v>3.2125000000000004</v>
      </c>
      <c r="AJ374">
        <v>-0.78749999999999998</v>
      </c>
      <c r="AK374">
        <v>-18.487500000000011</v>
      </c>
      <c r="AL374">
        <v>-28.287499999999994</v>
      </c>
      <c r="AM374">
        <v>13.45</v>
      </c>
      <c r="AN374">
        <v>-4.3</v>
      </c>
      <c r="AO374">
        <v>0.64999999999999947</v>
      </c>
      <c r="AP374">
        <v>15</v>
      </c>
      <c r="AQ374">
        <v>1.06725</v>
      </c>
      <c r="AR374">
        <v>0.42807499999999998</v>
      </c>
      <c r="AS374">
        <v>-41.737499999999997</v>
      </c>
      <c r="AT374">
        <v>18</v>
      </c>
      <c r="AU374">
        <v>2.8125000000017719E-4</v>
      </c>
      <c r="AV374">
        <v>9.3850000000000378E-2</v>
      </c>
      <c r="AW374">
        <v>0.40250000000000047</v>
      </c>
      <c r="AX374" t="s">
        <v>311</v>
      </c>
      <c r="AY374">
        <v>23</v>
      </c>
      <c r="AZ374">
        <v>-2.4443999999999995</v>
      </c>
      <c r="BA374">
        <v>5.221000000000001</v>
      </c>
      <c r="BB374">
        <v>33.940000000000005</v>
      </c>
      <c r="BC374">
        <v>-0.15000000000000013</v>
      </c>
      <c r="BD374">
        <v>-4.7349999999999994</v>
      </c>
      <c r="BE374">
        <v>-16.350000000000001</v>
      </c>
      <c r="BF374">
        <v>0.23999999999999977</v>
      </c>
      <c r="BG374">
        <v>12</v>
      </c>
      <c r="BH374">
        <v>12.5</v>
      </c>
      <c r="BI374">
        <v>0.48</v>
      </c>
      <c r="BJ374">
        <v>24</v>
      </c>
      <c r="BK374">
        <v>20.5</v>
      </c>
      <c r="BL374">
        <v>21</v>
      </c>
      <c r="BM374">
        <v>-1.4354125397705197E-2</v>
      </c>
      <c r="BN374">
        <v>6</v>
      </c>
      <c r="BO374">
        <v>1.7937742734553383E-2</v>
      </c>
      <c r="BP374">
        <v>31</v>
      </c>
      <c r="BQ374">
        <v>0.11666161616161616</v>
      </c>
      <c r="BR374">
        <v>24</v>
      </c>
      <c r="BS374">
        <v>-1.53</v>
      </c>
      <c r="BT374">
        <v>5.7299999999999995</v>
      </c>
      <c r="BU374">
        <v>0.36000000000000015</v>
      </c>
      <c r="BV374">
        <v>0.18</v>
      </c>
      <c r="BW374">
        <v>16.910000000000004</v>
      </c>
      <c r="BX374">
        <v>-8.3200000000000038</v>
      </c>
      <c r="BY374">
        <v>37.549999999999997</v>
      </c>
      <c r="BZ374">
        <v>-6.62</v>
      </c>
      <c r="CA374">
        <v>-5.6999999999999993</v>
      </c>
      <c r="CB374">
        <v>31</v>
      </c>
      <c r="CC374">
        <v>-7.6654</v>
      </c>
      <c r="CD374">
        <v>-4.0463800000000001</v>
      </c>
      <c r="CE374">
        <v>-45.870000000000005</v>
      </c>
      <c r="CF374">
        <v>-0.21479999999999971</v>
      </c>
    </row>
    <row r="375" spans="1:84" x14ac:dyDescent="0.2">
      <c r="A375" s="19">
        <v>44122</v>
      </c>
      <c r="B375" s="13" t="s">
        <v>252</v>
      </c>
      <c r="C375" s="41" t="s">
        <v>306</v>
      </c>
      <c r="D375" s="14" t="s">
        <v>296</v>
      </c>
      <c r="E375">
        <v>14.4</v>
      </c>
      <c r="F375">
        <v>9.5</v>
      </c>
      <c r="G375">
        <v>6.6</v>
      </c>
      <c r="H375">
        <v>13.2</v>
      </c>
      <c r="I375">
        <v>2</v>
      </c>
      <c r="J375">
        <v>42</v>
      </c>
      <c r="L375" t="s">
        <v>306</v>
      </c>
      <c r="M375">
        <v>30</v>
      </c>
      <c r="N375">
        <v>-5.4304000000000006</v>
      </c>
      <c r="O375">
        <v>0.99199999999999977</v>
      </c>
      <c r="P375">
        <v>-13.320000000000004</v>
      </c>
      <c r="Q375">
        <v>0.92000000000000037</v>
      </c>
      <c r="R375">
        <v>-9.4320000000000022</v>
      </c>
      <c r="S375">
        <v>-36.839999999999996</v>
      </c>
      <c r="T375">
        <v>-0.79999999999999971</v>
      </c>
      <c r="U375">
        <v>30</v>
      </c>
      <c r="V375">
        <v>28.5</v>
      </c>
      <c r="W375">
        <v>0.4</v>
      </c>
      <c r="X375">
        <v>4</v>
      </c>
      <c r="Y375">
        <v>9</v>
      </c>
      <c r="Z375">
        <v>22</v>
      </c>
      <c r="AA375">
        <v>-3.9175164186657181E-2</v>
      </c>
      <c r="AB375">
        <v>3</v>
      </c>
      <c r="AC375">
        <v>2.9627888493106536E-2</v>
      </c>
      <c r="AD375">
        <v>1</v>
      </c>
      <c r="AE375">
        <v>-0.21430724830724829</v>
      </c>
      <c r="AF375">
        <v>10</v>
      </c>
      <c r="AG375">
        <v>0.83999999999999986</v>
      </c>
      <c r="AH375">
        <v>-3.1199999999999974</v>
      </c>
      <c r="AI375">
        <v>-4.3999999999999995</v>
      </c>
      <c r="AJ375">
        <v>-0.27999999999999997</v>
      </c>
      <c r="AK375">
        <v>-77.2</v>
      </c>
      <c r="AL375">
        <v>-53.720000000000006</v>
      </c>
      <c r="AM375">
        <v>-15.920000000000002</v>
      </c>
      <c r="AN375">
        <v>-2.1199999999999997</v>
      </c>
      <c r="AO375">
        <v>-5.4399999999999995</v>
      </c>
      <c r="AP375">
        <v>25</v>
      </c>
      <c r="AQ375">
        <v>-6.4223999999999997</v>
      </c>
      <c r="AR375">
        <v>-3.46848</v>
      </c>
      <c r="AS375">
        <v>-37.800000000000004</v>
      </c>
      <c r="AT375">
        <v>8</v>
      </c>
      <c r="AU375">
        <v>-2.0438000000000005</v>
      </c>
      <c r="AV375">
        <v>-0.83555000000000068</v>
      </c>
      <c r="AW375">
        <v>0.1376999999999996</v>
      </c>
      <c r="AX375" t="s">
        <v>296</v>
      </c>
      <c r="AY375">
        <v>27</v>
      </c>
      <c r="AZ375">
        <v>-3.8868000000000018</v>
      </c>
      <c r="BA375">
        <v>0.95699999999999696</v>
      </c>
      <c r="BB375">
        <v>-0.21999999999999886</v>
      </c>
      <c r="BC375">
        <v>-0.67</v>
      </c>
      <c r="BD375">
        <v>-13.420600000000002</v>
      </c>
      <c r="BE375">
        <v>-54.989999999999995</v>
      </c>
      <c r="BF375">
        <v>-4.5599999999999996</v>
      </c>
      <c r="BG375">
        <v>7</v>
      </c>
      <c r="BH375">
        <v>7.5</v>
      </c>
      <c r="BI375">
        <v>4.6400000000000006</v>
      </c>
      <c r="BJ375">
        <v>4</v>
      </c>
      <c r="BK375">
        <v>9.5</v>
      </c>
      <c r="BL375">
        <v>12</v>
      </c>
      <c r="BM375">
        <v>6.6190141166122488E-3</v>
      </c>
      <c r="BN375">
        <v>7</v>
      </c>
      <c r="BO375">
        <v>1.4828662333970432E-2</v>
      </c>
      <c r="BP375">
        <v>7</v>
      </c>
      <c r="BQ375">
        <v>-5.6158730158730165E-2</v>
      </c>
      <c r="BR375">
        <v>12</v>
      </c>
      <c r="BS375">
        <v>0.2700000000000003</v>
      </c>
      <c r="BT375">
        <v>-2.8699999999999988</v>
      </c>
      <c r="BU375">
        <v>-1.44</v>
      </c>
      <c r="BV375">
        <v>1.02</v>
      </c>
      <c r="BW375">
        <v>-51.489999999999995</v>
      </c>
      <c r="BX375">
        <v>-38.719999999999992</v>
      </c>
      <c r="BY375">
        <v>-8.1300000000000008</v>
      </c>
      <c r="BZ375">
        <v>-1.8999999999999992</v>
      </c>
      <c r="CA375">
        <v>-2.7399999999999998</v>
      </c>
      <c r="CB375">
        <v>27</v>
      </c>
      <c r="CC375">
        <v>-4.843799999999999</v>
      </c>
      <c r="CD375">
        <v>-3.9399799999999994</v>
      </c>
      <c r="CE375">
        <v>-30.589999999999989</v>
      </c>
      <c r="CF375">
        <v>-1.8088000000000009</v>
      </c>
    </row>
    <row r="376" spans="1:84" x14ac:dyDescent="0.2">
      <c r="A376" s="19">
        <v>44129</v>
      </c>
      <c r="B376" s="13" t="s">
        <v>250</v>
      </c>
      <c r="C376" s="41" t="s">
        <v>285</v>
      </c>
      <c r="D376" s="14" t="s">
        <v>308</v>
      </c>
      <c r="E376">
        <v>28.3</v>
      </c>
      <c r="F376">
        <v>20.7</v>
      </c>
      <c r="G376">
        <v>14.2</v>
      </c>
      <c r="H376">
        <v>7.7</v>
      </c>
      <c r="I376">
        <v>3.5</v>
      </c>
      <c r="J376">
        <v>55</v>
      </c>
      <c r="K376" t="s">
        <v>734</v>
      </c>
      <c r="L376" t="s">
        <v>285</v>
      </c>
      <c r="M376">
        <v>2</v>
      </c>
      <c r="N376">
        <v>8.1740000000000013</v>
      </c>
      <c r="O376">
        <v>-3.2959999999999972</v>
      </c>
      <c r="P376">
        <v>-5.0500000000000016</v>
      </c>
      <c r="Q376">
        <v>-9.9999999999997868E-3</v>
      </c>
      <c r="R376">
        <v>0.968799999999999</v>
      </c>
      <c r="S376">
        <v>10.049999999999997</v>
      </c>
      <c r="T376">
        <v>0.21999999999999953</v>
      </c>
      <c r="U376">
        <v>28</v>
      </c>
      <c r="V376">
        <v>24.5</v>
      </c>
      <c r="W376">
        <v>-1.4100000000000001</v>
      </c>
      <c r="X376">
        <v>28</v>
      </c>
      <c r="Y376">
        <v>22</v>
      </c>
      <c r="Z376">
        <v>30</v>
      </c>
      <c r="AA376">
        <v>-8.0965691413225543E-2</v>
      </c>
      <c r="AB376">
        <v>22</v>
      </c>
      <c r="AC376">
        <v>-3.4809004474758197E-3</v>
      </c>
      <c r="AD376">
        <v>22</v>
      </c>
      <c r="AE376">
        <v>2.0010665804783456E-2</v>
      </c>
      <c r="AF376">
        <v>14</v>
      </c>
      <c r="AG376">
        <v>-0.37999999999999989</v>
      </c>
      <c r="AH376">
        <v>0.2899999999999977</v>
      </c>
      <c r="AI376">
        <v>-8.999999999999915E-2</v>
      </c>
      <c r="AJ376">
        <v>-1.6300000000000001</v>
      </c>
      <c r="AK376">
        <v>32.25</v>
      </c>
      <c r="AL376">
        <v>18.21</v>
      </c>
      <c r="AM376">
        <v>-16.900000000000002</v>
      </c>
      <c r="AN376">
        <v>-4.33</v>
      </c>
      <c r="AO376">
        <v>35.269999999999996</v>
      </c>
      <c r="AP376">
        <v>2</v>
      </c>
      <c r="AQ376">
        <v>11.469999999999999</v>
      </c>
      <c r="AR376">
        <v>3.4765599999999988</v>
      </c>
      <c r="AS376">
        <v>35.11</v>
      </c>
      <c r="AT376">
        <v>31</v>
      </c>
      <c r="AU376">
        <v>0.58835000000000037</v>
      </c>
      <c r="AV376">
        <v>0.56882812500000024</v>
      </c>
      <c r="AW376">
        <v>-0.79112499999999986</v>
      </c>
      <c r="AX376" t="s">
        <v>308</v>
      </c>
      <c r="AY376">
        <v>3</v>
      </c>
      <c r="AZ376">
        <v>5.5497499999999986</v>
      </c>
      <c r="BA376">
        <v>-3.2262499999999998</v>
      </c>
      <c r="BB376">
        <v>-20.1875</v>
      </c>
      <c r="BC376">
        <v>1.0875000000000001</v>
      </c>
      <c r="BD376">
        <v>10.669250000000003</v>
      </c>
      <c r="BE376">
        <v>60.42499999999999</v>
      </c>
      <c r="BF376">
        <v>6.45</v>
      </c>
      <c r="BG376">
        <v>3</v>
      </c>
      <c r="BH376">
        <v>5</v>
      </c>
      <c r="BI376">
        <v>-1.0000000000000002</v>
      </c>
      <c r="BJ376">
        <v>28</v>
      </c>
      <c r="BK376">
        <v>25</v>
      </c>
      <c r="BL376">
        <v>32</v>
      </c>
      <c r="BM376">
        <v>-6.9485241675346476E-2</v>
      </c>
      <c r="BN376">
        <v>29</v>
      </c>
      <c r="BO376">
        <v>-2.2085351089000439E-2</v>
      </c>
      <c r="BP376">
        <v>20</v>
      </c>
      <c r="BQ376">
        <v>1.4760101010101001E-2</v>
      </c>
      <c r="BR376">
        <v>19</v>
      </c>
      <c r="BS376">
        <v>-0.7</v>
      </c>
      <c r="BT376">
        <v>8.6000000000000014</v>
      </c>
      <c r="BU376">
        <v>0.17499999999999982</v>
      </c>
      <c r="BV376">
        <v>0.52500000000000002</v>
      </c>
      <c r="BW376">
        <v>57.437499999999986</v>
      </c>
      <c r="BX376">
        <v>74.825000000000003</v>
      </c>
      <c r="BY376">
        <v>-25.849999999999994</v>
      </c>
      <c r="BZ376">
        <v>-1.7250000000000001</v>
      </c>
      <c r="CA376">
        <v>10.1875</v>
      </c>
      <c r="CB376">
        <v>4</v>
      </c>
      <c r="CC376">
        <v>8.775999999999998</v>
      </c>
      <c r="CD376">
        <v>4.8569250000000013</v>
      </c>
      <c r="CE376">
        <v>100.675</v>
      </c>
      <c r="CF376">
        <v>1.9287812500000003</v>
      </c>
    </row>
    <row r="377" spans="1:84" x14ac:dyDescent="0.2">
      <c r="A377" s="19">
        <v>44129</v>
      </c>
      <c r="B377" s="13" t="s">
        <v>250</v>
      </c>
      <c r="C377" s="41" t="s">
        <v>295</v>
      </c>
      <c r="D377" s="14" t="s">
        <v>299</v>
      </c>
      <c r="E377">
        <v>17.7</v>
      </c>
      <c r="F377">
        <v>19.899999999999999</v>
      </c>
      <c r="G377">
        <v>11.4</v>
      </c>
      <c r="H377">
        <v>12.8</v>
      </c>
      <c r="I377">
        <v>-1</v>
      </c>
      <c r="J377">
        <v>54.5</v>
      </c>
      <c r="K377" t="s">
        <v>734</v>
      </c>
      <c r="L377" t="s">
        <v>295</v>
      </c>
      <c r="M377">
        <v>13</v>
      </c>
      <c r="N377">
        <v>0.96120000000000094</v>
      </c>
      <c r="O377">
        <v>-2.4209999999999976</v>
      </c>
      <c r="P377">
        <v>2.009999999999998</v>
      </c>
      <c r="Q377">
        <v>-0.84000000000000019</v>
      </c>
      <c r="R377">
        <v>6.6847999999999992</v>
      </c>
      <c r="S377">
        <v>23.48</v>
      </c>
      <c r="T377">
        <v>3.2299999999999995</v>
      </c>
      <c r="U377">
        <v>6</v>
      </c>
      <c r="V377">
        <v>6.5</v>
      </c>
      <c r="W377">
        <v>-3.3299999999999996</v>
      </c>
      <c r="X377">
        <v>14</v>
      </c>
      <c r="Y377">
        <v>16.25</v>
      </c>
      <c r="Z377">
        <v>12</v>
      </c>
      <c r="AA377">
        <v>6.1744358941614452E-3</v>
      </c>
      <c r="AB377">
        <v>18</v>
      </c>
      <c r="AC377">
        <v>-6.6116597625820168E-4</v>
      </c>
      <c r="AD377">
        <v>8</v>
      </c>
      <c r="AE377">
        <v>-5.7643790849673179E-2</v>
      </c>
      <c r="AF377">
        <v>27</v>
      </c>
      <c r="AG377">
        <v>-1.95</v>
      </c>
      <c r="AH377">
        <v>4.7299999999999986</v>
      </c>
      <c r="AI377">
        <v>1.0600000000000009</v>
      </c>
      <c r="AJ377">
        <v>-0.71</v>
      </c>
      <c r="AK377">
        <v>28.9</v>
      </c>
      <c r="AL377">
        <v>36.33</v>
      </c>
      <c r="AM377">
        <v>3.25</v>
      </c>
      <c r="AN377">
        <v>-1.6599999999999997</v>
      </c>
      <c r="AO377">
        <v>-9.02</v>
      </c>
      <c r="AP377">
        <v>11</v>
      </c>
      <c r="AQ377">
        <v>3.3821999999999983</v>
      </c>
      <c r="AR377">
        <v>2.7396999999999987</v>
      </c>
      <c r="AS377">
        <v>33.08</v>
      </c>
      <c r="AT377">
        <v>22</v>
      </c>
      <c r="AU377">
        <v>0.85187500000000049</v>
      </c>
      <c r="AV377">
        <v>1.3569562500000001</v>
      </c>
      <c r="AW377">
        <v>3.0394749999999999</v>
      </c>
      <c r="AX377" t="s">
        <v>299</v>
      </c>
      <c r="AY377">
        <v>21</v>
      </c>
      <c r="AZ377">
        <v>-2.112000000000001</v>
      </c>
      <c r="BA377">
        <v>2.1675000000000009</v>
      </c>
      <c r="BB377">
        <v>27.525000000000002</v>
      </c>
      <c r="BC377">
        <v>-1.9624999999999999</v>
      </c>
      <c r="BD377">
        <v>-1.0975000000000001</v>
      </c>
      <c r="BE377">
        <v>-0.57499999999999929</v>
      </c>
      <c r="BF377">
        <v>-0.37500000000000022</v>
      </c>
      <c r="BG377">
        <v>26</v>
      </c>
      <c r="BH377">
        <v>26</v>
      </c>
      <c r="BI377">
        <v>1.4125000000000001</v>
      </c>
      <c r="BJ377">
        <v>27</v>
      </c>
      <c r="BK377">
        <v>22.75</v>
      </c>
      <c r="BL377">
        <v>23</v>
      </c>
      <c r="BM377">
        <v>-1.9523930867991653E-2</v>
      </c>
      <c r="BN377">
        <v>22</v>
      </c>
      <c r="BO377">
        <v>-6.3912190014208947E-3</v>
      </c>
      <c r="BP377">
        <v>25</v>
      </c>
      <c r="BQ377">
        <v>5.8183760683760716E-2</v>
      </c>
      <c r="BR377">
        <v>21</v>
      </c>
      <c r="BS377">
        <v>-1.3125</v>
      </c>
      <c r="BT377">
        <v>1.0875000000000021</v>
      </c>
      <c r="BU377">
        <v>0.8125</v>
      </c>
      <c r="BV377">
        <v>1.3125</v>
      </c>
      <c r="BW377">
        <v>-6.9125000000000085</v>
      </c>
      <c r="BX377">
        <v>-24.862500000000004</v>
      </c>
      <c r="BY377">
        <v>28.337499999999999</v>
      </c>
      <c r="BZ377">
        <v>-2.0874999999999999</v>
      </c>
      <c r="CA377">
        <v>-8.2999999999999989</v>
      </c>
      <c r="CB377">
        <v>24</v>
      </c>
      <c r="CC377">
        <v>-4.2795000000000023</v>
      </c>
      <c r="CD377">
        <v>-1.7256500000000008</v>
      </c>
      <c r="CE377">
        <v>-53.2</v>
      </c>
      <c r="CF377">
        <v>-0.32556249999999998</v>
      </c>
    </row>
    <row r="378" spans="1:84" x14ac:dyDescent="0.2">
      <c r="A378" s="19">
        <v>44129</v>
      </c>
      <c r="B378" s="13" t="s">
        <v>250</v>
      </c>
      <c r="C378" s="41" t="s">
        <v>276</v>
      </c>
      <c r="D378" s="14" t="s">
        <v>298</v>
      </c>
      <c r="E378">
        <v>10.8</v>
      </c>
      <c r="F378">
        <v>25.2</v>
      </c>
      <c r="G378">
        <v>2.1</v>
      </c>
      <c r="H378">
        <v>10.4</v>
      </c>
      <c r="I378">
        <v>-9</v>
      </c>
      <c r="J378">
        <v>47</v>
      </c>
      <c r="L378" t="s">
        <v>276</v>
      </c>
      <c r="M378">
        <v>4</v>
      </c>
      <c r="N378">
        <v>6.7204000000000006</v>
      </c>
      <c r="O378">
        <v>-9.1739999999999995</v>
      </c>
      <c r="P378">
        <v>-21.94</v>
      </c>
      <c r="Q378">
        <v>-2.6799999999999997</v>
      </c>
      <c r="R378">
        <v>8.570999999999998</v>
      </c>
      <c r="S378">
        <v>43.609999999999992</v>
      </c>
      <c r="T378">
        <v>2.0399999999999991</v>
      </c>
      <c r="U378">
        <v>21</v>
      </c>
      <c r="V378">
        <v>21.5</v>
      </c>
      <c r="W378">
        <v>-0.95000000000000018</v>
      </c>
      <c r="X378">
        <v>21</v>
      </c>
      <c r="Y378">
        <v>19.75</v>
      </c>
      <c r="Z378">
        <v>6</v>
      </c>
      <c r="AA378">
        <v>4.5159965993298821E-2</v>
      </c>
      <c r="AB378">
        <v>27</v>
      </c>
      <c r="AC378">
        <v>-2.0215723699290741E-2</v>
      </c>
      <c r="AD378">
        <v>15</v>
      </c>
      <c r="AE378">
        <v>-4.2595737595737425E-3</v>
      </c>
      <c r="AF378">
        <v>31</v>
      </c>
      <c r="AG378">
        <v>-2.4300000000000002</v>
      </c>
      <c r="AH378">
        <v>-4.4699999999999989</v>
      </c>
      <c r="AI378">
        <v>2.8900000000000006</v>
      </c>
      <c r="AJ378">
        <v>-0.63</v>
      </c>
      <c r="AK378">
        <v>-10.739999999999998</v>
      </c>
      <c r="AL378">
        <v>24.76</v>
      </c>
      <c r="AM378">
        <v>-32.130000000000003</v>
      </c>
      <c r="AN378">
        <v>-2.8899999999999997</v>
      </c>
      <c r="AO378">
        <v>-0.4799999999999997</v>
      </c>
      <c r="AP378">
        <v>1</v>
      </c>
      <c r="AQ378">
        <v>15.894400000000001</v>
      </c>
      <c r="AR378">
        <v>7.6452799999999987</v>
      </c>
      <c r="AS378">
        <v>56.89</v>
      </c>
      <c r="AT378">
        <v>32</v>
      </c>
      <c r="AU378">
        <v>0.66842499999999994</v>
      </c>
      <c r="AV378">
        <v>0.35889999999999989</v>
      </c>
      <c r="AW378">
        <v>0.27059999999999973</v>
      </c>
      <c r="AX378" t="s">
        <v>298</v>
      </c>
      <c r="AY378">
        <v>17</v>
      </c>
      <c r="AZ378">
        <v>-0.64440000000000064</v>
      </c>
      <c r="BA378">
        <v>4.5080000000000009</v>
      </c>
      <c r="BB378">
        <v>12.920000000000002</v>
      </c>
      <c r="BC378">
        <v>0.1599999999999997</v>
      </c>
      <c r="BD378">
        <v>-0.17599999999999938</v>
      </c>
      <c r="BE378">
        <v>-6.9999999999998508E-2</v>
      </c>
      <c r="BF378">
        <v>-2.9000000000000004</v>
      </c>
      <c r="BG378">
        <v>19</v>
      </c>
      <c r="BH378">
        <v>18.5</v>
      </c>
      <c r="BI378">
        <v>3.63</v>
      </c>
      <c r="BJ378">
        <v>17</v>
      </c>
      <c r="BK378">
        <v>17.25</v>
      </c>
      <c r="BL378">
        <v>17</v>
      </c>
      <c r="BM378">
        <v>6.649989579673582E-3</v>
      </c>
      <c r="BN378">
        <v>27</v>
      </c>
      <c r="BO378">
        <v>-1.841222774586463E-2</v>
      </c>
      <c r="BP378">
        <v>2</v>
      </c>
      <c r="BQ378">
        <v>-0.13781814384445967</v>
      </c>
      <c r="BR378">
        <v>23</v>
      </c>
      <c r="BS378">
        <v>-1.4600000000000002</v>
      </c>
      <c r="BT378">
        <v>-2.85</v>
      </c>
      <c r="BU378">
        <v>2.8600000000000003</v>
      </c>
      <c r="BV378">
        <v>2.2800000000000002</v>
      </c>
      <c r="BW378">
        <v>9.5799999999999947</v>
      </c>
      <c r="BX378">
        <v>-2.6000000000000112</v>
      </c>
      <c r="BY378">
        <v>27.04</v>
      </c>
      <c r="BZ378">
        <v>-5.2</v>
      </c>
      <c r="CA378">
        <v>-9.66</v>
      </c>
      <c r="CB378">
        <v>25</v>
      </c>
      <c r="CC378">
        <v>-5.1524000000000019</v>
      </c>
      <c r="CD378">
        <v>-2.4180800000000002</v>
      </c>
      <c r="CE378">
        <v>-29.640000000000011</v>
      </c>
      <c r="CF378">
        <v>0.4472000000000001</v>
      </c>
    </row>
    <row r="379" spans="1:84" x14ac:dyDescent="0.2">
      <c r="A379" s="19">
        <v>44129</v>
      </c>
      <c r="B379" s="13" t="s">
        <v>250</v>
      </c>
      <c r="C379" s="41" t="s">
        <v>301</v>
      </c>
      <c r="D379" s="14" t="s">
        <v>307</v>
      </c>
      <c r="E379">
        <v>13.4</v>
      </c>
      <c r="F379">
        <v>25.3</v>
      </c>
      <c r="G379">
        <v>17.3</v>
      </c>
      <c r="H379">
        <v>2.1</v>
      </c>
      <c r="I379">
        <v>7</v>
      </c>
      <c r="J379">
        <v>49.5</v>
      </c>
      <c r="K379" t="s">
        <v>735</v>
      </c>
      <c r="L379" t="s">
        <v>301</v>
      </c>
      <c r="M379">
        <v>21</v>
      </c>
      <c r="N379">
        <v>-2.4065999999999996</v>
      </c>
      <c r="O379">
        <v>8.4130000000000003</v>
      </c>
      <c r="P379">
        <v>8.1399999999999988</v>
      </c>
      <c r="Q379">
        <v>1.4599999999999997</v>
      </c>
      <c r="R379">
        <v>-4.830000000000001</v>
      </c>
      <c r="S379">
        <v>2.5700000000000003</v>
      </c>
      <c r="T379">
        <v>-2.9099999999999993</v>
      </c>
      <c r="U379">
        <v>9</v>
      </c>
      <c r="V379">
        <v>8</v>
      </c>
      <c r="W379">
        <v>0.79</v>
      </c>
      <c r="X379">
        <v>20</v>
      </c>
      <c r="Y379">
        <v>19.5</v>
      </c>
      <c r="Z379">
        <v>28</v>
      </c>
      <c r="AA379">
        <v>-6.5359545910952568E-2</v>
      </c>
      <c r="AB379">
        <v>19</v>
      </c>
      <c r="AC379">
        <v>-1.459539977263058E-3</v>
      </c>
      <c r="AD379">
        <v>14</v>
      </c>
      <c r="AE379">
        <v>-4.4172077922077554E-3</v>
      </c>
      <c r="AF379">
        <v>17</v>
      </c>
      <c r="AG379">
        <v>-0.65999999999999992</v>
      </c>
      <c r="AH379">
        <v>-1.45</v>
      </c>
      <c r="AI379">
        <v>-0.4799999999999997</v>
      </c>
      <c r="AJ379">
        <v>-0.27999999999999997</v>
      </c>
      <c r="AK379">
        <v>19.529999999999994</v>
      </c>
      <c r="AL379">
        <v>3.6099999999999968</v>
      </c>
      <c r="AM379">
        <v>3.6400000000000006</v>
      </c>
      <c r="AN379">
        <v>6.45</v>
      </c>
      <c r="AO379">
        <v>5.8300000000000018</v>
      </c>
      <c r="AP379">
        <v>30</v>
      </c>
      <c r="AQ379">
        <v>-10.819600000000001</v>
      </c>
      <c r="AR379">
        <v>-5.6538199999999996</v>
      </c>
      <c r="AS379">
        <v>-3.0000000000003801E-2</v>
      </c>
      <c r="AT379">
        <v>3</v>
      </c>
      <c r="AU379">
        <v>0.2695499999999999</v>
      </c>
      <c r="AV379">
        <v>-0.40395625000000002</v>
      </c>
      <c r="AW379">
        <v>-1.231975</v>
      </c>
      <c r="AX379" t="s">
        <v>307</v>
      </c>
      <c r="AY379">
        <v>9</v>
      </c>
      <c r="AZ379">
        <v>2.955000000000001</v>
      </c>
      <c r="BA379">
        <v>-4.4312500000000004</v>
      </c>
      <c r="BB379">
        <v>-10.625</v>
      </c>
      <c r="BC379">
        <v>-1</v>
      </c>
      <c r="BD379">
        <v>4.9937500000000004</v>
      </c>
      <c r="BE379">
        <v>-8.3125</v>
      </c>
      <c r="BF379">
        <v>-0.5</v>
      </c>
      <c r="BG379">
        <v>22</v>
      </c>
      <c r="BH379">
        <v>20.5</v>
      </c>
      <c r="BI379">
        <v>-1.25</v>
      </c>
      <c r="BJ379">
        <v>8</v>
      </c>
      <c r="BK379">
        <v>12.5</v>
      </c>
      <c r="BL379">
        <v>4</v>
      </c>
      <c r="BM379">
        <v>4.4042753518949707E-2</v>
      </c>
      <c r="BN379">
        <v>12</v>
      </c>
      <c r="BO379">
        <v>7.9525191375591289E-3</v>
      </c>
      <c r="BP379">
        <v>4</v>
      </c>
      <c r="BQ379">
        <v>-9.5240768218709415E-2</v>
      </c>
      <c r="BR379">
        <v>30</v>
      </c>
      <c r="BS379">
        <v>-3.1875</v>
      </c>
      <c r="BT379">
        <v>0.5</v>
      </c>
      <c r="BU379">
        <v>5.125</v>
      </c>
      <c r="BV379">
        <v>-0.875</v>
      </c>
      <c r="BW379">
        <v>-28.75</v>
      </c>
      <c r="BX379">
        <v>-12.6875</v>
      </c>
      <c r="BY379">
        <v>-16.5625</v>
      </c>
      <c r="BZ379">
        <v>-0.125</v>
      </c>
      <c r="CA379">
        <v>0.625</v>
      </c>
      <c r="CB379">
        <v>6</v>
      </c>
      <c r="CC379">
        <v>7.3862500000000013</v>
      </c>
      <c r="CD379">
        <v>3.8053750000000006</v>
      </c>
      <c r="CE379">
        <v>3.875</v>
      </c>
      <c r="CF379">
        <v>0.42406250000000006</v>
      </c>
    </row>
    <row r="380" spans="1:84" x14ac:dyDescent="0.2">
      <c r="A380" s="19">
        <v>44129</v>
      </c>
      <c r="B380" s="13" t="s">
        <v>250</v>
      </c>
      <c r="C380" s="41" t="s">
        <v>265</v>
      </c>
      <c r="D380" s="13" t="s">
        <v>304</v>
      </c>
      <c r="E380">
        <v>11</v>
      </c>
      <c r="F380">
        <v>5</v>
      </c>
      <c r="G380">
        <v>7</v>
      </c>
      <c r="H380">
        <v>8.1</v>
      </c>
      <c r="I380">
        <v>6</v>
      </c>
      <c r="J380">
        <v>44.5</v>
      </c>
      <c r="L380" t="s">
        <v>265</v>
      </c>
      <c r="M380">
        <v>15</v>
      </c>
      <c r="N380">
        <v>0.16480000000000139</v>
      </c>
      <c r="O380">
        <v>-6.8920000000000012</v>
      </c>
      <c r="P380">
        <v>-16.440000000000001</v>
      </c>
      <c r="Q380">
        <v>-0.84</v>
      </c>
      <c r="R380">
        <v>-0.67039999999999988</v>
      </c>
      <c r="S380">
        <v>-24.360000000000007</v>
      </c>
      <c r="T380">
        <v>2.5999999999999996</v>
      </c>
      <c r="U380">
        <v>12</v>
      </c>
      <c r="V380">
        <v>13.5</v>
      </c>
      <c r="W380">
        <v>1.8800000000000001</v>
      </c>
      <c r="X380">
        <v>21</v>
      </c>
      <c r="Y380">
        <v>19.75</v>
      </c>
      <c r="Z380">
        <v>26</v>
      </c>
      <c r="AA380">
        <v>-3.5377721825560191E-2</v>
      </c>
      <c r="AB380">
        <v>21</v>
      </c>
      <c r="AC380">
        <v>-2.7822707864564615E-3</v>
      </c>
      <c r="AD380">
        <v>2</v>
      </c>
      <c r="AE380">
        <v>-0.1568984806043629</v>
      </c>
      <c r="AF380">
        <v>30</v>
      </c>
      <c r="AG380">
        <v>-2.2799999999999998</v>
      </c>
      <c r="AH380">
        <v>0.32000000000000173</v>
      </c>
      <c r="AI380">
        <v>-1.0799999999999996</v>
      </c>
      <c r="AJ380">
        <v>-0.91999999999999993</v>
      </c>
      <c r="AK380">
        <v>-36.319999999999993</v>
      </c>
      <c r="AL380">
        <v>-21.680000000000007</v>
      </c>
      <c r="AM380">
        <v>-20.519999999999996</v>
      </c>
      <c r="AN380">
        <v>4.68</v>
      </c>
      <c r="AO380">
        <v>1.2000000000000004</v>
      </c>
      <c r="AP380">
        <v>7</v>
      </c>
      <c r="AQ380">
        <v>7.0568000000000026</v>
      </c>
      <c r="AR380">
        <v>3.3448800000000007</v>
      </c>
      <c r="AS380">
        <v>-1.1600000000000108</v>
      </c>
      <c r="AT380">
        <v>26</v>
      </c>
      <c r="AU380">
        <v>-0.92970000000000008</v>
      </c>
      <c r="AV380">
        <v>-1.3545</v>
      </c>
      <c r="AW380">
        <v>-2.1737000000000002</v>
      </c>
      <c r="AX380" t="s">
        <v>304</v>
      </c>
      <c r="AY380">
        <v>22</v>
      </c>
      <c r="AZ380">
        <v>-2.1703999999999999</v>
      </c>
      <c r="BA380">
        <v>0.24000000000000069</v>
      </c>
      <c r="BB380">
        <v>4.9200000000000017</v>
      </c>
      <c r="BC380">
        <v>1.3199999999999998</v>
      </c>
      <c r="BD380">
        <v>-2.4320000000000013</v>
      </c>
      <c r="BE380">
        <v>-17.320000000000004</v>
      </c>
      <c r="BF380">
        <v>-2.56</v>
      </c>
      <c r="BG380">
        <v>14</v>
      </c>
      <c r="BH380">
        <v>15</v>
      </c>
      <c r="BI380">
        <v>-1.08</v>
      </c>
      <c r="BJ380">
        <v>20</v>
      </c>
      <c r="BK380">
        <v>18.25</v>
      </c>
      <c r="BL380">
        <v>29</v>
      </c>
      <c r="BM380">
        <v>-5.9930515180701048E-2</v>
      </c>
      <c r="BN380">
        <v>9</v>
      </c>
      <c r="BO380">
        <v>1.1331305407784658E-2</v>
      </c>
      <c r="BP380">
        <v>17</v>
      </c>
      <c r="BQ380">
        <v>-5.4623154623154703E-3</v>
      </c>
      <c r="BR380">
        <v>18</v>
      </c>
      <c r="BS380">
        <v>-0.6399999999999999</v>
      </c>
      <c r="BT380">
        <v>0.63999999999999913</v>
      </c>
      <c r="BU380">
        <v>-1.64</v>
      </c>
      <c r="BV380">
        <v>-0.83999999999999986</v>
      </c>
      <c r="BW380">
        <v>-18.399999999999999</v>
      </c>
      <c r="BX380">
        <v>-15.160000000000007</v>
      </c>
      <c r="BY380">
        <v>7.44</v>
      </c>
      <c r="BZ380">
        <v>-5.24</v>
      </c>
      <c r="CA380">
        <v>-5.4399999999999995</v>
      </c>
      <c r="CB380">
        <v>22</v>
      </c>
      <c r="CC380">
        <v>-2.4104000000000005</v>
      </c>
      <c r="CD380">
        <v>-1.0404800000000005</v>
      </c>
      <c r="CE380">
        <v>-22.600000000000009</v>
      </c>
      <c r="CF380">
        <v>-0.5353</v>
      </c>
    </row>
    <row r="381" spans="1:84" x14ac:dyDescent="0.2">
      <c r="A381" s="19">
        <v>44129</v>
      </c>
      <c r="B381" s="13" t="s">
        <v>250</v>
      </c>
      <c r="C381" s="17" t="s">
        <v>272</v>
      </c>
      <c r="D381" s="14" t="s">
        <v>281</v>
      </c>
      <c r="E381">
        <v>30.74</v>
      </c>
      <c r="F381">
        <v>18.8</v>
      </c>
      <c r="G381">
        <v>15.2</v>
      </c>
      <c r="H381">
        <v>10.199999999999999</v>
      </c>
      <c r="I381">
        <v>4</v>
      </c>
      <c r="J381">
        <v>50</v>
      </c>
      <c r="L381" t="s">
        <v>272</v>
      </c>
      <c r="M381">
        <v>18</v>
      </c>
      <c r="N381">
        <v>-0.81760000000000088</v>
      </c>
      <c r="O381">
        <v>3.2519999999999993</v>
      </c>
      <c r="P381">
        <v>-7.9999999999999183E-2</v>
      </c>
      <c r="Q381">
        <v>1.6799999999999997</v>
      </c>
      <c r="R381">
        <v>-0.64079999999999737</v>
      </c>
      <c r="S381">
        <v>13.120000000000001</v>
      </c>
      <c r="T381">
        <v>4.160000000000001</v>
      </c>
      <c r="U381">
        <v>2</v>
      </c>
      <c r="V381">
        <v>3.5</v>
      </c>
      <c r="W381">
        <v>-2.2000000000000002</v>
      </c>
      <c r="X381">
        <v>7</v>
      </c>
      <c r="Y381">
        <v>11.25</v>
      </c>
      <c r="Z381">
        <v>8</v>
      </c>
      <c r="AA381">
        <v>4.0786849990737332E-2</v>
      </c>
      <c r="AB381">
        <v>3</v>
      </c>
      <c r="AC381">
        <v>2.5142342988967455E-2</v>
      </c>
      <c r="AD381">
        <v>23</v>
      </c>
      <c r="AE381">
        <v>2.9613386613386659E-2</v>
      </c>
      <c r="AF381">
        <v>11</v>
      </c>
      <c r="AG381">
        <v>0.96000000000000019</v>
      </c>
      <c r="AH381">
        <v>7.2800000000000011</v>
      </c>
      <c r="AI381">
        <v>-1.6400000000000012</v>
      </c>
      <c r="AJ381">
        <v>-0.91999999999999993</v>
      </c>
      <c r="AK381">
        <v>6.9600000000000026</v>
      </c>
      <c r="AL381">
        <v>23.319999999999993</v>
      </c>
      <c r="AM381">
        <v>-4.9599999999999964</v>
      </c>
      <c r="AN381">
        <v>-2.88</v>
      </c>
      <c r="AO381">
        <v>-8.5200000000000014</v>
      </c>
      <c r="AP381">
        <v>23</v>
      </c>
      <c r="AQ381">
        <v>-4.0696000000000003</v>
      </c>
      <c r="AR381">
        <v>-1.9176799999999994</v>
      </c>
      <c r="AS381">
        <v>28.27999999999999</v>
      </c>
      <c r="AT381">
        <v>10</v>
      </c>
      <c r="AU381">
        <v>0.47420000000000007</v>
      </c>
      <c r="AV381">
        <v>1.2544625</v>
      </c>
      <c r="AW381">
        <v>1.8836000000000002</v>
      </c>
      <c r="AX381" t="s">
        <v>281</v>
      </c>
      <c r="AY381">
        <v>13</v>
      </c>
      <c r="AZ381">
        <v>0.87519999999999809</v>
      </c>
      <c r="BA381">
        <v>0.40399999999999925</v>
      </c>
      <c r="BB381">
        <v>-11.059999999999999</v>
      </c>
      <c r="BC381">
        <v>8.0000000000000016E-2</v>
      </c>
      <c r="BD381">
        <v>4.5134000000000025</v>
      </c>
      <c r="BE381">
        <v>4.38</v>
      </c>
      <c r="BF381">
        <v>3.74</v>
      </c>
      <c r="BG381">
        <v>26</v>
      </c>
      <c r="BH381">
        <v>26</v>
      </c>
      <c r="BI381">
        <v>-1.02</v>
      </c>
      <c r="BJ381">
        <v>12</v>
      </c>
      <c r="BK381">
        <v>14.5</v>
      </c>
      <c r="BL381">
        <v>25</v>
      </c>
      <c r="BM381">
        <v>-2.9415754277779104E-2</v>
      </c>
      <c r="BN381">
        <v>19</v>
      </c>
      <c r="BO381">
        <v>-5.5823316262243695E-3</v>
      </c>
      <c r="BP381">
        <v>1</v>
      </c>
      <c r="BQ381">
        <v>-0.17942124542124541</v>
      </c>
      <c r="BR381">
        <v>13</v>
      </c>
      <c r="BS381">
        <v>0.41999999999999993</v>
      </c>
      <c r="BT381">
        <v>0.26999999999999885</v>
      </c>
      <c r="BU381">
        <v>2.6300000000000003</v>
      </c>
      <c r="BV381">
        <v>1.1499999999999999</v>
      </c>
      <c r="BW381">
        <v>-1.4600000000000022</v>
      </c>
      <c r="BX381">
        <v>11.05</v>
      </c>
      <c r="BY381">
        <v>-13.91</v>
      </c>
      <c r="BZ381">
        <v>-0.28999999999999987</v>
      </c>
      <c r="CA381">
        <v>1.6900000000000002</v>
      </c>
      <c r="CB381">
        <v>14</v>
      </c>
      <c r="CC381">
        <v>0.47119999999999884</v>
      </c>
      <c r="CD381">
        <v>0.87572000000000039</v>
      </c>
      <c r="CE381">
        <v>24.96</v>
      </c>
      <c r="CF381">
        <v>0.62532500000000002</v>
      </c>
    </row>
    <row r="382" spans="1:84" x14ac:dyDescent="0.2">
      <c r="A382" s="19">
        <v>44129</v>
      </c>
      <c r="B382" s="13" t="s">
        <v>250</v>
      </c>
      <c r="C382" s="41" t="s">
        <v>281</v>
      </c>
      <c r="D382" s="14" t="s">
        <v>272</v>
      </c>
      <c r="E382">
        <v>10.96</v>
      </c>
      <c r="F382">
        <v>20</v>
      </c>
      <c r="G382">
        <v>14.6</v>
      </c>
      <c r="H382">
        <v>21.6</v>
      </c>
      <c r="I382">
        <v>-4</v>
      </c>
      <c r="J382">
        <v>50</v>
      </c>
      <c r="L382" t="s">
        <v>281</v>
      </c>
      <c r="M382">
        <v>29</v>
      </c>
      <c r="N382">
        <v>-5.1680000000000001</v>
      </c>
      <c r="O382">
        <v>10.562000000000001</v>
      </c>
      <c r="P382">
        <v>49.59</v>
      </c>
      <c r="Q382">
        <v>-1.2200000000000002</v>
      </c>
      <c r="R382">
        <v>-4.3259999999999996</v>
      </c>
      <c r="S382">
        <v>-27.01</v>
      </c>
      <c r="T382">
        <v>-2.39</v>
      </c>
      <c r="U382">
        <v>19</v>
      </c>
      <c r="V382">
        <v>20</v>
      </c>
      <c r="W382">
        <v>0.41999999999999993</v>
      </c>
      <c r="X382">
        <v>24</v>
      </c>
      <c r="Y382">
        <v>20.75</v>
      </c>
      <c r="Z382">
        <v>20</v>
      </c>
      <c r="AA382">
        <v>-1.7586368207202097E-2</v>
      </c>
      <c r="AB382">
        <v>24</v>
      </c>
      <c r="AC382">
        <v>-8.2978309504699744E-3</v>
      </c>
      <c r="AD382">
        <v>18</v>
      </c>
      <c r="AE382">
        <v>9.0137464874307065E-3</v>
      </c>
      <c r="AF382">
        <v>21</v>
      </c>
      <c r="AG382">
        <v>-1.02</v>
      </c>
      <c r="AH382">
        <v>0.83999999999999919</v>
      </c>
      <c r="AI382">
        <v>4.0999999999999996</v>
      </c>
      <c r="AJ382">
        <v>0.52</v>
      </c>
      <c r="AK382">
        <v>6.0100000000000025</v>
      </c>
      <c r="AL382">
        <v>-44.849999999999994</v>
      </c>
      <c r="AM382">
        <v>54.370000000000005</v>
      </c>
      <c r="AN382">
        <v>8.39</v>
      </c>
      <c r="AO382">
        <v>-11.9</v>
      </c>
      <c r="AP382">
        <v>32</v>
      </c>
      <c r="AQ382">
        <v>-15.73</v>
      </c>
      <c r="AR382">
        <v>-7.1798000000000011</v>
      </c>
      <c r="AS382">
        <v>-99.22</v>
      </c>
      <c r="AT382">
        <v>1</v>
      </c>
      <c r="AU382">
        <v>0.21225000000000027</v>
      </c>
      <c r="AV382">
        <v>1.2544625</v>
      </c>
      <c r="AW382">
        <v>0.62532500000000002</v>
      </c>
      <c r="AX382" t="s">
        <v>272</v>
      </c>
      <c r="AY382">
        <v>10</v>
      </c>
      <c r="AZ382">
        <v>2.9087999999999998</v>
      </c>
      <c r="BA382">
        <v>1.5720000000000014</v>
      </c>
      <c r="BB382">
        <v>15.400000000000004</v>
      </c>
      <c r="BC382">
        <v>0.28000000000000003</v>
      </c>
      <c r="BD382">
        <v>8.9879999999999995</v>
      </c>
      <c r="BE382">
        <v>30.919999999999998</v>
      </c>
      <c r="BF382">
        <v>2.3999999999999995</v>
      </c>
      <c r="BG382">
        <v>10</v>
      </c>
      <c r="BH382">
        <v>10.5</v>
      </c>
      <c r="BI382">
        <v>0.96000000000000019</v>
      </c>
      <c r="BJ382">
        <v>31</v>
      </c>
      <c r="BK382">
        <v>27</v>
      </c>
      <c r="BL382">
        <v>27</v>
      </c>
      <c r="BM382">
        <v>-4.6446120457651417E-2</v>
      </c>
      <c r="BN382">
        <v>30</v>
      </c>
      <c r="BO382">
        <v>-2.6171667229371764E-2</v>
      </c>
      <c r="BP382">
        <v>24</v>
      </c>
      <c r="BQ382">
        <v>3.8554445554445552E-2</v>
      </c>
      <c r="BR382">
        <v>27</v>
      </c>
      <c r="BS382">
        <v>-2.2000000000000002</v>
      </c>
      <c r="BT382">
        <v>2.4</v>
      </c>
      <c r="BU382">
        <v>3</v>
      </c>
      <c r="BV382">
        <v>-1</v>
      </c>
      <c r="BW382">
        <v>45.280000000000008</v>
      </c>
      <c r="BX382">
        <v>40.319999999999993</v>
      </c>
      <c r="BY382">
        <v>10.68</v>
      </c>
      <c r="BZ382">
        <v>1.8399999999999992</v>
      </c>
      <c r="CA382">
        <v>-7.5600000000000005</v>
      </c>
      <c r="CB382">
        <v>13</v>
      </c>
      <c r="CC382">
        <v>1.3367999999999984</v>
      </c>
      <c r="CD382">
        <v>1.5933599999999994</v>
      </c>
      <c r="CE382">
        <v>29.639999999999993</v>
      </c>
      <c r="CF382">
        <v>1.8836000000000002</v>
      </c>
    </row>
    <row r="383" spans="1:84" x14ac:dyDescent="0.2">
      <c r="A383" s="19">
        <v>44129</v>
      </c>
      <c r="B383" s="13" t="s">
        <v>250</v>
      </c>
      <c r="C383" s="41" t="s">
        <v>291</v>
      </c>
      <c r="D383" s="14" t="s">
        <v>306</v>
      </c>
      <c r="E383">
        <v>15.5</v>
      </c>
      <c r="F383">
        <v>0.1</v>
      </c>
      <c r="G383">
        <v>0</v>
      </c>
      <c r="H383">
        <v>4.2</v>
      </c>
      <c r="I383">
        <v>-1</v>
      </c>
      <c r="J383">
        <v>44.5</v>
      </c>
      <c r="K383" t="s">
        <v>734</v>
      </c>
      <c r="L383" t="s">
        <v>291</v>
      </c>
      <c r="M383">
        <v>3</v>
      </c>
      <c r="N383">
        <v>6.9364000000000008</v>
      </c>
      <c r="O383">
        <v>1.6640000000000006</v>
      </c>
      <c r="P383">
        <v>0.83000000000000096</v>
      </c>
      <c r="Q383">
        <v>2.46</v>
      </c>
      <c r="R383">
        <v>14.154400000000001</v>
      </c>
      <c r="S383">
        <v>63.539999999999992</v>
      </c>
      <c r="T383">
        <v>4.120000000000001</v>
      </c>
      <c r="U383">
        <v>16</v>
      </c>
      <c r="V383">
        <v>18.5</v>
      </c>
      <c r="W383">
        <v>-4.17</v>
      </c>
      <c r="X383">
        <v>19</v>
      </c>
      <c r="Y383">
        <v>19</v>
      </c>
      <c r="Z383">
        <v>18</v>
      </c>
      <c r="AA383">
        <v>-5.7529861885932069E-3</v>
      </c>
      <c r="AB383">
        <v>23</v>
      </c>
      <c r="AC383">
        <v>-7.8686701210353462E-3</v>
      </c>
      <c r="AD383">
        <v>29</v>
      </c>
      <c r="AE383">
        <v>0.12572183372183376</v>
      </c>
      <c r="AF383">
        <v>6</v>
      </c>
      <c r="AG383">
        <v>2.6999999999999997</v>
      </c>
      <c r="AH383">
        <v>8.9100000000000019</v>
      </c>
      <c r="AI383">
        <v>4.9700000000000006</v>
      </c>
      <c r="AJ383">
        <v>0.20999999999999996</v>
      </c>
      <c r="AK383">
        <v>87.83</v>
      </c>
      <c r="AL383">
        <v>92.86999999999999</v>
      </c>
      <c r="AM383">
        <v>0.43000000000000116</v>
      </c>
      <c r="AN383">
        <v>-5.17</v>
      </c>
      <c r="AO383">
        <v>-0.29999999999999982</v>
      </c>
      <c r="AP383">
        <v>8</v>
      </c>
      <c r="AQ383">
        <v>5.2724000000000002</v>
      </c>
      <c r="AR383">
        <v>3.3861599999999989</v>
      </c>
      <c r="AS383">
        <v>92.439999999999984</v>
      </c>
      <c r="AT383">
        <v>25</v>
      </c>
      <c r="AU383">
        <v>2.8355999999999995</v>
      </c>
      <c r="AV383">
        <v>1.381975</v>
      </c>
      <c r="AW383">
        <v>2.5660499999999997</v>
      </c>
      <c r="AX383" t="s">
        <v>306</v>
      </c>
      <c r="AY383">
        <v>6</v>
      </c>
      <c r="AZ383">
        <v>4.2552000000000003</v>
      </c>
      <c r="BA383">
        <v>0.65599999999999992</v>
      </c>
      <c r="BB383">
        <v>-0.11999999999999655</v>
      </c>
      <c r="BC383">
        <v>-0.48</v>
      </c>
      <c r="BD383">
        <v>-3.5279999999999987</v>
      </c>
      <c r="BE383">
        <v>6.4399999999999995</v>
      </c>
      <c r="BF383">
        <v>-2.76</v>
      </c>
      <c r="BG383">
        <v>12</v>
      </c>
      <c r="BH383">
        <v>13</v>
      </c>
      <c r="BI383">
        <v>2.8</v>
      </c>
      <c r="BJ383">
        <v>13</v>
      </c>
      <c r="BK383">
        <v>15</v>
      </c>
      <c r="BL383">
        <v>12</v>
      </c>
      <c r="BM383">
        <v>1.35924097559808E-2</v>
      </c>
      <c r="BN383">
        <v>16</v>
      </c>
      <c r="BO383">
        <v>-3.1395292693843654E-3</v>
      </c>
      <c r="BP383">
        <v>6</v>
      </c>
      <c r="BQ383">
        <v>-7.9095238095238107E-2</v>
      </c>
      <c r="BR383">
        <v>26</v>
      </c>
      <c r="BS383">
        <v>-1.9999999999999996</v>
      </c>
      <c r="BT383">
        <v>-1.0400000000000005</v>
      </c>
      <c r="BU383">
        <v>3.0800000000000005</v>
      </c>
      <c r="BV383">
        <v>-0.36</v>
      </c>
      <c r="BW383">
        <v>-4.2799999999999958</v>
      </c>
      <c r="BX383">
        <v>-1.1200000000000045</v>
      </c>
      <c r="BY383">
        <v>-2.1599999999999993</v>
      </c>
      <c r="BZ383">
        <v>-7.7200000000000006</v>
      </c>
      <c r="CA383">
        <v>6.7200000000000015</v>
      </c>
      <c r="CB383">
        <v>9</v>
      </c>
      <c r="CC383">
        <v>3.5992000000000006</v>
      </c>
      <c r="CD383">
        <v>-0.18255999999999972</v>
      </c>
      <c r="CE383">
        <v>1.0399999999999947</v>
      </c>
      <c r="CF383">
        <v>0.19790000000000016</v>
      </c>
    </row>
    <row r="384" spans="1:84" x14ac:dyDescent="0.2">
      <c r="A384" s="19">
        <v>44129</v>
      </c>
      <c r="B384" s="13" t="s">
        <v>250</v>
      </c>
      <c r="C384" s="41" t="s">
        <v>278</v>
      </c>
      <c r="D384" s="14" t="s">
        <v>288</v>
      </c>
      <c r="E384">
        <v>4</v>
      </c>
      <c r="F384">
        <v>7.4</v>
      </c>
      <c r="G384">
        <v>5.4</v>
      </c>
      <c r="H384">
        <v>6.8</v>
      </c>
      <c r="I384">
        <v>7</v>
      </c>
      <c r="J384">
        <v>45.5</v>
      </c>
      <c r="K384" t="s">
        <v>735</v>
      </c>
      <c r="L384" t="s">
        <v>278</v>
      </c>
      <c r="M384">
        <v>26</v>
      </c>
      <c r="N384">
        <v>-3.8144999999999998</v>
      </c>
      <c r="O384">
        <v>9.2500000000000915E-2</v>
      </c>
      <c r="P384">
        <v>15.887499999999999</v>
      </c>
      <c r="Q384">
        <v>-1.2250000000000001</v>
      </c>
      <c r="R384">
        <v>-0.9350000000000005</v>
      </c>
      <c r="S384">
        <v>10.412499999999996</v>
      </c>
      <c r="T384">
        <v>2.2999999999999998</v>
      </c>
      <c r="U384">
        <v>1</v>
      </c>
      <c r="V384">
        <v>1</v>
      </c>
      <c r="W384">
        <v>0.62499999999999978</v>
      </c>
      <c r="X384">
        <v>3</v>
      </c>
      <c r="Y384">
        <v>7.5</v>
      </c>
      <c r="Z384">
        <v>9</v>
      </c>
      <c r="AA384">
        <v>3.0772902583162398E-2</v>
      </c>
      <c r="AB384">
        <v>10</v>
      </c>
      <c r="AC384">
        <v>7.429968467323177E-3</v>
      </c>
      <c r="AD384">
        <v>4</v>
      </c>
      <c r="AE384">
        <v>-0.10740905293536873</v>
      </c>
      <c r="AF384">
        <v>7</v>
      </c>
      <c r="AG384">
        <v>2.4750000000000001</v>
      </c>
      <c r="AH384">
        <v>5.8250000000000011</v>
      </c>
      <c r="AI384">
        <v>-0.27499999999999947</v>
      </c>
      <c r="AJ384">
        <v>-1.5874999999999999</v>
      </c>
      <c r="AK384">
        <v>-9.0249999999999915</v>
      </c>
      <c r="AL384">
        <v>-15.537500000000001</v>
      </c>
      <c r="AM384">
        <v>9.9624999999999986</v>
      </c>
      <c r="AN384">
        <v>1.3250000000000002</v>
      </c>
      <c r="AO384">
        <v>-4.7749999999999995</v>
      </c>
      <c r="AP384">
        <v>22</v>
      </c>
      <c r="AQ384">
        <v>-3.9070000000000009</v>
      </c>
      <c r="AR384">
        <v>-0.99615000000000054</v>
      </c>
      <c r="AS384">
        <v>-25.5</v>
      </c>
      <c r="AT384">
        <v>11</v>
      </c>
      <c r="AU384">
        <v>0.16006250000000011</v>
      </c>
      <c r="AV384">
        <v>-0.35693124999999992</v>
      </c>
      <c r="AW384">
        <v>0.35031249999999997</v>
      </c>
      <c r="AX384" t="s">
        <v>288</v>
      </c>
      <c r="AY384">
        <v>28</v>
      </c>
      <c r="AZ384">
        <v>-4.1744000000000003</v>
      </c>
      <c r="BA384">
        <v>1.2410000000000005</v>
      </c>
      <c r="BB384">
        <v>14.270000000000003</v>
      </c>
      <c r="BC384">
        <v>-1.0900000000000001</v>
      </c>
      <c r="BD384">
        <v>-5.1399999999999988</v>
      </c>
      <c r="BE384">
        <v>-34.330000000000005</v>
      </c>
      <c r="BF384">
        <v>-1.9300000000000004</v>
      </c>
      <c r="BG384">
        <v>16</v>
      </c>
      <c r="BH384">
        <v>16.5</v>
      </c>
      <c r="BI384">
        <v>-1.47</v>
      </c>
      <c r="BJ384">
        <v>10</v>
      </c>
      <c r="BK384">
        <v>13.75</v>
      </c>
      <c r="BL384">
        <v>15</v>
      </c>
      <c r="BM384">
        <v>8.7143529525698146E-3</v>
      </c>
      <c r="BN384">
        <v>23</v>
      </c>
      <c r="BO384">
        <v>-8.6128487663332774E-3</v>
      </c>
      <c r="BP384">
        <v>8</v>
      </c>
      <c r="BQ384">
        <v>-3.6349429981782935E-2</v>
      </c>
      <c r="BR384">
        <v>9</v>
      </c>
      <c r="BS384">
        <v>0.86999999999999988</v>
      </c>
      <c r="BT384">
        <v>0.27999999999999969</v>
      </c>
      <c r="BU384">
        <v>-3.8600000000000003</v>
      </c>
      <c r="BV384">
        <v>-0.49000000000000005</v>
      </c>
      <c r="BW384">
        <v>-22.8</v>
      </c>
      <c r="BX384">
        <v>-43.04</v>
      </c>
      <c r="BY384">
        <v>17.95</v>
      </c>
      <c r="BZ384">
        <v>-0.65</v>
      </c>
      <c r="CA384">
        <v>2.94</v>
      </c>
      <c r="CB384">
        <v>26</v>
      </c>
      <c r="CC384">
        <v>-5.4154000000000009</v>
      </c>
      <c r="CD384">
        <v>-2.4833800000000004</v>
      </c>
      <c r="CE384">
        <v>-60.989999999999995</v>
      </c>
      <c r="CF384">
        <v>-1.0641749999999999</v>
      </c>
    </row>
    <row r="385" spans="1:84" x14ac:dyDescent="0.2">
      <c r="A385" s="19">
        <v>44129</v>
      </c>
      <c r="B385" s="13" t="s">
        <v>250</v>
      </c>
      <c r="C385" s="41" t="s">
        <v>299</v>
      </c>
      <c r="D385" s="14" t="s">
        <v>295</v>
      </c>
      <c r="E385">
        <v>20.399999999999999</v>
      </c>
      <c r="F385">
        <v>13</v>
      </c>
      <c r="G385">
        <v>9.1999999999999993</v>
      </c>
      <c r="H385">
        <v>16.899999999999999</v>
      </c>
      <c r="I385">
        <v>1</v>
      </c>
      <c r="J385">
        <v>54.5</v>
      </c>
      <c r="K385" t="s">
        <v>734</v>
      </c>
      <c r="L385" t="s">
        <v>299</v>
      </c>
      <c r="M385">
        <v>20</v>
      </c>
      <c r="N385">
        <v>-2.2469999999999999</v>
      </c>
      <c r="O385">
        <v>0.13874999999999993</v>
      </c>
      <c r="P385">
        <v>-12.612499999999997</v>
      </c>
      <c r="Q385">
        <v>-0.875</v>
      </c>
      <c r="R385">
        <v>-6.3012500000000014</v>
      </c>
      <c r="S385">
        <v>-16.8125</v>
      </c>
      <c r="T385">
        <v>-2.0499999999999998</v>
      </c>
      <c r="U385">
        <v>15</v>
      </c>
      <c r="V385">
        <v>18</v>
      </c>
      <c r="W385">
        <v>-1.3125</v>
      </c>
      <c r="X385">
        <v>8</v>
      </c>
      <c r="Y385">
        <v>11.5</v>
      </c>
      <c r="Z385">
        <v>14</v>
      </c>
      <c r="AA385">
        <v>2.6040680653880571E-3</v>
      </c>
      <c r="AB385">
        <v>4</v>
      </c>
      <c r="AC385">
        <v>2.2599949522189376E-2</v>
      </c>
      <c r="AD385">
        <v>19</v>
      </c>
      <c r="AE385">
        <v>1.2169566544566607E-2</v>
      </c>
      <c r="AF385">
        <v>9</v>
      </c>
      <c r="AG385">
        <v>1.4125000000000001</v>
      </c>
      <c r="AH385">
        <v>-3.0375000000000014</v>
      </c>
      <c r="AI385">
        <v>0.78749999999999964</v>
      </c>
      <c r="AJ385">
        <v>-0.4375</v>
      </c>
      <c r="AK385">
        <v>-26.174999999999997</v>
      </c>
      <c r="AL385">
        <v>-16.049999999999997</v>
      </c>
      <c r="AM385">
        <v>-4.2875000000000014</v>
      </c>
      <c r="AN385">
        <v>-2.6625000000000001</v>
      </c>
      <c r="AO385">
        <v>-3.1749999999999998</v>
      </c>
      <c r="AP385">
        <v>19</v>
      </c>
      <c r="AQ385">
        <v>-2.3857499999999998</v>
      </c>
      <c r="AR385">
        <v>-1.7790250000000003</v>
      </c>
      <c r="AS385">
        <v>-11.762499999999996</v>
      </c>
      <c r="AT385">
        <v>14</v>
      </c>
      <c r="AU385">
        <v>-1.1855625000000001</v>
      </c>
      <c r="AV385">
        <v>1.3569562500000001</v>
      </c>
      <c r="AW385">
        <v>-0.32556249999999998</v>
      </c>
      <c r="AX385" t="s">
        <v>295</v>
      </c>
      <c r="AY385">
        <v>1</v>
      </c>
      <c r="AZ385">
        <v>12.093399999999999</v>
      </c>
      <c r="BA385">
        <v>-3.258999999999999</v>
      </c>
      <c r="BB385">
        <v>-18.990000000000002</v>
      </c>
      <c r="BC385">
        <v>1.03</v>
      </c>
      <c r="BD385">
        <v>16.261400000000002</v>
      </c>
      <c r="BE385">
        <v>55.509999999999991</v>
      </c>
      <c r="BF385">
        <v>3.41</v>
      </c>
      <c r="BG385">
        <v>24</v>
      </c>
      <c r="BH385">
        <v>23</v>
      </c>
      <c r="BI385">
        <v>-1.95</v>
      </c>
      <c r="BJ385">
        <v>32</v>
      </c>
      <c r="BK385">
        <v>27.75</v>
      </c>
      <c r="BL385">
        <v>26</v>
      </c>
      <c r="BM385">
        <v>-4.024662684341436E-2</v>
      </c>
      <c r="BN385">
        <v>31</v>
      </c>
      <c r="BO385">
        <v>-3.1277801836282954E-2</v>
      </c>
      <c r="BP385">
        <v>23</v>
      </c>
      <c r="BQ385">
        <v>3.4123376623376653E-2</v>
      </c>
      <c r="BR385">
        <v>31</v>
      </c>
      <c r="BS385">
        <v>-3.3299999999999996</v>
      </c>
      <c r="BT385">
        <v>0.7000000000000014</v>
      </c>
      <c r="BU385">
        <v>4.4399999999999995</v>
      </c>
      <c r="BV385">
        <v>-0.63</v>
      </c>
      <c r="BW385">
        <v>54.429999999999986</v>
      </c>
      <c r="BX385">
        <v>67.860000000000014</v>
      </c>
      <c r="BY385">
        <v>-22.119999999999997</v>
      </c>
      <c r="BZ385">
        <v>7.06</v>
      </c>
      <c r="CA385">
        <v>1.6300000000000001</v>
      </c>
      <c r="CB385">
        <v>1</v>
      </c>
      <c r="CC385">
        <v>15.352399999999998</v>
      </c>
      <c r="CD385">
        <v>7.3004599999999993</v>
      </c>
      <c r="CE385">
        <v>89.980000000000018</v>
      </c>
      <c r="CF385">
        <v>3.0394749999999999</v>
      </c>
    </row>
    <row r="386" spans="1:84" x14ac:dyDescent="0.2">
      <c r="A386" s="19">
        <v>44129</v>
      </c>
      <c r="B386" s="13" t="s">
        <v>250</v>
      </c>
      <c r="C386" s="41" t="s">
        <v>300</v>
      </c>
      <c r="D386" s="14" t="s">
        <v>311</v>
      </c>
      <c r="E386">
        <v>47.6</v>
      </c>
      <c r="F386">
        <v>0.9</v>
      </c>
      <c r="G386">
        <v>8.6</v>
      </c>
      <c r="H386">
        <v>5.2</v>
      </c>
      <c r="I386">
        <v>-3</v>
      </c>
      <c r="J386">
        <v>55</v>
      </c>
      <c r="L386" t="s">
        <v>300</v>
      </c>
      <c r="M386">
        <v>22</v>
      </c>
      <c r="N386">
        <v>-2.6859999999999999</v>
      </c>
      <c r="O386">
        <v>9.1500000000000021</v>
      </c>
      <c r="P386">
        <v>29.0625</v>
      </c>
      <c r="Q386">
        <v>1.2124999999999999</v>
      </c>
      <c r="R386">
        <v>-10.38125</v>
      </c>
      <c r="S386">
        <v>-36.6</v>
      </c>
      <c r="T386">
        <v>-5.0125000000000002</v>
      </c>
      <c r="U386">
        <v>8</v>
      </c>
      <c r="V386">
        <v>7</v>
      </c>
      <c r="W386">
        <v>1.5874999999999999</v>
      </c>
      <c r="X386">
        <v>24</v>
      </c>
      <c r="Y386">
        <v>20.75</v>
      </c>
      <c r="Z386">
        <v>27</v>
      </c>
      <c r="AA386">
        <v>-4.4979971394914026E-2</v>
      </c>
      <c r="AB386">
        <v>25</v>
      </c>
      <c r="AC386">
        <v>-8.5193707845681241E-3</v>
      </c>
      <c r="AD386">
        <v>5</v>
      </c>
      <c r="AE386">
        <v>-9.8134296259296233E-2</v>
      </c>
      <c r="AF386">
        <v>26</v>
      </c>
      <c r="AG386">
        <v>-1.7749999999999999</v>
      </c>
      <c r="AH386">
        <v>-2.7874999999999979</v>
      </c>
      <c r="AI386">
        <v>1.9000000000000004</v>
      </c>
      <c r="AJ386">
        <v>0.96250000000000002</v>
      </c>
      <c r="AK386">
        <v>6.0625</v>
      </c>
      <c r="AL386">
        <v>-26.650000000000006</v>
      </c>
      <c r="AM386">
        <v>39.924999999999997</v>
      </c>
      <c r="AN386">
        <v>-5.75</v>
      </c>
      <c r="AO386">
        <v>-1.4624999999999999</v>
      </c>
      <c r="AP386">
        <v>31</v>
      </c>
      <c r="AQ386">
        <v>-11.836000000000002</v>
      </c>
      <c r="AR386">
        <v>-7.1884500000000013</v>
      </c>
      <c r="AS386">
        <v>-66.575000000000003</v>
      </c>
      <c r="AT386">
        <v>2</v>
      </c>
      <c r="AU386">
        <v>-0.18184374999999992</v>
      </c>
      <c r="AV386">
        <v>-0.34553125000000018</v>
      </c>
      <c r="AW386">
        <v>-1.6578125000000001</v>
      </c>
      <c r="AX386" t="s">
        <v>311</v>
      </c>
      <c r="AY386">
        <v>12</v>
      </c>
      <c r="AZ386">
        <v>0.90700000000000036</v>
      </c>
      <c r="BA386">
        <v>8.4979999999999993</v>
      </c>
      <c r="BB386">
        <v>45.66</v>
      </c>
      <c r="BC386">
        <v>1.19</v>
      </c>
      <c r="BD386">
        <v>8.9000000000000412E-2</v>
      </c>
      <c r="BE386">
        <v>0.24000000000000021</v>
      </c>
      <c r="BF386">
        <v>-0.33000000000000007</v>
      </c>
      <c r="BG386">
        <v>18</v>
      </c>
      <c r="BH386">
        <v>17.5</v>
      </c>
      <c r="BI386">
        <v>-0.83999999999999986</v>
      </c>
      <c r="BJ386">
        <v>15</v>
      </c>
      <c r="BK386">
        <v>15.25</v>
      </c>
      <c r="BL386">
        <v>11</v>
      </c>
      <c r="BM386">
        <v>1.5532956135234088E-2</v>
      </c>
      <c r="BN386">
        <v>4</v>
      </c>
      <c r="BO386">
        <v>2.19789541558385E-2</v>
      </c>
      <c r="BP386">
        <v>30</v>
      </c>
      <c r="BQ386">
        <v>0.10175213675213682</v>
      </c>
      <c r="BR386">
        <v>16</v>
      </c>
      <c r="BS386">
        <v>-0.25</v>
      </c>
      <c r="BT386">
        <v>5.830000000000001</v>
      </c>
      <c r="BU386">
        <v>1.19</v>
      </c>
      <c r="BV386">
        <v>0.10999999999999996</v>
      </c>
      <c r="BW386">
        <v>65.22</v>
      </c>
      <c r="BX386">
        <v>26.4</v>
      </c>
      <c r="BY386">
        <v>48.17</v>
      </c>
      <c r="BZ386">
        <v>-5.01</v>
      </c>
      <c r="CA386">
        <v>-4.34</v>
      </c>
      <c r="CB386">
        <v>31</v>
      </c>
      <c r="CC386">
        <v>-7.5909999999999993</v>
      </c>
      <c r="CD386">
        <v>-4.0497999999999994</v>
      </c>
      <c r="CE386">
        <v>-21.770000000000003</v>
      </c>
      <c r="CF386">
        <v>0.96674999999999978</v>
      </c>
    </row>
    <row r="387" spans="1:84" x14ac:dyDescent="0.2">
      <c r="A387" s="19">
        <v>44129</v>
      </c>
      <c r="B387" s="13" t="s">
        <v>250</v>
      </c>
      <c r="C387" s="41" t="s">
        <v>311</v>
      </c>
      <c r="D387" s="14" t="s">
        <v>300</v>
      </c>
      <c r="E387">
        <v>12.5</v>
      </c>
      <c r="F387">
        <v>13</v>
      </c>
      <c r="G387">
        <v>17.5</v>
      </c>
      <c r="H387">
        <v>0</v>
      </c>
      <c r="I387">
        <v>3</v>
      </c>
      <c r="J387">
        <v>55</v>
      </c>
      <c r="L387" t="s">
        <v>311</v>
      </c>
      <c r="M387">
        <v>10</v>
      </c>
      <c r="N387">
        <v>2.2605999999999988</v>
      </c>
      <c r="O387">
        <v>-8.26</v>
      </c>
      <c r="P387">
        <v>-29.810000000000002</v>
      </c>
      <c r="Q387">
        <v>-0.51</v>
      </c>
      <c r="R387">
        <v>6.6410000000000009</v>
      </c>
      <c r="S387">
        <v>38.300000000000004</v>
      </c>
      <c r="T387">
        <v>0.29000000000000004</v>
      </c>
      <c r="U387">
        <v>11</v>
      </c>
      <c r="V387">
        <v>11</v>
      </c>
      <c r="W387">
        <v>-0.25</v>
      </c>
      <c r="X387">
        <v>15</v>
      </c>
      <c r="Y387">
        <v>17.5</v>
      </c>
      <c r="Z387">
        <v>24</v>
      </c>
      <c r="AA387">
        <v>-2.4331035188046791E-2</v>
      </c>
      <c r="AB387">
        <v>12</v>
      </c>
      <c r="AC387">
        <v>2.5094265580226107E-3</v>
      </c>
      <c r="AD387">
        <v>16</v>
      </c>
      <c r="AE387">
        <v>2.4769499506341664E-3</v>
      </c>
      <c r="AF387">
        <v>18</v>
      </c>
      <c r="AG387">
        <v>-0.83999999999999986</v>
      </c>
      <c r="AH387">
        <v>-5.5299999999999985</v>
      </c>
      <c r="AI387">
        <v>-0.54000000000000059</v>
      </c>
      <c r="AJ387">
        <v>0</v>
      </c>
      <c r="AK387">
        <v>-6.3099999999999907</v>
      </c>
      <c r="AL387">
        <v>34.089999999999996</v>
      </c>
      <c r="AM387">
        <v>-32.07</v>
      </c>
      <c r="AN387">
        <v>-6.9799999999999995</v>
      </c>
      <c r="AO387">
        <v>-1.35</v>
      </c>
      <c r="AP387">
        <v>3</v>
      </c>
      <c r="AQ387">
        <v>10.520599999999998</v>
      </c>
      <c r="AR387">
        <v>5.9103200000000005</v>
      </c>
      <c r="AS387">
        <v>66.16</v>
      </c>
      <c r="AT387">
        <v>30</v>
      </c>
      <c r="AU387">
        <v>0.2652000000000001</v>
      </c>
      <c r="AV387">
        <v>-0.34553125000000018</v>
      </c>
      <c r="AW387">
        <v>0.96674999999999978</v>
      </c>
      <c r="AX387" t="s">
        <v>300</v>
      </c>
      <c r="AY387">
        <v>25</v>
      </c>
      <c r="AZ387">
        <v>-3.1087499999999992</v>
      </c>
      <c r="BA387">
        <v>3.9662500000000001</v>
      </c>
      <c r="BB387">
        <v>-9.1500000000000021</v>
      </c>
      <c r="BC387">
        <v>6.2499999999999889E-2</v>
      </c>
      <c r="BD387">
        <v>-11.720000000000002</v>
      </c>
      <c r="BE387">
        <v>-45.374999999999993</v>
      </c>
      <c r="BF387">
        <v>-2.9875000000000003</v>
      </c>
      <c r="BG387">
        <v>29</v>
      </c>
      <c r="BH387">
        <v>29</v>
      </c>
      <c r="BI387">
        <v>-1.7749999999999999</v>
      </c>
      <c r="BJ387">
        <v>13</v>
      </c>
      <c r="BK387">
        <v>15</v>
      </c>
      <c r="BL387">
        <v>30</v>
      </c>
      <c r="BM387">
        <v>-6.0960677253048649E-2</v>
      </c>
      <c r="BN387">
        <v>8</v>
      </c>
      <c r="BO387">
        <v>1.3546783106408947E-2</v>
      </c>
      <c r="BP387">
        <v>15</v>
      </c>
      <c r="BQ387">
        <v>-1.3070436507936503E-2</v>
      </c>
      <c r="BR387">
        <v>7</v>
      </c>
      <c r="BS387">
        <v>1.5874999999999999</v>
      </c>
      <c r="BT387">
        <v>-3.7124999999999986</v>
      </c>
      <c r="BU387">
        <v>-3.9124999999999996</v>
      </c>
      <c r="BV387">
        <v>1.3</v>
      </c>
      <c r="BW387">
        <v>-26.650000000000006</v>
      </c>
      <c r="BX387">
        <v>-21.125</v>
      </c>
      <c r="BY387">
        <v>-2.4624999999999986</v>
      </c>
      <c r="BZ387">
        <v>-2.8250000000000002</v>
      </c>
      <c r="CA387">
        <v>-0.23750000000000004</v>
      </c>
      <c r="CB387">
        <v>28</v>
      </c>
      <c r="CC387">
        <v>-7.0749999999999993</v>
      </c>
      <c r="CD387">
        <v>-4.9488750000000001</v>
      </c>
      <c r="CE387">
        <v>-18.662500000000001</v>
      </c>
      <c r="CF387">
        <v>-1.6578125000000001</v>
      </c>
    </row>
    <row r="388" spans="1:84" x14ac:dyDescent="0.2">
      <c r="A388" s="19">
        <v>44129</v>
      </c>
      <c r="B388" s="13" t="s">
        <v>250</v>
      </c>
      <c r="C388" s="41" t="s">
        <v>297</v>
      </c>
      <c r="D388" s="14" t="s">
        <v>287</v>
      </c>
      <c r="E388">
        <v>3.6</v>
      </c>
      <c r="F388">
        <v>7.4</v>
      </c>
      <c r="G388">
        <v>9.8000000000000007</v>
      </c>
      <c r="H388">
        <v>6.2</v>
      </c>
      <c r="I388">
        <v>7.5</v>
      </c>
      <c r="J388">
        <v>48</v>
      </c>
      <c r="L388" t="s">
        <v>297</v>
      </c>
      <c r="M388">
        <v>16</v>
      </c>
      <c r="N388">
        <v>5.5399999999999491E-2</v>
      </c>
      <c r="O388">
        <v>-2.4659999999999989</v>
      </c>
      <c r="P388">
        <v>-52.25</v>
      </c>
      <c r="Q388">
        <v>2.54</v>
      </c>
      <c r="R388">
        <v>-4.761000000000001</v>
      </c>
      <c r="S388">
        <v>-16.279999999999998</v>
      </c>
      <c r="T388">
        <v>1.6199999999999999</v>
      </c>
      <c r="U388">
        <v>18</v>
      </c>
      <c r="V388">
        <v>19.5</v>
      </c>
      <c r="W388">
        <v>-3.16</v>
      </c>
      <c r="X388">
        <v>9</v>
      </c>
      <c r="Y388">
        <v>11.75</v>
      </c>
      <c r="Z388">
        <v>16</v>
      </c>
      <c r="AA388">
        <v>-2.9063460856067038E-3</v>
      </c>
      <c r="AB388">
        <v>15</v>
      </c>
      <c r="AC388">
        <v>-3.9200775257890176E-5</v>
      </c>
      <c r="AD388">
        <v>11</v>
      </c>
      <c r="AE388">
        <v>-3.4509546009546012E-2</v>
      </c>
      <c r="AF388">
        <v>5</v>
      </c>
      <c r="AG388">
        <v>2.76</v>
      </c>
      <c r="AH388">
        <v>-0.91999999999999882</v>
      </c>
      <c r="AI388">
        <v>-6.13</v>
      </c>
      <c r="AJ388">
        <v>-0.90999999999999992</v>
      </c>
      <c r="AK388">
        <v>-27.429999999999996</v>
      </c>
      <c r="AL388">
        <v>26.51</v>
      </c>
      <c r="AM388">
        <v>-59.58</v>
      </c>
      <c r="AN388">
        <v>4.26</v>
      </c>
      <c r="AO388">
        <v>1.3799999999999997</v>
      </c>
      <c r="AP388">
        <v>12</v>
      </c>
      <c r="AQ388">
        <v>2.5213999999999981</v>
      </c>
      <c r="AR388">
        <v>0.29187999999999914</v>
      </c>
      <c r="AS388">
        <v>86.09</v>
      </c>
      <c r="AT388">
        <v>21</v>
      </c>
      <c r="AU388">
        <v>-1.1176999999999999</v>
      </c>
      <c r="AV388">
        <v>0.95682187499999993</v>
      </c>
      <c r="AW388">
        <v>0.6643</v>
      </c>
      <c r="AX388" t="s">
        <v>287</v>
      </c>
      <c r="AY388">
        <v>2</v>
      </c>
      <c r="AZ388">
        <v>5.7722499999999979</v>
      </c>
      <c r="BA388">
        <v>-5.2837500000000004</v>
      </c>
      <c r="BB388">
        <v>-22.837500000000002</v>
      </c>
      <c r="BC388">
        <v>1.8000000000000003</v>
      </c>
      <c r="BD388">
        <v>6.0437499999999993</v>
      </c>
      <c r="BE388">
        <v>31.137499999999996</v>
      </c>
      <c r="BF388">
        <v>3.0125000000000002</v>
      </c>
      <c r="BG388">
        <v>2</v>
      </c>
      <c r="BH388">
        <v>2</v>
      </c>
      <c r="BI388">
        <v>-0.29999999999999982</v>
      </c>
      <c r="BJ388">
        <v>7</v>
      </c>
      <c r="BK388">
        <v>11.75</v>
      </c>
      <c r="BL388">
        <v>6</v>
      </c>
      <c r="BM388">
        <v>2.9528823051633998E-2</v>
      </c>
      <c r="BN388">
        <v>21</v>
      </c>
      <c r="BO388">
        <v>-5.9668329971730586E-3</v>
      </c>
      <c r="BP388">
        <v>3</v>
      </c>
      <c r="BQ388">
        <v>-0.10867153679653678</v>
      </c>
      <c r="BR388">
        <v>17</v>
      </c>
      <c r="BS388">
        <v>-0.35000000000000009</v>
      </c>
      <c r="BT388">
        <v>1.7124999999999986</v>
      </c>
      <c r="BU388">
        <v>1.2124999999999995</v>
      </c>
      <c r="BV388">
        <v>-0.8</v>
      </c>
      <c r="BW388">
        <v>7.0499999999999972</v>
      </c>
      <c r="BX388">
        <v>24.712500000000006</v>
      </c>
      <c r="BY388">
        <v>-19.512499999999999</v>
      </c>
      <c r="BZ388">
        <v>-2.5124999999999997</v>
      </c>
      <c r="CA388">
        <v>4.3624999999999998</v>
      </c>
      <c r="CB388">
        <v>3</v>
      </c>
      <c r="CC388">
        <v>11.055999999999997</v>
      </c>
      <c r="CD388">
        <v>5.0050749999999997</v>
      </c>
      <c r="CE388">
        <v>44.225000000000009</v>
      </c>
      <c r="CF388">
        <v>1.2493437499999998</v>
      </c>
    </row>
    <row r="389" spans="1:84" x14ac:dyDescent="0.2">
      <c r="A389" s="19">
        <v>44129</v>
      </c>
      <c r="B389" s="13" t="s">
        <v>250</v>
      </c>
      <c r="C389" s="41" t="s">
        <v>288</v>
      </c>
      <c r="D389" s="14" t="s">
        <v>278</v>
      </c>
      <c r="E389">
        <v>17.5</v>
      </c>
      <c r="F389">
        <v>9</v>
      </c>
      <c r="G389">
        <v>1.4</v>
      </c>
      <c r="H389">
        <v>6.1</v>
      </c>
      <c r="I389">
        <v>-7</v>
      </c>
      <c r="J389">
        <v>45.5</v>
      </c>
      <c r="K389" t="s">
        <v>735</v>
      </c>
      <c r="L389" t="s">
        <v>288</v>
      </c>
      <c r="M389">
        <v>6</v>
      </c>
      <c r="N389">
        <v>5.9039999999999999</v>
      </c>
      <c r="O389">
        <v>-2.4750000000000023</v>
      </c>
      <c r="P389">
        <v>-5.0000000000000018</v>
      </c>
      <c r="Q389">
        <v>-0.17000000000000004</v>
      </c>
      <c r="R389">
        <v>9.4360000000000017</v>
      </c>
      <c r="S389">
        <v>30.569999999999997</v>
      </c>
      <c r="T389">
        <v>1.7200000000000002</v>
      </c>
      <c r="U389">
        <v>25</v>
      </c>
      <c r="V389">
        <v>22.5</v>
      </c>
      <c r="W389">
        <v>0.86999999999999988</v>
      </c>
      <c r="X389">
        <v>15</v>
      </c>
      <c r="Y389">
        <v>17.5</v>
      </c>
      <c r="Z389">
        <v>7</v>
      </c>
      <c r="AA389">
        <v>4.407042096704207E-2</v>
      </c>
      <c r="AB389">
        <v>30</v>
      </c>
      <c r="AC389">
        <v>-2.2993206368968247E-2</v>
      </c>
      <c r="AD389">
        <v>9</v>
      </c>
      <c r="AE389">
        <v>-5.0192099567099559E-2</v>
      </c>
      <c r="AF389">
        <v>24</v>
      </c>
      <c r="AG389">
        <v>-1.47</v>
      </c>
      <c r="AH389">
        <v>3.4700000000000015</v>
      </c>
      <c r="AI389">
        <v>0.8899999999999999</v>
      </c>
      <c r="AJ389">
        <v>0.7</v>
      </c>
      <c r="AK389">
        <v>40.720000000000006</v>
      </c>
      <c r="AL389">
        <v>22.25</v>
      </c>
      <c r="AM389">
        <v>0.75</v>
      </c>
      <c r="AN389">
        <v>4.8</v>
      </c>
      <c r="AO389">
        <v>12.919999999999998</v>
      </c>
      <c r="AP389">
        <v>4</v>
      </c>
      <c r="AQ389">
        <v>8.3790000000000013</v>
      </c>
      <c r="AR389">
        <v>4.3055000000000021</v>
      </c>
      <c r="AS389">
        <v>21.5</v>
      </c>
      <c r="AT389">
        <v>29</v>
      </c>
      <c r="AU389">
        <v>1.4781249999999999</v>
      </c>
      <c r="AV389">
        <v>-0.35693124999999992</v>
      </c>
      <c r="AW389">
        <v>-1.0641749999999999</v>
      </c>
      <c r="AX389" t="s">
        <v>278</v>
      </c>
      <c r="AY389">
        <v>4</v>
      </c>
      <c r="AZ389">
        <v>4.7837499999999995</v>
      </c>
      <c r="BA389">
        <v>-6.6262499999999989</v>
      </c>
      <c r="BB389">
        <v>-35.362499999999997</v>
      </c>
      <c r="BC389">
        <v>-1.2500000000000067E-2</v>
      </c>
      <c r="BD389">
        <v>2.2450000000000001</v>
      </c>
      <c r="BE389">
        <v>15.499999999999998</v>
      </c>
      <c r="BF389">
        <v>0.92499999999999993</v>
      </c>
      <c r="BG389">
        <v>5</v>
      </c>
      <c r="BH389">
        <v>6</v>
      </c>
      <c r="BI389">
        <v>2.4750000000000001</v>
      </c>
      <c r="BJ389">
        <v>4</v>
      </c>
      <c r="BK389">
        <v>8</v>
      </c>
      <c r="BL389">
        <v>8</v>
      </c>
      <c r="BM389">
        <v>2.1927708873742499E-2</v>
      </c>
      <c r="BN389">
        <v>3</v>
      </c>
      <c r="BO389">
        <v>2.8276342250716714E-2</v>
      </c>
      <c r="BP389">
        <v>9</v>
      </c>
      <c r="BQ389">
        <v>-3.5595238095238096E-2</v>
      </c>
      <c r="BR389">
        <v>12</v>
      </c>
      <c r="BS389">
        <v>0.62499999999999978</v>
      </c>
      <c r="BT389">
        <v>-2.3625000000000007</v>
      </c>
      <c r="BU389">
        <v>-1.875</v>
      </c>
      <c r="BV389">
        <v>0.51249999999999996</v>
      </c>
      <c r="BW389">
        <v>-1.6375000000000028</v>
      </c>
      <c r="BX389">
        <v>22.637500000000003</v>
      </c>
      <c r="BY389">
        <v>-39.537499999999994</v>
      </c>
      <c r="BZ389">
        <v>-7.9874999999999998</v>
      </c>
      <c r="CA389">
        <v>23.25</v>
      </c>
      <c r="CB389">
        <v>2</v>
      </c>
      <c r="CC389">
        <v>11.409999999999998</v>
      </c>
      <c r="CD389">
        <v>4.7188749999999988</v>
      </c>
      <c r="CE389">
        <v>62.174999999999997</v>
      </c>
      <c r="CF389">
        <v>0.35031249999999997</v>
      </c>
    </row>
    <row r="390" spans="1:84" x14ac:dyDescent="0.2">
      <c r="A390" s="19">
        <v>44129</v>
      </c>
      <c r="B390" s="13" t="s">
        <v>250</v>
      </c>
      <c r="C390" s="41" t="s">
        <v>303</v>
      </c>
      <c r="D390" s="14" t="s">
        <v>284</v>
      </c>
      <c r="E390">
        <v>6.5</v>
      </c>
      <c r="F390">
        <v>24.7</v>
      </c>
      <c r="G390">
        <v>8.1999999999999993</v>
      </c>
      <c r="H390">
        <v>17</v>
      </c>
      <c r="I390">
        <v>4</v>
      </c>
      <c r="J390">
        <v>52.5</v>
      </c>
      <c r="L390" t="s">
        <v>303</v>
      </c>
      <c r="M390">
        <v>11</v>
      </c>
      <c r="N390">
        <v>1.2760000000000016</v>
      </c>
      <c r="O390">
        <v>-0.49500000000000044</v>
      </c>
      <c r="P390">
        <v>2.9249999999999989</v>
      </c>
      <c r="Q390">
        <v>0.52500000000000002</v>
      </c>
      <c r="R390">
        <v>2.6062499999999993</v>
      </c>
      <c r="S390">
        <v>19.0625</v>
      </c>
      <c r="T390">
        <v>0.20000000000000018</v>
      </c>
      <c r="U390">
        <v>6</v>
      </c>
      <c r="V390">
        <v>6.5</v>
      </c>
      <c r="W390">
        <v>-2.65</v>
      </c>
      <c r="X390">
        <v>21</v>
      </c>
      <c r="Y390">
        <v>19.75</v>
      </c>
      <c r="Z390">
        <v>22</v>
      </c>
      <c r="AA390">
        <v>-2.1755232689819839E-2</v>
      </c>
      <c r="AB390">
        <v>20</v>
      </c>
      <c r="AC390">
        <v>-1.9052633599658478E-3</v>
      </c>
      <c r="AD390">
        <v>27</v>
      </c>
      <c r="AE390">
        <v>8.6178404928404923E-2</v>
      </c>
      <c r="AF390">
        <v>10</v>
      </c>
      <c r="AG390">
        <v>1.2000000000000002</v>
      </c>
      <c r="AH390">
        <v>3.5750000000000028</v>
      </c>
      <c r="AI390">
        <v>3.0125000000000002</v>
      </c>
      <c r="AJ390">
        <v>-0.78749999999999998</v>
      </c>
      <c r="AK390">
        <v>43.962500000000006</v>
      </c>
      <c r="AL390">
        <v>52.712499999999999</v>
      </c>
      <c r="AM390">
        <v>7</v>
      </c>
      <c r="AN390">
        <v>-3.3</v>
      </c>
      <c r="AO390">
        <v>-12.45</v>
      </c>
      <c r="AP390">
        <v>14</v>
      </c>
      <c r="AQ390">
        <v>1.7710000000000021</v>
      </c>
      <c r="AR390">
        <v>1.0239500000000006</v>
      </c>
      <c r="AS390">
        <v>45.712499999999999</v>
      </c>
      <c r="AT390">
        <v>19</v>
      </c>
      <c r="AU390">
        <v>0.65309375000000014</v>
      </c>
      <c r="AV390">
        <v>-1.0976749999999997</v>
      </c>
      <c r="AW390">
        <v>-0.34924999999999984</v>
      </c>
      <c r="AX390" t="s">
        <v>284</v>
      </c>
      <c r="AY390">
        <v>30</v>
      </c>
      <c r="AZ390">
        <v>-5.0648</v>
      </c>
      <c r="BA390">
        <v>-5.5279999999999987</v>
      </c>
      <c r="BB390">
        <v>-48.769999999999996</v>
      </c>
      <c r="BC390">
        <v>0.77</v>
      </c>
      <c r="BD390">
        <v>-1.4859999999999998</v>
      </c>
      <c r="BE390">
        <v>-2.9300000000000033</v>
      </c>
      <c r="BF390">
        <v>1.5100000000000002</v>
      </c>
      <c r="BG390">
        <v>31</v>
      </c>
      <c r="BH390">
        <v>30</v>
      </c>
      <c r="BI390">
        <v>-2.2600000000000002</v>
      </c>
      <c r="BJ390">
        <v>5</v>
      </c>
      <c r="BK390">
        <v>8.25</v>
      </c>
      <c r="BL390">
        <v>1</v>
      </c>
      <c r="BM390">
        <v>8.7770006152495639E-2</v>
      </c>
      <c r="BN390">
        <v>2</v>
      </c>
      <c r="BO390">
        <v>3.3965587745336555E-2</v>
      </c>
      <c r="BP390">
        <v>29</v>
      </c>
      <c r="BQ390">
        <v>8.7733081074412397E-2</v>
      </c>
      <c r="BR390">
        <v>1</v>
      </c>
      <c r="BS390">
        <v>6.04</v>
      </c>
      <c r="BT390">
        <v>-3.9099999999999993</v>
      </c>
      <c r="BU390">
        <v>-6.4099999999999993</v>
      </c>
      <c r="BV390">
        <v>0.7</v>
      </c>
      <c r="BW390">
        <v>-51.030000000000008</v>
      </c>
      <c r="BX390">
        <v>-3.369999999999993</v>
      </c>
      <c r="BY390">
        <v>-43.910000000000004</v>
      </c>
      <c r="BZ390">
        <v>0.15</v>
      </c>
      <c r="CA390">
        <v>-3.9</v>
      </c>
      <c r="CB390">
        <v>15</v>
      </c>
      <c r="CC390">
        <v>0.46319999999999872</v>
      </c>
      <c r="CD390">
        <v>1.4538399999999994</v>
      </c>
      <c r="CE390">
        <v>40.540000000000013</v>
      </c>
      <c r="CF390">
        <v>-1.8460999999999999</v>
      </c>
    </row>
    <row r="391" spans="1:84" x14ac:dyDescent="0.2">
      <c r="A391" s="19">
        <v>44129</v>
      </c>
      <c r="B391" s="13" t="s">
        <v>250</v>
      </c>
      <c r="C391" s="41" t="s">
        <v>287</v>
      </c>
      <c r="D391" s="14" t="s">
        <v>297</v>
      </c>
      <c r="E391">
        <v>25.5</v>
      </c>
      <c r="F391">
        <v>16.399999999999999</v>
      </c>
      <c r="G391">
        <v>1.4</v>
      </c>
      <c r="H391">
        <v>5.3</v>
      </c>
      <c r="I391">
        <v>-7.5</v>
      </c>
      <c r="J391">
        <v>48</v>
      </c>
      <c r="L391" t="s">
        <v>287</v>
      </c>
      <c r="M391">
        <v>5</v>
      </c>
      <c r="N391">
        <v>6.0275000000000007</v>
      </c>
      <c r="O391">
        <v>1.2900000000000007</v>
      </c>
      <c r="P391">
        <v>13.925000000000001</v>
      </c>
      <c r="Q391">
        <v>1.0750000000000002</v>
      </c>
      <c r="R391">
        <v>9.2737499999999979</v>
      </c>
      <c r="S391">
        <v>46.237499999999997</v>
      </c>
      <c r="T391">
        <v>1.1124999999999998</v>
      </c>
      <c r="U391">
        <v>23</v>
      </c>
      <c r="V391">
        <v>22</v>
      </c>
      <c r="W391">
        <v>-0.35000000000000009</v>
      </c>
      <c r="X391">
        <v>12</v>
      </c>
      <c r="Y391">
        <v>14.5</v>
      </c>
      <c r="Z391">
        <v>4</v>
      </c>
      <c r="AA391">
        <v>7.3313165913744163E-2</v>
      </c>
      <c r="AB391">
        <v>13</v>
      </c>
      <c r="AC391">
        <v>1.536372415681754E-3</v>
      </c>
      <c r="AD391">
        <v>28</v>
      </c>
      <c r="AE391">
        <v>0.1142021377315495</v>
      </c>
      <c r="AF391">
        <v>13</v>
      </c>
      <c r="AG391">
        <v>-0.29999999999999982</v>
      </c>
      <c r="AH391">
        <v>4.3000000000000007</v>
      </c>
      <c r="AI391">
        <v>-0.58749999999999947</v>
      </c>
      <c r="AJ391">
        <v>1.0499999999999998</v>
      </c>
      <c r="AK391">
        <v>66.600000000000009</v>
      </c>
      <c r="AL391">
        <v>60.937499999999993</v>
      </c>
      <c r="AM391">
        <v>9.1500000000000021</v>
      </c>
      <c r="AN391">
        <v>0.11249999999999982</v>
      </c>
      <c r="AO391">
        <v>-3.5999999999999996</v>
      </c>
      <c r="AP391">
        <v>9</v>
      </c>
      <c r="AQ391">
        <v>4.7374999999999998</v>
      </c>
      <c r="AR391">
        <v>2.415249999999999</v>
      </c>
      <c r="AS391">
        <v>51.787499999999994</v>
      </c>
      <c r="AT391">
        <v>24</v>
      </c>
      <c r="AU391">
        <v>1.8660937500000003</v>
      </c>
      <c r="AV391">
        <v>0.95682187499999993</v>
      </c>
      <c r="AW391">
        <v>1.2493437499999998</v>
      </c>
      <c r="AX391" t="s">
        <v>297</v>
      </c>
      <c r="AY391">
        <v>14</v>
      </c>
      <c r="AZ391">
        <v>-4.6599999999999399E-2</v>
      </c>
      <c r="BA391">
        <v>4.0820000000000007</v>
      </c>
      <c r="BB391">
        <v>29.870000000000005</v>
      </c>
      <c r="BC391">
        <v>-0.95999999999999985</v>
      </c>
      <c r="BD391">
        <v>-0.54100000000000104</v>
      </c>
      <c r="BE391">
        <v>-10.869999999999997</v>
      </c>
      <c r="BF391">
        <v>-2.63</v>
      </c>
      <c r="BG391">
        <v>9</v>
      </c>
      <c r="BH391">
        <v>10</v>
      </c>
      <c r="BI391">
        <v>2.76</v>
      </c>
      <c r="BJ391">
        <v>30</v>
      </c>
      <c r="BK391">
        <v>26</v>
      </c>
      <c r="BL391">
        <v>22</v>
      </c>
      <c r="BM391">
        <v>-1.6915585433024051E-2</v>
      </c>
      <c r="BN391">
        <v>32</v>
      </c>
      <c r="BO391">
        <v>-4.1189659275339074E-2</v>
      </c>
      <c r="BP391">
        <v>21</v>
      </c>
      <c r="BQ391">
        <v>1.6022338772338763E-2</v>
      </c>
      <c r="BR391">
        <v>29</v>
      </c>
      <c r="BS391">
        <v>-3.16</v>
      </c>
      <c r="BT391">
        <v>-0.90000000000000147</v>
      </c>
      <c r="BU391">
        <v>3.66</v>
      </c>
      <c r="BV391">
        <v>0</v>
      </c>
      <c r="BW391">
        <v>23.2</v>
      </c>
      <c r="BX391">
        <v>-19.400000000000013</v>
      </c>
      <c r="BY391">
        <v>27.840000000000003</v>
      </c>
      <c r="BZ391">
        <v>9.3099999999999987</v>
      </c>
      <c r="CA391">
        <v>5.4500000000000011</v>
      </c>
      <c r="CB391">
        <v>23</v>
      </c>
      <c r="CC391">
        <v>-4.1286000000000005</v>
      </c>
      <c r="CD391">
        <v>-2.1585200000000002</v>
      </c>
      <c r="CE391">
        <v>-47.240000000000016</v>
      </c>
      <c r="CF391">
        <v>0.6643</v>
      </c>
    </row>
    <row r="392" spans="1:84" x14ac:dyDescent="0.2">
      <c r="A392" s="19">
        <v>44129</v>
      </c>
      <c r="B392" s="13" t="s">
        <v>250</v>
      </c>
      <c r="C392" s="41" t="s">
        <v>304</v>
      </c>
      <c r="D392" s="14" t="s">
        <v>265</v>
      </c>
      <c r="E392">
        <v>6.5</v>
      </c>
      <c r="F392">
        <v>11.9</v>
      </c>
      <c r="G392">
        <v>15.2</v>
      </c>
      <c r="H392">
        <v>12.8</v>
      </c>
      <c r="I392">
        <v>-6</v>
      </c>
      <c r="J392">
        <v>44.5</v>
      </c>
      <c r="L392" t="s">
        <v>304</v>
      </c>
      <c r="M392">
        <v>19</v>
      </c>
      <c r="N392">
        <v>-0.9088000000000005</v>
      </c>
      <c r="O392">
        <v>0.39999999999999969</v>
      </c>
      <c r="P392">
        <v>20.68</v>
      </c>
      <c r="Q392">
        <v>-0.6</v>
      </c>
      <c r="R392">
        <v>6.9864000000000015</v>
      </c>
      <c r="S392">
        <v>24.44</v>
      </c>
      <c r="T392">
        <v>1.3200000000000003</v>
      </c>
      <c r="U392">
        <v>31</v>
      </c>
      <c r="V392">
        <v>31</v>
      </c>
      <c r="W392">
        <v>-0.6399999999999999</v>
      </c>
      <c r="X392">
        <v>24</v>
      </c>
      <c r="Y392">
        <v>20.75</v>
      </c>
      <c r="Z392">
        <v>31</v>
      </c>
      <c r="AA392">
        <v>-8.3052055533158378E-2</v>
      </c>
      <c r="AB392">
        <v>29</v>
      </c>
      <c r="AC392">
        <v>-2.1855348402633933E-2</v>
      </c>
      <c r="AD392">
        <v>1</v>
      </c>
      <c r="AE392">
        <v>-0.18677777777777779</v>
      </c>
      <c r="AF392">
        <v>22</v>
      </c>
      <c r="AG392">
        <v>-1.08</v>
      </c>
      <c r="AH392">
        <v>-0.99999999999999856</v>
      </c>
      <c r="AI392">
        <v>0.19999999999999929</v>
      </c>
      <c r="AJ392">
        <v>-0.83999999999999986</v>
      </c>
      <c r="AK392">
        <v>20.119999999999994</v>
      </c>
      <c r="AL392">
        <v>12.279999999999996</v>
      </c>
      <c r="AM392">
        <v>21.52</v>
      </c>
      <c r="AN392">
        <v>5.1199999999999992</v>
      </c>
      <c r="AO392">
        <v>-18.8</v>
      </c>
      <c r="AP392">
        <v>17</v>
      </c>
      <c r="AQ392">
        <v>-1.3088000000000002</v>
      </c>
      <c r="AR392">
        <v>1.0155200000000004</v>
      </c>
      <c r="AS392">
        <v>-9.2400000000000038</v>
      </c>
      <c r="AT392">
        <v>16</v>
      </c>
      <c r="AU392">
        <v>0.35970000000000008</v>
      </c>
      <c r="AV392">
        <v>-1.3545</v>
      </c>
      <c r="AW392">
        <v>-0.5353</v>
      </c>
      <c r="AX392" t="s">
        <v>265</v>
      </c>
      <c r="AY392">
        <v>31</v>
      </c>
      <c r="AZ392">
        <v>-5.1056000000000008</v>
      </c>
      <c r="BA392">
        <v>-3.1080000000000001</v>
      </c>
      <c r="BB392">
        <v>1.2799999999999985</v>
      </c>
      <c r="BC392">
        <v>-0.87999999999999989</v>
      </c>
      <c r="BD392">
        <v>-8.5760000000000005</v>
      </c>
      <c r="BE392">
        <v>-19.639999999999997</v>
      </c>
      <c r="BF392">
        <v>-0.64</v>
      </c>
      <c r="BG392">
        <v>11</v>
      </c>
      <c r="BH392">
        <v>12</v>
      </c>
      <c r="BI392">
        <v>-2.2799999999999998</v>
      </c>
      <c r="BJ392">
        <v>3</v>
      </c>
      <c r="BK392">
        <v>6.25</v>
      </c>
      <c r="BL392">
        <v>7</v>
      </c>
      <c r="BM392">
        <v>2.5041536432986167E-2</v>
      </c>
      <c r="BN392">
        <v>5</v>
      </c>
      <c r="BO392">
        <v>2.0722675154759319E-2</v>
      </c>
      <c r="BP392">
        <v>7</v>
      </c>
      <c r="BQ392">
        <v>-6.7170274170274172E-2</v>
      </c>
      <c r="BR392">
        <v>6</v>
      </c>
      <c r="BS392">
        <v>1.8800000000000001</v>
      </c>
      <c r="BT392">
        <v>0.7600000000000009</v>
      </c>
      <c r="BU392">
        <v>-4.3199999999999994</v>
      </c>
      <c r="BV392">
        <v>-1.8399999999999999</v>
      </c>
      <c r="BW392">
        <v>-25.8</v>
      </c>
      <c r="BX392">
        <v>-24.32</v>
      </c>
      <c r="BY392">
        <v>-0.64000000000000057</v>
      </c>
      <c r="BZ392">
        <v>-1.4399999999999995</v>
      </c>
      <c r="CA392">
        <v>0.6</v>
      </c>
      <c r="CB392">
        <v>21</v>
      </c>
      <c r="CC392">
        <v>-1.9976000000000007</v>
      </c>
      <c r="CD392">
        <v>-1.18232</v>
      </c>
      <c r="CE392">
        <v>-23.68</v>
      </c>
      <c r="CF392">
        <v>-2.1737000000000002</v>
      </c>
    </row>
    <row r="393" spans="1:84" x14ac:dyDescent="0.2">
      <c r="A393" s="19">
        <v>44129</v>
      </c>
      <c r="B393" s="13" t="s">
        <v>250</v>
      </c>
      <c r="C393" s="41" t="s">
        <v>302</v>
      </c>
      <c r="D393" s="14" t="s">
        <v>256</v>
      </c>
      <c r="E393">
        <v>2.2999999999999998</v>
      </c>
      <c r="F393">
        <v>10.199999999999999</v>
      </c>
      <c r="G393">
        <v>2.6</v>
      </c>
      <c r="H393">
        <v>1.8</v>
      </c>
      <c r="I393">
        <v>-3</v>
      </c>
      <c r="J393">
        <v>44</v>
      </c>
      <c r="K393" t="s">
        <v>735</v>
      </c>
      <c r="L393" t="s">
        <v>302</v>
      </c>
      <c r="M393">
        <v>23</v>
      </c>
      <c r="N393">
        <v>-3.1302500000000002</v>
      </c>
      <c r="O393">
        <v>2.663749999999999</v>
      </c>
      <c r="P393">
        <v>4.625</v>
      </c>
      <c r="Q393">
        <v>1.6749999999999998</v>
      </c>
      <c r="R393">
        <v>-13.528750000000002</v>
      </c>
      <c r="S393">
        <v>-34.637499999999996</v>
      </c>
      <c r="T393">
        <v>-1.1999999999999997</v>
      </c>
      <c r="U393">
        <v>26</v>
      </c>
      <c r="V393">
        <v>24</v>
      </c>
      <c r="W393">
        <v>1.5125</v>
      </c>
      <c r="X393">
        <v>10</v>
      </c>
      <c r="Y393">
        <v>13.75</v>
      </c>
      <c r="Z393">
        <v>21</v>
      </c>
      <c r="AA393">
        <v>-2.0554430189545926E-2</v>
      </c>
      <c r="AB393">
        <v>6</v>
      </c>
      <c r="AC393">
        <v>1.4614498673567761E-2</v>
      </c>
      <c r="AD393">
        <v>26</v>
      </c>
      <c r="AE393">
        <v>4.2383658008658009E-2</v>
      </c>
      <c r="AF393">
        <v>2</v>
      </c>
      <c r="AG393">
        <v>4.3</v>
      </c>
      <c r="AH393">
        <v>0.22500000000000142</v>
      </c>
      <c r="AI393">
        <v>-5.3125</v>
      </c>
      <c r="AJ393">
        <v>1.5874999999999999</v>
      </c>
      <c r="AK393">
        <v>-16.362499999999997</v>
      </c>
      <c r="AL393">
        <v>-48.475000000000001</v>
      </c>
      <c r="AM393">
        <v>19.412500000000001</v>
      </c>
      <c r="AN393">
        <v>1.1375</v>
      </c>
      <c r="AO393">
        <v>11.5625</v>
      </c>
      <c r="AP393">
        <v>25</v>
      </c>
      <c r="AQ393">
        <v>-5.7939999999999987</v>
      </c>
      <c r="AR393">
        <v>-4.6636749999999996</v>
      </c>
      <c r="AS393">
        <v>-67.887500000000003</v>
      </c>
      <c r="AT393">
        <v>8</v>
      </c>
      <c r="AU393">
        <v>-1.9697187500000002</v>
      </c>
      <c r="AV393">
        <v>-1.2971218749999998</v>
      </c>
      <c r="AW393">
        <v>-2.0018437499999999</v>
      </c>
      <c r="AX393" t="s">
        <v>256</v>
      </c>
      <c r="AY393">
        <v>15</v>
      </c>
      <c r="AZ393">
        <v>-0.27520000000000022</v>
      </c>
      <c r="BA393">
        <v>-4.2919999999999998</v>
      </c>
      <c r="BB393">
        <v>-17.52</v>
      </c>
      <c r="BC393">
        <v>-0.47999999999999982</v>
      </c>
      <c r="BD393">
        <v>-2.5719999999999992</v>
      </c>
      <c r="BE393">
        <v>-5.5600000000000032</v>
      </c>
      <c r="BF393">
        <v>-1.2799999999999998</v>
      </c>
      <c r="BG393">
        <v>8</v>
      </c>
      <c r="BH393">
        <v>7.5</v>
      </c>
      <c r="BI393">
        <v>-0.11999999999999993</v>
      </c>
      <c r="BJ393">
        <v>21</v>
      </c>
      <c r="BK393">
        <v>19.25</v>
      </c>
      <c r="BL393">
        <v>14</v>
      </c>
      <c r="BM393">
        <v>9.0727545423678006E-3</v>
      </c>
      <c r="BN393">
        <v>24</v>
      </c>
      <c r="BO393">
        <v>-1.1631407178454491E-2</v>
      </c>
      <c r="BP393">
        <v>14</v>
      </c>
      <c r="BQ393">
        <v>-1.5256854256854292E-2</v>
      </c>
      <c r="BR393">
        <v>25</v>
      </c>
      <c r="BS393">
        <v>-1.8</v>
      </c>
      <c r="BT393">
        <v>-5.0400000000000009</v>
      </c>
      <c r="BU393">
        <v>-1.5099999999999993</v>
      </c>
      <c r="BV393">
        <v>0.27999999999999997</v>
      </c>
      <c r="BW393">
        <v>-33.879999999999995</v>
      </c>
      <c r="BX393">
        <v>-8.8000000000000114</v>
      </c>
      <c r="BY393">
        <v>-22.279999999999998</v>
      </c>
      <c r="BZ393">
        <v>-2.5199999999999996</v>
      </c>
      <c r="CA393">
        <v>-0.27999999999999969</v>
      </c>
      <c r="CB393">
        <v>8</v>
      </c>
      <c r="CC393">
        <v>4.0167999999999999</v>
      </c>
      <c r="CD393">
        <v>1.57656</v>
      </c>
      <c r="CE393">
        <v>13.479999999999986</v>
      </c>
      <c r="CF393">
        <v>-0.59239999999999982</v>
      </c>
    </row>
    <row r="394" spans="1:84" x14ac:dyDescent="0.2">
      <c r="A394" s="19">
        <v>44129</v>
      </c>
      <c r="B394" s="13" t="s">
        <v>250</v>
      </c>
      <c r="C394" s="41" t="s">
        <v>307</v>
      </c>
      <c r="D394" s="14" t="s">
        <v>301</v>
      </c>
      <c r="E394">
        <v>9.4</v>
      </c>
      <c r="F394">
        <v>15.5</v>
      </c>
      <c r="G394">
        <v>14.6</v>
      </c>
      <c r="H394">
        <v>12.2</v>
      </c>
      <c r="I394">
        <v>-7</v>
      </c>
      <c r="J394">
        <v>49.5</v>
      </c>
      <c r="K394" t="s">
        <v>735</v>
      </c>
      <c r="L394" t="s">
        <v>307</v>
      </c>
      <c r="M394">
        <v>12</v>
      </c>
      <c r="N394">
        <v>0.99749999999999783</v>
      </c>
      <c r="O394">
        <v>11.549999999999997</v>
      </c>
      <c r="P394">
        <v>13.75</v>
      </c>
      <c r="Q394">
        <v>2.375</v>
      </c>
      <c r="R394">
        <v>-1.5375000000000005</v>
      </c>
      <c r="S394">
        <v>-20.75</v>
      </c>
      <c r="T394">
        <v>-0.875</v>
      </c>
      <c r="U394">
        <v>14</v>
      </c>
      <c r="V394">
        <v>14.5</v>
      </c>
      <c r="W394">
        <v>-3.1875</v>
      </c>
      <c r="X394">
        <v>27</v>
      </c>
      <c r="Y394">
        <v>21.75</v>
      </c>
      <c r="Z394">
        <v>15</v>
      </c>
      <c r="AA394">
        <v>-1.4867682652031852E-3</v>
      </c>
      <c r="AB394">
        <v>17</v>
      </c>
      <c r="AC394">
        <v>-6.2127603354593559E-4</v>
      </c>
      <c r="AD394">
        <v>32</v>
      </c>
      <c r="AE394">
        <v>0.22931261446886453</v>
      </c>
      <c r="AF394">
        <v>23</v>
      </c>
      <c r="AG394">
        <v>-1.25</v>
      </c>
      <c r="AH394">
        <v>0.6875</v>
      </c>
      <c r="AI394">
        <v>2.625</v>
      </c>
      <c r="AJ394">
        <v>-1.3125</v>
      </c>
      <c r="AK394">
        <v>24.875</v>
      </c>
      <c r="AL394">
        <v>23.0625</v>
      </c>
      <c r="AM394">
        <v>6.375</v>
      </c>
      <c r="AN394">
        <v>0.875</v>
      </c>
      <c r="AO394">
        <v>-5.4375</v>
      </c>
      <c r="AP394">
        <v>29</v>
      </c>
      <c r="AQ394">
        <v>-10.552499999999998</v>
      </c>
      <c r="AR394">
        <v>-5.8829999999999991</v>
      </c>
      <c r="AS394">
        <v>16.6875</v>
      </c>
      <c r="AT394">
        <v>4</v>
      </c>
      <c r="AU394">
        <v>1.5403124999999995</v>
      </c>
      <c r="AV394">
        <v>-0.40395625000000002</v>
      </c>
      <c r="AW394">
        <v>0.42406250000000006</v>
      </c>
      <c r="AX394" t="s">
        <v>301</v>
      </c>
      <c r="AY394">
        <v>32</v>
      </c>
      <c r="AZ394">
        <v>-6.1417999999999999</v>
      </c>
      <c r="BA394">
        <v>6.2430000000000003</v>
      </c>
      <c r="BB394">
        <v>6.02</v>
      </c>
      <c r="BC394">
        <v>1.3800000000000001</v>
      </c>
      <c r="BD394">
        <v>-9.6370000000000005</v>
      </c>
      <c r="BE394">
        <v>-34.29</v>
      </c>
      <c r="BF394">
        <v>0.63999999999999946</v>
      </c>
      <c r="BG394">
        <v>21</v>
      </c>
      <c r="BH394">
        <v>20</v>
      </c>
      <c r="BI394">
        <v>-0.65999999999999992</v>
      </c>
      <c r="BJ394">
        <v>18</v>
      </c>
      <c r="BK394">
        <v>17.5</v>
      </c>
      <c r="BL394">
        <v>13</v>
      </c>
      <c r="BM394">
        <v>9.2857200416039502E-3</v>
      </c>
      <c r="BN394">
        <v>28</v>
      </c>
      <c r="BO394">
        <v>-2.0876834133487846E-2</v>
      </c>
      <c r="BP394">
        <v>19</v>
      </c>
      <c r="BQ394">
        <v>1.2726889123947949E-2</v>
      </c>
      <c r="BR394">
        <v>10</v>
      </c>
      <c r="BS394">
        <v>0.79</v>
      </c>
      <c r="BT394">
        <v>-2.0399999999999978</v>
      </c>
      <c r="BU394">
        <v>-3.9499999999999993</v>
      </c>
      <c r="BV394">
        <v>-0.71</v>
      </c>
      <c r="BW394">
        <v>-42.400000000000013</v>
      </c>
      <c r="BX394">
        <v>-44.87</v>
      </c>
      <c r="BY394">
        <v>3.7700000000000018</v>
      </c>
      <c r="BZ394">
        <v>-2.95</v>
      </c>
      <c r="CA394">
        <v>1.6500000000000004</v>
      </c>
      <c r="CB394">
        <v>32</v>
      </c>
      <c r="CC394">
        <v>-12.3848</v>
      </c>
      <c r="CD394">
        <v>-6.2772600000000001</v>
      </c>
      <c r="CE394">
        <v>-48.64</v>
      </c>
      <c r="CF394">
        <v>-1.231975</v>
      </c>
    </row>
    <row r="395" spans="1:84" x14ac:dyDescent="0.2">
      <c r="A395" s="19">
        <v>44129</v>
      </c>
      <c r="B395" s="13" t="s">
        <v>250</v>
      </c>
      <c r="C395" s="41" t="s">
        <v>296</v>
      </c>
      <c r="D395" s="14" t="s">
        <v>294</v>
      </c>
      <c r="E395">
        <v>4.3</v>
      </c>
      <c r="F395">
        <v>17.899999999999999</v>
      </c>
      <c r="G395">
        <v>10.9</v>
      </c>
      <c r="H395">
        <v>10.9</v>
      </c>
      <c r="I395">
        <v>5</v>
      </c>
      <c r="J395">
        <v>44.5</v>
      </c>
      <c r="L395" t="s">
        <v>296</v>
      </c>
      <c r="M395">
        <v>31</v>
      </c>
      <c r="N395">
        <v>-7.4927999999999999</v>
      </c>
      <c r="O395">
        <v>-5.5159999999999991</v>
      </c>
      <c r="P395">
        <v>-32.680000000000007</v>
      </c>
      <c r="Q395">
        <v>-0.24</v>
      </c>
      <c r="R395">
        <v>-10.799199999999999</v>
      </c>
      <c r="S395">
        <v>-31.680000000000003</v>
      </c>
      <c r="T395">
        <v>-0.76</v>
      </c>
      <c r="U395">
        <v>4</v>
      </c>
      <c r="V395">
        <v>6</v>
      </c>
      <c r="W395">
        <v>0.24000000000000005</v>
      </c>
      <c r="X395">
        <v>1</v>
      </c>
      <c r="Y395">
        <v>6</v>
      </c>
      <c r="Z395">
        <v>2</v>
      </c>
      <c r="AA395">
        <v>9.8796755448153417E-2</v>
      </c>
      <c r="AB395">
        <v>9</v>
      </c>
      <c r="AC395">
        <v>1.0748725366387111E-2</v>
      </c>
      <c r="AD395">
        <v>12</v>
      </c>
      <c r="AE395">
        <v>-1.5078144078144073E-2</v>
      </c>
      <c r="AF395">
        <v>1</v>
      </c>
      <c r="AG395">
        <v>5.12</v>
      </c>
      <c r="AH395">
        <v>-5.6400000000000023</v>
      </c>
      <c r="AI395">
        <v>-10.44</v>
      </c>
      <c r="AJ395">
        <v>1.8800000000000001</v>
      </c>
      <c r="AK395">
        <v>-60.000000000000014</v>
      </c>
      <c r="AL395">
        <v>-34.32</v>
      </c>
      <c r="AM395">
        <v>-37.28</v>
      </c>
      <c r="AN395">
        <v>-1.5599999999999998</v>
      </c>
      <c r="AO395">
        <v>13.16</v>
      </c>
      <c r="AP395">
        <v>18</v>
      </c>
      <c r="AQ395">
        <v>-1.976800000000001</v>
      </c>
      <c r="AR395">
        <v>-0.90040000000000076</v>
      </c>
      <c r="AS395">
        <v>2.9600000000000009</v>
      </c>
      <c r="AT395">
        <v>15</v>
      </c>
      <c r="AU395">
        <v>-2.7959999999999998</v>
      </c>
      <c r="AV395">
        <v>0.21796249999999995</v>
      </c>
      <c r="AW395">
        <v>-1.0523000000000002</v>
      </c>
      <c r="AX395" t="s">
        <v>294</v>
      </c>
      <c r="AY395">
        <v>5</v>
      </c>
      <c r="AZ395">
        <v>4.6047999999999991</v>
      </c>
      <c r="BA395">
        <v>-2.8639999999999999</v>
      </c>
      <c r="BB395">
        <v>-19.299999999999997</v>
      </c>
      <c r="BC395">
        <v>0.12000000000000005</v>
      </c>
      <c r="BD395">
        <v>9.1950000000000021</v>
      </c>
      <c r="BE395">
        <v>8.620000000000001</v>
      </c>
      <c r="BF395">
        <v>0.14000000000000024</v>
      </c>
      <c r="BG395">
        <v>13</v>
      </c>
      <c r="BH395">
        <v>14.5</v>
      </c>
      <c r="BI395">
        <v>-0.97999999999999987</v>
      </c>
      <c r="BJ395">
        <v>9</v>
      </c>
      <c r="BK395">
        <v>12.75</v>
      </c>
      <c r="BL395">
        <v>2</v>
      </c>
      <c r="BM395">
        <v>8.5754308694401565E-2</v>
      </c>
      <c r="BN395">
        <v>7</v>
      </c>
      <c r="BO395">
        <v>1.6504972684694051E-2</v>
      </c>
      <c r="BP395">
        <v>31</v>
      </c>
      <c r="BQ395">
        <v>0.13786324786324783</v>
      </c>
      <c r="BR395">
        <v>11</v>
      </c>
      <c r="BS395">
        <v>0.73999999999999977</v>
      </c>
      <c r="BT395">
        <v>2.1899999999999977</v>
      </c>
      <c r="BU395">
        <v>3.71</v>
      </c>
      <c r="BV395">
        <v>-1.29</v>
      </c>
      <c r="BW395">
        <v>24.46</v>
      </c>
      <c r="BX395">
        <v>24.769999999999992</v>
      </c>
      <c r="BY395">
        <v>-25.870000000000005</v>
      </c>
      <c r="BZ395">
        <v>16.669999999999998</v>
      </c>
      <c r="CA395">
        <v>8.89</v>
      </c>
      <c r="CB395">
        <v>5</v>
      </c>
      <c r="CC395">
        <v>7.468799999999999</v>
      </c>
      <c r="CD395">
        <v>4.1919599999999999</v>
      </c>
      <c r="CE395">
        <v>50.64</v>
      </c>
      <c r="CF395">
        <v>1.4882250000000001</v>
      </c>
    </row>
    <row r="396" spans="1:84" x14ac:dyDescent="0.2">
      <c r="A396" s="19">
        <v>44129</v>
      </c>
      <c r="B396" s="13" t="s">
        <v>250</v>
      </c>
      <c r="C396" s="41" t="s">
        <v>298</v>
      </c>
      <c r="D396" s="14" t="s">
        <v>276</v>
      </c>
      <c r="E396">
        <v>4.7</v>
      </c>
      <c r="F396">
        <v>7.5</v>
      </c>
      <c r="G396">
        <v>8.1999999999999993</v>
      </c>
      <c r="H396">
        <v>0</v>
      </c>
      <c r="I396">
        <v>9</v>
      </c>
      <c r="J396">
        <v>47</v>
      </c>
      <c r="L396" t="s">
        <v>298</v>
      </c>
      <c r="M396">
        <v>27</v>
      </c>
      <c r="N396">
        <v>-4.4635999999999987</v>
      </c>
      <c r="O396">
        <v>-6.1050000000000004</v>
      </c>
      <c r="P396">
        <v>-8.9499999999999993</v>
      </c>
      <c r="Q396">
        <v>-1.01</v>
      </c>
      <c r="R396">
        <v>-4.4117999999999995</v>
      </c>
      <c r="S396">
        <v>-27.03</v>
      </c>
      <c r="T396">
        <v>1.2400000000000004</v>
      </c>
      <c r="U396">
        <v>16</v>
      </c>
      <c r="V396">
        <v>18.5</v>
      </c>
      <c r="W396">
        <v>-1.4600000000000002</v>
      </c>
      <c r="X396">
        <v>5</v>
      </c>
      <c r="Y396">
        <v>10</v>
      </c>
      <c r="Z396">
        <v>3</v>
      </c>
      <c r="AA396">
        <v>9.2547016034524268E-2</v>
      </c>
      <c r="AB396">
        <v>14</v>
      </c>
      <c r="AC396">
        <v>4.1669825547457906E-4</v>
      </c>
      <c r="AD396">
        <v>20</v>
      </c>
      <c r="AE396">
        <v>1.2842712842712855E-2</v>
      </c>
      <c r="AF396">
        <v>3</v>
      </c>
      <c r="AG396">
        <v>3.63</v>
      </c>
      <c r="AH396">
        <v>4.5699999999999985</v>
      </c>
      <c r="AI396">
        <v>-8.4299999999999979</v>
      </c>
      <c r="AJ396">
        <v>0.21000000000000005</v>
      </c>
      <c r="AK396">
        <v>-35.1</v>
      </c>
      <c r="AL396">
        <v>-48.79</v>
      </c>
      <c r="AM396">
        <v>3.7500000000000013</v>
      </c>
      <c r="AN396">
        <v>2.7199999999999998</v>
      </c>
      <c r="AO396">
        <v>7.2200000000000006</v>
      </c>
      <c r="AP396">
        <v>15</v>
      </c>
      <c r="AQ396">
        <v>1.641400000000002</v>
      </c>
      <c r="AR396">
        <v>1.2774200000000004</v>
      </c>
      <c r="AS396">
        <v>-52.54</v>
      </c>
      <c r="AT396">
        <v>18</v>
      </c>
      <c r="AU396">
        <v>-1.9975499999999995</v>
      </c>
      <c r="AV396">
        <v>0.35889999999999989</v>
      </c>
      <c r="AW396">
        <v>0.4472000000000001</v>
      </c>
      <c r="AX396" t="s">
        <v>276</v>
      </c>
      <c r="AY396">
        <v>16</v>
      </c>
      <c r="AZ396">
        <v>-0.33020000000000066</v>
      </c>
      <c r="BA396">
        <v>0.77699999999999891</v>
      </c>
      <c r="BB396">
        <v>3.5200000000000005</v>
      </c>
      <c r="BC396">
        <v>-2.9999999999999985E-2</v>
      </c>
      <c r="BD396">
        <v>2.718</v>
      </c>
      <c r="BE396">
        <v>6.4399999999999995</v>
      </c>
      <c r="BF396">
        <v>2.1200000000000006</v>
      </c>
      <c r="BG396">
        <v>23</v>
      </c>
      <c r="BH396">
        <v>22.5</v>
      </c>
      <c r="BI396">
        <v>-2.4300000000000002</v>
      </c>
      <c r="BJ396">
        <v>23</v>
      </c>
      <c r="BK396">
        <v>20</v>
      </c>
      <c r="BL396">
        <v>19</v>
      </c>
      <c r="BM396">
        <v>-1.2175516842715506E-2</v>
      </c>
      <c r="BN396">
        <v>14</v>
      </c>
      <c r="BO396">
        <v>-9.1437165228425436E-4</v>
      </c>
      <c r="BP396">
        <v>27</v>
      </c>
      <c r="BQ396">
        <v>7.208658008658006E-2</v>
      </c>
      <c r="BR396">
        <v>20</v>
      </c>
      <c r="BS396">
        <v>-0.95000000000000018</v>
      </c>
      <c r="BT396">
        <v>0.91999999999999882</v>
      </c>
      <c r="BU396">
        <v>0.35</v>
      </c>
      <c r="BV396">
        <v>-0.27999999999999997</v>
      </c>
      <c r="BW396">
        <v>10.010000000000002</v>
      </c>
      <c r="BX396">
        <v>-5.6400000000000095</v>
      </c>
      <c r="BY396">
        <v>9.7800000000000011</v>
      </c>
      <c r="BZ396">
        <v>0.15999999999999998</v>
      </c>
      <c r="CA396">
        <v>5.7100000000000009</v>
      </c>
      <c r="CB396">
        <v>18</v>
      </c>
      <c r="CC396">
        <v>-1.1071999999999995</v>
      </c>
      <c r="CD396">
        <v>8.9060000000000361E-2</v>
      </c>
      <c r="CE396">
        <v>-15.420000000000011</v>
      </c>
      <c r="CF396">
        <v>0.27059999999999973</v>
      </c>
    </row>
    <row r="397" spans="1:84" x14ac:dyDescent="0.2">
      <c r="A397" s="19">
        <v>44129</v>
      </c>
      <c r="B397" s="13" t="s">
        <v>250</v>
      </c>
      <c r="C397" s="41" t="s">
        <v>294</v>
      </c>
      <c r="D397" s="14" t="s">
        <v>296</v>
      </c>
      <c r="E397">
        <v>12.3</v>
      </c>
      <c r="F397">
        <v>15.2</v>
      </c>
      <c r="G397">
        <v>7.6</v>
      </c>
      <c r="H397">
        <v>14.5</v>
      </c>
      <c r="I397">
        <v>-5</v>
      </c>
      <c r="J397">
        <v>44.5</v>
      </c>
      <c r="L397" t="s">
        <v>294</v>
      </c>
      <c r="M397">
        <v>9</v>
      </c>
      <c r="N397">
        <v>2.9288000000000012</v>
      </c>
      <c r="O397">
        <v>0.4139999999999997</v>
      </c>
      <c r="P397">
        <v>18.350000000000001</v>
      </c>
      <c r="Q397">
        <v>0.53999999999999992</v>
      </c>
      <c r="R397">
        <v>-1.8899999999999997</v>
      </c>
      <c r="S397">
        <v>-14.049999999999995</v>
      </c>
      <c r="T397">
        <v>2.41</v>
      </c>
      <c r="U397">
        <v>21</v>
      </c>
      <c r="V397">
        <v>21.5</v>
      </c>
      <c r="W397">
        <v>0.73999999999999977</v>
      </c>
      <c r="X397">
        <v>17</v>
      </c>
      <c r="Y397">
        <v>17.75</v>
      </c>
      <c r="Z397">
        <v>11</v>
      </c>
      <c r="AA397">
        <v>8.9748751067835145E-3</v>
      </c>
      <c r="AB397">
        <v>16</v>
      </c>
      <c r="AC397">
        <v>-1.7540470112133166E-4</v>
      </c>
      <c r="AD397">
        <v>25</v>
      </c>
      <c r="AE397">
        <v>3.4799960273644473E-2</v>
      </c>
      <c r="AF397">
        <v>19</v>
      </c>
      <c r="AG397">
        <v>-0.97999999999999987</v>
      </c>
      <c r="AH397">
        <v>4.8800000000000008</v>
      </c>
      <c r="AI397">
        <v>2.38</v>
      </c>
      <c r="AJ397">
        <v>0.83999999999999986</v>
      </c>
      <c r="AK397">
        <v>14.689999999999998</v>
      </c>
      <c r="AL397">
        <v>-16.73</v>
      </c>
      <c r="AM397">
        <v>12.490000000000002</v>
      </c>
      <c r="AN397">
        <v>-5.41</v>
      </c>
      <c r="AO397">
        <v>24.34</v>
      </c>
      <c r="AP397">
        <v>13</v>
      </c>
      <c r="AQ397">
        <v>2.5148000000000015</v>
      </c>
      <c r="AR397">
        <v>7.6000000000053802E-4</v>
      </c>
      <c r="AS397">
        <v>-29.220000000000002</v>
      </c>
      <c r="AT397">
        <v>20</v>
      </c>
      <c r="AU397">
        <v>5.3500000000002434E-3</v>
      </c>
      <c r="AV397">
        <v>0.21796249999999995</v>
      </c>
      <c r="AW397">
        <v>1.4882250000000001</v>
      </c>
      <c r="AX397" t="s">
        <v>296</v>
      </c>
      <c r="AY397">
        <v>24</v>
      </c>
      <c r="AZ397">
        <v>-2.6208000000000022</v>
      </c>
      <c r="BA397">
        <v>4.3039999999999994</v>
      </c>
      <c r="BB397">
        <v>2.5200000000000005</v>
      </c>
      <c r="BC397">
        <v>-0.4</v>
      </c>
      <c r="BD397">
        <v>-12.381599999999999</v>
      </c>
      <c r="BE397">
        <v>-46.280000000000008</v>
      </c>
      <c r="BF397">
        <v>-4.24</v>
      </c>
      <c r="BG397">
        <v>3</v>
      </c>
      <c r="BH397">
        <v>5</v>
      </c>
      <c r="BI397">
        <v>5.12</v>
      </c>
      <c r="BJ397">
        <v>10</v>
      </c>
      <c r="BK397">
        <v>13.75</v>
      </c>
      <c r="BL397">
        <v>9</v>
      </c>
      <c r="BM397">
        <v>1.9372975642845451E-2</v>
      </c>
      <c r="BN397">
        <v>10</v>
      </c>
      <c r="BO397">
        <v>1.035739215837566E-2</v>
      </c>
      <c r="BP397">
        <v>22</v>
      </c>
      <c r="BQ397">
        <v>2.8000000000000025E-2</v>
      </c>
      <c r="BR397">
        <v>14</v>
      </c>
      <c r="BS397">
        <v>0.24000000000000005</v>
      </c>
      <c r="BT397">
        <v>-1.2</v>
      </c>
      <c r="BU397">
        <v>0.16000000000000014</v>
      </c>
      <c r="BV397">
        <v>1.1199999999999999</v>
      </c>
      <c r="BW397">
        <v>-23.600000000000012</v>
      </c>
      <c r="BX397">
        <v>-19.32</v>
      </c>
      <c r="BY397">
        <v>-2.9199999999999959</v>
      </c>
      <c r="BZ397">
        <v>0.4799999999999997</v>
      </c>
      <c r="CA397">
        <v>-1.8399999999999999</v>
      </c>
      <c r="CB397">
        <v>27</v>
      </c>
      <c r="CC397">
        <v>-6.9248000000000012</v>
      </c>
      <c r="CD397">
        <v>-5.1524800000000006</v>
      </c>
      <c r="CE397">
        <v>-16.400000000000006</v>
      </c>
      <c r="CF397">
        <v>-1.0523000000000002</v>
      </c>
    </row>
    <row r="398" spans="1:84" x14ac:dyDescent="0.2">
      <c r="A398" s="19">
        <v>44129</v>
      </c>
      <c r="B398" s="13" t="s">
        <v>250</v>
      </c>
      <c r="C398" s="41" t="s">
        <v>309</v>
      </c>
      <c r="D398" s="14" t="s">
        <v>310</v>
      </c>
      <c r="E398">
        <v>29</v>
      </c>
      <c r="F398">
        <v>17.5</v>
      </c>
      <c r="G398">
        <v>0.8</v>
      </c>
      <c r="H398">
        <v>11</v>
      </c>
      <c r="I398">
        <v>1</v>
      </c>
      <c r="J398">
        <v>51</v>
      </c>
      <c r="L398" t="s">
        <v>309</v>
      </c>
      <c r="M398">
        <v>25</v>
      </c>
      <c r="N398">
        <v>-3.4935</v>
      </c>
      <c r="O398">
        <v>2.7287500000000002</v>
      </c>
      <c r="P398">
        <v>21.862500000000001</v>
      </c>
      <c r="Q398">
        <v>-2.2125000000000004</v>
      </c>
      <c r="R398">
        <v>2.3462500000000035</v>
      </c>
      <c r="S398">
        <v>-5.4875000000000007</v>
      </c>
      <c r="T398">
        <v>-0.95</v>
      </c>
      <c r="U398">
        <v>26</v>
      </c>
      <c r="V398">
        <v>24</v>
      </c>
      <c r="W398">
        <v>4.1749999999999998</v>
      </c>
      <c r="X398">
        <v>32</v>
      </c>
      <c r="Y398">
        <v>26.25</v>
      </c>
      <c r="Z398">
        <v>32</v>
      </c>
      <c r="AA398">
        <v>-0.1038318902790057</v>
      </c>
      <c r="AB398">
        <v>31</v>
      </c>
      <c r="AC398">
        <v>-2.6467940427175533E-2</v>
      </c>
      <c r="AD398">
        <v>10</v>
      </c>
      <c r="AE398">
        <v>-4.3067765567765565E-2</v>
      </c>
      <c r="AF398">
        <v>32</v>
      </c>
      <c r="AG398">
        <v>-4.5625</v>
      </c>
      <c r="AH398">
        <v>-0.58749999999999858</v>
      </c>
      <c r="AI398">
        <v>3.8624999999999998</v>
      </c>
      <c r="AJ398">
        <v>0.51250000000000007</v>
      </c>
      <c r="AK398">
        <v>-24.075000000000003</v>
      </c>
      <c r="AL398">
        <v>-32.637500000000017</v>
      </c>
      <c r="AM398">
        <v>20.487500000000004</v>
      </c>
      <c r="AN398">
        <v>10.500000000000002</v>
      </c>
      <c r="AO398">
        <v>-22.425000000000001</v>
      </c>
      <c r="AP398">
        <v>26</v>
      </c>
      <c r="AQ398">
        <v>-6.2222500000000007</v>
      </c>
      <c r="AR398">
        <v>-1.5938249999999994</v>
      </c>
      <c r="AS398">
        <v>-53.125000000000021</v>
      </c>
      <c r="AT398">
        <v>7</v>
      </c>
      <c r="AU398">
        <v>0.14143750000000052</v>
      </c>
      <c r="AV398">
        <v>0.34243749999999973</v>
      </c>
      <c r="AW398">
        <v>-1.5783750000000003</v>
      </c>
      <c r="AX398" t="s">
        <v>310</v>
      </c>
      <c r="AY398">
        <v>8</v>
      </c>
      <c r="AZ398">
        <v>3.3860000000000019</v>
      </c>
      <c r="BA398">
        <v>5.2099999999999991</v>
      </c>
      <c r="BB398">
        <v>34</v>
      </c>
      <c r="BC398">
        <v>-0.20000000000000007</v>
      </c>
      <c r="BD398">
        <v>10.059999999999999</v>
      </c>
      <c r="BE398">
        <v>21.75</v>
      </c>
      <c r="BF398">
        <v>2.9</v>
      </c>
      <c r="BG398">
        <v>20</v>
      </c>
      <c r="BH398">
        <v>19.5</v>
      </c>
      <c r="BI398">
        <v>-2.1</v>
      </c>
      <c r="BJ398">
        <v>25</v>
      </c>
      <c r="BK398">
        <v>21</v>
      </c>
      <c r="BL398">
        <v>18</v>
      </c>
      <c r="BM398">
        <v>-2.7696330308184941E-3</v>
      </c>
      <c r="BN398">
        <v>26</v>
      </c>
      <c r="BO398">
        <v>-1.6056418797537879E-2</v>
      </c>
      <c r="BP398">
        <v>16</v>
      </c>
      <c r="BQ398">
        <v>-5.5932955932955775E-3</v>
      </c>
      <c r="BR398">
        <v>24</v>
      </c>
      <c r="BS398">
        <v>-1.55</v>
      </c>
      <c r="BT398">
        <v>4.4500000000000011</v>
      </c>
      <c r="BU398">
        <v>4.3</v>
      </c>
      <c r="BV398">
        <v>0</v>
      </c>
      <c r="BW398">
        <v>63.149999999999991</v>
      </c>
      <c r="BX398">
        <v>18.549999999999997</v>
      </c>
      <c r="BY398">
        <v>32.300000000000004</v>
      </c>
      <c r="BZ398">
        <v>6.6000000000000005</v>
      </c>
      <c r="CA398">
        <v>5.7000000000000011</v>
      </c>
      <c r="CB398">
        <v>20</v>
      </c>
      <c r="CC398">
        <v>-1.8239999999999972</v>
      </c>
      <c r="CD398">
        <v>8.4200000000000941E-2</v>
      </c>
      <c r="CE398">
        <v>-13.750000000000007</v>
      </c>
      <c r="CF398">
        <v>2.2632499999999998</v>
      </c>
    </row>
    <row r="399" spans="1:84" x14ac:dyDescent="0.2">
      <c r="A399" s="19">
        <v>44129</v>
      </c>
      <c r="B399" s="14" t="s">
        <v>250</v>
      </c>
      <c r="C399" s="40" t="s">
        <v>256</v>
      </c>
      <c r="D399" s="13" t="s">
        <v>302</v>
      </c>
      <c r="E399">
        <v>12.2</v>
      </c>
      <c r="F399">
        <v>20.5</v>
      </c>
      <c r="G399">
        <v>0</v>
      </c>
      <c r="H399">
        <v>10.5</v>
      </c>
      <c r="I399">
        <v>3</v>
      </c>
      <c r="J399">
        <v>44</v>
      </c>
      <c r="K399" t="s">
        <v>735</v>
      </c>
      <c r="L399" t="s">
        <v>256</v>
      </c>
      <c r="M399">
        <v>30</v>
      </c>
      <c r="N399">
        <v>-5.8304</v>
      </c>
      <c r="O399">
        <v>0.98399999999999999</v>
      </c>
      <c r="P399">
        <v>0.91999999999999904</v>
      </c>
      <c r="Q399">
        <v>-0.23999999999999982</v>
      </c>
      <c r="R399">
        <v>5.6383999999999999</v>
      </c>
      <c r="S399">
        <v>11.079999999999995</v>
      </c>
      <c r="T399">
        <v>1.48</v>
      </c>
      <c r="U399">
        <v>20</v>
      </c>
      <c r="V399">
        <v>21</v>
      </c>
      <c r="W399">
        <v>-1.8</v>
      </c>
      <c r="X399">
        <v>13</v>
      </c>
      <c r="Y399">
        <v>15.25</v>
      </c>
      <c r="Z399">
        <v>17</v>
      </c>
      <c r="AA399">
        <v>-3.1018302782164276E-3</v>
      </c>
      <c r="AB399">
        <v>11</v>
      </c>
      <c r="AC399">
        <v>6.3502269814248143E-3</v>
      </c>
      <c r="AD399">
        <v>21</v>
      </c>
      <c r="AE399">
        <v>1.6082029082029093E-2</v>
      </c>
      <c r="AF399">
        <v>12</v>
      </c>
      <c r="AG399">
        <v>-0.11999999999999993</v>
      </c>
      <c r="AH399">
        <v>2.3600000000000008</v>
      </c>
      <c r="AI399">
        <v>1.6800000000000004</v>
      </c>
      <c r="AJ399">
        <v>-0.91999999999999993</v>
      </c>
      <c r="AK399">
        <v>20.399999999999999</v>
      </c>
      <c r="AL399">
        <v>7.8</v>
      </c>
      <c r="AM399">
        <v>16.96</v>
      </c>
      <c r="AN399">
        <v>6.6400000000000006</v>
      </c>
      <c r="AO399">
        <v>-11</v>
      </c>
      <c r="AP399">
        <v>27</v>
      </c>
      <c r="AQ399">
        <v>-6.8144</v>
      </c>
      <c r="AR399">
        <v>-0.53039999999999998</v>
      </c>
      <c r="AS399">
        <v>-9.16</v>
      </c>
      <c r="AT399">
        <v>6</v>
      </c>
      <c r="AU399">
        <v>-1.0000000000000009E-3</v>
      </c>
      <c r="AV399">
        <v>-1.2971218749999998</v>
      </c>
      <c r="AW399">
        <v>-0.59239999999999982</v>
      </c>
      <c r="AX399" t="s">
        <v>302</v>
      </c>
      <c r="AY399">
        <v>29</v>
      </c>
      <c r="AZ399">
        <v>-4.8834999999999988</v>
      </c>
      <c r="BA399">
        <v>-3.6149999999999993</v>
      </c>
      <c r="BB399">
        <v>5.9874999999999989</v>
      </c>
      <c r="BC399">
        <v>-1.5874999999999999</v>
      </c>
      <c r="BD399">
        <v>-9.1787500000000026</v>
      </c>
      <c r="BE399">
        <v>-29.25</v>
      </c>
      <c r="BF399">
        <v>-2.4249999999999998</v>
      </c>
      <c r="BG399">
        <v>7</v>
      </c>
      <c r="BH399">
        <v>6.5</v>
      </c>
      <c r="BI399">
        <v>4.3</v>
      </c>
      <c r="BJ399">
        <v>24</v>
      </c>
      <c r="BK399">
        <v>20.5</v>
      </c>
      <c r="BL399">
        <v>28</v>
      </c>
      <c r="BM399">
        <v>-5.2069023391685051E-2</v>
      </c>
      <c r="BN399">
        <v>18</v>
      </c>
      <c r="BO399">
        <v>-5.4924810918416701E-3</v>
      </c>
      <c r="BP399">
        <v>28</v>
      </c>
      <c r="BQ399">
        <v>8.3023135490240763E-2</v>
      </c>
      <c r="BR399">
        <v>8</v>
      </c>
      <c r="BS399">
        <v>1.5125</v>
      </c>
      <c r="BT399">
        <v>-6.6625000000000014</v>
      </c>
      <c r="BU399">
        <v>-4.45</v>
      </c>
      <c r="BV399">
        <v>1.2749999999999999</v>
      </c>
      <c r="BW399">
        <v>-46.862499999999997</v>
      </c>
      <c r="BX399">
        <v>-38.337500000000006</v>
      </c>
      <c r="BY399">
        <v>-6.4250000000000007</v>
      </c>
      <c r="BZ399">
        <v>-1.6</v>
      </c>
      <c r="CA399">
        <v>-0.5</v>
      </c>
      <c r="CB399">
        <v>19</v>
      </c>
      <c r="CC399">
        <v>-1.2684999999999995</v>
      </c>
      <c r="CD399">
        <v>-1.0049500000000005</v>
      </c>
      <c r="CE399">
        <v>-31.912500000000005</v>
      </c>
      <c r="CF399">
        <v>-2.0018437499999999</v>
      </c>
    </row>
    <row r="400" spans="1:84" x14ac:dyDescent="0.2">
      <c r="A400" s="19">
        <v>44129</v>
      </c>
      <c r="B400" s="13" t="s">
        <v>250</v>
      </c>
      <c r="C400" s="41" t="s">
        <v>308</v>
      </c>
      <c r="D400" s="14" t="s">
        <v>285</v>
      </c>
      <c r="E400">
        <v>56</v>
      </c>
      <c r="F400">
        <v>4.3</v>
      </c>
      <c r="G400">
        <v>8.8000000000000007</v>
      </c>
      <c r="H400">
        <v>3.8</v>
      </c>
      <c r="I400">
        <v>-3.5</v>
      </c>
      <c r="J400">
        <v>55</v>
      </c>
      <c r="K400" t="s">
        <v>734</v>
      </c>
      <c r="L400" t="s">
        <v>308</v>
      </c>
      <c r="M400">
        <v>1</v>
      </c>
      <c r="N400">
        <v>10.1965</v>
      </c>
      <c r="O400">
        <v>1.9200000000000019</v>
      </c>
      <c r="P400">
        <v>-17.650000000000002</v>
      </c>
      <c r="Q400">
        <v>0.64999999999999991</v>
      </c>
      <c r="R400">
        <v>7.3135000000000012</v>
      </c>
      <c r="S400">
        <v>18.425000000000004</v>
      </c>
      <c r="T400">
        <v>-0.8125</v>
      </c>
      <c r="U400">
        <v>32</v>
      </c>
      <c r="V400">
        <v>32</v>
      </c>
      <c r="W400">
        <v>-0.7</v>
      </c>
      <c r="X400">
        <v>11</v>
      </c>
      <c r="Y400">
        <v>14</v>
      </c>
      <c r="Z400">
        <v>5</v>
      </c>
      <c r="AA400">
        <v>4.7225842528311218E-2</v>
      </c>
      <c r="AB400">
        <v>7</v>
      </c>
      <c r="AC400">
        <v>1.4290764183269192E-2</v>
      </c>
      <c r="AD400">
        <v>24</v>
      </c>
      <c r="AE400">
        <v>3.3295454545454517E-2</v>
      </c>
      <c r="AF400">
        <v>20</v>
      </c>
      <c r="AG400">
        <v>-1.0000000000000002</v>
      </c>
      <c r="AH400">
        <v>-2.625</v>
      </c>
      <c r="AI400">
        <v>5.1000000000000014</v>
      </c>
      <c r="AJ400">
        <v>-0.38750000000000001</v>
      </c>
      <c r="AK400">
        <v>8.9625000000000057</v>
      </c>
      <c r="AL400">
        <v>34.475000000000001</v>
      </c>
      <c r="AM400">
        <v>-34.1</v>
      </c>
      <c r="AN400">
        <v>-5.4624999999999995</v>
      </c>
      <c r="AO400">
        <v>14.05</v>
      </c>
      <c r="AP400">
        <v>5</v>
      </c>
      <c r="AQ400">
        <v>8.2764999999999986</v>
      </c>
      <c r="AR400">
        <v>2.5419999999999989</v>
      </c>
      <c r="AS400">
        <v>68.575000000000003</v>
      </c>
      <c r="AT400">
        <v>28</v>
      </c>
      <c r="AU400">
        <v>1.7537500000000001</v>
      </c>
      <c r="AV400">
        <v>0.56882812500000024</v>
      </c>
      <c r="AW400">
        <v>1.9287812500000003</v>
      </c>
      <c r="AX400" t="s">
        <v>285</v>
      </c>
      <c r="AY400">
        <v>19</v>
      </c>
      <c r="AZ400">
        <v>-1.942400000000001</v>
      </c>
      <c r="BA400">
        <v>-3.5079999999999991</v>
      </c>
      <c r="BB400">
        <v>25.15</v>
      </c>
      <c r="BC400">
        <v>-2.0700000000000003</v>
      </c>
      <c r="BD400">
        <v>-0.10859999999999859</v>
      </c>
      <c r="BE400">
        <v>0.62999999999999412</v>
      </c>
      <c r="BF400">
        <v>1.96</v>
      </c>
      <c r="BG400">
        <v>17</v>
      </c>
      <c r="BH400">
        <v>17</v>
      </c>
      <c r="BI400">
        <v>-0.37999999999999989</v>
      </c>
      <c r="BJ400">
        <v>26</v>
      </c>
      <c r="BK400">
        <v>21.75</v>
      </c>
      <c r="BL400">
        <v>24</v>
      </c>
      <c r="BM400">
        <v>-2.0005437026180184E-2</v>
      </c>
      <c r="BN400">
        <v>15</v>
      </c>
      <c r="BO400">
        <v>-2.7280392043340556E-3</v>
      </c>
      <c r="BP400">
        <v>26</v>
      </c>
      <c r="BQ400">
        <v>6.2317821067821119E-2</v>
      </c>
      <c r="BR400">
        <v>22</v>
      </c>
      <c r="BS400">
        <v>-1.4100000000000001</v>
      </c>
      <c r="BT400">
        <v>1.5799999999999996</v>
      </c>
      <c r="BU400">
        <v>-3.1700000000000004</v>
      </c>
      <c r="BV400">
        <v>-0.55999999999999994</v>
      </c>
      <c r="BW400">
        <v>-6.7200000000000157</v>
      </c>
      <c r="BX400">
        <v>-21.149999999999995</v>
      </c>
      <c r="BY400">
        <v>20.200000000000003</v>
      </c>
      <c r="BZ400">
        <v>-3.29</v>
      </c>
      <c r="CA400">
        <v>-2.4799999999999995</v>
      </c>
      <c r="CB400">
        <v>12</v>
      </c>
      <c r="CC400">
        <v>1.5655999999999981</v>
      </c>
      <c r="CD400">
        <v>1.3437999999999997</v>
      </c>
      <c r="CE400">
        <v>-41.349999999999994</v>
      </c>
      <c r="CF400">
        <v>-0.79112499999999986</v>
      </c>
    </row>
    <row r="401" spans="1:84" x14ac:dyDescent="0.2">
      <c r="A401" s="19">
        <v>44129</v>
      </c>
      <c r="B401" s="13" t="s">
        <v>250</v>
      </c>
      <c r="C401" s="41" t="s">
        <v>284</v>
      </c>
      <c r="D401" s="14" t="s">
        <v>303</v>
      </c>
      <c r="E401">
        <v>23.8</v>
      </c>
      <c r="F401">
        <v>5.7</v>
      </c>
      <c r="G401">
        <v>25.9</v>
      </c>
      <c r="H401">
        <v>17.2</v>
      </c>
      <c r="I401">
        <v>-4</v>
      </c>
      <c r="J401">
        <v>52.5</v>
      </c>
      <c r="L401" t="s">
        <v>284</v>
      </c>
      <c r="M401">
        <v>14</v>
      </c>
      <c r="N401">
        <v>0.49580000000000091</v>
      </c>
      <c r="O401">
        <v>3.2030000000000007</v>
      </c>
      <c r="P401">
        <v>31.200000000000003</v>
      </c>
      <c r="Q401">
        <v>-0.15000000000000008</v>
      </c>
      <c r="R401">
        <v>7.5509999999999993</v>
      </c>
      <c r="S401">
        <v>18.18</v>
      </c>
      <c r="T401">
        <v>-0.96000000000000019</v>
      </c>
      <c r="U401">
        <v>23</v>
      </c>
      <c r="V401">
        <v>22</v>
      </c>
      <c r="W401">
        <v>6.04</v>
      </c>
      <c r="X401">
        <v>30</v>
      </c>
      <c r="Y401">
        <v>23.25</v>
      </c>
      <c r="Z401">
        <v>29</v>
      </c>
      <c r="AA401">
        <v>-7.4770732601855308E-2</v>
      </c>
      <c r="AB401">
        <v>32</v>
      </c>
      <c r="AC401">
        <v>-2.8767549255843784E-2</v>
      </c>
      <c r="AD401">
        <v>3</v>
      </c>
      <c r="AE401">
        <v>-0.11177672735760966</v>
      </c>
      <c r="AF401">
        <v>29</v>
      </c>
      <c r="AG401">
        <v>-2.2600000000000002</v>
      </c>
      <c r="AH401">
        <v>1.5299999999999983</v>
      </c>
      <c r="AI401">
        <v>6.35</v>
      </c>
      <c r="AJ401">
        <v>0.9</v>
      </c>
      <c r="AK401">
        <v>13.329999999999995</v>
      </c>
      <c r="AL401">
        <v>9.4699999999999989</v>
      </c>
      <c r="AM401">
        <v>24.560000000000002</v>
      </c>
      <c r="AN401">
        <v>-1.25</v>
      </c>
      <c r="AO401">
        <v>-19.45</v>
      </c>
      <c r="AP401">
        <v>21</v>
      </c>
      <c r="AQ401">
        <v>-2.7071999999999998</v>
      </c>
      <c r="AR401">
        <v>7.859999999999534E-3</v>
      </c>
      <c r="AS401">
        <v>-15.090000000000003</v>
      </c>
      <c r="AT401">
        <v>12</v>
      </c>
      <c r="AU401">
        <v>1.377475</v>
      </c>
      <c r="AV401">
        <v>-1.0976749999999997</v>
      </c>
      <c r="AW401">
        <v>-1.8460999999999999</v>
      </c>
      <c r="AX401" t="s">
        <v>303</v>
      </c>
      <c r="AY401">
        <v>23</v>
      </c>
      <c r="AZ401">
        <v>-2.4639999999999995</v>
      </c>
      <c r="BA401">
        <v>4.7350000000000003</v>
      </c>
      <c r="BB401">
        <v>3.625</v>
      </c>
      <c r="BC401">
        <v>2.7375000000000003</v>
      </c>
      <c r="BD401">
        <v>-5.0149999999999997</v>
      </c>
      <c r="BE401">
        <v>-28.1875</v>
      </c>
      <c r="BF401">
        <v>-3.5374999999999996</v>
      </c>
      <c r="BG401">
        <v>14</v>
      </c>
      <c r="BH401">
        <v>15</v>
      </c>
      <c r="BI401">
        <v>1.2000000000000002</v>
      </c>
      <c r="BJ401">
        <v>22</v>
      </c>
      <c r="BK401">
        <v>19.5</v>
      </c>
      <c r="BL401">
        <v>21</v>
      </c>
      <c r="BM401">
        <v>-1.4053749122725091E-2</v>
      </c>
      <c r="BN401">
        <v>17</v>
      </c>
      <c r="BO401">
        <v>-4.5876361474709399E-3</v>
      </c>
      <c r="BP401">
        <v>12</v>
      </c>
      <c r="BQ401">
        <v>-2.5894938394938366E-2</v>
      </c>
      <c r="BR401">
        <v>28</v>
      </c>
      <c r="BS401">
        <v>-2.65</v>
      </c>
      <c r="BT401">
        <v>-2.0375000000000014</v>
      </c>
      <c r="BU401">
        <v>3.5374999999999996</v>
      </c>
      <c r="BV401">
        <v>0.52500000000000002</v>
      </c>
      <c r="BW401">
        <v>0.13750000000000284</v>
      </c>
      <c r="BX401">
        <v>0.23749999999999716</v>
      </c>
      <c r="BY401">
        <v>4.8374999999999986</v>
      </c>
      <c r="BZ401">
        <v>5.8624999999999998</v>
      </c>
      <c r="CA401">
        <v>-10.8</v>
      </c>
      <c r="CB401">
        <v>29</v>
      </c>
      <c r="CC401">
        <v>-7.1989999999999998</v>
      </c>
      <c r="CD401">
        <v>-3.8632999999999997</v>
      </c>
      <c r="CE401">
        <v>-4.6000000000000014</v>
      </c>
      <c r="CF401">
        <v>-0.34924999999999984</v>
      </c>
    </row>
    <row r="402" spans="1:84" x14ac:dyDescent="0.2">
      <c r="A402" s="19">
        <v>44129</v>
      </c>
      <c r="B402" s="13" t="s">
        <v>250</v>
      </c>
      <c r="C402" s="41" t="s">
        <v>310</v>
      </c>
      <c r="D402" s="14" t="s">
        <v>309</v>
      </c>
      <c r="E402">
        <v>30.3</v>
      </c>
      <c r="F402">
        <v>15.5</v>
      </c>
      <c r="G402">
        <v>2.9</v>
      </c>
      <c r="H402">
        <v>1.9</v>
      </c>
      <c r="I402">
        <v>-1</v>
      </c>
      <c r="J402">
        <v>51</v>
      </c>
      <c r="L402" t="s">
        <v>310</v>
      </c>
      <c r="M402">
        <v>7</v>
      </c>
      <c r="N402">
        <v>3.8059999999999992</v>
      </c>
      <c r="O402">
        <v>2.4249999999999998</v>
      </c>
      <c r="P402">
        <v>23.45</v>
      </c>
      <c r="Q402">
        <v>-1.1000000000000001</v>
      </c>
      <c r="R402">
        <v>7.2900000000000009</v>
      </c>
      <c r="S402">
        <v>16.25</v>
      </c>
      <c r="T402">
        <v>-0.15000000000000013</v>
      </c>
      <c r="U402">
        <v>13</v>
      </c>
      <c r="V402">
        <v>14</v>
      </c>
      <c r="W402">
        <v>-1.55</v>
      </c>
      <c r="X402">
        <v>31</v>
      </c>
      <c r="Y402">
        <v>23.5</v>
      </c>
      <c r="Z402">
        <v>25</v>
      </c>
      <c r="AA402">
        <v>-2.9923482846336419E-2</v>
      </c>
      <c r="AB402">
        <v>28</v>
      </c>
      <c r="AC402">
        <v>-2.1355283651253526E-2</v>
      </c>
      <c r="AD402">
        <v>13</v>
      </c>
      <c r="AE402">
        <v>-1.2083333333333335E-2</v>
      </c>
      <c r="AF402">
        <v>28</v>
      </c>
      <c r="AG402">
        <v>-2.1</v>
      </c>
      <c r="AH402">
        <v>-0.24999999999999645</v>
      </c>
      <c r="AI402">
        <v>7</v>
      </c>
      <c r="AJ402">
        <v>-0.35</v>
      </c>
      <c r="AK402">
        <v>21.700000000000017</v>
      </c>
      <c r="AL402">
        <v>7.6499999999999915</v>
      </c>
      <c r="AM402">
        <v>21.6</v>
      </c>
      <c r="AN402">
        <v>-4.5500000000000007</v>
      </c>
      <c r="AO402">
        <v>-3</v>
      </c>
      <c r="AP402">
        <v>16</v>
      </c>
      <c r="AQ402">
        <v>1.3809999999999993</v>
      </c>
      <c r="AR402">
        <v>1.0066999999999999</v>
      </c>
      <c r="AS402">
        <v>-13.95000000000001</v>
      </c>
      <c r="AT402">
        <v>17</v>
      </c>
      <c r="AU402">
        <v>1.7838750000000001</v>
      </c>
      <c r="AV402">
        <v>0.34243749999999973</v>
      </c>
      <c r="AW402">
        <v>2.2632499999999998</v>
      </c>
      <c r="AX402" t="s">
        <v>309</v>
      </c>
      <c r="AY402">
        <v>20</v>
      </c>
      <c r="AZ402">
        <v>-1.9544999999999995</v>
      </c>
      <c r="BA402">
        <v>-4.4049999999999994</v>
      </c>
      <c r="BB402">
        <v>-30.650000000000002</v>
      </c>
      <c r="BC402">
        <v>-1.0499999999999998</v>
      </c>
      <c r="BD402">
        <v>-0.28000000000000158</v>
      </c>
      <c r="BE402">
        <v>-3.2375000000000007</v>
      </c>
      <c r="BF402">
        <v>-0.97500000000000053</v>
      </c>
      <c r="BG402">
        <v>32</v>
      </c>
      <c r="BH402">
        <v>32</v>
      </c>
      <c r="BI402">
        <v>-4.5625</v>
      </c>
      <c r="BJ402">
        <v>1</v>
      </c>
      <c r="BK402">
        <v>3.25</v>
      </c>
      <c r="BL402">
        <v>3</v>
      </c>
      <c r="BM402">
        <v>7.8318388084618273E-2</v>
      </c>
      <c r="BN402">
        <v>1</v>
      </c>
      <c r="BO402">
        <v>6.2076486370942929E-2</v>
      </c>
      <c r="BP402">
        <v>5</v>
      </c>
      <c r="BQ402">
        <v>-8.217727082858664E-2</v>
      </c>
      <c r="BR402">
        <v>4</v>
      </c>
      <c r="BS402">
        <v>4.1749999999999998</v>
      </c>
      <c r="BT402">
        <v>-5.6625000000000014</v>
      </c>
      <c r="BU402">
        <v>-5.4249999999999998</v>
      </c>
      <c r="BV402">
        <v>-0.8</v>
      </c>
      <c r="BW402">
        <v>-41.724999999999994</v>
      </c>
      <c r="BX402">
        <v>5.0499999999999901</v>
      </c>
      <c r="BY402">
        <v>-33.25</v>
      </c>
      <c r="BZ402">
        <v>-2.2000000000000002</v>
      </c>
      <c r="CA402">
        <v>-11.324999999999999</v>
      </c>
      <c r="CB402">
        <v>10</v>
      </c>
      <c r="CC402">
        <v>2.4504999999999999</v>
      </c>
      <c r="CD402">
        <v>1.7555999999999994</v>
      </c>
      <c r="CE402">
        <v>38.29999999999999</v>
      </c>
      <c r="CF402">
        <v>-1.5783750000000003</v>
      </c>
    </row>
    <row r="403" spans="1:84" x14ac:dyDescent="0.2">
      <c r="A403" s="19">
        <v>44129</v>
      </c>
      <c r="B403" s="13" t="s">
        <v>250</v>
      </c>
      <c r="C403" s="41" t="s">
        <v>306</v>
      </c>
      <c r="D403" s="14" t="s">
        <v>291</v>
      </c>
      <c r="E403">
        <v>22</v>
      </c>
      <c r="F403">
        <v>3.2</v>
      </c>
      <c r="G403">
        <v>0</v>
      </c>
      <c r="H403">
        <v>16</v>
      </c>
      <c r="I403">
        <v>1</v>
      </c>
      <c r="J403">
        <v>44.5</v>
      </c>
      <c r="K403" t="s">
        <v>734</v>
      </c>
      <c r="L403" t="s">
        <v>306</v>
      </c>
      <c r="M403">
        <v>24</v>
      </c>
      <c r="N403">
        <v>-3.1983999999999999</v>
      </c>
      <c r="O403">
        <v>1.4880000000000004</v>
      </c>
      <c r="P403">
        <v>-14.799999999999999</v>
      </c>
      <c r="Q403">
        <v>2.2000000000000002</v>
      </c>
      <c r="R403">
        <v>-5.1135999999999999</v>
      </c>
      <c r="S403">
        <v>-26.320000000000004</v>
      </c>
      <c r="T403">
        <v>0.12000000000000055</v>
      </c>
      <c r="U403">
        <v>30</v>
      </c>
      <c r="V403">
        <v>29.5</v>
      </c>
      <c r="W403">
        <v>-1.9999999999999996</v>
      </c>
      <c r="X403">
        <v>4</v>
      </c>
      <c r="Y403">
        <v>8.75</v>
      </c>
      <c r="Z403">
        <v>23</v>
      </c>
      <c r="AA403">
        <v>-2.3432329623482701E-2</v>
      </c>
      <c r="AB403">
        <v>2</v>
      </c>
      <c r="AC403">
        <v>2.749897390257236E-2</v>
      </c>
      <c r="AD403">
        <v>6</v>
      </c>
      <c r="AE403">
        <v>-9.0434232434232403E-2</v>
      </c>
      <c r="AF403">
        <v>4</v>
      </c>
      <c r="AG403">
        <v>2.8</v>
      </c>
      <c r="AH403">
        <v>-3.6799999999999984</v>
      </c>
      <c r="AI403">
        <v>-5.4399999999999995</v>
      </c>
      <c r="AJ403">
        <v>-0.83999999999999986</v>
      </c>
      <c r="AK403">
        <v>-49.04</v>
      </c>
      <c r="AL403">
        <v>-28.200000000000006</v>
      </c>
      <c r="AM403">
        <v>-15.559999999999999</v>
      </c>
      <c r="AN403">
        <v>2.0000000000000004</v>
      </c>
      <c r="AO403">
        <v>-7.2799999999999985</v>
      </c>
      <c r="AP403">
        <v>24</v>
      </c>
      <c r="AQ403">
        <v>-4.6864000000000008</v>
      </c>
      <c r="AR403">
        <v>-2.4064000000000001</v>
      </c>
      <c r="AS403">
        <v>-12.640000000000008</v>
      </c>
      <c r="AT403">
        <v>9</v>
      </c>
      <c r="AU403">
        <v>-1.2229999999999999</v>
      </c>
      <c r="AV403">
        <v>1.381975</v>
      </c>
      <c r="AW403">
        <v>0.19790000000000016</v>
      </c>
      <c r="AX403" t="s">
        <v>291</v>
      </c>
      <c r="AY403">
        <v>7</v>
      </c>
      <c r="AZ403">
        <v>3.3923999999999994</v>
      </c>
      <c r="BA403">
        <v>-1.0709999999999997</v>
      </c>
      <c r="BB403">
        <v>21.590000000000003</v>
      </c>
      <c r="BC403">
        <v>-1.5699999999999998</v>
      </c>
      <c r="BD403">
        <v>15.056999999999995</v>
      </c>
      <c r="BE403">
        <v>23.849999999999998</v>
      </c>
      <c r="BF403">
        <v>1.57</v>
      </c>
      <c r="BG403">
        <v>5</v>
      </c>
      <c r="BH403">
        <v>6</v>
      </c>
      <c r="BI403">
        <v>2.6999999999999997</v>
      </c>
      <c r="BJ403">
        <v>28</v>
      </c>
      <c r="BK403">
        <v>25</v>
      </c>
      <c r="BL403">
        <v>16</v>
      </c>
      <c r="BM403">
        <v>6.8039815316587203E-3</v>
      </c>
      <c r="BN403">
        <v>20</v>
      </c>
      <c r="BO403">
        <v>-5.9638545692727142E-3</v>
      </c>
      <c r="BP403">
        <v>32</v>
      </c>
      <c r="BQ403">
        <v>0.16831746031746034</v>
      </c>
      <c r="BR403">
        <v>32</v>
      </c>
      <c r="BS403">
        <v>-4.17</v>
      </c>
      <c r="BT403">
        <v>4.2800000000000011</v>
      </c>
      <c r="BU403">
        <v>11.43</v>
      </c>
      <c r="BV403">
        <v>0.78</v>
      </c>
      <c r="BW403">
        <v>38.239999999999995</v>
      </c>
      <c r="BX403">
        <v>-8.2400000000000091</v>
      </c>
      <c r="BY403">
        <v>39.160000000000004</v>
      </c>
      <c r="BZ403">
        <v>12.399999999999999</v>
      </c>
      <c r="CA403">
        <v>-5.08</v>
      </c>
      <c r="CB403">
        <v>7</v>
      </c>
      <c r="CC403">
        <v>4.4633999999999991</v>
      </c>
      <c r="CD403">
        <v>4.2253799999999995</v>
      </c>
      <c r="CE403">
        <v>-47.400000000000013</v>
      </c>
      <c r="CF403">
        <v>2.5660499999999997</v>
      </c>
    </row>
  </sheetData>
  <autoFilter ref="A1:CF403" xr:uid="{973336A5-BA22-D34A-A3DC-BE2529A6ACDF}">
    <sortState xmlns:xlrd2="http://schemas.microsoft.com/office/spreadsheetml/2017/richdata2" ref="A2:CF403">
      <sortCondition ref="A1:A403"/>
    </sortState>
  </autoFilter>
  <conditionalFormatting sqref="C21:C27">
    <cfRule type="cellIs" dxfId="163" priority="17" operator="between">
      <formula>21</formula>
      <formula>26</formula>
    </cfRule>
    <cfRule type="cellIs" dxfId="162" priority="18" operator="between">
      <formula>27</formula>
      <formula>32</formula>
    </cfRule>
    <cfRule type="cellIs" dxfId="161" priority="19" operator="between">
      <formula>7</formula>
      <formula>12</formula>
    </cfRule>
    <cfRule type="cellIs" dxfId="160" priority="20" operator="between">
      <formula>1</formula>
      <formula>6</formula>
    </cfRule>
  </conditionalFormatting>
  <conditionalFormatting sqref="C72:C78">
    <cfRule type="cellIs" dxfId="159" priority="13" operator="between">
      <formula>21</formula>
      <formula>26</formula>
    </cfRule>
    <cfRule type="cellIs" dxfId="158" priority="14" operator="between">
      <formula>27</formula>
      <formula>32</formula>
    </cfRule>
    <cfRule type="cellIs" dxfId="157" priority="15" operator="between">
      <formula>7</formula>
      <formula>12</formula>
    </cfRule>
    <cfRule type="cellIs" dxfId="156" priority="16" operator="between">
      <formula>1</formula>
      <formula>6</formula>
    </cfRule>
  </conditionalFormatting>
  <conditionalFormatting sqref="C85:C90">
    <cfRule type="cellIs" dxfId="155" priority="9" operator="between">
      <formula>21</formula>
      <formula>26</formula>
    </cfRule>
    <cfRule type="cellIs" dxfId="154" priority="10" operator="between">
      <formula>27</formula>
      <formula>32</formula>
    </cfRule>
    <cfRule type="cellIs" dxfId="153" priority="11" operator="between">
      <formula>7</formula>
      <formula>12</formula>
    </cfRule>
    <cfRule type="cellIs" dxfId="152" priority="12" operator="between">
      <formula>1</formula>
      <formula>6</formula>
    </cfRule>
  </conditionalFormatting>
  <conditionalFormatting sqref="C91:C96">
    <cfRule type="cellIs" dxfId="151" priority="5" operator="between">
      <formula>21</formula>
      <formula>26</formula>
    </cfRule>
    <cfRule type="cellIs" dxfId="150" priority="6" operator="between">
      <formula>27</formula>
      <formula>32</formula>
    </cfRule>
    <cfRule type="cellIs" dxfId="149" priority="7" operator="between">
      <formula>7</formula>
      <formula>12</formula>
    </cfRule>
    <cfRule type="cellIs" dxfId="148" priority="8" operator="between">
      <formula>1</formula>
      <formula>6</formula>
    </cfRule>
  </conditionalFormatting>
  <conditionalFormatting sqref="C97:C102">
    <cfRule type="cellIs" dxfId="147" priority="1" operator="between">
      <formula>21</formula>
      <formula>26</formula>
    </cfRule>
    <cfRule type="cellIs" dxfId="146" priority="2" operator="between">
      <formula>27</formula>
      <formula>32</formula>
    </cfRule>
    <cfRule type="cellIs" dxfId="145" priority="3" operator="between">
      <formula>7</formula>
      <formula>12</formula>
    </cfRule>
    <cfRule type="cellIs" dxfId="144" priority="4" operator="between">
      <formula>1</formula>
      <formula>6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33DD-BECE-0D43-A51C-6A1E5B1F51F0}">
  <dimension ref="A1:IC115"/>
  <sheetViews>
    <sheetView topLeftCell="GH1" workbookViewId="0">
      <selection activeCell="GU1" sqref="GU1:GW1048576"/>
    </sheetView>
  </sheetViews>
  <sheetFormatPr baseColWidth="10" defaultRowHeight="16" x14ac:dyDescent="0.2"/>
  <cols>
    <col min="3" max="3" width="17.5" bestFit="1" customWidth="1"/>
    <col min="4" max="4" width="19" bestFit="1" customWidth="1"/>
  </cols>
  <sheetData>
    <row r="1" spans="1:237" x14ac:dyDescent="0.2">
      <c r="A1" t="s">
        <v>226</v>
      </c>
      <c r="B1" t="s">
        <v>255</v>
      </c>
      <c r="C1" t="s">
        <v>254</v>
      </c>
      <c r="D1" t="s">
        <v>227</v>
      </c>
      <c r="E1" t="s">
        <v>191</v>
      </c>
      <c r="F1" t="s">
        <v>192</v>
      </c>
      <c r="G1" t="s">
        <v>395</v>
      </c>
      <c r="H1" t="s">
        <v>193</v>
      </c>
      <c r="I1" t="s">
        <v>9</v>
      </c>
      <c r="J1" t="s">
        <v>13</v>
      </c>
      <c r="K1" t="s">
        <v>108</v>
      </c>
      <c r="L1" t="s">
        <v>254</v>
      </c>
      <c r="M1" t="s">
        <v>736</v>
      </c>
      <c r="N1" t="s">
        <v>228</v>
      </c>
      <c r="O1" t="s">
        <v>816</v>
      </c>
      <c r="P1" t="s">
        <v>817</v>
      </c>
      <c r="Q1" t="s">
        <v>818</v>
      </c>
      <c r="R1" t="s">
        <v>229</v>
      </c>
      <c r="S1" t="s">
        <v>819</v>
      </c>
      <c r="T1" t="s">
        <v>406</v>
      </c>
      <c r="U1" t="s">
        <v>820</v>
      </c>
      <c r="V1" t="s">
        <v>821</v>
      </c>
      <c r="W1" t="s">
        <v>822</v>
      </c>
      <c r="X1" t="s">
        <v>787</v>
      </c>
      <c r="Y1" t="s">
        <v>737</v>
      </c>
      <c r="Z1" t="s">
        <v>738</v>
      </c>
      <c r="AA1" t="s">
        <v>739</v>
      </c>
      <c r="AB1" t="s">
        <v>385</v>
      </c>
      <c r="AC1" t="s">
        <v>823</v>
      </c>
      <c r="AD1" t="s">
        <v>440</v>
      </c>
      <c r="AE1" t="s">
        <v>740</v>
      </c>
      <c r="AF1" t="s">
        <v>386</v>
      </c>
      <c r="AG1" t="s">
        <v>824</v>
      </c>
      <c r="AH1" t="s">
        <v>387</v>
      </c>
      <c r="AI1" t="s">
        <v>741</v>
      </c>
      <c r="AJ1" t="s">
        <v>742</v>
      </c>
      <c r="AK1" t="s">
        <v>743</v>
      </c>
      <c r="AL1" t="s">
        <v>388</v>
      </c>
      <c r="AM1" s="35" t="s">
        <v>825</v>
      </c>
      <c r="AN1" t="s">
        <v>441</v>
      </c>
      <c r="AO1" t="s">
        <v>744</v>
      </c>
      <c r="AP1" t="s">
        <v>389</v>
      </c>
      <c r="AQ1" t="s">
        <v>826</v>
      </c>
      <c r="AR1" t="s">
        <v>390</v>
      </c>
      <c r="AS1" t="s">
        <v>827</v>
      </c>
      <c r="AT1" t="s">
        <v>828</v>
      </c>
      <c r="AU1" t="s">
        <v>829</v>
      </c>
      <c r="AV1" t="s">
        <v>830</v>
      </c>
      <c r="AW1" t="s">
        <v>831</v>
      </c>
      <c r="AX1" t="s">
        <v>832</v>
      </c>
      <c r="AY1" t="s">
        <v>833</v>
      </c>
      <c r="AZ1" t="s">
        <v>834</v>
      </c>
      <c r="BA1" t="s">
        <v>745</v>
      </c>
      <c r="BB1" t="s">
        <v>746</v>
      </c>
      <c r="BC1" t="s">
        <v>747</v>
      </c>
      <c r="BD1" t="s">
        <v>191</v>
      </c>
      <c r="BE1" t="s">
        <v>748</v>
      </c>
      <c r="BF1" t="s">
        <v>391</v>
      </c>
      <c r="BG1" t="s">
        <v>835</v>
      </c>
      <c r="BH1" t="s">
        <v>392</v>
      </c>
      <c r="BI1" t="s">
        <v>749</v>
      </c>
      <c r="BJ1" t="s">
        <v>750</v>
      </c>
      <c r="BK1" t="s">
        <v>751</v>
      </c>
      <c r="BL1" t="s">
        <v>192</v>
      </c>
      <c r="BM1" t="s">
        <v>752</v>
      </c>
      <c r="BN1" t="s">
        <v>393</v>
      </c>
      <c r="BO1" t="s">
        <v>836</v>
      </c>
      <c r="BP1" t="s">
        <v>394</v>
      </c>
      <c r="BQ1" t="s">
        <v>753</v>
      </c>
      <c r="BR1" t="s">
        <v>754</v>
      </c>
      <c r="BS1" t="s">
        <v>755</v>
      </c>
      <c r="BT1" t="s">
        <v>395</v>
      </c>
      <c r="BU1" t="s">
        <v>756</v>
      </c>
      <c r="BV1" t="s">
        <v>396</v>
      </c>
      <c r="BW1" t="s">
        <v>837</v>
      </c>
      <c r="BX1" t="s">
        <v>397</v>
      </c>
      <c r="BY1" t="s">
        <v>757</v>
      </c>
      <c r="BZ1" t="s">
        <v>758</v>
      </c>
      <c r="CA1" t="s">
        <v>759</v>
      </c>
      <c r="CB1" t="s">
        <v>230</v>
      </c>
      <c r="CC1" t="s">
        <v>760</v>
      </c>
      <c r="CD1" t="s">
        <v>398</v>
      </c>
      <c r="CE1" t="s">
        <v>838</v>
      </c>
      <c r="CF1" t="s">
        <v>761</v>
      </c>
      <c r="CG1" t="s">
        <v>762</v>
      </c>
      <c r="CH1" t="s">
        <v>763</v>
      </c>
      <c r="CI1" t="s">
        <v>764</v>
      </c>
      <c r="CJ1" t="s">
        <v>193</v>
      </c>
      <c r="CK1" t="s">
        <v>400</v>
      </c>
      <c r="CL1" t="s">
        <v>401</v>
      </c>
      <c r="CM1" t="s">
        <v>766</v>
      </c>
      <c r="CN1" t="s">
        <v>767</v>
      </c>
      <c r="CO1" t="s">
        <v>768</v>
      </c>
      <c r="CP1" t="s">
        <v>231</v>
      </c>
      <c r="CQ1" t="s">
        <v>769</v>
      </c>
      <c r="CR1" t="s">
        <v>402</v>
      </c>
      <c r="CS1" t="s">
        <v>232</v>
      </c>
      <c r="CT1" t="s">
        <v>770</v>
      </c>
      <c r="CU1" t="s">
        <v>771</v>
      </c>
      <c r="CV1" t="s">
        <v>772</v>
      </c>
      <c r="CW1" t="s">
        <v>233</v>
      </c>
      <c r="CX1" t="s">
        <v>773</v>
      </c>
      <c r="CY1" t="s">
        <v>234</v>
      </c>
      <c r="CZ1" t="s">
        <v>774</v>
      </c>
      <c r="DA1" t="s">
        <v>403</v>
      </c>
      <c r="DB1" t="s">
        <v>775</v>
      </c>
      <c r="DC1" t="s">
        <v>404</v>
      </c>
      <c r="DD1" t="s">
        <v>408</v>
      </c>
      <c r="DE1" t="s">
        <v>409</v>
      </c>
      <c r="DF1" t="s">
        <v>410</v>
      </c>
      <c r="DG1" t="s">
        <v>411</v>
      </c>
      <c r="DH1" t="s">
        <v>412</v>
      </c>
      <c r="DI1" t="s">
        <v>413</v>
      </c>
      <c r="DJ1" t="s">
        <v>414</v>
      </c>
      <c r="DK1" t="s">
        <v>415</v>
      </c>
      <c r="DL1" t="s">
        <v>840</v>
      </c>
      <c r="DM1" t="s">
        <v>777</v>
      </c>
      <c r="DN1" t="s">
        <v>778</v>
      </c>
      <c r="DO1" t="s">
        <v>814</v>
      </c>
      <c r="DP1" t="s">
        <v>841</v>
      </c>
      <c r="DQ1" t="s">
        <v>781</v>
      </c>
      <c r="DR1" t="s">
        <v>786</v>
      </c>
      <c r="DS1" t="s">
        <v>788</v>
      </c>
      <c r="DT1" t="s">
        <v>789</v>
      </c>
      <c r="DU1" s="1" t="s">
        <v>227</v>
      </c>
      <c r="DV1" t="s">
        <v>842</v>
      </c>
      <c r="DW1" t="s">
        <v>843</v>
      </c>
      <c r="DX1" t="s">
        <v>844</v>
      </c>
      <c r="DY1" t="s">
        <v>228</v>
      </c>
      <c r="DZ1" t="s">
        <v>845</v>
      </c>
      <c r="EA1" t="s">
        <v>846</v>
      </c>
      <c r="EB1" t="s">
        <v>846</v>
      </c>
      <c r="EC1" t="s">
        <v>784</v>
      </c>
      <c r="ED1" t="s">
        <v>847</v>
      </c>
      <c r="EE1" t="s">
        <v>848</v>
      </c>
      <c r="EF1" t="s">
        <v>849</v>
      </c>
      <c r="EG1" t="s">
        <v>785</v>
      </c>
      <c r="EH1" t="s">
        <v>822</v>
      </c>
      <c r="EI1" t="s">
        <v>787</v>
      </c>
      <c r="EJ1" t="s">
        <v>850</v>
      </c>
      <c r="EK1" t="s">
        <v>739</v>
      </c>
      <c r="EL1" t="s">
        <v>739</v>
      </c>
      <c r="EM1" t="s">
        <v>385</v>
      </c>
      <c r="EN1" t="s">
        <v>823</v>
      </c>
      <c r="EO1" t="s">
        <v>440</v>
      </c>
      <c r="EP1" t="s">
        <v>740</v>
      </c>
      <c r="EQ1" t="s">
        <v>386</v>
      </c>
      <c r="ER1" t="s">
        <v>851</v>
      </c>
      <c r="ES1" t="s">
        <v>387</v>
      </c>
      <c r="ET1" t="s">
        <v>741</v>
      </c>
      <c r="EU1" t="s">
        <v>742</v>
      </c>
      <c r="EV1" t="s">
        <v>743</v>
      </c>
      <c r="EW1" t="s">
        <v>388</v>
      </c>
      <c r="EX1" s="35" t="s">
        <v>825</v>
      </c>
      <c r="EY1" t="s">
        <v>441</v>
      </c>
      <c r="EZ1" t="s">
        <v>744</v>
      </c>
      <c r="FA1" t="s">
        <v>389</v>
      </c>
      <c r="FB1" t="s">
        <v>852</v>
      </c>
      <c r="FC1" t="s">
        <v>390</v>
      </c>
      <c r="FD1" t="s">
        <v>853</v>
      </c>
      <c r="FE1" t="s">
        <v>829</v>
      </c>
      <c r="FF1" t="s">
        <v>829</v>
      </c>
      <c r="FG1" t="s">
        <v>782</v>
      </c>
      <c r="FH1" t="s">
        <v>854</v>
      </c>
      <c r="FI1" t="s">
        <v>783</v>
      </c>
      <c r="FJ1" t="s">
        <v>855</v>
      </c>
      <c r="FK1" t="s">
        <v>856</v>
      </c>
      <c r="FL1" t="s">
        <v>857</v>
      </c>
      <c r="FM1" t="s">
        <v>747</v>
      </c>
      <c r="FN1" t="s">
        <v>747</v>
      </c>
      <c r="FO1" t="s">
        <v>191</v>
      </c>
      <c r="FP1" t="s">
        <v>748</v>
      </c>
      <c r="FQ1" t="s">
        <v>391</v>
      </c>
      <c r="FR1" t="s">
        <v>835</v>
      </c>
      <c r="FS1" t="s">
        <v>392</v>
      </c>
      <c r="FT1" t="s">
        <v>858</v>
      </c>
      <c r="FU1" t="s">
        <v>751</v>
      </c>
      <c r="FV1" t="s">
        <v>751</v>
      </c>
      <c r="FW1" t="s">
        <v>192</v>
      </c>
      <c r="FX1" t="s">
        <v>752</v>
      </c>
      <c r="FY1" t="s">
        <v>393</v>
      </c>
      <c r="FZ1" t="s">
        <v>836</v>
      </c>
      <c r="GA1" t="s">
        <v>394</v>
      </c>
      <c r="GB1" t="s">
        <v>859</v>
      </c>
      <c r="GC1" t="s">
        <v>755</v>
      </c>
      <c r="GD1" t="s">
        <v>755</v>
      </c>
      <c r="GE1" t="s">
        <v>395</v>
      </c>
      <c r="GF1" t="s">
        <v>756</v>
      </c>
      <c r="GG1" t="s">
        <v>396</v>
      </c>
      <c r="GH1" t="s">
        <v>397</v>
      </c>
      <c r="GI1" t="s">
        <v>397</v>
      </c>
      <c r="GJ1" t="s">
        <v>804</v>
      </c>
      <c r="GK1" t="s">
        <v>860</v>
      </c>
      <c r="GL1" t="s">
        <v>759</v>
      </c>
      <c r="GM1" t="s">
        <v>230</v>
      </c>
      <c r="GN1" t="s">
        <v>760</v>
      </c>
      <c r="GO1" t="s">
        <v>398</v>
      </c>
      <c r="GP1" t="s">
        <v>838</v>
      </c>
      <c r="GQ1" t="s">
        <v>761</v>
      </c>
      <c r="GR1" t="s">
        <v>808</v>
      </c>
      <c r="GS1" t="s">
        <v>764</v>
      </c>
      <c r="GT1" t="s">
        <v>764</v>
      </c>
      <c r="GU1" t="s">
        <v>193</v>
      </c>
      <c r="GV1" t="s">
        <v>400</v>
      </c>
      <c r="GW1" t="s">
        <v>401</v>
      </c>
      <c r="GX1" t="s">
        <v>861</v>
      </c>
      <c r="GY1" t="s">
        <v>767</v>
      </c>
      <c r="GZ1" t="s">
        <v>768</v>
      </c>
      <c r="HA1" t="s">
        <v>231</v>
      </c>
      <c r="HB1" t="s">
        <v>769</v>
      </c>
      <c r="HC1" t="s">
        <v>402</v>
      </c>
      <c r="HD1" t="s">
        <v>232</v>
      </c>
      <c r="HE1" t="s">
        <v>770</v>
      </c>
      <c r="HF1" t="s">
        <v>771</v>
      </c>
      <c r="HG1" t="s">
        <v>772</v>
      </c>
      <c r="HH1" t="s">
        <v>233</v>
      </c>
      <c r="HI1" t="s">
        <v>773</v>
      </c>
      <c r="HJ1" t="s">
        <v>234</v>
      </c>
      <c r="HK1" t="s">
        <v>774</v>
      </c>
      <c r="HL1" t="s">
        <v>403</v>
      </c>
      <c r="HM1" t="s">
        <v>775</v>
      </c>
      <c r="HN1" t="s">
        <v>404</v>
      </c>
      <c r="HO1" t="s">
        <v>408</v>
      </c>
      <c r="HP1" t="s">
        <v>409</v>
      </c>
      <c r="HQ1" t="s">
        <v>410</v>
      </c>
      <c r="HR1" t="s">
        <v>411</v>
      </c>
      <c r="HS1" t="s">
        <v>412</v>
      </c>
      <c r="HT1" t="s">
        <v>413</v>
      </c>
      <c r="HU1" t="s">
        <v>414</v>
      </c>
      <c r="HV1" t="s">
        <v>415</v>
      </c>
      <c r="HW1" t="s">
        <v>776</v>
      </c>
      <c r="HX1" t="s">
        <v>777</v>
      </c>
      <c r="HY1" t="s">
        <v>862</v>
      </c>
      <c r="HZ1" t="s">
        <v>814</v>
      </c>
      <c r="IA1" t="s">
        <v>841</v>
      </c>
      <c r="IB1" t="s">
        <v>789</v>
      </c>
      <c r="IC1" t="s">
        <v>786</v>
      </c>
    </row>
    <row r="2" spans="1:237" x14ac:dyDescent="0.2">
      <c r="A2" s="19">
        <v>44108</v>
      </c>
      <c r="B2" s="13" t="s">
        <v>417</v>
      </c>
      <c r="C2" s="41" t="s">
        <v>285</v>
      </c>
      <c r="D2" s="14" t="s">
        <v>301</v>
      </c>
      <c r="E2">
        <v>11.1</v>
      </c>
      <c r="F2">
        <v>10.9</v>
      </c>
      <c r="G2">
        <v>2.4</v>
      </c>
      <c r="H2">
        <v>7.9</v>
      </c>
      <c r="I2">
        <v>-3</v>
      </c>
      <c r="J2">
        <v>52</v>
      </c>
      <c r="K2" t="s">
        <v>109</v>
      </c>
      <c r="L2" t="s">
        <v>285</v>
      </c>
      <c r="M2">
        <v>3</v>
      </c>
      <c r="N2">
        <v>8.948888888888888</v>
      </c>
      <c r="O2">
        <v>19</v>
      </c>
      <c r="P2">
        <v>17.5</v>
      </c>
      <c r="Q2">
        <v>22</v>
      </c>
      <c r="R2">
        <v>-2.6777777777777785</v>
      </c>
      <c r="S2">
        <v>12</v>
      </c>
      <c r="T2">
        <v>1.0000000000000004</v>
      </c>
      <c r="U2">
        <v>22</v>
      </c>
      <c r="V2">
        <v>-10.555555555555555</v>
      </c>
      <c r="W2">
        <v>14</v>
      </c>
      <c r="X2">
        <v>0.11111111111111072</v>
      </c>
      <c r="Y2">
        <v>23</v>
      </c>
      <c r="Z2">
        <v>20</v>
      </c>
      <c r="AA2">
        <v>22</v>
      </c>
      <c r="AB2">
        <v>-3.3222222222222229</v>
      </c>
      <c r="AC2">
        <v>7</v>
      </c>
      <c r="AD2">
        <v>3.0000000000000004</v>
      </c>
      <c r="AE2">
        <v>14</v>
      </c>
      <c r="AF2">
        <v>0</v>
      </c>
      <c r="AG2">
        <v>24</v>
      </c>
      <c r="AH2">
        <v>-1.0000000000000002</v>
      </c>
      <c r="AI2">
        <v>13</v>
      </c>
      <c r="AJ2">
        <v>15</v>
      </c>
      <c r="AK2">
        <v>14</v>
      </c>
      <c r="AL2">
        <v>0.64444444444444449</v>
      </c>
      <c r="AM2">
        <v>24</v>
      </c>
      <c r="AN2">
        <v>-2</v>
      </c>
      <c r="AO2">
        <v>25</v>
      </c>
      <c r="AP2">
        <v>-10.555555555555555</v>
      </c>
      <c r="AQ2">
        <v>6</v>
      </c>
      <c r="AR2">
        <v>1.1111111111111109</v>
      </c>
      <c r="AS2">
        <v>3</v>
      </c>
      <c r="AT2">
        <v>3.3333333333333335</v>
      </c>
      <c r="AU2">
        <v>4</v>
      </c>
      <c r="AV2">
        <v>11.955555555555554</v>
      </c>
      <c r="AW2">
        <v>3</v>
      </c>
      <c r="AX2">
        <v>37</v>
      </c>
      <c r="AY2">
        <v>3</v>
      </c>
      <c r="AZ2">
        <v>3.7777777777777777</v>
      </c>
      <c r="BA2">
        <v>1</v>
      </c>
      <c r="BB2">
        <v>1</v>
      </c>
      <c r="BC2">
        <v>1</v>
      </c>
      <c r="BD2">
        <v>10.855555555555554</v>
      </c>
      <c r="BE2">
        <v>1</v>
      </c>
      <c r="BF2">
        <v>41.777777777777779</v>
      </c>
      <c r="BG2">
        <v>1</v>
      </c>
      <c r="BH2">
        <v>3.5555555555555558</v>
      </c>
      <c r="BI2">
        <v>17</v>
      </c>
      <c r="BJ2">
        <v>17</v>
      </c>
      <c r="BK2">
        <v>7</v>
      </c>
      <c r="BL2">
        <v>1.5777777777777775</v>
      </c>
      <c r="BM2">
        <v>19</v>
      </c>
      <c r="BN2">
        <v>-6.2222222222222241</v>
      </c>
      <c r="BO2">
        <v>25</v>
      </c>
      <c r="BP2">
        <v>-0.77777777777777801</v>
      </c>
      <c r="BQ2">
        <v>12</v>
      </c>
      <c r="BR2">
        <v>13</v>
      </c>
      <c r="BS2">
        <v>16</v>
      </c>
      <c r="BT2">
        <v>-0.47777777777777758</v>
      </c>
      <c r="BU2">
        <v>13</v>
      </c>
      <c r="BV2">
        <v>1.444444444444444</v>
      </c>
      <c r="BW2">
        <v>10</v>
      </c>
      <c r="BX2">
        <v>1</v>
      </c>
      <c r="BY2">
        <v>25</v>
      </c>
      <c r="BZ2">
        <v>23.666666666666668</v>
      </c>
      <c r="CA2">
        <v>24</v>
      </c>
      <c r="CB2">
        <v>-2.3888888888888906</v>
      </c>
      <c r="CC2">
        <v>28</v>
      </c>
      <c r="CD2">
        <v>-17.222222222222225</v>
      </c>
      <c r="CE2">
        <v>19</v>
      </c>
      <c r="CF2">
        <v>-0.33333333333333276</v>
      </c>
      <c r="CG2">
        <v>27</v>
      </c>
      <c r="CH2">
        <v>26.666666666666668</v>
      </c>
      <c r="CI2">
        <v>30</v>
      </c>
      <c r="CJ2">
        <v>-4.4111111111111114</v>
      </c>
      <c r="CK2">
        <v>-9.6666666666666661</v>
      </c>
      <c r="CL2">
        <v>-1.7777777777777779</v>
      </c>
      <c r="CM2">
        <v>19</v>
      </c>
      <c r="CN2">
        <v>18</v>
      </c>
      <c r="CO2">
        <v>19</v>
      </c>
      <c r="CP2">
        <v>-0.44444444444444464</v>
      </c>
      <c r="CQ2">
        <v>17</v>
      </c>
      <c r="CR2">
        <v>0.11111111111111109</v>
      </c>
      <c r="CS2">
        <v>0.44444444444444481</v>
      </c>
      <c r="CT2">
        <v>26</v>
      </c>
      <c r="CU2">
        <v>21</v>
      </c>
      <c r="CV2">
        <v>26</v>
      </c>
      <c r="CW2">
        <v>-4.1748828581933906E-2</v>
      </c>
      <c r="CX2">
        <v>27</v>
      </c>
      <c r="CY2">
        <v>-1.6219567225039182E-2</v>
      </c>
      <c r="CZ2">
        <v>12</v>
      </c>
      <c r="DA2">
        <v>-3.3008658008657966E-2</v>
      </c>
      <c r="DB2">
        <v>19</v>
      </c>
      <c r="DC2">
        <v>-0.11111111111111131</v>
      </c>
      <c r="DD2">
        <v>6.333333333333333</v>
      </c>
      <c r="DE2">
        <v>2.1111111111111112</v>
      </c>
      <c r="DF2">
        <v>-0.77777777777777779</v>
      </c>
      <c r="DG2">
        <v>45.666666666666664</v>
      </c>
      <c r="DH2">
        <v>34</v>
      </c>
      <c r="DI2">
        <v>-15.555555555555559</v>
      </c>
      <c r="DJ2">
        <v>-4.333333333333333</v>
      </c>
      <c r="DK2">
        <v>31.555555555555557</v>
      </c>
      <c r="DL2">
        <v>2</v>
      </c>
      <c r="DM2">
        <v>11.626666666666667</v>
      </c>
      <c r="DN2">
        <v>4.6375555555555552</v>
      </c>
      <c r="DO2">
        <v>49.555555555555557</v>
      </c>
      <c r="DP2">
        <v>31</v>
      </c>
      <c r="DQ2">
        <v>1.6713888888888884</v>
      </c>
      <c r="DR2">
        <v>1.9999999999999998</v>
      </c>
      <c r="DS2">
        <v>0.24041666666666661</v>
      </c>
      <c r="DT2">
        <v>-0.58972222222222204</v>
      </c>
      <c r="DU2" t="s">
        <v>301</v>
      </c>
      <c r="DV2" t="s">
        <v>279</v>
      </c>
      <c r="DW2" t="s">
        <v>484</v>
      </c>
      <c r="DX2">
        <v>27</v>
      </c>
      <c r="DY2">
        <v>-3.7577777777777772</v>
      </c>
      <c r="DZ2">
        <v>4</v>
      </c>
      <c r="EA2">
        <v>9.75</v>
      </c>
      <c r="EB2">
        <v>1</v>
      </c>
      <c r="EC2">
        <v>14.2</v>
      </c>
      <c r="ED2">
        <v>27</v>
      </c>
      <c r="EE2">
        <v>-2.4444444444444446</v>
      </c>
      <c r="EF2">
        <v>10</v>
      </c>
      <c r="EG2">
        <v>6.7777777777777768</v>
      </c>
      <c r="EH2">
        <v>1</v>
      </c>
      <c r="EI2">
        <v>3.4444444444444446</v>
      </c>
      <c r="EJ2">
        <v>4</v>
      </c>
      <c r="EK2">
        <v>8.25</v>
      </c>
      <c r="EL2">
        <v>1</v>
      </c>
      <c r="EM2">
        <v>13.755555555555555</v>
      </c>
      <c r="EN2">
        <v>22</v>
      </c>
      <c r="EO2">
        <v>-1.1111111111111114</v>
      </c>
      <c r="EP2">
        <v>9</v>
      </c>
      <c r="EQ2">
        <v>6.1111111111111098</v>
      </c>
      <c r="ER2">
        <v>1</v>
      </c>
      <c r="ES2">
        <v>2.7777777777777781</v>
      </c>
      <c r="ET2">
        <v>18</v>
      </c>
      <c r="EU2">
        <v>17.333333333333332</v>
      </c>
      <c r="EV2">
        <v>14</v>
      </c>
      <c r="EW2">
        <v>0.44444444444444436</v>
      </c>
      <c r="EX2">
        <v>25</v>
      </c>
      <c r="EY2">
        <v>-1.3333333333333333</v>
      </c>
      <c r="EZ2">
        <v>13</v>
      </c>
      <c r="FA2">
        <v>0.6666666666666673</v>
      </c>
      <c r="FB2">
        <v>5</v>
      </c>
      <c r="FC2">
        <v>0.66666666666666663</v>
      </c>
      <c r="FD2">
        <v>7</v>
      </c>
      <c r="FE2">
        <v>9.6666666666666661</v>
      </c>
      <c r="FF2">
        <v>10</v>
      </c>
      <c r="FG2">
        <v>2.9222222222222221</v>
      </c>
      <c r="FH2">
        <v>9</v>
      </c>
      <c r="FI2">
        <v>12.777777777777786</v>
      </c>
      <c r="FJ2">
        <v>10</v>
      </c>
      <c r="FK2">
        <v>0.6666666666666663</v>
      </c>
      <c r="FL2">
        <v>1</v>
      </c>
      <c r="FM2">
        <v>1.6666666666666667</v>
      </c>
      <c r="FN2">
        <v>2</v>
      </c>
      <c r="FO2">
        <v>7</v>
      </c>
      <c r="FP2">
        <v>2</v>
      </c>
      <c r="FQ2">
        <v>24.222222222222229</v>
      </c>
      <c r="FR2">
        <v>1</v>
      </c>
      <c r="FS2">
        <v>2.7777777777777772</v>
      </c>
      <c r="FT2">
        <v>19</v>
      </c>
      <c r="FU2">
        <v>17.666666666666668</v>
      </c>
      <c r="FV2">
        <v>18</v>
      </c>
      <c r="FW2">
        <v>-0.95555555555555571</v>
      </c>
      <c r="FX2">
        <v>9</v>
      </c>
      <c r="FY2">
        <v>6</v>
      </c>
      <c r="FZ2">
        <v>26</v>
      </c>
      <c r="GA2">
        <v>-1.2222222222222221</v>
      </c>
      <c r="GB2">
        <v>28</v>
      </c>
      <c r="GC2">
        <v>27.333333333333332</v>
      </c>
      <c r="GD2">
        <v>28</v>
      </c>
      <c r="GE2">
        <v>-3.1222222222222222</v>
      </c>
      <c r="GF2">
        <v>30</v>
      </c>
      <c r="GG2">
        <v>-17.444444444444443</v>
      </c>
      <c r="GH2">
        <v>24</v>
      </c>
      <c r="GI2">
        <v>-0.88888888888888884</v>
      </c>
      <c r="GJ2">
        <v>7</v>
      </c>
      <c r="GK2">
        <v>7.333333333333333</v>
      </c>
      <c r="GL2">
        <v>7</v>
      </c>
      <c r="GM2">
        <v>3.0444444444444447</v>
      </c>
      <c r="GN2">
        <v>6</v>
      </c>
      <c r="GO2">
        <v>12.666666666666671</v>
      </c>
      <c r="GP2">
        <v>9</v>
      </c>
      <c r="GQ2">
        <v>0.55555555555555569</v>
      </c>
      <c r="GR2">
        <v>30</v>
      </c>
      <c r="GS2">
        <v>29</v>
      </c>
      <c r="GT2">
        <v>30</v>
      </c>
      <c r="GU2">
        <v>-4.4666666666666677</v>
      </c>
      <c r="GV2">
        <v>-15.77777777777778</v>
      </c>
      <c r="GW2">
        <v>-1.4444444444444446</v>
      </c>
      <c r="GX2">
        <v>22</v>
      </c>
      <c r="GY2">
        <v>23</v>
      </c>
      <c r="GZ2">
        <v>17</v>
      </c>
      <c r="HA2">
        <v>-0.33333333333333365</v>
      </c>
      <c r="HB2">
        <v>29</v>
      </c>
      <c r="HC2">
        <v>-0.77777777777777779</v>
      </c>
      <c r="HD2">
        <v>-0.11111111111111094</v>
      </c>
      <c r="HE2">
        <v>28</v>
      </c>
      <c r="HF2">
        <v>22.75</v>
      </c>
      <c r="HG2">
        <v>30</v>
      </c>
      <c r="HH2">
        <v>-5.6087108307932676E-2</v>
      </c>
      <c r="HI2">
        <v>30</v>
      </c>
      <c r="HJ2">
        <v>-2.8389665781818368E-2</v>
      </c>
      <c r="HK2">
        <v>3</v>
      </c>
      <c r="HL2">
        <v>-0.18879551820728294</v>
      </c>
      <c r="HM2">
        <v>28</v>
      </c>
      <c r="HN2">
        <v>-2.4444444444444442</v>
      </c>
      <c r="HO2">
        <v>-0.44444444444444525</v>
      </c>
      <c r="HP2">
        <v>2.5555555555555558</v>
      </c>
      <c r="HQ2">
        <v>-0.22222222222222221</v>
      </c>
      <c r="HR2">
        <v>-2.2222222222222285</v>
      </c>
      <c r="HS2">
        <v>-3.1111111111111049</v>
      </c>
      <c r="HT2">
        <v>1.6666666666666714</v>
      </c>
      <c r="HU2">
        <v>1.1111111111111114</v>
      </c>
      <c r="HV2">
        <v>-1.8888888888888891</v>
      </c>
      <c r="HW2">
        <v>32</v>
      </c>
      <c r="HX2">
        <v>-17.957777777777778</v>
      </c>
      <c r="HY2">
        <v>-8.1604444444444439</v>
      </c>
      <c r="HZ2">
        <v>-4.7777777777777768</v>
      </c>
      <c r="IA2">
        <v>1</v>
      </c>
      <c r="IB2">
        <v>1.0705555555555553</v>
      </c>
      <c r="IC2">
        <v>-0.77777777777777835</v>
      </c>
    </row>
    <row r="3" spans="1:237" x14ac:dyDescent="0.2">
      <c r="A3" s="19">
        <v>44108</v>
      </c>
      <c r="B3" s="13" t="s">
        <v>417</v>
      </c>
      <c r="C3" s="41" t="s">
        <v>295</v>
      </c>
      <c r="D3" s="14" t="s">
        <v>300</v>
      </c>
      <c r="E3">
        <v>7.2</v>
      </c>
      <c r="F3">
        <v>0</v>
      </c>
      <c r="G3">
        <v>4</v>
      </c>
      <c r="H3">
        <v>9.1</v>
      </c>
      <c r="I3">
        <v>4.5</v>
      </c>
      <c r="J3">
        <v>56</v>
      </c>
      <c r="L3" t="s">
        <v>295</v>
      </c>
      <c r="M3">
        <v>20</v>
      </c>
      <c r="N3">
        <v>-1.400000000000001</v>
      </c>
      <c r="O3">
        <v>14</v>
      </c>
      <c r="P3">
        <v>14.25</v>
      </c>
      <c r="Q3">
        <v>15</v>
      </c>
      <c r="R3">
        <v>-0.15555555555555589</v>
      </c>
      <c r="S3">
        <v>9</v>
      </c>
      <c r="T3">
        <v>2.2222222222222223</v>
      </c>
      <c r="U3">
        <v>4</v>
      </c>
      <c r="V3">
        <v>18.222222222222221</v>
      </c>
      <c r="W3">
        <v>29</v>
      </c>
      <c r="X3">
        <v>-1.4444444444444446</v>
      </c>
      <c r="Y3">
        <v>23</v>
      </c>
      <c r="Z3">
        <v>20</v>
      </c>
      <c r="AA3">
        <v>20</v>
      </c>
      <c r="AB3">
        <v>-1.8111111111111111</v>
      </c>
      <c r="AC3">
        <v>8</v>
      </c>
      <c r="AD3">
        <v>2.3333333333333335</v>
      </c>
      <c r="AE3">
        <v>11</v>
      </c>
      <c r="AF3">
        <v>9.4444444444444446</v>
      </c>
      <c r="AG3">
        <v>29</v>
      </c>
      <c r="AH3">
        <v>-1.4444444444444446</v>
      </c>
      <c r="AI3">
        <v>5</v>
      </c>
      <c r="AJ3">
        <v>9.6666666666666661</v>
      </c>
      <c r="AK3">
        <v>7</v>
      </c>
      <c r="AL3">
        <v>1.6555555555555552</v>
      </c>
      <c r="AM3">
        <v>15</v>
      </c>
      <c r="AN3">
        <v>-0.11111111111111101</v>
      </c>
      <c r="AO3">
        <v>7</v>
      </c>
      <c r="AP3">
        <v>8.7777777777777768</v>
      </c>
      <c r="AQ3">
        <v>15</v>
      </c>
      <c r="AR3">
        <v>7.4014868308343765E-17</v>
      </c>
      <c r="AS3">
        <v>5</v>
      </c>
      <c r="AT3">
        <v>7</v>
      </c>
      <c r="AU3">
        <v>6</v>
      </c>
      <c r="AV3">
        <v>7.2888888888888843</v>
      </c>
      <c r="AW3">
        <v>8</v>
      </c>
      <c r="AX3">
        <v>20.333333333333336</v>
      </c>
      <c r="AY3">
        <v>7</v>
      </c>
      <c r="AZ3">
        <v>2.6666666666666661</v>
      </c>
      <c r="BA3">
        <v>16</v>
      </c>
      <c r="BB3">
        <v>17</v>
      </c>
      <c r="BC3">
        <v>20</v>
      </c>
      <c r="BD3">
        <v>-2.1777777777777789</v>
      </c>
      <c r="BE3">
        <v>13</v>
      </c>
      <c r="BF3">
        <v>2.6666666666666714</v>
      </c>
      <c r="BG3">
        <v>18</v>
      </c>
      <c r="BH3">
        <v>0</v>
      </c>
      <c r="BI3">
        <v>6</v>
      </c>
      <c r="BJ3">
        <v>8.3333333333333339</v>
      </c>
      <c r="BK3">
        <v>2</v>
      </c>
      <c r="BL3">
        <v>5.6666666666666643</v>
      </c>
      <c r="BM3">
        <v>13</v>
      </c>
      <c r="BN3">
        <v>4.5555555555555545</v>
      </c>
      <c r="BO3">
        <v>10</v>
      </c>
      <c r="BP3">
        <v>0.44444444444444436</v>
      </c>
      <c r="BQ3">
        <v>1</v>
      </c>
      <c r="BR3">
        <v>2.6666666666666665</v>
      </c>
      <c r="BS3">
        <v>3</v>
      </c>
      <c r="BT3">
        <v>3.7999999999999994</v>
      </c>
      <c r="BU3">
        <v>4</v>
      </c>
      <c r="BV3">
        <v>13.111111111111109</v>
      </c>
      <c r="BW3">
        <v>1</v>
      </c>
      <c r="BX3">
        <v>2.2222222222222219</v>
      </c>
      <c r="BY3">
        <v>29</v>
      </c>
      <c r="BZ3">
        <v>27</v>
      </c>
      <c r="CA3">
        <v>28</v>
      </c>
      <c r="CB3">
        <v>-3.8666666666666671</v>
      </c>
      <c r="CC3">
        <v>27</v>
      </c>
      <c r="CD3">
        <v>-16.444444444444446</v>
      </c>
      <c r="CE3">
        <v>26</v>
      </c>
      <c r="CF3">
        <v>-1.3333333333333339</v>
      </c>
      <c r="CG3">
        <v>16</v>
      </c>
      <c r="CH3">
        <v>16.333333333333332</v>
      </c>
      <c r="CI3">
        <v>13</v>
      </c>
      <c r="CJ3">
        <v>0.47777777777777697</v>
      </c>
      <c r="CK3">
        <v>-7.4444444444444429</v>
      </c>
      <c r="CL3">
        <v>0.11111111111111131</v>
      </c>
      <c r="CM3">
        <v>4</v>
      </c>
      <c r="CN3">
        <v>5.5</v>
      </c>
      <c r="CO3">
        <v>2</v>
      </c>
      <c r="CP3">
        <v>2.6666666666666665</v>
      </c>
      <c r="CQ3">
        <v>9</v>
      </c>
      <c r="CR3">
        <v>0.44444444444444436</v>
      </c>
      <c r="CS3">
        <v>-2.1111111111111112</v>
      </c>
      <c r="CT3">
        <v>26</v>
      </c>
      <c r="CU3">
        <v>21</v>
      </c>
      <c r="CV3">
        <v>13</v>
      </c>
      <c r="CW3">
        <v>1.100646245667955E-2</v>
      </c>
      <c r="CX3">
        <v>23</v>
      </c>
      <c r="CY3">
        <v>-5.8281864211089272E-3</v>
      </c>
      <c r="CZ3">
        <v>21</v>
      </c>
      <c r="DA3">
        <v>5.7231040564373892E-2</v>
      </c>
      <c r="DB3">
        <v>27</v>
      </c>
      <c r="DC3">
        <v>-2.3333333333333335</v>
      </c>
      <c r="DD3">
        <v>0.22222222222222379</v>
      </c>
      <c r="DE3">
        <v>3.7777777777777772</v>
      </c>
      <c r="DF3">
        <v>-1</v>
      </c>
      <c r="DG3">
        <v>-3.555555555555562</v>
      </c>
      <c r="DH3">
        <v>-8.3333333333333517</v>
      </c>
      <c r="DI3">
        <v>19.777777777777782</v>
      </c>
      <c r="DJ3">
        <v>-1</v>
      </c>
      <c r="DK3">
        <v>-14</v>
      </c>
      <c r="DL3">
        <v>19</v>
      </c>
      <c r="DM3">
        <v>-1.2444444444444451</v>
      </c>
      <c r="DN3">
        <v>1.35111111111111</v>
      </c>
      <c r="DO3">
        <v>-28.111111111111136</v>
      </c>
      <c r="DP3">
        <v>14</v>
      </c>
      <c r="DQ3">
        <v>1.1097222222222214</v>
      </c>
      <c r="DR3">
        <v>2.7777777777777772</v>
      </c>
      <c r="DS3">
        <v>1.8165277777777775</v>
      </c>
      <c r="DT3">
        <v>2.3349999999999995</v>
      </c>
      <c r="DU3" t="s">
        <v>300</v>
      </c>
      <c r="DV3" t="s">
        <v>253</v>
      </c>
      <c r="DW3" t="s">
        <v>458</v>
      </c>
      <c r="DX3">
        <v>6</v>
      </c>
      <c r="DY3">
        <v>3.9288888888888889</v>
      </c>
      <c r="DZ3">
        <v>13</v>
      </c>
      <c r="EA3">
        <v>14.75</v>
      </c>
      <c r="EB3">
        <v>3</v>
      </c>
      <c r="EC3">
        <v>6.344444444444445</v>
      </c>
      <c r="ED3">
        <v>29</v>
      </c>
      <c r="EE3">
        <v>-3.7777777777777777</v>
      </c>
      <c r="EF3">
        <v>23</v>
      </c>
      <c r="EG3">
        <v>-12.555555555555559</v>
      </c>
      <c r="EH3">
        <v>4</v>
      </c>
      <c r="EI3">
        <v>1.6666666666666665</v>
      </c>
      <c r="EJ3">
        <v>19</v>
      </c>
      <c r="EK3">
        <v>18.75</v>
      </c>
      <c r="EL3">
        <v>8</v>
      </c>
      <c r="EM3">
        <v>2.7111111111111117</v>
      </c>
      <c r="EN3">
        <v>32</v>
      </c>
      <c r="EO3">
        <v>-5</v>
      </c>
      <c r="EP3">
        <v>32</v>
      </c>
      <c r="EQ3">
        <v>-25.222222222222225</v>
      </c>
      <c r="ER3">
        <v>3</v>
      </c>
      <c r="ES3">
        <v>1.5555555555555554</v>
      </c>
      <c r="ET3">
        <v>2</v>
      </c>
      <c r="EU3">
        <v>5</v>
      </c>
      <c r="EV3">
        <v>1</v>
      </c>
      <c r="EW3">
        <v>3.6333333333333329</v>
      </c>
      <c r="EX3">
        <v>9</v>
      </c>
      <c r="EY3">
        <v>1.2222222222222221</v>
      </c>
      <c r="EZ3">
        <v>5</v>
      </c>
      <c r="FA3">
        <v>12.666666666666666</v>
      </c>
      <c r="FB3">
        <v>14</v>
      </c>
      <c r="FC3">
        <v>0.11111111111111109</v>
      </c>
      <c r="FD3">
        <v>14</v>
      </c>
      <c r="FE3">
        <v>13</v>
      </c>
      <c r="FF3">
        <v>7</v>
      </c>
      <c r="FG3">
        <v>3.5666666666666664</v>
      </c>
      <c r="FH3">
        <v>14</v>
      </c>
      <c r="FI3">
        <v>2.4444444444444429</v>
      </c>
      <c r="FJ3">
        <v>18</v>
      </c>
      <c r="FK3">
        <v>-0.44444444444444475</v>
      </c>
      <c r="FL3">
        <v>7</v>
      </c>
      <c r="FM3">
        <v>9</v>
      </c>
      <c r="FN3">
        <v>3</v>
      </c>
      <c r="FO3">
        <v>6.6555555555555559</v>
      </c>
      <c r="FP3">
        <v>6</v>
      </c>
      <c r="FQ3">
        <v>14.444444444444445</v>
      </c>
      <c r="FR3">
        <v>18</v>
      </c>
      <c r="FS3">
        <v>-0.22222222222222232</v>
      </c>
      <c r="FT3">
        <v>26</v>
      </c>
      <c r="FU3">
        <v>25.666666666666668</v>
      </c>
      <c r="FV3">
        <v>31</v>
      </c>
      <c r="FW3">
        <v>-4.6222222222222227</v>
      </c>
      <c r="FX3">
        <v>30</v>
      </c>
      <c r="FY3">
        <v>-22.888888888888889</v>
      </c>
      <c r="FZ3">
        <v>16</v>
      </c>
      <c r="GA3">
        <v>0.22222222222222202</v>
      </c>
      <c r="GB3">
        <v>9</v>
      </c>
      <c r="GC3">
        <v>11.333333333333334</v>
      </c>
      <c r="GD3">
        <v>8</v>
      </c>
      <c r="GE3">
        <v>1.5333333333333332</v>
      </c>
      <c r="GF3">
        <v>6</v>
      </c>
      <c r="GG3">
        <v>10.888888888888888</v>
      </c>
      <c r="GH3">
        <v>20</v>
      </c>
      <c r="GI3">
        <v>-0.44444444444444448</v>
      </c>
      <c r="GJ3">
        <v>17</v>
      </c>
      <c r="GK3">
        <v>17</v>
      </c>
      <c r="GL3">
        <v>14</v>
      </c>
      <c r="GM3">
        <v>-1.1111111111111072E-2</v>
      </c>
      <c r="GN3">
        <v>21</v>
      </c>
      <c r="GO3">
        <v>-6.7777777777777759</v>
      </c>
      <c r="GP3">
        <v>16</v>
      </c>
      <c r="GQ3">
        <v>0.11111111111111101</v>
      </c>
      <c r="GR3">
        <v>23</v>
      </c>
      <c r="GS3">
        <v>20.333333333333332</v>
      </c>
      <c r="GT3">
        <v>23</v>
      </c>
      <c r="GU3">
        <v>-2.1222222222222222</v>
      </c>
      <c r="GV3">
        <v>1</v>
      </c>
      <c r="GW3">
        <v>-1.1111111111111109</v>
      </c>
      <c r="GX3">
        <v>24</v>
      </c>
      <c r="GY3">
        <v>24</v>
      </c>
      <c r="GZ3">
        <v>23</v>
      </c>
      <c r="HA3">
        <v>-1.333333333333333</v>
      </c>
      <c r="HB3">
        <v>25</v>
      </c>
      <c r="HC3">
        <v>-0.44444444444444442</v>
      </c>
      <c r="HD3">
        <v>-6.2222222222222223</v>
      </c>
      <c r="HE3">
        <v>20</v>
      </c>
      <c r="HF3">
        <v>17.5</v>
      </c>
      <c r="HG3">
        <v>31</v>
      </c>
      <c r="HH3">
        <v>-8.0954013391946814E-2</v>
      </c>
      <c r="HI3">
        <v>12</v>
      </c>
      <c r="HJ3">
        <v>5.3594875867227732E-3</v>
      </c>
      <c r="HK3">
        <v>19</v>
      </c>
      <c r="HL3">
        <v>2.9629629629629634E-2</v>
      </c>
      <c r="HM3">
        <v>8</v>
      </c>
      <c r="HN3">
        <v>1</v>
      </c>
      <c r="HO3">
        <v>-4</v>
      </c>
      <c r="HP3">
        <v>3.2222222222222228</v>
      </c>
      <c r="HQ3">
        <v>-0.77777777777777779</v>
      </c>
      <c r="HR3">
        <v>11.444444444444457</v>
      </c>
      <c r="HS3">
        <v>15.666666666666677</v>
      </c>
      <c r="HT3">
        <v>-5.0000000000000044</v>
      </c>
      <c r="HU3">
        <v>-2.8888888888888893</v>
      </c>
      <c r="HV3">
        <v>3.6666666666666665</v>
      </c>
      <c r="HW3">
        <v>25</v>
      </c>
      <c r="HX3">
        <v>-2.4155555555555561</v>
      </c>
      <c r="HY3">
        <v>-2.0975555555555561</v>
      </c>
      <c r="HZ3">
        <v>20.666666666666682</v>
      </c>
      <c r="IA3">
        <v>8</v>
      </c>
      <c r="IB3">
        <v>1.2980555555555555</v>
      </c>
      <c r="IC3">
        <v>-1.5555555555555558</v>
      </c>
    </row>
    <row r="4" spans="1:237" x14ac:dyDescent="0.2">
      <c r="A4" s="19">
        <v>44108</v>
      </c>
      <c r="B4" s="13" t="s">
        <v>417</v>
      </c>
      <c r="C4" s="41" t="s">
        <v>305</v>
      </c>
      <c r="D4" s="14" t="s">
        <v>306</v>
      </c>
      <c r="E4">
        <v>12.6</v>
      </c>
      <c r="F4">
        <v>4.8</v>
      </c>
      <c r="G4">
        <v>4</v>
      </c>
      <c r="H4">
        <v>20.7</v>
      </c>
      <c r="I4">
        <v>-14</v>
      </c>
      <c r="J4">
        <v>44.5</v>
      </c>
      <c r="K4" t="s">
        <v>110</v>
      </c>
      <c r="L4" t="s">
        <v>305</v>
      </c>
      <c r="M4">
        <v>17</v>
      </c>
      <c r="N4">
        <v>-0.98888888888888948</v>
      </c>
      <c r="O4">
        <v>32</v>
      </c>
      <c r="P4">
        <v>30.25</v>
      </c>
      <c r="Q4">
        <v>27</v>
      </c>
      <c r="R4">
        <v>-6.0333333333333314</v>
      </c>
      <c r="S4">
        <v>32</v>
      </c>
      <c r="T4">
        <v>-6</v>
      </c>
      <c r="U4">
        <v>30</v>
      </c>
      <c r="V4">
        <v>-27.000000000000007</v>
      </c>
      <c r="W4">
        <v>32</v>
      </c>
      <c r="X4">
        <v>-2.8888888888888888</v>
      </c>
      <c r="Y4">
        <v>32</v>
      </c>
      <c r="Z4">
        <v>31</v>
      </c>
      <c r="AA4">
        <v>32</v>
      </c>
      <c r="AB4">
        <v>-8.0888888888888868</v>
      </c>
      <c r="AC4">
        <v>30</v>
      </c>
      <c r="AD4">
        <v>-4.7777777777777777</v>
      </c>
      <c r="AE4">
        <v>31</v>
      </c>
      <c r="AF4">
        <v>-31.555555555555561</v>
      </c>
      <c r="AG4">
        <v>30</v>
      </c>
      <c r="AH4">
        <v>-1.7777777777777779</v>
      </c>
      <c r="AI4">
        <v>13</v>
      </c>
      <c r="AJ4">
        <v>15</v>
      </c>
      <c r="AK4">
        <v>5</v>
      </c>
      <c r="AL4">
        <v>2.0555555555555554</v>
      </c>
      <c r="AM4">
        <v>19</v>
      </c>
      <c r="AN4">
        <v>-1.2222222222222221</v>
      </c>
      <c r="AO4">
        <v>12</v>
      </c>
      <c r="AP4">
        <v>4.5555555555555554</v>
      </c>
      <c r="AQ4">
        <v>28</v>
      </c>
      <c r="AR4">
        <v>-1.1111111111111109</v>
      </c>
      <c r="AS4">
        <v>25</v>
      </c>
      <c r="AT4">
        <v>25</v>
      </c>
      <c r="AU4">
        <v>23</v>
      </c>
      <c r="AV4">
        <v>-5.033333333333335</v>
      </c>
      <c r="AW4">
        <v>20</v>
      </c>
      <c r="AX4">
        <v>-15.666666666666664</v>
      </c>
      <c r="AY4">
        <v>32</v>
      </c>
      <c r="AZ4">
        <v>-5</v>
      </c>
      <c r="BA4">
        <v>29</v>
      </c>
      <c r="BB4">
        <v>27.333333333333332</v>
      </c>
      <c r="BC4">
        <v>29</v>
      </c>
      <c r="BD4">
        <v>-4.7</v>
      </c>
      <c r="BE4">
        <v>28</v>
      </c>
      <c r="BF4">
        <v>-15.555555555555555</v>
      </c>
      <c r="BG4">
        <v>25</v>
      </c>
      <c r="BH4">
        <v>-1.5555555555555554</v>
      </c>
      <c r="BI4">
        <v>22</v>
      </c>
      <c r="BJ4">
        <v>21</v>
      </c>
      <c r="BK4">
        <v>15</v>
      </c>
      <c r="BL4">
        <v>0.39999999999999886</v>
      </c>
      <c r="BM4">
        <v>16</v>
      </c>
      <c r="BN4">
        <v>-0.11111111111110954</v>
      </c>
      <c r="BO4">
        <v>32</v>
      </c>
      <c r="BP4">
        <v>-2.2222222222222223</v>
      </c>
      <c r="BQ4">
        <v>21</v>
      </c>
      <c r="BR4">
        <v>20.333333333333332</v>
      </c>
      <c r="BS4">
        <v>19</v>
      </c>
      <c r="BT4">
        <v>-0.7333333333333335</v>
      </c>
      <c r="BU4">
        <v>16</v>
      </c>
      <c r="BV4">
        <v>5.9211894646675012E-16</v>
      </c>
      <c r="BW4">
        <v>26</v>
      </c>
      <c r="BX4">
        <v>-1.2222222222222221</v>
      </c>
      <c r="BY4">
        <v>21</v>
      </c>
      <c r="BZ4">
        <v>21.333333333333332</v>
      </c>
      <c r="CA4">
        <v>23</v>
      </c>
      <c r="CB4">
        <v>-2.3555555555555547</v>
      </c>
      <c r="CC4">
        <v>16</v>
      </c>
      <c r="CD4">
        <v>-2.4444444444444478</v>
      </c>
      <c r="CE4">
        <v>25</v>
      </c>
      <c r="CF4">
        <v>-1.3333333333333333</v>
      </c>
      <c r="CG4">
        <v>25</v>
      </c>
      <c r="CH4">
        <v>24.333333333333332</v>
      </c>
      <c r="CI4">
        <v>25</v>
      </c>
      <c r="CJ4">
        <v>-3.1555555555555537</v>
      </c>
      <c r="CK4">
        <v>-13.777777777777777</v>
      </c>
      <c r="CL4">
        <v>-1.2222222222222223</v>
      </c>
      <c r="CM4">
        <v>3</v>
      </c>
      <c r="CN4">
        <v>4</v>
      </c>
      <c r="CO4">
        <v>1</v>
      </c>
      <c r="CP4">
        <v>2.7777777777777772</v>
      </c>
      <c r="CQ4">
        <v>7</v>
      </c>
      <c r="CR4">
        <v>0.44444444444444448</v>
      </c>
      <c r="CS4">
        <v>6.4444444444444438</v>
      </c>
      <c r="CT4">
        <v>11</v>
      </c>
      <c r="CU4">
        <v>13</v>
      </c>
      <c r="CV4">
        <v>4</v>
      </c>
      <c r="CW4">
        <v>7.7372709702086054E-2</v>
      </c>
      <c r="CX4">
        <v>1</v>
      </c>
      <c r="CY4">
        <v>2.9444158195066295E-2</v>
      </c>
      <c r="CZ4">
        <v>25</v>
      </c>
      <c r="DA4">
        <v>8.5819427486094169E-2</v>
      </c>
      <c r="DB4">
        <v>22</v>
      </c>
      <c r="DC4">
        <v>-1</v>
      </c>
      <c r="DD4">
        <v>-8.6666666666666643</v>
      </c>
      <c r="DE4">
        <v>0.22222222222222263</v>
      </c>
      <c r="DF4">
        <v>3.1111111111111107</v>
      </c>
      <c r="DG4">
        <v>-21</v>
      </c>
      <c r="DH4">
        <v>-42.444444444444457</v>
      </c>
      <c r="DI4">
        <v>-6.3333333333333384</v>
      </c>
      <c r="DJ4">
        <v>-5.4444444444444438</v>
      </c>
      <c r="DK4">
        <v>33.222222222222221</v>
      </c>
      <c r="DL4">
        <v>7</v>
      </c>
      <c r="DM4">
        <v>5.0444444444444416</v>
      </c>
      <c r="DN4">
        <v>1.1811111111111099</v>
      </c>
      <c r="DO4">
        <v>-36.111111111111121</v>
      </c>
      <c r="DP4">
        <v>26</v>
      </c>
      <c r="DQ4">
        <v>-1.5541666666666667</v>
      </c>
      <c r="DR4">
        <v>-6.2222222222222223</v>
      </c>
      <c r="DS4">
        <v>-0.4904166666666665</v>
      </c>
      <c r="DT4">
        <v>-0.98861111111111122</v>
      </c>
      <c r="DU4" t="s">
        <v>306</v>
      </c>
      <c r="DV4" t="s">
        <v>283</v>
      </c>
      <c r="DW4" t="s">
        <v>454</v>
      </c>
      <c r="DX4">
        <v>14</v>
      </c>
      <c r="DY4">
        <v>0.77333333333333343</v>
      </c>
      <c r="DZ4">
        <v>27</v>
      </c>
      <c r="EA4">
        <v>22.75</v>
      </c>
      <c r="EB4">
        <v>22</v>
      </c>
      <c r="EC4">
        <v>-2.3222222222222211</v>
      </c>
      <c r="ED4">
        <v>14</v>
      </c>
      <c r="EE4">
        <v>0.33333333333333359</v>
      </c>
      <c r="EF4">
        <v>27</v>
      </c>
      <c r="EG4">
        <v>-15</v>
      </c>
      <c r="EH4">
        <v>28</v>
      </c>
      <c r="EI4">
        <v>-1.1111111111111114</v>
      </c>
      <c r="EJ4">
        <v>25</v>
      </c>
      <c r="EK4">
        <v>22</v>
      </c>
      <c r="EL4">
        <v>17</v>
      </c>
      <c r="EM4">
        <v>-0.36666666666666536</v>
      </c>
      <c r="EN4">
        <v>20</v>
      </c>
      <c r="EO4">
        <v>-0.88888888888888873</v>
      </c>
      <c r="EP4">
        <v>21</v>
      </c>
      <c r="EQ4">
        <v>-5.4444444444444429</v>
      </c>
      <c r="ER4">
        <v>30</v>
      </c>
      <c r="ES4">
        <v>-1.1111111111111114</v>
      </c>
      <c r="ET4">
        <v>25</v>
      </c>
      <c r="EU4">
        <v>21.666666666666668</v>
      </c>
      <c r="EV4">
        <v>28</v>
      </c>
      <c r="EW4">
        <v>-1.9555555555555557</v>
      </c>
      <c r="EX4">
        <v>8</v>
      </c>
      <c r="EY4">
        <v>1.2222222222222223</v>
      </c>
      <c r="EZ4">
        <v>29</v>
      </c>
      <c r="FA4">
        <v>-9.5555555555555571</v>
      </c>
      <c r="FB4">
        <v>15</v>
      </c>
      <c r="FC4">
        <v>7.4014868308343765E-17</v>
      </c>
      <c r="FD4">
        <v>19</v>
      </c>
      <c r="FE4">
        <v>20.666666666666668</v>
      </c>
      <c r="FF4">
        <v>21</v>
      </c>
      <c r="FG4">
        <v>-3.2555555555555546</v>
      </c>
      <c r="FH4">
        <v>16</v>
      </c>
      <c r="FI4">
        <v>-3.4444444444444393</v>
      </c>
      <c r="FJ4">
        <v>25</v>
      </c>
      <c r="FK4">
        <v>-1.1111111111111109</v>
      </c>
      <c r="FL4">
        <v>29</v>
      </c>
      <c r="FM4">
        <v>29.333333333333332</v>
      </c>
      <c r="FN4">
        <v>28</v>
      </c>
      <c r="FO4">
        <v>-4.4222222222222216</v>
      </c>
      <c r="FP4">
        <v>29</v>
      </c>
      <c r="FQ4">
        <v>-19.333333333333332</v>
      </c>
      <c r="FR4">
        <v>31</v>
      </c>
      <c r="FS4">
        <v>-2.2222222222222223</v>
      </c>
      <c r="FT4">
        <v>14</v>
      </c>
      <c r="FU4">
        <v>13.333333333333334</v>
      </c>
      <c r="FV4">
        <v>16</v>
      </c>
      <c r="FW4">
        <v>-0.22222222222222174</v>
      </c>
      <c r="FX4">
        <v>18</v>
      </c>
      <c r="FY4">
        <v>-0.66666666666666552</v>
      </c>
      <c r="FZ4">
        <v>6</v>
      </c>
      <c r="GA4">
        <v>1.1111111111111114</v>
      </c>
      <c r="GB4">
        <v>8</v>
      </c>
      <c r="GC4">
        <v>10.333333333333334</v>
      </c>
      <c r="GD4">
        <v>9</v>
      </c>
      <c r="GE4">
        <v>1.3888888888888886</v>
      </c>
      <c r="GF4">
        <v>4</v>
      </c>
      <c r="GG4">
        <v>16.555555555555557</v>
      </c>
      <c r="GH4">
        <v>18</v>
      </c>
      <c r="GI4">
        <v>0</v>
      </c>
      <c r="GJ4">
        <v>15</v>
      </c>
      <c r="GK4">
        <v>14.666666666666666</v>
      </c>
      <c r="GL4">
        <v>13</v>
      </c>
      <c r="GM4">
        <v>1.0555555555555547</v>
      </c>
      <c r="GN4">
        <v>17</v>
      </c>
      <c r="GO4">
        <v>-4.9999999999999956</v>
      </c>
      <c r="GP4">
        <v>14</v>
      </c>
      <c r="GQ4">
        <v>0.22222222222222232</v>
      </c>
      <c r="GR4">
        <v>7</v>
      </c>
      <c r="GS4">
        <v>8</v>
      </c>
      <c r="GT4">
        <v>6</v>
      </c>
      <c r="GU4">
        <v>2.9777777777777792</v>
      </c>
      <c r="GV4">
        <v>9.7777777777777768</v>
      </c>
      <c r="GW4">
        <v>0.66666666666666696</v>
      </c>
      <c r="GX4">
        <v>6</v>
      </c>
      <c r="GY4">
        <v>6.5</v>
      </c>
      <c r="GZ4">
        <v>6</v>
      </c>
      <c r="HA4">
        <v>1.8888888888888886</v>
      </c>
      <c r="HB4">
        <v>7</v>
      </c>
      <c r="HC4">
        <v>0.55555555555555547</v>
      </c>
      <c r="HD4">
        <v>3.2222222222222228</v>
      </c>
      <c r="HE4">
        <v>4</v>
      </c>
      <c r="HF4">
        <v>10</v>
      </c>
      <c r="HG4">
        <v>2</v>
      </c>
      <c r="HH4">
        <v>8.9574505682576813E-2</v>
      </c>
      <c r="HI4">
        <v>1</v>
      </c>
      <c r="HJ4">
        <v>5.1728410134702883E-2</v>
      </c>
      <c r="HK4">
        <v>26</v>
      </c>
      <c r="HL4">
        <v>0.11178451178451176</v>
      </c>
      <c r="HM4">
        <v>11</v>
      </c>
      <c r="HN4">
        <v>0.22222222222222232</v>
      </c>
      <c r="HO4">
        <v>-1.9999999999999976</v>
      </c>
      <c r="HP4">
        <v>3.5555555555555549</v>
      </c>
      <c r="HQ4">
        <v>0</v>
      </c>
      <c r="HR4">
        <v>-15.666666666666666</v>
      </c>
      <c r="HS4">
        <v>5.4444444444444473</v>
      </c>
      <c r="HT4">
        <v>-15.888888888888886</v>
      </c>
      <c r="HU4">
        <v>2.6666666666666665</v>
      </c>
      <c r="HV4">
        <v>-7.8888888888888893</v>
      </c>
      <c r="HW4">
        <v>9</v>
      </c>
      <c r="HX4">
        <v>3.0955555555555545</v>
      </c>
      <c r="HY4">
        <v>1.2602222222222221</v>
      </c>
      <c r="HZ4">
        <v>21.333333333333332</v>
      </c>
      <c r="IA4">
        <v>24</v>
      </c>
      <c r="IB4">
        <v>7.7777777777781887E-3</v>
      </c>
      <c r="IC4">
        <v>-0.44444444444444398</v>
      </c>
    </row>
    <row r="5" spans="1:237" x14ac:dyDescent="0.2">
      <c r="A5" s="19">
        <v>44108</v>
      </c>
      <c r="B5" s="13" t="s">
        <v>417</v>
      </c>
      <c r="C5" s="41" t="s">
        <v>276</v>
      </c>
      <c r="D5" s="14" t="s">
        <v>303</v>
      </c>
      <c r="E5">
        <v>20.5</v>
      </c>
      <c r="F5">
        <v>8.1999999999999993</v>
      </c>
      <c r="G5">
        <v>12.2</v>
      </c>
      <c r="H5">
        <v>3.6</v>
      </c>
      <c r="I5">
        <v>-3</v>
      </c>
      <c r="J5">
        <v>53</v>
      </c>
      <c r="L5" t="s">
        <v>276</v>
      </c>
      <c r="M5">
        <v>1</v>
      </c>
      <c r="N5">
        <v>13.040000000000001</v>
      </c>
      <c r="O5">
        <v>24</v>
      </c>
      <c r="P5">
        <v>22</v>
      </c>
      <c r="Q5">
        <v>28</v>
      </c>
      <c r="R5">
        <v>-6.7222222222222232</v>
      </c>
      <c r="S5">
        <v>20</v>
      </c>
      <c r="T5">
        <v>-1.5555555555555554</v>
      </c>
      <c r="U5">
        <v>21</v>
      </c>
      <c r="V5">
        <v>-7.3333333333333348</v>
      </c>
      <c r="W5">
        <v>19</v>
      </c>
      <c r="X5">
        <v>-0.4444444444444442</v>
      </c>
      <c r="Y5">
        <v>25</v>
      </c>
      <c r="Z5">
        <v>20.333333333333332</v>
      </c>
      <c r="AA5">
        <v>28</v>
      </c>
      <c r="AB5">
        <v>-5.4777777777777787</v>
      </c>
      <c r="AC5">
        <v>25</v>
      </c>
      <c r="AD5">
        <v>-2.2222222222222219</v>
      </c>
      <c r="AE5">
        <v>27</v>
      </c>
      <c r="AF5">
        <v>-12.333333333333334</v>
      </c>
      <c r="AG5">
        <v>6</v>
      </c>
      <c r="AH5">
        <v>1.1111111111111112</v>
      </c>
      <c r="AI5">
        <v>22</v>
      </c>
      <c r="AJ5">
        <v>20.666666666666668</v>
      </c>
      <c r="AK5">
        <v>20</v>
      </c>
      <c r="AL5">
        <v>-1.2444444444444447</v>
      </c>
      <c r="AM5">
        <v>11</v>
      </c>
      <c r="AN5">
        <v>0.66666666666666663</v>
      </c>
      <c r="AO5">
        <v>11</v>
      </c>
      <c r="AP5">
        <v>4.9999999999999991</v>
      </c>
      <c r="AQ5">
        <v>31</v>
      </c>
      <c r="AR5">
        <v>-1.5555555555555554</v>
      </c>
      <c r="AS5">
        <v>1</v>
      </c>
      <c r="AT5">
        <v>1.3333333333333333</v>
      </c>
      <c r="AU5">
        <v>1</v>
      </c>
      <c r="AV5">
        <v>18.644444444444442</v>
      </c>
      <c r="AW5">
        <v>1</v>
      </c>
      <c r="AX5">
        <v>87.555555555555543</v>
      </c>
      <c r="AY5">
        <v>2</v>
      </c>
      <c r="AZ5">
        <v>4.666666666666667</v>
      </c>
      <c r="BA5">
        <v>4</v>
      </c>
      <c r="BB5">
        <v>4.666666666666667</v>
      </c>
      <c r="BC5">
        <v>4</v>
      </c>
      <c r="BD5">
        <v>6.8444444444444441</v>
      </c>
      <c r="BE5">
        <v>5</v>
      </c>
      <c r="BF5">
        <v>21.111111111111111</v>
      </c>
      <c r="BG5">
        <v>5</v>
      </c>
      <c r="BH5">
        <v>1.555555555555556</v>
      </c>
      <c r="BI5">
        <v>1</v>
      </c>
      <c r="BJ5">
        <v>1.6666666666666667</v>
      </c>
      <c r="BK5">
        <v>1</v>
      </c>
      <c r="BL5">
        <v>6.9666666666666659</v>
      </c>
      <c r="BM5">
        <v>1</v>
      </c>
      <c r="BN5">
        <v>34.111111111111107</v>
      </c>
      <c r="BO5">
        <v>3</v>
      </c>
      <c r="BP5">
        <v>1.6666666666666667</v>
      </c>
      <c r="BQ5">
        <v>1</v>
      </c>
      <c r="BR5">
        <v>2.6666666666666665</v>
      </c>
      <c r="BS5">
        <v>2</v>
      </c>
      <c r="BT5">
        <v>4.833333333333333</v>
      </c>
      <c r="BU5">
        <v>1</v>
      </c>
      <c r="BV5">
        <v>32.333333333333336</v>
      </c>
      <c r="BW5">
        <v>5</v>
      </c>
      <c r="BX5">
        <v>1.444444444444444</v>
      </c>
      <c r="BY5">
        <v>2</v>
      </c>
      <c r="BZ5">
        <v>3.3333333333333335</v>
      </c>
      <c r="CA5">
        <v>6</v>
      </c>
      <c r="CB5">
        <v>4.344444444444445</v>
      </c>
      <c r="CC5">
        <v>2</v>
      </c>
      <c r="CD5">
        <v>30.111111111111111</v>
      </c>
      <c r="CE5">
        <v>2</v>
      </c>
      <c r="CF5">
        <v>2.5555555555555554</v>
      </c>
      <c r="CG5">
        <v>18</v>
      </c>
      <c r="CH5">
        <v>18</v>
      </c>
      <c r="CI5">
        <v>16</v>
      </c>
      <c r="CJ5">
        <v>-0.30000000000000071</v>
      </c>
      <c r="CK5">
        <v>-1.8888888888888893</v>
      </c>
      <c r="CL5">
        <v>-0.55555555555555547</v>
      </c>
      <c r="CM5">
        <v>12</v>
      </c>
      <c r="CN5">
        <v>13.5</v>
      </c>
      <c r="CO5">
        <v>13</v>
      </c>
      <c r="CP5">
        <v>0.5555555555555558</v>
      </c>
      <c r="CQ5">
        <v>14</v>
      </c>
      <c r="CR5">
        <v>0.1111111111111112</v>
      </c>
      <c r="CS5">
        <v>-1.8888888888888886</v>
      </c>
      <c r="CT5">
        <v>14</v>
      </c>
      <c r="CU5">
        <v>15</v>
      </c>
      <c r="CV5">
        <v>8</v>
      </c>
      <c r="CW5">
        <v>3.7599247419552916E-2</v>
      </c>
      <c r="CX5">
        <v>17</v>
      </c>
      <c r="CY5">
        <v>7.2595086072175152E-4</v>
      </c>
      <c r="CZ5">
        <v>15</v>
      </c>
      <c r="DA5">
        <v>3.1598031598030949E-3</v>
      </c>
      <c r="DB5">
        <v>20</v>
      </c>
      <c r="DC5">
        <v>-0.55555555555555547</v>
      </c>
      <c r="DD5">
        <v>1.8888888888888928</v>
      </c>
      <c r="DE5">
        <v>7.2222222222222214</v>
      </c>
      <c r="DF5">
        <v>-1.7777777777777777</v>
      </c>
      <c r="DG5">
        <v>51.888888888888893</v>
      </c>
      <c r="DH5">
        <v>77.999999999999986</v>
      </c>
      <c r="DI5">
        <v>-28.333333333333332</v>
      </c>
      <c r="DJ5">
        <v>-1.7777777777777777</v>
      </c>
      <c r="DK5">
        <v>4.0000000000000027</v>
      </c>
      <c r="DL5">
        <v>1</v>
      </c>
      <c r="DM5">
        <v>19.762222222222224</v>
      </c>
      <c r="DN5">
        <v>9.6379999999999999</v>
      </c>
      <c r="DO5">
        <v>106.33333333333331</v>
      </c>
      <c r="DP5">
        <v>32</v>
      </c>
      <c r="DQ5">
        <v>3.152222222222222</v>
      </c>
      <c r="DR5">
        <v>4.1111111111111116</v>
      </c>
      <c r="DS5">
        <v>1.1199999999999999</v>
      </c>
      <c r="DT5">
        <v>2.2224999999999997</v>
      </c>
      <c r="DU5" t="s">
        <v>303</v>
      </c>
      <c r="DV5" t="s">
        <v>247</v>
      </c>
      <c r="DW5" t="s">
        <v>510</v>
      </c>
      <c r="DX5">
        <v>26</v>
      </c>
      <c r="DY5">
        <v>-3.4933333333333336</v>
      </c>
      <c r="DZ5">
        <v>6</v>
      </c>
      <c r="EA5">
        <v>10</v>
      </c>
      <c r="EB5">
        <v>5</v>
      </c>
      <c r="EC5">
        <v>6.0888888888888877</v>
      </c>
      <c r="ED5">
        <v>13</v>
      </c>
      <c r="EE5">
        <v>0.55555555555555514</v>
      </c>
      <c r="EF5">
        <v>4</v>
      </c>
      <c r="EG5">
        <v>36.888888888888886</v>
      </c>
      <c r="EH5">
        <v>18</v>
      </c>
      <c r="EI5">
        <v>-0.2222222222222221</v>
      </c>
      <c r="EJ5">
        <v>1</v>
      </c>
      <c r="EK5">
        <v>5.5</v>
      </c>
      <c r="EL5">
        <v>3</v>
      </c>
      <c r="EM5">
        <v>5.8333333333333321</v>
      </c>
      <c r="EN5">
        <v>10</v>
      </c>
      <c r="EO5">
        <v>1.9999999999999998</v>
      </c>
      <c r="EP5">
        <v>3</v>
      </c>
      <c r="EQ5">
        <v>23.888888888888889</v>
      </c>
      <c r="ER5">
        <v>6</v>
      </c>
      <c r="ES5">
        <v>1</v>
      </c>
      <c r="ET5">
        <v>15</v>
      </c>
      <c r="EU5">
        <v>15.666666666666666</v>
      </c>
      <c r="EV5">
        <v>15</v>
      </c>
      <c r="EW5">
        <v>0.25555555555555554</v>
      </c>
      <c r="EX5">
        <v>28</v>
      </c>
      <c r="EY5">
        <v>-1.4444444444444446</v>
      </c>
      <c r="EZ5">
        <v>4</v>
      </c>
      <c r="FA5">
        <v>13</v>
      </c>
      <c r="FB5">
        <v>30</v>
      </c>
      <c r="FC5">
        <v>-1.2222222222222221</v>
      </c>
      <c r="FD5">
        <v>19</v>
      </c>
      <c r="FE5">
        <v>20.666666666666668</v>
      </c>
      <c r="FF5">
        <v>22</v>
      </c>
      <c r="FG5">
        <v>-3.4999999999999987</v>
      </c>
      <c r="FH5">
        <v>24</v>
      </c>
      <c r="FI5">
        <v>-22.000000000000004</v>
      </c>
      <c r="FJ5">
        <v>16</v>
      </c>
      <c r="FK5">
        <v>-0.22222222222222232</v>
      </c>
      <c r="FL5">
        <v>19</v>
      </c>
      <c r="FM5">
        <v>18.666666666666668</v>
      </c>
      <c r="FN5">
        <v>17</v>
      </c>
      <c r="FO5">
        <v>-0.24444444444444477</v>
      </c>
      <c r="FP5">
        <v>23</v>
      </c>
      <c r="FQ5">
        <v>-9</v>
      </c>
      <c r="FR5">
        <v>16</v>
      </c>
      <c r="FS5">
        <v>-0.11111111111111131</v>
      </c>
      <c r="FT5">
        <v>30</v>
      </c>
      <c r="FU5">
        <v>28.666666666666668</v>
      </c>
      <c r="FV5">
        <v>29</v>
      </c>
      <c r="FW5">
        <v>-4.1666666666666661</v>
      </c>
      <c r="FX5">
        <v>28</v>
      </c>
      <c r="FY5">
        <v>-17.222222222222225</v>
      </c>
      <c r="FZ5">
        <v>29</v>
      </c>
      <c r="GA5">
        <v>-1.7777777777777777</v>
      </c>
      <c r="GB5">
        <v>6</v>
      </c>
      <c r="GC5">
        <v>8.3333333333333339</v>
      </c>
      <c r="GD5">
        <v>11</v>
      </c>
      <c r="GE5">
        <v>0.91111111111111176</v>
      </c>
      <c r="GF5">
        <v>11</v>
      </c>
      <c r="GG5">
        <v>4.2222222222222214</v>
      </c>
      <c r="GH5">
        <v>3</v>
      </c>
      <c r="GI5">
        <v>1.6666666666666667</v>
      </c>
      <c r="GJ5">
        <v>30</v>
      </c>
      <c r="GK5">
        <v>28</v>
      </c>
      <c r="GL5">
        <v>31</v>
      </c>
      <c r="GM5">
        <v>-6.5888888888888886</v>
      </c>
      <c r="GN5">
        <v>30</v>
      </c>
      <c r="GO5">
        <v>-32.55555555555555</v>
      </c>
      <c r="GP5">
        <v>23</v>
      </c>
      <c r="GQ5">
        <v>-1.1111111111111114</v>
      </c>
      <c r="GR5">
        <v>19</v>
      </c>
      <c r="GS5">
        <v>18.333333333333332</v>
      </c>
      <c r="GT5">
        <v>13</v>
      </c>
      <c r="GU5">
        <v>-6.6666666666666055E-2</v>
      </c>
      <c r="GV5">
        <v>-10.666666666666666</v>
      </c>
      <c r="GW5">
        <v>0</v>
      </c>
      <c r="GX5">
        <v>14</v>
      </c>
      <c r="GY5">
        <v>13.5</v>
      </c>
      <c r="GZ5">
        <v>10</v>
      </c>
      <c r="HA5">
        <v>1.1111111111111116</v>
      </c>
      <c r="HB5">
        <v>17</v>
      </c>
      <c r="HC5">
        <v>0</v>
      </c>
      <c r="HD5">
        <v>-0.99999999999999967</v>
      </c>
      <c r="HE5">
        <v>21</v>
      </c>
      <c r="HF5">
        <v>18.5</v>
      </c>
      <c r="HG5">
        <v>7</v>
      </c>
      <c r="HH5">
        <v>2.0625268521089063E-2</v>
      </c>
      <c r="HI5">
        <v>29</v>
      </c>
      <c r="HJ5">
        <v>-2.736790610214733E-2</v>
      </c>
      <c r="HK5">
        <v>12</v>
      </c>
      <c r="HL5">
        <v>-4.2712842712842668E-2</v>
      </c>
      <c r="HM5">
        <v>26</v>
      </c>
      <c r="HN5">
        <v>-2</v>
      </c>
      <c r="HO5">
        <v>0.11111111111110954</v>
      </c>
      <c r="HP5">
        <v>3</v>
      </c>
      <c r="HQ5">
        <v>-1.4802973661668753E-16</v>
      </c>
      <c r="HR5">
        <v>19.222222222222229</v>
      </c>
      <c r="HS5">
        <v>-17.111111111111104</v>
      </c>
      <c r="HT5">
        <v>40.333333333333336</v>
      </c>
      <c r="HU5">
        <v>-0.55555555555555569</v>
      </c>
      <c r="HV5">
        <v>-3.4444444444444433</v>
      </c>
      <c r="HW5">
        <v>28</v>
      </c>
      <c r="HX5">
        <v>-9.5822222222222209</v>
      </c>
      <c r="HY5">
        <v>-4.4564444444444433</v>
      </c>
      <c r="HZ5">
        <v>-57.444444444444443</v>
      </c>
      <c r="IA5">
        <v>5</v>
      </c>
      <c r="IB5">
        <v>1.7500000000000043E-2</v>
      </c>
      <c r="IC5">
        <v>-0.22222222222222232</v>
      </c>
    </row>
    <row r="6" spans="1:237" x14ac:dyDescent="0.2">
      <c r="A6" s="19">
        <v>44108</v>
      </c>
      <c r="B6" s="13" t="s">
        <v>417</v>
      </c>
      <c r="C6" s="41" t="s">
        <v>301</v>
      </c>
      <c r="D6" s="14" t="s">
        <v>285</v>
      </c>
      <c r="E6">
        <v>17.899999999999999</v>
      </c>
      <c r="F6">
        <v>8.9</v>
      </c>
      <c r="G6">
        <v>7.8</v>
      </c>
      <c r="H6">
        <v>8.5</v>
      </c>
      <c r="I6">
        <v>3</v>
      </c>
      <c r="J6">
        <v>52</v>
      </c>
      <c r="K6" t="s">
        <v>109</v>
      </c>
      <c r="L6" t="s">
        <v>301</v>
      </c>
      <c r="M6">
        <v>16</v>
      </c>
      <c r="N6">
        <v>-0.90444444444444494</v>
      </c>
      <c r="O6">
        <v>12</v>
      </c>
      <c r="P6">
        <v>13</v>
      </c>
      <c r="Q6">
        <v>9</v>
      </c>
      <c r="R6">
        <v>3.2</v>
      </c>
      <c r="S6">
        <v>9</v>
      </c>
      <c r="T6">
        <v>2.2222222222222223</v>
      </c>
      <c r="U6">
        <v>16</v>
      </c>
      <c r="V6">
        <v>-2.9999999999999982</v>
      </c>
      <c r="W6">
        <v>18</v>
      </c>
      <c r="X6">
        <v>-0.44444444444444414</v>
      </c>
      <c r="Y6">
        <v>9</v>
      </c>
      <c r="Z6">
        <v>12</v>
      </c>
      <c r="AA6">
        <v>8</v>
      </c>
      <c r="AB6">
        <v>4.2222222222222232</v>
      </c>
      <c r="AC6">
        <v>4</v>
      </c>
      <c r="AD6">
        <v>4.4444444444444446</v>
      </c>
      <c r="AE6">
        <v>7</v>
      </c>
      <c r="AF6">
        <v>14.111111111111112</v>
      </c>
      <c r="AG6">
        <v>21</v>
      </c>
      <c r="AH6">
        <v>-0.77777777777777768</v>
      </c>
      <c r="AI6">
        <v>21</v>
      </c>
      <c r="AJ6">
        <v>20.333333333333332</v>
      </c>
      <c r="AK6">
        <v>19</v>
      </c>
      <c r="AL6">
        <v>-1.0222222222222228</v>
      </c>
      <c r="AM6">
        <v>25</v>
      </c>
      <c r="AN6">
        <v>-2.2222222222222223</v>
      </c>
      <c r="AO6">
        <v>30</v>
      </c>
      <c r="AP6">
        <v>-17.111111111111111</v>
      </c>
      <c r="AQ6">
        <v>12</v>
      </c>
      <c r="AR6">
        <v>0.33333333333333354</v>
      </c>
      <c r="AS6">
        <v>2</v>
      </c>
      <c r="AT6">
        <v>3</v>
      </c>
      <c r="AU6">
        <v>3</v>
      </c>
      <c r="AV6">
        <v>12.466666666666669</v>
      </c>
      <c r="AW6">
        <v>2</v>
      </c>
      <c r="AX6">
        <v>69.333333333333329</v>
      </c>
      <c r="AY6">
        <v>4</v>
      </c>
      <c r="AZ6">
        <v>3.666666666666667</v>
      </c>
      <c r="BA6">
        <v>6</v>
      </c>
      <c r="BB6">
        <v>7.333333333333333</v>
      </c>
      <c r="BC6">
        <v>5</v>
      </c>
      <c r="BD6">
        <v>6.6111111111111107</v>
      </c>
      <c r="BE6">
        <v>3</v>
      </c>
      <c r="BF6">
        <v>30</v>
      </c>
      <c r="BG6">
        <v>14</v>
      </c>
      <c r="BH6">
        <v>0.33333333333333331</v>
      </c>
      <c r="BI6">
        <v>2</v>
      </c>
      <c r="BJ6">
        <v>3.3333333333333335</v>
      </c>
      <c r="BK6">
        <v>6</v>
      </c>
      <c r="BL6">
        <v>3.455555555555557</v>
      </c>
      <c r="BM6">
        <v>2</v>
      </c>
      <c r="BN6">
        <v>32.666666666666664</v>
      </c>
      <c r="BO6">
        <v>2</v>
      </c>
      <c r="BP6">
        <v>2.7777777777777781</v>
      </c>
      <c r="BQ6">
        <v>8</v>
      </c>
      <c r="BR6">
        <v>9.3333333333333339</v>
      </c>
      <c r="BS6">
        <v>6</v>
      </c>
      <c r="BT6">
        <v>2.4</v>
      </c>
      <c r="BU6">
        <v>10</v>
      </c>
      <c r="BV6">
        <v>6.666666666666667</v>
      </c>
      <c r="BW6">
        <v>12</v>
      </c>
      <c r="BX6">
        <v>0.55555555555555547</v>
      </c>
      <c r="BY6">
        <v>5</v>
      </c>
      <c r="BZ6">
        <v>5</v>
      </c>
      <c r="CA6">
        <v>7</v>
      </c>
      <c r="CB6">
        <v>4.1555555555555541</v>
      </c>
      <c r="CC6">
        <v>3</v>
      </c>
      <c r="CD6">
        <v>29.333333333333332</v>
      </c>
      <c r="CE6">
        <v>5</v>
      </c>
      <c r="CF6">
        <v>2.2222222222222228</v>
      </c>
      <c r="CG6">
        <v>32</v>
      </c>
      <c r="CH6">
        <v>32</v>
      </c>
      <c r="CI6">
        <v>32</v>
      </c>
      <c r="CJ6">
        <v>-5.9333333333333336</v>
      </c>
      <c r="CK6">
        <v>-24.888888888888889</v>
      </c>
      <c r="CL6">
        <v>-3.7777777777777781</v>
      </c>
      <c r="CM6">
        <v>6</v>
      </c>
      <c r="CN6">
        <v>6.5</v>
      </c>
      <c r="CO6">
        <v>10</v>
      </c>
      <c r="CP6">
        <v>0.88888888888888873</v>
      </c>
      <c r="CQ6">
        <v>3</v>
      </c>
      <c r="CR6">
        <v>0.55555555555555558</v>
      </c>
      <c r="CS6">
        <v>-2.4444444444444442</v>
      </c>
      <c r="CT6">
        <v>18</v>
      </c>
      <c r="CU6">
        <v>16.75</v>
      </c>
      <c r="CV6">
        <v>21</v>
      </c>
      <c r="CW6">
        <v>-2.5983116189901744E-2</v>
      </c>
      <c r="CX6">
        <v>16</v>
      </c>
      <c r="CY6">
        <v>2.5883484092894572E-3</v>
      </c>
      <c r="CZ6">
        <v>14</v>
      </c>
      <c r="DA6">
        <v>2.819865319865352E-3</v>
      </c>
      <c r="DB6">
        <v>16</v>
      </c>
      <c r="DC6">
        <v>-0.11111111111111094</v>
      </c>
      <c r="DD6">
        <v>-1.8888888888888904</v>
      </c>
      <c r="DE6">
        <v>1.1111111111111107</v>
      </c>
      <c r="DF6">
        <v>-1.5555555555555556</v>
      </c>
      <c r="DG6">
        <v>22.777777777777771</v>
      </c>
      <c r="DH6">
        <v>38.444444444444436</v>
      </c>
      <c r="DI6">
        <v>-9.6666666666666714</v>
      </c>
      <c r="DJ6">
        <v>3.5555555555555558</v>
      </c>
      <c r="DK6">
        <v>-9.5555555555555554</v>
      </c>
      <c r="DL6">
        <v>24</v>
      </c>
      <c r="DM6">
        <v>-4.1044444444444448</v>
      </c>
      <c r="DN6">
        <v>-0.4742222222222221</v>
      </c>
      <c r="DO6">
        <v>48.111111111111107</v>
      </c>
      <c r="DP6">
        <v>9</v>
      </c>
      <c r="DQ6">
        <v>1.2147222222222225</v>
      </c>
      <c r="DR6">
        <v>-0.11111111111111116</v>
      </c>
      <c r="DS6">
        <v>0.24041666666666661</v>
      </c>
      <c r="DT6">
        <v>1.0705555555555553</v>
      </c>
      <c r="DU6" t="s">
        <v>285</v>
      </c>
      <c r="DV6" t="s">
        <v>249</v>
      </c>
      <c r="DW6" t="s">
        <v>452</v>
      </c>
      <c r="DX6">
        <v>15</v>
      </c>
      <c r="DY6">
        <v>0.56000000000000105</v>
      </c>
      <c r="DZ6">
        <v>16</v>
      </c>
      <c r="EA6">
        <v>15.5</v>
      </c>
      <c r="EB6">
        <v>21</v>
      </c>
      <c r="EC6">
        <v>-1.6555555555555554</v>
      </c>
      <c r="ED6">
        <v>11</v>
      </c>
      <c r="EE6">
        <v>1.1111111111111116</v>
      </c>
      <c r="EF6">
        <v>8</v>
      </c>
      <c r="EG6">
        <v>14.111111111111111</v>
      </c>
      <c r="EH6">
        <v>22</v>
      </c>
      <c r="EI6">
        <v>-0.66666666666666674</v>
      </c>
      <c r="EJ6">
        <v>8</v>
      </c>
      <c r="EK6">
        <v>10.75</v>
      </c>
      <c r="EL6">
        <v>13</v>
      </c>
      <c r="EM6">
        <v>0.63333333333333286</v>
      </c>
      <c r="EN6">
        <v>3</v>
      </c>
      <c r="EO6">
        <v>3.3333333333333335</v>
      </c>
      <c r="EP6">
        <v>11</v>
      </c>
      <c r="EQ6">
        <v>4.3333333333333313</v>
      </c>
      <c r="ER6">
        <v>16</v>
      </c>
      <c r="ES6">
        <v>-0.11111111111111109</v>
      </c>
      <c r="ET6">
        <v>27</v>
      </c>
      <c r="EU6">
        <v>22.333333333333332</v>
      </c>
      <c r="EV6">
        <v>30</v>
      </c>
      <c r="EW6">
        <v>-2.2888888888888883</v>
      </c>
      <c r="EX6">
        <v>31</v>
      </c>
      <c r="EY6">
        <v>-2.2222222222222219</v>
      </c>
      <c r="EZ6">
        <v>6</v>
      </c>
      <c r="FA6">
        <v>9.7777777777777786</v>
      </c>
      <c r="FB6">
        <v>25</v>
      </c>
      <c r="FC6">
        <v>-0.55555555555555569</v>
      </c>
      <c r="FD6">
        <v>21</v>
      </c>
      <c r="FE6">
        <v>21.333333333333332</v>
      </c>
      <c r="FF6">
        <v>19</v>
      </c>
      <c r="FG6">
        <v>-1.7888888888888892</v>
      </c>
      <c r="FH6">
        <v>19</v>
      </c>
      <c r="FI6">
        <v>-8.7777777777777821</v>
      </c>
      <c r="FJ6">
        <v>26</v>
      </c>
      <c r="FK6">
        <v>-1.5555555555555558</v>
      </c>
      <c r="FL6">
        <v>9</v>
      </c>
      <c r="FM6">
        <v>10</v>
      </c>
      <c r="FN6">
        <v>7</v>
      </c>
      <c r="FO6">
        <v>2.8777777777777769</v>
      </c>
      <c r="FP6">
        <v>10</v>
      </c>
      <c r="FQ6">
        <v>8.3333333333333304</v>
      </c>
      <c r="FR6">
        <v>13</v>
      </c>
      <c r="FS6">
        <v>0.22222222222222202</v>
      </c>
      <c r="FT6">
        <v>23</v>
      </c>
      <c r="FU6">
        <v>22.333333333333332</v>
      </c>
      <c r="FV6">
        <v>23</v>
      </c>
      <c r="FW6">
        <v>-2.4666666666666663</v>
      </c>
      <c r="FX6">
        <v>21</v>
      </c>
      <c r="FY6">
        <v>-5.7777777777777777</v>
      </c>
      <c r="FZ6">
        <v>23</v>
      </c>
      <c r="GA6">
        <v>-0.88888888888888895</v>
      </c>
      <c r="GB6">
        <v>24</v>
      </c>
      <c r="GC6">
        <v>25.333333333333332</v>
      </c>
      <c r="GD6">
        <v>24</v>
      </c>
      <c r="GE6">
        <v>-2.1999999999999997</v>
      </c>
      <c r="GF6">
        <v>26</v>
      </c>
      <c r="GG6">
        <v>-11.333333333333334</v>
      </c>
      <c r="GH6">
        <v>26</v>
      </c>
      <c r="GI6">
        <v>-0.88888888888888895</v>
      </c>
      <c r="GJ6">
        <v>26</v>
      </c>
      <c r="GK6">
        <v>25.333333333333332</v>
      </c>
      <c r="GL6">
        <v>18</v>
      </c>
      <c r="GM6">
        <v>-1.7555555555555564</v>
      </c>
      <c r="GN6">
        <v>28</v>
      </c>
      <c r="GO6">
        <v>-23.111111111111111</v>
      </c>
      <c r="GP6">
        <v>30</v>
      </c>
      <c r="GQ6">
        <v>-2.4444444444444446</v>
      </c>
      <c r="GR6">
        <v>21</v>
      </c>
      <c r="GS6">
        <v>19.666666666666668</v>
      </c>
      <c r="GT6">
        <v>28</v>
      </c>
      <c r="GU6">
        <v>-2.8333333333333326</v>
      </c>
      <c r="GV6">
        <v>-1.444444444444444</v>
      </c>
      <c r="GW6">
        <v>0.44444444444444464</v>
      </c>
      <c r="GX6">
        <v>12</v>
      </c>
      <c r="GY6">
        <v>13</v>
      </c>
      <c r="GZ6">
        <v>11</v>
      </c>
      <c r="HA6">
        <v>0.99999999999999967</v>
      </c>
      <c r="HB6">
        <v>15</v>
      </c>
      <c r="HC6">
        <v>0.11111111111111109</v>
      </c>
      <c r="HD6">
        <v>-0.11111111111111131</v>
      </c>
      <c r="HE6">
        <v>12</v>
      </c>
      <c r="HF6">
        <v>14.25</v>
      </c>
      <c r="HG6">
        <v>24</v>
      </c>
      <c r="HH6">
        <v>-2.5451124545253261E-2</v>
      </c>
      <c r="HI6">
        <v>6</v>
      </c>
      <c r="HJ6">
        <v>1.8398278766180876E-2</v>
      </c>
      <c r="HK6">
        <v>18</v>
      </c>
      <c r="HL6">
        <v>2.5925925925925946E-2</v>
      </c>
      <c r="HM6">
        <v>9</v>
      </c>
      <c r="HN6">
        <v>0.44444444444444481</v>
      </c>
      <c r="HO6">
        <v>-3.3333333333333335</v>
      </c>
      <c r="HP6">
        <v>-4</v>
      </c>
      <c r="HQ6">
        <v>0</v>
      </c>
      <c r="HR6">
        <v>-2.7777777777777906</v>
      </c>
      <c r="HS6">
        <v>1.777777777777781</v>
      </c>
      <c r="HT6">
        <v>3.4444444444444429</v>
      </c>
      <c r="HU6">
        <v>-6.2222222222222214</v>
      </c>
      <c r="HV6">
        <v>-1.7777777777777779</v>
      </c>
      <c r="HW6">
        <v>14</v>
      </c>
      <c r="HX6">
        <v>2.2155555555555564</v>
      </c>
      <c r="HY6">
        <v>1.5333333333333421E-2</v>
      </c>
      <c r="HZ6">
        <v>-1.6666666666666619</v>
      </c>
      <c r="IA6">
        <v>19</v>
      </c>
      <c r="IB6">
        <v>-0.58972222222222204</v>
      </c>
      <c r="IC6">
        <v>-1.1111111111111112</v>
      </c>
    </row>
    <row r="7" spans="1:237" x14ac:dyDescent="0.2">
      <c r="A7" s="19">
        <v>44108</v>
      </c>
      <c r="B7" s="13" t="s">
        <v>417</v>
      </c>
      <c r="C7" s="41" t="s">
        <v>265</v>
      </c>
      <c r="D7" s="14" t="s">
        <v>289</v>
      </c>
      <c r="E7">
        <v>26.1</v>
      </c>
      <c r="F7">
        <v>4.5999999999999996</v>
      </c>
      <c r="G7">
        <v>9.9</v>
      </c>
      <c r="H7">
        <v>7.3</v>
      </c>
      <c r="I7">
        <v>3</v>
      </c>
      <c r="J7">
        <v>43.5</v>
      </c>
      <c r="K7" t="s">
        <v>110</v>
      </c>
      <c r="L7" t="s">
        <v>265</v>
      </c>
      <c r="M7">
        <v>23</v>
      </c>
      <c r="N7">
        <v>-2.1799999999999997</v>
      </c>
      <c r="O7">
        <v>26</v>
      </c>
      <c r="P7">
        <v>23.75</v>
      </c>
      <c r="Q7">
        <v>32</v>
      </c>
      <c r="R7">
        <v>-8.6222222222222236</v>
      </c>
      <c r="S7">
        <v>25</v>
      </c>
      <c r="T7">
        <v>-2.333333333333333</v>
      </c>
      <c r="U7">
        <v>23</v>
      </c>
      <c r="V7">
        <v>-11.222222222222225</v>
      </c>
      <c r="W7">
        <v>15</v>
      </c>
      <c r="X7">
        <v>-0.11111111111111094</v>
      </c>
      <c r="Y7">
        <v>30</v>
      </c>
      <c r="Z7">
        <v>27</v>
      </c>
      <c r="AA7">
        <v>29</v>
      </c>
      <c r="AB7">
        <v>-7.011111111111112</v>
      </c>
      <c r="AC7">
        <v>17</v>
      </c>
      <c r="AD7">
        <v>-1.2222222222222214</v>
      </c>
      <c r="AE7">
        <v>29</v>
      </c>
      <c r="AF7">
        <v>-13.333333333333336</v>
      </c>
      <c r="AG7">
        <v>23</v>
      </c>
      <c r="AH7">
        <v>-0.99999999999999989</v>
      </c>
      <c r="AI7">
        <v>12</v>
      </c>
      <c r="AJ7">
        <v>14.666666666666666</v>
      </c>
      <c r="AK7">
        <v>23</v>
      </c>
      <c r="AL7">
        <v>-1.6111111111111109</v>
      </c>
      <c r="AM7">
        <v>18</v>
      </c>
      <c r="AN7">
        <v>-1.1111111111111114</v>
      </c>
      <c r="AO7">
        <v>14</v>
      </c>
      <c r="AP7">
        <v>2.1111111111111107</v>
      </c>
      <c r="AQ7">
        <v>7</v>
      </c>
      <c r="AR7">
        <v>0.88888888888888895</v>
      </c>
      <c r="AS7">
        <v>21</v>
      </c>
      <c r="AT7">
        <v>20</v>
      </c>
      <c r="AU7">
        <v>20</v>
      </c>
      <c r="AV7">
        <v>-3.2111111111111112</v>
      </c>
      <c r="AW7">
        <v>26</v>
      </c>
      <c r="AX7">
        <v>-31</v>
      </c>
      <c r="AY7">
        <v>14</v>
      </c>
      <c r="AZ7">
        <v>0.33333333333333348</v>
      </c>
      <c r="BA7">
        <v>14</v>
      </c>
      <c r="BB7">
        <v>14.666666666666666</v>
      </c>
      <c r="BC7">
        <v>18</v>
      </c>
      <c r="BD7">
        <v>-1.8444444444444439</v>
      </c>
      <c r="BE7">
        <v>20</v>
      </c>
      <c r="BF7">
        <v>-5.8888888888888884</v>
      </c>
      <c r="BG7">
        <v>6</v>
      </c>
      <c r="BH7">
        <v>1.5555555555555556</v>
      </c>
      <c r="BI7">
        <v>31</v>
      </c>
      <c r="BJ7">
        <v>29.666666666666668</v>
      </c>
      <c r="BK7">
        <v>28</v>
      </c>
      <c r="BL7">
        <v>-3.255555555555556</v>
      </c>
      <c r="BM7">
        <v>31</v>
      </c>
      <c r="BN7">
        <v>-22</v>
      </c>
      <c r="BO7">
        <v>30</v>
      </c>
      <c r="BP7">
        <v>-1.7777777777777777</v>
      </c>
      <c r="BQ7">
        <v>11</v>
      </c>
      <c r="BR7">
        <v>12.666666666666666</v>
      </c>
      <c r="BS7">
        <v>8</v>
      </c>
      <c r="BT7">
        <v>1.8888888888888886</v>
      </c>
      <c r="BU7">
        <v>19</v>
      </c>
      <c r="BV7">
        <v>-3.1111111111111112</v>
      </c>
      <c r="BW7">
        <v>11</v>
      </c>
      <c r="BX7">
        <v>0.55555555555555558</v>
      </c>
      <c r="BY7">
        <v>12</v>
      </c>
      <c r="BZ7">
        <v>13.666666666666666</v>
      </c>
      <c r="CA7">
        <v>21</v>
      </c>
      <c r="CB7">
        <v>-2.0777777777777775</v>
      </c>
      <c r="CC7">
        <v>12</v>
      </c>
      <c r="CD7">
        <v>-0.7777777777777809</v>
      </c>
      <c r="CE7">
        <v>8</v>
      </c>
      <c r="CF7">
        <v>1.2222222222222225</v>
      </c>
      <c r="CG7">
        <v>13</v>
      </c>
      <c r="CH7">
        <v>12.666666666666666</v>
      </c>
      <c r="CI7">
        <v>11</v>
      </c>
      <c r="CJ7">
        <v>2.4111111111111119</v>
      </c>
      <c r="CK7">
        <v>1.8888888888888882</v>
      </c>
      <c r="CL7">
        <v>1</v>
      </c>
      <c r="CM7">
        <v>24</v>
      </c>
      <c r="CN7">
        <v>24.5</v>
      </c>
      <c r="CO7">
        <v>30</v>
      </c>
      <c r="CP7">
        <v>-2.6666666666666665</v>
      </c>
      <c r="CQ7">
        <v>19</v>
      </c>
      <c r="CR7">
        <v>0</v>
      </c>
      <c r="CS7">
        <v>-0.11111111111111087</v>
      </c>
      <c r="CT7">
        <v>3</v>
      </c>
      <c r="CU7">
        <v>9</v>
      </c>
      <c r="CV7">
        <v>20</v>
      </c>
      <c r="CW7">
        <v>-2.3932601476461118E-2</v>
      </c>
      <c r="CX7">
        <v>7</v>
      </c>
      <c r="CY7">
        <v>1.1562005304695365E-2</v>
      </c>
      <c r="CZ7">
        <v>2</v>
      </c>
      <c r="DA7">
        <v>-0.24629629629629632</v>
      </c>
      <c r="DB7">
        <v>7</v>
      </c>
      <c r="DC7">
        <v>2.4444444444444442</v>
      </c>
      <c r="DD7">
        <v>1</v>
      </c>
      <c r="DE7">
        <v>-5.5555555555555545</v>
      </c>
      <c r="DF7">
        <v>-0.77777777777777779</v>
      </c>
      <c r="DG7">
        <v>-36</v>
      </c>
      <c r="DH7">
        <v>-39.777777777777779</v>
      </c>
      <c r="DI7">
        <v>-13.111111111111114</v>
      </c>
      <c r="DJ7">
        <v>8.8888888888888893</v>
      </c>
      <c r="DK7">
        <v>8</v>
      </c>
      <c r="DL7">
        <v>5</v>
      </c>
      <c r="DM7">
        <v>6.442222222222223</v>
      </c>
      <c r="DN7">
        <v>3.7151111111111117</v>
      </c>
      <c r="DO7">
        <v>-26.666666666666664</v>
      </c>
      <c r="DP7">
        <v>28</v>
      </c>
      <c r="DQ7">
        <v>-1.783611111111111</v>
      </c>
      <c r="DR7">
        <v>1.3333333333333335</v>
      </c>
      <c r="DS7">
        <v>-1.8702777777777779</v>
      </c>
      <c r="DT7">
        <v>-0.86277777777777798</v>
      </c>
      <c r="DU7" t="s">
        <v>289</v>
      </c>
      <c r="DV7" t="s">
        <v>274</v>
      </c>
      <c r="DW7" t="s">
        <v>488</v>
      </c>
      <c r="DX7">
        <v>30</v>
      </c>
      <c r="DY7">
        <v>-4.8666666666666663</v>
      </c>
      <c r="DZ7">
        <v>32</v>
      </c>
      <c r="EA7">
        <v>27.25</v>
      </c>
      <c r="EB7">
        <v>30</v>
      </c>
      <c r="EC7">
        <v>-7.6888888888888891</v>
      </c>
      <c r="ED7">
        <v>22</v>
      </c>
      <c r="EE7">
        <v>-1.0000000000000002</v>
      </c>
      <c r="EF7">
        <v>28</v>
      </c>
      <c r="EG7">
        <v>-16.666666666666664</v>
      </c>
      <c r="EH7">
        <v>29</v>
      </c>
      <c r="EI7">
        <v>-1.4444444444444444</v>
      </c>
      <c r="EJ7">
        <v>29</v>
      </c>
      <c r="EK7">
        <v>24</v>
      </c>
      <c r="EL7">
        <v>29</v>
      </c>
      <c r="EM7">
        <v>-5.6555555555555559</v>
      </c>
      <c r="EN7">
        <v>13</v>
      </c>
      <c r="EO7">
        <v>0.22222222222222202</v>
      </c>
      <c r="EP7">
        <v>23</v>
      </c>
      <c r="EQ7">
        <v>-10.222222222222221</v>
      </c>
      <c r="ER7">
        <v>31</v>
      </c>
      <c r="ES7">
        <v>-1.4444444444444444</v>
      </c>
      <c r="ET7">
        <v>30</v>
      </c>
      <c r="EU7">
        <v>26</v>
      </c>
      <c r="EV7">
        <v>29</v>
      </c>
      <c r="EW7">
        <v>-2.0333333333333332</v>
      </c>
      <c r="EX7">
        <v>24</v>
      </c>
      <c r="EY7">
        <v>-1.2222222222222223</v>
      </c>
      <c r="EZ7">
        <v>25</v>
      </c>
      <c r="FA7">
        <v>-6.4444444444444438</v>
      </c>
      <c r="FB7">
        <v>18</v>
      </c>
      <c r="FC7">
        <v>0</v>
      </c>
      <c r="FD7">
        <v>31</v>
      </c>
      <c r="FE7">
        <v>30.333333333333332</v>
      </c>
      <c r="FF7">
        <v>28</v>
      </c>
      <c r="FG7">
        <v>-7.7999999999999972</v>
      </c>
      <c r="FH7">
        <v>32</v>
      </c>
      <c r="FI7">
        <v>-39.777777777777779</v>
      </c>
      <c r="FJ7">
        <v>31</v>
      </c>
      <c r="FK7">
        <v>-3.8888888888888888</v>
      </c>
      <c r="FL7">
        <v>29</v>
      </c>
      <c r="FM7">
        <v>29.333333333333332</v>
      </c>
      <c r="FN7">
        <v>29</v>
      </c>
      <c r="FO7">
        <v>-4.9444444444444438</v>
      </c>
      <c r="FP7">
        <v>31</v>
      </c>
      <c r="FQ7">
        <v>-21.111111111111111</v>
      </c>
      <c r="FR7">
        <v>28</v>
      </c>
      <c r="FS7">
        <v>-1.5555555555555556</v>
      </c>
      <c r="FT7">
        <v>28</v>
      </c>
      <c r="FU7">
        <v>28.333333333333332</v>
      </c>
      <c r="FV7">
        <v>26</v>
      </c>
      <c r="FW7">
        <v>-3.2444444444444436</v>
      </c>
      <c r="FX7">
        <v>29</v>
      </c>
      <c r="FY7">
        <v>-18.000000000000004</v>
      </c>
      <c r="FZ7">
        <v>30</v>
      </c>
      <c r="GA7">
        <v>-1.7777777777777779</v>
      </c>
      <c r="GB7">
        <v>19</v>
      </c>
      <c r="GC7">
        <v>17.666666666666668</v>
      </c>
      <c r="GD7">
        <v>15</v>
      </c>
      <c r="GE7">
        <v>0.38888888888888901</v>
      </c>
      <c r="GF7">
        <v>16</v>
      </c>
      <c r="GG7">
        <v>-0.66666666666666552</v>
      </c>
      <c r="GH7">
        <v>22</v>
      </c>
      <c r="GI7">
        <v>-0.55555555555555547</v>
      </c>
      <c r="GJ7">
        <v>32</v>
      </c>
      <c r="GK7">
        <v>30.666666666666668</v>
      </c>
      <c r="GL7">
        <v>32</v>
      </c>
      <c r="GM7">
        <v>-7.2333333333333343</v>
      </c>
      <c r="GN7">
        <v>32</v>
      </c>
      <c r="GO7">
        <v>-33.444444444444443</v>
      </c>
      <c r="GP7">
        <v>28</v>
      </c>
      <c r="GQ7">
        <v>-1.9999999999999998</v>
      </c>
      <c r="GR7">
        <v>28</v>
      </c>
      <c r="GS7">
        <v>26</v>
      </c>
      <c r="GT7">
        <v>29</v>
      </c>
      <c r="GU7">
        <v>-2.8888888888888888</v>
      </c>
      <c r="GV7">
        <v>-7.7777777777777777</v>
      </c>
      <c r="GW7">
        <v>-1.2222222222222221</v>
      </c>
      <c r="GX7">
        <v>17</v>
      </c>
      <c r="GY7">
        <v>17</v>
      </c>
      <c r="GZ7">
        <v>15</v>
      </c>
      <c r="HA7">
        <v>0.22222222222222232</v>
      </c>
      <c r="HB7">
        <v>19</v>
      </c>
      <c r="HC7">
        <v>-0.11111111111111109</v>
      </c>
      <c r="HD7">
        <v>1.1111111111111112</v>
      </c>
      <c r="HE7">
        <v>13</v>
      </c>
      <c r="HF7">
        <v>14.75</v>
      </c>
      <c r="HG7">
        <v>32</v>
      </c>
      <c r="HH7">
        <v>-0.10212576742602325</v>
      </c>
      <c r="HI7">
        <v>22</v>
      </c>
      <c r="HJ7">
        <v>-1.1328772676052411E-2</v>
      </c>
      <c r="HK7">
        <v>2</v>
      </c>
      <c r="HL7">
        <v>-0.21111111111111114</v>
      </c>
      <c r="HM7">
        <v>3</v>
      </c>
      <c r="HN7">
        <v>5.333333333333333</v>
      </c>
      <c r="HO7">
        <v>0</v>
      </c>
      <c r="HP7">
        <v>-5.2222222222222223</v>
      </c>
      <c r="HQ7">
        <v>0</v>
      </c>
      <c r="HR7">
        <v>-89.222222222222229</v>
      </c>
      <c r="HS7">
        <v>-67.777777777777771</v>
      </c>
      <c r="HT7">
        <v>-15</v>
      </c>
      <c r="HU7">
        <v>-3.7777777777777772</v>
      </c>
      <c r="HV7">
        <v>-2.6666666666666665</v>
      </c>
      <c r="HW7">
        <v>11</v>
      </c>
      <c r="HX7">
        <v>2.8222222222222229</v>
      </c>
      <c r="HY7">
        <v>0.73333333333333384</v>
      </c>
      <c r="HZ7">
        <v>-52.777777777777771</v>
      </c>
      <c r="IA7">
        <v>22</v>
      </c>
      <c r="IB7">
        <v>-2.8777777777777778</v>
      </c>
      <c r="IC7">
        <v>-5.1111111111111107</v>
      </c>
    </row>
    <row r="8" spans="1:237" x14ac:dyDescent="0.2">
      <c r="A8" s="19">
        <v>44108</v>
      </c>
      <c r="B8" s="13" t="s">
        <v>417</v>
      </c>
      <c r="C8" s="17" t="s">
        <v>272</v>
      </c>
      <c r="D8" s="14" t="s">
        <v>297</v>
      </c>
      <c r="E8">
        <v>16.399999999999999</v>
      </c>
      <c r="F8">
        <v>1.3</v>
      </c>
      <c r="G8">
        <v>13</v>
      </c>
      <c r="H8">
        <v>7.7</v>
      </c>
      <c r="I8">
        <v>-1</v>
      </c>
      <c r="J8">
        <v>50</v>
      </c>
      <c r="L8" t="s">
        <v>272</v>
      </c>
      <c r="M8">
        <v>6</v>
      </c>
      <c r="N8">
        <v>1.7711111111111109</v>
      </c>
      <c r="O8">
        <v>15</v>
      </c>
      <c r="P8">
        <v>14.5</v>
      </c>
      <c r="Q8">
        <v>21</v>
      </c>
      <c r="R8">
        <v>-2.5888888888888895</v>
      </c>
      <c r="S8">
        <v>14</v>
      </c>
      <c r="T8">
        <v>0.33333333333333304</v>
      </c>
      <c r="U8">
        <v>19</v>
      </c>
      <c r="V8">
        <v>-6.6666666666666661</v>
      </c>
      <c r="W8">
        <v>4</v>
      </c>
      <c r="X8">
        <v>2.0000000000000004</v>
      </c>
      <c r="Y8">
        <v>19</v>
      </c>
      <c r="Z8">
        <v>18</v>
      </c>
      <c r="AA8">
        <v>23</v>
      </c>
      <c r="AB8">
        <v>-3.5111111111111115</v>
      </c>
      <c r="AC8">
        <v>5</v>
      </c>
      <c r="AD8">
        <v>3.6666666666666665</v>
      </c>
      <c r="AE8">
        <v>13</v>
      </c>
      <c r="AF8">
        <v>6.2222222222222214</v>
      </c>
      <c r="AG8">
        <v>18</v>
      </c>
      <c r="AH8">
        <v>-0.55555555555555547</v>
      </c>
      <c r="AI8">
        <v>11</v>
      </c>
      <c r="AJ8">
        <v>13.333333333333334</v>
      </c>
      <c r="AK8">
        <v>12</v>
      </c>
      <c r="AL8">
        <v>0.92222222222222194</v>
      </c>
      <c r="AM8">
        <v>30</v>
      </c>
      <c r="AN8">
        <v>-3.3333333333333335</v>
      </c>
      <c r="AO8">
        <v>27</v>
      </c>
      <c r="AP8">
        <v>-12.888888888888888</v>
      </c>
      <c r="AQ8">
        <v>1</v>
      </c>
      <c r="AR8">
        <v>2.5555555555555558</v>
      </c>
      <c r="AS8">
        <v>11</v>
      </c>
      <c r="AT8">
        <v>10</v>
      </c>
      <c r="AU8">
        <v>11</v>
      </c>
      <c r="AV8">
        <v>2.4111111111111119</v>
      </c>
      <c r="AW8">
        <v>18</v>
      </c>
      <c r="AX8">
        <v>-5.3333333333333321</v>
      </c>
      <c r="AY8">
        <v>1</v>
      </c>
      <c r="AZ8">
        <v>5.8888888888888893</v>
      </c>
      <c r="BA8">
        <v>9</v>
      </c>
      <c r="BB8">
        <v>10</v>
      </c>
      <c r="BC8">
        <v>10</v>
      </c>
      <c r="BD8">
        <v>2.2888888888888901</v>
      </c>
      <c r="BE8">
        <v>10</v>
      </c>
      <c r="BF8">
        <v>5.2222222222222214</v>
      </c>
      <c r="BG8">
        <v>10</v>
      </c>
      <c r="BH8">
        <v>1.1111111111111109</v>
      </c>
      <c r="BI8">
        <v>16</v>
      </c>
      <c r="BJ8">
        <v>16.666666666666668</v>
      </c>
      <c r="BK8">
        <v>26</v>
      </c>
      <c r="BL8">
        <v>-2.6444444444444453</v>
      </c>
      <c r="BM8">
        <v>23</v>
      </c>
      <c r="BN8">
        <v>-10.666666666666664</v>
      </c>
      <c r="BO8">
        <v>1</v>
      </c>
      <c r="BP8">
        <v>3.3333333333333335</v>
      </c>
      <c r="BQ8">
        <v>5</v>
      </c>
      <c r="BR8">
        <v>8</v>
      </c>
      <c r="BS8">
        <v>5</v>
      </c>
      <c r="BT8">
        <v>2.7666666666666671</v>
      </c>
      <c r="BU8">
        <v>15</v>
      </c>
      <c r="BV8">
        <v>0.11111111111111072</v>
      </c>
      <c r="BW8">
        <v>4</v>
      </c>
      <c r="BX8">
        <v>1.4444444444444446</v>
      </c>
      <c r="BY8">
        <v>23</v>
      </c>
      <c r="BZ8">
        <v>22.333333333333332</v>
      </c>
      <c r="CA8">
        <v>27</v>
      </c>
      <c r="CB8">
        <v>-3.433333333333334</v>
      </c>
      <c r="CC8">
        <v>29</v>
      </c>
      <c r="CD8">
        <v>-18.777777777777779</v>
      </c>
      <c r="CE8">
        <v>11</v>
      </c>
      <c r="CF8">
        <v>1</v>
      </c>
      <c r="CG8">
        <v>20</v>
      </c>
      <c r="CH8">
        <v>19.333333333333332</v>
      </c>
      <c r="CI8">
        <v>24</v>
      </c>
      <c r="CJ8">
        <v>-3.0333333333333332</v>
      </c>
      <c r="CK8">
        <v>-1.444444444444444</v>
      </c>
      <c r="CL8">
        <v>-2.9605947323337506E-16</v>
      </c>
      <c r="CM8">
        <v>5</v>
      </c>
      <c r="CN8">
        <v>6</v>
      </c>
      <c r="CO8">
        <v>8</v>
      </c>
      <c r="CP8">
        <v>1.444444444444444</v>
      </c>
      <c r="CQ8">
        <v>4</v>
      </c>
      <c r="CR8">
        <v>0.55555555555555547</v>
      </c>
      <c r="CS8">
        <v>-4.2222222222222214</v>
      </c>
      <c r="CT8">
        <v>8</v>
      </c>
      <c r="CU8">
        <v>11.5</v>
      </c>
      <c r="CV8">
        <v>10</v>
      </c>
      <c r="CW8">
        <v>1.8064963049994331E-2</v>
      </c>
      <c r="CX8">
        <v>5</v>
      </c>
      <c r="CY8">
        <v>2.1161519445272392E-2</v>
      </c>
      <c r="CZ8">
        <v>23</v>
      </c>
      <c r="DA8">
        <v>6.2951092117758803E-2</v>
      </c>
      <c r="DB8">
        <v>8</v>
      </c>
      <c r="DC8">
        <v>2.3333333333333335</v>
      </c>
      <c r="DD8">
        <v>8.0000000000000018</v>
      </c>
      <c r="DE8">
        <v>-3.7777777777777772</v>
      </c>
      <c r="DF8">
        <v>0</v>
      </c>
      <c r="DG8">
        <v>-6.7777777777777901</v>
      </c>
      <c r="DH8">
        <v>16.888888888888875</v>
      </c>
      <c r="DI8">
        <v>-12.666666666666666</v>
      </c>
      <c r="DJ8">
        <v>-9.4444444444444446</v>
      </c>
      <c r="DK8">
        <v>-1.5555555555555565</v>
      </c>
      <c r="DL8">
        <v>9</v>
      </c>
      <c r="DM8">
        <v>4.3600000000000003</v>
      </c>
      <c r="DN8">
        <v>1.5242222222222226</v>
      </c>
      <c r="DO8">
        <v>29.555555555555543</v>
      </c>
      <c r="DP8">
        <v>24</v>
      </c>
      <c r="DQ8">
        <v>5.5555555555550362E-4</v>
      </c>
      <c r="DR8">
        <v>5.8888888888888893</v>
      </c>
      <c r="DS8">
        <v>0.33055555555555582</v>
      </c>
      <c r="DT8">
        <v>0.321388888888889</v>
      </c>
      <c r="DU8" t="s">
        <v>297</v>
      </c>
      <c r="DV8" t="s">
        <v>474</v>
      </c>
      <c r="DW8" t="s">
        <v>475</v>
      </c>
      <c r="DX8">
        <v>3</v>
      </c>
      <c r="DY8">
        <v>5.2400000000000011</v>
      </c>
      <c r="DZ8">
        <v>14</v>
      </c>
      <c r="EA8">
        <v>15.25</v>
      </c>
      <c r="EB8">
        <v>15</v>
      </c>
      <c r="EC8">
        <v>0.76666666666666772</v>
      </c>
      <c r="ED8">
        <v>19</v>
      </c>
      <c r="EE8">
        <v>-0.55555555555555514</v>
      </c>
      <c r="EF8">
        <v>25</v>
      </c>
      <c r="EG8">
        <v>-14.777777777777775</v>
      </c>
      <c r="EH8">
        <v>2</v>
      </c>
      <c r="EI8">
        <v>1.666666666666667</v>
      </c>
      <c r="EJ8">
        <v>15</v>
      </c>
      <c r="EK8">
        <v>17</v>
      </c>
      <c r="EL8">
        <v>20</v>
      </c>
      <c r="EM8">
        <v>-0.74444444444444358</v>
      </c>
      <c r="EN8">
        <v>16</v>
      </c>
      <c r="EO8">
        <v>-0.44444444444444403</v>
      </c>
      <c r="EP8">
        <v>27</v>
      </c>
      <c r="EQ8">
        <v>-13.888888888888886</v>
      </c>
      <c r="ER8">
        <v>5</v>
      </c>
      <c r="ES8">
        <v>1.1111111111111114</v>
      </c>
      <c r="ET8">
        <v>12</v>
      </c>
      <c r="EU8">
        <v>13.666666666666666</v>
      </c>
      <c r="EV8">
        <v>7</v>
      </c>
      <c r="EW8">
        <v>1.5111111111111113</v>
      </c>
      <c r="EX8">
        <v>18</v>
      </c>
      <c r="EY8">
        <v>-0.11111111111111116</v>
      </c>
      <c r="EZ8">
        <v>16</v>
      </c>
      <c r="FA8">
        <v>-0.88888888888888928</v>
      </c>
      <c r="FB8">
        <v>9</v>
      </c>
      <c r="FC8">
        <v>0.55555555555555569</v>
      </c>
      <c r="FD8">
        <v>24</v>
      </c>
      <c r="FE8">
        <v>22.333333333333332</v>
      </c>
      <c r="FF8">
        <v>15</v>
      </c>
      <c r="FG8">
        <v>-0.26666666666666594</v>
      </c>
      <c r="FH8">
        <v>25</v>
      </c>
      <c r="FI8">
        <v>-22.777777777777779</v>
      </c>
      <c r="FJ8">
        <v>27</v>
      </c>
      <c r="FK8">
        <v>-1.8888888888888888</v>
      </c>
      <c r="FL8">
        <v>17</v>
      </c>
      <c r="FM8">
        <v>17</v>
      </c>
      <c r="FN8">
        <v>18</v>
      </c>
      <c r="FO8">
        <v>-0.37777777777777849</v>
      </c>
      <c r="FP8">
        <v>21</v>
      </c>
      <c r="FQ8">
        <v>-6.0000000000000027</v>
      </c>
      <c r="FR8">
        <v>12</v>
      </c>
      <c r="FS8">
        <v>0.44444444444444436</v>
      </c>
      <c r="FT8">
        <v>18</v>
      </c>
      <c r="FU8">
        <v>17.333333333333332</v>
      </c>
      <c r="FV8">
        <v>10</v>
      </c>
      <c r="FW8">
        <v>1.48888888888889</v>
      </c>
      <c r="FX8">
        <v>23</v>
      </c>
      <c r="FY8">
        <v>-7.4444444444444429</v>
      </c>
      <c r="FZ8">
        <v>19</v>
      </c>
      <c r="GA8">
        <v>-0.11111111111111131</v>
      </c>
      <c r="GB8">
        <v>24</v>
      </c>
      <c r="GC8">
        <v>25.333333333333332</v>
      </c>
      <c r="GD8">
        <v>21</v>
      </c>
      <c r="GE8">
        <v>-1.3777777777777775</v>
      </c>
      <c r="GF8">
        <v>23</v>
      </c>
      <c r="GG8">
        <v>-9.3333333333333339</v>
      </c>
      <c r="GH8">
        <v>32</v>
      </c>
      <c r="GI8">
        <v>-2.2222222222222219</v>
      </c>
      <c r="GJ8">
        <v>5</v>
      </c>
      <c r="GK8">
        <v>6</v>
      </c>
      <c r="GL8">
        <v>3</v>
      </c>
      <c r="GM8">
        <v>7.7444444444444445</v>
      </c>
      <c r="GN8">
        <v>8</v>
      </c>
      <c r="GO8">
        <v>11.888888888888886</v>
      </c>
      <c r="GP8">
        <v>7</v>
      </c>
      <c r="GQ8">
        <v>0.77777777777777801</v>
      </c>
      <c r="GR8">
        <v>27</v>
      </c>
      <c r="GS8">
        <v>25.666666666666668</v>
      </c>
      <c r="GT8">
        <v>19</v>
      </c>
      <c r="GU8">
        <v>-1.3555555555555561</v>
      </c>
      <c r="GV8">
        <v>-13.555555555555557</v>
      </c>
      <c r="GW8">
        <v>-1.7777777777777777</v>
      </c>
      <c r="GX8">
        <v>31</v>
      </c>
      <c r="GY8">
        <v>28.5</v>
      </c>
      <c r="GZ8">
        <v>27</v>
      </c>
      <c r="HA8">
        <v>-1.6666666666666663</v>
      </c>
      <c r="HB8">
        <v>30</v>
      </c>
      <c r="HC8">
        <v>-0.88888888888888884</v>
      </c>
      <c r="HD8">
        <v>-1.6666666666666667</v>
      </c>
      <c r="HE8">
        <v>24</v>
      </c>
      <c r="HF8">
        <v>20</v>
      </c>
      <c r="HG8">
        <v>13</v>
      </c>
      <c r="HH8">
        <v>-4.3277030761386297E-3</v>
      </c>
      <c r="HI8">
        <v>18</v>
      </c>
      <c r="HJ8">
        <v>-6.1074800290486569E-3</v>
      </c>
      <c r="HK8">
        <v>28</v>
      </c>
      <c r="HL8">
        <v>0.11878306878306881</v>
      </c>
      <c r="HM8">
        <v>21</v>
      </c>
      <c r="HN8">
        <v>-1.3333333333333333</v>
      </c>
      <c r="HO8">
        <v>-3.7777777777777786</v>
      </c>
      <c r="HP8">
        <v>4</v>
      </c>
      <c r="HQ8">
        <v>-1.7777777777777777</v>
      </c>
      <c r="HR8">
        <v>-3.8888888888888951</v>
      </c>
      <c r="HS8">
        <v>-1.4444444444444475</v>
      </c>
      <c r="HT8">
        <v>-18.444444444444446</v>
      </c>
      <c r="HU8">
        <v>10.444444444444446</v>
      </c>
      <c r="HV8">
        <v>5.5555555555555545</v>
      </c>
      <c r="HW8">
        <v>7</v>
      </c>
      <c r="HX8">
        <v>4.4733333333333336</v>
      </c>
      <c r="HY8">
        <v>0.34022222222222198</v>
      </c>
      <c r="HZ8">
        <v>17</v>
      </c>
      <c r="IA8">
        <v>26</v>
      </c>
      <c r="IB8">
        <v>0.33972222222222259</v>
      </c>
      <c r="IC8">
        <v>-3.6666666666666665</v>
      </c>
    </row>
    <row r="9" spans="1:237" x14ac:dyDescent="0.2">
      <c r="A9" s="19">
        <v>44108</v>
      </c>
      <c r="B9" s="13" t="s">
        <v>417</v>
      </c>
      <c r="C9" s="41" t="s">
        <v>281</v>
      </c>
      <c r="D9" s="14" t="s">
        <v>291</v>
      </c>
      <c r="E9">
        <v>38.4</v>
      </c>
      <c r="F9">
        <v>15.28</v>
      </c>
      <c r="G9">
        <v>0</v>
      </c>
      <c r="H9">
        <v>14.4</v>
      </c>
      <c r="I9">
        <v>3</v>
      </c>
      <c r="J9">
        <v>56</v>
      </c>
      <c r="K9" t="s">
        <v>110</v>
      </c>
      <c r="L9" t="s">
        <v>281</v>
      </c>
      <c r="M9">
        <v>30</v>
      </c>
      <c r="N9">
        <v>-6.3822222222222225</v>
      </c>
      <c r="O9">
        <v>1</v>
      </c>
      <c r="P9">
        <v>5.25</v>
      </c>
      <c r="Q9">
        <v>1</v>
      </c>
      <c r="R9">
        <v>14.4</v>
      </c>
      <c r="S9">
        <v>2</v>
      </c>
      <c r="T9">
        <v>6.4444444444444438</v>
      </c>
      <c r="U9">
        <v>1</v>
      </c>
      <c r="V9">
        <v>55.888888888888886</v>
      </c>
      <c r="W9">
        <v>17</v>
      </c>
      <c r="X9">
        <v>-0.22222222222222188</v>
      </c>
      <c r="Y9">
        <v>10</v>
      </c>
      <c r="Z9">
        <v>13.333333333333334</v>
      </c>
      <c r="AA9">
        <v>4</v>
      </c>
      <c r="AB9">
        <v>6.344444444444445</v>
      </c>
      <c r="AC9">
        <v>13</v>
      </c>
      <c r="AD9">
        <v>0.55555555555555536</v>
      </c>
      <c r="AE9">
        <v>4</v>
      </c>
      <c r="AF9">
        <v>20.666666666666668</v>
      </c>
      <c r="AG9">
        <v>32</v>
      </c>
      <c r="AH9">
        <v>-1.8888888888888886</v>
      </c>
      <c r="AI9">
        <v>1</v>
      </c>
      <c r="AJ9">
        <v>1.3333333333333333</v>
      </c>
      <c r="AK9">
        <v>1</v>
      </c>
      <c r="AL9">
        <v>8.0555555555555554</v>
      </c>
      <c r="AM9">
        <v>2</v>
      </c>
      <c r="AN9">
        <v>5.8888888888888884</v>
      </c>
      <c r="AO9">
        <v>1</v>
      </c>
      <c r="AP9">
        <v>35.222222222222221</v>
      </c>
      <c r="AQ9">
        <v>2</v>
      </c>
      <c r="AR9">
        <v>1.6666666666666667</v>
      </c>
      <c r="AS9">
        <v>24</v>
      </c>
      <c r="AT9">
        <v>24</v>
      </c>
      <c r="AU9">
        <v>24</v>
      </c>
      <c r="AV9">
        <v>-5.1000000000000014</v>
      </c>
      <c r="AW9">
        <v>22</v>
      </c>
      <c r="AX9">
        <v>-23</v>
      </c>
      <c r="AY9">
        <v>26</v>
      </c>
      <c r="AZ9">
        <v>-3</v>
      </c>
      <c r="BA9">
        <v>14</v>
      </c>
      <c r="BB9">
        <v>14.666666666666666</v>
      </c>
      <c r="BC9">
        <v>16</v>
      </c>
      <c r="BD9">
        <v>-1.3222222222222231</v>
      </c>
      <c r="BE9">
        <v>14</v>
      </c>
      <c r="BF9">
        <v>1.1111111111111118</v>
      </c>
      <c r="BG9">
        <v>14</v>
      </c>
      <c r="BH9">
        <v>0.33333333333333331</v>
      </c>
      <c r="BI9">
        <v>25</v>
      </c>
      <c r="BJ9">
        <v>23</v>
      </c>
      <c r="BK9">
        <v>22</v>
      </c>
      <c r="BL9">
        <v>-1.566666666666668</v>
      </c>
      <c r="BM9">
        <v>18</v>
      </c>
      <c r="BN9">
        <v>-5.666666666666667</v>
      </c>
      <c r="BO9">
        <v>29</v>
      </c>
      <c r="BP9">
        <v>-1.6666666666666667</v>
      </c>
      <c r="BQ9">
        <v>30</v>
      </c>
      <c r="BR9">
        <v>29.333333333333332</v>
      </c>
      <c r="BS9">
        <v>29</v>
      </c>
      <c r="BT9">
        <v>-2.2111111111111108</v>
      </c>
      <c r="BU9">
        <v>31</v>
      </c>
      <c r="BV9">
        <v>-18.444444444444446</v>
      </c>
      <c r="BW9">
        <v>28</v>
      </c>
      <c r="BX9">
        <v>-1.6666666666666667</v>
      </c>
      <c r="BY9">
        <v>30</v>
      </c>
      <c r="BZ9">
        <v>27.666666666666668</v>
      </c>
      <c r="CA9">
        <v>29</v>
      </c>
      <c r="CB9">
        <v>-5.2444444444444445</v>
      </c>
      <c r="CC9">
        <v>22</v>
      </c>
      <c r="CD9">
        <v>-10.222222222222223</v>
      </c>
      <c r="CE9">
        <v>32</v>
      </c>
      <c r="CF9">
        <v>-4.4444444444444438</v>
      </c>
      <c r="CG9">
        <v>31</v>
      </c>
      <c r="CH9">
        <v>30</v>
      </c>
      <c r="CI9">
        <v>29</v>
      </c>
      <c r="CJ9">
        <v>-4.2</v>
      </c>
      <c r="CK9">
        <v>-24.222222222222218</v>
      </c>
      <c r="CL9">
        <v>-2.5555555555555558</v>
      </c>
      <c r="CM9">
        <v>32</v>
      </c>
      <c r="CN9">
        <v>30.5</v>
      </c>
      <c r="CO9">
        <v>30</v>
      </c>
      <c r="CP9">
        <v>-2.6666666666666665</v>
      </c>
      <c r="CQ9">
        <v>31</v>
      </c>
      <c r="CR9">
        <v>-1.3333333333333333</v>
      </c>
      <c r="CS9">
        <v>-0.66666666666666652</v>
      </c>
      <c r="CT9">
        <v>24</v>
      </c>
      <c r="CU9">
        <v>20.5</v>
      </c>
      <c r="CV9">
        <v>16</v>
      </c>
      <c r="CW9">
        <v>1.2956247395213654E-3</v>
      </c>
      <c r="CX9">
        <v>28</v>
      </c>
      <c r="CY9">
        <v>-1.6735878643628598E-2</v>
      </c>
      <c r="CZ9">
        <v>9</v>
      </c>
      <c r="DA9">
        <v>-6.1087061087061099E-2</v>
      </c>
      <c r="DB9">
        <v>29</v>
      </c>
      <c r="DC9">
        <v>-2.5555555555555554</v>
      </c>
      <c r="DD9">
        <v>-5.666666666666667</v>
      </c>
      <c r="DE9">
        <v>1.5555555555555547</v>
      </c>
      <c r="DF9">
        <v>0</v>
      </c>
      <c r="DG9">
        <v>-25</v>
      </c>
      <c r="DH9">
        <v>-57.888888888888893</v>
      </c>
      <c r="DI9">
        <v>54</v>
      </c>
      <c r="DJ9">
        <v>-1.7777777777777779</v>
      </c>
      <c r="DK9">
        <v>-19.333333333333332</v>
      </c>
      <c r="DL9">
        <v>32</v>
      </c>
      <c r="DM9">
        <v>-20.782222222222224</v>
      </c>
      <c r="DN9">
        <v>-10.336444444444444</v>
      </c>
      <c r="DO9">
        <v>-111.88888888888889</v>
      </c>
      <c r="DP9">
        <v>1</v>
      </c>
      <c r="DQ9">
        <v>-0.49361111111111144</v>
      </c>
      <c r="DR9">
        <v>-5.5555555555555554</v>
      </c>
      <c r="DS9">
        <v>0.98416666666666641</v>
      </c>
      <c r="DT9">
        <v>2.298888888888889</v>
      </c>
      <c r="DU9" t="s">
        <v>291</v>
      </c>
      <c r="DV9" t="s">
        <v>282</v>
      </c>
      <c r="DW9" t="s">
        <v>453</v>
      </c>
      <c r="DX9">
        <v>16</v>
      </c>
      <c r="DY9">
        <v>0.54444444444444196</v>
      </c>
      <c r="DZ9">
        <v>19</v>
      </c>
      <c r="EA9">
        <v>18.25</v>
      </c>
      <c r="EB9">
        <v>27</v>
      </c>
      <c r="EC9">
        <v>-5.0222222222222221</v>
      </c>
      <c r="ED9">
        <v>5</v>
      </c>
      <c r="EE9">
        <v>2.5555555555555558</v>
      </c>
      <c r="EF9">
        <v>16</v>
      </c>
      <c r="EG9">
        <v>-7.4444444444444455</v>
      </c>
      <c r="EH9">
        <v>25</v>
      </c>
      <c r="EI9">
        <v>-1</v>
      </c>
      <c r="EJ9">
        <v>20</v>
      </c>
      <c r="EK9">
        <v>19</v>
      </c>
      <c r="EL9">
        <v>25</v>
      </c>
      <c r="EM9">
        <v>-3.5333333333333332</v>
      </c>
      <c r="EN9">
        <v>7</v>
      </c>
      <c r="EO9">
        <v>2.5555555555555554</v>
      </c>
      <c r="EP9">
        <v>16</v>
      </c>
      <c r="EQ9">
        <v>-1.7777777777777786</v>
      </c>
      <c r="ER9">
        <v>28</v>
      </c>
      <c r="ES9">
        <v>-0.88888888888888895</v>
      </c>
      <c r="ET9">
        <v>25</v>
      </c>
      <c r="EU9">
        <v>21.666666666666668</v>
      </c>
      <c r="EV9">
        <v>25</v>
      </c>
      <c r="EW9">
        <v>-1.4888888888888889</v>
      </c>
      <c r="EX9">
        <v>16</v>
      </c>
      <c r="EY9">
        <v>2.9605947323337506E-16</v>
      </c>
      <c r="EZ9">
        <v>24</v>
      </c>
      <c r="FA9">
        <v>-5.666666666666667</v>
      </c>
      <c r="FB9">
        <v>20</v>
      </c>
      <c r="FC9">
        <v>-0.11111111111111116</v>
      </c>
      <c r="FD9">
        <v>22</v>
      </c>
      <c r="FE9">
        <v>22</v>
      </c>
      <c r="FF9">
        <v>16</v>
      </c>
      <c r="FG9">
        <v>-0.82222222222222463</v>
      </c>
      <c r="FH9">
        <v>26</v>
      </c>
      <c r="FI9">
        <v>-27.444444444444439</v>
      </c>
      <c r="FJ9">
        <v>24</v>
      </c>
      <c r="FK9">
        <v>-0.99999999999999956</v>
      </c>
      <c r="FL9">
        <v>17</v>
      </c>
      <c r="FM9">
        <v>17</v>
      </c>
      <c r="FN9">
        <v>12</v>
      </c>
      <c r="FO9">
        <v>1.51111111111111</v>
      </c>
      <c r="FP9">
        <v>22</v>
      </c>
      <c r="FQ9">
        <v>-6.2222222222222188</v>
      </c>
      <c r="FR9">
        <v>17</v>
      </c>
      <c r="FS9">
        <v>-0.22222222222222174</v>
      </c>
      <c r="FT9">
        <v>15</v>
      </c>
      <c r="FU9">
        <v>16</v>
      </c>
      <c r="FV9">
        <v>12</v>
      </c>
      <c r="FW9">
        <v>0.54444444444444307</v>
      </c>
      <c r="FX9">
        <v>19</v>
      </c>
      <c r="FY9">
        <v>-1.4444444444444429</v>
      </c>
      <c r="FZ9">
        <v>17</v>
      </c>
      <c r="GA9">
        <v>0.11111111111111101</v>
      </c>
      <c r="GB9">
        <v>26</v>
      </c>
      <c r="GC9">
        <v>27</v>
      </c>
      <c r="GD9">
        <v>25</v>
      </c>
      <c r="GE9">
        <v>-2.8777777777777778</v>
      </c>
      <c r="GF9">
        <v>32</v>
      </c>
      <c r="GG9">
        <v>-19.777777777777779</v>
      </c>
      <c r="GH9">
        <v>24</v>
      </c>
      <c r="GI9">
        <v>-0.88888888888888884</v>
      </c>
      <c r="GJ9">
        <v>14</v>
      </c>
      <c r="GK9">
        <v>13.333333333333334</v>
      </c>
      <c r="GL9">
        <v>15</v>
      </c>
      <c r="GM9">
        <v>-0.7444444444444448</v>
      </c>
      <c r="GN9">
        <v>18</v>
      </c>
      <c r="GO9">
        <v>-5.2222222222222188</v>
      </c>
      <c r="GP9">
        <v>7</v>
      </c>
      <c r="GQ9">
        <v>0.77777777777777801</v>
      </c>
      <c r="GR9">
        <v>5</v>
      </c>
      <c r="GS9">
        <v>6.333333333333333</v>
      </c>
      <c r="GT9">
        <v>11</v>
      </c>
      <c r="GU9">
        <v>1.1000000000000008</v>
      </c>
      <c r="GV9">
        <v>21.000000000000004</v>
      </c>
      <c r="GW9">
        <v>1.7777777777777779</v>
      </c>
      <c r="GX9">
        <v>7</v>
      </c>
      <c r="GY9">
        <v>7.5</v>
      </c>
      <c r="GZ9">
        <v>9</v>
      </c>
      <c r="HA9">
        <v>1.5555555555555556</v>
      </c>
      <c r="HB9">
        <v>6</v>
      </c>
      <c r="HC9">
        <v>0.55555555555555558</v>
      </c>
      <c r="HD9">
        <v>1.3333333333333333</v>
      </c>
      <c r="HE9">
        <v>21</v>
      </c>
      <c r="HF9">
        <v>18.5</v>
      </c>
      <c r="HG9">
        <v>26</v>
      </c>
      <c r="HH9">
        <v>-3.7169487348827357E-2</v>
      </c>
      <c r="HI9">
        <v>15</v>
      </c>
      <c r="HJ9">
        <v>-3.9984140414556528E-3</v>
      </c>
      <c r="HK9">
        <v>10</v>
      </c>
      <c r="HL9">
        <v>-6.8430335097001804E-2</v>
      </c>
      <c r="HM9">
        <v>23</v>
      </c>
      <c r="HN9">
        <v>-1.6666666666666672</v>
      </c>
      <c r="HO9">
        <v>3.8888888888888928</v>
      </c>
      <c r="HP9">
        <v>-0.33333333333333454</v>
      </c>
      <c r="HQ9">
        <v>0.44444444444444448</v>
      </c>
      <c r="HR9">
        <v>-12.666666666666666</v>
      </c>
      <c r="HS9">
        <v>-17.777777777777771</v>
      </c>
      <c r="HT9">
        <v>8.8888888888888928</v>
      </c>
      <c r="HU9">
        <v>-6.333333333333333</v>
      </c>
      <c r="HV9">
        <v>2.5555555555555554</v>
      </c>
      <c r="HW9">
        <v>4</v>
      </c>
      <c r="HX9">
        <v>5.5666666666666638</v>
      </c>
      <c r="HY9">
        <v>2.6755555555555546</v>
      </c>
      <c r="HZ9">
        <v>-26.666666666666664</v>
      </c>
      <c r="IA9">
        <v>29</v>
      </c>
      <c r="IB9">
        <v>-0.33055555555555605</v>
      </c>
      <c r="IC9">
        <v>0.77777777777777835</v>
      </c>
    </row>
    <row r="10" spans="1:237" x14ac:dyDescent="0.2">
      <c r="A10" s="19">
        <v>44108</v>
      </c>
      <c r="B10" s="13" t="s">
        <v>417</v>
      </c>
      <c r="C10" s="41" t="s">
        <v>291</v>
      </c>
      <c r="D10" s="14" t="s">
        <v>281</v>
      </c>
      <c r="E10">
        <v>36.4</v>
      </c>
      <c r="F10">
        <v>25.2</v>
      </c>
      <c r="G10">
        <v>4.9000000000000004</v>
      </c>
      <c r="H10">
        <v>17.2</v>
      </c>
      <c r="I10">
        <v>-3</v>
      </c>
      <c r="J10">
        <v>56</v>
      </c>
      <c r="K10" t="s">
        <v>110</v>
      </c>
      <c r="L10" t="s">
        <v>291</v>
      </c>
      <c r="M10">
        <v>13</v>
      </c>
      <c r="N10">
        <v>0.34666666666666518</v>
      </c>
      <c r="O10">
        <v>5</v>
      </c>
      <c r="P10">
        <v>8.75</v>
      </c>
      <c r="Q10">
        <v>10</v>
      </c>
      <c r="R10">
        <v>3.1777777777777763</v>
      </c>
      <c r="S10">
        <v>7</v>
      </c>
      <c r="T10">
        <v>2.7777777777777786</v>
      </c>
      <c r="U10">
        <v>10</v>
      </c>
      <c r="V10">
        <v>7.5555555555555571</v>
      </c>
      <c r="W10">
        <v>8</v>
      </c>
      <c r="X10">
        <v>1.1111111111111112</v>
      </c>
      <c r="Y10">
        <v>3</v>
      </c>
      <c r="Z10">
        <v>5.333333333333333</v>
      </c>
      <c r="AA10">
        <v>5</v>
      </c>
      <c r="AB10">
        <v>5.644444444444443</v>
      </c>
      <c r="AC10">
        <v>3</v>
      </c>
      <c r="AD10">
        <v>4.666666666666667</v>
      </c>
      <c r="AE10">
        <v>6</v>
      </c>
      <c r="AF10">
        <v>14.555555555555557</v>
      </c>
      <c r="AG10">
        <v>5</v>
      </c>
      <c r="AH10">
        <v>1.8888888888888891</v>
      </c>
      <c r="AI10">
        <v>28</v>
      </c>
      <c r="AJ10">
        <v>24</v>
      </c>
      <c r="AK10">
        <v>27</v>
      </c>
      <c r="AL10">
        <v>-2.4666666666666668</v>
      </c>
      <c r="AM10">
        <v>22</v>
      </c>
      <c r="AN10">
        <v>-1.8888888888888886</v>
      </c>
      <c r="AO10">
        <v>22</v>
      </c>
      <c r="AP10">
        <v>-7</v>
      </c>
      <c r="AQ10">
        <v>23</v>
      </c>
      <c r="AR10">
        <v>-0.77777777777777779</v>
      </c>
      <c r="AS10">
        <v>12</v>
      </c>
      <c r="AT10">
        <v>12.666666666666666</v>
      </c>
      <c r="AU10">
        <v>14</v>
      </c>
      <c r="AV10">
        <v>1.9555555555555553</v>
      </c>
      <c r="AW10">
        <v>12</v>
      </c>
      <c r="AX10">
        <v>11.888888888888884</v>
      </c>
      <c r="AY10">
        <v>12</v>
      </c>
      <c r="AZ10">
        <v>1.2222222222222223</v>
      </c>
      <c r="BA10">
        <v>18</v>
      </c>
      <c r="BB10">
        <v>19</v>
      </c>
      <c r="BC10">
        <v>22</v>
      </c>
      <c r="BD10">
        <v>-2.5555555555555554</v>
      </c>
      <c r="BE10">
        <v>27</v>
      </c>
      <c r="BF10">
        <v>-14.444444444444443</v>
      </c>
      <c r="BG10">
        <v>8</v>
      </c>
      <c r="BH10">
        <v>1.2222222222222225</v>
      </c>
      <c r="BI10">
        <v>11</v>
      </c>
      <c r="BJ10">
        <v>12</v>
      </c>
      <c r="BK10">
        <v>13</v>
      </c>
      <c r="BL10">
        <v>0.96666666666666623</v>
      </c>
      <c r="BM10">
        <v>7</v>
      </c>
      <c r="BN10">
        <v>14.333333333333329</v>
      </c>
      <c r="BO10">
        <v>16</v>
      </c>
      <c r="BP10">
        <v>0</v>
      </c>
      <c r="BQ10">
        <v>8</v>
      </c>
      <c r="BR10">
        <v>9.3333333333333339</v>
      </c>
      <c r="BS10">
        <v>4</v>
      </c>
      <c r="BT10">
        <v>3.5444444444444443</v>
      </c>
      <c r="BU10">
        <v>6</v>
      </c>
      <c r="BV10">
        <v>11.999999999999998</v>
      </c>
      <c r="BW10">
        <v>18</v>
      </c>
      <c r="BX10">
        <v>-1.4802973661668753E-16</v>
      </c>
      <c r="BY10">
        <v>14</v>
      </c>
      <c r="BZ10">
        <v>16</v>
      </c>
      <c r="CA10">
        <v>13</v>
      </c>
      <c r="CB10">
        <v>0.97777777777777786</v>
      </c>
      <c r="CC10">
        <v>20</v>
      </c>
      <c r="CD10">
        <v>-8.0000000000000053</v>
      </c>
      <c r="CE10">
        <v>15</v>
      </c>
      <c r="CF10">
        <v>0.44444444444444403</v>
      </c>
      <c r="CG10">
        <v>14</v>
      </c>
      <c r="CH10">
        <v>13.666666666666666</v>
      </c>
      <c r="CI10">
        <v>18</v>
      </c>
      <c r="CJ10">
        <v>-0.81111111111111001</v>
      </c>
      <c r="CK10">
        <v>9.6666666666666661</v>
      </c>
      <c r="CL10">
        <v>0.77777777777777801</v>
      </c>
      <c r="CM10">
        <v>9</v>
      </c>
      <c r="CN10">
        <v>10</v>
      </c>
      <c r="CO10">
        <v>10</v>
      </c>
      <c r="CP10">
        <v>0.88888888888888873</v>
      </c>
      <c r="CQ10">
        <v>10</v>
      </c>
      <c r="CR10">
        <v>0.33333333333333331</v>
      </c>
      <c r="CS10">
        <v>-1.6666666666666672</v>
      </c>
      <c r="CT10">
        <v>12</v>
      </c>
      <c r="CU10">
        <v>14</v>
      </c>
      <c r="CV10">
        <v>14</v>
      </c>
      <c r="CW10">
        <v>1.0660175815746612E-2</v>
      </c>
      <c r="CX10">
        <v>22</v>
      </c>
      <c r="CY10">
        <v>-4.5788490179552504E-3</v>
      </c>
      <c r="CZ10">
        <v>10</v>
      </c>
      <c r="DA10">
        <v>-5.3744403744403778E-2</v>
      </c>
      <c r="DB10">
        <v>10</v>
      </c>
      <c r="DC10">
        <v>1.3333333333333333</v>
      </c>
      <c r="DD10">
        <v>5.5555555555555571</v>
      </c>
      <c r="DE10">
        <v>0.66666666666666663</v>
      </c>
      <c r="DF10">
        <v>-0.77777777777777779</v>
      </c>
      <c r="DG10">
        <v>46.777777777777771</v>
      </c>
      <c r="DH10">
        <v>37.555555555555543</v>
      </c>
      <c r="DI10">
        <v>9.5555555555555571</v>
      </c>
      <c r="DJ10">
        <v>-2.1111111111111112</v>
      </c>
      <c r="DK10">
        <v>1.7777777777777775</v>
      </c>
      <c r="DL10">
        <v>22</v>
      </c>
      <c r="DM10">
        <v>-2.8311111111111114</v>
      </c>
      <c r="DN10">
        <v>-1.290666666666666</v>
      </c>
      <c r="DO10">
        <v>27.999999999999986</v>
      </c>
      <c r="DP10">
        <v>11</v>
      </c>
      <c r="DQ10">
        <v>0.69472222222222191</v>
      </c>
      <c r="DR10">
        <v>2.0000000000000004</v>
      </c>
      <c r="DS10">
        <v>0.98416666666666641</v>
      </c>
      <c r="DT10">
        <v>-0.33055555555555605</v>
      </c>
      <c r="DU10" t="s">
        <v>281</v>
      </c>
      <c r="DV10" t="s">
        <v>266</v>
      </c>
      <c r="DW10" t="s">
        <v>498</v>
      </c>
      <c r="DX10">
        <v>4</v>
      </c>
      <c r="DY10">
        <v>4.38</v>
      </c>
      <c r="DZ10">
        <v>18</v>
      </c>
      <c r="EA10">
        <v>17</v>
      </c>
      <c r="EB10">
        <v>10</v>
      </c>
      <c r="EC10">
        <v>1.6333333333333326</v>
      </c>
      <c r="ED10">
        <v>26</v>
      </c>
      <c r="EE10">
        <v>-1.6666666666666661</v>
      </c>
      <c r="EF10">
        <v>26</v>
      </c>
      <c r="EG10">
        <v>-14.888888888888886</v>
      </c>
      <c r="EH10">
        <v>6</v>
      </c>
      <c r="EI10">
        <v>1.3333333333333333</v>
      </c>
      <c r="EJ10">
        <v>16</v>
      </c>
      <c r="EK10">
        <v>17.5</v>
      </c>
      <c r="EL10">
        <v>16</v>
      </c>
      <c r="EM10">
        <v>-0.26666666666666689</v>
      </c>
      <c r="EN10">
        <v>23</v>
      </c>
      <c r="EO10">
        <v>-1.3333333333333328</v>
      </c>
      <c r="EP10">
        <v>19</v>
      </c>
      <c r="EQ10">
        <v>-4.333333333333333</v>
      </c>
      <c r="ER10">
        <v>12</v>
      </c>
      <c r="ES10">
        <v>0.44444444444444436</v>
      </c>
      <c r="ET10">
        <v>20</v>
      </c>
      <c r="EU10">
        <v>18.333333333333332</v>
      </c>
      <c r="EV10">
        <v>5</v>
      </c>
      <c r="EW10">
        <v>1.8999999999999995</v>
      </c>
      <c r="EX10">
        <v>19</v>
      </c>
      <c r="EY10">
        <v>-0.3333333333333332</v>
      </c>
      <c r="EZ10">
        <v>31</v>
      </c>
      <c r="FA10">
        <v>-10.555555555555554</v>
      </c>
      <c r="FB10">
        <v>3</v>
      </c>
      <c r="FC10">
        <v>0.88888888888888895</v>
      </c>
      <c r="FD10">
        <v>5</v>
      </c>
      <c r="FE10">
        <v>6</v>
      </c>
      <c r="FF10">
        <v>6</v>
      </c>
      <c r="FG10">
        <v>5.466666666666665</v>
      </c>
      <c r="FH10">
        <v>6</v>
      </c>
      <c r="FI10">
        <v>22.666666666666664</v>
      </c>
      <c r="FJ10">
        <v>6</v>
      </c>
      <c r="FK10">
        <v>1.8888888888888888</v>
      </c>
      <c r="FL10">
        <v>12</v>
      </c>
      <c r="FM10">
        <v>12</v>
      </c>
      <c r="FN10">
        <v>9</v>
      </c>
      <c r="FO10">
        <v>1.8777777777777764</v>
      </c>
      <c r="FP10">
        <v>8</v>
      </c>
      <c r="FQ10">
        <v>12.555555555555552</v>
      </c>
      <c r="FR10">
        <v>19</v>
      </c>
      <c r="FS10">
        <v>-0.33333333333333331</v>
      </c>
      <c r="FT10">
        <v>6</v>
      </c>
      <c r="FU10">
        <v>7</v>
      </c>
      <c r="FV10">
        <v>7</v>
      </c>
      <c r="FW10">
        <v>3.5222222222222217</v>
      </c>
      <c r="FX10">
        <v>12</v>
      </c>
      <c r="FY10">
        <v>3</v>
      </c>
      <c r="FZ10">
        <v>2</v>
      </c>
      <c r="GA10">
        <v>1.7777777777777777</v>
      </c>
      <c r="GB10">
        <v>11</v>
      </c>
      <c r="GC10">
        <v>12</v>
      </c>
      <c r="GD10">
        <v>16</v>
      </c>
      <c r="GE10">
        <v>6.6666666666666721E-2</v>
      </c>
      <c r="GF10">
        <v>8</v>
      </c>
      <c r="GG10">
        <v>7.1111111111111107</v>
      </c>
      <c r="GH10">
        <v>12</v>
      </c>
      <c r="GI10">
        <v>0.44444444444444448</v>
      </c>
      <c r="GJ10">
        <v>2</v>
      </c>
      <c r="GK10">
        <v>1.6666666666666667</v>
      </c>
      <c r="GL10">
        <v>1</v>
      </c>
      <c r="GM10">
        <v>13.511111111111111</v>
      </c>
      <c r="GN10">
        <v>2</v>
      </c>
      <c r="GO10">
        <v>54</v>
      </c>
      <c r="GP10">
        <v>2</v>
      </c>
      <c r="GQ10">
        <v>4.1111111111111107</v>
      </c>
      <c r="GR10">
        <v>2</v>
      </c>
      <c r="GS10">
        <v>3</v>
      </c>
      <c r="GT10">
        <v>3</v>
      </c>
      <c r="GU10">
        <v>8.0222222222222239</v>
      </c>
      <c r="GV10">
        <v>21.333333333333332</v>
      </c>
      <c r="GW10">
        <v>2.4444444444444442</v>
      </c>
      <c r="GX10">
        <v>26</v>
      </c>
      <c r="GY10">
        <v>26</v>
      </c>
      <c r="GZ10">
        <v>21</v>
      </c>
      <c r="HA10">
        <v>-1.1111111111111116</v>
      </c>
      <c r="HB10">
        <v>31</v>
      </c>
      <c r="HC10">
        <v>-0.88888888888888895</v>
      </c>
      <c r="HD10">
        <v>-2.5555555555555554</v>
      </c>
      <c r="HE10">
        <v>27</v>
      </c>
      <c r="HF10">
        <v>22</v>
      </c>
      <c r="HG10">
        <v>18</v>
      </c>
      <c r="HH10">
        <v>-1.9003883375279741E-2</v>
      </c>
      <c r="HI10">
        <v>31</v>
      </c>
      <c r="HJ10">
        <v>-3.0822487280746286E-2</v>
      </c>
      <c r="HK10">
        <v>20</v>
      </c>
      <c r="HL10">
        <v>3.1271197937864571E-2</v>
      </c>
      <c r="HM10">
        <v>19</v>
      </c>
      <c r="HN10">
        <v>-0.66666666666666652</v>
      </c>
      <c r="HO10">
        <v>3.4444444444444451</v>
      </c>
      <c r="HP10">
        <v>6.5555555555555545</v>
      </c>
      <c r="HQ10">
        <v>-1.5555555555555556</v>
      </c>
      <c r="HR10">
        <v>27.333333333333332</v>
      </c>
      <c r="HS10">
        <v>48.999999999999993</v>
      </c>
      <c r="HT10">
        <v>-19.555555555555557</v>
      </c>
      <c r="HU10">
        <v>6.4444444444444455</v>
      </c>
      <c r="HV10">
        <v>-8.5555555555555554</v>
      </c>
      <c r="HW10">
        <v>12</v>
      </c>
      <c r="HX10">
        <v>2.746666666666667</v>
      </c>
      <c r="HY10">
        <v>2.7571111111111115</v>
      </c>
      <c r="HZ10">
        <v>68.555555555555543</v>
      </c>
      <c r="IA10">
        <v>21</v>
      </c>
      <c r="IB10">
        <v>2.298888888888889</v>
      </c>
      <c r="IC10">
        <v>4.333333333333333</v>
      </c>
    </row>
    <row r="11" spans="1:237" x14ac:dyDescent="0.2">
      <c r="A11" s="19">
        <v>44108</v>
      </c>
      <c r="B11" s="13" t="s">
        <v>417</v>
      </c>
      <c r="C11" s="41" t="s">
        <v>278</v>
      </c>
      <c r="D11" s="14" t="s">
        <v>298</v>
      </c>
      <c r="E11">
        <v>14.1</v>
      </c>
      <c r="F11">
        <v>26.3</v>
      </c>
      <c r="G11">
        <v>1.9</v>
      </c>
      <c r="H11">
        <v>8.5</v>
      </c>
      <c r="I11">
        <v>1.5</v>
      </c>
      <c r="J11">
        <v>41</v>
      </c>
      <c r="L11" t="s">
        <v>278</v>
      </c>
      <c r="M11">
        <v>26</v>
      </c>
      <c r="N11">
        <v>-2.8355555555555565</v>
      </c>
      <c r="O11">
        <v>26</v>
      </c>
      <c r="P11">
        <v>23.75</v>
      </c>
      <c r="Q11">
        <v>29</v>
      </c>
      <c r="R11">
        <v>-6.7444444444444436</v>
      </c>
      <c r="S11">
        <v>21</v>
      </c>
      <c r="T11">
        <v>-1.5555555555555556</v>
      </c>
      <c r="U11">
        <v>15</v>
      </c>
      <c r="V11">
        <v>-2.8888888888888875</v>
      </c>
      <c r="W11">
        <v>30</v>
      </c>
      <c r="X11">
        <v>-2.1111111111111107</v>
      </c>
      <c r="Y11">
        <v>26</v>
      </c>
      <c r="Z11">
        <v>22.666666666666668</v>
      </c>
      <c r="AA11">
        <v>27</v>
      </c>
      <c r="AB11">
        <v>-5.1111111111111107</v>
      </c>
      <c r="AC11">
        <v>18</v>
      </c>
      <c r="AD11">
        <v>-1.3333333333333333</v>
      </c>
      <c r="AE11">
        <v>16</v>
      </c>
      <c r="AF11">
        <v>-4.3333333333333313</v>
      </c>
      <c r="AG11">
        <v>25</v>
      </c>
      <c r="AH11">
        <v>-1.1111111111111109</v>
      </c>
      <c r="AI11">
        <v>25</v>
      </c>
      <c r="AJ11">
        <v>21.666666666666668</v>
      </c>
      <c r="AK11">
        <v>24</v>
      </c>
      <c r="AL11">
        <v>-1.6333333333333331</v>
      </c>
      <c r="AM11">
        <v>16</v>
      </c>
      <c r="AN11">
        <v>-0.22222222222222232</v>
      </c>
      <c r="AO11">
        <v>15</v>
      </c>
      <c r="AP11">
        <v>1.444444444444444</v>
      </c>
      <c r="AQ11">
        <v>26</v>
      </c>
      <c r="AR11">
        <v>-1</v>
      </c>
      <c r="AS11">
        <v>22</v>
      </c>
      <c r="AT11">
        <v>21.333333333333332</v>
      </c>
      <c r="AU11">
        <v>30</v>
      </c>
      <c r="AV11">
        <v>-9.7444444444444454</v>
      </c>
      <c r="AW11">
        <v>23</v>
      </c>
      <c r="AX11">
        <v>-23.888888888888889</v>
      </c>
      <c r="AY11">
        <v>11</v>
      </c>
      <c r="AZ11">
        <v>1.3333333333333335</v>
      </c>
      <c r="BA11">
        <v>18</v>
      </c>
      <c r="BB11">
        <v>19</v>
      </c>
      <c r="BC11">
        <v>28</v>
      </c>
      <c r="BD11">
        <v>-4.2777777777777795</v>
      </c>
      <c r="BE11">
        <v>18</v>
      </c>
      <c r="BF11">
        <v>-4.5555555555555571</v>
      </c>
      <c r="BG11">
        <v>11</v>
      </c>
      <c r="BH11">
        <v>0.88888888888888873</v>
      </c>
      <c r="BI11">
        <v>32</v>
      </c>
      <c r="BJ11">
        <v>30.666666666666668</v>
      </c>
      <c r="BK11">
        <v>32</v>
      </c>
      <c r="BL11">
        <v>-5.8</v>
      </c>
      <c r="BM11">
        <v>32</v>
      </c>
      <c r="BN11">
        <v>-26.888888888888886</v>
      </c>
      <c r="BO11">
        <v>28</v>
      </c>
      <c r="BP11">
        <v>-1.3333333333333333</v>
      </c>
      <c r="BQ11">
        <v>5</v>
      </c>
      <c r="BR11">
        <v>8</v>
      </c>
      <c r="BS11">
        <v>12</v>
      </c>
      <c r="BT11">
        <v>0.33333333333333331</v>
      </c>
      <c r="BU11">
        <v>9</v>
      </c>
      <c r="BV11">
        <v>7.5555555555555545</v>
      </c>
      <c r="BW11">
        <v>3</v>
      </c>
      <c r="BX11">
        <v>1.7777777777777779</v>
      </c>
      <c r="BY11">
        <v>28</v>
      </c>
      <c r="BZ11">
        <v>26.666666666666668</v>
      </c>
      <c r="CA11">
        <v>31</v>
      </c>
      <c r="CB11">
        <v>-6.1222222222222236</v>
      </c>
      <c r="CC11">
        <v>31</v>
      </c>
      <c r="CD11">
        <v>-29</v>
      </c>
      <c r="CE11">
        <v>18</v>
      </c>
      <c r="CF11">
        <v>-0.11111111111111072</v>
      </c>
      <c r="CG11">
        <v>3</v>
      </c>
      <c r="CH11">
        <v>3.6666666666666665</v>
      </c>
      <c r="CI11">
        <v>3</v>
      </c>
      <c r="CJ11">
        <v>5.5999999999999988</v>
      </c>
      <c r="CK11">
        <v>22.666666666666668</v>
      </c>
      <c r="CL11">
        <v>1.7777777777777777</v>
      </c>
      <c r="CM11">
        <v>17</v>
      </c>
      <c r="CN11">
        <v>17</v>
      </c>
      <c r="CO11">
        <v>19</v>
      </c>
      <c r="CP11">
        <v>-0.44444444444444464</v>
      </c>
      <c r="CQ11">
        <v>15</v>
      </c>
      <c r="CR11">
        <v>0.11111111111111116</v>
      </c>
      <c r="CS11">
        <v>-0.22222222222222232</v>
      </c>
      <c r="CT11">
        <v>1</v>
      </c>
      <c r="CU11">
        <v>7.75</v>
      </c>
      <c r="CV11">
        <v>11</v>
      </c>
      <c r="CW11">
        <v>1.7361411360159822E-2</v>
      </c>
      <c r="CX11">
        <v>11</v>
      </c>
      <c r="CY11">
        <v>3.9130668385987458E-3</v>
      </c>
      <c r="CZ11">
        <v>3</v>
      </c>
      <c r="DA11">
        <v>-0.18724082934609246</v>
      </c>
      <c r="DB11">
        <v>6</v>
      </c>
      <c r="DC11">
        <v>3</v>
      </c>
      <c r="DD11">
        <v>1.6666666666666643</v>
      </c>
      <c r="DE11">
        <v>-5.666666666666667</v>
      </c>
      <c r="DF11">
        <v>-0.77777777777777779</v>
      </c>
      <c r="DG11">
        <v>-40.888888888888893</v>
      </c>
      <c r="DH11">
        <v>-28.444444444444457</v>
      </c>
      <c r="DI11">
        <v>-2.7777777777777737</v>
      </c>
      <c r="DJ11">
        <v>-6.8888888888888884</v>
      </c>
      <c r="DK11">
        <v>-2.7777777777777772</v>
      </c>
      <c r="DL11">
        <v>10</v>
      </c>
      <c r="DM11">
        <v>3.9088888888888871</v>
      </c>
      <c r="DN11">
        <v>1.9762222222222212</v>
      </c>
      <c r="DO11">
        <v>-25.666666666666682</v>
      </c>
      <c r="DP11">
        <v>23</v>
      </c>
      <c r="DQ11">
        <v>-1.771111111111112</v>
      </c>
      <c r="DR11">
        <v>3.1111111111111112</v>
      </c>
      <c r="DS11">
        <v>-0.58013888888888898</v>
      </c>
      <c r="DT11">
        <v>-4.1944444444444451E-2</v>
      </c>
      <c r="DU11" t="s">
        <v>298</v>
      </c>
      <c r="DV11" t="s">
        <v>262</v>
      </c>
      <c r="DW11" t="s">
        <v>473</v>
      </c>
      <c r="DX11">
        <v>22</v>
      </c>
      <c r="DY11">
        <v>-2.6577777777777798</v>
      </c>
      <c r="DZ11">
        <v>20</v>
      </c>
      <c r="EA11">
        <v>19</v>
      </c>
      <c r="EB11">
        <v>25</v>
      </c>
      <c r="EC11">
        <v>-4.0555555555555554</v>
      </c>
      <c r="ED11">
        <v>23</v>
      </c>
      <c r="EE11">
        <v>-1.0000000000000004</v>
      </c>
      <c r="EF11">
        <v>14</v>
      </c>
      <c r="EG11">
        <v>-6.2222222222222232</v>
      </c>
      <c r="EH11">
        <v>14</v>
      </c>
      <c r="EI11">
        <v>0.11111111111111127</v>
      </c>
      <c r="EJ11">
        <v>27</v>
      </c>
      <c r="EK11">
        <v>23.25</v>
      </c>
      <c r="EL11">
        <v>26</v>
      </c>
      <c r="EM11">
        <v>-3.6</v>
      </c>
      <c r="EN11">
        <v>29</v>
      </c>
      <c r="EO11">
        <v>-2.7777777777777781</v>
      </c>
      <c r="EP11">
        <v>12</v>
      </c>
      <c r="EQ11">
        <v>1.3333333333333333</v>
      </c>
      <c r="ER11">
        <v>26</v>
      </c>
      <c r="ES11">
        <v>-0.77777777777777768</v>
      </c>
      <c r="ET11">
        <v>16</v>
      </c>
      <c r="EU11">
        <v>16.666666666666668</v>
      </c>
      <c r="EV11">
        <v>19</v>
      </c>
      <c r="EW11">
        <v>-0.45555555555555544</v>
      </c>
      <c r="EX11">
        <v>4</v>
      </c>
      <c r="EY11">
        <v>1.7777777777777777</v>
      </c>
      <c r="EZ11">
        <v>27</v>
      </c>
      <c r="FA11">
        <v>-7.5555555555555562</v>
      </c>
      <c r="FB11">
        <v>3</v>
      </c>
      <c r="FC11">
        <v>0.88888888888888895</v>
      </c>
      <c r="FD11">
        <v>25</v>
      </c>
      <c r="FE11">
        <v>22.666666666666668</v>
      </c>
      <c r="FF11">
        <v>25</v>
      </c>
      <c r="FG11">
        <v>-4.1888888888888882</v>
      </c>
      <c r="FH11">
        <v>20</v>
      </c>
      <c r="FI11">
        <v>-12.333333333333336</v>
      </c>
      <c r="FJ11">
        <v>23</v>
      </c>
      <c r="FK11">
        <v>-0.88888888888888884</v>
      </c>
      <c r="FL11">
        <v>24</v>
      </c>
      <c r="FM11">
        <v>20.333333333333332</v>
      </c>
      <c r="FN11">
        <v>20</v>
      </c>
      <c r="FO11">
        <v>-1.4444444444444438</v>
      </c>
      <c r="FP11">
        <v>16</v>
      </c>
      <c r="FQ11">
        <v>-1.1111111111111143</v>
      </c>
      <c r="FR11">
        <v>25</v>
      </c>
      <c r="FS11">
        <v>-1.1111111111111109</v>
      </c>
      <c r="FT11">
        <v>24</v>
      </c>
      <c r="FU11">
        <v>22.666666666666668</v>
      </c>
      <c r="FV11">
        <v>24</v>
      </c>
      <c r="FW11">
        <v>-2.4999999999999996</v>
      </c>
      <c r="FX11">
        <v>24</v>
      </c>
      <c r="FY11">
        <v>-8.4444444444444411</v>
      </c>
      <c r="FZ11">
        <v>20</v>
      </c>
      <c r="GA11">
        <v>-0.55555555555555569</v>
      </c>
      <c r="GB11">
        <v>16</v>
      </c>
      <c r="GC11">
        <v>14.666666666666666</v>
      </c>
      <c r="GD11">
        <v>18</v>
      </c>
      <c r="GE11">
        <v>-0.24444444444444505</v>
      </c>
      <c r="GF11">
        <v>18</v>
      </c>
      <c r="GG11">
        <v>-2.7777777777777799</v>
      </c>
      <c r="GH11">
        <v>8</v>
      </c>
      <c r="GI11">
        <v>0.77777777777777768</v>
      </c>
      <c r="GJ11">
        <v>13</v>
      </c>
      <c r="GK11">
        <v>13</v>
      </c>
      <c r="GL11">
        <v>11</v>
      </c>
      <c r="GM11">
        <v>1.8444444444444457</v>
      </c>
      <c r="GN11">
        <v>13</v>
      </c>
      <c r="GO11">
        <v>1.7777777777777761</v>
      </c>
      <c r="GP11">
        <v>15</v>
      </c>
      <c r="GQ11">
        <v>0.22222222222222202</v>
      </c>
      <c r="GR11">
        <v>13</v>
      </c>
      <c r="GS11">
        <v>15.333333333333334</v>
      </c>
      <c r="GT11">
        <v>8</v>
      </c>
      <c r="GU11">
        <v>2.5111111111111111</v>
      </c>
      <c r="GV11">
        <v>-3.8888888888888893</v>
      </c>
      <c r="GW11">
        <v>-0.11111111111111087</v>
      </c>
      <c r="GX11">
        <v>16</v>
      </c>
      <c r="GY11">
        <v>16.5</v>
      </c>
      <c r="GZ11">
        <v>19</v>
      </c>
      <c r="HA11">
        <v>-0.55555555555555569</v>
      </c>
      <c r="HB11">
        <v>14</v>
      </c>
      <c r="HC11">
        <v>0.22222222222222202</v>
      </c>
      <c r="HD11">
        <v>4</v>
      </c>
      <c r="HE11">
        <v>7</v>
      </c>
      <c r="HF11">
        <v>12</v>
      </c>
      <c r="HG11">
        <v>10</v>
      </c>
      <c r="HH11">
        <v>1.7326893450012676E-2</v>
      </c>
      <c r="HI11">
        <v>20</v>
      </c>
      <c r="HJ11">
        <v>-7.494463458272353E-3</v>
      </c>
      <c r="HK11">
        <v>7</v>
      </c>
      <c r="HL11">
        <v>-0.108987308987309</v>
      </c>
      <c r="HM11">
        <v>11</v>
      </c>
      <c r="HN11">
        <v>0.22222222222222232</v>
      </c>
      <c r="HO11">
        <v>0.66666666666666663</v>
      </c>
      <c r="HP11">
        <v>-1.3333333333333333</v>
      </c>
      <c r="HQ11">
        <v>3.5555555555555558</v>
      </c>
      <c r="HR11">
        <v>-30.000000000000018</v>
      </c>
      <c r="HS11">
        <v>-45.444444444444436</v>
      </c>
      <c r="HT11">
        <v>13.555555555555557</v>
      </c>
      <c r="HU11">
        <v>-5.666666666666667</v>
      </c>
      <c r="HV11">
        <v>7.5555555555555545</v>
      </c>
      <c r="HW11">
        <v>16</v>
      </c>
      <c r="HX11">
        <v>1.3977777777777756</v>
      </c>
      <c r="HY11">
        <v>1.1606666666666661</v>
      </c>
      <c r="HZ11">
        <v>-58.999999999999993</v>
      </c>
      <c r="IA11">
        <v>17</v>
      </c>
      <c r="IB11">
        <v>-1.1183333333333336</v>
      </c>
      <c r="IC11">
        <v>-0.99999999999999967</v>
      </c>
    </row>
    <row r="12" spans="1:237" x14ac:dyDescent="0.2">
      <c r="A12" s="19">
        <v>44108</v>
      </c>
      <c r="B12" s="13" t="s">
        <v>417</v>
      </c>
      <c r="C12" s="41" t="s">
        <v>299</v>
      </c>
      <c r="D12" s="14" t="s">
        <v>307</v>
      </c>
      <c r="E12">
        <v>16.2</v>
      </c>
      <c r="F12">
        <v>7.7</v>
      </c>
      <c r="G12">
        <v>1.9</v>
      </c>
      <c r="H12">
        <v>10.9</v>
      </c>
      <c r="I12">
        <v>3</v>
      </c>
      <c r="J12">
        <v>51.5</v>
      </c>
      <c r="L12" t="s">
        <v>299</v>
      </c>
      <c r="M12">
        <v>11</v>
      </c>
      <c r="N12">
        <v>0.58444444444444399</v>
      </c>
      <c r="O12">
        <v>30</v>
      </c>
      <c r="P12">
        <v>25</v>
      </c>
      <c r="Q12">
        <v>31</v>
      </c>
      <c r="R12">
        <v>-8.0444444444444443</v>
      </c>
      <c r="S12">
        <v>17</v>
      </c>
      <c r="T12">
        <v>-0.22222222222222232</v>
      </c>
      <c r="U12">
        <v>26</v>
      </c>
      <c r="V12">
        <v>-13.111111111111109</v>
      </c>
      <c r="W12">
        <v>26</v>
      </c>
      <c r="X12">
        <v>-1.2222222222222221</v>
      </c>
      <c r="Y12">
        <v>28</v>
      </c>
      <c r="Z12">
        <v>23.666666666666668</v>
      </c>
      <c r="AA12">
        <v>31</v>
      </c>
      <c r="AB12">
        <v>-7.9333333333333327</v>
      </c>
      <c r="AC12">
        <v>10</v>
      </c>
      <c r="AD12">
        <v>2</v>
      </c>
      <c r="AE12">
        <v>12</v>
      </c>
      <c r="AF12">
        <v>9.0000000000000018</v>
      </c>
      <c r="AG12">
        <v>28</v>
      </c>
      <c r="AH12">
        <v>-1.3333333333333333</v>
      </c>
      <c r="AI12">
        <v>23</v>
      </c>
      <c r="AJ12">
        <v>21</v>
      </c>
      <c r="AK12">
        <v>17</v>
      </c>
      <c r="AL12">
        <v>-0.1111111111111116</v>
      </c>
      <c r="AM12">
        <v>25</v>
      </c>
      <c r="AN12">
        <v>-2.2222222222222223</v>
      </c>
      <c r="AO12">
        <v>32</v>
      </c>
      <c r="AP12">
        <v>-22.111111111111111</v>
      </c>
      <c r="AQ12">
        <v>14</v>
      </c>
      <c r="AR12">
        <v>0.11111111111111116</v>
      </c>
      <c r="AS12">
        <v>13</v>
      </c>
      <c r="AT12">
        <v>13.666666666666666</v>
      </c>
      <c r="AU12">
        <v>16</v>
      </c>
      <c r="AV12">
        <v>-0.93333333333333279</v>
      </c>
      <c r="AW12">
        <v>17</v>
      </c>
      <c r="AX12">
        <v>-1.3333333333333321</v>
      </c>
      <c r="AY12">
        <v>8</v>
      </c>
      <c r="AZ12">
        <v>1.5555555555555558</v>
      </c>
      <c r="BA12">
        <v>26</v>
      </c>
      <c r="BB12">
        <v>25</v>
      </c>
      <c r="BC12">
        <v>25</v>
      </c>
      <c r="BD12">
        <v>-3.3888888888888888</v>
      </c>
      <c r="BE12">
        <v>31</v>
      </c>
      <c r="BF12">
        <v>-22.111111111111111</v>
      </c>
      <c r="BG12">
        <v>19</v>
      </c>
      <c r="BH12">
        <v>-0.55555555555555536</v>
      </c>
      <c r="BI12">
        <v>4</v>
      </c>
      <c r="BJ12">
        <v>8</v>
      </c>
      <c r="BK12">
        <v>9</v>
      </c>
      <c r="BL12">
        <v>1.5000000000000002</v>
      </c>
      <c r="BM12">
        <v>8</v>
      </c>
      <c r="BN12">
        <v>11.666666666666666</v>
      </c>
      <c r="BO12">
        <v>7</v>
      </c>
      <c r="BP12">
        <v>0.88888888888888895</v>
      </c>
      <c r="BQ12">
        <v>5</v>
      </c>
      <c r="BR12">
        <v>8</v>
      </c>
      <c r="BS12">
        <v>11</v>
      </c>
      <c r="BT12">
        <v>0.95555555555555582</v>
      </c>
      <c r="BU12">
        <v>7</v>
      </c>
      <c r="BV12">
        <v>9.1111111111111125</v>
      </c>
      <c r="BW12">
        <v>6</v>
      </c>
      <c r="BX12">
        <v>1.2222222222222221</v>
      </c>
      <c r="BY12">
        <v>3</v>
      </c>
      <c r="BZ12">
        <v>4</v>
      </c>
      <c r="CA12">
        <v>4</v>
      </c>
      <c r="CB12">
        <v>5.322222222222222</v>
      </c>
      <c r="CC12">
        <v>6</v>
      </c>
      <c r="CD12">
        <v>18.777777777777775</v>
      </c>
      <c r="CE12">
        <v>2</v>
      </c>
      <c r="CF12">
        <v>2.5555555555555554</v>
      </c>
      <c r="CG12">
        <v>9</v>
      </c>
      <c r="CH12">
        <v>9.6666666666666661</v>
      </c>
      <c r="CI12">
        <v>8</v>
      </c>
      <c r="CJ12">
        <v>3.0888888888888886</v>
      </c>
      <c r="CK12">
        <v>17.444444444444446</v>
      </c>
      <c r="CL12">
        <v>0.22222222222222232</v>
      </c>
      <c r="CM12">
        <v>6</v>
      </c>
      <c r="CN12">
        <v>6.5</v>
      </c>
      <c r="CO12">
        <v>9</v>
      </c>
      <c r="CP12">
        <v>1.2222222222222223</v>
      </c>
      <c r="CQ12">
        <v>4</v>
      </c>
      <c r="CR12">
        <v>0.55555555555555547</v>
      </c>
      <c r="CS12">
        <v>-0.55555555555555547</v>
      </c>
      <c r="CT12">
        <v>17</v>
      </c>
      <c r="CU12">
        <v>16.5</v>
      </c>
      <c r="CV12">
        <v>12</v>
      </c>
      <c r="CW12">
        <v>1.5913012960840134E-2</v>
      </c>
      <c r="CX12">
        <v>10</v>
      </c>
      <c r="CY12">
        <v>4.7836228795662414E-3</v>
      </c>
      <c r="CZ12">
        <v>27</v>
      </c>
      <c r="DA12">
        <v>0.11913580246913576</v>
      </c>
      <c r="DB12">
        <v>17</v>
      </c>
      <c r="DC12">
        <v>-0.11111111111111101</v>
      </c>
      <c r="DD12">
        <v>3.3333333333333357</v>
      </c>
      <c r="DE12">
        <v>0.22222222222222263</v>
      </c>
      <c r="DF12">
        <v>0</v>
      </c>
      <c r="DG12">
        <v>4.6666666666666474</v>
      </c>
      <c r="DH12">
        <v>12.666666666666657</v>
      </c>
      <c r="DI12">
        <v>-3.7777777777777763</v>
      </c>
      <c r="DJ12">
        <v>-0.99999999999999989</v>
      </c>
      <c r="DK12">
        <v>-3.2222222222222219</v>
      </c>
      <c r="DL12">
        <v>3</v>
      </c>
      <c r="DM12">
        <v>8.6288888888888877</v>
      </c>
      <c r="DN12">
        <v>4.5702222222222222</v>
      </c>
      <c r="DO12">
        <v>16.444444444444432</v>
      </c>
      <c r="DP12">
        <v>30</v>
      </c>
      <c r="DQ12">
        <v>-0.51027777777777772</v>
      </c>
      <c r="DR12">
        <v>1.7777777777777781</v>
      </c>
      <c r="DS12">
        <v>-0.669027777777778</v>
      </c>
      <c r="DT12">
        <v>-0.68055555555555547</v>
      </c>
      <c r="DU12" t="s">
        <v>307</v>
      </c>
      <c r="DV12" t="s">
        <v>269</v>
      </c>
      <c r="DW12" t="s">
        <v>457</v>
      </c>
      <c r="DX12">
        <v>9</v>
      </c>
      <c r="DY12">
        <v>2.3066666666666671</v>
      </c>
      <c r="DZ12">
        <v>31</v>
      </c>
      <c r="EA12">
        <v>27</v>
      </c>
      <c r="EB12">
        <v>32</v>
      </c>
      <c r="EC12">
        <v>-9.6555555555555586</v>
      </c>
      <c r="ED12">
        <v>15</v>
      </c>
      <c r="EE12">
        <v>0.22222222222222165</v>
      </c>
      <c r="EF12">
        <v>29</v>
      </c>
      <c r="EG12">
        <v>-22.333333333333336</v>
      </c>
      <c r="EH12">
        <v>32</v>
      </c>
      <c r="EI12">
        <v>-2.3333333333333335</v>
      </c>
      <c r="EJ12">
        <v>30</v>
      </c>
      <c r="EK12">
        <v>24.5</v>
      </c>
      <c r="EL12">
        <v>32</v>
      </c>
      <c r="EM12">
        <v>-7.9666666666666694</v>
      </c>
      <c r="EN12">
        <v>9</v>
      </c>
      <c r="EO12">
        <v>2.2222222222222214</v>
      </c>
      <c r="EP12">
        <v>26</v>
      </c>
      <c r="EQ12">
        <v>-12</v>
      </c>
      <c r="ER12">
        <v>31</v>
      </c>
      <c r="ES12">
        <v>-1.4444444444444444</v>
      </c>
      <c r="ET12">
        <v>31</v>
      </c>
      <c r="EU12">
        <v>29</v>
      </c>
      <c r="EV12">
        <v>27</v>
      </c>
      <c r="EW12">
        <v>-1.6888888888888889</v>
      </c>
      <c r="EX12">
        <v>30</v>
      </c>
      <c r="EY12">
        <v>-1.9999999999999998</v>
      </c>
      <c r="EZ12">
        <v>30</v>
      </c>
      <c r="FA12">
        <v>-10.333333333333334</v>
      </c>
      <c r="FB12">
        <v>27</v>
      </c>
      <c r="FC12">
        <v>-0.88888888888888895</v>
      </c>
      <c r="FD12">
        <v>29</v>
      </c>
      <c r="FE12">
        <v>28.333333333333332</v>
      </c>
      <c r="FF12">
        <v>29</v>
      </c>
      <c r="FG12">
        <v>-7.822222222222222</v>
      </c>
      <c r="FH12">
        <v>28</v>
      </c>
      <c r="FI12">
        <v>-28.999999999999996</v>
      </c>
      <c r="FJ12">
        <v>28</v>
      </c>
      <c r="FK12">
        <v>-2.1111111111111116</v>
      </c>
      <c r="FL12">
        <v>26</v>
      </c>
      <c r="FM12">
        <v>25.333333333333332</v>
      </c>
      <c r="FN12">
        <v>27</v>
      </c>
      <c r="FO12">
        <v>-4.0555555555555554</v>
      </c>
      <c r="FP12">
        <v>19</v>
      </c>
      <c r="FQ12">
        <v>-5.5555555555555545</v>
      </c>
      <c r="FR12">
        <v>30</v>
      </c>
      <c r="FS12">
        <v>-1.7777777777777779</v>
      </c>
      <c r="FT12">
        <v>27</v>
      </c>
      <c r="FU12">
        <v>26.666666666666668</v>
      </c>
      <c r="FV12">
        <v>27</v>
      </c>
      <c r="FW12">
        <v>-3.3444444444444446</v>
      </c>
      <c r="FX12">
        <v>31</v>
      </c>
      <c r="FY12">
        <v>-24.555555555555554</v>
      </c>
      <c r="FZ12">
        <v>22</v>
      </c>
      <c r="GA12">
        <v>-0.66666666666666685</v>
      </c>
      <c r="GB12">
        <v>18</v>
      </c>
      <c r="GC12">
        <v>16.333333333333332</v>
      </c>
      <c r="GD12">
        <v>19</v>
      </c>
      <c r="GE12">
        <v>-0.42222222222222189</v>
      </c>
      <c r="GF12">
        <v>15</v>
      </c>
      <c r="GG12">
        <v>1.1111111111111118</v>
      </c>
      <c r="GH12">
        <v>15</v>
      </c>
      <c r="GI12">
        <v>0.33333333333333326</v>
      </c>
      <c r="GJ12">
        <v>19</v>
      </c>
      <c r="GK12">
        <v>19.333333333333332</v>
      </c>
      <c r="GL12">
        <v>22</v>
      </c>
      <c r="GM12">
        <v>-2.8222222222222224</v>
      </c>
      <c r="GN12">
        <v>26</v>
      </c>
      <c r="GO12">
        <v>-18.222222222222218</v>
      </c>
      <c r="GP12">
        <v>10</v>
      </c>
      <c r="GQ12">
        <v>0.33333333333333365</v>
      </c>
      <c r="GR12">
        <v>1</v>
      </c>
      <c r="GS12">
        <v>1.3333333333333333</v>
      </c>
      <c r="GT12">
        <v>1</v>
      </c>
      <c r="GU12">
        <v>9.2444444444444436</v>
      </c>
      <c r="GV12">
        <v>25.777777777777775</v>
      </c>
      <c r="GW12">
        <v>3</v>
      </c>
      <c r="GX12">
        <v>12</v>
      </c>
      <c r="GY12">
        <v>13</v>
      </c>
      <c r="GZ12">
        <v>13</v>
      </c>
      <c r="HA12">
        <v>0.66666666666666641</v>
      </c>
      <c r="HB12">
        <v>13</v>
      </c>
      <c r="HC12">
        <v>0.2222222222222221</v>
      </c>
      <c r="HD12">
        <v>-4.666666666666667</v>
      </c>
      <c r="HE12">
        <v>1</v>
      </c>
      <c r="HF12">
        <v>9</v>
      </c>
      <c r="HG12">
        <v>3</v>
      </c>
      <c r="HH12">
        <v>8.7559029524596266E-2</v>
      </c>
      <c r="HI12">
        <v>4</v>
      </c>
      <c r="HJ12">
        <v>2.3709229113341976E-2</v>
      </c>
      <c r="HK12">
        <v>23</v>
      </c>
      <c r="HL12">
        <v>7.9365079365079347E-2</v>
      </c>
      <c r="HM12">
        <v>6</v>
      </c>
      <c r="HN12">
        <v>2.4444444444444446</v>
      </c>
      <c r="HO12">
        <v>-0.5555555555555548</v>
      </c>
      <c r="HP12">
        <v>0.1111111111111119</v>
      </c>
      <c r="HQ12">
        <v>-1.2222222222222221</v>
      </c>
      <c r="HR12">
        <v>-30.111111111111104</v>
      </c>
      <c r="HS12">
        <v>-0.66666666666666663</v>
      </c>
      <c r="HT12">
        <v>-29.888888888888889</v>
      </c>
      <c r="HU12">
        <v>-2.5555555555555558</v>
      </c>
      <c r="HV12">
        <v>3</v>
      </c>
      <c r="HW12">
        <v>2</v>
      </c>
      <c r="HX12">
        <v>11.962222222222225</v>
      </c>
      <c r="HY12">
        <v>5.5735555555555569</v>
      </c>
      <c r="HZ12">
        <v>29.222222222222221</v>
      </c>
      <c r="IA12">
        <v>31</v>
      </c>
      <c r="IB12">
        <v>-0.65750000000000064</v>
      </c>
      <c r="IC12">
        <v>0.8888888888888884</v>
      </c>
    </row>
    <row r="13" spans="1:237" x14ac:dyDescent="0.2">
      <c r="A13" s="19">
        <v>44108</v>
      </c>
      <c r="B13" s="13" t="s">
        <v>417</v>
      </c>
      <c r="C13" s="41" t="s">
        <v>300</v>
      </c>
      <c r="D13" s="14" t="s">
        <v>295</v>
      </c>
      <c r="E13">
        <v>8.5</v>
      </c>
      <c r="F13">
        <v>4.0999999999999996</v>
      </c>
      <c r="G13">
        <v>3</v>
      </c>
      <c r="H13">
        <v>33.799999999999997</v>
      </c>
      <c r="I13">
        <v>-4.5</v>
      </c>
      <c r="J13">
        <v>56</v>
      </c>
      <c r="L13" t="s">
        <v>300</v>
      </c>
      <c r="M13">
        <v>5</v>
      </c>
      <c r="N13">
        <v>3.2511111111111091</v>
      </c>
      <c r="O13">
        <v>4</v>
      </c>
      <c r="P13">
        <v>8.5</v>
      </c>
      <c r="Q13">
        <v>3</v>
      </c>
      <c r="R13">
        <v>9.2333333333333343</v>
      </c>
      <c r="S13">
        <v>25</v>
      </c>
      <c r="T13">
        <v>-2.333333333333333</v>
      </c>
      <c r="U13">
        <v>5</v>
      </c>
      <c r="V13">
        <v>16.444444444444446</v>
      </c>
      <c r="W13">
        <v>1</v>
      </c>
      <c r="X13">
        <v>3</v>
      </c>
      <c r="Y13">
        <v>1</v>
      </c>
      <c r="Z13">
        <v>4.666666666666667</v>
      </c>
      <c r="AA13">
        <v>3</v>
      </c>
      <c r="AB13">
        <v>8.0666666666666682</v>
      </c>
      <c r="AC13">
        <v>28</v>
      </c>
      <c r="AD13">
        <v>-3</v>
      </c>
      <c r="AE13">
        <v>9</v>
      </c>
      <c r="AF13">
        <v>10.555555555555557</v>
      </c>
      <c r="AG13">
        <v>2</v>
      </c>
      <c r="AH13">
        <v>2.3333333333333335</v>
      </c>
      <c r="AI13">
        <v>4</v>
      </c>
      <c r="AJ13">
        <v>9.3333333333333339</v>
      </c>
      <c r="AK13">
        <v>9</v>
      </c>
      <c r="AL13">
        <v>1.1666666666666667</v>
      </c>
      <c r="AM13">
        <v>10</v>
      </c>
      <c r="AN13">
        <v>0.66666666666666685</v>
      </c>
      <c r="AO13">
        <v>10</v>
      </c>
      <c r="AP13">
        <v>5.8888888888888893</v>
      </c>
      <c r="AQ13">
        <v>9</v>
      </c>
      <c r="AR13">
        <v>0.66666666666666663</v>
      </c>
      <c r="AS13">
        <v>6</v>
      </c>
      <c r="AT13">
        <v>7.333333333333333</v>
      </c>
      <c r="AU13">
        <v>7</v>
      </c>
      <c r="AV13">
        <v>7.0111111111111111</v>
      </c>
      <c r="AW13">
        <v>5</v>
      </c>
      <c r="AX13">
        <v>32.555555555555557</v>
      </c>
      <c r="AY13">
        <v>10</v>
      </c>
      <c r="AZ13">
        <v>1.444444444444444</v>
      </c>
      <c r="BA13">
        <v>2</v>
      </c>
      <c r="BB13">
        <v>2.6666666666666665</v>
      </c>
      <c r="BC13">
        <v>2</v>
      </c>
      <c r="BD13">
        <v>10.111111111111112</v>
      </c>
      <c r="BE13">
        <v>2</v>
      </c>
      <c r="BF13">
        <v>33.666666666666671</v>
      </c>
      <c r="BG13">
        <v>4</v>
      </c>
      <c r="BH13">
        <v>2</v>
      </c>
      <c r="BI13">
        <v>14</v>
      </c>
      <c r="BJ13">
        <v>14</v>
      </c>
      <c r="BK13">
        <v>24</v>
      </c>
      <c r="BL13">
        <v>-2.3111111111111113</v>
      </c>
      <c r="BM13">
        <v>12</v>
      </c>
      <c r="BN13">
        <v>5.8888888888888866</v>
      </c>
      <c r="BO13">
        <v>6</v>
      </c>
      <c r="BP13">
        <v>1.3333333333333333</v>
      </c>
      <c r="BQ13">
        <v>27</v>
      </c>
      <c r="BR13">
        <v>25</v>
      </c>
      <c r="BS13">
        <v>20</v>
      </c>
      <c r="BT13">
        <v>-0.78888888888888964</v>
      </c>
      <c r="BU13">
        <v>25</v>
      </c>
      <c r="BV13">
        <v>-7</v>
      </c>
      <c r="BW13">
        <v>30</v>
      </c>
      <c r="BX13">
        <v>-1.8888888888888891</v>
      </c>
      <c r="BY13">
        <v>10</v>
      </c>
      <c r="BZ13">
        <v>11</v>
      </c>
      <c r="CA13">
        <v>8</v>
      </c>
      <c r="CB13">
        <v>3.7333333333333321</v>
      </c>
      <c r="CC13">
        <v>4</v>
      </c>
      <c r="CD13">
        <v>28.444444444444443</v>
      </c>
      <c r="CE13">
        <v>21</v>
      </c>
      <c r="CF13">
        <v>-0.66666666666666607</v>
      </c>
      <c r="CG13">
        <v>30</v>
      </c>
      <c r="CH13">
        <v>29</v>
      </c>
      <c r="CI13">
        <v>26</v>
      </c>
      <c r="CJ13">
        <v>-3.5000000000000004</v>
      </c>
      <c r="CK13">
        <v>-19.444444444444443</v>
      </c>
      <c r="CL13">
        <v>-2.7777777777777772</v>
      </c>
      <c r="CM13">
        <v>20</v>
      </c>
      <c r="CN13">
        <v>18.5</v>
      </c>
      <c r="CO13">
        <v>12</v>
      </c>
      <c r="CP13">
        <v>0.6666666666666673</v>
      </c>
      <c r="CQ13">
        <v>25</v>
      </c>
      <c r="CR13">
        <v>-0.33333333333333343</v>
      </c>
      <c r="CS13">
        <v>1</v>
      </c>
      <c r="CT13">
        <v>30</v>
      </c>
      <c r="CU13">
        <v>23.25</v>
      </c>
      <c r="CV13">
        <v>24</v>
      </c>
      <c r="CW13">
        <v>-3.3845078532628338E-2</v>
      </c>
      <c r="CX13">
        <v>29</v>
      </c>
      <c r="CY13">
        <v>-1.9656871095576654E-2</v>
      </c>
      <c r="CZ13">
        <v>8</v>
      </c>
      <c r="DA13">
        <v>-6.7857142857142838E-2</v>
      </c>
      <c r="DB13">
        <v>32</v>
      </c>
      <c r="DC13">
        <v>-6.2222222222222223</v>
      </c>
      <c r="DD13">
        <v>0.11111111111110954</v>
      </c>
      <c r="DE13">
        <v>6.8888888888888902</v>
      </c>
      <c r="DF13">
        <v>2</v>
      </c>
      <c r="DG13">
        <v>54.333333333333336</v>
      </c>
      <c r="DH13">
        <v>22.666666666666657</v>
      </c>
      <c r="DI13">
        <v>33.999999999999993</v>
      </c>
      <c r="DJ13">
        <v>1.333333333333333</v>
      </c>
      <c r="DK13">
        <v>-3.6666666666666665</v>
      </c>
      <c r="DL13">
        <v>26</v>
      </c>
      <c r="DM13">
        <v>-5.9822222222222257</v>
      </c>
      <c r="DN13">
        <v>-3.264222222222223</v>
      </c>
      <c r="DO13">
        <v>-11.333333333333336</v>
      </c>
      <c r="DP13">
        <v>7</v>
      </c>
      <c r="DQ13">
        <v>2.0827777777777778</v>
      </c>
      <c r="DR13">
        <v>-1.3333333333333333</v>
      </c>
      <c r="DS13">
        <v>1.8165277777777775</v>
      </c>
      <c r="DT13">
        <v>1.2980555555555555</v>
      </c>
      <c r="DU13" t="s">
        <v>295</v>
      </c>
      <c r="DV13" t="s">
        <v>280</v>
      </c>
      <c r="DW13" t="s">
        <v>489</v>
      </c>
      <c r="DX13">
        <v>1</v>
      </c>
      <c r="DY13">
        <v>6.8911111111111092</v>
      </c>
      <c r="DZ13">
        <v>14</v>
      </c>
      <c r="EA13">
        <v>15.25</v>
      </c>
      <c r="EB13">
        <v>9</v>
      </c>
      <c r="EC13">
        <v>1.9444444444444433</v>
      </c>
      <c r="ED13">
        <v>24</v>
      </c>
      <c r="EE13">
        <v>-1.4444444444444442</v>
      </c>
      <c r="EF13">
        <v>21</v>
      </c>
      <c r="EG13">
        <v>-11</v>
      </c>
      <c r="EH13">
        <v>7</v>
      </c>
      <c r="EI13">
        <v>1</v>
      </c>
      <c r="EJ13">
        <v>14</v>
      </c>
      <c r="EK13">
        <v>16.75</v>
      </c>
      <c r="EL13">
        <v>11</v>
      </c>
      <c r="EM13">
        <v>0.88888888888888751</v>
      </c>
      <c r="EN13">
        <v>24</v>
      </c>
      <c r="EO13">
        <v>-1.3333333333333333</v>
      </c>
      <c r="EP13">
        <v>25</v>
      </c>
      <c r="EQ13">
        <v>-11.333333333333334</v>
      </c>
      <c r="ER13">
        <v>7</v>
      </c>
      <c r="ES13">
        <v>0.55555555555555569</v>
      </c>
      <c r="ET13">
        <v>11</v>
      </c>
      <c r="EU13">
        <v>13</v>
      </c>
      <c r="EV13">
        <v>8</v>
      </c>
      <c r="EW13">
        <v>1.0555555555555558</v>
      </c>
      <c r="EX13">
        <v>17</v>
      </c>
      <c r="EY13">
        <v>-0.11111111111111101</v>
      </c>
      <c r="EZ13">
        <v>14</v>
      </c>
      <c r="FA13">
        <v>0.33333333333333304</v>
      </c>
      <c r="FB13">
        <v>13</v>
      </c>
      <c r="FC13">
        <v>0.44444444444444436</v>
      </c>
      <c r="FD13">
        <v>9</v>
      </c>
      <c r="FE13">
        <v>11.333333333333334</v>
      </c>
      <c r="FF13">
        <v>17</v>
      </c>
      <c r="FG13">
        <v>-0.94444444444444731</v>
      </c>
      <c r="FH13">
        <v>8</v>
      </c>
      <c r="FI13">
        <v>18.111111111111111</v>
      </c>
      <c r="FJ13">
        <v>9</v>
      </c>
      <c r="FK13">
        <v>0.66666666666666663</v>
      </c>
      <c r="FL13">
        <v>10</v>
      </c>
      <c r="FM13">
        <v>11</v>
      </c>
      <c r="FN13">
        <v>8</v>
      </c>
      <c r="FO13">
        <v>2.3333333333333308</v>
      </c>
      <c r="FP13">
        <v>3</v>
      </c>
      <c r="FQ13">
        <v>21</v>
      </c>
      <c r="FR13">
        <v>22</v>
      </c>
      <c r="FS13">
        <v>-0.55555555555555536</v>
      </c>
      <c r="FT13">
        <v>12</v>
      </c>
      <c r="FU13">
        <v>12.666666666666666</v>
      </c>
      <c r="FV13">
        <v>11</v>
      </c>
      <c r="FW13">
        <v>0.72222222222222199</v>
      </c>
      <c r="FX13">
        <v>16</v>
      </c>
      <c r="FY13">
        <v>0.8888888888888905</v>
      </c>
      <c r="FZ13">
        <v>11</v>
      </c>
      <c r="GA13">
        <v>0.66666666666666663</v>
      </c>
      <c r="GB13">
        <v>21</v>
      </c>
      <c r="GC13">
        <v>20.666666666666668</v>
      </c>
      <c r="GD13">
        <v>32</v>
      </c>
      <c r="GE13">
        <v>-4</v>
      </c>
      <c r="GF13">
        <v>19</v>
      </c>
      <c r="GG13">
        <v>-3.7777777777777799</v>
      </c>
      <c r="GH13">
        <v>11</v>
      </c>
      <c r="GI13">
        <v>0.55555555555555536</v>
      </c>
      <c r="GJ13">
        <v>4</v>
      </c>
      <c r="GK13">
        <v>5</v>
      </c>
      <c r="GL13">
        <v>5</v>
      </c>
      <c r="GM13">
        <v>4.5777777777777793</v>
      </c>
      <c r="GN13">
        <v>5</v>
      </c>
      <c r="GO13">
        <v>19.111111111111111</v>
      </c>
      <c r="GP13">
        <v>5</v>
      </c>
      <c r="GQ13">
        <v>1.6666666666666667</v>
      </c>
      <c r="GR13">
        <v>2</v>
      </c>
      <c r="GS13">
        <v>3</v>
      </c>
      <c r="GT13">
        <v>2</v>
      </c>
      <c r="GU13">
        <v>9.1222222222222218</v>
      </c>
      <c r="GV13">
        <v>20.111111111111111</v>
      </c>
      <c r="GW13">
        <v>2.5555555555555554</v>
      </c>
      <c r="GX13">
        <v>10</v>
      </c>
      <c r="GY13">
        <v>9</v>
      </c>
      <c r="GZ13">
        <v>8</v>
      </c>
      <c r="HA13">
        <v>1.6666666666666667</v>
      </c>
      <c r="HB13">
        <v>10</v>
      </c>
      <c r="HC13">
        <v>0.22222222222222224</v>
      </c>
      <c r="HD13">
        <v>-2.3333333333333335</v>
      </c>
      <c r="HE13">
        <v>31</v>
      </c>
      <c r="HF13">
        <v>24.5</v>
      </c>
      <c r="HG13">
        <v>17</v>
      </c>
      <c r="HH13">
        <v>-1.1595476407304387E-2</v>
      </c>
      <c r="HI13">
        <v>25</v>
      </c>
      <c r="HJ13">
        <v>-1.3076979438986608E-2</v>
      </c>
      <c r="HK13">
        <v>29</v>
      </c>
      <c r="HL13">
        <v>0.12195767195767195</v>
      </c>
      <c r="HM13">
        <v>27</v>
      </c>
      <c r="HN13">
        <v>-2.1111111111111112</v>
      </c>
      <c r="HO13">
        <v>2.888888888888888</v>
      </c>
      <c r="HP13">
        <v>5.8888888888888884</v>
      </c>
      <c r="HQ13">
        <v>-0.22222222222222221</v>
      </c>
      <c r="HR13">
        <v>45.222222222222207</v>
      </c>
      <c r="HS13">
        <v>44.777777777777779</v>
      </c>
      <c r="HT13">
        <v>-6.7777777777777786</v>
      </c>
      <c r="HU13">
        <v>5.1111111111111116</v>
      </c>
      <c r="HV13">
        <v>2.1111111111111107</v>
      </c>
      <c r="HW13">
        <v>5</v>
      </c>
      <c r="HX13">
        <v>4.9466666666666654</v>
      </c>
      <c r="HY13">
        <v>2.0415555555555551</v>
      </c>
      <c r="HZ13">
        <v>51.555555555555557</v>
      </c>
      <c r="IA13">
        <v>28</v>
      </c>
      <c r="IB13">
        <v>2.3349999999999995</v>
      </c>
      <c r="IC13">
        <v>3.2222222222222219</v>
      </c>
    </row>
    <row r="14" spans="1:237" x14ac:dyDescent="0.2">
      <c r="A14" s="19">
        <v>44108</v>
      </c>
      <c r="B14" s="13" t="s">
        <v>417</v>
      </c>
      <c r="C14" s="41" t="s">
        <v>311</v>
      </c>
      <c r="D14" s="14" t="s">
        <v>312</v>
      </c>
      <c r="E14">
        <v>25.8</v>
      </c>
      <c r="F14">
        <v>11.9</v>
      </c>
      <c r="G14">
        <v>5.6</v>
      </c>
      <c r="H14">
        <v>7.6</v>
      </c>
      <c r="I14">
        <v>-3</v>
      </c>
      <c r="J14">
        <v>53</v>
      </c>
      <c r="K14" t="s">
        <v>109</v>
      </c>
      <c r="L14" t="s">
        <v>311</v>
      </c>
      <c r="M14">
        <v>25</v>
      </c>
      <c r="N14">
        <v>-2.5800000000000005</v>
      </c>
      <c r="O14">
        <v>31</v>
      </c>
      <c r="P14">
        <v>27.5</v>
      </c>
      <c r="Q14">
        <v>25</v>
      </c>
      <c r="R14">
        <v>-4.0555555555555562</v>
      </c>
      <c r="S14">
        <v>30</v>
      </c>
      <c r="T14">
        <v>-5.333333333333333</v>
      </c>
      <c r="U14">
        <v>29</v>
      </c>
      <c r="V14">
        <v>-21.000000000000004</v>
      </c>
      <c r="W14">
        <v>26</v>
      </c>
      <c r="X14">
        <v>-1.2222222222222221</v>
      </c>
      <c r="Y14">
        <v>17</v>
      </c>
      <c r="Z14">
        <v>16.333333333333332</v>
      </c>
      <c r="AA14">
        <v>15</v>
      </c>
      <c r="AB14">
        <v>0.3555555555555549</v>
      </c>
      <c r="AC14">
        <v>23</v>
      </c>
      <c r="AD14">
        <v>-1.8888888888888886</v>
      </c>
      <c r="AE14">
        <v>20</v>
      </c>
      <c r="AF14">
        <v>-6.1111111111111116</v>
      </c>
      <c r="AG14">
        <v>14</v>
      </c>
      <c r="AH14">
        <v>-0.11111111111111101</v>
      </c>
      <c r="AI14">
        <v>32</v>
      </c>
      <c r="AJ14">
        <v>30</v>
      </c>
      <c r="AK14">
        <v>32</v>
      </c>
      <c r="AL14">
        <v>-4.4111111111111114</v>
      </c>
      <c r="AM14">
        <v>31</v>
      </c>
      <c r="AN14">
        <v>-3.4444444444444442</v>
      </c>
      <c r="AO14">
        <v>29</v>
      </c>
      <c r="AP14">
        <v>-14.888888888888891</v>
      </c>
      <c r="AQ14">
        <v>29</v>
      </c>
      <c r="AR14">
        <v>-1.1111111111111112</v>
      </c>
      <c r="AS14">
        <v>17</v>
      </c>
      <c r="AT14">
        <v>16.333333333333332</v>
      </c>
      <c r="AU14">
        <v>17</v>
      </c>
      <c r="AV14">
        <v>-1.4777777777777787</v>
      </c>
      <c r="AW14">
        <v>9</v>
      </c>
      <c r="AX14">
        <v>20.111111111111114</v>
      </c>
      <c r="AY14">
        <v>23</v>
      </c>
      <c r="AZ14">
        <v>-1.4444444444444444</v>
      </c>
      <c r="BA14">
        <v>20</v>
      </c>
      <c r="BB14">
        <v>20.666666666666668</v>
      </c>
      <c r="BC14">
        <v>15</v>
      </c>
      <c r="BD14">
        <v>-1.3222222222222222</v>
      </c>
      <c r="BE14">
        <v>19</v>
      </c>
      <c r="BF14">
        <v>-4.8888888888888902</v>
      </c>
      <c r="BG14">
        <v>28</v>
      </c>
      <c r="BH14">
        <v>-1.8888888888888886</v>
      </c>
      <c r="BI14">
        <v>6</v>
      </c>
      <c r="BJ14">
        <v>8.3333333333333339</v>
      </c>
      <c r="BK14">
        <v>8</v>
      </c>
      <c r="BL14">
        <v>1.5333333333333325</v>
      </c>
      <c r="BM14">
        <v>6</v>
      </c>
      <c r="BN14">
        <v>16.444444444444446</v>
      </c>
      <c r="BO14">
        <v>11</v>
      </c>
      <c r="BP14">
        <v>0.22222222222222202</v>
      </c>
      <c r="BQ14">
        <v>15</v>
      </c>
      <c r="BR14">
        <v>15.333333333333334</v>
      </c>
      <c r="BS14">
        <v>24</v>
      </c>
      <c r="BT14">
        <v>-1.6888888888888891</v>
      </c>
      <c r="BU14">
        <v>8</v>
      </c>
      <c r="BV14">
        <v>8.5555555555555554</v>
      </c>
      <c r="BW14">
        <v>14</v>
      </c>
      <c r="BX14">
        <v>0.22222222222222218</v>
      </c>
      <c r="BY14">
        <v>1</v>
      </c>
      <c r="BZ14">
        <v>2</v>
      </c>
      <c r="CA14">
        <v>1</v>
      </c>
      <c r="CB14">
        <v>11.088888888888889</v>
      </c>
      <c r="CC14">
        <v>1</v>
      </c>
      <c r="CD14">
        <v>57.55555555555555</v>
      </c>
      <c r="CE14">
        <v>4</v>
      </c>
      <c r="CF14">
        <v>2.3333333333333339</v>
      </c>
      <c r="CG14">
        <v>21</v>
      </c>
      <c r="CH14">
        <v>21</v>
      </c>
      <c r="CI14">
        <v>19</v>
      </c>
      <c r="CJ14">
        <v>-1.1555555555555559</v>
      </c>
      <c r="CK14">
        <v>-7.1111111111111107</v>
      </c>
      <c r="CL14">
        <v>-1.5555555555555556</v>
      </c>
      <c r="CM14">
        <v>21</v>
      </c>
      <c r="CN14">
        <v>19</v>
      </c>
      <c r="CO14">
        <v>18</v>
      </c>
      <c r="CP14">
        <v>0</v>
      </c>
      <c r="CQ14">
        <v>20</v>
      </c>
      <c r="CR14">
        <v>-0.11111111111111109</v>
      </c>
      <c r="CS14">
        <v>-1.7777777777777779</v>
      </c>
      <c r="CT14">
        <v>2</v>
      </c>
      <c r="CU14">
        <v>8.75</v>
      </c>
      <c r="CV14">
        <v>15</v>
      </c>
      <c r="CW14">
        <v>1.9482644744342286E-3</v>
      </c>
      <c r="CX14">
        <v>2</v>
      </c>
      <c r="CY14">
        <v>2.788564838262975E-2</v>
      </c>
      <c r="CZ14">
        <v>6</v>
      </c>
      <c r="DA14">
        <v>-8.3680370961072725E-2</v>
      </c>
      <c r="DB14">
        <v>12</v>
      </c>
      <c r="DC14">
        <v>0.33333333333333304</v>
      </c>
      <c r="DD14">
        <v>-9.4444444444444446</v>
      </c>
      <c r="DE14">
        <v>0.44444444444444403</v>
      </c>
      <c r="DF14">
        <v>-0.77777777777777779</v>
      </c>
      <c r="DG14">
        <v>-33.777777777777771</v>
      </c>
      <c r="DH14">
        <v>5.2222222222222188</v>
      </c>
      <c r="DI14">
        <v>-27.777777777777775</v>
      </c>
      <c r="DJ14">
        <v>-4.666666666666667</v>
      </c>
      <c r="DK14">
        <v>-6.5555555555555545</v>
      </c>
      <c r="DL14">
        <v>16</v>
      </c>
      <c r="DM14">
        <v>1.4755555555555562</v>
      </c>
      <c r="DN14">
        <v>0.98511111111111105</v>
      </c>
      <c r="DO14">
        <v>32.999999999999993</v>
      </c>
      <c r="DP14">
        <v>17</v>
      </c>
      <c r="DQ14">
        <v>-1.1586111111111115</v>
      </c>
      <c r="DR14">
        <v>-3</v>
      </c>
      <c r="DS14">
        <v>0.79708333333333337</v>
      </c>
      <c r="DT14">
        <v>-0.37638888888888916</v>
      </c>
      <c r="DU14" t="s">
        <v>312</v>
      </c>
      <c r="DV14" t="s">
        <v>260</v>
      </c>
      <c r="DW14" t="s">
        <v>476</v>
      </c>
      <c r="DX14">
        <v>17</v>
      </c>
      <c r="DY14">
        <v>0.26444444444444376</v>
      </c>
      <c r="DZ14">
        <v>11</v>
      </c>
      <c r="EA14">
        <v>14.25</v>
      </c>
      <c r="EB14">
        <v>19</v>
      </c>
      <c r="EC14">
        <v>-0.62222222222222345</v>
      </c>
      <c r="ED14">
        <v>3</v>
      </c>
      <c r="EE14">
        <v>3.4444444444444442</v>
      </c>
      <c r="EF14">
        <v>11</v>
      </c>
      <c r="EG14">
        <v>5.5555555555555571</v>
      </c>
      <c r="EH14">
        <v>24</v>
      </c>
      <c r="EI14">
        <v>-0.88888888888888873</v>
      </c>
      <c r="EJ14">
        <v>9</v>
      </c>
      <c r="EK14">
        <v>11.25</v>
      </c>
      <c r="EL14">
        <v>12</v>
      </c>
      <c r="EM14">
        <v>0.66666666666666552</v>
      </c>
      <c r="EN14">
        <v>5</v>
      </c>
      <c r="EO14">
        <v>2.8888888888888888</v>
      </c>
      <c r="EP14">
        <v>10</v>
      </c>
      <c r="EQ14">
        <v>5.3333333333333357</v>
      </c>
      <c r="ER14">
        <v>18</v>
      </c>
      <c r="ES14">
        <v>-0.44444444444444436</v>
      </c>
      <c r="ET14">
        <v>17</v>
      </c>
      <c r="EU14">
        <v>17</v>
      </c>
      <c r="EV14">
        <v>24</v>
      </c>
      <c r="EW14">
        <v>-1.288888888888889</v>
      </c>
      <c r="EX14">
        <v>12</v>
      </c>
      <c r="EY14">
        <v>0.55555555555555547</v>
      </c>
      <c r="EZ14">
        <v>15</v>
      </c>
      <c r="FA14">
        <v>0.22222222222222143</v>
      </c>
      <c r="FB14">
        <v>23</v>
      </c>
      <c r="FC14">
        <v>-0.44444444444444436</v>
      </c>
      <c r="FD14">
        <v>2</v>
      </c>
      <c r="FE14">
        <v>3</v>
      </c>
      <c r="FF14">
        <v>2</v>
      </c>
      <c r="FG14">
        <v>13.411111111111115</v>
      </c>
      <c r="FH14">
        <v>2</v>
      </c>
      <c r="FI14">
        <v>49.222222222222214</v>
      </c>
      <c r="FJ14">
        <v>5</v>
      </c>
      <c r="FK14">
        <v>2.5555555555555554</v>
      </c>
      <c r="FL14">
        <v>4</v>
      </c>
      <c r="FM14">
        <v>6.666666666666667</v>
      </c>
      <c r="FN14">
        <v>6</v>
      </c>
      <c r="FO14">
        <v>4.166666666666667</v>
      </c>
      <c r="FP14">
        <v>11</v>
      </c>
      <c r="FQ14">
        <v>8.1111111111111072</v>
      </c>
      <c r="FR14">
        <v>3</v>
      </c>
      <c r="FS14">
        <v>2</v>
      </c>
      <c r="FT14">
        <v>9</v>
      </c>
      <c r="FU14">
        <v>11.333333333333334</v>
      </c>
      <c r="FV14">
        <v>4</v>
      </c>
      <c r="FW14">
        <v>4.533333333333335</v>
      </c>
      <c r="FX14">
        <v>3</v>
      </c>
      <c r="FY14">
        <v>23.666666666666668</v>
      </c>
      <c r="FZ14">
        <v>27</v>
      </c>
      <c r="GA14">
        <v>-1.3333333333333337</v>
      </c>
      <c r="GB14">
        <v>2</v>
      </c>
      <c r="GC14">
        <v>2.3333333333333335</v>
      </c>
      <c r="GD14">
        <v>2</v>
      </c>
      <c r="GE14">
        <v>4.7111111111111112</v>
      </c>
      <c r="GF14">
        <v>3</v>
      </c>
      <c r="GG14">
        <v>17.444444444444443</v>
      </c>
      <c r="GH14">
        <v>2</v>
      </c>
      <c r="GI14">
        <v>1.8888888888888891</v>
      </c>
      <c r="GJ14">
        <v>10</v>
      </c>
      <c r="GK14">
        <v>11.333333333333334</v>
      </c>
      <c r="GL14">
        <v>12</v>
      </c>
      <c r="GM14">
        <v>1.555555555555556</v>
      </c>
      <c r="GN14">
        <v>16</v>
      </c>
      <c r="GO14">
        <v>-4.4444444444444473</v>
      </c>
      <c r="GP14">
        <v>6</v>
      </c>
      <c r="GQ14">
        <v>1.1111111111111114</v>
      </c>
      <c r="GR14">
        <v>15</v>
      </c>
      <c r="GS14">
        <v>16</v>
      </c>
      <c r="GT14">
        <v>27</v>
      </c>
      <c r="GU14">
        <v>-2.3999999999999995</v>
      </c>
      <c r="GV14">
        <v>8.2222222222222214</v>
      </c>
      <c r="GW14">
        <v>0.55555555555555547</v>
      </c>
      <c r="GX14">
        <v>1</v>
      </c>
      <c r="GY14">
        <v>1.5</v>
      </c>
      <c r="GZ14">
        <v>1</v>
      </c>
      <c r="HA14">
        <v>5.1111111111111116</v>
      </c>
      <c r="HB14">
        <v>2</v>
      </c>
      <c r="HC14">
        <v>0.77777777777777768</v>
      </c>
      <c r="HD14">
        <v>0.11111111111111101</v>
      </c>
      <c r="HE14">
        <v>8</v>
      </c>
      <c r="HF14">
        <v>13.25</v>
      </c>
      <c r="HG14">
        <v>15</v>
      </c>
      <c r="HH14">
        <v>-9.6054757214540289E-3</v>
      </c>
      <c r="HI14">
        <v>10</v>
      </c>
      <c r="HJ14">
        <v>8.9395716846697223E-3</v>
      </c>
      <c r="HK14">
        <v>15</v>
      </c>
      <c r="HL14">
        <v>-1.8253968253968227E-2</v>
      </c>
      <c r="HM14">
        <v>13</v>
      </c>
      <c r="HN14">
        <v>0.22222222222222218</v>
      </c>
      <c r="HO14">
        <v>5</v>
      </c>
      <c r="HP14">
        <v>3.8888888888888893</v>
      </c>
      <c r="HQ14">
        <v>-2.1111111111111112</v>
      </c>
      <c r="HR14">
        <v>28.777777777777771</v>
      </c>
      <c r="HS14">
        <v>21.111111111111104</v>
      </c>
      <c r="HT14">
        <v>7.6666666666666616</v>
      </c>
      <c r="HU14">
        <v>3.1111111111111107</v>
      </c>
      <c r="HV14">
        <v>-3.1111111111111107</v>
      </c>
      <c r="HW14">
        <v>18</v>
      </c>
      <c r="HX14">
        <v>0.88666666666666716</v>
      </c>
      <c r="HY14">
        <v>2.5662222222222235</v>
      </c>
      <c r="HZ14">
        <v>13.444444444444443</v>
      </c>
      <c r="IA14">
        <v>15</v>
      </c>
      <c r="IB14">
        <v>1.9705555555555558</v>
      </c>
      <c r="IC14">
        <v>3.1111111111111107</v>
      </c>
    </row>
    <row r="15" spans="1:237" x14ac:dyDescent="0.2">
      <c r="A15" s="19">
        <v>44108</v>
      </c>
      <c r="B15" s="13" t="s">
        <v>417</v>
      </c>
      <c r="C15" s="41" t="s">
        <v>289</v>
      </c>
      <c r="D15" s="14" t="s">
        <v>265</v>
      </c>
      <c r="E15">
        <v>5.9</v>
      </c>
      <c r="F15">
        <v>8.8000000000000007</v>
      </c>
      <c r="G15">
        <v>3.7</v>
      </c>
      <c r="H15">
        <v>8.3000000000000007</v>
      </c>
      <c r="I15">
        <v>-3</v>
      </c>
      <c r="J15">
        <v>43.5</v>
      </c>
      <c r="K15" t="s">
        <v>110</v>
      </c>
      <c r="L15" t="s">
        <v>289</v>
      </c>
      <c r="M15">
        <v>31</v>
      </c>
      <c r="N15">
        <v>-6.8666666666666663</v>
      </c>
      <c r="O15">
        <v>9</v>
      </c>
      <c r="P15">
        <v>11.25</v>
      </c>
      <c r="Q15">
        <v>7</v>
      </c>
      <c r="R15">
        <v>5.3444444444444441</v>
      </c>
      <c r="S15">
        <v>16</v>
      </c>
      <c r="T15">
        <v>0.11111111111111072</v>
      </c>
      <c r="U15">
        <v>13</v>
      </c>
      <c r="V15">
        <v>3.4444444444444446</v>
      </c>
      <c r="W15">
        <v>9</v>
      </c>
      <c r="X15">
        <v>0.88888888888888906</v>
      </c>
      <c r="Y15">
        <v>18</v>
      </c>
      <c r="Z15">
        <v>17</v>
      </c>
      <c r="AA15">
        <v>11</v>
      </c>
      <c r="AB15">
        <v>2.7222222222222219</v>
      </c>
      <c r="AC15">
        <v>20</v>
      </c>
      <c r="AD15">
        <v>-1.555555555555556</v>
      </c>
      <c r="AE15">
        <v>25</v>
      </c>
      <c r="AF15">
        <v>-9</v>
      </c>
      <c r="AG15">
        <v>15</v>
      </c>
      <c r="AH15">
        <v>-0.33333333333333331</v>
      </c>
      <c r="AI15">
        <v>3</v>
      </c>
      <c r="AJ15">
        <v>4.333333333333333</v>
      </c>
      <c r="AK15">
        <v>4</v>
      </c>
      <c r="AL15">
        <v>2.6222222222222222</v>
      </c>
      <c r="AM15">
        <v>9</v>
      </c>
      <c r="AN15">
        <v>1.6666666666666667</v>
      </c>
      <c r="AO15">
        <v>5</v>
      </c>
      <c r="AP15">
        <v>12.444444444444445</v>
      </c>
      <c r="AQ15">
        <v>4</v>
      </c>
      <c r="AR15">
        <v>1.2222222222222223</v>
      </c>
      <c r="AS15">
        <v>28</v>
      </c>
      <c r="AT15">
        <v>27.666666666666668</v>
      </c>
      <c r="AU15">
        <v>31</v>
      </c>
      <c r="AV15">
        <v>-11.355555555555554</v>
      </c>
      <c r="AW15">
        <v>30</v>
      </c>
      <c r="AX15">
        <v>-41.555555555555557</v>
      </c>
      <c r="AY15">
        <v>22</v>
      </c>
      <c r="AZ15">
        <v>-0.7777777777777779</v>
      </c>
      <c r="BA15">
        <v>31</v>
      </c>
      <c r="BB15">
        <v>29</v>
      </c>
      <c r="BC15">
        <v>31</v>
      </c>
      <c r="BD15">
        <v>-7.1222222222222209</v>
      </c>
      <c r="BE15">
        <v>30</v>
      </c>
      <c r="BF15">
        <v>-21.222222222222221</v>
      </c>
      <c r="BG15">
        <v>26</v>
      </c>
      <c r="BH15">
        <v>-1.5555555555555556</v>
      </c>
      <c r="BI15">
        <v>21</v>
      </c>
      <c r="BJ15">
        <v>20.333333333333332</v>
      </c>
      <c r="BK15">
        <v>25</v>
      </c>
      <c r="BL15">
        <v>-2.3666666666666671</v>
      </c>
      <c r="BM15">
        <v>28</v>
      </c>
      <c r="BN15">
        <v>-16</v>
      </c>
      <c r="BO15">
        <v>8</v>
      </c>
      <c r="BP15">
        <v>0.55555555555555569</v>
      </c>
      <c r="BQ15">
        <v>23</v>
      </c>
      <c r="BR15">
        <v>21</v>
      </c>
      <c r="BS15">
        <v>27</v>
      </c>
      <c r="BT15">
        <v>-1.8666666666666671</v>
      </c>
      <c r="BU15">
        <v>21</v>
      </c>
      <c r="BV15">
        <v>-4.333333333333333</v>
      </c>
      <c r="BW15">
        <v>15</v>
      </c>
      <c r="BX15">
        <v>0.22222222222222202</v>
      </c>
      <c r="BY15">
        <v>32</v>
      </c>
      <c r="BZ15">
        <v>30.333333333333332</v>
      </c>
      <c r="CA15">
        <v>32</v>
      </c>
      <c r="CB15">
        <v>-8.6666666666666679</v>
      </c>
      <c r="CC15">
        <v>30</v>
      </c>
      <c r="CD15">
        <v>-21.111111111111111</v>
      </c>
      <c r="CE15">
        <v>29</v>
      </c>
      <c r="CF15">
        <v>-2</v>
      </c>
      <c r="CG15">
        <v>11</v>
      </c>
      <c r="CH15">
        <v>12.333333333333334</v>
      </c>
      <c r="CI15">
        <v>12</v>
      </c>
      <c r="CJ15">
        <v>0.79999999999999949</v>
      </c>
      <c r="CK15">
        <v>19.111111111111111</v>
      </c>
      <c r="CL15">
        <v>-0.33333333333333331</v>
      </c>
      <c r="CM15">
        <v>13</v>
      </c>
      <c r="CN15">
        <v>14</v>
      </c>
      <c r="CO15">
        <v>21</v>
      </c>
      <c r="CP15">
        <v>-0.5555555555555548</v>
      </c>
      <c r="CQ15">
        <v>7</v>
      </c>
      <c r="CR15">
        <v>0.44444444444444448</v>
      </c>
      <c r="CS15">
        <v>5.333333333333333</v>
      </c>
      <c r="CT15">
        <v>25</v>
      </c>
      <c r="CU15">
        <v>20.75</v>
      </c>
      <c r="CV15">
        <v>28</v>
      </c>
      <c r="CW15">
        <v>-5.4923555066737191E-2</v>
      </c>
      <c r="CX15">
        <v>24</v>
      </c>
      <c r="CY15">
        <v>-1.0251751509613145E-2</v>
      </c>
      <c r="CZ15">
        <v>20</v>
      </c>
      <c r="DA15">
        <v>4.4444444444444418E-2</v>
      </c>
      <c r="DB15">
        <v>11</v>
      </c>
      <c r="DC15">
        <v>1.1111111111111112</v>
      </c>
      <c r="DD15">
        <v>-2.3333333333333308</v>
      </c>
      <c r="DE15">
        <v>-6.8888888888888884</v>
      </c>
      <c r="DF15">
        <v>3.3333333333333339</v>
      </c>
      <c r="DG15">
        <v>-10.333333333333314</v>
      </c>
      <c r="DH15">
        <v>2.6666666666666572</v>
      </c>
      <c r="DI15">
        <v>1</v>
      </c>
      <c r="DJ15">
        <v>-2.6666666666666665</v>
      </c>
      <c r="DK15">
        <v>-11.333333333333334</v>
      </c>
      <c r="DL15">
        <v>31</v>
      </c>
      <c r="DM15">
        <v>-12.21111111111111</v>
      </c>
      <c r="DN15">
        <v>-6.1566666666666663</v>
      </c>
      <c r="DO15">
        <v>1.6666666666666572</v>
      </c>
      <c r="DP15">
        <v>2</v>
      </c>
      <c r="DQ15">
        <v>-1.5791666666666666</v>
      </c>
      <c r="DR15">
        <v>-1.1111111111111112</v>
      </c>
      <c r="DS15">
        <v>-1.8702777777777779</v>
      </c>
      <c r="DT15">
        <v>-2.8777777777777778</v>
      </c>
      <c r="DU15" t="s">
        <v>265</v>
      </c>
      <c r="DV15" t="s">
        <v>236</v>
      </c>
      <c r="DW15" t="s">
        <v>539</v>
      </c>
      <c r="DX15">
        <v>29</v>
      </c>
      <c r="DY15">
        <v>-4.7577777777777781</v>
      </c>
      <c r="DZ15">
        <v>2</v>
      </c>
      <c r="EA15">
        <v>7.75</v>
      </c>
      <c r="EB15">
        <v>2</v>
      </c>
      <c r="EC15">
        <v>7.2222222222222214</v>
      </c>
      <c r="ED15">
        <v>12</v>
      </c>
      <c r="EE15">
        <v>1.0000000000000013</v>
      </c>
      <c r="EF15">
        <v>5</v>
      </c>
      <c r="EG15">
        <v>31.444444444444443</v>
      </c>
      <c r="EH15">
        <v>12</v>
      </c>
      <c r="EI15">
        <v>0.33333333333333315</v>
      </c>
      <c r="EJ15">
        <v>10</v>
      </c>
      <c r="EK15">
        <v>11.5</v>
      </c>
      <c r="EL15">
        <v>6</v>
      </c>
      <c r="EM15">
        <v>4.1444444444444439</v>
      </c>
      <c r="EN15">
        <v>17</v>
      </c>
      <c r="EO15">
        <v>-0.5555555555555548</v>
      </c>
      <c r="EP15">
        <v>6</v>
      </c>
      <c r="EQ15">
        <v>17.333333333333332</v>
      </c>
      <c r="ER15">
        <v>17</v>
      </c>
      <c r="ES15">
        <v>-0.33333333333333348</v>
      </c>
      <c r="ET15">
        <v>1</v>
      </c>
      <c r="EU15">
        <v>3.6666666666666665</v>
      </c>
      <c r="EV15">
        <v>3</v>
      </c>
      <c r="EW15">
        <v>3.0777777777777779</v>
      </c>
      <c r="EX15">
        <v>5</v>
      </c>
      <c r="EY15">
        <v>1.555555555555556</v>
      </c>
      <c r="EZ15">
        <v>3</v>
      </c>
      <c r="FA15">
        <v>14.111111111111112</v>
      </c>
      <c r="FB15">
        <v>5</v>
      </c>
      <c r="FC15">
        <v>0.66666666666666663</v>
      </c>
      <c r="FD15">
        <v>22</v>
      </c>
      <c r="FE15">
        <v>22</v>
      </c>
      <c r="FF15">
        <v>31</v>
      </c>
      <c r="FG15">
        <v>-10.344444444444445</v>
      </c>
      <c r="FH15">
        <v>22</v>
      </c>
      <c r="FI15">
        <v>-17.555555555555557</v>
      </c>
      <c r="FJ15">
        <v>13</v>
      </c>
      <c r="FK15">
        <v>0.2222222222222221</v>
      </c>
      <c r="FL15">
        <v>16</v>
      </c>
      <c r="FM15">
        <v>16.333333333333332</v>
      </c>
      <c r="FN15">
        <v>25</v>
      </c>
      <c r="FO15">
        <v>-3.2888888888888883</v>
      </c>
      <c r="FP15">
        <v>17</v>
      </c>
      <c r="FQ15">
        <v>-2.2222222222222214</v>
      </c>
      <c r="FR15">
        <v>7</v>
      </c>
      <c r="FS15">
        <v>1.0000000000000002</v>
      </c>
      <c r="FT15">
        <v>28</v>
      </c>
      <c r="FU15">
        <v>28.333333333333332</v>
      </c>
      <c r="FV15">
        <v>32</v>
      </c>
      <c r="FW15">
        <v>-5.1666666666666679</v>
      </c>
      <c r="FX15">
        <v>25</v>
      </c>
      <c r="FY15">
        <v>-9.5555555555555554</v>
      </c>
      <c r="FZ15">
        <v>28</v>
      </c>
      <c r="GA15">
        <v>-1.666666666666667</v>
      </c>
      <c r="GB15">
        <v>17</v>
      </c>
      <c r="GC15">
        <v>16</v>
      </c>
      <c r="GD15">
        <v>22</v>
      </c>
      <c r="GE15">
        <v>-1.8888888888888899</v>
      </c>
      <c r="GF15">
        <v>20</v>
      </c>
      <c r="GG15">
        <v>-5.7777777777777786</v>
      </c>
      <c r="GH15">
        <v>6</v>
      </c>
      <c r="GI15">
        <v>0.88888888888888884</v>
      </c>
      <c r="GJ15">
        <v>21</v>
      </c>
      <c r="GK15">
        <v>23</v>
      </c>
      <c r="GL15">
        <v>25</v>
      </c>
      <c r="GM15">
        <v>-3.5666666666666664</v>
      </c>
      <c r="GN15">
        <v>19</v>
      </c>
      <c r="GO15">
        <v>-5.6666666666666643</v>
      </c>
      <c r="GP15">
        <v>25</v>
      </c>
      <c r="GQ15">
        <v>-1.3333333333333333</v>
      </c>
      <c r="GR15">
        <v>14</v>
      </c>
      <c r="GS15">
        <v>15.666666666666666</v>
      </c>
      <c r="GT15">
        <v>9</v>
      </c>
      <c r="GU15">
        <v>2.2000000000000015</v>
      </c>
      <c r="GV15">
        <v>-1.3333333333333333</v>
      </c>
      <c r="GW15">
        <v>-0.44444444444444436</v>
      </c>
      <c r="GX15">
        <v>15</v>
      </c>
      <c r="GY15">
        <v>14.5</v>
      </c>
      <c r="GZ15">
        <v>22</v>
      </c>
      <c r="HA15">
        <v>-1.2222222222222223</v>
      </c>
      <c r="HB15">
        <v>7</v>
      </c>
      <c r="HC15">
        <v>0.55555555555555547</v>
      </c>
      <c r="HD15">
        <v>2.4444444444444442</v>
      </c>
      <c r="HE15">
        <v>16</v>
      </c>
      <c r="HF15">
        <v>16</v>
      </c>
      <c r="HG15">
        <v>23</v>
      </c>
      <c r="HH15">
        <v>-2.4512182838460388E-2</v>
      </c>
      <c r="HI15">
        <v>21</v>
      </c>
      <c r="HJ15">
        <v>-9.614477943691609E-3</v>
      </c>
      <c r="HK15">
        <v>5</v>
      </c>
      <c r="HL15">
        <v>-0.15030864197530869</v>
      </c>
      <c r="HM15">
        <v>15</v>
      </c>
      <c r="HN15">
        <v>-0.11111111111111087</v>
      </c>
      <c r="HO15">
        <v>1.7777777777777786</v>
      </c>
      <c r="HP15">
        <v>-1.3333333333333328</v>
      </c>
      <c r="HQ15">
        <v>0</v>
      </c>
      <c r="HR15">
        <v>12.555555555555562</v>
      </c>
      <c r="HS15">
        <v>-15.888888888888877</v>
      </c>
      <c r="HT15">
        <v>25.777777777777782</v>
      </c>
      <c r="HU15">
        <v>2.7777777777777781</v>
      </c>
      <c r="HV15">
        <v>-0.1111111111111119</v>
      </c>
      <c r="HW15">
        <v>31</v>
      </c>
      <c r="HX15">
        <v>-11.98</v>
      </c>
      <c r="HY15">
        <v>-6.1915555555555555</v>
      </c>
      <c r="HZ15">
        <v>-41.666666666666657</v>
      </c>
      <c r="IA15">
        <v>2</v>
      </c>
      <c r="IB15">
        <v>-0.86277777777777798</v>
      </c>
      <c r="IC15">
        <v>-0.22222222222222227</v>
      </c>
    </row>
    <row r="16" spans="1:237" x14ac:dyDescent="0.2">
      <c r="A16" s="19">
        <v>44108</v>
      </c>
      <c r="B16" s="13" t="s">
        <v>417</v>
      </c>
      <c r="C16" s="41" t="s">
        <v>297</v>
      </c>
      <c r="D16" s="14" t="s">
        <v>272</v>
      </c>
      <c r="E16">
        <v>29.5</v>
      </c>
      <c r="F16">
        <v>14.1</v>
      </c>
      <c r="G16">
        <v>8.6</v>
      </c>
      <c r="H16">
        <v>4.2</v>
      </c>
      <c r="I16">
        <v>1</v>
      </c>
      <c r="J16">
        <v>50</v>
      </c>
      <c r="L16" t="s">
        <v>297</v>
      </c>
      <c r="M16">
        <v>8</v>
      </c>
      <c r="N16">
        <v>1.3266666666666656</v>
      </c>
      <c r="O16">
        <v>16</v>
      </c>
      <c r="P16">
        <v>16</v>
      </c>
      <c r="Q16">
        <v>6</v>
      </c>
      <c r="R16">
        <v>6</v>
      </c>
      <c r="S16">
        <v>28</v>
      </c>
      <c r="T16">
        <v>-2.7777777777777786</v>
      </c>
      <c r="U16">
        <v>28</v>
      </c>
      <c r="V16">
        <v>-18.111111111111111</v>
      </c>
      <c r="W16">
        <v>2</v>
      </c>
      <c r="X16">
        <v>2.3333333333333335</v>
      </c>
      <c r="Y16">
        <v>7</v>
      </c>
      <c r="Z16">
        <v>11.333333333333334</v>
      </c>
      <c r="AA16">
        <v>7</v>
      </c>
      <c r="AB16">
        <v>4.4111111111111105</v>
      </c>
      <c r="AC16">
        <v>14</v>
      </c>
      <c r="AD16">
        <v>-5.9211894646675012E-16</v>
      </c>
      <c r="AE16">
        <v>19</v>
      </c>
      <c r="AF16">
        <v>-5.7777777777777759</v>
      </c>
      <c r="AG16">
        <v>8</v>
      </c>
      <c r="AH16">
        <v>0.88888888888888895</v>
      </c>
      <c r="AI16">
        <v>9</v>
      </c>
      <c r="AJ16">
        <v>12.333333333333334</v>
      </c>
      <c r="AK16">
        <v>8</v>
      </c>
      <c r="AL16">
        <v>1.5888888888888892</v>
      </c>
      <c r="AM16">
        <v>29</v>
      </c>
      <c r="AN16">
        <v>-2.7777777777777781</v>
      </c>
      <c r="AO16">
        <v>26</v>
      </c>
      <c r="AP16">
        <v>-12.333333333333334</v>
      </c>
      <c r="AQ16">
        <v>3</v>
      </c>
      <c r="AR16">
        <v>1.4444444444444444</v>
      </c>
      <c r="AS16">
        <v>15</v>
      </c>
      <c r="AT16">
        <v>15.666666666666666</v>
      </c>
      <c r="AU16">
        <v>12</v>
      </c>
      <c r="AV16">
        <v>2.1999999999999993</v>
      </c>
      <c r="AW16">
        <v>19</v>
      </c>
      <c r="AX16">
        <v>-13.444444444444443</v>
      </c>
      <c r="AY16">
        <v>16</v>
      </c>
      <c r="AZ16">
        <v>0</v>
      </c>
      <c r="BA16">
        <v>27</v>
      </c>
      <c r="BB16">
        <v>25.666666666666668</v>
      </c>
      <c r="BC16">
        <v>23</v>
      </c>
      <c r="BD16">
        <v>-2.7888888888888892</v>
      </c>
      <c r="BE16">
        <v>24</v>
      </c>
      <c r="BF16">
        <v>-11.777777777777779</v>
      </c>
      <c r="BG16">
        <v>30</v>
      </c>
      <c r="BH16">
        <v>-2.1111111111111112</v>
      </c>
      <c r="BI16">
        <v>20</v>
      </c>
      <c r="BJ16">
        <v>18.666666666666668</v>
      </c>
      <c r="BK16">
        <v>17</v>
      </c>
      <c r="BL16">
        <v>2.2222222222222737E-2</v>
      </c>
      <c r="BM16">
        <v>26</v>
      </c>
      <c r="BN16">
        <v>-14.22222222222222</v>
      </c>
      <c r="BO16">
        <v>13</v>
      </c>
      <c r="BP16">
        <v>0.11111111111111116</v>
      </c>
      <c r="BQ16">
        <v>1</v>
      </c>
      <c r="BR16">
        <v>2.6666666666666665</v>
      </c>
      <c r="BS16">
        <v>1</v>
      </c>
      <c r="BT16">
        <v>4.9666666666666659</v>
      </c>
      <c r="BU16">
        <v>5</v>
      </c>
      <c r="BV16">
        <v>12.555555555555557</v>
      </c>
      <c r="BW16">
        <v>2</v>
      </c>
      <c r="BX16">
        <v>2</v>
      </c>
      <c r="BY16">
        <v>7</v>
      </c>
      <c r="BZ16">
        <v>7.333333333333333</v>
      </c>
      <c r="CA16">
        <v>9</v>
      </c>
      <c r="CB16">
        <v>3.2666666666666657</v>
      </c>
      <c r="CC16">
        <v>7</v>
      </c>
      <c r="CD16">
        <v>12.666666666666666</v>
      </c>
      <c r="CE16">
        <v>6</v>
      </c>
      <c r="CF16">
        <v>1.6666666666666667</v>
      </c>
      <c r="CG16">
        <v>17</v>
      </c>
      <c r="CH16">
        <v>17.333333333333332</v>
      </c>
      <c r="CI16">
        <v>17</v>
      </c>
      <c r="CJ16">
        <v>-0.59999999999999987</v>
      </c>
      <c r="CK16">
        <v>-7.1111111111111098</v>
      </c>
      <c r="CL16">
        <v>0</v>
      </c>
      <c r="CM16">
        <v>11</v>
      </c>
      <c r="CN16">
        <v>11</v>
      </c>
      <c r="CO16">
        <v>6</v>
      </c>
      <c r="CP16">
        <v>1.8888888888888886</v>
      </c>
      <c r="CQ16">
        <v>16</v>
      </c>
      <c r="CR16">
        <v>0.11111111111111112</v>
      </c>
      <c r="CS16">
        <v>-1.3333333333333333</v>
      </c>
      <c r="CT16">
        <v>29</v>
      </c>
      <c r="CU16">
        <v>21.5</v>
      </c>
      <c r="CV16">
        <v>32</v>
      </c>
      <c r="CW16">
        <v>-0.1062608991054852</v>
      </c>
      <c r="CX16">
        <v>25</v>
      </c>
      <c r="CY16">
        <v>-1.114903443310669E-2</v>
      </c>
      <c r="CZ16">
        <v>4</v>
      </c>
      <c r="DA16">
        <v>-0.15872615039281704</v>
      </c>
      <c r="DB16">
        <v>25</v>
      </c>
      <c r="DC16">
        <v>-1.6666666666666667</v>
      </c>
      <c r="DD16">
        <v>-0.22222222222222143</v>
      </c>
      <c r="DE16">
        <v>2.888888888888888</v>
      </c>
      <c r="DF16">
        <v>0</v>
      </c>
      <c r="DG16">
        <v>6.7777777777777812</v>
      </c>
      <c r="DH16">
        <v>28.444444444444429</v>
      </c>
      <c r="DI16">
        <v>-27.888888888888886</v>
      </c>
      <c r="DJ16">
        <v>7.666666666666667</v>
      </c>
      <c r="DK16">
        <v>-1.4444444444444435</v>
      </c>
      <c r="DL16">
        <v>25</v>
      </c>
      <c r="DM16">
        <v>-4.6733333333333347</v>
      </c>
      <c r="DN16">
        <v>-2.4146666666666672</v>
      </c>
      <c r="DO16">
        <v>56.333333333333314</v>
      </c>
      <c r="DP16">
        <v>8</v>
      </c>
      <c r="DQ16">
        <v>1.3519444444444444</v>
      </c>
      <c r="DR16">
        <v>0</v>
      </c>
      <c r="DS16">
        <v>0.33055555555555582</v>
      </c>
      <c r="DT16">
        <v>0.33972222222222259</v>
      </c>
      <c r="DU16" t="s">
        <v>272</v>
      </c>
      <c r="DV16" t="s">
        <v>277</v>
      </c>
      <c r="DW16" t="s">
        <v>528</v>
      </c>
      <c r="DX16">
        <v>18</v>
      </c>
      <c r="DY16">
        <v>-0.43999999999999889</v>
      </c>
      <c r="DZ16">
        <v>12</v>
      </c>
      <c r="EA16">
        <v>14.5</v>
      </c>
      <c r="EB16">
        <v>12</v>
      </c>
      <c r="EC16">
        <v>1.2888888888888901</v>
      </c>
      <c r="ED16">
        <v>9</v>
      </c>
      <c r="EE16">
        <v>1.3333333333333335</v>
      </c>
      <c r="EF16">
        <v>6</v>
      </c>
      <c r="EG16">
        <v>22.333333333333332</v>
      </c>
      <c r="EH16">
        <v>31</v>
      </c>
      <c r="EI16">
        <v>-2.2222222222222219</v>
      </c>
      <c r="EJ16">
        <v>11</v>
      </c>
      <c r="EK16">
        <v>12</v>
      </c>
      <c r="EL16">
        <v>18</v>
      </c>
      <c r="EM16">
        <v>-0.53333333333333266</v>
      </c>
      <c r="EN16">
        <v>2</v>
      </c>
      <c r="EO16">
        <v>3.5555555555555558</v>
      </c>
      <c r="EP16">
        <v>6</v>
      </c>
      <c r="EQ16">
        <v>17.333333333333332</v>
      </c>
      <c r="ER16">
        <v>22</v>
      </c>
      <c r="ES16">
        <v>-0.66666666666666663</v>
      </c>
      <c r="ET16">
        <v>14</v>
      </c>
      <c r="EU16">
        <v>15</v>
      </c>
      <c r="EV16">
        <v>6</v>
      </c>
      <c r="EW16">
        <v>1.8222222222222226</v>
      </c>
      <c r="EX16">
        <v>32</v>
      </c>
      <c r="EY16">
        <v>-2.2222222222222223</v>
      </c>
      <c r="EZ16">
        <v>7</v>
      </c>
      <c r="FA16">
        <v>5.0000000000000009</v>
      </c>
      <c r="FB16">
        <v>31</v>
      </c>
      <c r="FC16">
        <v>-1.5555555555555554</v>
      </c>
      <c r="FD16">
        <v>15</v>
      </c>
      <c r="FE16">
        <v>14.666666666666666</v>
      </c>
      <c r="FF16">
        <v>11</v>
      </c>
      <c r="FG16">
        <v>1.3999999999999986</v>
      </c>
      <c r="FH16">
        <v>13</v>
      </c>
      <c r="FI16">
        <v>4.2222222222222259</v>
      </c>
      <c r="FJ16">
        <v>20</v>
      </c>
      <c r="FK16">
        <v>-0.55555555555555547</v>
      </c>
      <c r="FL16">
        <v>21</v>
      </c>
      <c r="FM16">
        <v>19.666666666666668</v>
      </c>
      <c r="FN16">
        <v>13</v>
      </c>
      <c r="FO16">
        <v>0.72222222222222021</v>
      </c>
      <c r="FP16">
        <v>20</v>
      </c>
      <c r="FQ16">
        <v>-5.8888888888888857</v>
      </c>
      <c r="FR16">
        <v>26</v>
      </c>
      <c r="FS16">
        <v>-1.2222222222222223</v>
      </c>
      <c r="FT16">
        <v>12</v>
      </c>
      <c r="FU16">
        <v>12.666666666666666</v>
      </c>
      <c r="FV16">
        <v>15</v>
      </c>
      <c r="FW16">
        <v>6.6666666666667318E-2</v>
      </c>
      <c r="FX16">
        <v>11</v>
      </c>
      <c r="FY16">
        <v>5.1111111111111107</v>
      </c>
      <c r="FZ16">
        <v>12</v>
      </c>
      <c r="GA16">
        <v>0.44444444444444464</v>
      </c>
      <c r="GB16">
        <v>14</v>
      </c>
      <c r="GC16">
        <v>12.666666666666666</v>
      </c>
      <c r="GD16">
        <v>13</v>
      </c>
      <c r="GE16">
        <v>0.61111111111111105</v>
      </c>
      <c r="GF16">
        <v>9</v>
      </c>
      <c r="GG16">
        <v>5.0000000000000009</v>
      </c>
      <c r="GH16">
        <v>16</v>
      </c>
      <c r="GI16">
        <v>0.22222222222222224</v>
      </c>
      <c r="GJ16">
        <v>25</v>
      </c>
      <c r="GK16">
        <v>24.333333333333332</v>
      </c>
      <c r="GL16">
        <v>27</v>
      </c>
      <c r="GM16">
        <v>-4.711111111111113</v>
      </c>
      <c r="GN16">
        <v>24</v>
      </c>
      <c r="GO16">
        <v>-15.999999999999995</v>
      </c>
      <c r="GP16">
        <v>22</v>
      </c>
      <c r="GQ16">
        <v>-1.1111111111111109</v>
      </c>
      <c r="GR16">
        <v>16</v>
      </c>
      <c r="GS16">
        <v>17.333333333333332</v>
      </c>
      <c r="GT16">
        <v>22</v>
      </c>
      <c r="GU16">
        <v>-2.1222222222222218</v>
      </c>
      <c r="GV16">
        <v>-2.3333333333333357</v>
      </c>
      <c r="GW16">
        <v>0.66666666666666685</v>
      </c>
      <c r="GX16">
        <v>5</v>
      </c>
      <c r="GY16">
        <v>4.5</v>
      </c>
      <c r="GZ16">
        <v>2</v>
      </c>
      <c r="HA16">
        <v>2.4444444444444442</v>
      </c>
      <c r="HB16">
        <v>7</v>
      </c>
      <c r="HC16">
        <v>0.55555555555555547</v>
      </c>
      <c r="HD16">
        <v>2.3333333333333335</v>
      </c>
      <c r="HE16">
        <v>32</v>
      </c>
      <c r="HF16">
        <v>26.5</v>
      </c>
      <c r="HG16">
        <v>25</v>
      </c>
      <c r="HH16">
        <v>-2.8229280352652042E-2</v>
      </c>
      <c r="HI16">
        <v>28</v>
      </c>
      <c r="HJ16">
        <v>-2.3215907332386099E-2</v>
      </c>
      <c r="HK16">
        <v>21</v>
      </c>
      <c r="HL16">
        <v>5.6098095803978176E-2</v>
      </c>
      <c r="HM16">
        <v>32</v>
      </c>
      <c r="HN16">
        <v>-4.2222222222222214</v>
      </c>
      <c r="HO16">
        <v>1.2222222222222214</v>
      </c>
      <c r="HP16">
        <v>4</v>
      </c>
      <c r="HQ16">
        <v>0</v>
      </c>
      <c r="HR16">
        <v>13.333333333333334</v>
      </c>
      <c r="HS16">
        <v>-21.555555555555554</v>
      </c>
      <c r="HT16">
        <v>23.666666666666671</v>
      </c>
      <c r="HU16">
        <v>-2.5555555555555554</v>
      </c>
      <c r="HV16">
        <v>13.777777777777779</v>
      </c>
      <c r="HW16">
        <v>23</v>
      </c>
      <c r="HX16">
        <v>-1.7288888888888889</v>
      </c>
      <c r="HY16">
        <v>-0.8768888888888895</v>
      </c>
      <c r="HZ16">
        <v>-45.222222222222229</v>
      </c>
      <c r="IA16">
        <v>10</v>
      </c>
      <c r="IB16">
        <v>0.321388888888889</v>
      </c>
      <c r="IC16">
        <v>0.11111111111111138</v>
      </c>
    </row>
    <row r="17" spans="1:237" x14ac:dyDescent="0.2">
      <c r="A17" s="19">
        <v>44108</v>
      </c>
      <c r="B17" s="13" t="s">
        <v>417</v>
      </c>
      <c r="C17" s="41" t="s">
        <v>288</v>
      </c>
      <c r="D17" s="14" t="s">
        <v>302</v>
      </c>
      <c r="E17">
        <v>16.399999999999999</v>
      </c>
      <c r="F17">
        <v>7.3</v>
      </c>
      <c r="G17">
        <v>12.7</v>
      </c>
      <c r="H17">
        <v>10</v>
      </c>
      <c r="I17">
        <v>-11</v>
      </c>
      <c r="J17">
        <v>49</v>
      </c>
      <c r="L17" t="s">
        <v>288</v>
      </c>
      <c r="M17">
        <v>2</v>
      </c>
      <c r="N17">
        <v>10.291111111111112</v>
      </c>
      <c r="O17">
        <v>11</v>
      </c>
      <c r="P17">
        <v>12.75</v>
      </c>
      <c r="Q17">
        <v>11</v>
      </c>
      <c r="R17">
        <v>1.8555555555555565</v>
      </c>
      <c r="S17">
        <v>11</v>
      </c>
      <c r="T17">
        <v>1.555555555555556</v>
      </c>
      <c r="U17">
        <v>17</v>
      </c>
      <c r="V17">
        <v>-6.3333333333333375</v>
      </c>
      <c r="W17">
        <v>12</v>
      </c>
      <c r="X17">
        <v>0.33333333333333326</v>
      </c>
      <c r="Y17">
        <v>5</v>
      </c>
      <c r="Z17">
        <v>10</v>
      </c>
      <c r="AA17">
        <v>13</v>
      </c>
      <c r="AB17">
        <v>2.3333333333333344</v>
      </c>
      <c r="AC17">
        <v>6</v>
      </c>
      <c r="AD17">
        <v>3.3333333333333339</v>
      </c>
      <c r="AE17">
        <v>8</v>
      </c>
      <c r="AF17">
        <v>11.888888888888888</v>
      </c>
      <c r="AG17">
        <v>9</v>
      </c>
      <c r="AH17">
        <v>0.88888888888888884</v>
      </c>
      <c r="AI17">
        <v>26</v>
      </c>
      <c r="AJ17">
        <v>23.666666666666668</v>
      </c>
      <c r="AK17">
        <v>18</v>
      </c>
      <c r="AL17">
        <v>-0.47777777777777786</v>
      </c>
      <c r="AM17">
        <v>21</v>
      </c>
      <c r="AN17">
        <v>-1.7777777777777779</v>
      </c>
      <c r="AO17">
        <v>31</v>
      </c>
      <c r="AP17">
        <v>-18.222222222222225</v>
      </c>
      <c r="AQ17">
        <v>22</v>
      </c>
      <c r="AR17">
        <v>-0.55555555555555558</v>
      </c>
      <c r="AS17">
        <v>4</v>
      </c>
      <c r="AT17">
        <v>4.666666666666667</v>
      </c>
      <c r="AU17">
        <v>2</v>
      </c>
      <c r="AV17">
        <v>13.133333333333333</v>
      </c>
      <c r="AW17">
        <v>6</v>
      </c>
      <c r="AX17">
        <v>32.111111111111114</v>
      </c>
      <c r="AY17">
        <v>6</v>
      </c>
      <c r="AZ17">
        <v>3.1111111111111107</v>
      </c>
      <c r="BA17">
        <v>3</v>
      </c>
      <c r="BB17">
        <v>3.3333333333333335</v>
      </c>
      <c r="BC17">
        <v>3</v>
      </c>
      <c r="BD17">
        <v>7.6333333333333337</v>
      </c>
      <c r="BE17">
        <v>4</v>
      </c>
      <c r="BF17">
        <v>27.666666666666668</v>
      </c>
      <c r="BG17">
        <v>3</v>
      </c>
      <c r="BH17">
        <v>2.3333333333333335</v>
      </c>
      <c r="BI17">
        <v>13</v>
      </c>
      <c r="BJ17">
        <v>12.333333333333334</v>
      </c>
      <c r="BK17">
        <v>5</v>
      </c>
      <c r="BL17">
        <v>3.6888888888888887</v>
      </c>
      <c r="BM17">
        <v>14</v>
      </c>
      <c r="BN17">
        <v>4.4444444444444455</v>
      </c>
      <c r="BO17">
        <v>18</v>
      </c>
      <c r="BP17">
        <v>-0.33333333333333331</v>
      </c>
      <c r="BQ17">
        <v>10</v>
      </c>
      <c r="BR17">
        <v>11.333333333333334</v>
      </c>
      <c r="BS17">
        <v>9</v>
      </c>
      <c r="BT17">
        <v>1.8111111111111107</v>
      </c>
      <c r="BU17">
        <v>17</v>
      </c>
      <c r="BV17">
        <v>0</v>
      </c>
      <c r="BW17">
        <v>8</v>
      </c>
      <c r="BX17">
        <v>1.1111111111111109</v>
      </c>
      <c r="BY17">
        <v>8</v>
      </c>
      <c r="BZ17">
        <v>9</v>
      </c>
      <c r="CA17">
        <v>5</v>
      </c>
      <c r="CB17">
        <v>4.7888888888888888</v>
      </c>
      <c r="CC17">
        <v>11</v>
      </c>
      <c r="CD17">
        <v>7.8888888888888902</v>
      </c>
      <c r="CE17">
        <v>11</v>
      </c>
      <c r="CF17">
        <v>1</v>
      </c>
      <c r="CG17">
        <v>1</v>
      </c>
      <c r="CH17">
        <v>1.6666666666666667</v>
      </c>
      <c r="CI17">
        <v>1</v>
      </c>
      <c r="CJ17">
        <v>6.0444444444444443</v>
      </c>
      <c r="CK17">
        <v>23.777777777777782</v>
      </c>
      <c r="CL17">
        <v>3</v>
      </c>
      <c r="CM17">
        <v>26</v>
      </c>
      <c r="CN17">
        <v>25.5</v>
      </c>
      <c r="CO17">
        <v>24</v>
      </c>
      <c r="CP17">
        <v>-0.88888888888888928</v>
      </c>
      <c r="CQ17">
        <v>27</v>
      </c>
      <c r="CR17">
        <v>-0.55555555555555547</v>
      </c>
      <c r="CS17">
        <v>-0.22222222222222188</v>
      </c>
      <c r="CT17">
        <v>31</v>
      </c>
      <c r="CU17">
        <v>28</v>
      </c>
      <c r="CV17">
        <v>18</v>
      </c>
      <c r="CW17">
        <v>-1.7615145772483836E-2</v>
      </c>
      <c r="CX17">
        <v>32</v>
      </c>
      <c r="CY17">
        <v>-3.8434718912356433E-2</v>
      </c>
      <c r="CZ17">
        <v>32</v>
      </c>
      <c r="DA17">
        <v>0.15337902837902842</v>
      </c>
      <c r="DB17">
        <v>30</v>
      </c>
      <c r="DC17">
        <v>-3.3333333333333335</v>
      </c>
      <c r="DD17">
        <v>4.0000000000000027</v>
      </c>
      <c r="DE17">
        <v>8</v>
      </c>
      <c r="DF17">
        <v>-0.77777777777777779</v>
      </c>
      <c r="DG17">
        <v>57.333333333333314</v>
      </c>
      <c r="DH17">
        <v>51.444444444444436</v>
      </c>
      <c r="DI17">
        <v>-4.6666666666666714</v>
      </c>
      <c r="DJ17">
        <v>7.1111111111111107</v>
      </c>
      <c r="DK17">
        <v>3.4444444444444429</v>
      </c>
      <c r="DL17">
        <v>4</v>
      </c>
      <c r="DM17">
        <v>8.4355555555555561</v>
      </c>
      <c r="DN17">
        <v>4.9660000000000002</v>
      </c>
      <c r="DO17">
        <v>56.111111111111107</v>
      </c>
      <c r="DP17">
        <v>29</v>
      </c>
      <c r="DQ17">
        <v>3.8044444444444445</v>
      </c>
      <c r="DR17">
        <v>6.1111111111111107</v>
      </c>
      <c r="DS17">
        <v>-1.5366666666666668</v>
      </c>
      <c r="DT17">
        <v>-0.3911111111111113</v>
      </c>
      <c r="DU17" t="s">
        <v>302</v>
      </c>
      <c r="DV17" t="s">
        <v>292</v>
      </c>
      <c r="DW17" t="s">
        <v>464</v>
      </c>
      <c r="DX17">
        <v>28</v>
      </c>
      <c r="DY17">
        <v>-4.7466666666666653</v>
      </c>
      <c r="DZ17">
        <v>25</v>
      </c>
      <c r="EA17">
        <v>20.5</v>
      </c>
      <c r="EB17">
        <v>26</v>
      </c>
      <c r="EC17">
        <v>-4.4888888888888889</v>
      </c>
      <c r="ED17">
        <v>25</v>
      </c>
      <c r="EE17">
        <v>-1.5555555555555558</v>
      </c>
      <c r="EF17">
        <v>13</v>
      </c>
      <c r="EG17">
        <v>-2.333333333333333</v>
      </c>
      <c r="EH17">
        <v>18</v>
      </c>
      <c r="EI17">
        <v>-0.2222222222222221</v>
      </c>
      <c r="EJ17">
        <v>28</v>
      </c>
      <c r="EK17">
        <v>23.75</v>
      </c>
      <c r="EL17">
        <v>27</v>
      </c>
      <c r="EM17">
        <v>-3.8555555555555556</v>
      </c>
      <c r="EN17">
        <v>26</v>
      </c>
      <c r="EO17">
        <v>-1.8888888888888893</v>
      </c>
      <c r="EP17">
        <v>15</v>
      </c>
      <c r="EQ17">
        <v>-1.3333333333333333</v>
      </c>
      <c r="ER17">
        <v>27</v>
      </c>
      <c r="ES17">
        <v>-0.88888888888888873</v>
      </c>
      <c r="ET17">
        <v>18</v>
      </c>
      <c r="EU17">
        <v>17.333333333333332</v>
      </c>
      <c r="EV17">
        <v>21</v>
      </c>
      <c r="EW17">
        <v>-0.63333333333333286</v>
      </c>
      <c r="EX17">
        <v>14</v>
      </c>
      <c r="EY17">
        <v>0.33333333333333348</v>
      </c>
      <c r="EZ17">
        <v>17</v>
      </c>
      <c r="FA17">
        <v>-1</v>
      </c>
      <c r="FB17">
        <v>5</v>
      </c>
      <c r="FC17">
        <v>0.66666666666666663</v>
      </c>
      <c r="FD17">
        <v>8</v>
      </c>
      <c r="FE17">
        <v>10.666666666666666</v>
      </c>
      <c r="FF17">
        <v>14</v>
      </c>
      <c r="FG17">
        <v>-8.8888888888891238E-2</v>
      </c>
      <c r="FH17">
        <v>10</v>
      </c>
      <c r="FI17">
        <v>12.666666666666668</v>
      </c>
      <c r="FJ17">
        <v>8</v>
      </c>
      <c r="FK17">
        <v>0.66666666666666674</v>
      </c>
      <c r="FL17">
        <v>13</v>
      </c>
      <c r="FM17">
        <v>14</v>
      </c>
      <c r="FN17">
        <v>15</v>
      </c>
      <c r="FO17">
        <v>0.1333333333333305</v>
      </c>
      <c r="FP17">
        <v>13</v>
      </c>
      <c r="FQ17">
        <v>3.6666666666666692</v>
      </c>
      <c r="FR17">
        <v>14</v>
      </c>
      <c r="FS17">
        <v>0</v>
      </c>
      <c r="FT17">
        <v>20</v>
      </c>
      <c r="FU17">
        <v>19</v>
      </c>
      <c r="FV17">
        <v>25</v>
      </c>
      <c r="FW17">
        <v>-2.5111111111111111</v>
      </c>
      <c r="FX17">
        <v>17</v>
      </c>
      <c r="FY17">
        <v>0.44444444444444403</v>
      </c>
      <c r="FZ17">
        <v>15</v>
      </c>
      <c r="GA17">
        <v>0.33333333333333343</v>
      </c>
      <c r="GB17">
        <v>7</v>
      </c>
      <c r="GC17">
        <v>8.6666666666666661</v>
      </c>
      <c r="GD17">
        <v>5</v>
      </c>
      <c r="GE17">
        <v>2.2888888888888892</v>
      </c>
      <c r="GF17">
        <v>7</v>
      </c>
      <c r="GG17">
        <v>8.5555555555555554</v>
      </c>
      <c r="GH17">
        <v>14</v>
      </c>
      <c r="GI17">
        <v>0.33333333333333331</v>
      </c>
      <c r="GJ17">
        <v>19</v>
      </c>
      <c r="GK17">
        <v>19.333333333333332</v>
      </c>
      <c r="GL17">
        <v>24</v>
      </c>
      <c r="GM17">
        <v>-3.5444444444444461</v>
      </c>
      <c r="GN17">
        <v>15</v>
      </c>
      <c r="GO17">
        <v>-3.2222222222222192</v>
      </c>
      <c r="GP17">
        <v>19</v>
      </c>
      <c r="GQ17">
        <v>-0.66666666666666641</v>
      </c>
      <c r="GR17">
        <v>32</v>
      </c>
      <c r="GS17">
        <v>32</v>
      </c>
      <c r="GT17">
        <v>32</v>
      </c>
      <c r="GU17">
        <v>-9.5777777777777775</v>
      </c>
      <c r="GV17">
        <v>-33.55555555555555</v>
      </c>
      <c r="GW17">
        <v>-3.1111111111111107</v>
      </c>
      <c r="GX17">
        <v>24</v>
      </c>
      <c r="GY17">
        <v>24</v>
      </c>
      <c r="GZ17">
        <v>30</v>
      </c>
      <c r="HA17">
        <v>-2.5555555555555558</v>
      </c>
      <c r="HB17">
        <v>18</v>
      </c>
      <c r="HC17">
        <v>-1.8503717077085941E-17</v>
      </c>
      <c r="HD17">
        <v>-1.4444444444444446</v>
      </c>
      <c r="HE17">
        <v>8</v>
      </c>
      <c r="HF17">
        <v>13.25</v>
      </c>
      <c r="HG17">
        <v>9</v>
      </c>
      <c r="HH17">
        <v>1.9341916253680952E-2</v>
      </c>
      <c r="HI17">
        <v>16</v>
      </c>
      <c r="HJ17">
        <v>-5.0174371742999239E-3</v>
      </c>
      <c r="HK17">
        <v>27</v>
      </c>
      <c r="HL17">
        <v>0.11402116402116402</v>
      </c>
      <c r="HM17">
        <v>1</v>
      </c>
      <c r="HN17">
        <v>6.4444444444444438</v>
      </c>
      <c r="HO17">
        <v>-0.44444444444444287</v>
      </c>
      <c r="HP17">
        <v>-7.666666666666667</v>
      </c>
      <c r="HQ17">
        <v>-0.22222222222222221</v>
      </c>
      <c r="HR17">
        <v>-33.444444444444436</v>
      </c>
      <c r="HS17">
        <v>-18.666666666666657</v>
      </c>
      <c r="HT17">
        <v>-12.333333333333336</v>
      </c>
      <c r="HU17">
        <v>-5.7777777777777777</v>
      </c>
      <c r="HV17">
        <v>3.3333333333333335</v>
      </c>
      <c r="HW17">
        <v>20</v>
      </c>
      <c r="HX17">
        <v>-0.25777777777777633</v>
      </c>
      <c r="HY17">
        <v>-0.63822222222222225</v>
      </c>
      <c r="HZ17">
        <v>-6.3333333333333215</v>
      </c>
      <c r="IA17">
        <v>13</v>
      </c>
      <c r="IB17">
        <v>-2.6822222222222223</v>
      </c>
      <c r="IC17">
        <v>-2.4444444444444438</v>
      </c>
    </row>
    <row r="18" spans="1:237" x14ac:dyDescent="0.2">
      <c r="A18" s="19">
        <v>44108</v>
      </c>
      <c r="B18" s="13" t="s">
        <v>417</v>
      </c>
      <c r="C18" s="41" t="s">
        <v>303</v>
      </c>
      <c r="D18" s="14" t="s">
        <v>276</v>
      </c>
      <c r="E18">
        <v>10.7</v>
      </c>
      <c r="F18">
        <v>14.4</v>
      </c>
      <c r="G18">
        <v>7.2</v>
      </c>
      <c r="H18">
        <v>16.8</v>
      </c>
      <c r="I18">
        <v>3</v>
      </c>
      <c r="J18">
        <v>53</v>
      </c>
      <c r="L18" t="s">
        <v>303</v>
      </c>
      <c r="M18">
        <v>21</v>
      </c>
      <c r="N18">
        <v>-1.4333333333333325</v>
      </c>
      <c r="O18">
        <v>7</v>
      </c>
      <c r="P18">
        <v>10.25</v>
      </c>
      <c r="Q18">
        <v>13</v>
      </c>
      <c r="R18">
        <v>0.9777777777777773</v>
      </c>
      <c r="S18">
        <v>4</v>
      </c>
      <c r="T18">
        <v>3.666666666666667</v>
      </c>
      <c r="U18">
        <v>8</v>
      </c>
      <c r="V18">
        <v>14.222222222222223</v>
      </c>
      <c r="W18">
        <v>16</v>
      </c>
      <c r="X18">
        <v>-0.1111111111111111</v>
      </c>
      <c r="Y18">
        <v>12</v>
      </c>
      <c r="Z18">
        <v>14</v>
      </c>
      <c r="AA18">
        <v>16</v>
      </c>
      <c r="AB18">
        <v>3.3333333333332625E-2</v>
      </c>
      <c r="AC18">
        <v>2</v>
      </c>
      <c r="AD18">
        <v>5.8888888888888893</v>
      </c>
      <c r="AE18">
        <v>9</v>
      </c>
      <c r="AF18">
        <v>10.555555555555557</v>
      </c>
      <c r="AG18">
        <v>17</v>
      </c>
      <c r="AH18">
        <v>-0.44444444444444436</v>
      </c>
      <c r="AI18">
        <v>9</v>
      </c>
      <c r="AJ18">
        <v>12.333333333333334</v>
      </c>
      <c r="AK18">
        <v>11</v>
      </c>
      <c r="AL18">
        <v>0.94444444444444464</v>
      </c>
      <c r="AM18">
        <v>25</v>
      </c>
      <c r="AN18">
        <v>-2.2222222222222223</v>
      </c>
      <c r="AO18">
        <v>13</v>
      </c>
      <c r="AP18">
        <v>3.6666666666666661</v>
      </c>
      <c r="AQ18">
        <v>13</v>
      </c>
      <c r="AR18">
        <v>0.33333333333333326</v>
      </c>
      <c r="AS18">
        <v>30</v>
      </c>
      <c r="AT18">
        <v>29</v>
      </c>
      <c r="AU18">
        <v>27</v>
      </c>
      <c r="AV18">
        <v>-8.0777777777777775</v>
      </c>
      <c r="AW18">
        <v>29</v>
      </c>
      <c r="AX18">
        <v>-39.333333333333329</v>
      </c>
      <c r="AY18">
        <v>31</v>
      </c>
      <c r="AZ18">
        <v>-4.4444444444444446</v>
      </c>
      <c r="BA18">
        <v>32</v>
      </c>
      <c r="BB18">
        <v>32</v>
      </c>
      <c r="BC18">
        <v>32</v>
      </c>
      <c r="BD18">
        <v>-7.7222222222222223</v>
      </c>
      <c r="BE18">
        <v>32</v>
      </c>
      <c r="BF18">
        <v>-32.111111111111107</v>
      </c>
      <c r="BG18">
        <v>32</v>
      </c>
      <c r="BH18">
        <v>-2.4444444444444446</v>
      </c>
      <c r="BI18">
        <v>24</v>
      </c>
      <c r="BJ18">
        <v>22.333333333333332</v>
      </c>
      <c r="BK18">
        <v>16</v>
      </c>
      <c r="BL18">
        <v>0.10000000000000053</v>
      </c>
      <c r="BM18">
        <v>20</v>
      </c>
      <c r="BN18">
        <v>-7.8888888888888884</v>
      </c>
      <c r="BO18">
        <v>31</v>
      </c>
      <c r="BP18">
        <v>-1.8888888888888886</v>
      </c>
      <c r="BQ18">
        <v>16</v>
      </c>
      <c r="BR18">
        <v>16</v>
      </c>
      <c r="BS18">
        <v>15</v>
      </c>
      <c r="BT18">
        <v>-0.45555555555555588</v>
      </c>
      <c r="BU18">
        <v>14</v>
      </c>
      <c r="BV18">
        <v>0.66666666666666785</v>
      </c>
      <c r="BW18">
        <v>19</v>
      </c>
      <c r="BX18">
        <v>-0.11111111111111116</v>
      </c>
      <c r="BY18">
        <v>27</v>
      </c>
      <c r="BZ18">
        <v>26.333333333333332</v>
      </c>
      <c r="CA18">
        <v>25</v>
      </c>
      <c r="CB18">
        <v>-2.6333333333333346</v>
      </c>
      <c r="CC18">
        <v>26</v>
      </c>
      <c r="CD18">
        <v>-15.22222222222222</v>
      </c>
      <c r="CE18">
        <v>28</v>
      </c>
      <c r="CF18">
        <v>-1.9999999999999993</v>
      </c>
      <c r="CG18">
        <v>4</v>
      </c>
      <c r="CH18">
        <v>4.333333333333333</v>
      </c>
      <c r="CI18">
        <v>5</v>
      </c>
      <c r="CJ18">
        <v>4.6777777777777771</v>
      </c>
      <c r="CK18">
        <v>15.666666666666666</v>
      </c>
      <c r="CL18">
        <v>3.2222222222222219</v>
      </c>
      <c r="CM18">
        <v>1</v>
      </c>
      <c r="CN18">
        <v>2.5</v>
      </c>
      <c r="CO18">
        <v>3</v>
      </c>
      <c r="CP18">
        <v>2.3333333333333335</v>
      </c>
      <c r="CQ18">
        <v>2</v>
      </c>
      <c r="CR18">
        <v>0.66666666666666663</v>
      </c>
      <c r="CS18">
        <v>-2</v>
      </c>
      <c r="CT18">
        <v>19</v>
      </c>
      <c r="CU18">
        <v>18</v>
      </c>
      <c r="CV18">
        <v>25</v>
      </c>
      <c r="CW18">
        <v>-3.8681544100996751E-2</v>
      </c>
      <c r="CX18">
        <v>15</v>
      </c>
      <c r="CY18">
        <v>3.0105874055234749E-3</v>
      </c>
      <c r="CZ18">
        <v>11</v>
      </c>
      <c r="DA18">
        <v>-4.9120759414877056E-2</v>
      </c>
      <c r="DB18">
        <v>21</v>
      </c>
      <c r="DC18">
        <v>-0.99999999999999967</v>
      </c>
      <c r="DD18">
        <v>-0.1111111111111119</v>
      </c>
      <c r="DE18">
        <v>2.5555555555555558</v>
      </c>
      <c r="DF18">
        <v>0</v>
      </c>
      <c r="DG18">
        <v>21.888888888888875</v>
      </c>
      <c r="DH18">
        <v>2.2222222222222192</v>
      </c>
      <c r="DI18">
        <v>25.222222222222218</v>
      </c>
      <c r="DJ18">
        <v>1.8888888888888891</v>
      </c>
      <c r="DK18">
        <v>-7.4444444444444438</v>
      </c>
      <c r="DL18">
        <v>21</v>
      </c>
      <c r="DM18">
        <v>-2.4111111111111097</v>
      </c>
      <c r="DN18">
        <v>-1.455555555555555</v>
      </c>
      <c r="DO18">
        <v>-23</v>
      </c>
      <c r="DP18">
        <v>12</v>
      </c>
      <c r="DQ18">
        <v>-0.1902777777777776</v>
      </c>
      <c r="DR18">
        <v>-1.2222222222222228</v>
      </c>
      <c r="DS18">
        <v>1.1199999999999999</v>
      </c>
      <c r="DT18">
        <v>1.7500000000000043E-2</v>
      </c>
      <c r="DU18" t="s">
        <v>276</v>
      </c>
      <c r="DV18" t="s">
        <v>261</v>
      </c>
      <c r="DW18" t="s">
        <v>455</v>
      </c>
      <c r="DX18">
        <v>8</v>
      </c>
      <c r="DY18">
        <v>3.4244444444444451</v>
      </c>
      <c r="DZ18">
        <v>21</v>
      </c>
      <c r="EA18">
        <v>19.25</v>
      </c>
      <c r="EB18">
        <v>16</v>
      </c>
      <c r="EC18">
        <v>2.2222222222222442E-2</v>
      </c>
      <c r="ED18">
        <v>32</v>
      </c>
      <c r="EE18">
        <v>-4.666666666666667</v>
      </c>
      <c r="EF18">
        <v>19</v>
      </c>
      <c r="EG18">
        <v>-9.2222222222222179</v>
      </c>
      <c r="EH18">
        <v>10</v>
      </c>
      <c r="EI18">
        <v>0.55555555555555558</v>
      </c>
      <c r="EJ18">
        <v>18</v>
      </c>
      <c r="EK18">
        <v>17.75</v>
      </c>
      <c r="EL18">
        <v>15</v>
      </c>
      <c r="EM18">
        <v>-1.1111111111110775E-2</v>
      </c>
      <c r="EN18">
        <v>30</v>
      </c>
      <c r="EO18">
        <v>-3.4444444444444446</v>
      </c>
      <c r="EP18">
        <v>18</v>
      </c>
      <c r="EQ18">
        <v>-4.2222222222222188</v>
      </c>
      <c r="ER18">
        <v>8</v>
      </c>
      <c r="ES18">
        <v>0.55555555555555558</v>
      </c>
      <c r="ET18">
        <v>24</v>
      </c>
      <c r="EU18">
        <v>21</v>
      </c>
      <c r="EV18">
        <v>17</v>
      </c>
      <c r="EW18">
        <v>3.3333333333333215E-2</v>
      </c>
      <c r="EX18">
        <v>23</v>
      </c>
      <c r="EY18">
        <v>-1.2222222222222221</v>
      </c>
      <c r="EZ18">
        <v>23</v>
      </c>
      <c r="FA18">
        <v>-5</v>
      </c>
      <c r="FB18">
        <v>18</v>
      </c>
      <c r="FC18">
        <v>0</v>
      </c>
      <c r="FD18">
        <v>2</v>
      </c>
      <c r="FE18">
        <v>3</v>
      </c>
      <c r="FF18">
        <v>4</v>
      </c>
      <c r="FG18">
        <v>9.3444444444444432</v>
      </c>
      <c r="FH18">
        <v>3</v>
      </c>
      <c r="FI18">
        <v>32.555555555555557</v>
      </c>
      <c r="FJ18">
        <v>2</v>
      </c>
      <c r="FK18">
        <v>4.7777777777777777</v>
      </c>
      <c r="FL18">
        <v>3</v>
      </c>
      <c r="FM18">
        <v>3.6666666666666665</v>
      </c>
      <c r="FN18">
        <v>5</v>
      </c>
      <c r="FO18">
        <v>4.8111111111111109</v>
      </c>
      <c r="FP18">
        <v>4</v>
      </c>
      <c r="FQ18">
        <v>15.111111111111114</v>
      </c>
      <c r="FR18">
        <v>2</v>
      </c>
      <c r="FS18">
        <v>2.2222222222222219</v>
      </c>
      <c r="FT18">
        <v>3</v>
      </c>
      <c r="FU18">
        <v>5</v>
      </c>
      <c r="FV18">
        <v>6</v>
      </c>
      <c r="FW18">
        <v>4.4666666666666659</v>
      </c>
      <c r="FX18">
        <v>7</v>
      </c>
      <c r="FY18">
        <v>13.444444444444441</v>
      </c>
      <c r="FZ18">
        <v>2</v>
      </c>
      <c r="GA18">
        <v>1.7777777777777777</v>
      </c>
      <c r="GB18">
        <v>11</v>
      </c>
      <c r="GC18">
        <v>12</v>
      </c>
      <c r="GD18">
        <v>17</v>
      </c>
      <c r="GE18">
        <v>6.6666666666666582E-2</v>
      </c>
      <c r="GF18">
        <v>12</v>
      </c>
      <c r="GG18">
        <v>4</v>
      </c>
      <c r="GH18">
        <v>7</v>
      </c>
      <c r="GI18">
        <v>0.77777777777777801</v>
      </c>
      <c r="GJ18">
        <v>3</v>
      </c>
      <c r="GK18">
        <v>3.3333333333333335</v>
      </c>
      <c r="GL18">
        <v>4</v>
      </c>
      <c r="GM18">
        <v>6.3666666666666645</v>
      </c>
      <c r="GN18">
        <v>3</v>
      </c>
      <c r="GO18">
        <v>42.555555555555557</v>
      </c>
      <c r="GP18">
        <v>3</v>
      </c>
      <c r="GQ18">
        <v>4.0000000000000009</v>
      </c>
      <c r="GR18">
        <v>4</v>
      </c>
      <c r="GS18">
        <v>3.6666666666666665</v>
      </c>
      <c r="GT18">
        <v>5</v>
      </c>
      <c r="GU18">
        <v>4.0999999999999996</v>
      </c>
      <c r="GV18">
        <v>27.666666666666668</v>
      </c>
      <c r="GW18">
        <v>1.555555555555556</v>
      </c>
      <c r="GX18">
        <v>11</v>
      </c>
      <c r="GY18">
        <v>11</v>
      </c>
      <c r="GZ18">
        <v>12</v>
      </c>
      <c r="HA18">
        <v>0.88888888888888895</v>
      </c>
      <c r="HB18">
        <v>10</v>
      </c>
      <c r="HC18">
        <v>0.22222222222222224</v>
      </c>
      <c r="HD18">
        <v>-0.55555555555555547</v>
      </c>
      <c r="HE18">
        <v>15</v>
      </c>
      <c r="HF18">
        <v>15.5</v>
      </c>
      <c r="HG18">
        <v>16</v>
      </c>
      <c r="HH18">
        <v>-1.1472304021323635E-2</v>
      </c>
      <c r="HI18">
        <v>5</v>
      </c>
      <c r="HJ18">
        <v>1.8488033389994173E-2</v>
      </c>
      <c r="HK18">
        <v>16</v>
      </c>
      <c r="HL18">
        <v>-2.6455026455026362E-3</v>
      </c>
      <c r="HM18">
        <v>25</v>
      </c>
      <c r="HN18">
        <v>-1.8888888888888886</v>
      </c>
      <c r="HO18">
        <v>-5.5555555555555545</v>
      </c>
      <c r="HP18">
        <v>3.8888888888888888</v>
      </c>
      <c r="HQ18">
        <v>0</v>
      </c>
      <c r="HR18">
        <v>38</v>
      </c>
      <c r="HS18">
        <v>54.222222222222207</v>
      </c>
      <c r="HT18">
        <v>-5.2222222222222188</v>
      </c>
      <c r="HU18">
        <v>-3.5555555555555554</v>
      </c>
      <c r="HV18">
        <v>-7.4444444444444455</v>
      </c>
      <c r="HW18">
        <v>8</v>
      </c>
      <c r="HX18">
        <v>3.4022222222222225</v>
      </c>
      <c r="HY18">
        <v>3.3626666666666667</v>
      </c>
      <c r="HZ18">
        <v>59.444444444444429</v>
      </c>
      <c r="IA18">
        <v>25</v>
      </c>
      <c r="IB18">
        <v>2.2224999999999997</v>
      </c>
      <c r="IC18">
        <v>6.3333333333333339</v>
      </c>
    </row>
    <row r="19" spans="1:237" x14ac:dyDescent="0.2">
      <c r="A19" s="19">
        <v>44108</v>
      </c>
      <c r="B19" s="13" t="s">
        <v>417</v>
      </c>
      <c r="C19" s="41" t="s">
        <v>287</v>
      </c>
      <c r="D19" s="14" t="s">
        <v>284</v>
      </c>
      <c r="E19">
        <v>14.2</v>
      </c>
      <c r="F19">
        <v>14.2</v>
      </c>
      <c r="G19">
        <v>12.3</v>
      </c>
      <c r="H19">
        <v>5.9</v>
      </c>
      <c r="I19">
        <v>7</v>
      </c>
      <c r="J19">
        <v>42</v>
      </c>
      <c r="L19" t="s">
        <v>287</v>
      </c>
      <c r="M19">
        <v>10</v>
      </c>
      <c r="N19">
        <v>0.99111111111110917</v>
      </c>
      <c r="O19">
        <v>6</v>
      </c>
      <c r="P19">
        <v>9.75</v>
      </c>
      <c r="Q19">
        <v>16</v>
      </c>
      <c r="R19">
        <v>-0.48888888888889004</v>
      </c>
      <c r="S19">
        <v>3</v>
      </c>
      <c r="T19">
        <v>6.1111111111111098</v>
      </c>
      <c r="U19">
        <v>9</v>
      </c>
      <c r="V19">
        <v>13.111111111111107</v>
      </c>
      <c r="W19">
        <v>11</v>
      </c>
      <c r="X19">
        <v>0.44444444444444436</v>
      </c>
      <c r="Y19">
        <v>14</v>
      </c>
      <c r="Z19">
        <v>15</v>
      </c>
      <c r="AA19">
        <v>18</v>
      </c>
      <c r="AB19">
        <v>-1.5333333333333343</v>
      </c>
      <c r="AC19">
        <v>15</v>
      </c>
      <c r="AD19">
        <v>-0.11111111111111131</v>
      </c>
      <c r="AE19">
        <v>18</v>
      </c>
      <c r="AF19">
        <v>-5.5555555555555571</v>
      </c>
      <c r="AG19">
        <v>9</v>
      </c>
      <c r="AH19">
        <v>0.88888888888888884</v>
      </c>
      <c r="AI19">
        <v>7</v>
      </c>
      <c r="AJ19">
        <v>11.333333333333334</v>
      </c>
      <c r="AK19">
        <v>10</v>
      </c>
      <c r="AL19">
        <v>1.0444444444444443</v>
      </c>
      <c r="AM19">
        <v>1</v>
      </c>
      <c r="AN19">
        <v>6.2222222222222214</v>
      </c>
      <c r="AO19">
        <v>3</v>
      </c>
      <c r="AP19">
        <v>18.666666666666664</v>
      </c>
      <c r="AQ19">
        <v>21</v>
      </c>
      <c r="AR19">
        <v>-0.44444444444444448</v>
      </c>
      <c r="AS19">
        <v>10</v>
      </c>
      <c r="AT19">
        <v>9.6666666666666661</v>
      </c>
      <c r="AU19">
        <v>13</v>
      </c>
      <c r="AV19">
        <v>1.9777777777777781</v>
      </c>
      <c r="AW19">
        <v>11</v>
      </c>
      <c r="AX19">
        <v>14.888888888888888</v>
      </c>
      <c r="AY19">
        <v>5</v>
      </c>
      <c r="AZ19">
        <v>3.4444444444444451</v>
      </c>
      <c r="BA19">
        <v>5</v>
      </c>
      <c r="BB19">
        <v>6.666666666666667</v>
      </c>
      <c r="BC19">
        <v>11</v>
      </c>
      <c r="BD19">
        <v>1.9444444444444449</v>
      </c>
      <c r="BE19">
        <v>7</v>
      </c>
      <c r="BF19">
        <v>11.111111111111109</v>
      </c>
      <c r="BG19">
        <v>2</v>
      </c>
      <c r="BH19">
        <v>2.8888888888888888</v>
      </c>
      <c r="BI19">
        <v>10</v>
      </c>
      <c r="BJ19">
        <v>11.666666666666666</v>
      </c>
      <c r="BK19">
        <v>19</v>
      </c>
      <c r="BL19">
        <v>-0.25555555555555554</v>
      </c>
      <c r="BM19">
        <v>11</v>
      </c>
      <c r="BN19">
        <v>6.333333333333333</v>
      </c>
      <c r="BO19">
        <v>5</v>
      </c>
      <c r="BP19">
        <v>1.4444444444444446</v>
      </c>
      <c r="BQ19">
        <v>17</v>
      </c>
      <c r="BR19">
        <v>18.333333333333332</v>
      </c>
      <c r="BS19">
        <v>13</v>
      </c>
      <c r="BT19">
        <v>0.28888888888888875</v>
      </c>
      <c r="BU19">
        <v>18</v>
      </c>
      <c r="BV19">
        <v>-2.5555555555555554</v>
      </c>
      <c r="BW19">
        <v>24</v>
      </c>
      <c r="BX19">
        <v>-0.88888888888888895</v>
      </c>
      <c r="BY19">
        <v>15</v>
      </c>
      <c r="BZ19">
        <v>17.333333333333332</v>
      </c>
      <c r="CA19">
        <v>16</v>
      </c>
      <c r="CB19">
        <v>-0.72222222222222177</v>
      </c>
      <c r="CC19">
        <v>14</v>
      </c>
      <c r="CD19">
        <v>-1.6666666666666667</v>
      </c>
      <c r="CE19">
        <v>22</v>
      </c>
      <c r="CF19">
        <v>-0.77777777777777735</v>
      </c>
      <c r="CG19">
        <v>7</v>
      </c>
      <c r="CH19">
        <v>7.333333333333333</v>
      </c>
      <c r="CI19">
        <v>9</v>
      </c>
      <c r="CJ19">
        <v>2.8111111111111113</v>
      </c>
      <c r="CK19">
        <v>22.555555555555554</v>
      </c>
      <c r="CL19">
        <v>1.2222222222222223</v>
      </c>
      <c r="CM19">
        <v>10</v>
      </c>
      <c r="CN19">
        <v>10.5</v>
      </c>
      <c r="CO19">
        <v>17</v>
      </c>
      <c r="CP19">
        <v>2.9605947323337506E-16</v>
      </c>
      <c r="CQ19">
        <v>4</v>
      </c>
      <c r="CR19">
        <v>0.55555555555555547</v>
      </c>
      <c r="CS19">
        <v>0.3333333333333332</v>
      </c>
      <c r="CT19">
        <v>15</v>
      </c>
      <c r="CU19">
        <v>15.5</v>
      </c>
      <c r="CV19">
        <v>5</v>
      </c>
      <c r="CW19">
        <v>7.6537664607937428E-2</v>
      </c>
      <c r="CX19">
        <v>20</v>
      </c>
      <c r="CY19">
        <v>-3.1443063819370787E-3</v>
      </c>
      <c r="CZ19">
        <v>28</v>
      </c>
      <c r="DA19">
        <v>0.13236850295673822</v>
      </c>
      <c r="DB19">
        <v>9</v>
      </c>
      <c r="DC19">
        <v>1.8888888888888893</v>
      </c>
      <c r="DD19">
        <v>7.4444444444444402</v>
      </c>
      <c r="DE19">
        <v>-5.7777777777777786</v>
      </c>
      <c r="DF19">
        <v>-0.77777777777777779</v>
      </c>
      <c r="DG19">
        <v>48.666666666666664</v>
      </c>
      <c r="DH19">
        <v>49.777777777777771</v>
      </c>
      <c r="DI19">
        <v>9.7777777777777715</v>
      </c>
      <c r="DJ19">
        <v>1.1111111111111114</v>
      </c>
      <c r="DK19">
        <v>-12</v>
      </c>
      <c r="DL19">
        <v>15</v>
      </c>
      <c r="DM19">
        <v>1.4799999999999991</v>
      </c>
      <c r="DN19">
        <v>1.4004444444444446</v>
      </c>
      <c r="DO19">
        <v>40</v>
      </c>
      <c r="DP19">
        <v>18</v>
      </c>
      <c r="DQ19">
        <v>0.66138888888888858</v>
      </c>
      <c r="DR19">
        <v>4.6666666666666679</v>
      </c>
      <c r="DS19">
        <v>-1.5177777777777779</v>
      </c>
      <c r="DT19">
        <v>-2.3638888888888894</v>
      </c>
      <c r="DU19" t="s">
        <v>284</v>
      </c>
      <c r="DV19" t="s">
        <v>243</v>
      </c>
      <c r="DW19" t="s">
        <v>486</v>
      </c>
      <c r="DX19">
        <v>24</v>
      </c>
      <c r="DY19">
        <v>-2.8400000000000012</v>
      </c>
      <c r="DZ19">
        <v>22</v>
      </c>
      <c r="EA19">
        <v>19.75</v>
      </c>
      <c r="EB19">
        <v>23</v>
      </c>
      <c r="EC19">
        <v>-3.0555555555555567</v>
      </c>
      <c r="ED19">
        <v>20</v>
      </c>
      <c r="EE19">
        <v>-0.66666666666666696</v>
      </c>
      <c r="EF19">
        <v>31</v>
      </c>
      <c r="EG19">
        <v>-28.111111111111111</v>
      </c>
      <c r="EH19">
        <v>5</v>
      </c>
      <c r="EI19">
        <v>1.5555555555555558</v>
      </c>
      <c r="EJ19">
        <v>32</v>
      </c>
      <c r="EK19">
        <v>26.5</v>
      </c>
      <c r="EL19">
        <v>30</v>
      </c>
      <c r="EM19">
        <v>-6.4555555555555566</v>
      </c>
      <c r="EN19">
        <v>25</v>
      </c>
      <c r="EO19">
        <v>-1.4444444444444446</v>
      </c>
      <c r="EP19">
        <v>31</v>
      </c>
      <c r="EQ19">
        <v>-25.111111111111111</v>
      </c>
      <c r="ER19">
        <v>20</v>
      </c>
      <c r="ES19">
        <v>-0.44444444444444464</v>
      </c>
      <c r="ET19">
        <v>7</v>
      </c>
      <c r="EU19">
        <v>10.666666666666666</v>
      </c>
      <c r="EV19">
        <v>2</v>
      </c>
      <c r="EW19">
        <v>3.4</v>
      </c>
      <c r="EX19">
        <v>11</v>
      </c>
      <c r="EY19">
        <v>0.77777777777777768</v>
      </c>
      <c r="EZ19">
        <v>19</v>
      </c>
      <c r="FA19">
        <v>-3</v>
      </c>
      <c r="FB19">
        <v>1</v>
      </c>
      <c r="FC19">
        <v>2.0000000000000004</v>
      </c>
      <c r="FD19">
        <v>9</v>
      </c>
      <c r="FE19">
        <v>11.333333333333334</v>
      </c>
      <c r="FF19">
        <v>8</v>
      </c>
      <c r="FG19">
        <v>3.1333333333333342</v>
      </c>
      <c r="FH19">
        <v>15</v>
      </c>
      <c r="FI19">
        <v>-1.6666666666666679</v>
      </c>
      <c r="FJ19">
        <v>11</v>
      </c>
      <c r="FK19">
        <v>0.55555555555555558</v>
      </c>
      <c r="FL19">
        <v>15</v>
      </c>
      <c r="FM19">
        <v>15.666666666666666</v>
      </c>
      <c r="FN19">
        <v>21</v>
      </c>
      <c r="FO19">
        <v>-1.4555555555555555</v>
      </c>
      <c r="FP19">
        <v>18</v>
      </c>
      <c r="FQ19">
        <v>-4.8888888888888902</v>
      </c>
      <c r="FR19">
        <v>8</v>
      </c>
      <c r="FS19">
        <v>0.99999999999999967</v>
      </c>
      <c r="FT19">
        <v>4</v>
      </c>
      <c r="FU19">
        <v>5.666666666666667</v>
      </c>
      <c r="FV19">
        <v>3</v>
      </c>
      <c r="FW19">
        <v>5.511111111111112</v>
      </c>
      <c r="FX19">
        <v>8</v>
      </c>
      <c r="FY19">
        <v>9.5555555555555554</v>
      </c>
      <c r="FZ19">
        <v>6</v>
      </c>
      <c r="GA19">
        <v>1.1111111111111114</v>
      </c>
      <c r="GB19">
        <v>23</v>
      </c>
      <c r="GC19">
        <v>23.333333333333332</v>
      </c>
      <c r="GD19">
        <v>20</v>
      </c>
      <c r="GE19">
        <v>-0.92222222222222205</v>
      </c>
      <c r="GF19">
        <v>21</v>
      </c>
      <c r="GG19">
        <v>-6.333333333333333</v>
      </c>
      <c r="GH19">
        <v>29</v>
      </c>
      <c r="GI19">
        <v>-1.5555555555555556</v>
      </c>
      <c r="GJ19">
        <v>9</v>
      </c>
      <c r="GK19">
        <v>11</v>
      </c>
      <c r="GL19">
        <v>10</v>
      </c>
      <c r="GM19">
        <v>2.3222222222222215</v>
      </c>
      <c r="GN19">
        <v>11</v>
      </c>
      <c r="GO19">
        <v>5.4444444444444473</v>
      </c>
      <c r="GP19">
        <v>12</v>
      </c>
      <c r="GQ19">
        <v>0.33333333333333331</v>
      </c>
      <c r="GR19">
        <v>10</v>
      </c>
      <c r="GS19">
        <v>11.333333333333334</v>
      </c>
      <c r="GT19">
        <v>18</v>
      </c>
      <c r="GU19">
        <v>-1.1666666666666663</v>
      </c>
      <c r="GV19">
        <v>6.1111111111111098</v>
      </c>
      <c r="GW19">
        <v>1.2222222222222223</v>
      </c>
      <c r="GX19">
        <v>29</v>
      </c>
      <c r="GY19">
        <v>26.5</v>
      </c>
      <c r="GZ19">
        <v>25</v>
      </c>
      <c r="HA19">
        <v>-1.444444444444444</v>
      </c>
      <c r="HB19">
        <v>28</v>
      </c>
      <c r="HC19">
        <v>-0.77777777777777768</v>
      </c>
      <c r="HD19">
        <v>3.1111111111111112</v>
      </c>
      <c r="HE19">
        <v>1</v>
      </c>
      <c r="HF19">
        <v>9</v>
      </c>
      <c r="HG19">
        <v>8</v>
      </c>
      <c r="HH19">
        <v>2.0100992649445603E-2</v>
      </c>
      <c r="HI19">
        <v>2</v>
      </c>
      <c r="HJ19">
        <v>3.9797598263082504E-2</v>
      </c>
      <c r="HK19">
        <v>22</v>
      </c>
      <c r="HL19">
        <v>7.2857227243192199E-2</v>
      </c>
      <c r="HM19">
        <v>4</v>
      </c>
      <c r="HN19">
        <v>4.333333333333333</v>
      </c>
      <c r="HO19">
        <v>4.2222222222222188</v>
      </c>
      <c r="HP19">
        <v>-3.5555555555555558</v>
      </c>
      <c r="HQ19">
        <v>1.5555555555555554</v>
      </c>
      <c r="HR19">
        <v>-27</v>
      </c>
      <c r="HS19">
        <v>-0.88888888888888573</v>
      </c>
      <c r="HT19">
        <v>-29</v>
      </c>
      <c r="HU19">
        <v>3.7777777777777772</v>
      </c>
      <c r="HV19">
        <v>-0.88888888888888873</v>
      </c>
      <c r="HW19">
        <v>19</v>
      </c>
      <c r="HX19">
        <v>0.2155555555555555</v>
      </c>
      <c r="HY19">
        <v>1.3531111111111118</v>
      </c>
      <c r="HZ19">
        <v>28.111111111111114</v>
      </c>
      <c r="IA19">
        <v>14</v>
      </c>
      <c r="IB19">
        <v>-0.67166666666666663</v>
      </c>
      <c r="IC19">
        <v>1.7777777777777779</v>
      </c>
    </row>
    <row r="20" spans="1:237" x14ac:dyDescent="0.2">
      <c r="A20" s="19">
        <v>44108</v>
      </c>
      <c r="B20" s="13" t="s">
        <v>417</v>
      </c>
      <c r="C20" s="41" t="s">
        <v>304</v>
      </c>
      <c r="D20" s="14" t="s">
        <v>296</v>
      </c>
      <c r="E20">
        <v>9.6999999999999993</v>
      </c>
      <c r="F20">
        <v>17.7</v>
      </c>
      <c r="G20">
        <v>5.5</v>
      </c>
      <c r="H20">
        <v>5.0999999999999996</v>
      </c>
      <c r="I20">
        <v>-13.5</v>
      </c>
      <c r="J20">
        <v>50.5</v>
      </c>
      <c r="L20" t="s">
        <v>304</v>
      </c>
      <c r="M20">
        <v>28</v>
      </c>
      <c r="N20">
        <v>-3.4</v>
      </c>
      <c r="O20">
        <v>1</v>
      </c>
      <c r="P20">
        <v>5.25</v>
      </c>
      <c r="Q20">
        <v>5</v>
      </c>
      <c r="R20">
        <v>6.6444444444444448</v>
      </c>
      <c r="S20">
        <v>1</v>
      </c>
      <c r="T20">
        <v>6.5555555555555545</v>
      </c>
      <c r="U20">
        <v>2</v>
      </c>
      <c r="V20">
        <v>46.777777777777779</v>
      </c>
      <c r="W20">
        <v>13</v>
      </c>
      <c r="X20">
        <v>0.11111111111111105</v>
      </c>
      <c r="Y20">
        <v>2</v>
      </c>
      <c r="Z20">
        <v>5</v>
      </c>
      <c r="AA20">
        <v>2</v>
      </c>
      <c r="AB20">
        <v>8.3666666666666671</v>
      </c>
      <c r="AC20">
        <v>11</v>
      </c>
      <c r="AD20">
        <v>1.9999999999999993</v>
      </c>
      <c r="AE20">
        <v>1</v>
      </c>
      <c r="AF20">
        <v>31.666666666666668</v>
      </c>
      <c r="AG20">
        <v>12</v>
      </c>
      <c r="AH20">
        <v>0.55555555555555547</v>
      </c>
      <c r="AI20">
        <v>17</v>
      </c>
      <c r="AJ20">
        <v>16</v>
      </c>
      <c r="AK20">
        <v>25</v>
      </c>
      <c r="AL20">
        <v>-1.7222222222222225</v>
      </c>
      <c r="AM20">
        <v>3</v>
      </c>
      <c r="AN20">
        <v>4.5555555555555554</v>
      </c>
      <c r="AO20">
        <v>4</v>
      </c>
      <c r="AP20">
        <v>15.111111111111109</v>
      </c>
      <c r="AQ20">
        <v>19</v>
      </c>
      <c r="AR20">
        <v>-0.44444444444444442</v>
      </c>
      <c r="AS20">
        <v>18</v>
      </c>
      <c r="AT20">
        <v>18.666666666666668</v>
      </c>
      <c r="AU20">
        <v>18</v>
      </c>
      <c r="AV20">
        <v>-1.611111111111112</v>
      </c>
      <c r="AW20">
        <v>13</v>
      </c>
      <c r="AX20">
        <v>11.444444444444443</v>
      </c>
      <c r="AY20">
        <v>25</v>
      </c>
      <c r="AZ20">
        <v>-2.8888888888888893</v>
      </c>
      <c r="BA20">
        <v>25</v>
      </c>
      <c r="BB20">
        <v>24.333333333333332</v>
      </c>
      <c r="BC20">
        <v>19</v>
      </c>
      <c r="BD20">
        <v>-1.9555555555555564</v>
      </c>
      <c r="BE20">
        <v>23</v>
      </c>
      <c r="BF20">
        <v>-10.222222222222223</v>
      </c>
      <c r="BG20">
        <v>31</v>
      </c>
      <c r="BH20">
        <v>-2.2222222222222228</v>
      </c>
      <c r="BI20">
        <v>11</v>
      </c>
      <c r="BJ20">
        <v>12</v>
      </c>
      <c r="BK20">
        <v>12</v>
      </c>
      <c r="BL20">
        <v>1.0666666666666664</v>
      </c>
      <c r="BM20">
        <v>10</v>
      </c>
      <c r="BN20">
        <v>6.4444444444444429</v>
      </c>
      <c r="BO20">
        <v>14</v>
      </c>
      <c r="BP20">
        <v>0.11111111111111101</v>
      </c>
      <c r="BQ20">
        <v>14</v>
      </c>
      <c r="BR20">
        <v>14.333333333333334</v>
      </c>
      <c r="BS20">
        <v>18</v>
      </c>
      <c r="BT20">
        <v>-0.72222222222222199</v>
      </c>
      <c r="BU20">
        <v>2</v>
      </c>
      <c r="BV20">
        <v>15.222222222222223</v>
      </c>
      <c r="BW20">
        <v>23</v>
      </c>
      <c r="BX20">
        <v>-0.77777777777777768</v>
      </c>
      <c r="BY20">
        <v>24</v>
      </c>
      <c r="BZ20">
        <v>22.666666666666668</v>
      </c>
      <c r="CA20">
        <v>19</v>
      </c>
      <c r="CB20">
        <v>-2.0222222222222204</v>
      </c>
      <c r="CC20">
        <v>19</v>
      </c>
      <c r="CD20">
        <v>-6.8888888888888831</v>
      </c>
      <c r="CE20">
        <v>30</v>
      </c>
      <c r="CF20">
        <v>-3.4444444444444446</v>
      </c>
      <c r="CG20">
        <v>21</v>
      </c>
      <c r="CH20">
        <v>21</v>
      </c>
      <c r="CI20">
        <v>14</v>
      </c>
      <c r="CJ20">
        <v>0.44444444444444348</v>
      </c>
      <c r="CK20">
        <v>-7.7777777777777777</v>
      </c>
      <c r="CL20">
        <v>-2.1111111111111112</v>
      </c>
      <c r="CM20">
        <v>25</v>
      </c>
      <c r="CN20">
        <v>25</v>
      </c>
      <c r="CO20">
        <v>28</v>
      </c>
      <c r="CP20">
        <v>-2.2222222222222228</v>
      </c>
      <c r="CQ20">
        <v>22</v>
      </c>
      <c r="CR20">
        <v>-0.11111111111111123</v>
      </c>
      <c r="CS20">
        <v>-1.6666666666666663</v>
      </c>
      <c r="CT20">
        <v>21</v>
      </c>
      <c r="CU20">
        <v>19.5</v>
      </c>
      <c r="CV20">
        <v>27</v>
      </c>
      <c r="CW20">
        <v>-4.9790925681647835E-2</v>
      </c>
      <c r="CX20">
        <v>31</v>
      </c>
      <c r="CY20">
        <v>-2.6638059851833169E-2</v>
      </c>
      <c r="CZ20">
        <v>5</v>
      </c>
      <c r="DA20">
        <v>-0.1406084656084656</v>
      </c>
      <c r="DB20">
        <v>15</v>
      </c>
      <c r="DC20">
        <v>0</v>
      </c>
      <c r="DD20">
        <v>1.8888888888888904</v>
      </c>
      <c r="DE20">
        <v>0.88888888888888806</v>
      </c>
      <c r="DF20">
        <v>-0.22222222222222221</v>
      </c>
      <c r="DG20">
        <v>68.666666666666671</v>
      </c>
      <c r="DH20">
        <v>11.666666666666657</v>
      </c>
      <c r="DI20">
        <v>39.888888888888893</v>
      </c>
      <c r="DJ20">
        <v>18</v>
      </c>
      <c r="DK20">
        <v>-0.88888888888888895</v>
      </c>
      <c r="DL20">
        <v>30</v>
      </c>
      <c r="DM20">
        <v>-10.044444444444444</v>
      </c>
      <c r="DN20">
        <v>-4.235555555555556</v>
      </c>
      <c r="DO20">
        <v>-28.222222222222236</v>
      </c>
      <c r="DP20">
        <v>3</v>
      </c>
      <c r="DQ20">
        <v>-1.805555555555588E-2</v>
      </c>
      <c r="DR20">
        <v>-5</v>
      </c>
      <c r="DS20">
        <v>-1.2205555555555561</v>
      </c>
      <c r="DT20">
        <v>-1.5533333333333337</v>
      </c>
      <c r="DU20" t="s">
        <v>296</v>
      </c>
      <c r="DV20" t="s">
        <v>245</v>
      </c>
      <c r="DW20" t="s">
        <v>472</v>
      </c>
      <c r="DX20">
        <v>20</v>
      </c>
      <c r="DY20">
        <v>-2.0800000000000018</v>
      </c>
      <c r="DZ20">
        <v>10</v>
      </c>
      <c r="EA20">
        <v>13.75</v>
      </c>
      <c r="EB20">
        <v>11</v>
      </c>
      <c r="EC20">
        <v>1.4333333333333331</v>
      </c>
      <c r="ED20">
        <v>4</v>
      </c>
      <c r="EE20">
        <v>3.1111111111111103</v>
      </c>
      <c r="EF20">
        <v>17</v>
      </c>
      <c r="EG20">
        <v>-8.2222222222222214</v>
      </c>
      <c r="EH20">
        <v>23</v>
      </c>
      <c r="EI20">
        <v>-0.77777777777777768</v>
      </c>
      <c r="EJ20">
        <v>12</v>
      </c>
      <c r="EK20">
        <v>15.25</v>
      </c>
      <c r="EL20">
        <v>19</v>
      </c>
      <c r="EM20">
        <v>-0.57777777777777806</v>
      </c>
      <c r="EN20">
        <v>11</v>
      </c>
      <c r="EO20">
        <v>1.5555555555555547</v>
      </c>
      <c r="EP20">
        <v>13</v>
      </c>
      <c r="EQ20">
        <v>-0.6666666666666643</v>
      </c>
      <c r="ER20">
        <v>18</v>
      </c>
      <c r="ES20">
        <v>-0.44444444444444436</v>
      </c>
      <c r="ET20">
        <v>10</v>
      </c>
      <c r="EU20">
        <v>12.333333333333334</v>
      </c>
      <c r="EV20">
        <v>4</v>
      </c>
      <c r="EW20">
        <v>2.0111111111111111</v>
      </c>
      <c r="EX20">
        <v>6</v>
      </c>
      <c r="EY20">
        <v>1.5555555555555556</v>
      </c>
      <c r="EZ20">
        <v>27</v>
      </c>
      <c r="FA20">
        <v>-7.5555555555555562</v>
      </c>
      <c r="FB20">
        <v>21</v>
      </c>
      <c r="FC20">
        <v>-0.33333333333333331</v>
      </c>
      <c r="FD20">
        <v>16</v>
      </c>
      <c r="FE20">
        <v>16</v>
      </c>
      <c r="FF20">
        <v>12</v>
      </c>
      <c r="FG20">
        <v>0.93333333333333135</v>
      </c>
      <c r="FH20">
        <v>17</v>
      </c>
      <c r="FI20">
        <v>-4.5555555555555562</v>
      </c>
      <c r="FJ20">
        <v>19</v>
      </c>
      <c r="FK20">
        <v>-0.4444444444444452</v>
      </c>
      <c r="FL20">
        <v>21</v>
      </c>
      <c r="FM20">
        <v>19.666666666666668</v>
      </c>
      <c r="FN20">
        <v>14</v>
      </c>
      <c r="FO20">
        <v>0.59999999999999842</v>
      </c>
      <c r="FP20">
        <v>24</v>
      </c>
      <c r="FQ20">
        <v>-10.000000000000002</v>
      </c>
      <c r="FR20">
        <v>21</v>
      </c>
      <c r="FS20">
        <v>-0.44444444444444464</v>
      </c>
      <c r="FT20">
        <v>15</v>
      </c>
      <c r="FU20">
        <v>16</v>
      </c>
      <c r="FV20">
        <v>19</v>
      </c>
      <c r="FW20">
        <v>-1.7555555555555555</v>
      </c>
      <c r="FX20">
        <v>15</v>
      </c>
      <c r="FY20">
        <v>1.2222222222222239</v>
      </c>
      <c r="FZ20">
        <v>14</v>
      </c>
      <c r="GA20">
        <v>0.44444444444444403</v>
      </c>
      <c r="GB20">
        <v>13</v>
      </c>
      <c r="GC20">
        <v>12.333333333333334</v>
      </c>
      <c r="GD20">
        <v>6</v>
      </c>
      <c r="GE20">
        <v>2.0888888888888886</v>
      </c>
      <c r="GF20">
        <v>10</v>
      </c>
      <c r="GG20">
        <v>4.2222222222222223</v>
      </c>
      <c r="GH20">
        <v>21</v>
      </c>
      <c r="GI20">
        <v>-0.44444444444444459</v>
      </c>
      <c r="GJ20">
        <v>28</v>
      </c>
      <c r="GK20">
        <v>26.666666666666668</v>
      </c>
      <c r="GL20">
        <v>26</v>
      </c>
      <c r="GM20">
        <v>-3.9999999999999987</v>
      </c>
      <c r="GN20">
        <v>25</v>
      </c>
      <c r="GO20">
        <v>-16.666666666666668</v>
      </c>
      <c r="GP20">
        <v>29</v>
      </c>
      <c r="GQ20">
        <v>-2.1111111111111112</v>
      </c>
      <c r="GR20">
        <v>31</v>
      </c>
      <c r="GS20">
        <v>30.666666666666668</v>
      </c>
      <c r="GT20">
        <v>31</v>
      </c>
      <c r="GU20">
        <v>-8.0555555555555554</v>
      </c>
      <c r="GV20">
        <v>-17.333333333333332</v>
      </c>
      <c r="GW20">
        <v>-2.6666666666666665</v>
      </c>
      <c r="GX20">
        <v>9</v>
      </c>
      <c r="GY20">
        <v>8.5</v>
      </c>
      <c r="GZ20">
        <v>13</v>
      </c>
      <c r="HA20">
        <v>0.66666666666666641</v>
      </c>
      <c r="HB20">
        <v>4</v>
      </c>
      <c r="HC20">
        <v>0.66666666666666663</v>
      </c>
      <c r="HD20">
        <v>3.1111111111111112</v>
      </c>
      <c r="HE20">
        <v>4</v>
      </c>
      <c r="HF20">
        <v>10</v>
      </c>
      <c r="HG20">
        <v>14</v>
      </c>
      <c r="HH20">
        <v>-4.3580942703749974E-3</v>
      </c>
      <c r="HI20">
        <v>8</v>
      </c>
      <c r="HJ20">
        <v>1.5620979802266351E-2</v>
      </c>
      <c r="HK20">
        <v>4</v>
      </c>
      <c r="HL20">
        <v>-0.17460317460317457</v>
      </c>
      <c r="HM20">
        <v>14</v>
      </c>
      <c r="HN20">
        <v>1.4802973661668753E-16</v>
      </c>
      <c r="HO20">
        <v>0</v>
      </c>
      <c r="HP20">
        <v>-0.22222222222222263</v>
      </c>
      <c r="HQ20">
        <v>-0.22222222222222221</v>
      </c>
      <c r="HR20">
        <v>-20</v>
      </c>
      <c r="HS20">
        <v>-4.7777777777777812</v>
      </c>
      <c r="HT20">
        <v>-21.555555555555557</v>
      </c>
      <c r="HU20">
        <v>8.5555555555555554</v>
      </c>
      <c r="HV20">
        <v>-2.2222222222222223</v>
      </c>
      <c r="HW20">
        <v>26</v>
      </c>
      <c r="HX20">
        <v>-3.513333333333335</v>
      </c>
      <c r="HY20">
        <v>-2.5571111111111113</v>
      </c>
      <c r="HZ20">
        <v>16.777777777777775</v>
      </c>
      <c r="IA20">
        <v>7</v>
      </c>
      <c r="IB20">
        <v>-0.88777777777777833</v>
      </c>
      <c r="IC20">
        <v>-3.1111111111111116</v>
      </c>
    </row>
    <row r="21" spans="1:237" x14ac:dyDescent="0.2">
      <c r="A21" s="19">
        <v>44108</v>
      </c>
      <c r="B21" s="13" t="s">
        <v>417</v>
      </c>
      <c r="C21" s="41" t="s">
        <v>293</v>
      </c>
      <c r="D21" s="14" t="s">
        <v>308</v>
      </c>
      <c r="E21">
        <v>24</v>
      </c>
      <c r="F21">
        <v>8.8000000000000007</v>
      </c>
      <c r="G21">
        <v>4.5</v>
      </c>
      <c r="H21">
        <v>2.5</v>
      </c>
      <c r="I21">
        <v>4</v>
      </c>
      <c r="J21">
        <v>55</v>
      </c>
      <c r="L21" t="s">
        <v>293</v>
      </c>
      <c r="M21">
        <v>18</v>
      </c>
      <c r="N21">
        <v>-1.1066666666666662</v>
      </c>
      <c r="O21">
        <v>23</v>
      </c>
      <c r="P21">
        <v>21.5</v>
      </c>
      <c r="Q21">
        <v>18</v>
      </c>
      <c r="R21">
        <v>-1.5777777777777788</v>
      </c>
      <c r="S21">
        <v>19</v>
      </c>
      <c r="T21">
        <v>-1.0000000000000004</v>
      </c>
      <c r="U21">
        <v>27</v>
      </c>
      <c r="V21">
        <v>-16.555555555555557</v>
      </c>
      <c r="W21">
        <v>22</v>
      </c>
      <c r="X21">
        <v>-0.55555555555555558</v>
      </c>
      <c r="Y21">
        <v>16</v>
      </c>
      <c r="Z21">
        <v>16</v>
      </c>
      <c r="AA21">
        <v>18</v>
      </c>
      <c r="AB21">
        <v>-1.5333333333333343</v>
      </c>
      <c r="AC21">
        <v>22</v>
      </c>
      <c r="AD21">
        <v>-1.6666666666666667</v>
      </c>
      <c r="AE21">
        <v>24</v>
      </c>
      <c r="AF21">
        <v>-8.7777777777777786</v>
      </c>
      <c r="AG21">
        <v>6</v>
      </c>
      <c r="AH21">
        <v>1.1111111111111112</v>
      </c>
      <c r="AI21">
        <v>26</v>
      </c>
      <c r="AJ21">
        <v>23.666666666666668</v>
      </c>
      <c r="AK21">
        <v>16</v>
      </c>
      <c r="AL21">
        <v>-4.4444444444444585E-2</v>
      </c>
      <c r="AM21">
        <v>12</v>
      </c>
      <c r="AN21">
        <v>0.66666666666666641</v>
      </c>
      <c r="AO21">
        <v>23</v>
      </c>
      <c r="AP21">
        <v>-7.7777777777777786</v>
      </c>
      <c r="AQ21">
        <v>32</v>
      </c>
      <c r="AR21">
        <v>-1.6666666666666667</v>
      </c>
      <c r="AS21">
        <v>25</v>
      </c>
      <c r="AT21">
        <v>25</v>
      </c>
      <c r="AU21">
        <v>26</v>
      </c>
      <c r="AV21">
        <v>-7.9555555555555566</v>
      </c>
      <c r="AW21">
        <v>25</v>
      </c>
      <c r="AX21">
        <v>-30.444444444444446</v>
      </c>
      <c r="AY21">
        <v>24</v>
      </c>
      <c r="AZ21">
        <v>-2.3333333333333335</v>
      </c>
      <c r="BA21">
        <v>28</v>
      </c>
      <c r="BB21">
        <v>26.333333333333332</v>
      </c>
      <c r="BC21">
        <v>27</v>
      </c>
      <c r="BD21">
        <v>-4.1222222222222218</v>
      </c>
      <c r="BE21">
        <v>25</v>
      </c>
      <c r="BF21">
        <v>-12.333333333333336</v>
      </c>
      <c r="BG21">
        <v>27</v>
      </c>
      <c r="BH21">
        <v>-1.7777777777777777</v>
      </c>
      <c r="BI21">
        <v>26</v>
      </c>
      <c r="BJ21">
        <v>23.333333333333332</v>
      </c>
      <c r="BK21">
        <v>27</v>
      </c>
      <c r="BL21">
        <v>-3.2000000000000006</v>
      </c>
      <c r="BM21">
        <v>25</v>
      </c>
      <c r="BN21">
        <v>-13.222222222222223</v>
      </c>
      <c r="BO21">
        <v>18</v>
      </c>
      <c r="BP21">
        <v>-0.33333333333333331</v>
      </c>
      <c r="BQ21">
        <v>19</v>
      </c>
      <c r="BR21">
        <v>19.666666666666668</v>
      </c>
      <c r="BS21">
        <v>17</v>
      </c>
      <c r="BT21">
        <v>-0.63333333333333375</v>
      </c>
      <c r="BU21">
        <v>22</v>
      </c>
      <c r="BV21">
        <v>-4.8888888888888893</v>
      </c>
      <c r="BW21">
        <v>20</v>
      </c>
      <c r="BX21">
        <v>-0.22222222222222232</v>
      </c>
      <c r="BY21">
        <v>15</v>
      </c>
      <c r="BZ21">
        <v>17.333333333333332</v>
      </c>
      <c r="CA21">
        <v>15</v>
      </c>
      <c r="CB21">
        <v>-0.38888888888888867</v>
      </c>
      <c r="CC21">
        <v>24</v>
      </c>
      <c r="CD21">
        <v>-12.777777777777771</v>
      </c>
      <c r="CE21">
        <v>13</v>
      </c>
      <c r="CF21">
        <v>0.66666666666666663</v>
      </c>
      <c r="CG21">
        <v>5</v>
      </c>
      <c r="CH21">
        <v>6.666666666666667</v>
      </c>
      <c r="CI21">
        <v>6</v>
      </c>
      <c r="CJ21">
        <v>4.1222222222222218</v>
      </c>
      <c r="CK21">
        <v>14.555555555555555</v>
      </c>
      <c r="CL21">
        <v>1.6666666666666667</v>
      </c>
      <c r="CM21">
        <v>22</v>
      </c>
      <c r="CN21">
        <v>19.5</v>
      </c>
      <c r="CO21">
        <v>15</v>
      </c>
      <c r="CP21">
        <v>0.33333333333333365</v>
      </c>
      <c r="CQ21">
        <v>24</v>
      </c>
      <c r="CR21">
        <v>-0.33333333333333331</v>
      </c>
      <c r="CS21">
        <v>1.1111111111111112</v>
      </c>
      <c r="CT21">
        <v>22</v>
      </c>
      <c r="CU21">
        <v>19.75</v>
      </c>
      <c r="CV21">
        <v>17</v>
      </c>
      <c r="CW21">
        <v>-1.6666408011144485E-2</v>
      </c>
      <c r="CX21">
        <v>21</v>
      </c>
      <c r="CY21">
        <v>-3.288137667222637E-3</v>
      </c>
      <c r="CZ21">
        <v>17</v>
      </c>
      <c r="DA21">
        <v>3.2804232804232801E-2</v>
      </c>
      <c r="DB21">
        <v>24</v>
      </c>
      <c r="DC21">
        <v>-1.5555555555555554</v>
      </c>
      <c r="DD21">
        <v>1.2222222222222239</v>
      </c>
      <c r="DE21">
        <v>-1.8888888888888893</v>
      </c>
      <c r="DF21">
        <v>0</v>
      </c>
      <c r="DG21">
        <v>-33.444444444444436</v>
      </c>
      <c r="DH21">
        <v>-36.55555555555555</v>
      </c>
      <c r="DI21">
        <v>-4.666666666666667</v>
      </c>
      <c r="DJ21">
        <v>0.88888888888888928</v>
      </c>
      <c r="DK21">
        <v>6.8888888888888893</v>
      </c>
      <c r="DL21">
        <v>18</v>
      </c>
      <c r="DM21">
        <v>0.47111111111111265</v>
      </c>
      <c r="DN21">
        <v>-0.19911111111111046</v>
      </c>
      <c r="DO21">
        <v>-31.888888888888882</v>
      </c>
      <c r="DP21">
        <v>15</v>
      </c>
      <c r="DQ21">
        <v>-0.77305555555555561</v>
      </c>
      <c r="DR21">
        <v>-0.66666666666666674</v>
      </c>
      <c r="DS21">
        <v>0.74166666666666625</v>
      </c>
      <c r="DT21">
        <v>-1.4175000000000004</v>
      </c>
      <c r="DU21" t="s">
        <v>308</v>
      </c>
      <c r="DV21" t="s">
        <v>238</v>
      </c>
      <c r="DW21" t="s">
        <v>451</v>
      </c>
      <c r="DX21">
        <v>2</v>
      </c>
      <c r="DY21">
        <v>6.6288888888888868</v>
      </c>
      <c r="DZ21">
        <v>29</v>
      </c>
      <c r="EA21">
        <v>23.5</v>
      </c>
      <c r="EB21">
        <v>29</v>
      </c>
      <c r="EC21">
        <v>-7.4333333333333318</v>
      </c>
      <c r="ED21">
        <v>30</v>
      </c>
      <c r="EE21">
        <v>-4.1111111111111107</v>
      </c>
      <c r="EF21">
        <v>32</v>
      </c>
      <c r="EG21">
        <v>-43.666666666666671</v>
      </c>
      <c r="EH21">
        <v>3</v>
      </c>
      <c r="EI21">
        <v>1.6666666666666667</v>
      </c>
      <c r="EJ21">
        <v>26</v>
      </c>
      <c r="EK21">
        <v>22.5</v>
      </c>
      <c r="EL21">
        <v>28</v>
      </c>
      <c r="EM21">
        <v>-4.4333333333333336</v>
      </c>
      <c r="EN21">
        <v>28</v>
      </c>
      <c r="EO21">
        <v>-2.7777777777777772</v>
      </c>
      <c r="EP21">
        <v>30</v>
      </c>
      <c r="EQ21">
        <v>-21.555555555555557</v>
      </c>
      <c r="ER21">
        <v>4</v>
      </c>
      <c r="ES21">
        <v>1.2222222222222223</v>
      </c>
      <c r="ET21">
        <v>32</v>
      </c>
      <c r="EU21">
        <v>29.666666666666668</v>
      </c>
      <c r="EV21">
        <v>32</v>
      </c>
      <c r="EW21">
        <v>-2.9999999999999987</v>
      </c>
      <c r="EX21">
        <v>25</v>
      </c>
      <c r="EY21">
        <v>-1.3333333333333333</v>
      </c>
      <c r="EZ21">
        <v>32</v>
      </c>
      <c r="FA21">
        <v>-22.111111111111114</v>
      </c>
      <c r="FB21">
        <v>11</v>
      </c>
      <c r="FC21">
        <v>0.44444444444444442</v>
      </c>
      <c r="FD21">
        <v>1</v>
      </c>
      <c r="FE21">
        <v>1</v>
      </c>
      <c r="FF21">
        <v>1</v>
      </c>
      <c r="FG21">
        <v>26.422222222222221</v>
      </c>
      <c r="FH21">
        <v>1</v>
      </c>
      <c r="FI21">
        <v>124.66666666666666</v>
      </c>
      <c r="FJ21">
        <v>1</v>
      </c>
      <c r="FK21">
        <v>8.1111111111111107</v>
      </c>
      <c r="FL21">
        <v>2</v>
      </c>
      <c r="FM21">
        <v>2</v>
      </c>
      <c r="FN21">
        <v>1</v>
      </c>
      <c r="FO21">
        <v>7.7777777777777777</v>
      </c>
      <c r="FP21">
        <v>1</v>
      </c>
      <c r="FQ21">
        <v>49.888888888888893</v>
      </c>
      <c r="FR21">
        <v>4</v>
      </c>
      <c r="FS21">
        <v>1.8888888888888893</v>
      </c>
      <c r="FT21">
        <v>1</v>
      </c>
      <c r="FU21">
        <v>1</v>
      </c>
      <c r="FV21">
        <v>1</v>
      </c>
      <c r="FW21">
        <v>8.81111111111111</v>
      </c>
      <c r="FX21">
        <v>1</v>
      </c>
      <c r="FY21">
        <v>35.111111111111114</v>
      </c>
      <c r="FZ21">
        <v>1</v>
      </c>
      <c r="GA21">
        <v>3.2222222222222219</v>
      </c>
      <c r="GB21">
        <v>1</v>
      </c>
      <c r="GC21">
        <v>1</v>
      </c>
      <c r="GD21">
        <v>1</v>
      </c>
      <c r="GE21">
        <v>9.8333333333333321</v>
      </c>
      <c r="GF21">
        <v>1</v>
      </c>
      <c r="GG21">
        <v>39.666666666666664</v>
      </c>
      <c r="GH21">
        <v>1</v>
      </c>
      <c r="GI21">
        <v>3</v>
      </c>
      <c r="GJ21">
        <v>1</v>
      </c>
      <c r="GK21">
        <v>1.3333333333333333</v>
      </c>
      <c r="GL21">
        <v>2</v>
      </c>
      <c r="GM21">
        <v>12.577777777777778</v>
      </c>
      <c r="GN21">
        <v>1</v>
      </c>
      <c r="GO21">
        <v>78</v>
      </c>
      <c r="GP21">
        <v>1</v>
      </c>
      <c r="GQ21">
        <v>6.2222222222222214</v>
      </c>
      <c r="GR21">
        <v>17</v>
      </c>
      <c r="GS21">
        <v>17.666666666666668</v>
      </c>
      <c r="GT21">
        <v>21</v>
      </c>
      <c r="GU21">
        <v>-1.6333333333333329</v>
      </c>
      <c r="GV21">
        <v>1.4444444444444446</v>
      </c>
      <c r="GW21">
        <v>-0.22222222222222224</v>
      </c>
      <c r="GX21">
        <v>20</v>
      </c>
      <c r="GY21">
        <v>21</v>
      </c>
      <c r="GZ21">
        <v>20</v>
      </c>
      <c r="HA21">
        <v>-0.77777777777777768</v>
      </c>
      <c r="HB21">
        <v>22</v>
      </c>
      <c r="HC21">
        <v>-0.33333333333333331</v>
      </c>
      <c r="HD21">
        <v>-2.3333333333333335</v>
      </c>
      <c r="HE21">
        <v>23</v>
      </c>
      <c r="HF21">
        <v>19</v>
      </c>
      <c r="HG21">
        <v>28</v>
      </c>
      <c r="HH21">
        <v>-4.2695799740484507E-2</v>
      </c>
      <c r="HI21">
        <v>26</v>
      </c>
      <c r="HJ21">
        <v>-1.5331582062251501E-2</v>
      </c>
      <c r="HK21">
        <v>17</v>
      </c>
      <c r="HL21">
        <v>2.535273368606698E-2</v>
      </c>
      <c r="HM21">
        <v>5</v>
      </c>
      <c r="HN21">
        <v>2.7777777777777772</v>
      </c>
      <c r="HO21">
        <v>4</v>
      </c>
      <c r="HP21">
        <v>-1.5555555555555547</v>
      </c>
      <c r="HQ21">
        <v>0.77777777777777768</v>
      </c>
      <c r="HR21">
        <v>55.333333333333336</v>
      </c>
      <c r="HS21">
        <v>121.55555555555556</v>
      </c>
      <c r="HT21">
        <v>-58</v>
      </c>
      <c r="HU21">
        <v>-5.8888888888888893</v>
      </c>
      <c r="HV21">
        <v>-2.333333333333333</v>
      </c>
      <c r="HW21">
        <v>1</v>
      </c>
      <c r="HX21">
        <v>14.062222222222218</v>
      </c>
      <c r="HY21">
        <v>10.000222222222222</v>
      </c>
      <c r="HZ21">
        <v>179.55555555555554</v>
      </c>
      <c r="IA21">
        <v>32</v>
      </c>
      <c r="IB21">
        <v>2.9008333333333329</v>
      </c>
      <c r="IC21">
        <v>7.8888888888888884</v>
      </c>
    </row>
    <row r="22" spans="1:237" x14ac:dyDescent="0.2">
      <c r="A22" s="19">
        <v>44108</v>
      </c>
      <c r="B22" s="13" t="s">
        <v>417</v>
      </c>
      <c r="C22" s="41" t="s">
        <v>312</v>
      </c>
      <c r="D22" s="14" t="s">
        <v>311</v>
      </c>
      <c r="E22">
        <v>29.2</v>
      </c>
      <c r="F22">
        <v>17.3</v>
      </c>
      <c r="G22">
        <v>0</v>
      </c>
      <c r="H22">
        <v>4.7</v>
      </c>
      <c r="I22">
        <v>3</v>
      </c>
      <c r="J22">
        <v>53</v>
      </c>
      <c r="K22" t="s">
        <v>109</v>
      </c>
      <c r="L22" t="s">
        <v>312</v>
      </c>
      <c r="M22">
        <v>24</v>
      </c>
      <c r="N22">
        <v>-2.3755555555555552</v>
      </c>
      <c r="O22">
        <v>10</v>
      </c>
      <c r="P22">
        <v>12.25</v>
      </c>
      <c r="Q22">
        <v>12</v>
      </c>
      <c r="R22">
        <v>0.9777777777777783</v>
      </c>
      <c r="S22">
        <v>6</v>
      </c>
      <c r="T22">
        <v>2.8888888888888884</v>
      </c>
      <c r="U22">
        <v>3</v>
      </c>
      <c r="V22">
        <v>30.000000000000004</v>
      </c>
      <c r="W22">
        <v>28</v>
      </c>
      <c r="X22">
        <v>-1.3333333333333333</v>
      </c>
      <c r="Y22">
        <v>10</v>
      </c>
      <c r="Z22">
        <v>13.333333333333334</v>
      </c>
      <c r="AA22">
        <v>12</v>
      </c>
      <c r="AB22">
        <v>2.5444444444444447</v>
      </c>
      <c r="AC22">
        <v>9</v>
      </c>
      <c r="AD22">
        <v>2.2222222222222219</v>
      </c>
      <c r="AE22">
        <v>3</v>
      </c>
      <c r="AF22">
        <v>22.111111111111114</v>
      </c>
      <c r="AG22">
        <v>25</v>
      </c>
      <c r="AH22">
        <v>-1.1111111111111109</v>
      </c>
      <c r="AI22">
        <v>17</v>
      </c>
      <c r="AJ22">
        <v>16</v>
      </c>
      <c r="AK22">
        <v>22</v>
      </c>
      <c r="AL22">
        <v>-1.5666666666666664</v>
      </c>
      <c r="AM22">
        <v>12</v>
      </c>
      <c r="AN22">
        <v>0.66666666666666641</v>
      </c>
      <c r="AO22">
        <v>8</v>
      </c>
      <c r="AP22">
        <v>7.8888888888888893</v>
      </c>
      <c r="AQ22">
        <v>18</v>
      </c>
      <c r="AR22">
        <v>-0.22222222222222232</v>
      </c>
      <c r="AS22">
        <v>7</v>
      </c>
      <c r="AT22">
        <v>8.6666666666666661</v>
      </c>
      <c r="AU22">
        <v>9</v>
      </c>
      <c r="AV22">
        <v>5.511111111111112</v>
      </c>
      <c r="AW22">
        <v>4</v>
      </c>
      <c r="AX22">
        <v>34.999999999999993</v>
      </c>
      <c r="AY22">
        <v>13</v>
      </c>
      <c r="AZ22">
        <v>0.44444444444444453</v>
      </c>
      <c r="BA22">
        <v>8</v>
      </c>
      <c r="BB22">
        <v>9.3333333333333339</v>
      </c>
      <c r="BC22">
        <v>9</v>
      </c>
      <c r="BD22">
        <v>2.9999999999999996</v>
      </c>
      <c r="BE22">
        <v>12</v>
      </c>
      <c r="BF22">
        <v>3.5555555555555549</v>
      </c>
      <c r="BG22">
        <v>7</v>
      </c>
      <c r="BH22">
        <v>1.3333333333333333</v>
      </c>
      <c r="BI22">
        <v>4</v>
      </c>
      <c r="BJ22">
        <v>8</v>
      </c>
      <c r="BK22">
        <v>4</v>
      </c>
      <c r="BL22">
        <v>3.8666666666666671</v>
      </c>
      <c r="BM22">
        <v>3</v>
      </c>
      <c r="BN22">
        <v>29.777777777777775</v>
      </c>
      <c r="BO22">
        <v>17</v>
      </c>
      <c r="BP22">
        <v>-0.3333333333333332</v>
      </c>
      <c r="BQ22">
        <v>18</v>
      </c>
      <c r="BR22">
        <v>19</v>
      </c>
      <c r="BS22">
        <v>23</v>
      </c>
      <c r="BT22">
        <v>-1.3555555555555554</v>
      </c>
      <c r="BU22">
        <v>12</v>
      </c>
      <c r="BV22">
        <v>1.6666666666666654</v>
      </c>
      <c r="BW22">
        <v>22</v>
      </c>
      <c r="BX22">
        <v>-0.55555555555555547</v>
      </c>
      <c r="BY22">
        <v>20</v>
      </c>
      <c r="BZ22">
        <v>20.666666666666668</v>
      </c>
      <c r="CA22">
        <v>18</v>
      </c>
      <c r="CB22">
        <v>-2.0111111111111115</v>
      </c>
      <c r="CC22">
        <v>13</v>
      </c>
      <c r="CD22">
        <v>-1.2222222222222239</v>
      </c>
      <c r="CE22">
        <v>31</v>
      </c>
      <c r="CF22">
        <v>-3.7777777777777781</v>
      </c>
      <c r="CG22">
        <v>26</v>
      </c>
      <c r="CH22">
        <v>25</v>
      </c>
      <c r="CI22">
        <v>23</v>
      </c>
      <c r="CJ22">
        <v>-2.7888888888888892</v>
      </c>
      <c r="CK22">
        <v>-16.777777777777775</v>
      </c>
      <c r="CL22">
        <v>-1.4444444444444446</v>
      </c>
      <c r="CM22">
        <v>23</v>
      </c>
      <c r="CN22">
        <v>21</v>
      </c>
      <c r="CO22">
        <v>25</v>
      </c>
      <c r="CP22">
        <v>-1.1111111111111109</v>
      </c>
      <c r="CQ22">
        <v>17</v>
      </c>
      <c r="CR22">
        <v>0.11111111111111109</v>
      </c>
      <c r="CS22">
        <v>0.22222222222222218</v>
      </c>
      <c r="CT22">
        <v>6</v>
      </c>
      <c r="CU22">
        <v>10.75</v>
      </c>
      <c r="CV22">
        <v>1</v>
      </c>
      <c r="CW22">
        <v>0.11793897647830064</v>
      </c>
      <c r="CX22">
        <v>4</v>
      </c>
      <c r="CY22">
        <v>2.3979094524925176E-2</v>
      </c>
      <c r="CZ22">
        <v>24</v>
      </c>
      <c r="DA22">
        <v>7.5617283950617301E-2</v>
      </c>
      <c r="DB22">
        <v>14</v>
      </c>
      <c r="DC22">
        <v>0.11111111111111101</v>
      </c>
      <c r="DD22">
        <v>-5.666666666666667</v>
      </c>
      <c r="DE22">
        <v>2.3333333333333335</v>
      </c>
      <c r="DF22">
        <v>0</v>
      </c>
      <c r="DG22">
        <v>1.6666666666666572</v>
      </c>
      <c r="DH22">
        <v>-20.222222222222239</v>
      </c>
      <c r="DI22">
        <v>23.666666666666671</v>
      </c>
      <c r="DJ22">
        <v>-4.333333333333333</v>
      </c>
      <c r="DK22">
        <v>2.5555555555555567</v>
      </c>
      <c r="DL22">
        <v>23</v>
      </c>
      <c r="DM22">
        <v>-3.3533333333333335</v>
      </c>
      <c r="DN22">
        <v>-0.41955555555555574</v>
      </c>
      <c r="DO22">
        <v>-43.888888888888914</v>
      </c>
      <c r="DP22">
        <v>10</v>
      </c>
      <c r="DQ22">
        <v>2.6666666666666755E-2</v>
      </c>
      <c r="DR22">
        <v>-1</v>
      </c>
      <c r="DS22">
        <v>0.79708333333333337</v>
      </c>
      <c r="DT22">
        <v>1.9705555555555558</v>
      </c>
      <c r="DU22" t="s">
        <v>311</v>
      </c>
      <c r="DV22" t="s">
        <v>275</v>
      </c>
      <c r="DW22" t="s">
        <v>477</v>
      </c>
      <c r="DX22">
        <v>31</v>
      </c>
      <c r="DY22">
        <v>-5.1222222222222227</v>
      </c>
      <c r="DZ22">
        <v>1</v>
      </c>
      <c r="EA22">
        <v>5.25</v>
      </c>
      <c r="EB22">
        <v>3</v>
      </c>
      <c r="EC22">
        <v>6.344444444444445</v>
      </c>
      <c r="ED22">
        <v>1</v>
      </c>
      <c r="EE22">
        <v>5.8888888888888893</v>
      </c>
      <c r="EF22">
        <v>1</v>
      </c>
      <c r="EG22">
        <v>51.444444444444443</v>
      </c>
      <c r="EH22">
        <v>16</v>
      </c>
      <c r="EI22">
        <v>-0.11111111111111072</v>
      </c>
      <c r="EJ22">
        <v>3</v>
      </c>
      <c r="EK22">
        <v>6.25</v>
      </c>
      <c r="EL22">
        <v>2</v>
      </c>
      <c r="EM22">
        <v>6.4555555555555557</v>
      </c>
      <c r="EN22">
        <v>8</v>
      </c>
      <c r="EO22">
        <v>2.4444444444444446</v>
      </c>
      <c r="EP22">
        <v>2</v>
      </c>
      <c r="EQ22">
        <v>24.888888888888889</v>
      </c>
      <c r="ER22">
        <v>13</v>
      </c>
      <c r="ES22">
        <v>0.33333333333333365</v>
      </c>
      <c r="ET22">
        <v>3</v>
      </c>
      <c r="EU22">
        <v>6.666666666666667</v>
      </c>
      <c r="EV22">
        <v>18</v>
      </c>
      <c r="EW22">
        <v>-0.11111111111111087</v>
      </c>
      <c r="EX22">
        <v>1</v>
      </c>
      <c r="EY22">
        <v>3.4444444444444446</v>
      </c>
      <c r="EZ22">
        <v>1</v>
      </c>
      <c r="FA22">
        <v>26.555555555555557</v>
      </c>
      <c r="FB22">
        <v>23</v>
      </c>
      <c r="FC22">
        <v>-0.44444444444444436</v>
      </c>
      <c r="FD22">
        <v>25</v>
      </c>
      <c r="FE22">
        <v>22.666666666666668</v>
      </c>
      <c r="FF22">
        <v>26</v>
      </c>
      <c r="FG22">
        <v>-6.0555555555555571</v>
      </c>
      <c r="FH22">
        <v>27</v>
      </c>
      <c r="FI22">
        <v>-28.222222222222221</v>
      </c>
      <c r="FJ22">
        <v>15</v>
      </c>
      <c r="FK22">
        <v>0.11111111111111101</v>
      </c>
      <c r="FL22">
        <v>27</v>
      </c>
      <c r="FM22">
        <v>26.666666666666668</v>
      </c>
      <c r="FN22">
        <v>26</v>
      </c>
      <c r="FO22">
        <v>-3.3666666666666685</v>
      </c>
      <c r="FP22">
        <v>30</v>
      </c>
      <c r="FQ22">
        <v>-21</v>
      </c>
      <c r="FR22">
        <v>24</v>
      </c>
      <c r="FS22">
        <v>-0.88888888888888873</v>
      </c>
      <c r="FT22">
        <v>11</v>
      </c>
      <c r="FU22">
        <v>12</v>
      </c>
      <c r="FV22">
        <v>14</v>
      </c>
      <c r="FW22">
        <v>0.31111111111111089</v>
      </c>
      <c r="FX22">
        <v>13</v>
      </c>
      <c r="FY22">
        <v>2.7777777777777786</v>
      </c>
      <c r="FZ22">
        <v>9</v>
      </c>
      <c r="GA22">
        <v>0.88888888888888873</v>
      </c>
      <c r="GB22">
        <v>22</v>
      </c>
      <c r="GC22">
        <v>22.666666666666668</v>
      </c>
      <c r="GD22">
        <v>26</v>
      </c>
      <c r="GE22">
        <v>-3</v>
      </c>
      <c r="GF22">
        <v>25</v>
      </c>
      <c r="GG22">
        <v>-9.9999999999999982</v>
      </c>
      <c r="GH22">
        <v>17</v>
      </c>
      <c r="GI22">
        <v>0.11111111111111101</v>
      </c>
      <c r="GJ22">
        <v>23</v>
      </c>
      <c r="GK22">
        <v>24</v>
      </c>
      <c r="GL22">
        <v>23</v>
      </c>
      <c r="GM22">
        <v>-3.5333333333333337</v>
      </c>
      <c r="GN22">
        <v>22</v>
      </c>
      <c r="GO22">
        <v>-13.111111111111109</v>
      </c>
      <c r="GP22">
        <v>27</v>
      </c>
      <c r="GQ22">
        <v>-1.5555555555555554</v>
      </c>
      <c r="GR22">
        <v>22</v>
      </c>
      <c r="GS22">
        <v>20</v>
      </c>
      <c r="GT22">
        <v>14</v>
      </c>
      <c r="GU22">
        <v>-0.28888888888888903</v>
      </c>
      <c r="GV22">
        <v>-6.2222222222222241</v>
      </c>
      <c r="GW22">
        <v>-1.1111111111111114</v>
      </c>
      <c r="GX22">
        <v>3</v>
      </c>
      <c r="GY22">
        <v>3.5</v>
      </c>
      <c r="GZ22">
        <v>3</v>
      </c>
      <c r="HA22">
        <v>2.1111111111111112</v>
      </c>
      <c r="HB22">
        <v>4</v>
      </c>
      <c r="HC22">
        <v>0.66666666666666663</v>
      </c>
      <c r="HD22">
        <v>0.33333333333333304</v>
      </c>
      <c r="HE22">
        <v>29</v>
      </c>
      <c r="HF22">
        <v>23</v>
      </c>
      <c r="HG22">
        <v>27</v>
      </c>
      <c r="HH22">
        <v>-4.0540818987056866E-2</v>
      </c>
      <c r="HI22">
        <v>9</v>
      </c>
      <c r="HJ22">
        <v>1.467059263994131E-2</v>
      </c>
      <c r="HK22">
        <v>32</v>
      </c>
      <c r="HL22">
        <v>0.13750801667468335</v>
      </c>
      <c r="HM22">
        <v>24</v>
      </c>
      <c r="HN22">
        <v>-1.7777777777777779</v>
      </c>
      <c r="HO22">
        <v>3.7777777777777786</v>
      </c>
      <c r="HP22">
        <v>2</v>
      </c>
      <c r="HQ22">
        <v>0.55555555555555547</v>
      </c>
      <c r="HR22">
        <v>6.6666666666666856</v>
      </c>
      <c r="HS22">
        <v>-33.777777777777771</v>
      </c>
      <c r="HT22">
        <v>55.222222222222221</v>
      </c>
      <c r="HU22">
        <v>-2.3333333333333335</v>
      </c>
      <c r="HV22">
        <v>-12.444444444444445</v>
      </c>
      <c r="HW22">
        <v>29</v>
      </c>
      <c r="HX22">
        <v>-11.466666666666669</v>
      </c>
      <c r="HY22">
        <v>-5.4655555555555564</v>
      </c>
      <c r="HZ22">
        <v>-89</v>
      </c>
      <c r="IA22">
        <v>4</v>
      </c>
      <c r="IB22">
        <v>-0.37638888888888916</v>
      </c>
      <c r="IC22">
        <v>-1.0000000000000004</v>
      </c>
    </row>
    <row r="23" spans="1:237" x14ac:dyDescent="0.2">
      <c r="A23" s="19">
        <v>44108</v>
      </c>
      <c r="B23" s="13" t="s">
        <v>417</v>
      </c>
      <c r="C23" s="41" t="s">
        <v>302</v>
      </c>
      <c r="D23" s="14" t="s">
        <v>288</v>
      </c>
      <c r="E23">
        <v>6.5</v>
      </c>
      <c r="F23">
        <v>11.1</v>
      </c>
      <c r="G23">
        <v>13</v>
      </c>
      <c r="H23">
        <v>0</v>
      </c>
      <c r="I23">
        <v>11</v>
      </c>
      <c r="J23">
        <v>49</v>
      </c>
      <c r="L23" t="s">
        <v>302</v>
      </c>
      <c r="M23">
        <v>12</v>
      </c>
      <c r="N23">
        <v>0.5555555555555548</v>
      </c>
      <c r="O23">
        <v>20</v>
      </c>
      <c r="P23">
        <v>18.5</v>
      </c>
      <c r="Q23">
        <v>19</v>
      </c>
      <c r="R23">
        <v>-1.8111111111111118</v>
      </c>
      <c r="S23">
        <v>22</v>
      </c>
      <c r="T23">
        <v>-1.8888888888888888</v>
      </c>
      <c r="U23">
        <v>11</v>
      </c>
      <c r="V23">
        <v>6.3333333333333286</v>
      </c>
      <c r="W23">
        <v>22</v>
      </c>
      <c r="X23">
        <v>-0.55555555555555558</v>
      </c>
      <c r="Y23">
        <v>31</v>
      </c>
      <c r="Z23">
        <v>30</v>
      </c>
      <c r="AA23">
        <v>30</v>
      </c>
      <c r="AB23">
        <v>-7.3444444444444441</v>
      </c>
      <c r="AC23">
        <v>29</v>
      </c>
      <c r="AD23">
        <v>-4.333333333333333</v>
      </c>
      <c r="AE23">
        <v>30</v>
      </c>
      <c r="AF23">
        <v>-17.555555555555557</v>
      </c>
      <c r="AG23">
        <v>30</v>
      </c>
      <c r="AH23">
        <v>-1.7777777777777779</v>
      </c>
      <c r="AI23">
        <v>2</v>
      </c>
      <c r="AJ23">
        <v>2.6666666666666665</v>
      </c>
      <c r="AK23">
        <v>2</v>
      </c>
      <c r="AL23">
        <v>5.5333333333333323</v>
      </c>
      <c r="AM23">
        <v>6</v>
      </c>
      <c r="AN23">
        <v>2.4444444444444442</v>
      </c>
      <c r="AO23">
        <v>2</v>
      </c>
      <c r="AP23">
        <v>23.888888888888886</v>
      </c>
      <c r="AQ23">
        <v>4</v>
      </c>
      <c r="AR23">
        <v>1.2222222222222223</v>
      </c>
      <c r="AS23">
        <v>32</v>
      </c>
      <c r="AT23">
        <v>31.333333333333332</v>
      </c>
      <c r="AU23">
        <v>32</v>
      </c>
      <c r="AV23">
        <v>-14.8</v>
      </c>
      <c r="AW23">
        <v>32</v>
      </c>
      <c r="AX23">
        <v>-49.777777777777771</v>
      </c>
      <c r="AY23">
        <v>30</v>
      </c>
      <c r="AZ23">
        <v>-3.666666666666667</v>
      </c>
      <c r="BA23">
        <v>24</v>
      </c>
      <c r="BB23">
        <v>23</v>
      </c>
      <c r="BC23">
        <v>26</v>
      </c>
      <c r="BD23">
        <v>-3.9777777777777779</v>
      </c>
      <c r="BE23">
        <v>22</v>
      </c>
      <c r="BF23">
        <v>-9.3333333333333286</v>
      </c>
      <c r="BG23">
        <v>21</v>
      </c>
      <c r="BH23">
        <v>-1.1111111111111107</v>
      </c>
      <c r="BI23">
        <v>29</v>
      </c>
      <c r="BJ23">
        <v>26</v>
      </c>
      <c r="BK23">
        <v>31</v>
      </c>
      <c r="BL23">
        <v>-5.2</v>
      </c>
      <c r="BM23">
        <v>29</v>
      </c>
      <c r="BN23">
        <v>-21.111111111111111</v>
      </c>
      <c r="BO23">
        <v>18</v>
      </c>
      <c r="BP23">
        <v>-0.33333333333333331</v>
      </c>
      <c r="BQ23">
        <v>32</v>
      </c>
      <c r="BR23">
        <v>31.666666666666668</v>
      </c>
      <c r="BS23">
        <v>32</v>
      </c>
      <c r="BT23">
        <v>-5.6222222222222227</v>
      </c>
      <c r="BU23">
        <v>32</v>
      </c>
      <c r="BV23">
        <v>-19.333333333333332</v>
      </c>
      <c r="BW23">
        <v>31</v>
      </c>
      <c r="BX23">
        <v>-2.2222222222222228</v>
      </c>
      <c r="BY23">
        <v>25</v>
      </c>
      <c r="BZ23">
        <v>23.666666666666668</v>
      </c>
      <c r="CA23">
        <v>26</v>
      </c>
      <c r="CB23">
        <v>-2.6777777777777785</v>
      </c>
      <c r="CC23">
        <v>18</v>
      </c>
      <c r="CD23">
        <v>-6.7777777777777812</v>
      </c>
      <c r="CE23">
        <v>27</v>
      </c>
      <c r="CF23">
        <v>-1.7777777777777779</v>
      </c>
      <c r="CG23">
        <v>23</v>
      </c>
      <c r="CH23">
        <v>22.666666666666668</v>
      </c>
      <c r="CI23">
        <v>22</v>
      </c>
      <c r="CJ23">
        <v>-2.2666666666666671</v>
      </c>
      <c r="CK23">
        <v>-8.2222222222222214</v>
      </c>
      <c r="CL23">
        <v>-1.5555555555555554</v>
      </c>
      <c r="CM23">
        <v>16</v>
      </c>
      <c r="CN23">
        <v>16</v>
      </c>
      <c r="CO23">
        <v>22</v>
      </c>
      <c r="CP23">
        <v>-0.66666666666666685</v>
      </c>
      <c r="CQ23">
        <v>10</v>
      </c>
      <c r="CR23">
        <v>0.33333333333333331</v>
      </c>
      <c r="CS23">
        <v>6.4444444444444438</v>
      </c>
      <c r="CT23">
        <v>23</v>
      </c>
      <c r="CU23">
        <v>20</v>
      </c>
      <c r="CV23">
        <v>29</v>
      </c>
      <c r="CW23">
        <v>-5.5406947066217078E-2</v>
      </c>
      <c r="CX23">
        <v>6</v>
      </c>
      <c r="CY23">
        <v>1.679228615692975E-2</v>
      </c>
      <c r="CZ23">
        <v>22</v>
      </c>
      <c r="DA23">
        <v>5.9836459836459834E-2</v>
      </c>
      <c r="DB23">
        <v>23</v>
      </c>
      <c r="DC23">
        <v>-1.4444444444444446</v>
      </c>
      <c r="DD23">
        <v>0.11111111111110954</v>
      </c>
      <c r="DE23">
        <v>-0.88888888888888928</v>
      </c>
      <c r="DF23">
        <v>3.1111111111111107</v>
      </c>
      <c r="DG23">
        <v>-28.111111111111104</v>
      </c>
      <c r="DH23">
        <v>-85.000000000000014</v>
      </c>
      <c r="DI23">
        <v>28.555555555555554</v>
      </c>
      <c r="DJ23">
        <v>6.333333333333333</v>
      </c>
      <c r="DK23">
        <v>22</v>
      </c>
      <c r="DL23">
        <v>12</v>
      </c>
      <c r="DM23">
        <v>2.3666666666666663</v>
      </c>
      <c r="DN23">
        <v>-2.3966666666666665</v>
      </c>
      <c r="DO23">
        <v>-113.55555555555557</v>
      </c>
      <c r="DP23">
        <v>21</v>
      </c>
      <c r="DQ23">
        <v>-2.3736111111111113</v>
      </c>
      <c r="DR23">
        <v>-5.2222222222222223</v>
      </c>
      <c r="DS23">
        <v>-1.5366666666666668</v>
      </c>
      <c r="DT23">
        <v>-2.6822222222222223</v>
      </c>
      <c r="DU23" t="s">
        <v>288</v>
      </c>
      <c r="DV23" t="s">
        <v>270</v>
      </c>
      <c r="DW23" t="s">
        <v>508</v>
      </c>
      <c r="DX23">
        <v>10</v>
      </c>
      <c r="DY23">
        <v>2.1044444444444452</v>
      </c>
      <c r="DZ23">
        <v>4</v>
      </c>
      <c r="EA23">
        <v>9.75</v>
      </c>
      <c r="EB23">
        <v>13</v>
      </c>
      <c r="EC23">
        <v>1.0111111111111115</v>
      </c>
      <c r="ED23">
        <v>8</v>
      </c>
      <c r="EE23">
        <v>1.666666666666667</v>
      </c>
      <c r="EF23">
        <v>9</v>
      </c>
      <c r="EG23">
        <v>9.5555555555555554</v>
      </c>
      <c r="EH23">
        <v>9</v>
      </c>
      <c r="EI23">
        <v>0.55555555555555602</v>
      </c>
      <c r="EJ23">
        <v>13</v>
      </c>
      <c r="EK23">
        <v>15.5</v>
      </c>
      <c r="EL23">
        <v>14</v>
      </c>
      <c r="EM23">
        <v>0.46666666666666679</v>
      </c>
      <c r="EN23">
        <v>19</v>
      </c>
      <c r="EO23">
        <v>-0.66666666666666607</v>
      </c>
      <c r="EP23">
        <v>8</v>
      </c>
      <c r="EQ23">
        <v>12.888888888888888</v>
      </c>
      <c r="ER23">
        <v>21</v>
      </c>
      <c r="ES23">
        <v>-0.66666666666666652</v>
      </c>
      <c r="ET23">
        <v>8</v>
      </c>
      <c r="EU23">
        <v>11</v>
      </c>
      <c r="EV23">
        <v>11</v>
      </c>
      <c r="EW23">
        <v>0.54444444444444473</v>
      </c>
      <c r="EX23">
        <v>2</v>
      </c>
      <c r="EY23">
        <v>2.333333333333333</v>
      </c>
      <c r="EZ23">
        <v>20</v>
      </c>
      <c r="FA23">
        <v>-3.3333333333333321</v>
      </c>
      <c r="FB23">
        <v>2</v>
      </c>
      <c r="FC23">
        <v>1.2222222222222225</v>
      </c>
      <c r="FD23">
        <v>27</v>
      </c>
      <c r="FE23">
        <v>25</v>
      </c>
      <c r="FF23">
        <v>24</v>
      </c>
      <c r="FG23">
        <v>-3.966666666666669</v>
      </c>
      <c r="FH23">
        <v>30</v>
      </c>
      <c r="FI23">
        <v>-37.44444444444445</v>
      </c>
      <c r="FJ23">
        <v>21</v>
      </c>
      <c r="FK23">
        <v>-0.55555555555555558</v>
      </c>
      <c r="FL23">
        <v>11</v>
      </c>
      <c r="FM23">
        <v>11.666666666666666</v>
      </c>
      <c r="FN23">
        <v>16</v>
      </c>
      <c r="FO23">
        <v>-4.4444444444446063E-2</v>
      </c>
      <c r="FP23">
        <v>9</v>
      </c>
      <c r="FQ23">
        <v>8.4444444444444446</v>
      </c>
      <c r="FR23">
        <v>10</v>
      </c>
      <c r="FS23">
        <v>0.88888888888888873</v>
      </c>
      <c r="FT23">
        <v>30</v>
      </c>
      <c r="FU23">
        <v>28.666666666666668</v>
      </c>
      <c r="FV23">
        <v>30</v>
      </c>
      <c r="FW23">
        <v>-4.5777777777777784</v>
      </c>
      <c r="FX23">
        <v>32</v>
      </c>
      <c r="FY23">
        <v>-33.555555555555557</v>
      </c>
      <c r="FZ23">
        <v>24</v>
      </c>
      <c r="GA23">
        <v>-1</v>
      </c>
      <c r="GB23">
        <v>20</v>
      </c>
      <c r="GC23">
        <v>19.333333333333332</v>
      </c>
      <c r="GD23">
        <v>12</v>
      </c>
      <c r="GE23">
        <v>0.65555555555555534</v>
      </c>
      <c r="GF23">
        <v>27</v>
      </c>
      <c r="GG23">
        <v>-12.333333333333334</v>
      </c>
      <c r="GH23">
        <v>19</v>
      </c>
      <c r="GI23">
        <v>-0.44444444444444425</v>
      </c>
      <c r="GJ23">
        <v>27</v>
      </c>
      <c r="GK23">
        <v>26</v>
      </c>
      <c r="GL23">
        <v>29</v>
      </c>
      <c r="GM23">
        <v>-6.0555555555555562</v>
      </c>
      <c r="GN23">
        <v>31</v>
      </c>
      <c r="GO23">
        <v>-32.777777777777771</v>
      </c>
      <c r="GP23">
        <v>18</v>
      </c>
      <c r="GQ23">
        <v>-0.44444444444444464</v>
      </c>
      <c r="GR23">
        <v>12</v>
      </c>
      <c r="GS23">
        <v>14.666666666666666</v>
      </c>
      <c r="GT23">
        <v>15</v>
      </c>
      <c r="GU23">
        <v>-0.38888888888888901</v>
      </c>
      <c r="GV23">
        <v>-0.55555555555555713</v>
      </c>
      <c r="GW23">
        <v>0.22222222222222202</v>
      </c>
      <c r="GX23">
        <v>26</v>
      </c>
      <c r="GY23">
        <v>26</v>
      </c>
      <c r="GZ23">
        <v>28</v>
      </c>
      <c r="HA23">
        <v>-1.8888888888888891</v>
      </c>
      <c r="HB23">
        <v>24</v>
      </c>
      <c r="HC23">
        <v>-0.33333333333333343</v>
      </c>
      <c r="HD23">
        <v>-3.3333333333333335</v>
      </c>
      <c r="HE23">
        <v>18</v>
      </c>
      <c r="HF23">
        <v>16.75</v>
      </c>
      <c r="HG23">
        <v>29</v>
      </c>
      <c r="HH23">
        <v>-4.4349687695366215E-2</v>
      </c>
      <c r="HI23">
        <v>13</v>
      </c>
      <c r="HJ23">
        <v>3.8055313564464544E-3</v>
      </c>
      <c r="HK23">
        <v>9</v>
      </c>
      <c r="HL23">
        <v>-8.2762734723519027E-2</v>
      </c>
      <c r="HM23">
        <v>16</v>
      </c>
      <c r="HN23">
        <v>-0.22222222222222188</v>
      </c>
      <c r="HO23">
        <v>0.88888888888888806</v>
      </c>
      <c r="HP23">
        <v>-3</v>
      </c>
      <c r="HQ23">
        <v>0.77777777777777768</v>
      </c>
      <c r="HR23">
        <v>-2</v>
      </c>
      <c r="HS23">
        <v>-27</v>
      </c>
      <c r="HT23">
        <v>10.555555555555559</v>
      </c>
      <c r="HU23">
        <v>1.7777777777777779</v>
      </c>
      <c r="HV23">
        <v>12.666666666666666</v>
      </c>
      <c r="HW23">
        <v>17</v>
      </c>
      <c r="HX23">
        <v>1.0933333333333337</v>
      </c>
      <c r="HY23">
        <v>-0.95577777777777828</v>
      </c>
      <c r="HZ23">
        <v>-37.555555555555557</v>
      </c>
      <c r="IA23">
        <v>16</v>
      </c>
      <c r="IB23">
        <v>-0.3911111111111113</v>
      </c>
      <c r="IC23">
        <v>-0.33333333333333359</v>
      </c>
    </row>
    <row r="24" spans="1:237" x14ac:dyDescent="0.2">
      <c r="A24" s="19">
        <v>44108</v>
      </c>
      <c r="B24" s="13" t="s">
        <v>417</v>
      </c>
      <c r="C24" s="41" t="s">
        <v>307</v>
      </c>
      <c r="D24" s="14" t="s">
        <v>299</v>
      </c>
      <c r="E24">
        <v>21.4</v>
      </c>
      <c r="F24">
        <v>15.3</v>
      </c>
      <c r="G24">
        <v>3</v>
      </c>
      <c r="H24">
        <v>1.7</v>
      </c>
      <c r="I24">
        <v>-3</v>
      </c>
      <c r="J24">
        <v>51.5</v>
      </c>
      <c r="L24" t="s">
        <v>307</v>
      </c>
      <c r="M24">
        <v>7</v>
      </c>
      <c r="N24">
        <v>1.5666666666666675</v>
      </c>
      <c r="O24">
        <v>3</v>
      </c>
      <c r="P24">
        <v>6.5</v>
      </c>
      <c r="Q24">
        <v>4</v>
      </c>
      <c r="R24">
        <v>8.1777777777777771</v>
      </c>
      <c r="S24">
        <v>8</v>
      </c>
      <c r="T24">
        <v>2.4444444444444446</v>
      </c>
      <c r="U24">
        <v>12</v>
      </c>
      <c r="V24">
        <v>5.3333333333333348</v>
      </c>
      <c r="W24">
        <v>2</v>
      </c>
      <c r="X24">
        <v>2.3333333333333335</v>
      </c>
      <c r="Y24">
        <v>4</v>
      </c>
      <c r="Z24">
        <v>5.666666666666667</v>
      </c>
      <c r="AA24">
        <v>1</v>
      </c>
      <c r="AB24">
        <v>11.411111111111111</v>
      </c>
      <c r="AC24">
        <v>19</v>
      </c>
      <c r="AD24">
        <v>-1.444444444444444</v>
      </c>
      <c r="AE24">
        <v>15</v>
      </c>
      <c r="AF24">
        <v>-0.77777777777777624</v>
      </c>
      <c r="AG24">
        <v>1</v>
      </c>
      <c r="AH24">
        <v>3.3333333333333335</v>
      </c>
      <c r="AI24">
        <v>23</v>
      </c>
      <c r="AJ24">
        <v>21</v>
      </c>
      <c r="AK24">
        <v>28</v>
      </c>
      <c r="AL24">
        <v>-3.2333333333333338</v>
      </c>
      <c r="AM24">
        <v>4</v>
      </c>
      <c r="AN24">
        <v>3.8888888888888888</v>
      </c>
      <c r="AO24">
        <v>9</v>
      </c>
      <c r="AP24">
        <v>6.1111111111111107</v>
      </c>
      <c r="AQ24">
        <v>26</v>
      </c>
      <c r="AR24">
        <v>-1</v>
      </c>
      <c r="AS24">
        <v>31</v>
      </c>
      <c r="AT24">
        <v>29.333333333333332</v>
      </c>
      <c r="AU24">
        <v>29</v>
      </c>
      <c r="AV24">
        <v>-8.9111111111111097</v>
      </c>
      <c r="AW24">
        <v>31</v>
      </c>
      <c r="AX24">
        <v>-49.555555555555557</v>
      </c>
      <c r="AY24">
        <v>28</v>
      </c>
      <c r="AZ24">
        <v>-3.5555555555555554</v>
      </c>
      <c r="BA24">
        <v>30</v>
      </c>
      <c r="BB24">
        <v>27.666666666666668</v>
      </c>
      <c r="BC24">
        <v>30</v>
      </c>
      <c r="BD24">
        <v>-4.833333333333333</v>
      </c>
      <c r="BE24">
        <v>29</v>
      </c>
      <c r="BF24">
        <v>-18.888888888888889</v>
      </c>
      <c r="BG24">
        <v>24</v>
      </c>
      <c r="BH24">
        <v>-1.4444444444444444</v>
      </c>
      <c r="BI24">
        <v>28</v>
      </c>
      <c r="BJ24">
        <v>25.333333333333332</v>
      </c>
      <c r="BK24">
        <v>23</v>
      </c>
      <c r="BL24">
        <v>-2.0111111111111106</v>
      </c>
      <c r="BM24">
        <v>27</v>
      </c>
      <c r="BN24">
        <v>-15.666666666666666</v>
      </c>
      <c r="BO24">
        <v>26</v>
      </c>
      <c r="BP24">
        <v>-1.2222222222222221</v>
      </c>
      <c r="BQ24">
        <v>29</v>
      </c>
      <c r="BR24">
        <v>26.666666666666668</v>
      </c>
      <c r="BS24">
        <v>28</v>
      </c>
      <c r="BT24">
        <v>-2.0666666666666664</v>
      </c>
      <c r="BU24">
        <v>28</v>
      </c>
      <c r="BV24">
        <v>-15</v>
      </c>
      <c r="BW24">
        <v>24</v>
      </c>
      <c r="BX24">
        <v>-0.88888888888888895</v>
      </c>
      <c r="BY24">
        <v>15</v>
      </c>
      <c r="BZ24">
        <v>17.333333333333332</v>
      </c>
      <c r="CA24">
        <v>17</v>
      </c>
      <c r="CB24">
        <v>-0.91111111111111265</v>
      </c>
      <c r="CC24">
        <v>21</v>
      </c>
      <c r="CD24">
        <v>-9.1111111111111143</v>
      </c>
      <c r="CE24">
        <v>14</v>
      </c>
      <c r="CF24">
        <v>0.44444444444444464</v>
      </c>
      <c r="CG24">
        <v>10</v>
      </c>
      <c r="CH24">
        <v>10.333333333333334</v>
      </c>
      <c r="CI24">
        <v>10</v>
      </c>
      <c r="CJ24">
        <v>2.7333333333333329</v>
      </c>
      <c r="CK24">
        <v>8.4444444444444446</v>
      </c>
      <c r="CL24">
        <v>1.2222222222222221</v>
      </c>
      <c r="CM24">
        <v>8</v>
      </c>
      <c r="CN24">
        <v>9</v>
      </c>
      <c r="CO24">
        <v>5</v>
      </c>
      <c r="CP24">
        <v>1.8888888888888891</v>
      </c>
      <c r="CQ24">
        <v>13</v>
      </c>
      <c r="CR24">
        <v>0.22222222222222218</v>
      </c>
      <c r="CS24">
        <v>2.4444444444444446</v>
      </c>
      <c r="CT24">
        <v>32</v>
      </c>
      <c r="CU24">
        <v>30.25</v>
      </c>
      <c r="CV24">
        <v>30</v>
      </c>
      <c r="CW24">
        <v>-6.2143389889660172E-2</v>
      </c>
      <c r="CX24">
        <v>30</v>
      </c>
      <c r="CY24">
        <v>-2.2988628342094367E-2</v>
      </c>
      <c r="CZ24">
        <v>30</v>
      </c>
      <c r="DA24">
        <v>0.1377104377104377</v>
      </c>
      <c r="DB24">
        <v>31</v>
      </c>
      <c r="DC24">
        <v>-4.666666666666667</v>
      </c>
      <c r="DD24">
        <v>-1.3333333333333357</v>
      </c>
      <c r="DE24">
        <v>2.3333333333333335</v>
      </c>
      <c r="DF24">
        <v>0.77777777777777757</v>
      </c>
      <c r="DG24">
        <v>-3.555555555555562</v>
      </c>
      <c r="DH24">
        <v>7.3333333333333242</v>
      </c>
      <c r="DI24">
        <v>-4.8888888888888902</v>
      </c>
      <c r="DJ24">
        <v>-0.33333333333333331</v>
      </c>
      <c r="DK24">
        <v>-5.666666666666667</v>
      </c>
      <c r="DL24">
        <v>28</v>
      </c>
      <c r="DM24">
        <v>-6.6111111111111089</v>
      </c>
      <c r="DN24">
        <v>-5.0111111111111111</v>
      </c>
      <c r="DO24">
        <v>12.222222222222214</v>
      </c>
      <c r="DP24">
        <v>5</v>
      </c>
      <c r="DQ24">
        <v>0.68194444444444469</v>
      </c>
      <c r="DR24">
        <v>-2.333333333333333</v>
      </c>
      <c r="DS24">
        <v>-0.669027777777778</v>
      </c>
      <c r="DT24">
        <v>-0.65750000000000064</v>
      </c>
      <c r="DU24" t="s">
        <v>299</v>
      </c>
      <c r="DV24" t="s">
        <v>258</v>
      </c>
      <c r="DW24" t="s">
        <v>478</v>
      </c>
      <c r="DX24">
        <v>25</v>
      </c>
      <c r="DY24">
        <v>-2.9333333333333336</v>
      </c>
      <c r="DZ24">
        <v>8</v>
      </c>
      <c r="EA24">
        <v>11.5</v>
      </c>
      <c r="EB24">
        <v>7</v>
      </c>
      <c r="EC24">
        <v>4.8000000000000007</v>
      </c>
      <c r="ED24">
        <v>10</v>
      </c>
      <c r="EE24">
        <v>1.3333333333333326</v>
      </c>
      <c r="EF24">
        <v>3</v>
      </c>
      <c r="EG24">
        <v>38.555555555555557</v>
      </c>
      <c r="EH24">
        <v>26</v>
      </c>
      <c r="EI24">
        <v>-1.1111111111111109</v>
      </c>
      <c r="EJ24">
        <v>5</v>
      </c>
      <c r="EK24">
        <v>8.5</v>
      </c>
      <c r="EL24">
        <v>5</v>
      </c>
      <c r="EM24">
        <v>4.7222222222222223</v>
      </c>
      <c r="EN24">
        <v>14</v>
      </c>
      <c r="EO24">
        <v>-5.9211894646675012E-16</v>
      </c>
      <c r="EP24">
        <v>4</v>
      </c>
      <c r="EQ24">
        <v>22.444444444444446</v>
      </c>
      <c r="ER24">
        <v>11</v>
      </c>
      <c r="ES24">
        <v>0.44444444444444442</v>
      </c>
      <c r="ET24">
        <v>5</v>
      </c>
      <c r="EU24">
        <v>8.3333333333333339</v>
      </c>
      <c r="EV24">
        <v>16</v>
      </c>
      <c r="EW24">
        <v>7.7777777777778098E-2</v>
      </c>
      <c r="EX24">
        <v>7</v>
      </c>
      <c r="EY24">
        <v>1.3333333333333333</v>
      </c>
      <c r="EZ24">
        <v>2</v>
      </c>
      <c r="FA24">
        <v>16.111111111111111</v>
      </c>
      <c r="FB24">
        <v>31</v>
      </c>
      <c r="FC24">
        <v>-1.5555555555555554</v>
      </c>
      <c r="FD24">
        <v>28</v>
      </c>
      <c r="FE24">
        <v>26.666666666666668</v>
      </c>
      <c r="FF24">
        <v>27</v>
      </c>
      <c r="FG24">
        <v>-6.4777777777777779</v>
      </c>
      <c r="FH24">
        <v>23</v>
      </c>
      <c r="FI24">
        <v>-21.111111111111118</v>
      </c>
      <c r="FJ24">
        <v>30</v>
      </c>
      <c r="FK24">
        <v>-3.1111111111111116</v>
      </c>
      <c r="FL24">
        <v>31</v>
      </c>
      <c r="FM24">
        <v>30.333333333333332</v>
      </c>
      <c r="FN24">
        <v>32</v>
      </c>
      <c r="FO24">
        <v>-7.9444444444444455</v>
      </c>
      <c r="FP24">
        <v>27</v>
      </c>
      <c r="FQ24">
        <v>-18.333333333333339</v>
      </c>
      <c r="FR24">
        <v>32</v>
      </c>
      <c r="FS24">
        <v>-2.2222222222222228</v>
      </c>
      <c r="FT24">
        <v>7</v>
      </c>
      <c r="FU24">
        <v>7.666666666666667</v>
      </c>
      <c r="FV24">
        <v>5</v>
      </c>
      <c r="FW24">
        <v>4.522222222222223</v>
      </c>
      <c r="FX24">
        <v>5</v>
      </c>
      <c r="FY24">
        <v>16.444444444444446</v>
      </c>
      <c r="FZ24">
        <v>13</v>
      </c>
      <c r="GA24">
        <v>0.44444444444444436</v>
      </c>
      <c r="GB24">
        <v>32</v>
      </c>
      <c r="GC24">
        <v>28.333333333333332</v>
      </c>
      <c r="GD24">
        <v>27</v>
      </c>
      <c r="GE24">
        <v>-3.0555555555555558</v>
      </c>
      <c r="GF24">
        <v>31</v>
      </c>
      <c r="GG24">
        <v>-19.222222222222225</v>
      </c>
      <c r="GH24">
        <v>27</v>
      </c>
      <c r="GI24">
        <v>-1.3333333333333333</v>
      </c>
      <c r="GJ24">
        <v>12</v>
      </c>
      <c r="GK24">
        <v>11.666666666666666</v>
      </c>
      <c r="GL24">
        <v>8</v>
      </c>
      <c r="GM24">
        <v>3.0222222222222235</v>
      </c>
      <c r="GN24">
        <v>10</v>
      </c>
      <c r="GO24">
        <v>6.8888888888888902</v>
      </c>
      <c r="GP24">
        <v>17</v>
      </c>
      <c r="GQ24">
        <v>0</v>
      </c>
      <c r="GR24">
        <v>18</v>
      </c>
      <c r="GS24">
        <v>18</v>
      </c>
      <c r="GT24">
        <v>16</v>
      </c>
      <c r="GU24">
        <v>-0.61111111111111061</v>
      </c>
      <c r="GV24">
        <v>-7.2222222222222223</v>
      </c>
      <c r="GW24">
        <v>0</v>
      </c>
      <c r="GX24">
        <v>20</v>
      </c>
      <c r="GY24">
        <v>21</v>
      </c>
      <c r="GZ24">
        <v>16</v>
      </c>
      <c r="HA24">
        <v>-0.22222222222222202</v>
      </c>
      <c r="HB24">
        <v>26</v>
      </c>
      <c r="HC24">
        <v>-0.55555555555555569</v>
      </c>
      <c r="HD24">
        <v>-0.11111111111111101</v>
      </c>
      <c r="HE24">
        <v>26</v>
      </c>
      <c r="HF24">
        <v>21.5</v>
      </c>
      <c r="HG24">
        <v>19</v>
      </c>
      <c r="HH24">
        <v>-1.9809122225902892E-2</v>
      </c>
      <c r="HI24">
        <v>24</v>
      </c>
      <c r="HJ24">
        <v>-1.2486232588071772E-2</v>
      </c>
      <c r="HK24">
        <v>25</v>
      </c>
      <c r="HL24">
        <v>9.4708994708994701E-2</v>
      </c>
      <c r="HM24">
        <v>18</v>
      </c>
      <c r="HN24">
        <v>-0.55555555555555547</v>
      </c>
      <c r="HO24">
        <v>-4.4444444444444429</v>
      </c>
      <c r="HP24">
        <v>-1</v>
      </c>
      <c r="HQ24">
        <v>1.3333333333333333</v>
      </c>
      <c r="HR24">
        <v>0.66666666666666663</v>
      </c>
      <c r="HS24">
        <v>-18.333333333333343</v>
      </c>
      <c r="HT24">
        <v>35</v>
      </c>
      <c r="HU24">
        <v>-5</v>
      </c>
      <c r="HV24">
        <v>-11</v>
      </c>
      <c r="HW24">
        <v>27</v>
      </c>
      <c r="HX24">
        <v>-7.7333333333333343</v>
      </c>
      <c r="HY24">
        <v>-4.4044444444444455</v>
      </c>
      <c r="HZ24">
        <v>-53.333333333333343</v>
      </c>
      <c r="IA24">
        <v>6</v>
      </c>
      <c r="IB24">
        <v>-0.68055555555555547</v>
      </c>
      <c r="IC24">
        <v>-3.1111111111111116</v>
      </c>
    </row>
    <row r="25" spans="1:237" x14ac:dyDescent="0.2">
      <c r="A25" s="19">
        <v>44108</v>
      </c>
      <c r="B25" s="13" t="s">
        <v>417</v>
      </c>
      <c r="C25" s="41" t="s">
        <v>296</v>
      </c>
      <c r="D25" s="14" t="s">
        <v>304</v>
      </c>
      <c r="E25">
        <v>7.8</v>
      </c>
      <c r="F25">
        <v>6</v>
      </c>
      <c r="G25">
        <v>6.4</v>
      </c>
      <c r="H25">
        <v>9.5</v>
      </c>
      <c r="I25">
        <v>13.5</v>
      </c>
      <c r="J25">
        <v>50.5</v>
      </c>
      <c r="L25" t="s">
        <v>296</v>
      </c>
      <c r="M25">
        <v>27</v>
      </c>
      <c r="N25">
        <v>-3.1377777777777776</v>
      </c>
      <c r="O25">
        <v>29</v>
      </c>
      <c r="P25">
        <v>24</v>
      </c>
      <c r="Q25">
        <v>26</v>
      </c>
      <c r="R25">
        <v>-5.4333333333333336</v>
      </c>
      <c r="S25">
        <v>31</v>
      </c>
      <c r="T25">
        <v>-5.6666666666666661</v>
      </c>
      <c r="U25">
        <v>32</v>
      </c>
      <c r="V25">
        <v>-42.666666666666664</v>
      </c>
      <c r="W25">
        <v>7</v>
      </c>
      <c r="X25">
        <v>1.2222222222222223</v>
      </c>
      <c r="Y25">
        <v>22</v>
      </c>
      <c r="Z25">
        <v>19</v>
      </c>
      <c r="AA25">
        <v>21</v>
      </c>
      <c r="AB25">
        <v>-2.1111111111111112</v>
      </c>
      <c r="AC25">
        <v>32</v>
      </c>
      <c r="AD25">
        <v>-4.9999999999999991</v>
      </c>
      <c r="AE25">
        <v>32</v>
      </c>
      <c r="AF25">
        <v>-37.444444444444443</v>
      </c>
      <c r="AG25">
        <v>4</v>
      </c>
      <c r="AH25">
        <v>2.1111111111111112</v>
      </c>
      <c r="AI25">
        <v>29</v>
      </c>
      <c r="AJ25">
        <v>25</v>
      </c>
      <c r="AK25">
        <v>29</v>
      </c>
      <c r="AL25">
        <v>-3.3222222222222229</v>
      </c>
      <c r="AM25">
        <v>17</v>
      </c>
      <c r="AN25">
        <v>-0.66666666666666652</v>
      </c>
      <c r="AO25">
        <v>21</v>
      </c>
      <c r="AP25">
        <v>-5.2222222222222214</v>
      </c>
      <c r="AQ25">
        <v>25</v>
      </c>
      <c r="AR25">
        <v>-0.88888888888888884</v>
      </c>
      <c r="AS25">
        <v>25</v>
      </c>
      <c r="AT25">
        <v>25</v>
      </c>
      <c r="AU25">
        <v>22</v>
      </c>
      <c r="AV25">
        <v>-4.1222222222222227</v>
      </c>
      <c r="AW25">
        <v>24</v>
      </c>
      <c r="AX25">
        <v>-29.444444444444446</v>
      </c>
      <c r="AY25">
        <v>29</v>
      </c>
      <c r="AZ25">
        <v>-3.5555555555555558</v>
      </c>
      <c r="BA25">
        <v>22</v>
      </c>
      <c r="BB25">
        <v>22</v>
      </c>
      <c r="BC25">
        <v>17</v>
      </c>
      <c r="BD25">
        <v>-1.6222222222222225</v>
      </c>
      <c r="BE25">
        <v>26</v>
      </c>
      <c r="BF25">
        <v>-13.222222222222223</v>
      </c>
      <c r="BG25">
        <v>23</v>
      </c>
      <c r="BH25">
        <v>-1.3333333333333337</v>
      </c>
      <c r="BI25">
        <v>19</v>
      </c>
      <c r="BJ25">
        <v>18.333333333333332</v>
      </c>
      <c r="BK25">
        <v>20</v>
      </c>
      <c r="BL25">
        <v>-1.144444444444445</v>
      </c>
      <c r="BM25">
        <v>24</v>
      </c>
      <c r="BN25">
        <v>-12.555555555555557</v>
      </c>
      <c r="BO25">
        <v>11</v>
      </c>
      <c r="BP25">
        <v>0.22222222222222202</v>
      </c>
      <c r="BQ25">
        <v>26</v>
      </c>
      <c r="BR25">
        <v>24.666666666666668</v>
      </c>
      <c r="BS25">
        <v>22</v>
      </c>
      <c r="BT25">
        <v>-1.3555555555555552</v>
      </c>
      <c r="BU25">
        <v>20</v>
      </c>
      <c r="BV25">
        <v>-3.6666666666666665</v>
      </c>
      <c r="BW25">
        <v>32</v>
      </c>
      <c r="BX25">
        <v>-2.4444444444444442</v>
      </c>
      <c r="BY25">
        <v>31</v>
      </c>
      <c r="BZ25">
        <v>28</v>
      </c>
      <c r="CA25">
        <v>30</v>
      </c>
      <c r="CB25">
        <v>-5.9333333333333336</v>
      </c>
      <c r="CC25">
        <v>32</v>
      </c>
      <c r="CD25">
        <v>-31.555555555555557</v>
      </c>
      <c r="CE25">
        <v>22</v>
      </c>
      <c r="CF25">
        <v>-0.77777777777777735</v>
      </c>
      <c r="CG25">
        <v>11</v>
      </c>
      <c r="CH25">
        <v>12.333333333333334</v>
      </c>
      <c r="CI25">
        <v>20</v>
      </c>
      <c r="CJ25">
        <v>-1.1777777777777783</v>
      </c>
      <c r="CK25">
        <v>2.6666666666666679</v>
      </c>
      <c r="CL25">
        <v>2</v>
      </c>
      <c r="CM25">
        <v>17</v>
      </c>
      <c r="CN25">
        <v>17</v>
      </c>
      <c r="CO25">
        <v>14</v>
      </c>
      <c r="CP25">
        <v>0.44444444444444436</v>
      </c>
      <c r="CQ25">
        <v>20</v>
      </c>
      <c r="CR25">
        <v>-0.11111111111111109</v>
      </c>
      <c r="CS25">
        <v>1.4802973661668753E-16</v>
      </c>
      <c r="CT25">
        <v>7</v>
      </c>
      <c r="CU25">
        <v>11</v>
      </c>
      <c r="CV25">
        <v>9</v>
      </c>
      <c r="CW25">
        <v>3.3902903521176364E-2</v>
      </c>
      <c r="CX25">
        <v>18</v>
      </c>
      <c r="CY25">
        <v>-1.2498938969527178E-3</v>
      </c>
      <c r="CZ25">
        <v>13</v>
      </c>
      <c r="DA25">
        <v>-6.9688109161793283E-3</v>
      </c>
      <c r="DB25">
        <v>4</v>
      </c>
      <c r="DC25">
        <v>3.1111111111111112</v>
      </c>
      <c r="DD25">
        <v>-5.1111111111111098</v>
      </c>
      <c r="DE25">
        <v>-5.7777777777777786</v>
      </c>
      <c r="DF25">
        <v>0</v>
      </c>
      <c r="DG25">
        <v>-49.222222222222229</v>
      </c>
      <c r="DH25">
        <v>-9.5555555555555625</v>
      </c>
      <c r="DI25">
        <v>-43.55555555555555</v>
      </c>
      <c r="DJ25">
        <v>-1.7777777777777777</v>
      </c>
      <c r="DK25">
        <v>5.666666666666667</v>
      </c>
      <c r="DL25">
        <v>13</v>
      </c>
      <c r="DM25">
        <v>2.2955555555555565</v>
      </c>
      <c r="DN25">
        <v>1.0291111111111111</v>
      </c>
      <c r="DO25">
        <v>33.999999999999986</v>
      </c>
      <c r="DP25">
        <v>20</v>
      </c>
      <c r="DQ25">
        <v>-1.6783333333333337</v>
      </c>
      <c r="DR25">
        <v>-1.5555555555555558</v>
      </c>
      <c r="DS25">
        <v>-1.2205555555555561</v>
      </c>
      <c r="DT25">
        <v>-0.88777777777777833</v>
      </c>
      <c r="DU25" t="s">
        <v>304</v>
      </c>
      <c r="DV25" t="s">
        <v>251</v>
      </c>
      <c r="DW25" t="s">
        <v>456</v>
      </c>
      <c r="DX25">
        <v>32</v>
      </c>
      <c r="DY25">
        <v>-5.660000000000001</v>
      </c>
      <c r="DZ25">
        <v>7</v>
      </c>
      <c r="EA25">
        <v>10.25</v>
      </c>
      <c r="EB25">
        <v>6</v>
      </c>
      <c r="EC25">
        <v>5.8555555555555561</v>
      </c>
      <c r="ED25">
        <v>7</v>
      </c>
      <c r="EE25">
        <v>2.0000000000000009</v>
      </c>
      <c r="EF25">
        <v>7</v>
      </c>
      <c r="EG25">
        <v>21.999999999999996</v>
      </c>
      <c r="EH25">
        <v>21</v>
      </c>
      <c r="EI25">
        <v>-0.22222222222222221</v>
      </c>
      <c r="EJ25">
        <v>6</v>
      </c>
      <c r="EK25">
        <v>8.75</v>
      </c>
      <c r="EL25">
        <v>4</v>
      </c>
      <c r="EM25">
        <v>5.2</v>
      </c>
      <c r="EN25">
        <v>4</v>
      </c>
      <c r="EO25">
        <v>3.111111111111112</v>
      </c>
      <c r="EP25">
        <v>5</v>
      </c>
      <c r="EQ25">
        <v>20.555555555555554</v>
      </c>
      <c r="ER25">
        <v>22</v>
      </c>
      <c r="ES25">
        <v>-0.66666666666666663</v>
      </c>
      <c r="ET25">
        <v>13</v>
      </c>
      <c r="EU25">
        <v>14</v>
      </c>
      <c r="EV25">
        <v>9</v>
      </c>
      <c r="EW25">
        <v>0.65555555555555556</v>
      </c>
      <c r="EX25">
        <v>21</v>
      </c>
      <c r="EY25">
        <v>-1.1111111111111109</v>
      </c>
      <c r="EZ25">
        <v>12</v>
      </c>
      <c r="FA25">
        <v>1.4444444444444444</v>
      </c>
      <c r="FB25">
        <v>11</v>
      </c>
      <c r="FC25">
        <v>0.44444444444444442</v>
      </c>
      <c r="FD25">
        <v>30</v>
      </c>
      <c r="FE25">
        <v>29.333333333333332</v>
      </c>
      <c r="FF25">
        <v>30</v>
      </c>
      <c r="FG25">
        <v>-8.0111111111111111</v>
      </c>
      <c r="FH25">
        <v>29</v>
      </c>
      <c r="FI25">
        <v>-31.444444444444443</v>
      </c>
      <c r="FJ25">
        <v>29</v>
      </c>
      <c r="FK25">
        <v>-2.9999999999999996</v>
      </c>
      <c r="FL25">
        <v>25</v>
      </c>
      <c r="FM25">
        <v>23.333333333333332</v>
      </c>
      <c r="FN25">
        <v>24</v>
      </c>
      <c r="FO25">
        <v>-2.6999999999999988</v>
      </c>
      <c r="FP25">
        <v>26</v>
      </c>
      <c r="FQ25">
        <v>-15.444444444444445</v>
      </c>
      <c r="FR25">
        <v>20</v>
      </c>
      <c r="FS25">
        <v>-0.44444444444444403</v>
      </c>
      <c r="FT25">
        <v>25</v>
      </c>
      <c r="FU25">
        <v>23</v>
      </c>
      <c r="FV25">
        <v>22</v>
      </c>
      <c r="FW25">
        <v>-2.1444444444444444</v>
      </c>
      <c r="FX25">
        <v>22</v>
      </c>
      <c r="FY25">
        <v>-6.1111111111111081</v>
      </c>
      <c r="FZ25">
        <v>25</v>
      </c>
      <c r="GA25">
        <v>-1.1111111111111109</v>
      </c>
      <c r="GB25">
        <v>26</v>
      </c>
      <c r="GC25">
        <v>27</v>
      </c>
      <c r="GD25">
        <v>29</v>
      </c>
      <c r="GE25">
        <v>-3.1666666666666679</v>
      </c>
      <c r="GF25">
        <v>24</v>
      </c>
      <c r="GG25">
        <v>-9.8888888888888911</v>
      </c>
      <c r="GH25">
        <v>28</v>
      </c>
      <c r="GI25">
        <v>-1.4444444444444446</v>
      </c>
      <c r="GJ25">
        <v>30</v>
      </c>
      <c r="GK25">
        <v>28</v>
      </c>
      <c r="GL25">
        <v>30</v>
      </c>
      <c r="GM25">
        <v>-6.2666666666666657</v>
      </c>
      <c r="GN25">
        <v>23</v>
      </c>
      <c r="GO25">
        <v>-14.888888888888891</v>
      </c>
      <c r="GP25">
        <v>31</v>
      </c>
      <c r="GQ25">
        <v>-2.6666666666666665</v>
      </c>
      <c r="GR25">
        <v>29</v>
      </c>
      <c r="GS25">
        <v>26.666666666666668</v>
      </c>
      <c r="GT25">
        <v>26</v>
      </c>
      <c r="GU25">
        <v>-2.3888888888888897</v>
      </c>
      <c r="GV25">
        <v>-23.888888888888889</v>
      </c>
      <c r="GW25">
        <v>-0.99999999999999989</v>
      </c>
      <c r="GX25">
        <v>30</v>
      </c>
      <c r="GY25">
        <v>28</v>
      </c>
      <c r="GZ25">
        <v>29</v>
      </c>
      <c r="HA25">
        <v>-2.2222222222222223</v>
      </c>
      <c r="HB25">
        <v>27</v>
      </c>
      <c r="HC25">
        <v>-0.66666666666666663</v>
      </c>
      <c r="HD25">
        <v>0</v>
      </c>
      <c r="HE25">
        <v>6</v>
      </c>
      <c r="HF25">
        <v>11.75</v>
      </c>
      <c r="HG25">
        <v>5</v>
      </c>
      <c r="HH25">
        <v>4.6681638269181362E-2</v>
      </c>
      <c r="HI25">
        <v>14</v>
      </c>
      <c r="HJ25">
        <v>2.1063533753734598E-3</v>
      </c>
      <c r="HK25">
        <v>6</v>
      </c>
      <c r="HL25">
        <v>-0.11502201502201503</v>
      </c>
      <c r="HM25">
        <v>22</v>
      </c>
      <c r="HN25">
        <v>-1.6666666666666663</v>
      </c>
      <c r="HO25">
        <v>-6.8888888888888902</v>
      </c>
      <c r="HP25">
        <v>-3</v>
      </c>
      <c r="HQ25">
        <v>0</v>
      </c>
      <c r="HR25">
        <v>-43.888888888888893</v>
      </c>
      <c r="HS25">
        <v>-56.222222222222221</v>
      </c>
      <c r="HT25">
        <v>23.555555555555557</v>
      </c>
      <c r="HU25">
        <v>0.44444444444444448</v>
      </c>
      <c r="HV25">
        <v>-11.666666666666666</v>
      </c>
      <c r="HW25">
        <v>30</v>
      </c>
      <c r="HX25">
        <v>-11.515555555555558</v>
      </c>
      <c r="HY25">
        <v>-6.1397777777777787</v>
      </c>
      <c r="HZ25">
        <v>-79.777777777777771</v>
      </c>
      <c r="IA25">
        <v>3</v>
      </c>
      <c r="IB25">
        <v>-1.5533333333333337</v>
      </c>
      <c r="IC25">
        <v>-3.9999999999999996</v>
      </c>
    </row>
    <row r="26" spans="1:237" x14ac:dyDescent="0.2">
      <c r="A26" s="19">
        <v>44108</v>
      </c>
      <c r="B26" s="13" t="s">
        <v>417</v>
      </c>
      <c r="C26" s="41" t="s">
        <v>298</v>
      </c>
      <c r="D26" s="14" t="s">
        <v>278</v>
      </c>
      <c r="E26">
        <v>20.399999999999999</v>
      </c>
      <c r="F26">
        <v>15.1</v>
      </c>
      <c r="G26">
        <v>6.3</v>
      </c>
      <c r="H26">
        <v>2.1</v>
      </c>
      <c r="I26">
        <v>-1.5</v>
      </c>
      <c r="J26">
        <v>41</v>
      </c>
      <c r="L26" t="s">
        <v>298</v>
      </c>
      <c r="M26">
        <v>29</v>
      </c>
      <c r="N26">
        <v>-4.522222222222223</v>
      </c>
      <c r="O26">
        <v>22</v>
      </c>
      <c r="P26">
        <v>20.5</v>
      </c>
      <c r="Q26">
        <v>20</v>
      </c>
      <c r="R26">
        <v>-2.4222222222222225</v>
      </c>
      <c r="S26">
        <v>18</v>
      </c>
      <c r="T26">
        <v>-0.55555555555555536</v>
      </c>
      <c r="U26">
        <v>24</v>
      </c>
      <c r="V26">
        <v>-11.555555555555555</v>
      </c>
      <c r="W26">
        <v>20</v>
      </c>
      <c r="X26">
        <v>-0.44444444444444453</v>
      </c>
      <c r="Y26">
        <v>28</v>
      </c>
      <c r="Z26">
        <v>23.666666666666668</v>
      </c>
      <c r="AA26">
        <v>26</v>
      </c>
      <c r="AB26">
        <v>-4.3999999999999995</v>
      </c>
      <c r="AC26">
        <v>12</v>
      </c>
      <c r="AD26">
        <v>1.1111111111111114</v>
      </c>
      <c r="AE26">
        <v>23</v>
      </c>
      <c r="AF26">
        <v>-8.5555555555555554</v>
      </c>
      <c r="AG26">
        <v>22</v>
      </c>
      <c r="AH26">
        <v>-0.88888888888888895</v>
      </c>
      <c r="AI26">
        <v>8</v>
      </c>
      <c r="AJ26">
        <v>12</v>
      </c>
      <c r="AK26">
        <v>6</v>
      </c>
      <c r="AL26">
        <v>1.9777777777777772</v>
      </c>
      <c r="AM26">
        <v>20</v>
      </c>
      <c r="AN26">
        <v>-1.6666666666666667</v>
      </c>
      <c r="AO26">
        <v>19</v>
      </c>
      <c r="AP26">
        <v>-3</v>
      </c>
      <c r="AQ26">
        <v>11</v>
      </c>
      <c r="AR26">
        <v>0.44444444444444442</v>
      </c>
      <c r="AS26">
        <v>20</v>
      </c>
      <c r="AT26">
        <v>19.333333333333332</v>
      </c>
      <c r="AU26">
        <v>19</v>
      </c>
      <c r="AV26">
        <v>-3.0111111111111124</v>
      </c>
      <c r="AW26">
        <v>21</v>
      </c>
      <c r="AX26">
        <v>-16.111111111111114</v>
      </c>
      <c r="AY26">
        <v>18</v>
      </c>
      <c r="AZ26">
        <v>-0.1111111111111113</v>
      </c>
      <c r="BA26">
        <v>11</v>
      </c>
      <c r="BB26">
        <v>10.666666666666666</v>
      </c>
      <c r="BC26">
        <v>8</v>
      </c>
      <c r="BD26">
        <v>3.2111111111111104</v>
      </c>
      <c r="BE26">
        <v>8</v>
      </c>
      <c r="BF26">
        <v>9.8888888888888857</v>
      </c>
      <c r="BG26">
        <v>16</v>
      </c>
      <c r="BH26">
        <v>0.22222222222222202</v>
      </c>
      <c r="BI26">
        <v>27</v>
      </c>
      <c r="BJ26">
        <v>24.333333333333332</v>
      </c>
      <c r="BK26">
        <v>30</v>
      </c>
      <c r="BL26">
        <v>-3.6666666666666674</v>
      </c>
      <c r="BM26">
        <v>21</v>
      </c>
      <c r="BN26">
        <v>-8.8888888888888911</v>
      </c>
      <c r="BO26">
        <v>22</v>
      </c>
      <c r="BP26">
        <v>-0.44444444444444448</v>
      </c>
      <c r="BQ26">
        <v>28</v>
      </c>
      <c r="BR26">
        <v>25.333333333333332</v>
      </c>
      <c r="BS26">
        <v>30</v>
      </c>
      <c r="BT26">
        <v>-2.5555555555555554</v>
      </c>
      <c r="BU26">
        <v>30</v>
      </c>
      <c r="BV26">
        <v>-17.111111111111111</v>
      </c>
      <c r="BW26">
        <v>16</v>
      </c>
      <c r="BX26">
        <v>0.11111111111111116</v>
      </c>
      <c r="BY26">
        <v>6</v>
      </c>
      <c r="BZ26">
        <v>6</v>
      </c>
      <c r="CA26">
        <v>3</v>
      </c>
      <c r="CB26">
        <v>5.7111111111111121</v>
      </c>
      <c r="CC26">
        <v>5</v>
      </c>
      <c r="CD26">
        <v>21.555555555555557</v>
      </c>
      <c r="CE26">
        <v>10</v>
      </c>
      <c r="CF26">
        <v>1.1111111111111114</v>
      </c>
      <c r="CG26">
        <v>19</v>
      </c>
      <c r="CH26">
        <v>18.666666666666668</v>
      </c>
      <c r="CI26">
        <v>21</v>
      </c>
      <c r="CJ26">
        <v>-2.0555555555555567</v>
      </c>
      <c r="CK26">
        <v>-10.555555555555555</v>
      </c>
      <c r="CL26">
        <v>1.1111111111111109</v>
      </c>
      <c r="CM26">
        <v>29</v>
      </c>
      <c r="CN26">
        <v>29</v>
      </c>
      <c r="CO26">
        <v>29</v>
      </c>
      <c r="CP26">
        <v>-2.4444444444444442</v>
      </c>
      <c r="CQ26">
        <v>29</v>
      </c>
      <c r="CR26">
        <v>-0.77777777777777768</v>
      </c>
      <c r="CS26">
        <v>0.22222222222222232</v>
      </c>
      <c r="CT26">
        <v>3</v>
      </c>
      <c r="CU26">
        <v>9</v>
      </c>
      <c r="CV26">
        <v>3</v>
      </c>
      <c r="CW26">
        <v>8.8272499293459428E-2</v>
      </c>
      <c r="CX26">
        <v>13</v>
      </c>
      <c r="CY26">
        <v>3.1940725990759755E-3</v>
      </c>
      <c r="CZ26">
        <v>18</v>
      </c>
      <c r="DA26">
        <v>4.0211640211640275E-2</v>
      </c>
      <c r="DB26">
        <v>2</v>
      </c>
      <c r="DC26">
        <v>4</v>
      </c>
      <c r="DD26">
        <v>2.7777777777777786</v>
      </c>
      <c r="DE26">
        <v>-6.333333333333333</v>
      </c>
      <c r="DF26">
        <v>0</v>
      </c>
      <c r="DG26">
        <v>-41.44444444444445</v>
      </c>
      <c r="DH26">
        <v>-24.444444444444446</v>
      </c>
      <c r="DI26">
        <v>-2.7777777777777786</v>
      </c>
      <c r="DJ26">
        <v>-1.7777777777777779</v>
      </c>
      <c r="DK26">
        <v>-12.444444444444445</v>
      </c>
      <c r="DL26">
        <v>20</v>
      </c>
      <c r="DM26">
        <v>-2.1000000000000005</v>
      </c>
      <c r="DN26">
        <v>-0.70666666666666722</v>
      </c>
      <c r="DO26">
        <v>-21.666666666666668</v>
      </c>
      <c r="DP26">
        <v>13</v>
      </c>
      <c r="DQ26">
        <v>-1.8069444444444449</v>
      </c>
      <c r="DR26">
        <v>0.99999999999999967</v>
      </c>
      <c r="DS26">
        <v>-0.58013888888888898</v>
      </c>
      <c r="DT26">
        <v>-1.1183333333333336</v>
      </c>
      <c r="DU26" t="s">
        <v>278</v>
      </c>
      <c r="DV26" t="s">
        <v>240</v>
      </c>
      <c r="DW26" t="s">
        <v>540</v>
      </c>
      <c r="DX26">
        <v>13</v>
      </c>
      <c r="DY26">
        <v>1.453333333333332</v>
      </c>
      <c r="DZ26">
        <v>26</v>
      </c>
      <c r="EA26">
        <v>21</v>
      </c>
      <c r="EB26">
        <v>24</v>
      </c>
      <c r="EC26">
        <v>-3.3111111111111109</v>
      </c>
      <c r="ED26">
        <v>21</v>
      </c>
      <c r="EE26">
        <v>-1</v>
      </c>
      <c r="EF26">
        <v>22</v>
      </c>
      <c r="EG26">
        <v>-11.333333333333332</v>
      </c>
      <c r="EH26">
        <v>17</v>
      </c>
      <c r="EI26">
        <v>-0.11111111111111097</v>
      </c>
      <c r="EJ26">
        <v>16</v>
      </c>
      <c r="EK26">
        <v>17.5</v>
      </c>
      <c r="EL26">
        <v>23</v>
      </c>
      <c r="EM26">
        <v>-2.0444444444444443</v>
      </c>
      <c r="EN26">
        <v>12</v>
      </c>
      <c r="EO26">
        <v>0.33333333333333331</v>
      </c>
      <c r="EP26">
        <v>20</v>
      </c>
      <c r="EQ26">
        <v>-4.8888888888888857</v>
      </c>
      <c r="ER26">
        <v>15</v>
      </c>
      <c r="ES26">
        <v>-0.11111111111111101</v>
      </c>
      <c r="ET26">
        <v>29</v>
      </c>
      <c r="EU26">
        <v>24.666666666666668</v>
      </c>
      <c r="EV26">
        <v>23</v>
      </c>
      <c r="EW26">
        <v>-1.2666666666666664</v>
      </c>
      <c r="EX26">
        <v>25</v>
      </c>
      <c r="EY26">
        <v>-1.3333333333333333</v>
      </c>
      <c r="EZ26">
        <v>26</v>
      </c>
      <c r="FA26">
        <v>-6.4444444444444455</v>
      </c>
      <c r="FB26">
        <v>17</v>
      </c>
      <c r="FC26">
        <v>3.7007434154171883E-17</v>
      </c>
      <c r="FD26">
        <v>4</v>
      </c>
      <c r="FE26">
        <v>4.333333333333333</v>
      </c>
      <c r="FF26">
        <v>5</v>
      </c>
      <c r="FG26">
        <v>5.9444444444444464</v>
      </c>
      <c r="FH26">
        <v>5</v>
      </c>
      <c r="FI26">
        <v>23.333333333333339</v>
      </c>
      <c r="FJ26">
        <v>3</v>
      </c>
      <c r="FK26">
        <v>2.9999999999999996</v>
      </c>
      <c r="FL26">
        <v>5</v>
      </c>
      <c r="FM26">
        <v>7.666666666666667</v>
      </c>
      <c r="FN26">
        <v>11</v>
      </c>
      <c r="FO26">
        <v>1.711111111111111</v>
      </c>
      <c r="FP26">
        <v>7</v>
      </c>
      <c r="FQ26">
        <v>12.666666666666666</v>
      </c>
      <c r="FR26">
        <v>5</v>
      </c>
      <c r="FS26">
        <v>1.6666666666666667</v>
      </c>
      <c r="FT26">
        <v>17</v>
      </c>
      <c r="FU26">
        <v>16.666666666666668</v>
      </c>
      <c r="FV26">
        <v>13</v>
      </c>
      <c r="FW26">
        <v>0.35555555555555668</v>
      </c>
      <c r="FX26">
        <v>27</v>
      </c>
      <c r="FY26">
        <v>-14.555555555555552</v>
      </c>
      <c r="FZ26">
        <v>10</v>
      </c>
      <c r="GA26">
        <v>0.77777777777777757</v>
      </c>
      <c r="GB26">
        <v>3</v>
      </c>
      <c r="GC26">
        <v>5</v>
      </c>
      <c r="GD26">
        <v>3</v>
      </c>
      <c r="GE26">
        <v>3.8777777777777782</v>
      </c>
      <c r="GF26">
        <v>2</v>
      </c>
      <c r="GG26">
        <v>25.222222222222225</v>
      </c>
      <c r="GH26">
        <v>10</v>
      </c>
      <c r="GI26">
        <v>0.55555555555555547</v>
      </c>
      <c r="GJ26">
        <v>16</v>
      </c>
      <c r="GK26">
        <v>15.666666666666666</v>
      </c>
      <c r="GL26">
        <v>20</v>
      </c>
      <c r="GM26">
        <v>-1.7999999999999983</v>
      </c>
      <c r="GN26">
        <v>7</v>
      </c>
      <c r="GO26">
        <v>12</v>
      </c>
      <c r="GP26">
        <v>20</v>
      </c>
      <c r="GQ26">
        <v>-0.77777777777777735</v>
      </c>
      <c r="GR26">
        <v>11</v>
      </c>
      <c r="GS26">
        <v>14</v>
      </c>
      <c r="GT26">
        <v>17</v>
      </c>
      <c r="GU26">
        <v>-0.75555555555555609</v>
      </c>
      <c r="GV26">
        <v>-0.88888888888888928</v>
      </c>
      <c r="GW26">
        <v>0.77777777777777768</v>
      </c>
      <c r="GX26">
        <v>26</v>
      </c>
      <c r="GY26">
        <v>26</v>
      </c>
      <c r="GZ26">
        <v>32</v>
      </c>
      <c r="HA26">
        <v>-3.6666666666666665</v>
      </c>
      <c r="HB26">
        <v>20</v>
      </c>
      <c r="HC26">
        <v>-0.11111111111111116</v>
      </c>
      <c r="HD26">
        <v>3</v>
      </c>
      <c r="HE26">
        <v>18</v>
      </c>
      <c r="HF26">
        <v>16.75</v>
      </c>
      <c r="HG26">
        <v>20</v>
      </c>
      <c r="HH26">
        <v>-2.0986275593321658E-2</v>
      </c>
      <c r="HI26">
        <v>17</v>
      </c>
      <c r="HJ26">
        <v>-5.8957703944153769E-3</v>
      </c>
      <c r="HK26">
        <v>13</v>
      </c>
      <c r="HL26">
        <v>-3.5582010582010604E-2</v>
      </c>
      <c r="HM26">
        <v>17</v>
      </c>
      <c r="HN26">
        <v>-0.22222222222222232</v>
      </c>
      <c r="HO26">
        <v>2.2222222222222214</v>
      </c>
      <c r="HP26">
        <v>-4.4444444444444455</v>
      </c>
      <c r="HQ26">
        <v>0.88888888888888895</v>
      </c>
      <c r="HR26">
        <v>9.1111111111111054</v>
      </c>
      <c r="HS26">
        <v>25.777777777777771</v>
      </c>
      <c r="HT26">
        <v>-11.77777777777778</v>
      </c>
      <c r="HU26">
        <v>-3.5555555555555554</v>
      </c>
      <c r="HV26">
        <v>-1.333333333333333</v>
      </c>
      <c r="HW26">
        <v>6</v>
      </c>
      <c r="HX26">
        <v>4.7644444444444431</v>
      </c>
      <c r="HY26">
        <v>2.984</v>
      </c>
      <c r="HZ26">
        <v>37.55555555555555</v>
      </c>
      <c r="IA26">
        <v>27</v>
      </c>
      <c r="IB26">
        <v>-4.1944444444444451E-2</v>
      </c>
      <c r="IC26">
        <v>3.7777777777777772</v>
      </c>
    </row>
    <row r="27" spans="1:237" x14ac:dyDescent="0.2">
      <c r="A27" s="19">
        <v>44108</v>
      </c>
      <c r="B27" s="13" t="s">
        <v>417</v>
      </c>
      <c r="C27" s="41" t="s">
        <v>294</v>
      </c>
      <c r="D27" s="14" t="s">
        <v>256</v>
      </c>
      <c r="E27">
        <v>7.8</v>
      </c>
      <c r="F27">
        <v>13.7</v>
      </c>
      <c r="G27">
        <v>4.2</v>
      </c>
      <c r="H27">
        <v>6.9</v>
      </c>
      <c r="I27">
        <v>8</v>
      </c>
      <c r="J27">
        <v>45.5</v>
      </c>
      <c r="L27" t="s">
        <v>294</v>
      </c>
      <c r="M27">
        <v>22</v>
      </c>
      <c r="N27">
        <v>-2.0977777777777784</v>
      </c>
      <c r="O27">
        <v>26</v>
      </c>
      <c r="P27">
        <v>23.75</v>
      </c>
      <c r="Q27">
        <v>30</v>
      </c>
      <c r="R27">
        <v>-8.033333333333335</v>
      </c>
      <c r="S27">
        <v>29</v>
      </c>
      <c r="T27">
        <v>-4.5555555555555562</v>
      </c>
      <c r="U27">
        <v>31</v>
      </c>
      <c r="V27">
        <v>-27.888888888888886</v>
      </c>
      <c r="W27">
        <v>5</v>
      </c>
      <c r="X27">
        <v>1.9999999999999996</v>
      </c>
      <c r="Y27">
        <v>20</v>
      </c>
      <c r="Z27">
        <v>18.333333333333332</v>
      </c>
      <c r="AA27">
        <v>24</v>
      </c>
      <c r="AB27">
        <v>-3.8777777777777787</v>
      </c>
      <c r="AC27">
        <v>26</v>
      </c>
      <c r="AD27">
        <v>-2.3333333333333335</v>
      </c>
      <c r="AE27">
        <v>28</v>
      </c>
      <c r="AF27">
        <v>-13.22222222222222</v>
      </c>
      <c r="AG27">
        <v>3</v>
      </c>
      <c r="AH27">
        <v>2.2222222222222219</v>
      </c>
      <c r="AI27">
        <v>30</v>
      </c>
      <c r="AJ27">
        <v>25.333333333333332</v>
      </c>
      <c r="AK27">
        <v>31</v>
      </c>
      <c r="AL27">
        <v>-4.1555555555555559</v>
      </c>
      <c r="AM27">
        <v>28</v>
      </c>
      <c r="AN27">
        <v>-2.2222222222222228</v>
      </c>
      <c r="AO27">
        <v>28</v>
      </c>
      <c r="AP27">
        <v>-14.666666666666666</v>
      </c>
      <c r="AQ27">
        <v>17</v>
      </c>
      <c r="AR27">
        <v>-0.22222222222222221</v>
      </c>
      <c r="AS27">
        <v>23</v>
      </c>
      <c r="AT27">
        <v>22.666666666666668</v>
      </c>
      <c r="AU27">
        <v>25</v>
      </c>
      <c r="AV27">
        <v>-5.533333333333335</v>
      </c>
      <c r="AW27">
        <v>27</v>
      </c>
      <c r="AX27">
        <v>-31.777777777777782</v>
      </c>
      <c r="AY27">
        <v>16</v>
      </c>
      <c r="AZ27">
        <v>0</v>
      </c>
      <c r="BA27">
        <v>13</v>
      </c>
      <c r="BB27">
        <v>14</v>
      </c>
      <c r="BC27">
        <v>14</v>
      </c>
      <c r="BD27">
        <v>-1.0666666666666675</v>
      </c>
      <c r="BE27">
        <v>15</v>
      </c>
      <c r="BF27">
        <v>-0.44444444444444525</v>
      </c>
      <c r="BG27">
        <v>13</v>
      </c>
      <c r="BH27">
        <v>0.55555555555555569</v>
      </c>
      <c r="BI27">
        <v>30</v>
      </c>
      <c r="BJ27">
        <v>27.666666666666668</v>
      </c>
      <c r="BK27">
        <v>29</v>
      </c>
      <c r="BL27">
        <v>-3.2666666666666671</v>
      </c>
      <c r="BM27">
        <v>30</v>
      </c>
      <c r="BN27">
        <v>-21.555555555555557</v>
      </c>
      <c r="BO27">
        <v>24</v>
      </c>
      <c r="BP27">
        <v>-0.66666666666666663</v>
      </c>
      <c r="BQ27">
        <v>24</v>
      </c>
      <c r="BR27">
        <v>21.666666666666668</v>
      </c>
      <c r="BS27">
        <v>21</v>
      </c>
      <c r="BT27">
        <v>-1.2</v>
      </c>
      <c r="BU27">
        <v>27</v>
      </c>
      <c r="BV27">
        <v>-9.7777777777777786</v>
      </c>
      <c r="BW27">
        <v>17</v>
      </c>
      <c r="BX27">
        <v>0.11111111111111101</v>
      </c>
      <c r="BY27">
        <v>4</v>
      </c>
      <c r="BZ27">
        <v>4.333333333333333</v>
      </c>
      <c r="CA27">
        <v>2</v>
      </c>
      <c r="CB27">
        <v>7.0888888888888912</v>
      </c>
      <c r="CC27">
        <v>10</v>
      </c>
      <c r="CD27">
        <v>9.7777777777777768</v>
      </c>
      <c r="CE27">
        <v>1</v>
      </c>
      <c r="CF27">
        <v>4.333333333333333</v>
      </c>
      <c r="CG27">
        <v>2</v>
      </c>
      <c r="CH27">
        <v>2</v>
      </c>
      <c r="CI27">
        <v>2</v>
      </c>
      <c r="CJ27">
        <v>5.9444444444444455</v>
      </c>
      <c r="CK27">
        <v>27.222222222222225</v>
      </c>
      <c r="CL27">
        <v>2.5555555555555558</v>
      </c>
      <c r="CM27">
        <v>13</v>
      </c>
      <c r="CN27">
        <v>14</v>
      </c>
      <c r="CO27">
        <v>16</v>
      </c>
      <c r="CP27">
        <v>0.22222222222222232</v>
      </c>
      <c r="CQ27">
        <v>12</v>
      </c>
      <c r="CR27">
        <v>0.33333333333333326</v>
      </c>
      <c r="CS27">
        <v>-2.5555555555555554</v>
      </c>
      <c r="CT27">
        <v>13</v>
      </c>
      <c r="CU27">
        <v>14.75</v>
      </c>
      <c r="CV27">
        <v>31</v>
      </c>
      <c r="CW27">
        <v>-6.9097356808255114E-2</v>
      </c>
      <c r="CX27">
        <v>8</v>
      </c>
      <c r="CY27">
        <v>8.4739776531842208E-3</v>
      </c>
      <c r="CZ27">
        <v>19</v>
      </c>
      <c r="DA27">
        <v>4.163799163799161E-2</v>
      </c>
      <c r="DB27">
        <v>1</v>
      </c>
      <c r="DC27">
        <v>4.8888888888888884</v>
      </c>
      <c r="DD27">
        <v>5.8888888888888902</v>
      </c>
      <c r="DE27">
        <v>-5.4444444444444455</v>
      </c>
      <c r="DF27">
        <v>0</v>
      </c>
      <c r="DG27">
        <v>-22.333333333333332</v>
      </c>
      <c r="DH27">
        <v>3.1111111111111049</v>
      </c>
      <c r="DI27">
        <v>-28.111111111111114</v>
      </c>
      <c r="DJ27">
        <v>-2.4444444444444442</v>
      </c>
      <c r="DK27">
        <v>5.1111111111111134</v>
      </c>
      <c r="DL27">
        <v>6</v>
      </c>
      <c r="DM27">
        <v>5.9355555555555561</v>
      </c>
      <c r="DN27">
        <v>3.679333333333334</v>
      </c>
      <c r="DO27">
        <v>31.222222222222218</v>
      </c>
      <c r="DP27">
        <v>27</v>
      </c>
      <c r="DQ27">
        <v>-1.1872222222222226</v>
      </c>
      <c r="DR27">
        <v>2.5555555555555558</v>
      </c>
      <c r="DS27">
        <v>0.13583333333333325</v>
      </c>
      <c r="DT27">
        <v>0.74972222222222185</v>
      </c>
      <c r="DU27" t="s">
        <v>256</v>
      </c>
      <c r="DV27" t="s">
        <v>257</v>
      </c>
      <c r="DW27" t="s">
        <v>547</v>
      </c>
      <c r="DX27">
        <v>19</v>
      </c>
      <c r="DY27">
        <v>-1.4911111111111104</v>
      </c>
      <c r="DZ27">
        <v>17</v>
      </c>
      <c r="EA27">
        <v>16</v>
      </c>
      <c r="EB27">
        <v>20</v>
      </c>
      <c r="EC27">
        <v>-1.2111111111111117</v>
      </c>
      <c r="ED27">
        <v>17</v>
      </c>
      <c r="EE27">
        <v>0</v>
      </c>
      <c r="EF27">
        <v>12</v>
      </c>
      <c r="EG27">
        <v>0.55555555555555669</v>
      </c>
      <c r="EH27">
        <v>15</v>
      </c>
      <c r="EI27">
        <v>0</v>
      </c>
      <c r="EJ27">
        <v>22</v>
      </c>
      <c r="EK27">
        <v>20.25</v>
      </c>
      <c r="EL27">
        <v>22</v>
      </c>
      <c r="EM27">
        <v>-1.8666666666666671</v>
      </c>
      <c r="EN27">
        <v>20</v>
      </c>
      <c r="EO27">
        <v>-0.88888888888888873</v>
      </c>
      <c r="EP27">
        <v>14</v>
      </c>
      <c r="EQ27">
        <v>-1.1111111111111101</v>
      </c>
      <c r="ER27">
        <v>25</v>
      </c>
      <c r="ES27">
        <v>-0.66666666666666696</v>
      </c>
      <c r="ET27">
        <v>6</v>
      </c>
      <c r="EU27">
        <v>10</v>
      </c>
      <c r="EV27">
        <v>9</v>
      </c>
      <c r="EW27">
        <v>0.65555555555555556</v>
      </c>
      <c r="EX27">
        <v>10</v>
      </c>
      <c r="EY27">
        <v>0.88888888888888895</v>
      </c>
      <c r="EZ27">
        <v>11</v>
      </c>
      <c r="FA27">
        <v>1.6666666666666667</v>
      </c>
      <c r="FB27">
        <v>5</v>
      </c>
      <c r="FC27">
        <v>0.66666666666666663</v>
      </c>
      <c r="FD27">
        <v>9</v>
      </c>
      <c r="FE27">
        <v>11.333333333333334</v>
      </c>
      <c r="FF27">
        <v>18</v>
      </c>
      <c r="FG27">
        <v>-1.5333333333333319</v>
      </c>
      <c r="FH27">
        <v>12</v>
      </c>
      <c r="FI27">
        <v>4.5555555555555562</v>
      </c>
      <c r="FJ27">
        <v>4</v>
      </c>
      <c r="FK27">
        <v>2.6666666666666665</v>
      </c>
      <c r="FL27">
        <v>14</v>
      </c>
      <c r="FM27">
        <v>15</v>
      </c>
      <c r="FN27">
        <v>22</v>
      </c>
      <c r="FO27">
        <v>-1.5888888888888875</v>
      </c>
      <c r="FP27">
        <v>15</v>
      </c>
      <c r="FQ27">
        <v>0.77777777777777857</v>
      </c>
      <c r="FR27">
        <v>8</v>
      </c>
      <c r="FS27">
        <v>0.99999999999999967</v>
      </c>
      <c r="FT27">
        <v>10</v>
      </c>
      <c r="FU27">
        <v>11.666666666666666</v>
      </c>
      <c r="FV27">
        <v>17</v>
      </c>
      <c r="FW27">
        <v>-0.41111111111111054</v>
      </c>
      <c r="FX27">
        <v>10</v>
      </c>
      <c r="FY27">
        <v>5.2222222222222214</v>
      </c>
      <c r="FZ27">
        <v>8</v>
      </c>
      <c r="GA27">
        <v>1</v>
      </c>
      <c r="GB27">
        <v>15</v>
      </c>
      <c r="GC27">
        <v>13.333333333333334</v>
      </c>
      <c r="GD27">
        <v>14</v>
      </c>
      <c r="GE27">
        <v>0.46666666666666617</v>
      </c>
      <c r="GF27">
        <v>17</v>
      </c>
      <c r="GG27">
        <v>-1.444444444444444</v>
      </c>
      <c r="GH27">
        <v>9</v>
      </c>
      <c r="GI27">
        <v>0.66666666666666685</v>
      </c>
      <c r="GJ27">
        <v>17</v>
      </c>
      <c r="GK27">
        <v>17</v>
      </c>
      <c r="GL27">
        <v>17</v>
      </c>
      <c r="GM27">
        <v>-1.3666666666666665</v>
      </c>
      <c r="GN27">
        <v>14</v>
      </c>
      <c r="GO27">
        <v>-1.4444444444444404</v>
      </c>
      <c r="GP27">
        <v>20</v>
      </c>
      <c r="GQ27">
        <v>-0.77777777777777735</v>
      </c>
      <c r="GR27">
        <v>25</v>
      </c>
      <c r="GS27">
        <v>23.333333333333332</v>
      </c>
      <c r="GT27">
        <v>20</v>
      </c>
      <c r="GU27">
        <v>-1.5888888888888886</v>
      </c>
      <c r="GV27">
        <v>-8.1111111111111107</v>
      </c>
      <c r="GW27">
        <v>-1.2222222222222221</v>
      </c>
      <c r="GX27">
        <v>3</v>
      </c>
      <c r="GY27">
        <v>3.5</v>
      </c>
      <c r="GZ27">
        <v>5</v>
      </c>
      <c r="HA27">
        <v>2</v>
      </c>
      <c r="HB27">
        <v>2</v>
      </c>
      <c r="HC27">
        <v>0.77777777777777768</v>
      </c>
      <c r="HD27">
        <v>-1.8888888888888884</v>
      </c>
      <c r="HE27">
        <v>29</v>
      </c>
      <c r="HF27">
        <v>23</v>
      </c>
      <c r="HG27">
        <v>22</v>
      </c>
      <c r="HH27">
        <v>-2.2446448277913977E-2</v>
      </c>
      <c r="HI27">
        <v>27</v>
      </c>
      <c r="HJ27">
        <v>-1.8283839374762138E-2</v>
      </c>
      <c r="HK27">
        <v>14</v>
      </c>
      <c r="HL27">
        <v>-2.6851851851851904E-2</v>
      </c>
      <c r="HM27">
        <v>29</v>
      </c>
      <c r="HN27">
        <v>-2.5555555555555554</v>
      </c>
      <c r="HO27">
        <v>-1.2222222222222214</v>
      </c>
      <c r="HP27">
        <v>-1.555555555555556</v>
      </c>
      <c r="HQ27">
        <v>0</v>
      </c>
      <c r="HR27">
        <v>-13.111111111111123</v>
      </c>
      <c r="HS27">
        <v>-31.444444444444446</v>
      </c>
      <c r="HT27">
        <v>1.0000000000000036</v>
      </c>
      <c r="HU27">
        <v>2.3333333333333335</v>
      </c>
      <c r="HV27">
        <v>15</v>
      </c>
      <c r="HW27">
        <v>21</v>
      </c>
      <c r="HX27">
        <v>-0.27999999999999869</v>
      </c>
      <c r="HY27">
        <v>-0.31711111111111023</v>
      </c>
      <c r="HZ27">
        <v>-32.44444444444445</v>
      </c>
      <c r="IA27">
        <v>12</v>
      </c>
      <c r="IB27">
        <v>-0.47805555555555534</v>
      </c>
      <c r="IC27">
        <v>1.4444444444444444</v>
      </c>
    </row>
    <row r="28" spans="1:237" x14ac:dyDescent="0.2">
      <c r="A28" s="19">
        <v>44108</v>
      </c>
      <c r="B28" s="14" t="s">
        <v>417</v>
      </c>
      <c r="C28" s="40" t="s">
        <v>256</v>
      </c>
      <c r="D28" s="14" t="s">
        <v>294</v>
      </c>
      <c r="E28">
        <v>13.6</v>
      </c>
      <c r="F28">
        <v>7.5</v>
      </c>
      <c r="G28">
        <v>6.3</v>
      </c>
      <c r="H28">
        <v>43.1</v>
      </c>
      <c r="I28">
        <v>-8</v>
      </c>
      <c r="J28">
        <v>45.5</v>
      </c>
      <c r="L28" t="s">
        <v>256</v>
      </c>
      <c r="M28">
        <v>14</v>
      </c>
      <c r="N28">
        <v>-0.51333333333333364</v>
      </c>
      <c r="O28">
        <v>8</v>
      </c>
      <c r="P28">
        <v>10.75</v>
      </c>
      <c r="Q28">
        <v>2</v>
      </c>
      <c r="R28">
        <v>9.3222222222222211</v>
      </c>
      <c r="S28">
        <v>15</v>
      </c>
      <c r="T28">
        <v>0.22222222222222188</v>
      </c>
      <c r="U28">
        <v>20</v>
      </c>
      <c r="V28">
        <v>-6.8888888888888911</v>
      </c>
      <c r="W28">
        <v>6</v>
      </c>
      <c r="X28">
        <v>1.3333333333333335</v>
      </c>
      <c r="Y28">
        <v>7</v>
      </c>
      <c r="Z28">
        <v>11.333333333333334</v>
      </c>
      <c r="AA28">
        <v>6</v>
      </c>
      <c r="AB28">
        <v>4.4222222222222216</v>
      </c>
      <c r="AC28">
        <v>24</v>
      </c>
      <c r="AD28">
        <v>-2</v>
      </c>
      <c r="AE28">
        <v>17</v>
      </c>
      <c r="AF28">
        <v>-4.6666666666666687</v>
      </c>
      <c r="AG28">
        <v>11</v>
      </c>
      <c r="AH28">
        <v>0.77777777777777779</v>
      </c>
      <c r="AI28">
        <v>6</v>
      </c>
      <c r="AJ28">
        <v>10.333333333333334</v>
      </c>
      <c r="AK28">
        <v>3</v>
      </c>
      <c r="AL28">
        <v>4.8999999999999995</v>
      </c>
      <c r="AM28">
        <v>7</v>
      </c>
      <c r="AN28">
        <v>2.2222222222222219</v>
      </c>
      <c r="AO28">
        <v>18</v>
      </c>
      <c r="AP28">
        <v>-2.2222222222222219</v>
      </c>
      <c r="AQ28">
        <v>10</v>
      </c>
      <c r="AR28">
        <v>0.55555555555555569</v>
      </c>
      <c r="AS28">
        <v>28</v>
      </c>
      <c r="AT28">
        <v>27.666666666666668</v>
      </c>
      <c r="AU28">
        <v>28</v>
      </c>
      <c r="AV28">
        <v>-8.6666666666666643</v>
      </c>
      <c r="AW28">
        <v>28</v>
      </c>
      <c r="AX28">
        <v>-32.222222222222221</v>
      </c>
      <c r="AY28">
        <v>27</v>
      </c>
      <c r="AZ28">
        <v>-3.333333333333333</v>
      </c>
      <c r="BA28">
        <v>21</v>
      </c>
      <c r="BB28">
        <v>21.666666666666668</v>
      </c>
      <c r="BC28">
        <v>24</v>
      </c>
      <c r="BD28">
        <v>-3.3555555555555547</v>
      </c>
      <c r="BE28">
        <v>21</v>
      </c>
      <c r="BF28">
        <v>-6.8888888888888884</v>
      </c>
      <c r="BG28">
        <v>20</v>
      </c>
      <c r="BH28">
        <v>-1</v>
      </c>
      <c r="BI28">
        <v>23</v>
      </c>
      <c r="BJ28">
        <v>22</v>
      </c>
      <c r="BK28">
        <v>21</v>
      </c>
      <c r="BL28">
        <v>-1.5666666666666664</v>
      </c>
      <c r="BM28">
        <v>22</v>
      </c>
      <c r="BN28">
        <v>-10.111111111111112</v>
      </c>
      <c r="BO28">
        <v>23</v>
      </c>
      <c r="BP28">
        <v>-0.55555555555555536</v>
      </c>
      <c r="BQ28">
        <v>31</v>
      </c>
      <c r="BR28">
        <v>29.666666666666668</v>
      </c>
      <c r="BS28">
        <v>31</v>
      </c>
      <c r="BT28">
        <v>-3.744444444444444</v>
      </c>
      <c r="BU28">
        <v>29</v>
      </c>
      <c r="BV28">
        <v>-15.222222222222221</v>
      </c>
      <c r="BW28">
        <v>29</v>
      </c>
      <c r="BX28">
        <v>-1.7777777777777779</v>
      </c>
      <c r="BY28">
        <v>11</v>
      </c>
      <c r="BZ28">
        <v>12.333333333333334</v>
      </c>
      <c r="CA28">
        <v>12</v>
      </c>
      <c r="CB28">
        <v>1.1222222222222242</v>
      </c>
      <c r="CC28">
        <v>8</v>
      </c>
      <c r="CD28">
        <v>12.333333333333334</v>
      </c>
      <c r="CE28">
        <v>17</v>
      </c>
      <c r="CF28">
        <v>0</v>
      </c>
      <c r="CG28">
        <v>8</v>
      </c>
      <c r="CH28">
        <v>9</v>
      </c>
      <c r="CI28">
        <v>7</v>
      </c>
      <c r="CJ28">
        <v>3.9</v>
      </c>
      <c r="CK28">
        <v>4.7777777777777777</v>
      </c>
      <c r="CL28">
        <v>1.4444444444444444</v>
      </c>
      <c r="CM28">
        <v>15</v>
      </c>
      <c r="CN28">
        <v>15</v>
      </c>
      <c r="CO28">
        <v>7</v>
      </c>
      <c r="CP28">
        <v>1.555555555555556</v>
      </c>
      <c r="CQ28">
        <v>23</v>
      </c>
      <c r="CR28">
        <v>-0.22222222222222218</v>
      </c>
      <c r="CS28">
        <v>-2.5555555555555554</v>
      </c>
      <c r="CT28">
        <v>20</v>
      </c>
      <c r="CU28">
        <v>18.25</v>
      </c>
      <c r="CV28">
        <v>6</v>
      </c>
      <c r="CW28">
        <v>4.4232029008593077E-2</v>
      </c>
      <c r="CX28">
        <v>12</v>
      </c>
      <c r="CY28">
        <v>3.7081024502408238E-3</v>
      </c>
      <c r="CZ28">
        <v>29</v>
      </c>
      <c r="DA28">
        <v>0.13703703703703701</v>
      </c>
      <c r="DB28">
        <v>26</v>
      </c>
      <c r="DC28">
        <v>-1.8888888888888884</v>
      </c>
      <c r="DD28">
        <v>-0.33333333333333098</v>
      </c>
      <c r="DE28">
        <v>4.7777777777777786</v>
      </c>
      <c r="DF28">
        <v>-1.7777777777777777</v>
      </c>
      <c r="DG28">
        <v>26.444444444444439</v>
      </c>
      <c r="DH28">
        <v>16.666666666666668</v>
      </c>
      <c r="DI28">
        <v>14.888888888888886</v>
      </c>
      <c r="DJ28">
        <v>3.0000000000000004</v>
      </c>
      <c r="DK28">
        <v>-8.1111111111111107</v>
      </c>
      <c r="DL28">
        <v>29</v>
      </c>
      <c r="DM28">
        <v>-9.8355555555555547</v>
      </c>
      <c r="DN28">
        <v>-5.7171111111111106</v>
      </c>
      <c r="DO28">
        <v>1.7777777777777821</v>
      </c>
      <c r="DP28">
        <v>4</v>
      </c>
      <c r="DQ28">
        <v>0.69972222222222236</v>
      </c>
      <c r="DR28">
        <v>-1.8888888888888886</v>
      </c>
      <c r="DS28">
        <v>0.13583333333333325</v>
      </c>
      <c r="DT28">
        <v>-0.47805555555555534</v>
      </c>
      <c r="DU28" t="s">
        <v>294</v>
      </c>
      <c r="DV28" t="s">
        <v>290</v>
      </c>
      <c r="DW28" t="s">
        <v>469</v>
      </c>
      <c r="DX28">
        <v>12</v>
      </c>
      <c r="DY28">
        <v>1.7644444444444438</v>
      </c>
      <c r="DZ28">
        <v>22</v>
      </c>
      <c r="EA28">
        <v>19.75</v>
      </c>
      <c r="EB28">
        <v>18</v>
      </c>
      <c r="EC28">
        <v>-0.29999999999999932</v>
      </c>
      <c r="ED28">
        <v>16</v>
      </c>
      <c r="EE28">
        <v>0.11111111111111149</v>
      </c>
      <c r="EF28">
        <v>15</v>
      </c>
      <c r="EG28">
        <v>-7.1111111111111089</v>
      </c>
      <c r="EH28">
        <v>30</v>
      </c>
      <c r="EI28">
        <v>-1.6666666666666665</v>
      </c>
      <c r="EJ28">
        <v>23</v>
      </c>
      <c r="EK28">
        <v>20.5</v>
      </c>
      <c r="EL28">
        <v>21</v>
      </c>
      <c r="EM28">
        <v>-0.76666666666666627</v>
      </c>
      <c r="EN28">
        <v>15</v>
      </c>
      <c r="EO28">
        <v>-0.33333333333333331</v>
      </c>
      <c r="EP28">
        <v>24</v>
      </c>
      <c r="EQ28">
        <v>-10.444444444444443</v>
      </c>
      <c r="ER28">
        <v>22</v>
      </c>
      <c r="ES28">
        <v>-0.66666666666666663</v>
      </c>
      <c r="ET28">
        <v>9</v>
      </c>
      <c r="EU28">
        <v>11.333333333333334</v>
      </c>
      <c r="EV28">
        <v>13</v>
      </c>
      <c r="EW28">
        <v>0.46666666666666695</v>
      </c>
      <c r="EX28">
        <v>13</v>
      </c>
      <c r="EY28">
        <v>0.44444444444444481</v>
      </c>
      <c r="EZ28">
        <v>8</v>
      </c>
      <c r="FA28">
        <v>3.3333333333333339</v>
      </c>
      <c r="FB28">
        <v>28</v>
      </c>
      <c r="FC28">
        <v>-1</v>
      </c>
      <c r="FD28">
        <v>16</v>
      </c>
      <c r="FE28">
        <v>16</v>
      </c>
      <c r="FF28">
        <v>13</v>
      </c>
      <c r="FG28">
        <v>3.3333333333330994E-2</v>
      </c>
      <c r="FH28">
        <v>18</v>
      </c>
      <c r="FI28">
        <v>-5.3333333333333357</v>
      </c>
      <c r="FJ28">
        <v>17</v>
      </c>
      <c r="FK28">
        <v>-0.44444444444444453</v>
      </c>
      <c r="FL28">
        <v>21</v>
      </c>
      <c r="FM28">
        <v>19.666666666666668</v>
      </c>
      <c r="FN28">
        <v>23</v>
      </c>
      <c r="FO28">
        <v>-1.6777777777777789</v>
      </c>
      <c r="FP28">
        <v>25</v>
      </c>
      <c r="FQ28">
        <v>-10.222222222222223</v>
      </c>
      <c r="FR28">
        <v>11</v>
      </c>
      <c r="FS28">
        <v>0.55555555555555569</v>
      </c>
      <c r="FT28">
        <v>22</v>
      </c>
      <c r="FU28">
        <v>21.666666666666668</v>
      </c>
      <c r="FV28">
        <v>20</v>
      </c>
      <c r="FW28">
        <v>-1.9555555555555568</v>
      </c>
      <c r="FX28">
        <v>14</v>
      </c>
      <c r="FY28">
        <v>1.7777777777777786</v>
      </c>
      <c r="FZ28">
        <v>31</v>
      </c>
      <c r="GA28">
        <v>-1.8888888888888891</v>
      </c>
      <c r="GB28">
        <v>5</v>
      </c>
      <c r="GC28">
        <v>7.333333333333333</v>
      </c>
      <c r="GD28">
        <v>4</v>
      </c>
      <c r="GE28">
        <v>3.6666666666666665</v>
      </c>
      <c r="GF28">
        <v>13</v>
      </c>
      <c r="GG28">
        <v>3.1111111111111094</v>
      </c>
      <c r="GH28">
        <v>5</v>
      </c>
      <c r="GI28">
        <v>0.88888888888888895</v>
      </c>
      <c r="GJ28">
        <v>29</v>
      </c>
      <c r="GK28">
        <v>27.333333333333332</v>
      </c>
      <c r="GL28">
        <v>28</v>
      </c>
      <c r="GM28">
        <v>-4.9444444444444455</v>
      </c>
      <c r="GN28">
        <v>29</v>
      </c>
      <c r="GO28">
        <v>-23.888888888888886</v>
      </c>
      <c r="GP28">
        <v>25</v>
      </c>
      <c r="GQ28">
        <v>-1.3333333333333333</v>
      </c>
      <c r="GR28">
        <v>23</v>
      </c>
      <c r="GS28">
        <v>20.333333333333332</v>
      </c>
      <c r="GT28">
        <v>7</v>
      </c>
      <c r="GU28">
        <v>2.6111111111111107</v>
      </c>
      <c r="GV28">
        <v>-9.4444444444444446</v>
      </c>
      <c r="GW28">
        <v>-1.5555555555555554</v>
      </c>
      <c r="GX28">
        <v>8</v>
      </c>
      <c r="GY28">
        <v>8</v>
      </c>
      <c r="GZ28">
        <v>6</v>
      </c>
      <c r="HA28">
        <v>1.8888888888888886</v>
      </c>
      <c r="HB28">
        <v>10</v>
      </c>
      <c r="HC28">
        <v>0.22222222222222224</v>
      </c>
      <c r="HD28">
        <v>4.8888888888888884</v>
      </c>
      <c r="HE28">
        <v>16</v>
      </c>
      <c r="HF28">
        <v>16</v>
      </c>
      <c r="HG28">
        <v>4</v>
      </c>
      <c r="HH28">
        <v>7.6389618745328694E-2</v>
      </c>
      <c r="HI28">
        <v>7</v>
      </c>
      <c r="HJ28">
        <v>1.8193073814911771E-2</v>
      </c>
      <c r="HK28">
        <v>24</v>
      </c>
      <c r="HL28">
        <v>7.9955229955229953E-2</v>
      </c>
      <c r="HM28">
        <v>29</v>
      </c>
      <c r="HN28">
        <v>-2.5555555555555554</v>
      </c>
      <c r="HO28">
        <v>-0.11111111111110954</v>
      </c>
      <c r="HP28">
        <v>4.8888888888888884</v>
      </c>
      <c r="HQ28">
        <v>0</v>
      </c>
      <c r="HR28">
        <v>-14.222222222222229</v>
      </c>
      <c r="HS28">
        <v>-4.2222222222222383</v>
      </c>
      <c r="HT28">
        <v>-6.1111111111111098</v>
      </c>
      <c r="HU28">
        <v>0.11111111111111131</v>
      </c>
      <c r="HV28">
        <v>-4</v>
      </c>
      <c r="HW28">
        <v>15</v>
      </c>
      <c r="HX28">
        <v>2.064444444444443</v>
      </c>
      <c r="HY28">
        <v>1.0317777777777768</v>
      </c>
      <c r="HZ28">
        <v>1.8888888888888715</v>
      </c>
      <c r="IA28">
        <v>18</v>
      </c>
      <c r="IB28">
        <v>0.74972222222222185</v>
      </c>
      <c r="IC28">
        <v>-2</v>
      </c>
    </row>
    <row r="29" spans="1:237" x14ac:dyDescent="0.2">
      <c r="A29" s="19">
        <v>44108</v>
      </c>
      <c r="B29" s="13" t="s">
        <v>417</v>
      </c>
      <c r="C29" s="41" t="s">
        <v>308</v>
      </c>
      <c r="D29" s="14" t="s">
        <v>293</v>
      </c>
      <c r="E29">
        <v>5.9</v>
      </c>
      <c r="F29">
        <v>17.600000000000001</v>
      </c>
      <c r="G29">
        <v>18.5</v>
      </c>
      <c r="H29">
        <v>8.5</v>
      </c>
      <c r="I29">
        <v>-4</v>
      </c>
      <c r="J29">
        <v>55</v>
      </c>
      <c r="L29" t="s">
        <v>308</v>
      </c>
      <c r="M29">
        <v>4</v>
      </c>
      <c r="N29">
        <v>8.1622222222222245</v>
      </c>
      <c r="O29">
        <v>20</v>
      </c>
      <c r="P29">
        <v>18.5</v>
      </c>
      <c r="Q29">
        <v>8</v>
      </c>
      <c r="R29">
        <v>3.7666666666666657</v>
      </c>
      <c r="S29">
        <v>27</v>
      </c>
      <c r="T29">
        <v>-2.666666666666667</v>
      </c>
      <c r="U29">
        <v>18</v>
      </c>
      <c r="V29">
        <v>-6.4444444444444446</v>
      </c>
      <c r="W29">
        <v>21</v>
      </c>
      <c r="X29">
        <v>-0.55555555555555547</v>
      </c>
      <c r="Y29">
        <v>13</v>
      </c>
      <c r="Z29">
        <v>14.666666666666666</v>
      </c>
      <c r="AA29">
        <v>9</v>
      </c>
      <c r="AB29">
        <v>3.3333333333333321</v>
      </c>
      <c r="AC29">
        <v>27</v>
      </c>
      <c r="AD29">
        <v>-2.8888888888888893</v>
      </c>
      <c r="AE29">
        <v>22</v>
      </c>
      <c r="AF29">
        <v>-7.8888888888888884</v>
      </c>
      <c r="AG29">
        <v>13</v>
      </c>
      <c r="AH29">
        <v>0.22222222222222232</v>
      </c>
      <c r="AI29">
        <v>19</v>
      </c>
      <c r="AJ29">
        <v>18</v>
      </c>
      <c r="AK29">
        <v>15</v>
      </c>
      <c r="AL29">
        <v>0.43333333333333357</v>
      </c>
      <c r="AM29">
        <v>14</v>
      </c>
      <c r="AN29">
        <v>0.22222222222222218</v>
      </c>
      <c r="AO29">
        <v>16</v>
      </c>
      <c r="AP29">
        <v>1.4444444444444435</v>
      </c>
      <c r="AQ29">
        <v>23</v>
      </c>
      <c r="AR29">
        <v>-0.77777777777777779</v>
      </c>
      <c r="AS29">
        <v>8</v>
      </c>
      <c r="AT29">
        <v>9</v>
      </c>
      <c r="AU29">
        <v>5</v>
      </c>
      <c r="AV29">
        <v>9.6333333333333329</v>
      </c>
      <c r="AW29">
        <v>7</v>
      </c>
      <c r="AX29">
        <v>22.777777777777779</v>
      </c>
      <c r="AY29">
        <v>15</v>
      </c>
      <c r="AZ29">
        <v>0.22222222222222232</v>
      </c>
      <c r="BA29">
        <v>7</v>
      </c>
      <c r="BB29">
        <v>8.6666666666666661</v>
      </c>
      <c r="BC29">
        <v>6</v>
      </c>
      <c r="BD29">
        <v>5.4555555555555557</v>
      </c>
      <c r="BE29">
        <v>11</v>
      </c>
      <c r="BF29">
        <v>3.8888888888888906</v>
      </c>
      <c r="BG29">
        <v>9</v>
      </c>
      <c r="BH29">
        <v>1.2222222222222221</v>
      </c>
      <c r="BI29">
        <v>3</v>
      </c>
      <c r="BJ29">
        <v>5</v>
      </c>
      <c r="BK29">
        <v>3</v>
      </c>
      <c r="BL29">
        <v>4.1888888888888882</v>
      </c>
      <c r="BM29">
        <v>4</v>
      </c>
      <c r="BN29">
        <v>25</v>
      </c>
      <c r="BO29">
        <v>8</v>
      </c>
      <c r="BP29">
        <v>0.55555555555555569</v>
      </c>
      <c r="BQ29">
        <v>24</v>
      </c>
      <c r="BR29">
        <v>21.666666666666668</v>
      </c>
      <c r="BS29">
        <v>14</v>
      </c>
      <c r="BT29">
        <v>-1.1111111111110775E-2</v>
      </c>
      <c r="BU29">
        <v>24</v>
      </c>
      <c r="BV29">
        <v>-6.1111111111111107</v>
      </c>
      <c r="BW29">
        <v>27</v>
      </c>
      <c r="BX29">
        <v>-1.5555555555555554</v>
      </c>
      <c r="BY29">
        <v>19</v>
      </c>
      <c r="BZ29">
        <v>18.333333333333332</v>
      </c>
      <c r="CA29">
        <v>14</v>
      </c>
      <c r="CB29">
        <v>5.5555555555555948E-2</v>
      </c>
      <c r="CC29">
        <v>17</v>
      </c>
      <c r="CD29">
        <v>-3.8888888888888857</v>
      </c>
      <c r="CE29">
        <v>24</v>
      </c>
      <c r="CF29">
        <v>-1.2222222222222221</v>
      </c>
      <c r="CG29">
        <v>28</v>
      </c>
      <c r="CH29">
        <v>27.333333333333332</v>
      </c>
      <c r="CI29">
        <v>27</v>
      </c>
      <c r="CJ29">
        <v>-3.7666666666666657</v>
      </c>
      <c r="CK29">
        <v>-14.333333333333334</v>
      </c>
      <c r="CL29">
        <v>-2.1111111111111112</v>
      </c>
      <c r="CM29">
        <v>30</v>
      </c>
      <c r="CN29">
        <v>29.5</v>
      </c>
      <c r="CO29">
        <v>27</v>
      </c>
      <c r="CP29">
        <v>-1.666666666666667</v>
      </c>
      <c r="CQ29">
        <v>32</v>
      </c>
      <c r="CR29">
        <v>-1.4444444444444446</v>
      </c>
      <c r="CS29">
        <v>2.7777777777777772</v>
      </c>
      <c r="CT29">
        <v>16</v>
      </c>
      <c r="CU29">
        <v>15.75</v>
      </c>
      <c r="CV29">
        <v>2</v>
      </c>
      <c r="CW29">
        <v>8.9313493863948198E-2</v>
      </c>
      <c r="CX29">
        <v>3</v>
      </c>
      <c r="CY29">
        <v>2.6554685432415386E-2</v>
      </c>
      <c r="CZ29">
        <v>31</v>
      </c>
      <c r="DA29">
        <v>0.15224867724867727</v>
      </c>
      <c r="DB29">
        <v>27</v>
      </c>
      <c r="DC29">
        <v>-2.3333333333333335</v>
      </c>
      <c r="DD29">
        <v>-6.1111111111111072</v>
      </c>
      <c r="DE29">
        <v>6.4444444444444438</v>
      </c>
      <c r="DF29">
        <v>0.44444444444444448</v>
      </c>
      <c r="DG29">
        <v>-13.222222222222209</v>
      </c>
      <c r="DH29">
        <v>9.3333333333333233</v>
      </c>
      <c r="DI29">
        <v>-26.777777777777775</v>
      </c>
      <c r="DJ29">
        <v>-2.5555555555555558</v>
      </c>
      <c r="DK29">
        <v>6.7777777777777777</v>
      </c>
      <c r="DL29">
        <v>8</v>
      </c>
      <c r="DM29">
        <v>4.3955555555555588</v>
      </c>
      <c r="DN29">
        <v>0.92244444444444573</v>
      </c>
      <c r="DO29">
        <v>36.1111111111111</v>
      </c>
      <c r="DP29">
        <v>25</v>
      </c>
      <c r="DQ29">
        <v>2.0161111111111119</v>
      </c>
      <c r="DR29">
        <v>-1.8888888888888888</v>
      </c>
      <c r="DS29">
        <v>0.74166666666666625</v>
      </c>
      <c r="DT29">
        <v>2.9008333333333329</v>
      </c>
      <c r="DU29" t="s">
        <v>293</v>
      </c>
      <c r="DV29" t="s">
        <v>264</v>
      </c>
      <c r="DW29" t="s">
        <v>468</v>
      </c>
      <c r="DX29">
        <v>21</v>
      </c>
      <c r="DY29">
        <v>-2.2955555555555578</v>
      </c>
      <c r="DZ29">
        <v>24</v>
      </c>
      <c r="EA29">
        <v>20.25</v>
      </c>
      <c r="EB29">
        <v>17</v>
      </c>
      <c r="EC29">
        <v>-0.11111111111111227</v>
      </c>
      <c r="ED29">
        <v>18</v>
      </c>
      <c r="EE29">
        <v>-0.44444444444444475</v>
      </c>
      <c r="EF29">
        <v>20</v>
      </c>
      <c r="EG29">
        <v>-9.5555555555555571</v>
      </c>
      <c r="EH29">
        <v>26</v>
      </c>
      <c r="EI29">
        <v>-1.1111111111111109</v>
      </c>
      <c r="EJ29">
        <v>21</v>
      </c>
      <c r="EK29">
        <v>19.75</v>
      </c>
      <c r="EL29">
        <v>10</v>
      </c>
      <c r="EM29">
        <v>1.4777777777777761</v>
      </c>
      <c r="EN29">
        <v>18</v>
      </c>
      <c r="EO29">
        <v>-0.55555555555555569</v>
      </c>
      <c r="EP29">
        <v>22</v>
      </c>
      <c r="EQ29">
        <v>-6.1111111111111116</v>
      </c>
      <c r="ER29">
        <v>29</v>
      </c>
      <c r="ES29">
        <v>-1.1111111111111109</v>
      </c>
      <c r="ET29">
        <v>23</v>
      </c>
      <c r="EU29">
        <v>20.666666666666668</v>
      </c>
      <c r="EV29">
        <v>26</v>
      </c>
      <c r="EW29">
        <v>-1.5888888888888884</v>
      </c>
      <c r="EX29">
        <v>15</v>
      </c>
      <c r="EY29">
        <v>0.11111111111111094</v>
      </c>
      <c r="EZ29">
        <v>21</v>
      </c>
      <c r="FA29">
        <v>-3.4444444444444446</v>
      </c>
      <c r="FB29">
        <v>15</v>
      </c>
      <c r="FC29">
        <v>7.4014868308343765E-17</v>
      </c>
      <c r="FD29">
        <v>18</v>
      </c>
      <c r="FE29">
        <v>19.333333333333332</v>
      </c>
      <c r="FF29">
        <v>23</v>
      </c>
      <c r="FG29">
        <v>-3.6111111111111103</v>
      </c>
      <c r="FH29">
        <v>21</v>
      </c>
      <c r="FI29">
        <v>-13.111111111111111</v>
      </c>
      <c r="FJ29">
        <v>14</v>
      </c>
      <c r="FK29">
        <v>0.11111111111111138</v>
      </c>
      <c r="FL29">
        <v>8</v>
      </c>
      <c r="FM29">
        <v>9.3333333333333339</v>
      </c>
      <c r="FN29">
        <v>10</v>
      </c>
      <c r="FO29">
        <v>1.8333333333333339</v>
      </c>
      <c r="FP29">
        <v>12</v>
      </c>
      <c r="FQ29">
        <v>6.2222222222222214</v>
      </c>
      <c r="FR29">
        <v>6</v>
      </c>
      <c r="FS29">
        <v>1.3333333333333337</v>
      </c>
      <c r="FT29">
        <v>21</v>
      </c>
      <c r="FU29">
        <v>20.666666666666668</v>
      </c>
      <c r="FV29">
        <v>21</v>
      </c>
      <c r="FW29">
        <v>-2.1333333333333329</v>
      </c>
      <c r="FX29">
        <v>20</v>
      </c>
      <c r="FY29">
        <v>-5.7777777777777759</v>
      </c>
      <c r="FZ29">
        <v>21</v>
      </c>
      <c r="GA29">
        <v>-0.66666666666666663</v>
      </c>
      <c r="GB29">
        <v>28</v>
      </c>
      <c r="GC29">
        <v>27.333333333333332</v>
      </c>
      <c r="GD29">
        <v>30</v>
      </c>
      <c r="GE29">
        <v>-3.3111111111111113</v>
      </c>
      <c r="GF29">
        <v>29</v>
      </c>
      <c r="GG29">
        <v>-13.555555555555557</v>
      </c>
      <c r="GH29">
        <v>23</v>
      </c>
      <c r="GI29">
        <v>-0.55555555555555569</v>
      </c>
      <c r="GJ29">
        <v>23</v>
      </c>
      <c r="GK29">
        <v>24</v>
      </c>
      <c r="GL29">
        <v>21</v>
      </c>
      <c r="GM29">
        <v>-1.8555555555555554</v>
      </c>
      <c r="GN29">
        <v>27</v>
      </c>
      <c r="GO29">
        <v>-19.666666666666668</v>
      </c>
      <c r="GP29">
        <v>24</v>
      </c>
      <c r="GQ29">
        <v>-1.2222222222222221</v>
      </c>
      <c r="GR29">
        <v>20</v>
      </c>
      <c r="GS29">
        <v>18.666666666666668</v>
      </c>
      <c r="GT29">
        <v>25</v>
      </c>
      <c r="GU29">
        <v>-2.3222222222222224</v>
      </c>
      <c r="GV29">
        <v>3.4444444444444446</v>
      </c>
      <c r="GW29">
        <v>-0.22222222222222224</v>
      </c>
      <c r="GX29">
        <v>32</v>
      </c>
      <c r="GY29">
        <v>31</v>
      </c>
      <c r="GZ29">
        <v>31</v>
      </c>
      <c r="HA29">
        <v>-3</v>
      </c>
      <c r="HB29">
        <v>31</v>
      </c>
      <c r="HC29">
        <v>-0.88888888888888895</v>
      </c>
      <c r="HD29">
        <v>-1.5555555555555554</v>
      </c>
      <c r="HE29">
        <v>14</v>
      </c>
      <c r="HF29">
        <v>15</v>
      </c>
      <c r="HG29">
        <v>12</v>
      </c>
      <c r="HH29">
        <v>4.1761482003681112E-3</v>
      </c>
      <c r="HI29">
        <v>11</v>
      </c>
      <c r="HJ29">
        <v>7.409392613602424E-3</v>
      </c>
      <c r="HK29">
        <v>30</v>
      </c>
      <c r="HL29">
        <v>0.12750860250860249</v>
      </c>
      <c r="HM29">
        <v>7</v>
      </c>
      <c r="HN29">
        <v>1.1111111111111112</v>
      </c>
      <c r="HO29">
        <v>-2.7777777777777786</v>
      </c>
      <c r="HP29">
        <v>-4.5555555555555545</v>
      </c>
      <c r="HQ29">
        <v>-1.5555555555555556</v>
      </c>
      <c r="HR29">
        <v>2.8888888888888764</v>
      </c>
      <c r="HS29">
        <v>-0.44444444444443815</v>
      </c>
      <c r="HT29">
        <v>-0.88888888888888573</v>
      </c>
      <c r="HU29">
        <v>-1.8888888888888886</v>
      </c>
      <c r="HV29">
        <v>6.1111111111111116</v>
      </c>
      <c r="HW29">
        <v>24</v>
      </c>
      <c r="HX29">
        <v>-2.1844444444444457</v>
      </c>
      <c r="HY29">
        <v>-1.5902222222222222</v>
      </c>
      <c r="HZ29">
        <v>0.44444444444444758</v>
      </c>
      <c r="IA29">
        <v>9</v>
      </c>
      <c r="IB29">
        <v>-1.4175000000000004</v>
      </c>
      <c r="IC29">
        <v>-0.11111111111111086</v>
      </c>
    </row>
    <row r="30" spans="1:237" x14ac:dyDescent="0.2">
      <c r="A30" s="19">
        <v>44108</v>
      </c>
      <c r="B30" s="13" t="s">
        <v>417</v>
      </c>
      <c r="C30" s="41" t="s">
        <v>284</v>
      </c>
      <c r="D30" s="14" t="s">
        <v>287</v>
      </c>
      <c r="E30">
        <v>28.2</v>
      </c>
      <c r="F30">
        <v>19.3</v>
      </c>
      <c r="G30">
        <v>8</v>
      </c>
      <c r="H30">
        <v>14</v>
      </c>
      <c r="I30">
        <v>-7</v>
      </c>
      <c r="J30">
        <v>42</v>
      </c>
      <c r="L30" t="s">
        <v>284</v>
      </c>
      <c r="M30">
        <v>15</v>
      </c>
      <c r="N30">
        <v>-0.88888888888888873</v>
      </c>
      <c r="O30">
        <v>25</v>
      </c>
      <c r="P30">
        <v>23.5</v>
      </c>
      <c r="Q30">
        <v>24</v>
      </c>
      <c r="R30">
        <v>-3.6555555555555546</v>
      </c>
      <c r="S30">
        <v>24</v>
      </c>
      <c r="T30">
        <v>-2.2222222222222223</v>
      </c>
      <c r="U30">
        <v>24</v>
      </c>
      <c r="V30">
        <v>-11.555555555555555</v>
      </c>
      <c r="W30">
        <v>22</v>
      </c>
      <c r="X30">
        <v>-0.55555555555555558</v>
      </c>
      <c r="Y30">
        <v>27</v>
      </c>
      <c r="Z30">
        <v>23</v>
      </c>
      <c r="AA30">
        <v>25</v>
      </c>
      <c r="AB30">
        <v>-4.3666666666666663</v>
      </c>
      <c r="AC30">
        <v>30</v>
      </c>
      <c r="AD30">
        <v>-4.7777777777777777</v>
      </c>
      <c r="AE30">
        <v>26</v>
      </c>
      <c r="AF30">
        <v>-9.6666666666666661</v>
      </c>
      <c r="AG30">
        <v>18</v>
      </c>
      <c r="AH30">
        <v>-0.55555555555555547</v>
      </c>
      <c r="AI30">
        <v>15</v>
      </c>
      <c r="AJ30">
        <v>15.333333333333334</v>
      </c>
      <c r="AK30">
        <v>13</v>
      </c>
      <c r="AL30">
        <v>0.71111111111111169</v>
      </c>
      <c r="AM30">
        <v>5</v>
      </c>
      <c r="AN30">
        <v>2.5555555555555554</v>
      </c>
      <c r="AO30">
        <v>17</v>
      </c>
      <c r="AP30">
        <v>-1.8888888888888893</v>
      </c>
      <c r="AQ30">
        <v>16</v>
      </c>
      <c r="AR30">
        <v>-7.4014868308343765E-17</v>
      </c>
      <c r="AS30">
        <v>14</v>
      </c>
      <c r="AT30">
        <v>15.333333333333334</v>
      </c>
      <c r="AU30">
        <v>10</v>
      </c>
      <c r="AV30">
        <v>2.4888888888888889</v>
      </c>
      <c r="AW30">
        <v>16</v>
      </c>
      <c r="AX30">
        <v>4.3333333333333339</v>
      </c>
      <c r="AY30">
        <v>20</v>
      </c>
      <c r="AZ30">
        <v>-0.22222222222222276</v>
      </c>
      <c r="BA30">
        <v>16</v>
      </c>
      <c r="BB30">
        <v>17</v>
      </c>
      <c r="BC30">
        <v>13</v>
      </c>
      <c r="BD30">
        <v>-0.27777777777777796</v>
      </c>
      <c r="BE30">
        <v>16</v>
      </c>
      <c r="BF30">
        <v>-4</v>
      </c>
      <c r="BG30">
        <v>22</v>
      </c>
      <c r="BH30">
        <v>-1.1111111111111114</v>
      </c>
      <c r="BI30">
        <v>15</v>
      </c>
      <c r="BJ30">
        <v>16.333333333333332</v>
      </c>
      <c r="BK30">
        <v>11</v>
      </c>
      <c r="BL30">
        <v>1.3444444444444443</v>
      </c>
      <c r="BM30">
        <v>17</v>
      </c>
      <c r="BN30">
        <v>-5.4444444444444438</v>
      </c>
      <c r="BO30">
        <v>21</v>
      </c>
      <c r="BP30">
        <v>-0.33333333333333348</v>
      </c>
      <c r="BQ30">
        <v>4</v>
      </c>
      <c r="BR30">
        <v>6.333333333333333</v>
      </c>
      <c r="BS30">
        <v>10</v>
      </c>
      <c r="BT30">
        <v>1.4222222222222225</v>
      </c>
      <c r="BU30">
        <v>3</v>
      </c>
      <c r="BV30">
        <v>13.777777777777777</v>
      </c>
      <c r="BW30">
        <v>6</v>
      </c>
      <c r="BX30">
        <v>1.2222222222222221</v>
      </c>
      <c r="BY30">
        <v>8</v>
      </c>
      <c r="BZ30">
        <v>9</v>
      </c>
      <c r="CA30">
        <v>10</v>
      </c>
      <c r="CB30">
        <v>2.1777777777777767</v>
      </c>
      <c r="CC30">
        <v>9</v>
      </c>
      <c r="CD30">
        <v>11.77777777777778</v>
      </c>
      <c r="CE30">
        <v>8</v>
      </c>
      <c r="CF30">
        <v>1.2222222222222225</v>
      </c>
      <c r="CG30">
        <v>28</v>
      </c>
      <c r="CH30">
        <v>27.333333333333332</v>
      </c>
      <c r="CI30">
        <v>28</v>
      </c>
      <c r="CJ30">
        <v>-3.9888888888888894</v>
      </c>
      <c r="CK30">
        <v>-15.444444444444445</v>
      </c>
      <c r="CL30">
        <v>-1.7777777777777777</v>
      </c>
      <c r="CM30">
        <v>26</v>
      </c>
      <c r="CN30">
        <v>25.5</v>
      </c>
      <c r="CO30">
        <v>26</v>
      </c>
      <c r="CP30">
        <v>-1.333333333333333</v>
      </c>
      <c r="CQ30">
        <v>25</v>
      </c>
      <c r="CR30">
        <v>-0.33333333333333343</v>
      </c>
      <c r="CS30">
        <v>4.333333333333333</v>
      </c>
      <c r="CT30">
        <v>10</v>
      </c>
      <c r="CU30">
        <v>12.75</v>
      </c>
      <c r="CV30">
        <v>22</v>
      </c>
      <c r="CW30">
        <v>-3.2798432048587706E-2</v>
      </c>
      <c r="CX30">
        <v>9</v>
      </c>
      <c r="CY30">
        <v>6.5882786446207417E-3</v>
      </c>
      <c r="CZ30">
        <v>16</v>
      </c>
      <c r="DA30">
        <v>4.7152194211017755E-3</v>
      </c>
      <c r="DB30">
        <v>4</v>
      </c>
      <c r="DC30">
        <v>3.1111111111111112</v>
      </c>
      <c r="DD30">
        <v>-4.2222222222222241</v>
      </c>
      <c r="DE30">
        <v>-0.11111111111111072</v>
      </c>
      <c r="DF30">
        <v>0.22222222222222224</v>
      </c>
      <c r="DG30">
        <v>-38.111111111111121</v>
      </c>
      <c r="DH30">
        <v>-21.111111111111125</v>
      </c>
      <c r="DI30">
        <v>-14.888888888888891</v>
      </c>
      <c r="DJ30">
        <v>0.55555555555555569</v>
      </c>
      <c r="DK30">
        <v>-2.6666666666666665</v>
      </c>
      <c r="DL30">
        <v>11</v>
      </c>
      <c r="DM30">
        <v>2.7666666666666657</v>
      </c>
      <c r="DN30">
        <v>1.3499999999999994</v>
      </c>
      <c r="DO30">
        <v>-6.2222222222222339</v>
      </c>
      <c r="DP30">
        <v>22</v>
      </c>
      <c r="DQ30">
        <v>-0.92222222222222194</v>
      </c>
      <c r="DR30">
        <v>-2.0000000000000004</v>
      </c>
      <c r="DS30">
        <v>-1.5177777777777779</v>
      </c>
      <c r="DT30">
        <v>-0.67166666666666663</v>
      </c>
      <c r="DU30" t="s">
        <v>287</v>
      </c>
      <c r="DV30" t="s">
        <v>267</v>
      </c>
      <c r="DW30" t="s">
        <v>502</v>
      </c>
      <c r="DX30">
        <v>23</v>
      </c>
      <c r="DY30">
        <v>-2.7333333333333347</v>
      </c>
      <c r="DZ30">
        <v>28</v>
      </c>
      <c r="EA30">
        <v>23.25</v>
      </c>
      <c r="EB30">
        <v>28</v>
      </c>
      <c r="EC30">
        <v>-5.7888888888888896</v>
      </c>
      <c r="ED30">
        <v>31</v>
      </c>
      <c r="EE30">
        <v>-4.5555555555555545</v>
      </c>
      <c r="EF30">
        <v>24</v>
      </c>
      <c r="EG30">
        <v>-14.333333333333332</v>
      </c>
      <c r="EH30">
        <v>10</v>
      </c>
      <c r="EI30">
        <v>0.55555555555555558</v>
      </c>
      <c r="EJ30">
        <v>24</v>
      </c>
      <c r="EK30">
        <v>21.25</v>
      </c>
      <c r="EL30">
        <v>24</v>
      </c>
      <c r="EM30">
        <v>-3.2444444444444449</v>
      </c>
      <c r="EN30">
        <v>31</v>
      </c>
      <c r="EO30">
        <v>-3.888888888888888</v>
      </c>
      <c r="EP30">
        <v>28</v>
      </c>
      <c r="EQ30">
        <v>-16.333333333333332</v>
      </c>
      <c r="ER30">
        <v>2</v>
      </c>
      <c r="ES30">
        <v>1.5555555555555556</v>
      </c>
      <c r="ET30">
        <v>21</v>
      </c>
      <c r="EU30">
        <v>20.333333333333332</v>
      </c>
      <c r="EV30">
        <v>31</v>
      </c>
      <c r="EW30">
        <v>-2.5444444444444447</v>
      </c>
      <c r="EX30">
        <v>20</v>
      </c>
      <c r="EY30">
        <v>-0.66666666666666652</v>
      </c>
      <c r="EZ30">
        <v>10</v>
      </c>
      <c r="FA30">
        <v>2</v>
      </c>
      <c r="FB30">
        <v>28</v>
      </c>
      <c r="FC30">
        <v>-1</v>
      </c>
      <c r="FD30">
        <v>32</v>
      </c>
      <c r="FE30">
        <v>31.666666666666668</v>
      </c>
      <c r="FF30">
        <v>32</v>
      </c>
      <c r="FG30">
        <v>-13.244444444444445</v>
      </c>
      <c r="FH30">
        <v>31</v>
      </c>
      <c r="FI30">
        <v>-37.888888888888893</v>
      </c>
      <c r="FJ30">
        <v>32</v>
      </c>
      <c r="FK30">
        <v>-5.6666666666666661</v>
      </c>
      <c r="FL30">
        <v>28</v>
      </c>
      <c r="FM30">
        <v>28.666666666666668</v>
      </c>
      <c r="FN30">
        <v>31</v>
      </c>
      <c r="FO30">
        <v>-5.9555555555555557</v>
      </c>
      <c r="FP30">
        <v>28</v>
      </c>
      <c r="FQ30">
        <v>-18.777777777777782</v>
      </c>
      <c r="FR30">
        <v>27</v>
      </c>
      <c r="FS30">
        <v>-1.333333333333333</v>
      </c>
      <c r="FT30">
        <v>30</v>
      </c>
      <c r="FU30">
        <v>28.666666666666668</v>
      </c>
      <c r="FV30">
        <v>28</v>
      </c>
      <c r="FW30">
        <v>-3.8555555555555565</v>
      </c>
      <c r="FX30">
        <v>26</v>
      </c>
      <c r="FY30">
        <v>-12.222222222222221</v>
      </c>
      <c r="FZ30">
        <v>32</v>
      </c>
      <c r="GA30">
        <v>-2.6666666666666665</v>
      </c>
      <c r="GB30">
        <v>31</v>
      </c>
      <c r="GC30">
        <v>27.666666666666668</v>
      </c>
      <c r="GD30">
        <v>31</v>
      </c>
      <c r="GE30">
        <v>-3.4333333333333336</v>
      </c>
      <c r="GF30">
        <v>22</v>
      </c>
      <c r="GG30">
        <v>-6.8888888888888893</v>
      </c>
      <c r="GH30">
        <v>30</v>
      </c>
      <c r="GI30">
        <v>-1.666666666666667</v>
      </c>
      <c r="GJ30">
        <v>22</v>
      </c>
      <c r="GK30">
        <v>23.666666666666668</v>
      </c>
      <c r="GL30">
        <v>19</v>
      </c>
      <c r="GM30">
        <v>-1.7666666666666668</v>
      </c>
      <c r="GN30">
        <v>20</v>
      </c>
      <c r="GO30">
        <v>-6.5555555555555527</v>
      </c>
      <c r="GP30">
        <v>32</v>
      </c>
      <c r="GQ30">
        <v>-3.7777777777777781</v>
      </c>
      <c r="GR30">
        <v>8</v>
      </c>
      <c r="GS30">
        <v>9.6666666666666661</v>
      </c>
      <c r="GT30">
        <v>12</v>
      </c>
      <c r="GU30">
        <v>0.7444444444444448</v>
      </c>
      <c r="GV30">
        <v>5.2222222222222197</v>
      </c>
      <c r="GW30">
        <v>1.2222222222222223</v>
      </c>
      <c r="GX30">
        <v>2</v>
      </c>
      <c r="GY30">
        <v>2</v>
      </c>
      <c r="GZ30">
        <v>3</v>
      </c>
      <c r="HA30">
        <v>2.1111111111111112</v>
      </c>
      <c r="HB30">
        <v>1</v>
      </c>
      <c r="HC30">
        <v>1</v>
      </c>
      <c r="HD30">
        <v>1.8888888888888893</v>
      </c>
      <c r="HE30">
        <v>1</v>
      </c>
      <c r="HF30">
        <v>9</v>
      </c>
      <c r="HG30">
        <v>6</v>
      </c>
      <c r="HH30">
        <v>3.5998418648550336E-2</v>
      </c>
      <c r="HI30">
        <v>19</v>
      </c>
      <c r="HJ30">
        <v>-6.4286560119164509E-3</v>
      </c>
      <c r="HK30">
        <v>1</v>
      </c>
      <c r="HL30">
        <v>-0.22178839678839682</v>
      </c>
      <c r="HM30">
        <v>10</v>
      </c>
      <c r="HN30">
        <v>0.3333333333333332</v>
      </c>
      <c r="HO30">
        <v>-6.4444444444444455</v>
      </c>
      <c r="HP30">
        <v>-6</v>
      </c>
      <c r="HQ30">
        <v>0</v>
      </c>
      <c r="HR30">
        <v>-41.444444444444436</v>
      </c>
      <c r="HS30">
        <v>-44.444444444444436</v>
      </c>
      <c r="HT30">
        <v>-11.777777777777777</v>
      </c>
      <c r="HU30">
        <v>-2.3333333333333335</v>
      </c>
      <c r="HV30">
        <v>17.111111111111111</v>
      </c>
      <c r="HW30">
        <v>10</v>
      </c>
      <c r="HX30">
        <v>3.0555555555555549</v>
      </c>
      <c r="HY30">
        <v>-0.15222222222222204</v>
      </c>
      <c r="HZ30">
        <v>-32.666666666666657</v>
      </c>
      <c r="IA30">
        <v>23</v>
      </c>
      <c r="IB30">
        <v>-2.3638888888888894</v>
      </c>
      <c r="IC30">
        <v>-4.4444444444444438</v>
      </c>
    </row>
    <row r="31" spans="1:237" x14ac:dyDescent="0.2">
      <c r="A31" s="19">
        <v>44108</v>
      </c>
      <c r="B31" s="13" t="s">
        <v>417</v>
      </c>
      <c r="C31" s="41" t="s">
        <v>306</v>
      </c>
      <c r="D31" s="14" t="s">
        <v>305</v>
      </c>
      <c r="E31">
        <v>24.8</v>
      </c>
      <c r="F31">
        <v>6.9</v>
      </c>
      <c r="G31">
        <v>6.9</v>
      </c>
      <c r="H31">
        <v>1.8</v>
      </c>
      <c r="I31">
        <v>14</v>
      </c>
      <c r="J31">
        <v>44.5</v>
      </c>
      <c r="K31" t="s">
        <v>110</v>
      </c>
      <c r="L31" t="s">
        <v>306</v>
      </c>
      <c r="M31">
        <v>32</v>
      </c>
      <c r="N31">
        <v>-7.0844444444444434</v>
      </c>
      <c r="O31">
        <v>18</v>
      </c>
      <c r="P31">
        <v>17.25</v>
      </c>
      <c r="Q31">
        <v>17</v>
      </c>
      <c r="R31">
        <v>-1.0000000000000009</v>
      </c>
      <c r="S31">
        <v>13</v>
      </c>
      <c r="T31">
        <v>0.55555555555555514</v>
      </c>
      <c r="U31">
        <v>14</v>
      </c>
      <c r="V31">
        <v>2.8888888888888875</v>
      </c>
      <c r="W31">
        <v>25</v>
      </c>
      <c r="X31">
        <v>-1.1111111111111112</v>
      </c>
      <c r="Y31">
        <v>20</v>
      </c>
      <c r="Z31">
        <v>18.333333333333332</v>
      </c>
      <c r="AA31">
        <v>14</v>
      </c>
      <c r="AB31">
        <v>0.38888888888888867</v>
      </c>
      <c r="AC31">
        <v>20</v>
      </c>
      <c r="AD31">
        <v>-1.555555555555556</v>
      </c>
      <c r="AE31">
        <v>21</v>
      </c>
      <c r="AF31">
        <v>-7.7777777777777786</v>
      </c>
      <c r="AG31">
        <v>20</v>
      </c>
      <c r="AH31">
        <v>-0.66666666666666663</v>
      </c>
      <c r="AI31">
        <v>15</v>
      </c>
      <c r="AJ31">
        <v>15.333333333333334</v>
      </c>
      <c r="AK31">
        <v>21</v>
      </c>
      <c r="AL31">
        <v>-1.3888888888888895</v>
      </c>
      <c r="AM31">
        <v>8</v>
      </c>
      <c r="AN31">
        <v>2.1111111111111112</v>
      </c>
      <c r="AO31">
        <v>6</v>
      </c>
      <c r="AP31">
        <v>10.666666666666666</v>
      </c>
      <c r="AQ31">
        <v>19</v>
      </c>
      <c r="AR31">
        <v>-0.44444444444444442</v>
      </c>
      <c r="AS31">
        <v>16</v>
      </c>
      <c r="AT31">
        <v>16</v>
      </c>
      <c r="AU31">
        <v>15</v>
      </c>
      <c r="AV31">
        <v>0.32222222222222263</v>
      </c>
      <c r="AW31">
        <v>14</v>
      </c>
      <c r="AX31">
        <v>10.777777777777782</v>
      </c>
      <c r="AY31">
        <v>19</v>
      </c>
      <c r="AZ31">
        <v>-0.22222222222222221</v>
      </c>
      <c r="BA31">
        <v>9</v>
      </c>
      <c r="BB31">
        <v>10</v>
      </c>
      <c r="BC31">
        <v>12</v>
      </c>
      <c r="BD31">
        <v>0.68888888888888944</v>
      </c>
      <c r="BE31">
        <v>6</v>
      </c>
      <c r="BF31">
        <v>14.888888888888891</v>
      </c>
      <c r="BG31">
        <v>12</v>
      </c>
      <c r="BH31">
        <v>0.66666666666666663</v>
      </c>
      <c r="BI31">
        <v>18</v>
      </c>
      <c r="BJ31">
        <v>17.333333333333332</v>
      </c>
      <c r="BK31">
        <v>10</v>
      </c>
      <c r="BL31">
        <v>1.3888888888888886</v>
      </c>
      <c r="BM31">
        <v>15</v>
      </c>
      <c r="BN31">
        <v>1.5555555555555571</v>
      </c>
      <c r="BO31">
        <v>27</v>
      </c>
      <c r="BP31">
        <v>-1.2222222222222223</v>
      </c>
      <c r="BQ31">
        <v>22</v>
      </c>
      <c r="BR31">
        <v>20.666666666666668</v>
      </c>
      <c r="BS31">
        <v>26</v>
      </c>
      <c r="BT31">
        <v>-1.7555555555555553</v>
      </c>
      <c r="BU31">
        <v>23</v>
      </c>
      <c r="BV31">
        <v>-5.666666666666667</v>
      </c>
      <c r="BW31">
        <v>13</v>
      </c>
      <c r="BX31">
        <v>0.33333333333333348</v>
      </c>
      <c r="BY31">
        <v>13</v>
      </c>
      <c r="BZ31">
        <v>14</v>
      </c>
      <c r="CA31">
        <v>20</v>
      </c>
      <c r="CB31">
        <v>-2.0222222222222226</v>
      </c>
      <c r="CC31">
        <v>15</v>
      </c>
      <c r="CD31">
        <v>-2.4444444444444451</v>
      </c>
      <c r="CE31">
        <v>7</v>
      </c>
      <c r="CF31">
        <v>1.3333333333333333</v>
      </c>
      <c r="CG31">
        <v>24</v>
      </c>
      <c r="CH31">
        <v>23</v>
      </c>
      <c r="CI31">
        <v>31</v>
      </c>
      <c r="CJ31">
        <v>-4.6444444444444448</v>
      </c>
      <c r="CK31">
        <v>-12.111111111111109</v>
      </c>
      <c r="CL31">
        <v>0.99999999999999967</v>
      </c>
      <c r="CM31">
        <v>31</v>
      </c>
      <c r="CN31">
        <v>30</v>
      </c>
      <c r="CO31">
        <v>32</v>
      </c>
      <c r="CP31">
        <v>-4.1111111111111116</v>
      </c>
      <c r="CQ31">
        <v>28</v>
      </c>
      <c r="CR31">
        <v>-0.66666666666666685</v>
      </c>
      <c r="CS31">
        <v>0.22222222222222232</v>
      </c>
      <c r="CT31">
        <v>5</v>
      </c>
      <c r="CU31">
        <v>10.25</v>
      </c>
      <c r="CV31">
        <v>23</v>
      </c>
      <c r="CW31">
        <v>-3.2870978332905303E-2</v>
      </c>
      <c r="CX31">
        <v>14</v>
      </c>
      <c r="CY31">
        <v>3.1005554471432348E-3</v>
      </c>
      <c r="CZ31">
        <v>1</v>
      </c>
      <c r="DA31">
        <v>-0.26642924976258309</v>
      </c>
      <c r="DB31">
        <v>3</v>
      </c>
      <c r="DC31">
        <v>3.2222222222222228</v>
      </c>
      <c r="DD31">
        <v>-2.3333333333333308</v>
      </c>
      <c r="DE31">
        <v>-5.5555555555555545</v>
      </c>
      <c r="DF31">
        <v>0</v>
      </c>
      <c r="DG31">
        <v>-53.777777777777793</v>
      </c>
      <c r="DH31">
        <v>-50.888888888888893</v>
      </c>
      <c r="DI31">
        <v>-2</v>
      </c>
      <c r="DJ31">
        <v>2.1111111111111112</v>
      </c>
      <c r="DK31">
        <v>-3.0000000000000004</v>
      </c>
      <c r="DL31">
        <v>27</v>
      </c>
      <c r="DM31">
        <v>-6.0844444444444425</v>
      </c>
      <c r="DN31">
        <v>-1.781333333333333</v>
      </c>
      <c r="DO31">
        <v>-48.888888888888893</v>
      </c>
      <c r="DP31">
        <v>6</v>
      </c>
      <c r="DQ31">
        <v>-2.0647222222222226</v>
      </c>
      <c r="DR31">
        <v>0.77777777777777746</v>
      </c>
      <c r="DS31">
        <v>-0.4904166666666665</v>
      </c>
      <c r="DT31">
        <v>7.7777777777781887E-3</v>
      </c>
      <c r="DU31" t="s">
        <v>305</v>
      </c>
      <c r="DV31" t="s">
        <v>268</v>
      </c>
      <c r="DW31" t="s">
        <v>500</v>
      </c>
      <c r="DX31">
        <v>11</v>
      </c>
      <c r="DY31">
        <v>1.9688888888888876</v>
      </c>
      <c r="DZ31">
        <v>30</v>
      </c>
      <c r="EA31">
        <v>24.25</v>
      </c>
      <c r="EB31">
        <v>31</v>
      </c>
      <c r="EC31">
        <v>-7.7888888888888888</v>
      </c>
      <c r="ED31">
        <v>28</v>
      </c>
      <c r="EE31">
        <v>-3.1111111111111103</v>
      </c>
      <c r="EF31">
        <v>30</v>
      </c>
      <c r="EG31">
        <v>-24.111111111111111</v>
      </c>
      <c r="EH31">
        <v>8</v>
      </c>
      <c r="EI31">
        <v>0.7777777777777779</v>
      </c>
      <c r="EJ31">
        <v>31</v>
      </c>
      <c r="EK31">
        <v>25.25</v>
      </c>
      <c r="EL31">
        <v>31</v>
      </c>
      <c r="EM31">
        <v>-6.7333333333333334</v>
      </c>
      <c r="EN31">
        <v>27</v>
      </c>
      <c r="EO31">
        <v>-1.9999999999999993</v>
      </c>
      <c r="EP31">
        <v>29</v>
      </c>
      <c r="EQ31">
        <v>-21.333333333333332</v>
      </c>
      <c r="ER31">
        <v>14</v>
      </c>
      <c r="ES31">
        <v>0.33333333333333348</v>
      </c>
      <c r="ET31">
        <v>21</v>
      </c>
      <c r="EU31">
        <v>20.333333333333332</v>
      </c>
      <c r="EV31">
        <v>22</v>
      </c>
      <c r="EW31">
        <v>-1.0555555555555556</v>
      </c>
      <c r="EX31">
        <v>21</v>
      </c>
      <c r="EY31">
        <v>-1.1111111111111109</v>
      </c>
      <c r="EZ31">
        <v>18</v>
      </c>
      <c r="FA31">
        <v>-2.7777777777777781</v>
      </c>
      <c r="FB31">
        <v>10</v>
      </c>
      <c r="FC31">
        <v>0.44444444444444448</v>
      </c>
      <c r="FD31">
        <v>12</v>
      </c>
      <c r="FE31">
        <v>12.666666666666666</v>
      </c>
      <c r="FF31">
        <v>20</v>
      </c>
      <c r="FG31">
        <v>-2.3111111111111113</v>
      </c>
      <c r="FH31">
        <v>11</v>
      </c>
      <c r="FI31">
        <v>6.3333333333333375</v>
      </c>
      <c r="FJ31">
        <v>7</v>
      </c>
      <c r="FK31">
        <v>1.3333333333333337</v>
      </c>
      <c r="FL31">
        <v>31</v>
      </c>
      <c r="FM31">
        <v>30.333333333333332</v>
      </c>
      <c r="FN31">
        <v>30</v>
      </c>
      <c r="FO31">
        <v>-5.5000000000000009</v>
      </c>
      <c r="FP31">
        <v>32</v>
      </c>
      <c r="FQ31">
        <v>-27.333333333333332</v>
      </c>
      <c r="FR31">
        <v>29</v>
      </c>
      <c r="FS31">
        <v>-1.6666666666666663</v>
      </c>
      <c r="FT31">
        <v>5</v>
      </c>
      <c r="FU31">
        <v>6</v>
      </c>
      <c r="FV31">
        <v>9</v>
      </c>
      <c r="FW31">
        <v>2.2111111111111117</v>
      </c>
      <c r="FX31">
        <v>4</v>
      </c>
      <c r="FY31">
        <v>18.333333333333336</v>
      </c>
      <c r="FZ31">
        <v>5</v>
      </c>
      <c r="GA31">
        <v>1.3333333333333333</v>
      </c>
      <c r="GB31">
        <v>4</v>
      </c>
      <c r="GC31">
        <v>6</v>
      </c>
      <c r="GD31">
        <v>10</v>
      </c>
      <c r="GE31">
        <v>0.97777777777777775</v>
      </c>
      <c r="GF31">
        <v>5</v>
      </c>
      <c r="GG31">
        <v>15.333333333333334</v>
      </c>
      <c r="GH31">
        <v>3</v>
      </c>
      <c r="GI31">
        <v>1.6666666666666667</v>
      </c>
      <c r="GJ31">
        <v>8</v>
      </c>
      <c r="GK31">
        <v>9.6666666666666661</v>
      </c>
      <c r="GL31">
        <v>16</v>
      </c>
      <c r="GM31">
        <v>-0.93333333333333479</v>
      </c>
      <c r="GN31">
        <v>9</v>
      </c>
      <c r="GO31">
        <v>10.666666666666671</v>
      </c>
      <c r="GP31">
        <v>4</v>
      </c>
      <c r="GQ31">
        <v>2.3333333333333335</v>
      </c>
      <c r="GR31">
        <v>9</v>
      </c>
      <c r="GS31">
        <v>10.333333333333334</v>
      </c>
      <c r="GT31">
        <v>10</v>
      </c>
      <c r="GU31">
        <v>1.6666666666666663</v>
      </c>
      <c r="GV31">
        <v>14.444444444444443</v>
      </c>
      <c r="GW31">
        <v>0.11111111111111116</v>
      </c>
      <c r="GX31">
        <v>19</v>
      </c>
      <c r="GY31">
        <v>20.5</v>
      </c>
      <c r="GZ31">
        <v>25</v>
      </c>
      <c r="HA31">
        <v>-1.444444444444444</v>
      </c>
      <c r="HB31">
        <v>16</v>
      </c>
      <c r="HC31">
        <v>3.7007434154171883E-17</v>
      </c>
      <c r="HD31">
        <v>-1</v>
      </c>
      <c r="HE31">
        <v>8</v>
      </c>
      <c r="HF31">
        <v>13.25</v>
      </c>
      <c r="HG31">
        <v>21</v>
      </c>
      <c r="HH31">
        <v>-2.1411832610311377E-2</v>
      </c>
      <c r="HI31">
        <v>23</v>
      </c>
      <c r="HJ31">
        <v>-1.2012070949269017E-2</v>
      </c>
      <c r="HK31">
        <v>8</v>
      </c>
      <c r="HL31">
        <v>-9.8494869328202631E-2</v>
      </c>
      <c r="HM31">
        <v>1</v>
      </c>
      <c r="HN31">
        <v>6.4444444444444438</v>
      </c>
      <c r="HO31">
        <v>3.7777777777777786</v>
      </c>
      <c r="HP31">
        <v>-6.1111111111111107</v>
      </c>
      <c r="HQ31">
        <v>0</v>
      </c>
      <c r="HR31">
        <v>14.222222222222229</v>
      </c>
      <c r="HS31">
        <v>32.555555555555564</v>
      </c>
      <c r="HT31">
        <v>-21.888888888888886</v>
      </c>
      <c r="HU31">
        <v>3.5555555555555554</v>
      </c>
      <c r="HV31">
        <v>0</v>
      </c>
      <c r="HW31">
        <v>3</v>
      </c>
      <c r="HX31">
        <v>9.7577777777777754</v>
      </c>
      <c r="HY31">
        <v>4.1593333333333327</v>
      </c>
      <c r="HZ31">
        <v>54.44444444444445</v>
      </c>
      <c r="IA31">
        <v>30</v>
      </c>
      <c r="IB31">
        <v>-0.98861111111111122</v>
      </c>
      <c r="IC31">
        <v>1.4444444444444449</v>
      </c>
    </row>
    <row r="32" spans="1:237" x14ac:dyDescent="0.2">
      <c r="A32" s="19">
        <v>44115</v>
      </c>
      <c r="B32" s="13" t="s">
        <v>381</v>
      </c>
      <c r="C32" s="41" t="s">
        <v>285</v>
      </c>
      <c r="D32" s="14" t="s">
        <v>298</v>
      </c>
      <c r="E32">
        <v>28.1</v>
      </c>
      <c r="F32">
        <v>12.8</v>
      </c>
      <c r="G32">
        <v>7.5</v>
      </c>
      <c r="H32">
        <v>5.7</v>
      </c>
      <c r="I32">
        <v>-7</v>
      </c>
      <c r="J32">
        <v>48</v>
      </c>
      <c r="K32" t="s">
        <v>734</v>
      </c>
      <c r="L32" t="s">
        <v>285</v>
      </c>
      <c r="M32">
        <v>2</v>
      </c>
      <c r="N32">
        <v>8.1387499999999999</v>
      </c>
      <c r="O32">
        <v>25</v>
      </c>
      <c r="P32">
        <v>22.5</v>
      </c>
      <c r="Q32">
        <v>29</v>
      </c>
      <c r="R32">
        <v>-6.2500000000000018</v>
      </c>
      <c r="S32">
        <v>17</v>
      </c>
      <c r="T32">
        <v>-0.4375</v>
      </c>
      <c r="U32">
        <v>27</v>
      </c>
      <c r="V32">
        <v>-18.625</v>
      </c>
      <c r="W32">
        <v>17</v>
      </c>
      <c r="X32">
        <v>-0.3125</v>
      </c>
      <c r="Y32">
        <v>30</v>
      </c>
      <c r="Z32">
        <v>28</v>
      </c>
      <c r="AA32">
        <v>31</v>
      </c>
      <c r="AB32">
        <v>-7.7187500000000018</v>
      </c>
      <c r="AC32">
        <v>9</v>
      </c>
      <c r="AD32">
        <v>1.9375</v>
      </c>
      <c r="AE32">
        <v>21</v>
      </c>
      <c r="AF32">
        <v>-5.875</v>
      </c>
      <c r="AG32">
        <v>32</v>
      </c>
      <c r="AH32">
        <v>-2.1875</v>
      </c>
      <c r="AI32">
        <v>8</v>
      </c>
      <c r="AJ32">
        <v>12.333333333333334</v>
      </c>
      <c r="AK32">
        <v>8</v>
      </c>
      <c r="AL32">
        <v>1.4687500000000002</v>
      </c>
      <c r="AM32">
        <v>28</v>
      </c>
      <c r="AN32">
        <v>-2.375</v>
      </c>
      <c r="AO32">
        <v>28</v>
      </c>
      <c r="AP32">
        <v>-12.75</v>
      </c>
      <c r="AQ32">
        <v>1</v>
      </c>
      <c r="AR32">
        <v>1.875</v>
      </c>
      <c r="AS32">
        <v>4</v>
      </c>
      <c r="AT32">
        <v>6.333333333333333</v>
      </c>
      <c r="AU32">
        <v>6</v>
      </c>
      <c r="AV32">
        <v>7.6562500000000009</v>
      </c>
      <c r="AW32">
        <v>10</v>
      </c>
      <c r="AX32">
        <v>14.1875</v>
      </c>
      <c r="AY32">
        <v>3</v>
      </c>
      <c r="AZ32">
        <v>3.875</v>
      </c>
      <c r="BA32">
        <v>2</v>
      </c>
      <c r="BB32">
        <v>2.6666666666666665</v>
      </c>
      <c r="BC32">
        <v>2</v>
      </c>
      <c r="BD32">
        <v>6.1625000000000014</v>
      </c>
      <c r="BE32">
        <v>3</v>
      </c>
      <c r="BF32">
        <v>24.125</v>
      </c>
      <c r="BG32">
        <v>3</v>
      </c>
      <c r="BH32">
        <v>2.75</v>
      </c>
      <c r="BI32">
        <v>16</v>
      </c>
      <c r="BJ32">
        <v>15.666666666666666</v>
      </c>
      <c r="BK32">
        <v>9</v>
      </c>
      <c r="BL32">
        <v>2.0125000000000002</v>
      </c>
      <c r="BM32">
        <v>20</v>
      </c>
      <c r="BN32">
        <v>-8.75</v>
      </c>
      <c r="BO32">
        <v>18</v>
      </c>
      <c r="BP32">
        <v>0</v>
      </c>
      <c r="BQ32">
        <v>13</v>
      </c>
      <c r="BR32">
        <v>13.333333333333334</v>
      </c>
      <c r="BS32">
        <v>15</v>
      </c>
      <c r="BT32">
        <v>-0.51874999999999993</v>
      </c>
      <c r="BU32">
        <v>19</v>
      </c>
      <c r="BV32">
        <v>-1.1875</v>
      </c>
      <c r="BW32">
        <v>6</v>
      </c>
      <c r="BX32">
        <v>1.125</v>
      </c>
      <c r="BY32">
        <v>16</v>
      </c>
      <c r="BZ32">
        <v>17</v>
      </c>
      <c r="CA32">
        <v>16</v>
      </c>
      <c r="CB32">
        <v>6.8749999999999645E-2</v>
      </c>
      <c r="CC32">
        <v>23</v>
      </c>
      <c r="CD32">
        <v>-12.4375</v>
      </c>
      <c r="CE32">
        <v>12</v>
      </c>
      <c r="CF32">
        <v>0.9375</v>
      </c>
      <c r="CG32">
        <v>26</v>
      </c>
      <c r="CH32">
        <v>25</v>
      </c>
      <c r="CI32">
        <v>26</v>
      </c>
      <c r="CJ32">
        <v>-3.5687500000000001</v>
      </c>
      <c r="CK32">
        <v>-7.3125</v>
      </c>
      <c r="CL32">
        <v>-1.4375</v>
      </c>
      <c r="CM32">
        <v>16</v>
      </c>
      <c r="CN32">
        <v>16</v>
      </c>
      <c r="CO32">
        <v>21</v>
      </c>
      <c r="CP32">
        <v>-0.6875</v>
      </c>
      <c r="CQ32">
        <v>11</v>
      </c>
      <c r="CR32">
        <v>0.125</v>
      </c>
      <c r="CS32">
        <v>-1.25</v>
      </c>
      <c r="CT32">
        <v>25</v>
      </c>
      <c r="CU32">
        <v>20.75</v>
      </c>
      <c r="CV32">
        <v>24</v>
      </c>
      <c r="CW32">
        <v>-3.8203614279639302E-2</v>
      </c>
      <c r="CX32">
        <v>27</v>
      </c>
      <c r="CY32">
        <v>-1.1494045283415303E-2</v>
      </c>
      <c r="CZ32">
        <v>17</v>
      </c>
      <c r="DA32">
        <v>2.1436131270690106E-2</v>
      </c>
      <c r="DB32">
        <v>15</v>
      </c>
      <c r="DC32">
        <v>6.25E-2</v>
      </c>
      <c r="DD32">
        <v>3.25</v>
      </c>
      <c r="DE32">
        <v>-0.375</v>
      </c>
      <c r="DF32">
        <v>-0.875</v>
      </c>
      <c r="DG32">
        <v>15.4375</v>
      </c>
      <c r="DH32">
        <v>4.5625</v>
      </c>
      <c r="DI32">
        <v>-21.625</v>
      </c>
      <c r="DJ32">
        <v>-4</v>
      </c>
      <c r="DK32">
        <v>36.5</v>
      </c>
      <c r="DL32">
        <v>2</v>
      </c>
      <c r="DM32">
        <v>14.388750000000002</v>
      </c>
      <c r="DN32">
        <v>5.5702500000000015</v>
      </c>
      <c r="DO32">
        <v>26.1875</v>
      </c>
      <c r="DP32">
        <v>31</v>
      </c>
      <c r="DQ32">
        <v>0.66109374999999981</v>
      </c>
      <c r="DR32">
        <v>2.4375</v>
      </c>
      <c r="DS32">
        <v>-7.820312500000004E-2</v>
      </c>
      <c r="DT32">
        <v>-0.44187500000000002</v>
      </c>
      <c r="DU32" t="s">
        <v>298</v>
      </c>
      <c r="DV32" t="s">
        <v>262</v>
      </c>
      <c r="DW32" t="s">
        <v>473</v>
      </c>
      <c r="DX32">
        <v>20</v>
      </c>
      <c r="DY32">
        <v>-0.9099999999999997</v>
      </c>
      <c r="DZ32">
        <v>13</v>
      </c>
      <c r="EA32">
        <v>13.75</v>
      </c>
      <c r="EB32">
        <v>13</v>
      </c>
      <c r="EC32">
        <v>1.0812499999999987</v>
      </c>
      <c r="ED32">
        <v>14</v>
      </c>
      <c r="EE32">
        <v>0.875</v>
      </c>
      <c r="EF32">
        <v>13</v>
      </c>
      <c r="EG32">
        <v>4.9375</v>
      </c>
      <c r="EH32">
        <v>15</v>
      </c>
      <c r="EI32">
        <v>6.25E-2</v>
      </c>
      <c r="EJ32">
        <v>18</v>
      </c>
      <c r="EK32">
        <v>19</v>
      </c>
      <c r="EL32">
        <v>15</v>
      </c>
      <c r="EM32">
        <v>0.31874999999999876</v>
      </c>
      <c r="EN32">
        <v>23</v>
      </c>
      <c r="EO32">
        <v>-1.0625</v>
      </c>
      <c r="EP32">
        <v>9</v>
      </c>
      <c r="EQ32">
        <v>10.1875</v>
      </c>
      <c r="ER32">
        <v>29</v>
      </c>
      <c r="ES32">
        <v>-1</v>
      </c>
      <c r="ET32">
        <v>12</v>
      </c>
      <c r="EU32">
        <v>12.666666666666666</v>
      </c>
      <c r="EV32">
        <v>13</v>
      </c>
      <c r="EW32">
        <v>0.76249999999999996</v>
      </c>
      <c r="EX32">
        <v>4</v>
      </c>
      <c r="EY32">
        <v>1.9375</v>
      </c>
      <c r="EZ32">
        <v>21</v>
      </c>
      <c r="FA32">
        <v>-5.25</v>
      </c>
      <c r="FB32">
        <v>4</v>
      </c>
      <c r="FC32">
        <v>1.0625</v>
      </c>
      <c r="FD32">
        <v>13</v>
      </c>
      <c r="FE32">
        <v>15</v>
      </c>
      <c r="FF32">
        <v>12</v>
      </c>
      <c r="FG32">
        <v>0.40625000000000133</v>
      </c>
      <c r="FH32">
        <v>12</v>
      </c>
      <c r="FI32">
        <v>4.125</v>
      </c>
      <c r="FJ32">
        <v>21</v>
      </c>
      <c r="FK32">
        <v>-0.9375</v>
      </c>
      <c r="FL32">
        <v>16</v>
      </c>
      <c r="FM32">
        <v>17.666666666666668</v>
      </c>
      <c r="FN32">
        <v>13</v>
      </c>
      <c r="FO32">
        <v>-0.15625000000000022</v>
      </c>
      <c r="FP32">
        <v>11</v>
      </c>
      <c r="FQ32">
        <v>1.4375</v>
      </c>
      <c r="FR32">
        <v>29</v>
      </c>
      <c r="FS32">
        <v>-1.25</v>
      </c>
      <c r="FT32">
        <v>10</v>
      </c>
      <c r="FU32">
        <v>11.666666666666666</v>
      </c>
      <c r="FV32">
        <v>9</v>
      </c>
      <c r="FW32">
        <v>1.6750000000000009</v>
      </c>
      <c r="FX32">
        <v>10</v>
      </c>
      <c r="FY32">
        <v>7.9375</v>
      </c>
      <c r="FZ32">
        <v>16</v>
      </c>
      <c r="GA32">
        <v>0</v>
      </c>
      <c r="GB32">
        <v>19</v>
      </c>
      <c r="GC32">
        <v>19</v>
      </c>
      <c r="GD32">
        <v>22</v>
      </c>
      <c r="GE32">
        <v>-1.1124999999999994</v>
      </c>
      <c r="GF32">
        <v>23</v>
      </c>
      <c r="GG32">
        <v>-5.25</v>
      </c>
      <c r="GH32">
        <v>12</v>
      </c>
      <c r="GI32">
        <v>0.3125</v>
      </c>
      <c r="GJ32">
        <v>18</v>
      </c>
      <c r="GK32">
        <v>17.666666666666668</v>
      </c>
      <c r="GL32">
        <v>14</v>
      </c>
      <c r="GM32">
        <v>0.5625</v>
      </c>
      <c r="GN32">
        <v>17</v>
      </c>
      <c r="GO32">
        <v>-7.5</v>
      </c>
      <c r="GP32">
        <v>22</v>
      </c>
      <c r="GQ32">
        <v>-0.75</v>
      </c>
      <c r="GR32">
        <v>24</v>
      </c>
      <c r="GS32">
        <v>20.666666666666668</v>
      </c>
      <c r="GT32">
        <v>13</v>
      </c>
      <c r="GU32">
        <v>-0.66875000000000062</v>
      </c>
      <c r="GV32">
        <v>-12.5</v>
      </c>
      <c r="GW32">
        <v>-0.6875</v>
      </c>
      <c r="GX32">
        <v>6</v>
      </c>
      <c r="GY32">
        <v>6.5</v>
      </c>
      <c r="GZ32">
        <v>4</v>
      </c>
      <c r="HA32">
        <v>2.375</v>
      </c>
      <c r="HB32">
        <v>9</v>
      </c>
      <c r="HC32">
        <v>0.625</v>
      </c>
      <c r="HD32">
        <v>3.875</v>
      </c>
      <c r="HE32">
        <v>18</v>
      </c>
      <c r="HF32">
        <v>17.5</v>
      </c>
      <c r="HG32">
        <v>13</v>
      </c>
      <c r="HH32">
        <v>2.9435961909774211E-3</v>
      </c>
      <c r="HI32">
        <v>31</v>
      </c>
      <c r="HJ32">
        <v>-2.2890877771233428E-2</v>
      </c>
      <c r="HK32">
        <v>6</v>
      </c>
      <c r="HL32">
        <v>-8.3404880937775691E-2</v>
      </c>
      <c r="HM32">
        <v>20</v>
      </c>
      <c r="HN32">
        <v>-1.0625</v>
      </c>
      <c r="HO32">
        <v>0</v>
      </c>
      <c r="HP32">
        <v>3.9375</v>
      </c>
      <c r="HQ32">
        <v>3</v>
      </c>
      <c r="HR32">
        <v>-6.875</v>
      </c>
      <c r="HS32">
        <v>-29.5625</v>
      </c>
      <c r="HT32">
        <v>22.5625</v>
      </c>
      <c r="HU32">
        <v>-7.125</v>
      </c>
      <c r="HV32">
        <v>7.25</v>
      </c>
      <c r="HW32">
        <v>22</v>
      </c>
      <c r="HX32">
        <v>-1.9912499999999984</v>
      </c>
      <c r="HY32">
        <v>-0.77512499999999918</v>
      </c>
      <c r="HZ32">
        <v>-52.125</v>
      </c>
      <c r="IA32">
        <v>11</v>
      </c>
      <c r="IB32">
        <v>0.28546874999999994</v>
      </c>
      <c r="IC32">
        <v>-1.625</v>
      </c>
    </row>
    <row r="33" spans="1:237" x14ac:dyDescent="0.2">
      <c r="A33" s="19">
        <v>44115</v>
      </c>
      <c r="B33" s="13" t="s">
        <v>381</v>
      </c>
      <c r="C33" s="41" t="s">
        <v>295</v>
      </c>
      <c r="D33" s="14" t="s">
        <v>301</v>
      </c>
      <c r="E33">
        <v>24.6</v>
      </c>
      <c r="F33">
        <v>3.6</v>
      </c>
      <c r="G33">
        <v>2.2999999999999998</v>
      </c>
      <c r="H33">
        <v>2.8</v>
      </c>
      <c r="I33">
        <v>-2.5</v>
      </c>
      <c r="J33">
        <v>53.5</v>
      </c>
      <c r="L33" t="s">
        <v>295</v>
      </c>
      <c r="M33">
        <v>22</v>
      </c>
      <c r="N33">
        <v>-1.4187499999999997</v>
      </c>
      <c r="O33">
        <v>20</v>
      </c>
      <c r="P33">
        <v>19</v>
      </c>
      <c r="Q33">
        <v>21</v>
      </c>
      <c r="R33">
        <v>-2.4375</v>
      </c>
      <c r="S33">
        <v>10</v>
      </c>
      <c r="T33">
        <v>1.625</v>
      </c>
      <c r="U33">
        <v>16</v>
      </c>
      <c r="V33">
        <v>3.625</v>
      </c>
      <c r="W33">
        <v>29</v>
      </c>
      <c r="X33">
        <v>-1.5625</v>
      </c>
      <c r="Y33">
        <v>21</v>
      </c>
      <c r="Z33">
        <v>21</v>
      </c>
      <c r="AA33">
        <v>22</v>
      </c>
      <c r="AB33">
        <v>-2.4562500000000003</v>
      </c>
      <c r="AC33">
        <v>5</v>
      </c>
      <c r="AD33">
        <v>3.375</v>
      </c>
      <c r="AE33">
        <v>12</v>
      </c>
      <c r="AF33">
        <v>8.375</v>
      </c>
      <c r="AG33">
        <v>29</v>
      </c>
      <c r="AH33">
        <v>-1.8125</v>
      </c>
      <c r="AI33">
        <v>17</v>
      </c>
      <c r="AJ33">
        <v>16</v>
      </c>
      <c r="AK33">
        <v>15</v>
      </c>
      <c r="AL33">
        <v>1.8750000000000044E-2</v>
      </c>
      <c r="AM33">
        <v>23</v>
      </c>
      <c r="AN33">
        <v>-1.75</v>
      </c>
      <c r="AO33">
        <v>19</v>
      </c>
      <c r="AP33">
        <v>-4.75</v>
      </c>
      <c r="AQ33">
        <v>14</v>
      </c>
      <c r="AR33">
        <v>0.25</v>
      </c>
      <c r="AS33">
        <v>6</v>
      </c>
      <c r="AT33">
        <v>8.6666666666666661</v>
      </c>
      <c r="AU33">
        <v>11</v>
      </c>
      <c r="AV33">
        <v>4.1137499999999969</v>
      </c>
      <c r="AW33">
        <v>8</v>
      </c>
      <c r="AX33">
        <v>18.3125</v>
      </c>
      <c r="AY33">
        <v>7</v>
      </c>
      <c r="AZ33">
        <v>2.6875</v>
      </c>
      <c r="BA33">
        <v>19</v>
      </c>
      <c r="BB33">
        <v>20.333333333333332</v>
      </c>
      <c r="BC33">
        <v>29</v>
      </c>
      <c r="BD33">
        <v>-4.7750000000000021</v>
      </c>
      <c r="BE33">
        <v>15</v>
      </c>
      <c r="BF33">
        <v>0.125</v>
      </c>
      <c r="BG33">
        <v>17</v>
      </c>
      <c r="BH33">
        <v>-0.1875</v>
      </c>
      <c r="BI33">
        <v>6</v>
      </c>
      <c r="BJ33">
        <v>8.3333333333333339</v>
      </c>
      <c r="BK33">
        <v>3</v>
      </c>
      <c r="BL33">
        <v>4.7262499999999994</v>
      </c>
      <c r="BM33">
        <v>12</v>
      </c>
      <c r="BN33">
        <v>3.9375</v>
      </c>
      <c r="BO33">
        <v>10</v>
      </c>
      <c r="BP33">
        <v>0.25</v>
      </c>
      <c r="BQ33">
        <v>1</v>
      </c>
      <c r="BR33">
        <v>2</v>
      </c>
      <c r="BS33">
        <v>1</v>
      </c>
      <c r="BT33">
        <v>4.1624999999999996</v>
      </c>
      <c r="BU33">
        <v>4</v>
      </c>
      <c r="BV33">
        <v>14.25</v>
      </c>
      <c r="BW33">
        <v>1</v>
      </c>
      <c r="BX33">
        <v>2.625</v>
      </c>
      <c r="BY33">
        <v>19</v>
      </c>
      <c r="BZ33">
        <v>19.666666666666668</v>
      </c>
      <c r="CA33">
        <v>21</v>
      </c>
      <c r="CB33">
        <v>-2.3499999999999996</v>
      </c>
      <c r="CC33">
        <v>19</v>
      </c>
      <c r="CD33">
        <v>-5.375</v>
      </c>
      <c r="CE33">
        <v>19</v>
      </c>
      <c r="CF33">
        <v>-0.625</v>
      </c>
      <c r="CG33">
        <v>12</v>
      </c>
      <c r="CH33">
        <v>12</v>
      </c>
      <c r="CI33">
        <v>11</v>
      </c>
      <c r="CJ33">
        <v>1.2124999999999995</v>
      </c>
      <c r="CK33">
        <v>1.5</v>
      </c>
      <c r="CL33">
        <v>0.875</v>
      </c>
      <c r="CM33">
        <v>14</v>
      </c>
      <c r="CN33">
        <v>14</v>
      </c>
      <c r="CO33">
        <v>14</v>
      </c>
      <c r="CP33">
        <v>0.375</v>
      </c>
      <c r="CQ33">
        <v>14</v>
      </c>
      <c r="CR33">
        <v>0</v>
      </c>
      <c r="CS33">
        <v>-1.0625</v>
      </c>
      <c r="CT33">
        <v>16</v>
      </c>
      <c r="CU33">
        <v>16.5</v>
      </c>
      <c r="CV33">
        <v>15</v>
      </c>
      <c r="CW33">
        <v>9.1791980700207526E-3</v>
      </c>
      <c r="CX33">
        <v>17</v>
      </c>
      <c r="CY33">
        <v>-7.0396940944471298E-4</v>
      </c>
      <c r="CZ33">
        <v>8</v>
      </c>
      <c r="DA33">
        <v>-6.3386093073593094E-2</v>
      </c>
      <c r="DB33">
        <v>26</v>
      </c>
      <c r="DC33">
        <v>-1.5</v>
      </c>
      <c r="DD33">
        <v>2.875</v>
      </c>
      <c r="DE33">
        <v>-0.25</v>
      </c>
      <c r="DF33">
        <v>-0.5625</v>
      </c>
      <c r="DG33">
        <v>1.625</v>
      </c>
      <c r="DH33">
        <v>17.5</v>
      </c>
      <c r="DI33">
        <v>0.5</v>
      </c>
      <c r="DJ33">
        <v>-5.4375</v>
      </c>
      <c r="DK33">
        <v>-10.9375</v>
      </c>
      <c r="DL33">
        <v>14</v>
      </c>
      <c r="DM33">
        <v>1.0187500000000005</v>
      </c>
      <c r="DN33">
        <v>2.0002499999999994</v>
      </c>
      <c r="DO33">
        <v>17</v>
      </c>
      <c r="DP33">
        <v>19</v>
      </c>
      <c r="DQ33">
        <v>0.23062499999999964</v>
      </c>
      <c r="DR33">
        <v>3.5625</v>
      </c>
      <c r="DS33">
        <v>0.85664062499999993</v>
      </c>
      <c r="DT33">
        <v>1.8645312500000002</v>
      </c>
      <c r="DU33" t="s">
        <v>301</v>
      </c>
      <c r="DV33" t="s">
        <v>279</v>
      </c>
      <c r="DW33" t="s">
        <v>484</v>
      </c>
      <c r="DX33">
        <v>30</v>
      </c>
      <c r="DY33">
        <v>-5.6600000000000019</v>
      </c>
      <c r="DZ33">
        <v>6</v>
      </c>
      <c r="EA33">
        <v>9.25</v>
      </c>
      <c r="EB33">
        <v>1</v>
      </c>
      <c r="EC33">
        <v>12.13125</v>
      </c>
      <c r="ED33">
        <v>22</v>
      </c>
      <c r="EE33">
        <v>-1.1875</v>
      </c>
      <c r="EF33">
        <v>12</v>
      </c>
      <c r="EG33">
        <v>7.125</v>
      </c>
      <c r="EH33">
        <v>2</v>
      </c>
      <c r="EI33">
        <v>2.375</v>
      </c>
      <c r="EJ33">
        <v>5</v>
      </c>
      <c r="EK33">
        <v>9</v>
      </c>
      <c r="EL33">
        <v>1</v>
      </c>
      <c r="EM33">
        <v>10.168749999999999</v>
      </c>
      <c r="EN33">
        <v>20</v>
      </c>
      <c r="EO33">
        <v>-0.8125</v>
      </c>
      <c r="EP33">
        <v>13</v>
      </c>
      <c r="EQ33">
        <v>1.5625</v>
      </c>
      <c r="ER33">
        <v>2</v>
      </c>
      <c r="ES33">
        <v>1.75</v>
      </c>
      <c r="ET33">
        <v>9</v>
      </c>
      <c r="EU33">
        <v>10.666666666666666</v>
      </c>
      <c r="EV33">
        <v>5</v>
      </c>
      <c r="EW33">
        <v>1.9624999999999999</v>
      </c>
      <c r="EX33">
        <v>20</v>
      </c>
      <c r="EY33">
        <v>-0.375</v>
      </c>
      <c r="EZ33">
        <v>7</v>
      </c>
      <c r="FA33">
        <v>5.5625</v>
      </c>
      <c r="FB33">
        <v>7</v>
      </c>
      <c r="FC33">
        <v>0.625</v>
      </c>
      <c r="FD33">
        <v>23</v>
      </c>
      <c r="FE33">
        <v>22.333333333333332</v>
      </c>
      <c r="FF33">
        <v>21</v>
      </c>
      <c r="FG33">
        <v>-3.5937499999999996</v>
      </c>
      <c r="FH33">
        <v>26</v>
      </c>
      <c r="FI33">
        <v>-23</v>
      </c>
      <c r="FJ33">
        <v>20</v>
      </c>
      <c r="FK33">
        <v>-0.875</v>
      </c>
      <c r="FL33">
        <v>8</v>
      </c>
      <c r="FM33">
        <v>7.666666666666667</v>
      </c>
      <c r="FN33">
        <v>8</v>
      </c>
      <c r="FO33">
        <v>2.1125000000000003</v>
      </c>
      <c r="FP33">
        <v>10</v>
      </c>
      <c r="FQ33">
        <v>2.1875</v>
      </c>
      <c r="FR33">
        <v>5</v>
      </c>
      <c r="FS33">
        <v>1.3125</v>
      </c>
      <c r="FT33">
        <v>27</v>
      </c>
      <c r="FU33">
        <v>25.666666666666668</v>
      </c>
      <c r="FV33">
        <v>26</v>
      </c>
      <c r="FW33">
        <v>-2.6812499999999999</v>
      </c>
      <c r="FX33">
        <v>25</v>
      </c>
      <c r="FY33">
        <v>-7.8125</v>
      </c>
      <c r="FZ33">
        <v>26</v>
      </c>
      <c r="GA33">
        <v>-1.0625</v>
      </c>
      <c r="GB33">
        <v>31</v>
      </c>
      <c r="GC33">
        <v>29.666666666666668</v>
      </c>
      <c r="GD33">
        <v>29</v>
      </c>
      <c r="GE33">
        <v>-3.0249999999999999</v>
      </c>
      <c r="GF33">
        <v>31</v>
      </c>
      <c r="GG33">
        <v>-17.375</v>
      </c>
      <c r="GH33">
        <v>29</v>
      </c>
      <c r="GI33">
        <v>-1.125</v>
      </c>
      <c r="GJ33">
        <v>8</v>
      </c>
      <c r="GK33">
        <v>10</v>
      </c>
      <c r="GL33">
        <v>10</v>
      </c>
      <c r="GM33">
        <v>1.3875000000000015</v>
      </c>
      <c r="GN33">
        <v>12</v>
      </c>
      <c r="GO33">
        <v>5.125</v>
      </c>
      <c r="GP33">
        <v>8</v>
      </c>
      <c r="GQ33">
        <v>0.75</v>
      </c>
      <c r="GR33">
        <v>25</v>
      </c>
      <c r="GS33">
        <v>24</v>
      </c>
      <c r="GT33">
        <v>25</v>
      </c>
      <c r="GU33">
        <v>-2.5875000000000004</v>
      </c>
      <c r="GV33">
        <v>-9.625</v>
      </c>
      <c r="GW33">
        <v>-0.75</v>
      </c>
      <c r="GX33">
        <v>27</v>
      </c>
      <c r="GY33">
        <v>27.5</v>
      </c>
      <c r="GZ33">
        <v>23</v>
      </c>
      <c r="HA33">
        <v>-1.5</v>
      </c>
      <c r="HB33">
        <v>32</v>
      </c>
      <c r="HC33">
        <v>-1.0625</v>
      </c>
      <c r="HD33">
        <v>-0.5625</v>
      </c>
      <c r="HE33">
        <v>26</v>
      </c>
      <c r="HF33">
        <v>21.5</v>
      </c>
      <c r="HG33">
        <v>30</v>
      </c>
      <c r="HH33">
        <v>-6.008707674152057E-2</v>
      </c>
      <c r="HI33">
        <v>29</v>
      </c>
      <c r="HJ33">
        <v>-2.2339042908225137E-2</v>
      </c>
      <c r="HK33">
        <v>2</v>
      </c>
      <c r="HL33">
        <v>-0.12933139164756813</v>
      </c>
      <c r="HM33">
        <v>25</v>
      </c>
      <c r="HN33">
        <v>-1.9375</v>
      </c>
      <c r="HO33">
        <v>-2.8125</v>
      </c>
      <c r="HP33">
        <v>0.3125</v>
      </c>
      <c r="HQ33">
        <v>-0.5625</v>
      </c>
      <c r="HR33">
        <v>-33.0625</v>
      </c>
      <c r="HS33">
        <v>-37.4375</v>
      </c>
      <c r="HT33">
        <v>2.125</v>
      </c>
      <c r="HU33">
        <v>1.5625</v>
      </c>
      <c r="HV33">
        <v>0.6875</v>
      </c>
      <c r="HW33">
        <v>32</v>
      </c>
      <c r="HX33">
        <v>-17.791250000000002</v>
      </c>
      <c r="HY33">
        <v>-8.4338750000000005</v>
      </c>
      <c r="HZ33">
        <v>-39.5625</v>
      </c>
      <c r="IA33">
        <v>1</v>
      </c>
      <c r="IB33">
        <v>-0.15125000000000027</v>
      </c>
      <c r="IC33">
        <v>-1.625</v>
      </c>
    </row>
    <row r="34" spans="1:237" x14ac:dyDescent="0.2">
      <c r="A34" s="19">
        <v>44115</v>
      </c>
      <c r="B34" s="13" t="s">
        <v>381</v>
      </c>
      <c r="C34" s="41" t="s">
        <v>305</v>
      </c>
      <c r="D34" s="14" t="s">
        <v>272</v>
      </c>
      <c r="E34">
        <v>19.8</v>
      </c>
      <c r="F34">
        <v>7.9</v>
      </c>
      <c r="G34">
        <v>0</v>
      </c>
      <c r="H34">
        <v>17.600000000000001</v>
      </c>
      <c r="I34">
        <v>-11.5</v>
      </c>
      <c r="J34">
        <v>50</v>
      </c>
      <c r="L34" t="s">
        <v>305</v>
      </c>
      <c r="M34">
        <v>12</v>
      </c>
      <c r="N34">
        <v>2.5000000000003908E-3</v>
      </c>
      <c r="O34">
        <v>32</v>
      </c>
      <c r="P34">
        <v>31.25</v>
      </c>
      <c r="Q34">
        <v>30</v>
      </c>
      <c r="R34">
        <v>-7.8062500000000004</v>
      </c>
      <c r="S34">
        <v>32</v>
      </c>
      <c r="T34">
        <v>-6.3125</v>
      </c>
      <c r="U34">
        <v>31</v>
      </c>
      <c r="V34">
        <v>-28</v>
      </c>
      <c r="W34">
        <v>32</v>
      </c>
      <c r="X34">
        <v>-3.125</v>
      </c>
      <c r="Y34">
        <v>32</v>
      </c>
      <c r="Z34">
        <v>31.333333333333332</v>
      </c>
      <c r="AA34">
        <v>32</v>
      </c>
      <c r="AB34">
        <v>-8.1875</v>
      </c>
      <c r="AC34">
        <v>30</v>
      </c>
      <c r="AD34">
        <v>-5.1875</v>
      </c>
      <c r="AE34">
        <v>31</v>
      </c>
      <c r="AF34">
        <v>-31.375</v>
      </c>
      <c r="AG34">
        <v>31</v>
      </c>
      <c r="AH34">
        <v>-2.0625</v>
      </c>
      <c r="AI34">
        <v>18</v>
      </c>
      <c r="AJ34">
        <v>16.333333333333332</v>
      </c>
      <c r="AK34">
        <v>13</v>
      </c>
      <c r="AL34">
        <v>0.38124999999999987</v>
      </c>
      <c r="AM34">
        <v>17</v>
      </c>
      <c r="AN34">
        <v>-1.125</v>
      </c>
      <c r="AO34">
        <v>8</v>
      </c>
      <c r="AP34">
        <v>3.375</v>
      </c>
      <c r="AQ34">
        <v>28</v>
      </c>
      <c r="AR34">
        <v>-1.0625</v>
      </c>
      <c r="AS34">
        <v>28</v>
      </c>
      <c r="AT34">
        <v>27.666666666666668</v>
      </c>
      <c r="AU34">
        <v>28</v>
      </c>
      <c r="AV34">
        <v>-7.9187500000000011</v>
      </c>
      <c r="AW34">
        <v>23</v>
      </c>
      <c r="AX34">
        <v>-25.0625</v>
      </c>
      <c r="AY34">
        <v>32</v>
      </c>
      <c r="AZ34">
        <v>-4.9375</v>
      </c>
      <c r="BA34">
        <v>29</v>
      </c>
      <c r="BB34">
        <v>27</v>
      </c>
      <c r="BC34">
        <v>30</v>
      </c>
      <c r="BD34">
        <v>-5.2062500000000007</v>
      </c>
      <c r="BE34">
        <v>24</v>
      </c>
      <c r="BF34">
        <v>-11.375</v>
      </c>
      <c r="BG34">
        <v>27</v>
      </c>
      <c r="BH34">
        <v>-1.625</v>
      </c>
      <c r="BI34">
        <v>26</v>
      </c>
      <c r="BJ34">
        <v>23.666666666666668</v>
      </c>
      <c r="BK34">
        <v>22</v>
      </c>
      <c r="BL34">
        <v>-1.9</v>
      </c>
      <c r="BM34">
        <v>18</v>
      </c>
      <c r="BN34">
        <v>-8</v>
      </c>
      <c r="BO34">
        <v>31</v>
      </c>
      <c r="BP34">
        <v>-2</v>
      </c>
      <c r="BQ34">
        <v>23</v>
      </c>
      <c r="BR34">
        <v>22</v>
      </c>
      <c r="BS34">
        <v>18</v>
      </c>
      <c r="BT34">
        <v>-0.81249999999999978</v>
      </c>
      <c r="BU34">
        <v>23</v>
      </c>
      <c r="BV34">
        <v>-5.6875</v>
      </c>
      <c r="BW34">
        <v>25</v>
      </c>
      <c r="BX34">
        <v>-1.3125</v>
      </c>
      <c r="BY34">
        <v>24</v>
      </c>
      <c r="BZ34">
        <v>23.333333333333332</v>
      </c>
      <c r="CA34">
        <v>22</v>
      </c>
      <c r="CB34">
        <v>-2.8000000000000007</v>
      </c>
      <c r="CC34">
        <v>20</v>
      </c>
      <c r="CD34">
        <v>-6.125</v>
      </c>
      <c r="CE34">
        <v>28</v>
      </c>
      <c r="CF34">
        <v>-1.8125</v>
      </c>
      <c r="CG34">
        <v>17</v>
      </c>
      <c r="CH34">
        <v>19.666666666666668</v>
      </c>
      <c r="CI34">
        <v>16</v>
      </c>
      <c r="CJ34">
        <v>0.40625000000000067</v>
      </c>
      <c r="CK34">
        <v>-5.9375</v>
      </c>
      <c r="CL34">
        <v>-0.9375</v>
      </c>
      <c r="CM34">
        <v>4</v>
      </c>
      <c r="CN34">
        <v>6</v>
      </c>
      <c r="CO34">
        <v>3</v>
      </c>
      <c r="CP34">
        <v>2.625</v>
      </c>
      <c r="CQ34">
        <v>9</v>
      </c>
      <c r="CR34">
        <v>0.25</v>
      </c>
      <c r="CS34">
        <v>5</v>
      </c>
      <c r="CT34">
        <v>12</v>
      </c>
      <c r="CU34">
        <v>14</v>
      </c>
      <c r="CV34">
        <v>6</v>
      </c>
      <c r="CW34">
        <v>4.3100296046459208E-2</v>
      </c>
      <c r="CX34">
        <v>10</v>
      </c>
      <c r="CY34">
        <v>1.0875371033466317E-2</v>
      </c>
      <c r="CZ34">
        <v>12</v>
      </c>
      <c r="DA34">
        <v>-1.0348505661005675E-2</v>
      </c>
      <c r="DB34">
        <v>28</v>
      </c>
      <c r="DC34">
        <v>-2.0625</v>
      </c>
      <c r="DD34">
        <v>-9.625</v>
      </c>
      <c r="DE34">
        <v>0.75</v>
      </c>
      <c r="DF34">
        <v>2.625</v>
      </c>
      <c r="DG34">
        <v>-35.3125</v>
      </c>
      <c r="DH34">
        <v>-55.125</v>
      </c>
      <c r="DI34">
        <v>-9.9375</v>
      </c>
      <c r="DJ34">
        <v>-4.625</v>
      </c>
      <c r="DK34">
        <v>34.375</v>
      </c>
      <c r="DL34">
        <v>5</v>
      </c>
      <c r="DM34">
        <v>7.8087500000000016</v>
      </c>
      <c r="DN34">
        <v>2.4011250000000004</v>
      </c>
      <c r="DO34">
        <v>-45.1875</v>
      </c>
      <c r="DP34">
        <v>28</v>
      </c>
      <c r="DQ34">
        <v>-1.58640625</v>
      </c>
      <c r="DR34">
        <v>-5.875</v>
      </c>
      <c r="DS34">
        <v>-5.1171874999999811E-2</v>
      </c>
      <c r="DT34">
        <v>-0.60124999999999984</v>
      </c>
      <c r="DU34" t="s">
        <v>272</v>
      </c>
      <c r="DV34" t="s">
        <v>277</v>
      </c>
      <c r="DW34" t="s">
        <v>528</v>
      </c>
      <c r="DX34">
        <v>18</v>
      </c>
      <c r="DY34">
        <v>-0.12249999999999872</v>
      </c>
      <c r="DZ34">
        <v>12</v>
      </c>
      <c r="EA34">
        <v>13.5</v>
      </c>
      <c r="EB34">
        <v>15</v>
      </c>
      <c r="EC34">
        <v>0.75625000000000009</v>
      </c>
      <c r="ED34">
        <v>5</v>
      </c>
      <c r="EE34">
        <v>3.125</v>
      </c>
      <c r="EF34">
        <v>5</v>
      </c>
      <c r="EG34">
        <v>26.8125</v>
      </c>
      <c r="EH34">
        <v>29</v>
      </c>
      <c r="EI34">
        <v>-1.6875</v>
      </c>
      <c r="EJ34">
        <v>5</v>
      </c>
      <c r="EK34">
        <v>9</v>
      </c>
      <c r="EL34">
        <v>16</v>
      </c>
      <c r="EM34">
        <v>-0.1875</v>
      </c>
      <c r="EN34">
        <v>1</v>
      </c>
      <c r="EO34">
        <v>4.5625</v>
      </c>
      <c r="EP34">
        <v>5</v>
      </c>
      <c r="EQ34">
        <v>21.5625</v>
      </c>
      <c r="ER34">
        <v>14</v>
      </c>
      <c r="ES34">
        <v>0</v>
      </c>
      <c r="ET34">
        <v>16</v>
      </c>
      <c r="EU34">
        <v>14.333333333333334</v>
      </c>
      <c r="EV34">
        <v>9</v>
      </c>
      <c r="EW34">
        <v>0.94375000000000009</v>
      </c>
      <c r="EX34">
        <v>26</v>
      </c>
      <c r="EY34">
        <v>-1.4375</v>
      </c>
      <c r="EZ34">
        <v>8</v>
      </c>
      <c r="FA34">
        <v>5.25</v>
      </c>
      <c r="FB34">
        <v>32</v>
      </c>
      <c r="FC34">
        <v>-1.6875</v>
      </c>
      <c r="FD34">
        <v>7</v>
      </c>
      <c r="FE34">
        <v>8</v>
      </c>
      <c r="FF34">
        <v>10</v>
      </c>
      <c r="FG34">
        <v>1.5887499999999997</v>
      </c>
      <c r="FH34">
        <v>6</v>
      </c>
      <c r="FI34">
        <v>17.0625</v>
      </c>
      <c r="FJ34">
        <v>8</v>
      </c>
      <c r="FK34">
        <v>1</v>
      </c>
      <c r="FL34">
        <v>10</v>
      </c>
      <c r="FM34">
        <v>9.3333333333333339</v>
      </c>
      <c r="FN34">
        <v>7</v>
      </c>
      <c r="FO34">
        <v>3</v>
      </c>
      <c r="FP34">
        <v>9</v>
      </c>
      <c r="FQ34">
        <v>5.75</v>
      </c>
      <c r="FR34">
        <v>12</v>
      </c>
      <c r="FS34">
        <v>0.125</v>
      </c>
      <c r="FT34">
        <v>14</v>
      </c>
      <c r="FU34">
        <v>14.333333333333334</v>
      </c>
      <c r="FV34">
        <v>20</v>
      </c>
      <c r="FW34">
        <v>-1.1550000000000002</v>
      </c>
      <c r="FX34">
        <v>13</v>
      </c>
      <c r="FY34">
        <v>7.1875</v>
      </c>
      <c r="FZ34">
        <v>10</v>
      </c>
      <c r="GA34">
        <v>0.625</v>
      </c>
      <c r="GB34">
        <v>11</v>
      </c>
      <c r="GC34">
        <v>12.333333333333334</v>
      </c>
      <c r="GD34">
        <v>16</v>
      </c>
      <c r="GE34">
        <v>-0.25624999999999998</v>
      </c>
      <c r="GF34">
        <v>8</v>
      </c>
      <c r="GG34">
        <v>4.125</v>
      </c>
      <c r="GH34">
        <v>13</v>
      </c>
      <c r="GI34">
        <v>0.25</v>
      </c>
      <c r="GJ34">
        <v>16</v>
      </c>
      <c r="GK34">
        <v>15.666666666666666</v>
      </c>
      <c r="GL34">
        <v>22</v>
      </c>
      <c r="GM34">
        <v>-2.0312499999999987</v>
      </c>
      <c r="GN34">
        <v>14</v>
      </c>
      <c r="GO34">
        <v>0.9375</v>
      </c>
      <c r="GP34">
        <v>11</v>
      </c>
      <c r="GQ34">
        <v>0.375</v>
      </c>
      <c r="GR34">
        <v>10</v>
      </c>
      <c r="GS34">
        <v>12.666666666666666</v>
      </c>
      <c r="GT34">
        <v>19</v>
      </c>
      <c r="GU34">
        <v>-1.2937499999999995</v>
      </c>
      <c r="GV34">
        <v>2.9375</v>
      </c>
      <c r="GW34">
        <v>1.3125</v>
      </c>
      <c r="GX34">
        <v>1</v>
      </c>
      <c r="GY34">
        <v>1.5</v>
      </c>
      <c r="GZ34">
        <v>2</v>
      </c>
      <c r="HA34">
        <v>3.0625</v>
      </c>
      <c r="HB34">
        <v>1</v>
      </c>
      <c r="HC34">
        <v>1.1875</v>
      </c>
      <c r="HD34">
        <v>1.0625</v>
      </c>
      <c r="HE34">
        <v>32</v>
      </c>
      <c r="HF34">
        <v>26.5</v>
      </c>
      <c r="HG34">
        <v>28</v>
      </c>
      <c r="HH34">
        <v>-4.8340826283538585E-2</v>
      </c>
      <c r="HI34">
        <v>27</v>
      </c>
      <c r="HJ34">
        <v>-2.051037110311078E-2</v>
      </c>
      <c r="HK34">
        <v>22</v>
      </c>
      <c r="HL34">
        <v>3.676802160258047E-2</v>
      </c>
      <c r="HM34">
        <v>29</v>
      </c>
      <c r="HN34">
        <v>-2.8125</v>
      </c>
      <c r="HO34">
        <v>3.25</v>
      </c>
      <c r="HP34">
        <v>1.5</v>
      </c>
      <c r="HQ34">
        <v>-0.875</v>
      </c>
      <c r="HR34">
        <v>27.0625</v>
      </c>
      <c r="HS34">
        <v>4.75</v>
      </c>
      <c r="HT34">
        <v>24.125</v>
      </c>
      <c r="HU34">
        <v>-8.4375</v>
      </c>
      <c r="HV34">
        <v>6.625</v>
      </c>
      <c r="HW34">
        <v>20</v>
      </c>
      <c r="HX34">
        <v>-0.87874999999999881</v>
      </c>
      <c r="HY34">
        <v>-0.34362499999999974</v>
      </c>
      <c r="HZ34">
        <v>-19.375</v>
      </c>
      <c r="IA34">
        <v>13</v>
      </c>
      <c r="IB34">
        <v>0.49890625000000022</v>
      </c>
      <c r="IC34">
        <v>2.3125</v>
      </c>
    </row>
    <row r="35" spans="1:237" x14ac:dyDescent="0.2">
      <c r="A35" s="19">
        <v>44115</v>
      </c>
      <c r="B35" s="13" t="s">
        <v>381</v>
      </c>
      <c r="C35" s="41" t="s">
        <v>276</v>
      </c>
      <c r="D35" s="14" t="s">
        <v>310</v>
      </c>
      <c r="E35">
        <v>23.6</v>
      </c>
      <c r="F35">
        <v>11.3</v>
      </c>
      <c r="G35">
        <v>10.8</v>
      </c>
      <c r="H35">
        <v>2.5</v>
      </c>
      <c r="I35">
        <v>-3</v>
      </c>
      <c r="J35">
        <v>52</v>
      </c>
      <c r="K35" t="s">
        <v>734</v>
      </c>
      <c r="L35" t="s">
        <v>276</v>
      </c>
      <c r="M35">
        <v>1</v>
      </c>
      <c r="N35">
        <v>12.465000000000002</v>
      </c>
      <c r="O35">
        <v>30</v>
      </c>
      <c r="P35">
        <v>25</v>
      </c>
      <c r="Q35">
        <v>32</v>
      </c>
      <c r="R35">
        <v>-9.2312499999999993</v>
      </c>
      <c r="S35">
        <v>23</v>
      </c>
      <c r="T35">
        <v>-1.6875</v>
      </c>
      <c r="U35">
        <v>28</v>
      </c>
      <c r="V35">
        <v>-19.4375</v>
      </c>
      <c r="W35">
        <v>17</v>
      </c>
      <c r="X35">
        <v>-0.3125</v>
      </c>
      <c r="Y35">
        <v>25</v>
      </c>
      <c r="Z35">
        <v>22.333333333333332</v>
      </c>
      <c r="AA35">
        <v>30</v>
      </c>
      <c r="AB35">
        <v>-7.1124999999999998</v>
      </c>
      <c r="AC35">
        <v>25</v>
      </c>
      <c r="AD35">
        <v>-1.625</v>
      </c>
      <c r="AE35">
        <v>28</v>
      </c>
      <c r="AF35">
        <v>-14.625</v>
      </c>
      <c r="AG35">
        <v>9</v>
      </c>
      <c r="AH35">
        <v>0.5625</v>
      </c>
      <c r="AI35">
        <v>26</v>
      </c>
      <c r="AJ35">
        <v>22.666666666666668</v>
      </c>
      <c r="AK35">
        <v>23</v>
      </c>
      <c r="AL35">
        <v>-2.1187500000000004</v>
      </c>
      <c r="AM35">
        <v>13</v>
      </c>
      <c r="AN35">
        <v>-6.25E-2</v>
      </c>
      <c r="AO35">
        <v>20</v>
      </c>
      <c r="AP35">
        <v>-4.8125</v>
      </c>
      <c r="AQ35">
        <v>25</v>
      </c>
      <c r="AR35">
        <v>-0.875</v>
      </c>
      <c r="AS35">
        <v>1</v>
      </c>
      <c r="AT35">
        <v>2</v>
      </c>
      <c r="AU35">
        <v>1</v>
      </c>
      <c r="AV35">
        <v>15.906250000000002</v>
      </c>
      <c r="AW35">
        <v>1</v>
      </c>
      <c r="AX35">
        <v>74.5</v>
      </c>
      <c r="AY35">
        <v>4</v>
      </c>
      <c r="AZ35">
        <v>3.8125</v>
      </c>
      <c r="BA35">
        <v>1</v>
      </c>
      <c r="BB35">
        <v>2.3333333333333335</v>
      </c>
      <c r="BC35">
        <v>1</v>
      </c>
      <c r="BD35">
        <v>7.2062500000000007</v>
      </c>
      <c r="BE35">
        <v>1</v>
      </c>
      <c r="BF35">
        <v>28.9375</v>
      </c>
      <c r="BG35">
        <v>5</v>
      </c>
      <c r="BH35">
        <v>1.75</v>
      </c>
      <c r="BI35">
        <v>3</v>
      </c>
      <c r="BJ35">
        <v>4.333333333333333</v>
      </c>
      <c r="BK35">
        <v>4</v>
      </c>
      <c r="BL35">
        <v>4.5812499999999998</v>
      </c>
      <c r="BM35">
        <v>5</v>
      </c>
      <c r="BN35">
        <v>22.6875</v>
      </c>
      <c r="BO35">
        <v>4</v>
      </c>
      <c r="BP35">
        <v>1.125</v>
      </c>
      <c r="BQ35">
        <v>3</v>
      </c>
      <c r="BR35">
        <v>4.333333333333333</v>
      </c>
      <c r="BS35">
        <v>2</v>
      </c>
      <c r="BT35">
        <v>4.1187500000000004</v>
      </c>
      <c r="BU35">
        <v>1</v>
      </c>
      <c r="BV35">
        <v>22.875</v>
      </c>
      <c r="BW35">
        <v>10</v>
      </c>
      <c r="BX35">
        <v>0.9375</v>
      </c>
      <c r="BY35">
        <v>2</v>
      </c>
      <c r="BZ35">
        <v>3.6666666666666665</v>
      </c>
      <c r="CA35">
        <v>3</v>
      </c>
      <c r="CB35">
        <v>7.7374999999999989</v>
      </c>
      <c r="CC35">
        <v>2</v>
      </c>
      <c r="CD35">
        <v>38</v>
      </c>
      <c r="CE35">
        <v>6</v>
      </c>
      <c r="CF35">
        <v>2.125</v>
      </c>
      <c r="CG35">
        <v>17</v>
      </c>
      <c r="CH35">
        <v>19.666666666666668</v>
      </c>
      <c r="CI35">
        <v>18</v>
      </c>
      <c r="CJ35">
        <v>-0.29375000000000018</v>
      </c>
      <c r="CK35">
        <v>-1.0625</v>
      </c>
      <c r="CL35">
        <v>-1</v>
      </c>
      <c r="CM35">
        <v>27</v>
      </c>
      <c r="CN35">
        <v>25.5</v>
      </c>
      <c r="CO35">
        <v>26</v>
      </c>
      <c r="CP35">
        <v>-1.5</v>
      </c>
      <c r="CQ35">
        <v>25</v>
      </c>
      <c r="CR35">
        <v>-0.3125</v>
      </c>
      <c r="CS35">
        <v>-1.125</v>
      </c>
      <c r="CT35">
        <v>14</v>
      </c>
      <c r="CU35">
        <v>15.75</v>
      </c>
      <c r="CV35">
        <v>9</v>
      </c>
      <c r="CW35">
        <v>2.4677026763919085E-2</v>
      </c>
      <c r="CX35">
        <v>15</v>
      </c>
      <c r="CY35">
        <v>6.1228173837947486E-4</v>
      </c>
      <c r="CZ35">
        <v>14</v>
      </c>
      <c r="DA35">
        <v>-4.2287573537573564E-3</v>
      </c>
      <c r="DB35">
        <v>25</v>
      </c>
      <c r="DC35">
        <v>-1.1875</v>
      </c>
      <c r="DD35">
        <v>0.6875</v>
      </c>
      <c r="DE35">
        <v>5.5</v>
      </c>
      <c r="DF35">
        <v>-1.4375</v>
      </c>
      <c r="DG35">
        <v>30.25</v>
      </c>
      <c r="DH35">
        <v>66.8125</v>
      </c>
      <c r="DI35">
        <v>-35.375</v>
      </c>
      <c r="DJ35">
        <v>-1.3125</v>
      </c>
      <c r="DK35">
        <v>0.125</v>
      </c>
      <c r="DL35">
        <v>1</v>
      </c>
      <c r="DM35">
        <v>21.696249999999999</v>
      </c>
      <c r="DN35">
        <v>10.231125</v>
      </c>
      <c r="DO35">
        <v>102.1875</v>
      </c>
      <c r="DP35">
        <v>32</v>
      </c>
      <c r="DQ35">
        <v>2.1682812500000002</v>
      </c>
      <c r="DR35">
        <v>2.8125</v>
      </c>
      <c r="DS35">
        <v>1.5485937500000004</v>
      </c>
      <c r="DT35">
        <v>1.8190625</v>
      </c>
      <c r="DU35" t="s">
        <v>310</v>
      </c>
      <c r="DV35" t="s">
        <v>286</v>
      </c>
      <c r="DW35" t="s">
        <v>479</v>
      </c>
      <c r="DX35">
        <v>4</v>
      </c>
      <c r="DY35">
        <v>3.800000000000002</v>
      </c>
      <c r="DZ35">
        <v>2</v>
      </c>
      <c r="EA35">
        <v>7</v>
      </c>
      <c r="EB35">
        <v>7</v>
      </c>
      <c r="EC35">
        <v>3.7250000000000014</v>
      </c>
      <c r="ED35">
        <v>6</v>
      </c>
      <c r="EE35">
        <v>3.0833333333333335</v>
      </c>
      <c r="EF35">
        <v>3</v>
      </c>
      <c r="EG35">
        <v>42.916666666666671</v>
      </c>
      <c r="EH35">
        <v>12</v>
      </c>
      <c r="EI35">
        <v>0.33333333333333337</v>
      </c>
      <c r="EJ35">
        <v>4</v>
      </c>
      <c r="EK35">
        <v>7.25</v>
      </c>
      <c r="EL35">
        <v>7</v>
      </c>
      <c r="EM35">
        <v>2.7000000000000015</v>
      </c>
      <c r="EN35">
        <v>12</v>
      </c>
      <c r="EO35">
        <v>1</v>
      </c>
      <c r="EP35">
        <v>1</v>
      </c>
      <c r="EQ35">
        <v>37.833333333333336</v>
      </c>
      <c r="ER35">
        <v>9</v>
      </c>
      <c r="ES35">
        <v>0.58333333333333337</v>
      </c>
      <c r="ET35">
        <v>4</v>
      </c>
      <c r="EU35">
        <v>6.666666666666667</v>
      </c>
      <c r="EV35">
        <v>7</v>
      </c>
      <c r="EW35">
        <v>1.0249999999999997</v>
      </c>
      <c r="EX35">
        <v>3</v>
      </c>
      <c r="EY35">
        <v>2.0833333333333335</v>
      </c>
      <c r="EZ35">
        <v>10</v>
      </c>
      <c r="FA35">
        <v>5.083333333333333</v>
      </c>
      <c r="FB35">
        <v>22</v>
      </c>
      <c r="FC35">
        <v>-0.25</v>
      </c>
      <c r="FD35">
        <v>16</v>
      </c>
      <c r="FE35">
        <v>15.333333333333334</v>
      </c>
      <c r="FF35">
        <v>14</v>
      </c>
      <c r="FG35">
        <v>-0.54999999999999893</v>
      </c>
      <c r="FH35">
        <v>13</v>
      </c>
      <c r="FI35">
        <v>2.6666666666666643</v>
      </c>
      <c r="FJ35">
        <v>19</v>
      </c>
      <c r="FK35">
        <v>-0.83333333333333326</v>
      </c>
      <c r="FL35">
        <v>30</v>
      </c>
      <c r="FM35">
        <v>27.333333333333332</v>
      </c>
      <c r="FN35">
        <v>31</v>
      </c>
      <c r="FO35">
        <v>-4.1666666666666661</v>
      </c>
      <c r="FP35">
        <v>24</v>
      </c>
      <c r="FQ35">
        <v>-6.916666666666667</v>
      </c>
      <c r="FR35">
        <v>27</v>
      </c>
      <c r="FS35">
        <v>-1</v>
      </c>
      <c r="FT35">
        <v>2</v>
      </c>
      <c r="FU35">
        <v>2.6666666666666665</v>
      </c>
      <c r="FV35">
        <v>3</v>
      </c>
      <c r="FW35">
        <v>4.8666666666666671</v>
      </c>
      <c r="FX35">
        <v>3</v>
      </c>
      <c r="FY35">
        <v>19.083333333333332</v>
      </c>
      <c r="FZ35">
        <v>2</v>
      </c>
      <c r="GA35">
        <v>1.5</v>
      </c>
      <c r="GB35">
        <v>28</v>
      </c>
      <c r="GC35">
        <v>26.666666666666668</v>
      </c>
      <c r="GD35">
        <v>23</v>
      </c>
      <c r="GE35">
        <v>-1.25</v>
      </c>
      <c r="GF35">
        <v>27</v>
      </c>
      <c r="GG35">
        <v>-9.5</v>
      </c>
      <c r="GH35">
        <v>30</v>
      </c>
      <c r="GI35">
        <v>-1.3333333333333333</v>
      </c>
      <c r="GJ35">
        <v>5</v>
      </c>
      <c r="GK35">
        <v>5</v>
      </c>
      <c r="GL35">
        <v>5</v>
      </c>
      <c r="GM35">
        <v>4.3166666666666673</v>
      </c>
      <c r="GN35">
        <v>4</v>
      </c>
      <c r="GO35">
        <v>26.5</v>
      </c>
      <c r="GP35">
        <v>6</v>
      </c>
      <c r="GQ35">
        <v>0.83333333333333337</v>
      </c>
      <c r="GR35">
        <v>6</v>
      </c>
      <c r="GS35">
        <v>6.666666666666667</v>
      </c>
      <c r="GT35">
        <v>4</v>
      </c>
      <c r="GU35">
        <v>5.666666666666667</v>
      </c>
      <c r="GV35">
        <v>12.5</v>
      </c>
      <c r="GW35">
        <v>0.75</v>
      </c>
      <c r="GX35">
        <v>30</v>
      </c>
      <c r="GY35">
        <v>28.5</v>
      </c>
      <c r="GZ35">
        <v>29</v>
      </c>
      <c r="HA35">
        <v>-2.4166666666666665</v>
      </c>
      <c r="HB35">
        <v>28</v>
      </c>
      <c r="HC35">
        <v>-0.75</v>
      </c>
      <c r="HD35">
        <v>-0.58333333333333337</v>
      </c>
      <c r="HE35">
        <v>25</v>
      </c>
      <c r="HF35">
        <v>21</v>
      </c>
      <c r="HG35">
        <v>10</v>
      </c>
      <c r="HH35">
        <v>1.0428175576808049E-2</v>
      </c>
      <c r="HI35">
        <v>32</v>
      </c>
      <c r="HJ35">
        <v>-3.7584210383081802E-2</v>
      </c>
      <c r="HK35">
        <v>10</v>
      </c>
      <c r="HL35">
        <v>-5.5259676970203252E-2</v>
      </c>
      <c r="HM35">
        <v>32</v>
      </c>
      <c r="HN35">
        <v>-3.0833333333333335</v>
      </c>
      <c r="HO35">
        <v>1</v>
      </c>
      <c r="HP35">
        <v>1.0833333333333333</v>
      </c>
      <c r="HQ35">
        <v>0</v>
      </c>
      <c r="HR35">
        <v>70.25</v>
      </c>
      <c r="HS35">
        <v>20</v>
      </c>
      <c r="HT35">
        <v>42.416666666666664</v>
      </c>
      <c r="HU35">
        <v>7.666666666666667</v>
      </c>
      <c r="HV35">
        <v>0.16666666666666666</v>
      </c>
      <c r="HW35">
        <v>16</v>
      </c>
      <c r="HX35">
        <v>7.5000000000000622E-2</v>
      </c>
      <c r="HY35">
        <v>-7.9166666666666385E-2</v>
      </c>
      <c r="HZ35">
        <v>-22.416666666666664</v>
      </c>
      <c r="IA35">
        <v>17</v>
      </c>
      <c r="IB35">
        <v>1.2781250000000008</v>
      </c>
      <c r="IC35">
        <v>-8.3333333333333259E-2</v>
      </c>
    </row>
    <row r="36" spans="1:237" x14ac:dyDescent="0.2">
      <c r="A36" s="19">
        <v>44115</v>
      </c>
      <c r="B36" s="13" t="s">
        <v>381</v>
      </c>
      <c r="C36" s="41" t="s">
        <v>301</v>
      </c>
      <c r="D36" s="14" t="s">
        <v>295</v>
      </c>
      <c r="E36">
        <v>22.5</v>
      </c>
      <c r="F36">
        <v>19.3</v>
      </c>
      <c r="G36">
        <v>11.4</v>
      </c>
      <c r="H36">
        <v>0</v>
      </c>
      <c r="I36">
        <v>2.5</v>
      </c>
      <c r="J36">
        <v>53.5</v>
      </c>
      <c r="L36" t="s">
        <v>301</v>
      </c>
      <c r="M36">
        <v>17</v>
      </c>
      <c r="N36">
        <v>-0.88375000000000137</v>
      </c>
      <c r="O36">
        <v>7</v>
      </c>
      <c r="P36">
        <v>8.75</v>
      </c>
      <c r="Q36">
        <v>5</v>
      </c>
      <c r="R36">
        <v>6.6124999999999989</v>
      </c>
      <c r="S36">
        <v>8</v>
      </c>
      <c r="T36">
        <v>2.5625</v>
      </c>
      <c r="U36">
        <v>14</v>
      </c>
      <c r="V36">
        <v>8.5</v>
      </c>
      <c r="W36">
        <v>8</v>
      </c>
      <c r="X36">
        <v>0.5625</v>
      </c>
      <c r="Y36">
        <v>5</v>
      </c>
      <c r="Z36">
        <v>9</v>
      </c>
      <c r="AA36">
        <v>4</v>
      </c>
      <c r="AB36">
        <v>5.6937499999999996</v>
      </c>
      <c r="AC36">
        <v>7</v>
      </c>
      <c r="AD36">
        <v>3.25</v>
      </c>
      <c r="AE36">
        <v>9</v>
      </c>
      <c r="AF36">
        <v>13.5625</v>
      </c>
      <c r="AG36">
        <v>14</v>
      </c>
      <c r="AH36">
        <v>0.3125</v>
      </c>
      <c r="AI36">
        <v>14</v>
      </c>
      <c r="AJ36">
        <v>15.333333333333334</v>
      </c>
      <c r="AK36">
        <v>11</v>
      </c>
      <c r="AL36">
        <v>0.91874999999999951</v>
      </c>
      <c r="AM36">
        <v>16</v>
      </c>
      <c r="AN36">
        <v>-0.6875</v>
      </c>
      <c r="AO36">
        <v>21</v>
      </c>
      <c r="AP36">
        <v>-5.0625</v>
      </c>
      <c r="AQ36">
        <v>14</v>
      </c>
      <c r="AR36">
        <v>0.25</v>
      </c>
      <c r="AS36">
        <v>2</v>
      </c>
      <c r="AT36">
        <v>3</v>
      </c>
      <c r="AU36">
        <v>5</v>
      </c>
      <c r="AV36">
        <v>8.0500000000000007</v>
      </c>
      <c r="AW36">
        <v>2</v>
      </c>
      <c r="AX36">
        <v>53.125</v>
      </c>
      <c r="AY36">
        <v>2</v>
      </c>
      <c r="AZ36">
        <v>4</v>
      </c>
      <c r="BA36">
        <v>6</v>
      </c>
      <c r="BB36">
        <v>6.666666666666667</v>
      </c>
      <c r="BC36">
        <v>5</v>
      </c>
      <c r="BD36">
        <v>3.71875</v>
      </c>
      <c r="BE36">
        <v>4</v>
      </c>
      <c r="BF36">
        <v>20.5625</v>
      </c>
      <c r="BG36">
        <v>11</v>
      </c>
      <c r="BH36">
        <v>0.625</v>
      </c>
      <c r="BI36">
        <v>2</v>
      </c>
      <c r="BJ36">
        <v>4</v>
      </c>
      <c r="BK36">
        <v>7</v>
      </c>
      <c r="BL36">
        <v>2.4312499999999999</v>
      </c>
      <c r="BM36">
        <v>4</v>
      </c>
      <c r="BN36">
        <v>23.25</v>
      </c>
      <c r="BO36">
        <v>1</v>
      </c>
      <c r="BP36">
        <v>2.75</v>
      </c>
      <c r="BQ36">
        <v>9</v>
      </c>
      <c r="BR36">
        <v>10.333333333333334</v>
      </c>
      <c r="BS36">
        <v>11</v>
      </c>
      <c r="BT36">
        <v>1.9</v>
      </c>
      <c r="BU36">
        <v>9</v>
      </c>
      <c r="BV36">
        <v>9.3125</v>
      </c>
      <c r="BW36">
        <v>11</v>
      </c>
      <c r="BX36">
        <v>0.625</v>
      </c>
      <c r="BY36">
        <v>4</v>
      </c>
      <c r="BZ36">
        <v>5.333333333333333</v>
      </c>
      <c r="CA36">
        <v>10</v>
      </c>
      <c r="CB36">
        <v>3.2312500000000002</v>
      </c>
      <c r="CC36">
        <v>3</v>
      </c>
      <c r="CD36">
        <v>30.4375</v>
      </c>
      <c r="CE36">
        <v>3</v>
      </c>
      <c r="CF36">
        <v>2.9375</v>
      </c>
      <c r="CG36">
        <v>32</v>
      </c>
      <c r="CH36">
        <v>31</v>
      </c>
      <c r="CI36">
        <v>30</v>
      </c>
      <c r="CJ36">
        <v>-4.4437499999999996</v>
      </c>
      <c r="CK36">
        <v>-25.75</v>
      </c>
      <c r="CL36">
        <v>-3</v>
      </c>
      <c r="CM36">
        <v>6</v>
      </c>
      <c r="CN36">
        <v>8.5</v>
      </c>
      <c r="CO36">
        <v>12</v>
      </c>
      <c r="CP36">
        <v>0.625</v>
      </c>
      <c r="CQ36">
        <v>5</v>
      </c>
      <c r="CR36">
        <v>0.5</v>
      </c>
      <c r="CS36">
        <v>-1.9375</v>
      </c>
      <c r="CT36">
        <v>27</v>
      </c>
      <c r="CU36">
        <v>21.75</v>
      </c>
      <c r="CV36">
        <v>26</v>
      </c>
      <c r="CW36">
        <v>-4.971532022970121E-2</v>
      </c>
      <c r="CX36">
        <v>26</v>
      </c>
      <c r="CY36">
        <v>-1.1145726874627932E-2</v>
      </c>
      <c r="CZ36">
        <v>13</v>
      </c>
      <c r="DA36">
        <v>-9.1551677489177252E-3</v>
      </c>
      <c r="DB36">
        <v>22</v>
      </c>
      <c r="DC36">
        <v>-0.5625</v>
      </c>
      <c r="DD36">
        <v>1.375</v>
      </c>
      <c r="DE36">
        <v>1.125</v>
      </c>
      <c r="DF36">
        <v>-1.3125</v>
      </c>
      <c r="DG36">
        <v>28.8125</v>
      </c>
      <c r="DH36">
        <v>21.625</v>
      </c>
      <c r="DI36">
        <v>2.5</v>
      </c>
      <c r="DJ36">
        <v>3.1875</v>
      </c>
      <c r="DK36">
        <v>1.5</v>
      </c>
      <c r="DL36">
        <v>28</v>
      </c>
      <c r="DM36">
        <v>-7.4962499999999999</v>
      </c>
      <c r="DN36">
        <v>-2.7617499999999997</v>
      </c>
      <c r="DO36">
        <v>19.125</v>
      </c>
      <c r="DP36">
        <v>5</v>
      </c>
      <c r="DQ36">
        <v>1.2449999999999999</v>
      </c>
      <c r="DR36">
        <v>1</v>
      </c>
      <c r="DS36">
        <v>0.85664062499999993</v>
      </c>
      <c r="DT36">
        <v>-0.15125000000000027</v>
      </c>
      <c r="DU36" t="s">
        <v>295</v>
      </c>
      <c r="DV36" t="s">
        <v>280</v>
      </c>
      <c r="DW36" t="s">
        <v>489</v>
      </c>
      <c r="DX36">
        <v>1</v>
      </c>
      <c r="DY36">
        <v>7.2287500000000016</v>
      </c>
      <c r="DZ36">
        <v>11</v>
      </c>
      <c r="EA36">
        <v>13</v>
      </c>
      <c r="EB36">
        <v>10</v>
      </c>
      <c r="EC36">
        <v>2.2374999999999989</v>
      </c>
      <c r="ED36">
        <v>16</v>
      </c>
      <c r="EE36">
        <v>-0.125</v>
      </c>
      <c r="EF36">
        <v>22</v>
      </c>
      <c r="EG36">
        <v>-14.0625</v>
      </c>
      <c r="EH36">
        <v>4</v>
      </c>
      <c r="EI36">
        <v>1.625</v>
      </c>
      <c r="EJ36">
        <v>18</v>
      </c>
      <c r="EK36">
        <v>19</v>
      </c>
      <c r="EL36">
        <v>17</v>
      </c>
      <c r="EM36">
        <v>-0.54375000000000107</v>
      </c>
      <c r="EN36">
        <v>20</v>
      </c>
      <c r="EO36">
        <v>-0.8125</v>
      </c>
      <c r="EP36">
        <v>25</v>
      </c>
      <c r="EQ36">
        <v>-12.375</v>
      </c>
      <c r="ER36">
        <v>14</v>
      </c>
      <c r="ES36">
        <v>0</v>
      </c>
      <c r="ET36">
        <v>6</v>
      </c>
      <c r="EU36">
        <v>9.3333333333333339</v>
      </c>
      <c r="EV36">
        <v>2</v>
      </c>
      <c r="EW36">
        <v>2.78125</v>
      </c>
      <c r="EX36">
        <v>10</v>
      </c>
      <c r="EY36">
        <v>0.6875</v>
      </c>
      <c r="EZ36">
        <v>16</v>
      </c>
      <c r="FA36">
        <v>-1.6875</v>
      </c>
      <c r="FB36">
        <v>2</v>
      </c>
      <c r="FC36">
        <v>1.625</v>
      </c>
      <c r="FD36">
        <v>25</v>
      </c>
      <c r="FE36">
        <v>22.666666666666668</v>
      </c>
      <c r="FF36">
        <v>29</v>
      </c>
      <c r="FG36">
        <v>-6.3624999999999998</v>
      </c>
      <c r="FH36">
        <v>21</v>
      </c>
      <c r="FI36">
        <v>-8.9375</v>
      </c>
      <c r="FJ36">
        <v>18</v>
      </c>
      <c r="FK36">
        <v>-0.6875</v>
      </c>
      <c r="FL36">
        <v>17</v>
      </c>
      <c r="FM36">
        <v>19</v>
      </c>
      <c r="FN36">
        <v>22</v>
      </c>
      <c r="FO36">
        <v>-2.2437499999999995</v>
      </c>
      <c r="FP36">
        <v>12</v>
      </c>
      <c r="FQ36">
        <v>1.125</v>
      </c>
      <c r="FR36">
        <v>23</v>
      </c>
      <c r="FS36">
        <v>-0.6875</v>
      </c>
      <c r="FT36">
        <v>19</v>
      </c>
      <c r="FU36">
        <v>17.333333333333332</v>
      </c>
      <c r="FV36">
        <v>17</v>
      </c>
      <c r="FW36">
        <v>-0.38125000000000053</v>
      </c>
      <c r="FX36">
        <v>21</v>
      </c>
      <c r="FY36">
        <v>-3.3125</v>
      </c>
      <c r="FZ36">
        <v>14</v>
      </c>
      <c r="GA36">
        <v>0.125</v>
      </c>
      <c r="GB36">
        <v>26</v>
      </c>
      <c r="GC36">
        <v>24.666666666666668</v>
      </c>
      <c r="GD36">
        <v>32</v>
      </c>
      <c r="GE36">
        <v>-3.7374999999999998</v>
      </c>
      <c r="GF36">
        <v>25</v>
      </c>
      <c r="GG36">
        <v>-6.75</v>
      </c>
      <c r="GH36">
        <v>17</v>
      </c>
      <c r="GI36">
        <v>-0.125</v>
      </c>
      <c r="GJ36">
        <v>11</v>
      </c>
      <c r="GK36">
        <v>12.333333333333334</v>
      </c>
      <c r="GL36">
        <v>8</v>
      </c>
      <c r="GM36">
        <v>2.1749999999999998</v>
      </c>
      <c r="GN36">
        <v>13</v>
      </c>
      <c r="GO36">
        <v>3</v>
      </c>
      <c r="GP36">
        <v>16</v>
      </c>
      <c r="GQ36">
        <v>-0.25</v>
      </c>
      <c r="GR36">
        <v>1</v>
      </c>
      <c r="GS36">
        <v>1.6666666666666667</v>
      </c>
      <c r="GT36">
        <v>1</v>
      </c>
      <c r="GU36">
        <v>11.3125</v>
      </c>
      <c r="GV36">
        <v>26.25</v>
      </c>
      <c r="GW36">
        <v>2.1875</v>
      </c>
      <c r="GX36">
        <v>14</v>
      </c>
      <c r="GY36">
        <v>13.5</v>
      </c>
      <c r="GZ36">
        <v>12</v>
      </c>
      <c r="HA36">
        <v>0.5</v>
      </c>
      <c r="HB36">
        <v>15</v>
      </c>
      <c r="HC36">
        <v>6.25E-2</v>
      </c>
      <c r="HD36">
        <v>-1.5</v>
      </c>
      <c r="HE36">
        <v>26</v>
      </c>
      <c r="HF36">
        <v>21.5</v>
      </c>
      <c r="HG36">
        <v>18</v>
      </c>
      <c r="HH36">
        <v>-6.0549200222468832E-3</v>
      </c>
      <c r="HI36">
        <v>19</v>
      </c>
      <c r="HJ36">
        <v>-5.1813521150570483E-3</v>
      </c>
      <c r="HK36">
        <v>29</v>
      </c>
      <c r="HL36">
        <v>9.6726190476190452E-2</v>
      </c>
      <c r="HM36">
        <v>20</v>
      </c>
      <c r="HN36">
        <v>-1.0625</v>
      </c>
      <c r="HO36">
        <v>1.375</v>
      </c>
      <c r="HP36">
        <v>3.625</v>
      </c>
      <c r="HQ36">
        <v>-0.6875</v>
      </c>
      <c r="HR36">
        <v>21.8125</v>
      </c>
      <c r="HS36">
        <v>29.625</v>
      </c>
      <c r="HT36">
        <v>-17.1875</v>
      </c>
      <c r="HU36">
        <v>4.3125</v>
      </c>
      <c r="HV36">
        <v>5.0625</v>
      </c>
      <c r="HW36">
        <v>8</v>
      </c>
      <c r="HX36">
        <v>4.9912500000000026</v>
      </c>
      <c r="HY36">
        <v>1.3170000000000006</v>
      </c>
      <c r="HZ36">
        <v>46.8125</v>
      </c>
      <c r="IA36">
        <v>25</v>
      </c>
      <c r="IB36">
        <v>1.8645312500000002</v>
      </c>
      <c r="IC36">
        <v>1.5</v>
      </c>
    </row>
    <row r="37" spans="1:237" x14ac:dyDescent="0.2">
      <c r="A37" s="19">
        <v>44115</v>
      </c>
      <c r="B37" s="13" t="s">
        <v>381</v>
      </c>
      <c r="C37" s="41" t="s">
        <v>265</v>
      </c>
      <c r="D37" s="13" t="s">
        <v>284</v>
      </c>
      <c r="E37">
        <v>19</v>
      </c>
      <c r="F37">
        <v>6.8</v>
      </c>
      <c r="G37">
        <v>3.5</v>
      </c>
      <c r="H37">
        <v>12.3</v>
      </c>
      <c r="I37">
        <v>3.5</v>
      </c>
      <c r="J37">
        <v>43.5</v>
      </c>
      <c r="L37" t="s">
        <v>265</v>
      </c>
      <c r="M37">
        <v>13</v>
      </c>
      <c r="N37">
        <v>-0.125</v>
      </c>
      <c r="O37">
        <v>28</v>
      </c>
      <c r="P37">
        <v>24.5</v>
      </c>
      <c r="Q37">
        <v>31</v>
      </c>
      <c r="R37">
        <v>-8.65</v>
      </c>
      <c r="S37">
        <v>28</v>
      </c>
      <c r="T37">
        <v>-3.5625</v>
      </c>
      <c r="U37">
        <v>23</v>
      </c>
      <c r="V37">
        <v>-15.3125</v>
      </c>
      <c r="W37">
        <v>16</v>
      </c>
      <c r="X37">
        <v>-0.25</v>
      </c>
      <c r="Y37">
        <v>27</v>
      </c>
      <c r="Z37">
        <v>23</v>
      </c>
      <c r="AA37">
        <v>26</v>
      </c>
      <c r="AB37">
        <v>-5.0875000000000004</v>
      </c>
      <c r="AC37">
        <v>25</v>
      </c>
      <c r="AD37">
        <v>-1.625</v>
      </c>
      <c r="AE37">
        <v>27</v>
      </c>
      <c r="AF37">
        <v>-13.8125</v>
      </c>
      <c r="AG37">
        <v>16</v>
      </c>
      <c r="AH37">
        <v>-6.25E-2</v>
      </c>
      <c r="AI37">
        <v>24</v>
      </c>
      <c r="AJ37">
        <v>21</v>
      </c>
      <c r="AK37">
        <v>32</v>
      </c>
      <c r="AL37">
        <v>-3.5625</v>
      </c>
      <c r="AM37">
        <v>24</v>
      </c>
      <c r="AN37">
        <v>-1.9375</v>
      </c>
      <c r="AO37">
        <v>15</v>
      </c>
      <c r="AP37">
        <v>-1.5</v>
      </c>
      <c r="AQ37">
        <v>16</v>
      </c>
      <c r="AR37">
        <v>-0.1875</v>
      </c>
      <c r="AS37">
        <v>12</v>
      </c>
      <c r="AT37">
        <v>12.666666666666666</v>
      </c>
      <c r="AU37">
        <v>12</v>
      </c>
      <c r="AV37">
        <v>1.8187500000000001</v>
      </c>
      <c r="AW37">
        <v>20</v>
      </c>
      <c r="AX37">
        <v>-3</v>
      </c>
      <c r="AY37">
        <v>6</v>
      </c>
      <c r="AZ37">
        <v>3</v>
      </c>
      <c r="BA37">
        <v>7</v>
      </c>
      <c r="BB37">
        <v>7.333333333333333</v>
      </c>
      <c r="BC37">
        <v>12</v>
      </c>
      <c r="BD37">
        <v>2.3750000000000009</v>
      </c>
      <c r="BE37">
        <v>6</v>
      </c>
      <c r="BF37">
        <v>14.125</v>
      </c>
      <c r="BG37">
        <v>4</v>
      </c>
      <c r="BH37">
        <v>2.5625</v>
      </c>
      <c r="BI37">
        <v>32</v>
      </c>
      <c r="BJ37">
        <v>29</v>
      </c>
      <c r="BK37">
        <v>28</v>
      </c>
      <c r="BL37">
        <v>-3.0375000000000005</v>
      </c>
      <c r="BM37">
        <v>32</v>
      </c>
      <c r="BN37">
        <v>-20.75</v>
      </c>
      <c r="BO37">
        <v>27</v>
      </c>
      <c r="BP37">
        <v>-1.0625</v>
      </c>
      <c r="BQ37">
        <v>7</v>
      </c>
      <c r="BR37">
        <v>8</v>
      </c>
      <c r="BS37">
        <v>8</v>
      </c>
      <c r="BT37">
        <v>2.4812499999999997</v>
      </c>
      <c r="BU37">
        <v>12</v>
      </c>
      <c r="BV37">
        <v>3.625</v>
      </c>
      <c r="BW37">
        <v>4</v>
      </c>
      <c r="BX37">
        <v>1.5</v>
      </c>
      <c r="BY37">
        <v>10</v>
      </c>
      <c r="BZ37">
        <v>9</v>
      </c>
      <c r="CA37">
        <v>14</v>
      </c>
      <c r="CB37">
        <v>0.31249999999999911</v>
      </c>
      <c r="CC37">
        <v>12</v>
      </c>
      <c r="CD37">
        <v>6.875</v>
      </c>
      <c r="CE37">
        <v>1</v>
      </c>
      <c r="CF37">
        <v>3.6875</v>
      </c>
      <c r="CG37">
        <v>8</v>
      </c>
      <c r="CH37">
        <v>10</v>
      </c>
      <c r="CI37">
        <v>9</v>
      </c>
      <c r="CJ37">
        <v>2.15</v>
      </c>
      <c r="CK37">
        <v>4</v>
      </c>
      <c r="CL37">
        <v>1.5</v>
      </c>
      <c r="CM37">
        <v>19</v>
      </c>
      <c r="CN37">
        <v>19</v>
      </c>
      <c r="CO37">
        <v>29</v>
      </c>
      <c r="CP37">
        <v>-1.875</v>
      </c>
      <c r="CQ37">
        <v>9</v>
      </c>
      <c r="CR37">
        <v>0.25</v>
      </c>
      <c r="CS37">
        <v>-0.375</v>
      </c>
      <c r="CT37">
        <v>9</v>
      </c>
      <c r="CU37">
        <v>12.5</v>
      </c>
      <c r="CV37">
        <v>22</v>
      </c>
      <c r="CW37">
        <v>-3.1076503697840575E-2</v>
      </c>
      <c r="CX37">
        <v>13</v>
      </c>
      <c r="CY37">
        <v>2.1885100436464296E-3</v>
      </c>
      <c r="CZ37">
        <v>2</v>
      </c>
      <c r="DA37">
        <v>-0.19858630952380951</v>
      </c>
      <c r="DB37">
        <v>13</v>
      </c>
      <c r="DC37">
        <v>0.5</v>
      </c>
      <c r="DD37">
        <v>1.9375</v>
      </c>
      <c r="DE37">
        <v>-4.375</v>
      </c>
      <c r="DF37">
        <v>-0.4375</v>
      </c>
      <c r="DG37">
        <v>-9</v>
      </c>
      <c r="DH37">
        <v>-5.625</v>
      </c>
      <c r="DI37">
        <v>-18.5625</v>
      </c>
      <c r="DJ37">
        <v>8.3125</v>
      </c>
      <c r="DK37">
        <v>6.875</v>
      </c>
      <c r="DL37">
        <v>4</v>
      </c>
      <c r="DM37">
        <v>8.5250000000000004</v>
      </c>
      <c r="DN37">
        <v>5.09375</v>
      </c>
      <c r="DO37">
        <v>12.9375</v>
      </c>
      <c r="DP37">
        <v>29</v>
      </c>
      <c r="DQ37">
        <v>-0.83515625000000004</v>
      </c>
      <c r="DR37">
        <v>4.5</v>
      </c>
      <c r="DS37">
        <v>-0.99695312499999988</v>
      </c>
      <c r="DT37">
        <v>-0.77093750000000016</v>
      </c>
      <c r="DU37" t="s">
        <v>284</v>
      </c>
      <c r="DV37" t="s">
        <v>243</v>
      </c>
      <c r="DW37" t="s">
        <v>486</v>
      </c>
      <c r="DX37">
        <v>22</v>
      </c>
      <c r="DY37">
        <v>-1.7587499999999996</v>
      </c>
      <c r="DZ37">
        <v>30</v>
      </c>
      <c r="EA37">
        <v>25.75</v>
      </c>
      <c r="EB37">
        <v>32</v>
      </c>
      <c r="EC37">
        <v>-7.8124999999999991</v>
      </c>
      <c r="ED37">
        <v>32</v>
      </c>
      <c r="EE37">
        <v>-5.75</v>
      </c>
      <c r="EF37">
        <v>32</v>
      </c>
      <c r="EG37">
        <v>-52.625</v>
      </c>
      <c r="EH37">
        <v>7</v>
      </c>
      <c r="EI37">
        <v>1.0625</v>
      </c>
      <c r="EJ37">
        <v>32</v>
      </c>
      <c r="EK37">
        <v>30</v>
      </c>
      <c r="EL37">
        <v>32</v>
      </c>
      <c r="EM37">
        <v>-7.8874999999999993</v>
      </c>
      <c r="EN37">
        <v>31</v>
      </c>
      <c r="EO37">
        <v>-4.625</v>
      </c>
      <c r="EP37">
        <v>32</v>
      </c>
      <c r="EQ37">
        <v>-37.4375</v>
      </c>
      <c r="ER37">
        <v>25</v>
      </c>
      <c r="ES37">
        <v>-0.6875</v>
      </c>
      <c r="ET37">
        <v>26</v>
      </c>
      <c r="EU37">
        <v>24</v>
      </c>
      <c r="EV37">
        <v>17</v>
      </c>
      <c r="EW37">
        <v>7.4999999999999956E-2</v>
      </c>
      <c r="EX37">
        <v>24</v>
      </c>
      <c r="EY37">
        <v>-1.125</v>
      </c>
      <c r="EZ37">
        <v>31</v>
      </c>
      <c r="FA37">
        <v>-15.1875</v>
      </c>
      <c r="FB37">
        <v>1</v>
      </c>
      <c r="FC37">
        <v>1.75</v>
      </c>
      <c r="FD37">
        <v>11</v>
      </c>
      <c r="FE37">
        <v>13</v>
      </c>
      <c r="FF37">
        <v>8</v>
      </c>
      <c r="FG37">
        <v>2.693750000000001</v>
      </c>
      <c r="FH37">
        <v>15</v>
      </c>
      <c r="FI37">
        <v>0.5</v>
      </c>
      <c r="FJ37">
        <v>16</v>
      </c>
      <c r="FK37">
        <v>-0.375</v>
      </c>
      <c r="FL37">
        <v>19</v>
      </c>
      <c r="FM37">
        <v>20</v>
      </c>
      <c r="FN37">
        <v>26</v>
      </c>
      <c r="FO37">
        <v>-2.8312500000000003</v>
      </c>
      <c r="FP37">
        <v>27</v>
      </c>
      <c r="FQ37">
        <v>-9.75</v>
      </c>
      <c r="FR37">
        <v>7</v>
      </c>
      <c r="FS37">
        <v>0.8125</v>
      </c>
      <c r="FT37">
        <v>10</v>
      </c>
      <c r="FU37">
        <v>11.666666666666666</v>
      </c>
      <c r="FV37">
        <v>5</v>
      </c>
      <c r="FW37">
        <v>4.4312500000000012</v>
      </c>
      <c r="FX37">
        <v>12</v>
      </c>
      <c r="FY37">
        <v>7.4375</v>
      </c>
      <c r="FZ37">
        <v>18</v>
      </c>
      <c r="GA37">
        <v>-0.1875</v>
      </c>
      <c r="GB37">
        <v>14</v>
      </c>
      <c r="GC37">
        <v>15.666666666666666</v>
      </c>
      <c r="GD37">
        <v>9</v>
      </c>
      <c r="GE37">
        <v>1.09375</v>
      </c>
      <c r="GF37">
        <v>11</v>
      </c>
      <c r="GG37">
        <v>2.8125</v>
      </c>
      <c r="GH37">
        <v>27</v>
      </c>
      <c r="GI37">
        <v>-1</v>
      </c>
      <c r="GJ37">
        <v>8</v>
      </c>
      <c r="GK37">
        <v>10</v>
      </c>
      <c r="GL37">
        <v>7</v>
      </c>
      <c r="GM37">
        <v>2.2249999999999996</v>
      </c>
      <c r="GN37">
        <v>11</v>
      </c>
      <c r="GO37">
        <v>6</v>
      </c>
      <c r="GP37">
        <v>12</v>
      </c>
      <c r="GQ37">
        <v>0.1875</v>
      </c>
      <c r="GR37">
        <v>16</v>
      </c>
      <c r="GS37">
        <v>16.666666666666668</v>
      </c>
      <c r="GT37">
        <v>22</v>
      </c>
      <c r="GU37">
        <v>-1.59375</v>
      </c>
      <c r="GV37">
        <v>2.8125</v>
      </c>
      <c r="GW37">
        <v>0.125</v>
      </c>
      <c r="GX37">
        <v>22</v>
      </c>
      <c r="GY37">
        <v>23.5</v>
      </c>
      <c r="GZ37">
        <v>22</v>
      </c>
      <c r="HA37">
        <v>-1.3125</v>
      </c>
      <c r="HB37">
        <v>25</v>
      </c>
      <c r="HC37">
        <v>-0.5625</v>
      </c>
      <c r="HD37">
        <v>2.0625</v>
      </c>
      <c r="HE37">
        <v>4</v>
      </c>
      <c r="HF37">
        <v>9.5</v>
      </c>
      <c r="HG37">
        <v>5</v>
      </c>
      <c r="HH37">
        <v>4.2303554420883363E-2</v>
      </c>
      <c r="HI37">
        <v>1</v>
      </c>
      <c r="HJ37">
        <v>4.3510832088033261E-2</v>
      </c>
      <c r="HK37">
        <v>28</v>
      </c>
      <c r="HL37">
        <v>7.213603443769856E-2</v>
      </c>
      <c r="HM37">
        <v>4</v>
      </c>
      <c r="HN37">
        <v>3.8125</v>
      </c>
      <c r="HO37">
        <v>-2.5</v>
      </c>
      <c r="HP37">
        <v>-3.8125</v>
      </c>
      <c r="HQ37">
        <v>2.625</v>
      </c>
      <c r="HR37">
        <v>-46.75</v>
      </c>
      <c r="HS37">
        <v>2.6875</v>
      </c>
      <c r="HT37">
        <v>-51.5625</v>
      </c>
      <c r="HU37">
        <v>3.25</v>
      </c>
      <c r="HV37">
        <v>-1.125</v>
      </c>
      <c r="HW37">
        <v>5</v>
      </c>
      <c r="HX37">
        <v>6.0537499999999991</v>
      </c>
      <c r="HY37">
        <v>3.7744999999999997</v>
      </c>
      <c r="HZ37">
        <v>54.25</v>
      </c>
      <c r="IA37">
        <v>28</v>
      </c>
      <c r="IB37">
        <v>-1.2229687499999997</v>
      </c>
      <c r="IC37">
        <v>-0.25</v>
      </c>
    </row>
    <row r="38" spans="1:237" x14ac:dyDescent="0.2">
      <c r="A38" s="19">
        <v>44115</v>
      </c>
      <c r="B38" s="13" t="s">
        <v>381</v>
      </c>
      <c r="C38" s="17" t="s">
        <v>272</v>
      </c>
      <c r="D38" s="14" t="s">
        <v>305</v>
      </c>
      <c r="E38">
        <v>10.199999999999999</v>
      </c>
      <c r="F38">
        <v>8.1999999999999993</v>
      </c>
      <c r="G38">
        <v>2.2000000000000002</v>
      </c>
      <c r="H38">
        <v>4.2</v>
      </c>
      <c r="I38">
        <v>11.5</v>
      </c>
      <c r="J38">
        <v>50</v>
      </c>
      <c r="L38" t="s">
        <v>272</v>
      </c>
      <c r="M38">
        <v>21</v>
      </c>
      <c r="N38">
        <v>-1.4125000000000005</v>
      </c>
      <c r="O38">
        <v>12</v>
      </c>
      <c r="P38">
        <v>13</v>
      </c>
      <c r="Q38">
        <v>16</v>
      </c>
      <c r="R38">
        <v>0.36249999999999982</v>
      </c>
      <c r="S38">
        <v>13</v>
      </c>
      <c r="T38">
        <v>0.9375</v>
      </c>
      <c r="U38">
        <v>12</v>
      </c>
      <c r="V38">
        <v>10.5625</v>
      </c>
      <c r="W38">
        <v>11</v>
      </c>
      <c r="X38">
        <v>0.4375</v>
      </c>
      <c r="Y38">
        <v>15</v>
      </c>
      <c r="Z38">
        <v>15</v>
      </c>
      <c r="AA38">
        <v>14</v>
      </c>
      <c r="AB38">
        <v>0.91249999999999964</v>
      </c>
      <c r="AC38">
        <v>4</v>
      </c>
      <c r="AD38">
        <v>3.75</v>
      </c>
      <c r="AE38">
        <v>5</v>
      </c>
      <c r="AF38">
        <v>17.25</v>
      </c>
      <c r="AG38">
        <v>26</v>
      </c>
      <c r="AH38">
        <v>-1.1875</v>
      </c>
      <c r="AI38">
        <v>14</v>
      </c>
      <c r="AJ38">
        <v>15.333333333333334</v>
      </c>
      <c r="AK38">
        <v>20</v>
      </c>
      <c r="AL38">
        <v>-0.54999999999999982</v>
      </c>
      <c r="AM38">
        <v>29</v>
      </c>
      <c r="AN38">
        <v>-2.8125</v>
      </c>
      <c r="AO38">
        <v>24</v>
      </c>
      <c r="AP38">
        <v>-6.6875</v>
      </c>
      <c r="AQ38">
        <v>2</v>
      </c>
      <c r="AR38">
        <v>1.625</v>
      </c>
      <c r="AS38">
        <v>12</v>
      </c>
      <c r="AT38">
        <v>12.666666666666666</v>
      </c>
      <c r="AU38">
        <v>18</v>
      </c>
      <c r="AV38">
        <v>-0.90000000000000213</v>
      </c>
      <c r="AW38">
        <v>19</v>
      </c>
      <c r="AX38">
        <v>-0.625</v>
      </c>
      <c r="AY38">
        <v>1</v>
      </c>
      <c r="AZ38">
        <v>5.1875</v>
      </c>
      <c r="BA38">
        <v>12</v>
      </c>
      <c r="BB38">
        <v>11.666666666666666</v>
      </c>
      <c r="BC38">
        <v>15</v>
      </c>
      <c r="BD38">
        <v>0.67499999999999849</v>
      </c>
      <c r="BE38">
        <v>11</v>
      </c>
      <c r="BF38">
        <v>7.8125</v>
      </c>
      <c r="BG38">
        <v>9</v>
      </c>
      <c r="BH38">
        <v>0.75</v>
      </c>
      <c r="BI38">
        <v>21</v>
      </c>
      <c r="BJ38">
        <v>21.333333333333332</v>
      </c>
      <c r="BK38">
        <v>32</v>
      </c>
      <c r="BL38">
        <v>-5.3625000000000007</v>
      </c>
      <c r="BM38">
        <v>30</v>
      </c>
      <c r="BN38">
        <v>-18.375</v>
      </c>
      <c r="BO38">
        <v>2</v>
      </c>
      <c r="BP38">
        <v>2.4375</v>
      </c>
      <c r="BQ38">
        <v>2</v>
      </c>
      <c r="BR38">
        <v>4</v>
      </c>
      <c r="BS38">
        <v>3</v>
      </c>
      <c r="BT38">
        <v>3.7874999999999996</v>
      </c>
      <c r="BU38">
        <v>7</v>
      </c>
      <c r="BV38">
        <v>9.9375</v>
      </c>
      <c r="BW38">
        <v>2</v>
      </c>
      <c r="BX38">
        <v>2</v>
      </c>
      <c r="BY38">
        <v>22</v>
      </c>
      <c r="BZ38">
        <v>21.666666666666668</v>
      </c>
      <c r="CA38">
        <v>28</v>
      </c>
      <c r="CB38">
        <v>-5.5937500000000018</v>
      </c>
      <c r="CC38">
        <v>24</v>
      </c>
      <c r="CD38">
        <v>-12.8125</v>
      </c>
      <c r="CE38">
        <v>13</v>
      </c>
      <c r="CF38">
        <v>0.4375</v>
      </c>
      <c r="CG38">
        <v>24</v>
      </c>
      <c r="CH38">
        <v>23.333333333333332</v>
      </c>
      <c r="CI38">
        <v>31</v>
      </c>
      <c r="CJ38">
        <v>-5.2499999999999982</v>
      </c>
      <c r="CK38">
        <v>-12</v>
      </c>
      <c r="CL38">
        <v>-0.375</v>
      </c>
      <c r="CM38">
        <v>1</v>
      </c>
      <c r="CN38">
        <v>1</v>
      </c>
      <c r="CO38">
        <v>1</v>
      </c>
      <c r="CP38">
        <v>3.8125</v>
      </c>
      <c r="CQ38">
        <v>1</v>
      </c>
      <c r="CR38">
        <v>1.125</v>
      </c>
      <c r="CS38">
        <v>-2.8125</v>
      </c>
      <c r="CT38">
        <v>5</v>
      </c>
      <c r="CU38">
        <v>9.5</v>
      </c>
      <c r="CV38">
        <v>5</v>
      </c>
      <c r="CW38">
        <v>4.5225528797047845E-2</v>
      </c>
      <c r="CX38">
        <v>6</v>
      </c>
      <c r="CY38">
        <v>1.4570996537296375E-2</v>
      </c>
      <c r="CZ38">
        <v>19</v>
      </c>
      <c r="DA38">
        <v>2.7637553418803404E-2</v>
      </c>
      <c r="DB38">
        <v>8</v>
      </c>
      <c r="DC38">
        <v>1.0625</v>
      </c>
      <c r="DD38">
        <v>6.4375</v>
      </c>
      <c r="DE38">
        <v>-3.0625</v>
      </c>
      <c r="DF38">
        <v>0</v>
      </c>
      <c r="DG38">
        <v>-7.25</v>
      </c>
      <c r="DH38">
        <v>-6.1875</v>
      </c>
      <c r="DI38">
        <v>4.6875</v>
      </c>
      <c r="DJ38">
        <v>-7.0625</v>
      </c>
      <c r="DK38">
        <v>1.3125</v>
      </c>
      <c r="DL38">
        <v>21</v>
      </c>
      <c r="DM38">
        <v>-1.7750000000000004</v>
      </c>
      <c r="DN38">
        <v>-1.6937500000000003</v>
      </c>
      <c r="DO38">
        <v>-10.875</v>
      </c>
      <c r="DP38">
        <v>12</v>
      </c>
      <c r="DQ38">
        <v>-0.42343750000000013</v>
      </c>
      <c r="DR38">
        <v>4.8125</v>
      </c>
      <c r="DS38">
        <v>-5.1171874999999811E-2</v>
      </c>
      <c r="DT38">
        <v>0.49890625000000022</v>
      </c>
      <c r="DU38" t="s">
        <v>305</v>
      </c>
      <c r="DV38" t="s">
        <v>268</v>
      </c>
      <c r="DW38" t="s">
        <v>500</v>
      </c>
      <c r="DX38">
        <v>5</v>
      </c>
      <c r="DY38">
        <v>3.4262500000000005</v>
      </c>
      <c r="DZ38">
        <v>22</v>
      </c>
      <c r="EA38">
        <v>20.25</v>
      </c>
      <c r="EB38">
        <v>23</v>
      </c>
      <c r="EC38">
        <v>-2.4312499999999999</v>
      </c>
      <c r="ED38">
        <v>27</v>
      </c>
      <c r="EE38">
        <v>-3.1875</v>
      </c>
      <c r="EF38">
        <v>30</v>
      </c>
      <c r="EG38">
        <v>-24.1875</v>
      </c>
      <c r="EH38">
        <v>1</v>
      </c>
      <c r="EI38">
        <v>2.625</v>
      </c>
      <c r="EJ38">
        <v>23</v>
      </c>
      <c r="EK38">
        <v>20</v>
      </c>
      <c r="EL38">
        <v>23</v>
      </c>
      <c r="EM38">
        <v>-2.7312499999999997</v>
      </c>
      <c r="EN38">
        <v>24</v>
      </c>
      <c r="EO38">
        <v>-1.25</v>
      </c>
      <c r="EP38">
        <v>28</v>
      </c>
      <c r="EQ38">
        <v>-14.1875</v>
      </c>
      <c r="ER38">
        <v>5</v>
      </c>
      <c r="ES38">
        <v>1.125</v>
      </c>
      <c r="ET38">
        <v>27</v>
      </c>
      <c r="EU38">
        <v>24.333333333333332</v>
      </c>
      <c r="EV38">
        <v>14</v>
      </c>
      <c r="EW38">
        <v>0.29999999999999982</v>
      </c>
      <c r="EX38">
        <v>29</v>
      </c>
      <c r="EY38">
        <v>-1.9375</v>
      </c>
      <c r="EZ38">
        <v>30</v>
      </c>
      <c r="FA38">
        <v>-10</v>
      </c>
      <c r="FB38">
        <v>3</v>
      </c>
      <c r="FC38">
        <v>1.5</v>
      </c>
      <c r="FD38">
        <v>10</v>
      </c>
      <c r="FE38">
        <v>11.666666666666666</v>
      </c>
      <c r="FF38">
        <v>19</v>
      </c>
      <c r="FG38">
        <v>-3.3174999999999986</v>
      </c>
      <c r="FH38">
        <v>11</v>
      </c>
      <c r="FI38">
        <v>6.8125</v>
      </c>
      <c r="FJ38">
        <v>5</v>
      </c>
      <c r="FK38">
        <v>2.25</v>
      </c>
      <c r="FL38">
        <v>31</v>
      </c>
      <c r="FM38">
        <v>28</v>
      </c>
      <c r="FN38">
        <v>32</v>
      </c>
      <c r="FO38">
        <v>-5.0937499999999991</v>
      </c>
      <c r="FP38">
        <v>32</v>
      </c>
      <c r="FQ38">
        <v>-19.6875</v>
      </c>
      <c r="FR38">
        <v>20</v>
      </c>
      <c r="FS38">
        <v>-0.1875</v>
      </c>
      <c r="FT38">
        <v>5</v>
      </c>
      <c r="FU38">
        <v>8</v>
      </c>
      <c r="FV38">
        <v>13</v>
      </c>
      <c r="FW38">
        <v>0.98250000000000037</v>
      </c>
      <c r="FX38">
        <v>5</v>
      </c>
      <c r="FY38">
        <v>13.625</v>
      </c>
      <c r="FZ38">
        <v>6</v>
      </c>
      <c r="GA38">
        <v>1.0625</v>
      </c>
      <c r="GB38">
        <v>5</v>
      </c>
      <c r="GC38">
        <v>6.333333333333333</v>
      </c>
      <c r="GD38">
        <v>12</v>
      </c>
      <c r="GE38">
        <v>0.79374999999999962</v>
      </c>
      <c r="GF38">
        <v>4</v>
      </c>
      <c r="GG38">
        <v>12.875</v>
      </c>
      <c r="GH38">
        <v>3</v>
      </c>
      <c r="GI38">
        <v>1.375</v>
      </c>
      <c r="GJ38">
        <v>10</v>
      </c>
      <c r="GK38">
        <v>10.666666666666666</v>
      </c>
      <c r="GL38">
        <v>19</v>
      </c>
      <c r="GM38">
        <v>-1.6187499999999995</v>
      </c>
      <c r="GN38">
        <v>9</v>
      </c>
      <c r="GO38">
        <v>7.5625</v>
      </c>
      <c r="GP38">
        <v>4</v>
      </c>
      <c r="GQ38">
        <v>1.25</v>
      </c>
      <c r="GR38">
        <v>13</v>
      </c>
      <c r="GS38">
        <v>14.333333333333334</v>
      </c>
      <c r="GT38">
        <v>11</v>
      </c>
      <c r="GU38">
        <v>0.13750000000000018</v>
      </c>
      <c r="GV38">
        <v>6.375</v>
      </c>
      <c r="GW38">
        <v>-0.625</v>
      </c>
      <c r="GX38">
        <v>23</v>
      </c>
      <c r="GY38">
        <v>24</v>
      </c>
      <c r="GZ38">
        <v>30</v>
      </c>
      <c r="HA38">
        <v>-2.625</v>
      </c>
      <c r="HB38">
        <v>18</v>
      </c>
      <c r="HC38">
        <v>-0.25</v>
      </c>
      <c r="HD38">
        <v>-2.0625</v>
      </c>
      <c r="HE38">
        <v>11</v>
      </c>
      <c r="HF38">
        <v>14.25</v>
      </c>
      <c r="HG38">
        <v>24</v>
      </c>
      <c r="HH38">
        <v>-2.9272112020216443E-2</v>
      </c>
      <c r="HI38">
        <v>23</v>
      </c>
      <c r="HJ38">
        <v>-1.1925269494397782E-2</v>
      </c>
      <c r="HK38">
        <v>8</v>
      </c>
      <c r="HL38">
        <v>-6.6767000360750367E-2</v>
      </c>
      <c r="HM38">
        <v>2</v>
      </c>
      <c r="HN38">
        <v>5</v>
      </c>
      <c r="HO38">
        <v>3.75</v>
      </c>
      <c r="HP38">
        <v>-6.3125</v>
      </c>
      <c r="HQ38">
        <v>-0.4375</v>
      </c>
      <c r="HR38">
        <v>20.375</v>
      </c>
      <c r="HS38">
        <v>47.375</v>
      </c>
      <c r="HT38">
        <v>-24.9375</v>
      </c>
      <c r="HU38">
        <v>-1.125</v>
      </c>
      <c r="HV38">
        <v>-0.9375</v>
      </c>
      <c r="HW38">
        <v>6</v>
      </c>
      <c r="HX38">
        <v>5.8574999999999999</v>
      </c>
      <c r="HY38">
        <v>1.2648750000000002</v>
      </c>
      <c r="HZ38">
        <v>72.3125</v>
      </c>
      <c r="IA38">
        <v>27</v>
      </c>
      <c r="IB38">
        <v>-0.60124999999999984</v>
      </c>
      <c r="IC38">
        <v>1.625</v>
      </c>
    </row>
    <row r="39" spans="1:237" x14ac:dyDescent="0.2">
      <c r="A39" s="19">
        <v>44115</v>
      </c>
      <c r="B39" s="13" t="s">
        <v>381</v>
      </c>
      <c r="C39" s="41" t="s">
        <v>281</v>
      </c>
      <c r="D39" s="14" t="s">
        <v>289</v>
      </c>
      <c r="E39">
        <v>11.42</v>
      </c>
      <c r="F39">
        <v>12.8</v>
      </c>
      <c r="G39">
        <v>12.1</v>
      </c>
      <c r="H39">
        <v>10.7</v>
      </c>
      <c r="I39">
        <v>-1</v>
      </c>
      <c r="J39">
        <v>48.5</v>
      </c>
      <c r="K39" t="s">
        <v>735</v>
      </c>
      <c r="L39" t="s">
        <v>281</v>
      </c>
      <c r="M39">
        <v>32</v>
      </c>
      <c r="N39">
        <v>-7.6887499999999998</v>
      </c>
      <c r="O39">
        <v>3</v>
      </c>
      <c r="P39">
        <v>7.25</v>
      </c>
      <c r="Q39">
        <v>1</v>
      </c>
      <c r="R39">
        <v>13.15625</v>
      </c>
      <c r="S39">
        <v>1</v>
      </c>
      <c r="T39">
        <v>6.0625</v>
      </c>
      <c r="U39">
        <v>1</v>
      </c>
      <c r="V39">
        <v>64.3125</v>
      </c>
      <c r="W39">
        <v>26</v>
      </c>
      <c r="X39">
        <v>-1.0625</v>
      </c>
      <c r="Y39">
        <v>12</v>
      </c>
      <c r="Z39">
        <v>13</v>
      </c>
      <c r="AA39">
        <v>5</v>
      </c>
      <c r="AB39">
        <v>5.3999999999999995</v>
      </c>
      <c r="AC39">
        <v>13</v>
      </c>
      <c r="AD39">
        <v>-0.125</v>
      </c>
      <c r="AE39">
        <v>4</v>
      </c>
      <c r="AF39">
        <v>20.75</v>
      </c>
      <c r="AG39">
        <v>30</v>
      </c>
      <c r="AH39">
        <v>-1.9375</v>
      </c>
      <c r="AI39">
        <v>1</v>
      </c>
      <c r="AJ39">
        <v>3</v>
      </c>
      <c r="AK39">
        <v>1</v>
      </c>
      <c r="AL39">
        <v>7.7562499999999996</v>
      </c>
      <c r="AM39">
        <v>1</v>
      </c>
      <c r="AN39">
        <v>6.1875</v>
      </c>
      <c r="AO39">
        <v>1</v>
      </c>
      <c r="AP39">
        <v>43.5625</v>
      </c>
      <c r="AQ39">
        <v>7</v>
      </c>
      <c r="AR39">
        <v>0.875</v>
      </c>
      <c r="AS39">
        <v>27</v>
      </c>
      <c r="AT39">
        <v>27</v>
      </c>
      <c r="AU39">
        <v>24</v>
      </c>
      <c r="AV39">
        <v>-5.0787500000000021</v>
      </c>
      <c r="AW39">
        <v>28</v>
      </c>
      <c r="AX39">
        <v>-35.375</v>
      </c>
      <c r="AY39">
        <v>29</v>
      </c>
      <c r="AZ39">
        <v>-3.9375</v>
      </c>
      <c r="BA39">
        <v>16</v>
      </c>
      <c r="BB39">
        <v>18.666666666666668</v>
      </c>
      <c r="BC39">
        <v>17</v>
      </c>
      <c r="BD39">
        <v>0.22499999999999809</v>
      </c>
      <c r="BE39">
        <v>20</v>
      </c>
      <c r="BF39">
        <v>-7.5</v>
      </c>
      <c r="BG39">
        <v>19</v>
      </c>
      <c r="BH39">
        <v>-0.4375</v>
      </c>
      <c r="BI39">
        <v>29</v>
      </c>
      <c r="BJ39">
        <v>26.333333333333332</v>
      </c>
      <c r="BK39">
        <v>25</v>
      </c>
      <c r="BL39">
        <v>-1.9787500000000007</v>
      </c>
      <c r="BM39">
        <v>24</v>
      </c>
      <c r="BN39">
        <v>-10.375</v>
      </c>
      <c r="BO39">
        <v>30</v>
      </c>
      <c r="BP39">
        <v>-1.375</v>
      </c>
      <c r="BQ39">
        <v>31</v>
      </c>
      <c r="BR39">
        <v>30.333333333333332</v>
      </c>
      <c r="BS39">
        <v>29</v>
      </c>
      <c r="BT39">
        <v>-3.3249999999999997</v>
      </c>
      <c r="BU39">
        <v>30</v>
      </c>
      <c r="BV39">
        <v>-17.5</v>
      </c>
      <c r="BW39">
        <v>32</v>
      </c>
      <c r="BX39">
        <v>-2.125</v>
      </c>
      <c r="BY39">
        <v>32</v>
      </c>
      <c r="BZ39">
        <v>30.666666666666668</v>
      </c>
      <c r="CA39">
        <v>32</v>
      </c>
      <c r="CB39">
        <v>-6.7687499999999998</v>
      </c>
      <c r="CC39">
        <v>28</v>
      </c>
      <c r="CD39">
        <v>-22.6875</v>
      </c>
      <c r="CE39">
        <v>32</v>
      </c>
      <c r="CF39">
        <v>-4.8125</v>
      </c>
      <c r="CG39">
        <v>27</v>
      </c>
      <c r="CH39">
        <v>25.666666666666668</v>
      </c>
      <c r="CI39">
        <v>23</v>
      </c>
      <c r="CJ39">
        <v>-2.1187500000000004</v>
      </c>
      <c r="CK39">
        <v>-17.4375</v>
      </c>
      <c r="CL39">
        <v>-1.375</v>
      </c>
      <c r="CM39">
        <v>30</v>
      </c>
      <c r="CN39">
        <v>28.5</v>
      </c>
      <c r="CO39">
        <v>25</v>
      </c>
      <c r="CP39">
        <v>-1.4375</v>
      </c>
      <c r="CQ39">
        <v>32</v>
      </c>
      <c r="CR39">
        <v>-1.125</v>
      </c>
      <c r="CS39">
        <v>-0.1875</v>
      </c>
      <c r="CT39">
        <v>26</v>
      </c>
      <c r="CU39">
        <v>21</v>
      </c>
      <c r="CV39">
        <v>12</v>
      </c>
      <c r="CW39">
        <v>1.9082783347200302E-2</v>
      </c>
      <c r="CX39">
        <v>24</v>
      </c>
      <c r="CY39">
        <v>-9.3305687397869236E-3</v>
      </c>
      <c r="CZ39">
        <v>20</v>
      </c>
      <c r="DA39">
        <v>3.3123647186147173E-2</v>
      </c>
      <c r="DB39">
        <v>28</v>
      </c>
      <c r="DC39">
        <v>-2.0625</v>
      </c>
      <c r="DD39">
        <v>-2.9375</v>
      </c>
      <c r="DE39">
        <v>4.25</v>
      </c>
      <c r="DF39">
        <v>-0.125</v>
      </c>
      <c r="DG39">
        <v>-8.625</v>
      </c>
      <c r="DH39">
        <v>-73.9375</v>
      </c>
      <c r="DI39">
        <v>70.9375</v>
      </c>
      <c r="DJ39">
        <v>11.125</v>
      </c>
      <c r="DK39">
        <v>-16.75</v>
      </c>
      <c r="DL39">
        <v>32</v>
      </c>
      <c r="DM39">
        <v>-20.844999999999999</v>
      </c>
      <c r="DN39">
        <v>-9.5553750000000015</v>
      </c>
      <c r="DO39">
        <v>-144.875</v>
      </c>
      <c r="DP39">
        <v>1</v>
      </c>
      <c r="DQ39">
        <v>-0.39593750000000044</v>
      </c>
      <c r="DR39">
        <v>-5.3125</v>
      </c>
      <c r="DS39">
        <v>-0.53890624999999992</v>
      </c>
      <c r="DT39">
        <v>2.0770312500000001</v>
      </c>
      <c r="DU39" t="s">
        <v>289</v>
      </c>
      <c r="DV39" t="s">
        <v>274</v>
      </c>
      <c r="DW39" t="s">
        <v>488</v>
      </c>
      <c r="DX39">
        <v>32</v>
      </c>
      <c r="DY39">
        <v>-6.9324999999999992</v>
      </c>
      <c r="DZ39">
        <v>32</v>
      </c>
      <c r="EA39">
        <v>27</v>
      </c>
      <c r="EB39">
        <v>29</v>
      </c>
      <c r="EC39">
        <v>-6.5062499999999988</v>
      </c>
      <c r="ED39">
        <v>26</v>
      </c>
      <c r="EE39">
        <v>-3.125</v>
      </c>
      <c r="EF39">
        <v>29</v>
      </c>
      <c r="EG39">
        <v>-23.9375</v>
      </c>
      <c r="EH39">
        <v>24</v>
      </c>
      <c r="EI39">
        <v>-0.6875</v>
      </c>
      <c r="EJ39">
        <v>31</v>
      </c>
      <c r="EK39">
        <v>26</v>
      </c>
      <c r="EL39">
        <v>29</v>
      </c>
      <c r="EM39">
        <v>-4.5562499999999986</v>
      </c>
      <c r="EN39">
        <v>25</v>
      </c>
      <c r="EO39">
        <v>-1.4375</v>
      </c>
      <c r="EP39">
        <v>30</v>
      </c>
      <c r="EQ39">
        <v>-15.9375</v>
      </c>
      <c r="ER39">
        <v>20</v>
      </c>
      <c r="ES39">
        <v>-0.5</v>
      </c>
      <c r="ET39">
        <v>31</v>
      </c>
      <c r="EU39">
        <v>28</v>
      </c>
      <c r="EV39">
        <v>27</v>
      </c>
      <c r="EW39">
        <v>-1.9500000000000002</v>
      </c>
      <c r="EX39">
        <v>28</v>
      </c>
      <c r="EY39">
        <v>-1.6875</v>
      </c>
      <c r="EZ39">
        <v>29</v>
      </c>
      <c r="FA39">
        <v>-8</v>
      </c>
      <c r="FB39">
        <v>21</v>
      </c>
      <c r="FC39">
        <v>-0.1875</v>
      </c>
      <c r="FD39">
        <v>31</v>
      </c>
      <c r="FE39">
        <v>29.333333333333332</v>
      </c>
      <c r="FF39">
        <v>30</v>
      </c>
      <c r="FG39">
        <v>-7.0812499999999998</v>
      </c>
      <c r="FH39">
        <v>30</v>
      </c>
      <c r="FI39">
        <v>-37.4375</v>
      </c>
      <c r="FJ39">
        <v>28</v>
      </c>
      <c r="FK39">
        <v>-2.6875</v>
      </c>
      <c r="FL39">
        <v>32</v>
      </c>
      <c r="FM39">
        <v>30.666666666666668</v>
      </c>
      <c r="FN39">
        <v>29</v>
      </c>
      <c r="FO39">
        <v>-3.8249999999999988</v>
      </c>
      <c r="FP39">
        <v>31</v>
      </c>
      <c r="FQ39">
        <v>-19.375</v>
      </c>
      <c r="FR39">
        <v>32</v>
      </c>
      <c r="FS39">
        <v>-1.8125</v>
      </c>
      <c r="FT39">
        <v>31</v>
      </c>
      <c r="FU39">
        <v>30</v>
      </c>
      <c r="FV39">
        <v>30</v>
      </c>
      <c r="FW39">
        <v>-4.1187500000000012</v>
      </c>
      <c r="FX39">
        <v>30</v>
      </c>
      <c r="FY39">
        <v>-24.0625</v>
      </c>
      <c r="FZ39">
        <v>30</v>
      </c>
      <c r="GA39">
        <v>-1.5</v>
      </c>
      <c r="GB39">
        <v>6</v>
      </c>
      <c r="GC39">
        <v>8.3333333333333339</v>
      </c>
      <c r="GD39">
        <v>10</v>
      </c>
      <c r="GE39">
        <v>0.86250000000000004</v>
      </c>
      <c r="GF39">
        <v>6</v>
      </c>
      <c r="GG39">
        <v>6</v>
      </c>
      <c r="GH39">
        <v>9</v>
      </c>
      <c r="GI39">
        <v>0.625</v>
      </c>
      <c r="GJ39">
        <v>30</v>
      </c>
      <c r="GK39">
        <v>28</v>
      </c>
      <c r="GL39">
        <v>31</v>
      </c>
      <c r="GM39">
        <v>-4.8249999999999984</v>
      </c>
      <c r="GN39">
        <v>31</v>
      </c>
      <c r="GO39">
        <v>-27.625</v>
      </c>
      <c r="GP39">
        <v>22</v>
      </c>
      <c r="GQ39">
        <v>-0.75</v>
      </c>
      <c r="GR39">
        <v>26</v>
      </c>
      <c r="GS39">
        <v>25</v>
      </c>
      <c r="GT39">
        <v>26</v>
      </c>
      <c r="GU39">
        <v>-2.90625</v>
      </c>
      <c r="GV39">
        <v>-6.5625</v>
      </c>
      <c r="GW39">
        <v>-1.125</v>
      </c>
      <c r="GX39">
        <v>27</v>
      </c>
      <c r="GY39">
        <v>27.5</v>
      </c>
      <c r="GZ39">
        <v>25</v>
      </c>
      <c r="HA39">
        <v>-1.8125</v>
      </c>
      <c r="HB39">
        <v>30</v>
      </c>
      <c r="HC39">
        <v>-0.8125</v>
      </c>
      <c r="HD39">
        <v>-0.5</v>
      </c>
      <c r="HE39">
        <v>15</v>
      </c>
      <c r="HF39">
        <v>16</v>
      </c>
      <c r="HG39">
        <v>32</v>
      </c>
      <c r="HH39">
        <v>-7.5546126992497908E-2</v>
      </c>
      <c r="HI39">
        <v>28</v>
      </c>
      <c r="HJ39">
        <v>-2.2201962833372842E-2</v>
      </c>
      <c r="HK39">
        <v>3</v>
      </c>
      <c r="HL39">
        <v>-0.11701388888888885</v>
      </c>
      <c r="HM39">
        <v>1</v>
      </c>
      <c r="HN39">
        <v>5.375</v>
      </c>
      <c r="HO39">
        <v>-3.5</v>
      </c>
      <c r="HP39">
        <v>-7.5</v>
      </c>
      <c r="HQ39">
        <v>-0.4375</v>
      </c>
      <c r="HR39">
        <v>-102.4375</v>
      </c>
      <c r="HS39">
        <v>-63.375</v>
      </c>
      <c r="HT39">
        <v>-22.3125</v>
      </c>
      <c r="HU39">
        <v>-6.125</v>
      </c>
      <c r="HV39">
        <v>-10.625</v>
      </c>
      <c r="HW39">
        <v>18</v>
      </c>
      <c r="HX39">
        <v>-0.42625000000000046</v>
      </c>
      <c r="HY39">
        <v>-0.13087500000000007</v>
      </c>
      <c r="HZ39">
        <v>-41.0625</v>
      </c>
      <c r="IA39">
        <v>15</v>
      </c>
      <c r="IB39">
        <v>-3.1548437499999999</v>
      </c>
      <c r="IC39">
        <v>-3.8125</v>
      </c>
    </row>
    <row r="40" spans="1:237" x14ac:dyDescent="0.2">
      <c r="A40" s="19">
        <v>44115</v>
      </c>
      <c r="B40" s="13" t="s">
        <v>381</v>
      </c>
      <c r="C40" s="41" t="s">
        <v>291</v>
      </c>
      <c r="D40" s="14" t="s">
        <v>296</v>
      </c>
      <c r="E40">
        <v>4.0999999999999996</v>
      </c>
      <c r="F40">
        <v>23.4</v>
      </c>
      <c r="G40">
        <v>10.64</v>
      </c>
      <c r="H40">
        <v>1.6</v>
      </c>
      <c r="I40">
        <v>-7.5</v>
      </c>
      <c r="J40">
        <v>52.5</v>
      </c>
      <c r="K40" t="s">
        <v>734</v>
      </c>
      <c r="L40" t="s">
        <v>291</v>
      </c>
      <c r="M40">
        <v>5</v>
      </c>
      <c r="N40">
        <v>5.3562499999999993</v>
      </c>
      <c r="O40">
        <v>5</v>
      </c>
      <c r="P40">
        <v>8.5</v>
      </c>
      <c r="Q40">
        <v>6</v>
      </c>
      <c r="R40">
        <v>4.2312500000000011</v>
      </c>
      <c r="S40">
        <v>9</v>
      </c>
      <c r="T40">
        <v>1.9375</v>
      </c>
      <c r="U40">
        <v>13</v>
      </c>
      <c r="V40">
        <v>8.8125</v>
      </c>
      <c r="W40">
        <v>6</v>
      </c>
      <c r="X40">
        <v>1.5625</v>
      </c>
      <c r="Y40">
        <v>2</v>
      </c>
      <c r="Z40">
        <v>4.333333333333333</v>
      </c>
      <c r="AA40">
        <v>3</v>
      </c>
      <c r="AB40">
        <v>7.0250000000000004</v>
      </c>
      <c r="AC40">
        <v>3</v>
      </c>
      <c r="AD40">
        <v>4.0625</v>
      </c>
      <c r="AE40">
        <v>8</v>
      </c>
      <c r="AF40">
        <v>15.25</v>
      </c>
      <c r="AG40">
        <v>2</v>
      </c>
      <c r="AH40">
        <v>2.6875</v>
      </c>
      <c r="AI40">
        <v>29</v>
      </c>
      <c r="AJ40">
        <v>26.666666666666668</v>
      </c>
      <c r="AK40">
        <v>28</v>
      </c>
      <c r="AL40">
        <v>-2.7937499999999997</v>
      </c>
      <c r="AM40">
        <v>27</v>
      </c>
      <c r="AN40">
        <v>-2.125</v>
      </c>
      <c r="AO40">
        <v>23</v>
      </c>
      <c r="AP40">
        <v>-6.4375</v>
      </c>
      <c r="AQ40">
        <v>29</v>
      </c>
      <c r="AR40">
        <v>-1.125</v>
      </c>
      <c r="AS40">
        <v>3</v>
      </c>
      <c r="AT40">
        <v>3.3333333333333335</v>
      </c>
      <c r="AU40">
        <v>2</v>
      </c>
      <c r="AV40">
        <v>12.074999999999999</v>
      </c>
      <c r="AW40">
        <v>3</v>
      </c>
      <c r="AX40">
        <v>48.4375</v>
      </c>
      <c r="AY40">
        <v>5</v>
      </c>
      <c r="AZ40">
        <v>3.5625</v>
      </c>
      <c r="BA40">
        <v>9</v>
      </c>
      <c r="BB40">
        <v>7.666666666666667</v>
      </c>
      <c r="BC40">
        <v>8</v>
      </c>
      <c r="BD40">
        <v>3.1062499999999993</v>
      </c>
      <c r="BE40">
        <v>13</v>
      </c>
      <c r="BF40">
        <v>5</v>
      </c>
      <c r="BG40">
        <v>2</v>
      </c>
      <c r="BH40">
        <v>2.8125</v>
      </c>
      <c r="BI40">
        <v>4</v>
      </c>
      <c r="BJ40">
        <v>5.666666666666667</v>
      </c>
      <c r="BK40">
        <v>2</v>
      </c>
      <c r="BL40">
        <v>5.28125</v>
      </c>
      <c r="BM40">
        <v>3</v>
      </c>
      <c r="BN40">
        <v>28.125</v>
      </c>
      <c r="BO40">
        <v>12</v>
      </c>
      <c r="BP40">
        <v>0.1875</v>
      </c>
      <c r="BQ40">
        <v>6</v>
      </c>
      <c r="BR40">
        <v>6.333333333333333</v>
      </c>
      <c r="BS40">
        <v>4</v>
      </c>
      <c r="BT40">
        <v>3.6874999999999991</v>
      </c>
      <c r="BU40">
        <v>3</v>
      </c>
      <c r="BV40">
        <v>15.3125</v>
      </c>
      <c r="BW40">
        <v>12</v>
      </c>
      <c r="BX40">
        <v>0.5625</v>
      </c>
      <c r="BY40">
        <v>5</v>
      </c>
      <c r="BZ40">
        <v>5.666666666666667</v>
      </c>
      <c r="CA40">
        <v>4</v>
      </c>
      <c r="CB40">
        <v>6.2687499999999998</v>
      </c>
      <c r="CC40">
        <v>9</v>
      </c>
      <c r="CD40">
        <v>18.9375</v>
      </c>
      <c r="CE40">
        <v>4</v>
      </c>
      <c r="CF40">
        <v>2.625</v>
      </c>
      <c r="CG40">
        <v>15</v>
      </c>
      <c r="CH40">
        <v>14.666666666666666</v>
      </c>
      <c r="CI40">
        <v>22</v>
      </c>
      <c r="CJ40">
        <v>-1.4624999999999995</v>
      </c>
      <c r="CK40">
        <v>7.875</v>
      </c>
      <c r="CL40">
        <v>0.25</v>
      </c>
      <c r="CM40">
        <v>25</v>
      </c>
      <c r="CN40">
        <v>23.5</v>
      </c>
      <c r="CO40">
        <v>24</v>
      </c>
      <c r="CP40">
        <v>-1.25</v>
      </c>
      <c r="CQ40">
        <v>23</v>
      </c>
      <c r="CR40">
        <v>-0.25</v>
      </c>
      <c r="CS40">
        <v>-2.8125</v>
      </c>
      <c r="CT40">
        <v>13</v>
      </c>
      <c r="CU40">
        <v>15.25</v>
      </c>
      <c r="CV40">
        <v>18</v>
      </c>
      <c r="CW40">
        <v>-1.014142725161752E-2</v>
      </c>
      <c r="CX40">
        <v>21</v>
      </c>
      <c r="CY40">
        <v>-7.6431765360656075E-3</v>
      </c>
      <c r="CZ40">
        <v>11</v>
      </c>
      <c r="DA40">
        <v>-1.8111749361749391E-2</v>
      </c>
      <c r="DB40">
        <v>11</v>
      </c>
      <c r="DC40">
        <v>0.6875</v>
      </c>
      <c r="DD40">
        <v>7.1875</v>
      </c>
      <c r="DE40">
        <v>3.625</v>
      </c>
      <c r="DF40">
        <v>-0.4375</v>
      </c>
      <c r="DG40">
        <v>89.75</v>
      </c>
      <c r="DH40">
        <v>86</v>
      </c>
      <c r="DI40">
        <v>8.25</v>
      </c>
      <c r="DJ40">
        <v>-2.3125</v>
      </c>
      <c r="DK40">
        <v>-2.1875</v>
      </c>
      <c r="DL40">
        <v>12</v>
      </c>
      <c r="DM40">
        <v>1.1249999999999987</v>
      </c>
      <c r="DN40">
        <v>1.0781249999999996</v>
      </c>
      <c r="DO40">
        <v>77.75</v>
      </c>
      <c r="DP40">
        <v>21</v>
      </c>
      <c r="DQ40">
        <v>2.3687500000000004</v>
      </c>
      <c r="DR40">
        <v>3.8125</v>
      </c>
      <c r="DS40">
        <v>-2.7369791666666865E-2</v>
      </c>
      <c r="DT40">
        <v>1.4710937499999999</v>
      </c>
      <c r="DU40" t="s">
        <v>296</v>
      </c>
      <c r="DV40" t="s">
        <v>245</v>
      </c>
      <c r="DW40" t="s">
        <v>472</v>
      </c>
      <c r="DX40">
        <v>23</v>
      </c>
      <c r="DY40">
        <v>-1.9337500000000016</v>
      </c>
      <c r="DZ40">
        <v>15</v>
      </c>
      <c r="EA40">
        <v>16.5</v>
      </c>
      <c r="EB40">
        <v>16</v>
      </c>
      <c r="EC40">
        <v>-4.5833333333333837E-2</v>
      </c>
      <c r="ED40">
        <v>12</v>
      </c>
      <c r="EE40">
        <v>1.270833333333333</v>
      </c>
      <c r="EF40">
        <v>21</v>
      </c>
      <c r="EG40">
        <v>-13.770833333333332</v>
      </c>
      <c r="EH40">
        <v>17</v>
      </c>
      <c r="EI40">
        <v>-0.27083333333333326</v>
      </c>
      <c r="EJ40">
        <v>23</v>
      </c>
      <c r="EK40">
        <v>20</v>
      </c>
      <c r="EL40">
        <v>24</v>
      </c>
      <c r="EM40">
        <v>-2.7541666666666673</v>
      </c>
      <c r="EN40">
        <v>17</v>
      </c>
      <c r="EO40">
        <v>-0.10416666666666696</v>
      </c>
      <c r="EP40">
        <v>20</v>
      </c>
      <c r="EQ40">
        <v>-7.8958333333333321</v>
      </c>
      <c r="ER40">
        <v>19</v>
      </c>
      <c r="ES40">
        <v>-0.35416666666666663</v>
      </c>
      <c r="ET40">
        <v>10</v>
      </c>
      <c r="EU40">
        <v>11.333333333333334</v>
      </c>
      <c r="EV40">
        <v>3</v>
      </c>
      <c r="EW40">
        <v>2.7083333333333335</v>
      </c>
      <c r="EX40">
        <v>7</v>
      </c>
      <c r="EY40">
        <v>1.375</v>
      </c>
      <c r="EZ40">
        <v>24</v>
      </c>
      <c r="FA40">
        <v>-5.875</v>
      </c>
      <c r="FB40">
        <v>15</v>
      </c>
      <c r="FC40">
        <v>8.333333333333337E-2</v>
      </c>
      <c r="FD40">
        <v>20</v>
      </c>
      <c r="FE40">
        <v>19.333333333333332</v>
      </c>
      <c r="FF40">
        <v>17</v>
      </c>
      <c r="FG40">
        <v>-1.8187500000000008</v>
      </c>
      <c r="FH40">
        <v>24</v>
      </c>
      <c r="FI40">
        <v>-15.479166666666666</v>
      </c>
      <c r="FJ40">
        <v>17</v>
      </c>
      <c r="FK40">
        <v>-0.66666666666666685</v>
      </c>
      <c r="FL40">
        <v>25</v>
      </c>
      <c r="FM40">
        <v>21.333333333333332</v>
      </c>
      <c r="FN40">
        <v>19</v>
      </c>
      <c r="FO40">
        <v>-1.7479166666666672</v>
      </c>
      <c r="FP40">
        <v>28</v>
      </c>
      <c r="FQ40">
        <v>-12.0625</v>
      </c>
      <c r="FR40">
        <v>17</v>
      </c>
      <c r="FS40">
        <v>-0.125</v>
      </c>
      <c r="FT40">
        <v>16</v>
      </c>
      <c r="FU40">
        <v>16.333333333333332</v>
      </c>
      <c r="FV40">
        <v>19</v>
      </c>
      <c r="FW40">
        <v>-0.92916666666666692</v>
      </c>
      <c r="FX40">
        <v>18</v>
      </c>
      <c r="FY40">
        <v>0.75</v>
      </c>
      <c r="FZ40">
        <v>12</v>
      </c>
      <c r="GA40">
        <v>0.41666666666666652</v>
      </c>
      <c r="GB40">
        <v>20</v>
      </c>
      <c r="GC40">
        <v>19.333333333333332</v>
      </c>
      <c r="GD40">
        <v>11</v>
      </c>
      <c r="GE40">
        <v>0.85833333333333317</v>
      </c>
      <c r="GF40">
        <v>21</v>
      </c>
      <c r="GG40">
        <v>-4.1666666666666661</v>
      </c>
      <c r="GH40">
        <v>26</v>
      </c>
      <c r="GI40">
        <v>-0.95833333333333337</v>
      </c>
      <c r="GJ40">
        <v>27</v>
      </c>
      <c r="GK40">
        <v>27</v>
      </c>
      <c r="GL40">
        <v>23</v>
      </c>
      <c r="GM40">
        <v>-2.8229166666666661</v>
      </c>
      <c r="GN40">
        <v>28</v>
      </c>
      <c r="GO40">
        <v>-17.8125</v>
      </c>
      <c r="GP40">
        <v>30</v>
      </c>
      <c r="GQ40">
        <v>-1.9166666666666665</v>
      </c>
      <c r="GR40">
        <v>32</v>
      </c>
      <c r="GS40">
        <v>31.666666666666668</v>
      </c>
      <c r="GT40">
        <v>32</v>
      </c>
      <c r="GU40">
        <v>-9.3666666666666671</v>
      </c>
      <c r="GV40">
        <v>-26.354166666666664</v>
      </c>
      <c r="GW40">
        <v>-2.479166666666667</v>
      </c>
      <c r="GX40">
        <v>9</v>
      </c>
      <c r="GY40">
        <v>10</v>
      </c>
      <c r="GZ40">
        <v>10</v>
      </c>
      <c r="HA40">
        <v>0.95833333333333326</v>
      </c>
      <c r="HB40">
        <v>10</v>
      </c>
      <c r="HC40">
        <v>0.52083333333333326</v>
      </c>
      <c r="HD40">
        <v>3.8541666666666665</v>
      </c>
      <c r="HE40">
        <v>6</v>
      </c>
      <c r="HF40">
        <v>10</v>
      </c>
      <c r="HG40">
        <v>12</v>
      </c>
      <c r="HH40">
        <v>5.339108749518956E-3</v>
      </c>
      <c r="HI40">
        <v>7</v>
      </c>
      <c r="HJ40">
        <v>1.6390948439129555E-2</v>
      </c>
      <c r="HK40">
        <v>4</v>
      </c>
      <c r="HL40">
        <v>-0.10133928571428573</v>
      </c>
      <c r="HM40">
        <v>17</v>
      </c>
      <c r="HN40">
        <v>-0.77083333333333337</v>
      </c>
      <c r="HO40">
        <v>-1.875</v>
      </c>
      <c r="HP40">
        <v>-1.125</v>
      </c>
      <c r="HQ40">
        <v>-0.16666666666666666</v>
      </c>
      <c r="HR40">
        <v>-49.020833333333329</v>
      </c>
      <c r="HS40">
        <v>-24.4375</v>
      </c>
      <c r="HT40">
        <v>-22.583333333333336</v>
      </c>
      <c r="HU40">
        <v>0.27083333333333326</v>
      </c>
      <c r="HV40">
        <v>-2.270833333333333</v>
      </c>
      <c r="HW40">
        <v>21</v>
      </c>
      <c r="HX40">
        <v>-1.8879166666666678</v>
      </c>
      <c r="HY40">
        <v>-2.6009166666666665</v>
      </c>
      <c r="HZ40">
        <v>-1.8541666666666643</v>
      </c>
      <c r="IA40">
        <v>12</v>
      </c>
      <c r="IB40">
        <v>-1.5258333333333336</v>
      </c>
      <c r="IC40">
        <v>-3.1458333333333339</v>
      </c>
    </row>
    <row r="41" spans="1:237" x14ac:dyDescent="0.2">
      <c r="A41" s="19">
        <v>44115</v>
      </c>
      <c r="B41" s="13" t="s">
        <v>381</v>
      </c>
      <c r="C41" s="41" t="s">
        <v>311</v>
      </c>
      <c r="D41" s="14" t="s">
        <v>297</v>
      </c>
      <c r="E41">
        <v>15.8</v>
      </c>
      <c r="F41">
        <v>33.1</v>
      </c>
      <c r="G41">
        <v>10.7</v>
      </c>
      <c r="H41">
        <v>13.7</v>
      </c>
      <c r="I41">
        <v>-5.5</v>
      </c>
      <c r="J41">
        <v>54.5</v>
      </c>
      <c r="L41" t="s">
        <v>311</v>
      </c>
      <c r="M41">
        <v>15</v>
      </c>
      <c r="N41">
        <v>-0.49458333333333293</v>
      </c>
      <c r="O41">
        <v>31</v>
      </c>
      <c r="P41">
        <v>28.5</v>
      </c>
      <c r="Q41">
        <v>28</v>
      </c>
      <c r="R41">
        <v>-6.0229166666666689</v>
      </c>
      <c r="S41">
        <v>30</v>
      </c>
      <c r="T41">
        <v>-5.0416666666666661</v>
      </c>
      <c r="U41">
        <v>29</v>
      </c>
      <c r="V41">
        <v>-21.229166666666668</v>
      </c>
      <c r="W41">
        <v>27</v>
      </c>
      <c r="X41">
        <v>-1.2291666666666665</v>
      </c>
      <c r="Y41">
        <v>23</v>
      </c>
      <c r="Z41">
        <v>22</v>
      </c>
      <c r="AA41">
        <v>23</v>
      </c>
      <c r="AB41">
        <v>-2.6791666666666685</v>
      </c>
      <c r="AC41">
        <v>28</v>
      </c>
      <c r="AD41">
        <v>-2.1041666666666665</v>
      </c>
      <c r="AE41">
        <v>22</v>
      </c>
      <c r="AF41">
        <v>-7.375</v>
      </c>
      <c r="AG41">
        <v>21</v>
      </c>
      <c r="AH41">
        <v>-0.625</v>
      </c>
      <c r="AI41">
        <v>31</v>
      </c>
      <c r="AJ41">
        <v>27.666666666666668</v>
      </c>
      <c r="AK41">
        <v>31</v>
      </c>
      <c r="AL41">
        <v>-3.34375</v>
      </c>
      <c r="AM41">
        <v>30</v>
      </c>
      <c r="AN41">
        <v>-2.9375</v>
      </c>
      <c r="AO41">
        <v>31</v>
      </c>
      <c r="AP41">
        <v>-13.854166666666668</v>
      </c>
      <c r="AQ41">
        <v>21</v>
      </c>
      <c r="AR41">
        <v>-0.60416666666666663</v>
      </c>
      <c r="AS41">
        <v>21</v>
      </c>
      <c r="AT41">
        <v>19.666666666666668</v>
      </c>
      <c r="AU41">
        <v>20</v>
      </c>
      <c r="AV41">
        <v>-3.0062499999999992</v>
      </c>
      <c r="AW41">
        <v>12</v>
      </c>
      <c r="AX41">
        <v>7.3541666666666661</v>
      </c>
      <c r="AY41">
        <v>27</v>
      </c>
      <c r="AZ41">
        <v>-2.541666666666667</v>
      </c>
      <c r="BA41">
        <v>22</v>
      </c>
      <c r="BB41">
        <v>22.333333333333332</v>
      </c>
      <c r="BC41">
        <v>18</v>
      </c>
      <c r="BD41">
        <v>-0.57708333333333339</v>
      </c>
      <c r="BE41">
        <v>17</v>
      </c>
      <c r="BF41">
        <v>-2.125</v>
      </c>
      <c r="BG41">
        <v>32</v>
      </c>
      <c r="BH41">
        <v>-2.229166666666667</v>
      </c>
      <c r="BI41">
        <v>11</v>
      </c>
      <c r="BJ41">
        <v>13.333333333333334</v>
      </c>
      <c r="BK41">
        <v>14</v>
      </c>
      <c r="BL41">
        <v>0.50208333333333366</v>
      </c>
      <c r="BM41">
        <v>9</v>
      </c>
      <c r="BN41">
        <v>7.75</v>
      </c>
      <c r="BO41">
        <v>17</v>
      </c>
      <c r="BP41">
        <v>8.3333333333333259E-2</v>
      </c>
      <c r="BQ41">
        <v>19</v>
      </c>
      <c r="BR41">
        <v>20.333333333333332</v>
      </c>
      <c r="BS41">
        <v>28</v>
      </c>
      <c r="BT41">
        <v>-2.9312499999999995</v>
      </c>
      <c r="BU41">
        <v>13</v>
      </c>
      <c r="BV41">
        <v>1.7291666666666661</v>
      </c>
      <c r="BW41">
        <v>20</v>
      </c>
      <c r="BX41">
        <v>-0.39583333333333326</v>
      </c>
      <c r="BY41">
        <v>1</v>
      </c>
      <c r="BZ41">
        <v>3</v>
      </c>
      <c r="CA41">
        <v>1</v>
      </c>
      <c r="CB41">
        <v>8.4520833333333325</v>
      </c>
      <c r="CC41">
        <v>1</v>
      </c>
      <c r="CD41">
        <v>53.0625</v>
      </c>
      <c r="CE41">
        <v>7</v>
      </c>
      <c r="CF41">
        <v>2.0833333333333335</v>
      </c>
      <c r="CG41">
        <v>20</v>
      </c>
      <c r="CH41">
        <v>20</v>
      </c>
      <c r="CI41">
        <v>17</v>
      </c>
      <c r="CJ41">
        <v>-6.6666666666666652E-2</v>
      </c>
      <c r="CK41">
        <v>-1.708333333333333</v>
      </c>
      <c r="CL41">
        <v>-1.3125</v>
      </c>
      <c r="CM41">
        <v>21</v>
      </c>
      <c r="CN41">
        <v>20.5</v>
      </c>
      <c r="CO41">
        <v>19</v>
      </c>
      <c r="CP41">
        <v>-0.47916666666666674</v>
      </c>
      <c r="CQ41">
        <v>22</v>
      </c>
      <c r="CR41">
        <v>-0.20833333333333326</v>
      </c>
      <c r="CS41">
        <v>-2.7083333333333335</v>
      </c>
      <c r="CT41">
        <v>2</v>
      </c>
      <c r="CU41">
        <v>8.25</v>
      </c>
      <c r="CV41">
        <v>10</v>
      </c>
      <c r="CW41">
        <v>2.3799941506435073E-2</v>
      </c>
      <c r="CX41">
        <v>2</v>
      </c>
      <c r="CY41">
        <v>2.554616609204673E-2</v>
      </c>
      <c r="CZ41">
        <v>9</v>
      </c>
      <c r="DA41">
        <v>-5.8735657008683329E-2</v>
      </c>
      <c r="DB41">
        <v>12</v>
      </c>
      <c r="DC41">
        <v>0.54166666666666652</v>
      </c>
      <c r="DD41">
        <v>-9.875</v>
      </c>
      <c r="DE41">
        <v>-0.89583333333333304</v>
      </c>
      <c r="DF41">
        <v>-0.5625</v>
      </c>
      <c r="DG41">
        <v>-34.583333333333329</v>
      </c>
      <c r="DH41">
        <v>3.9375</v>
      </c>
      <c r="DI41">
        <v>-31.979166666666664</v>
      </c>
      <c r="DJ41">
        <v>-5.3125</v>
      </c>
      <c r="DK41">
        <v>-1.2291666666666665</v>
      </c>
      <c r="DL41">
        <v>6</v>
      </c>
      <c r="DM41">
        <v>5.528333333333336</v>
      </c>
      <c r="DN41">
        <v>2.2979583333333347</v>
      </c>
      <c r="DO41">
        <v>35.916666666666664</v>
      </c>
      <c r="DP41">
        <v>27</v>
      </c>
      <c r="DQ41">
        <v>-1.2586979166666665</v>
      </c>
      <c r="DR41">
        <v>-3.854166666666667</v>
      </c>
      <c r="DS41">
        <v>0.67546875000000017</v>
      </c>
      <c r="DT41">
        <v>0.45838541666666677</v>
      </c>
      <c r="DU41" t="s">
        <v>297</v>
      </c>
      <c r="DV41" t="s">
        <v>474</v>
      </c>
      <c r="DW41" t="s">
        <v>475</v>
      </c>
      <c r="DX41">
        <v>8</v>
      </c>
      <c r="DY41">
        <v>3.034166666666668</v>
      </c>
      <c r="DZ41">
        <v>3</v>
      </c>
      <c r="EA41">
        <v>8.25</v>
      </c>
      <c r="EB41">
        <v>3</v>
      </c>
      <c r="EC41">
        <v>7.3395833333333327</v>
      </c>
      <c r="ED41">
        <v>11</v>
      </c>
      <c r="EE41">
        <v>1.4375000000000004</v>
      </c>
      <c r="EF41">
        <v>11</v>
      </c>
      <c r="EG41">
        <v>10.166666666666668</v>
      </c>
      <c r="EH41">
        <v>8</v>
      </c>
      <c r="EI41">
        <v>0.97916666666666674</v>
      </c>
      <c r="EJ41">
        <v>3</v>
      </c>
      <c r="EK41">
        <v>6.75</v>
      </c>
      <c r="EL41">
        <v>2</v>
      </c>
      <c r="EM41">
        <v>7.145833333333333</v>
      </c>
      <c r="EN41">
        <v>10</v>
      </c>
      <c r="EO41">
        <v>1.166666666666667</v>
      </c>
      <c r="EP41">
        <v>12</v>
      </c>
      <c r="EQ41">
        <v>7.9791666666666679</v>
      </c>
      <c r="ER41">
        <v>3</v>
      </c>
      <c r="ES41">
        <v>1.6458333333333335</v>
      </c>
      <c r="ET41">
        <v>14</v>
      </c>
      <c r="EU41">
        <v>13.666666666666666</v>
      </c>
      <c r="EV41">
        <v>15</v>
      </c>
      <c r="EW41">
        <v>0.19374999999999987</v>
      </c>
      <c r="EX41">
        <v>13</v>
      </c>
      <c r="EY41">
        <v>0.27083333333333337</v>
      </c>
      <c r="EZ41">
        <v>13</v>
      </c>
      <c r="FA41">
        <v>2.1875</v>
      </c>
      <c r="FB41">
        <v>25</v>
      </c>
      <c r="FC41">
        <v>-0.66666666666666674</v>
      </c>
      <c r="FD41">
        <v>26</v>
      </c>
      <c r="FE41">
        <v>23.666666666666668</v>
      </c>
      <c r="FF41">
        <v>16</v>
      </c>
      <c r="FG41">
        <v>-1.5187499999999996</v>
      </c>
      <c r="FH41">
        <v>25</v>
      </c>
      <c r="FI41">
        <v>-16.125</v>
      </c>
      <c r="FJ41">
        <v>30</v>
      </c>
      <c r="FK41">
        <v>-2.833333333333333</v>
      </c>
      <c r="FL41">
        <v>17</v>
      </c>
      <c r="FM41">
        <v>19</v>
      </c>
      <c r="FN41">
        <v>18</v>
      </c>
      <c r="FO41">
        <v>-1.1354166666666667</v>
      </c>
      <c r="FP41">
        <v>20</v>
      </c>
      <c r="FQ41">
        <v>-4.6041666666666679</v>
      </c>
      <c r="FR41">
        <v>19</v>
      </c>
      <c r="FS41">
        <v>-0.14583333333333326</v>
      </c>
      <c r="FT41">
        <v>25</v>
      </c>
      <c r="FU41">
        <v>23.666666666666668</v>
      </c>
      <c r="FV41">
        <v>16</v>
      </c>
      <c r="FW41">
        <v>-2.9166666666666119E-2</v>
      </c>
      <c r="FX41">
        <v>27</v>
      </c>
      <c r="FY41">
        <v>-13.895833333333332</v>
      </c>
      <c r="FZ41">
        <v>28</v>
      </c>
      <c r="GA41">
        <v>-1.2916666666666667</v>
      </c>
      <c r="GB41">
        <v>21</v>
      </c>
      <c r="GC41">
        <v>20.333333333333332</v>
      </c>
      <c r="GD41">
        <v>17</v>
      </c>
      <c r="GE41">
        <v>-0.35416666666666674</v>
      </c>
      <c r="GF41">
        <v>13</v>
      </c>
      <c r="GG41">
        <v>2.375</v>
      </c>
      <c r="GH41">
        <v>31</v>
      </c>
      <c r="GI41">
        <v>-1.3958333333333333</v>
      </c>
      <c r="GJ41">
        <v>4</v>
      </c>
      <c r="GK41">
        <v>4.666666666666667</v>
      </c>
      <c r="GL41">
        <v>2</v>
      </c>
      <c r="GM41">
        <v>7.6208333333333353</v>
      </c>
      <c r="GN41">
        <v>5</v>
      </c>
      <c r="GO41">
        <v>23.083333333333332</v>
      </c>
      <c r="GP41">
        <v>7</v>
      </c>
      <c r="GQ41">
        <v>0.8125</v>
      </c>
      <c r="GR41">
        <v>23</v>
      </c>
      <c r="GS41">
        <v>20.333333333333332</v>
      </c>
      <c r="GT41">
        <v>14</v>
      </c>
      <c r="GU41">
        <v>-0.67291666666666727</v>
      </c>
      <c r="GV41">
        <v>-3.3958333333333339</v>
      </c>
      <c r="GW41">
        <v>-1.3541666666666667</v>
      </c>
      <c r="GX41">
        <v>24</v>
      </c>
      <c r="GY41">
        <v>24.5</v>
      </c>
      <c r="GZ41">
        <v>21</v>
      </c>
      <c r="HA41">
        <v>-1.0416666666666665</v>
      </c>
      <c r="HB41">
        <v>28</v>
      </c>
      <c r="HC41">
        <v>-0.75</v>
      </c>
      <c r="HD41">
        <v>-0.125</v>
      </c>
      <c r="HE41">
        <v>31</v>
      </c>
      <c r="HF41">
        <v>26.25</v>
      </c>
      <c r="HG41">
        <v>22</v>
      </c>
      <c r="HH41">
        <v>-2.1382092225594514E-2</v>
      </c>
      <c r="HI41">
        <v>26</v>
      </c>
      <c r="HJ41">
        <v>-2.0308756240128789E-2</v>
      </c>
      <c r="HK41">
        <v>31</v>
      </c>
      <c r="HL41">
        <v>0.11970876345876344</v>
      </c>
      <c r="HM41">
        <v>26</v>
      </c>
      <c r="HN41">
        <v>-2.0208333333333335</v>
      </c>
      <c r="HO41">
        <v>-4.1875</v>
      </c>
      <c r="HP41">
        <v>5.270833333333333</v>
      </c>
      <c r="HQ41">
        <v>-1</v>
      </c>
      <c r="HR41">
        <v>26.395833333333329</v>
      </c>
      <c r="HS41">
        <v>3.3333333333333286</v>
      </c>
      <c r="HT41">
        <v>9.0208333333333321</v>
      </c>
      <c r="HU41">
        <v>12.958333333333334</v>
      </c>
      <c r="HV41">
        <v>1.0833333333333335</v>
      </c>
      <c r="HW41">
        <v>24</v>
      </c>
      <c r="HX41">
        <v>-4.3054166666666642</v>
      </c>
      <c r="HY41">
        <v>-3.501291666666666</v>
      </c>
      <c r="HZ41">
        <v>-5.6875000000000036</v>
      </c>
      <c r="IA41">
        <v>9</v>
      </c>
      <c r="IB41">
        <v>0.89255208333333358</v>
      </c>
      <c r="IC41">
        <v>-4.1875</v>
      </c>
    </row>
    <row r="42" spans="1:237" x14ac:dyDescent="0.2">
      <c r="A42" s="19">
        <v>44115</v>
      </c>
      <c r="B42" s="13" t="s">
        <v>381</v>
      </c>
      <c r="C42" s="41" t="s">
        <v>289</v>
      </c>
      <c r="D42" s="14" t="s">
        <v>281</v>
      </c>
      <c r="E42">
        <v>12.9</v>
      </c>
      <c r="F42">
        <v>3.5</v>
      </c>
      <c r="G42">
        <v>8.3000000000000007</v>
      </c>
      <c r="H42">
        <v>8.3000000000000007</v>
      </c>
      <c r="I42">
        <v>1</v>
      </c>
      <c r="J42">
        <v>48.5</v>
      </c>
      <c r="K42" t="s">
        <v>735</v>
      </c>
      <c r="L42" t="s">
        <v>289</v>
      </c>
      <c r="M42">
        <v>30</v>
      </c>
      <c r="N42">
        <v>-5.0787499999999994</v>
      </c>
      <c r="O42">
        <v>13</v>
      </c>
      <c r="P42">
        <v>14</v>
      </c>
      <c r="Q42">
        <v>14</v>
      </c>
      <c r="R42">
        <v>0.80624999999999947</v>
      </c>
      <c r="S42">
        <v>11</v>
      </c>
      <c r="T42">
        <v>1.375</v>
      </c>
      <c r="U42">
        <v>18</v>
      </c>
      <c r="V42">
        <v>-4.9375</v>
      </c>
      <c r="W42">
        <v>13</v>
      </c>
      <c r="X42">
        <v>0.375</v>
      </c>
      <c r="Y42">
        <v>25</v>
      </c>
      <c r="Z42">
        <v>22.333333333333332</v>
      </c>
      <c r="AA42">
        <v>19</v>
      </c>
      <c r="AB42">
        <v>-1.0375000000000005</v>
      </c>
      <c r="AC42">
        <v>20</v>
      </c>
      <c r="AD42">
        <v>-1.1875</v>
      </c>
      <c r="AE42">
        <v>26</v>
      </c>
      <c r="AF42">
        <v>-12.6875</v>
      </c>
      <c r="AG42">
        <v>22</v>
      </c>
      <c r="AH42">
        <v>-0.6875</v>
      </c>
      <c r="AI42">
        <v>3</v>
      </c>
      <c r="AJ42">
        <v>5.666666666666667</v>
      </c>
      <c r="AK42">
        <v>6</v>
      </c>
      <c r="AL42">
        <v>1.84375</v>
      </c>
      <c r="AM42">
        <v>6</v>
      </c>
      <c r="AN42">
        <v>2.5625</v>
      </c>
      <c r="AO42">
        <v>6</v>
      </c>
      <c r="AP42">
        <v>7.75</v>
      </c>
      <c r="AQ42">
        <v>5</v>
      </c>
      <c r="AR42">
        <v>1.0625</v>
      </c>
      <c r="AS42">
        <v>30</v>
      </c>
      <c r="AT42">
        <v>28.333333333333332</v>
      </c>
      <c r="AU42">
        <v>31</v>
      </c>
      <c r="AV42">
        <v>-11.024999999999999</v>
      </c>
      <c r="AW42">
        <v>30</v>
      </c>
      <c r="AX42">
        <v>-43.4375</v>
      </c>
      <c r="AY42">
        <v>24</v>
      </c>
      <c r="AZ42">
        <v>-1.875</v>
      </c>
      <c r="BA42">
        <v>31</v>
      </c>
      <c r="BB42">
        <v>30.333333333333332</v>
      </c>
      <c r="BC42">
        <v>31</v>
      </c>
      <c r="BD42">
        <v>-7.1812500000000004</v>
      </c>
      <c r="BE42">
        <v>32</v>
      </c>
      <c r="BF42">
        <v>-26.75</v>
      </c>
      <c r="BG42">
        <v>28</v>
      </c>
      <c r="BH42">
        <v>-1.75</v>
      </c>
      <c r="BI42">
        <v>18</v>
      </c>
      <c r="BJ42">
        <v>17</v>
      </c>
      <c r="BK42">
        <v>23</v>
      </c>
      <c r="BL42">
        <v>-1.9562499999999998</v>
      </c>
      <c r="BM42">
        <v>23</v>
      </c>
      <c r="BN42">
        <v>-10.1875</v>
      </c>
      <c r="BO42">
        <v>5</v>
      </c>
      <c r="BP42">
        <v>0.9375</v>
      </c>
      <c r="BQ42">
        <v>28</v>
      </c>
      <c r="BR42">
        <v>24.333333333333332</v>
      </c>
      <c r="BS42">
        <v>24</v>
      </c>
      <c r="BT42">
        <v>-1.8874999999999997</v>
      </c>
      <c r="BU42">
        <v>25</v>
      </c>
      <c r="BV42">
        <v>-6.5</v>
      </c>
      <c r="BW42">
        <v>24</v>
      </c>
      <c r="BX42">
        <v>-1.0625</v>
      </c>
      <c r="BY42">
        <v>27</v>
      </c>
      <c r="BZ42">
        <v>25.333333333333332</v>
      </c>
      <c r="CA42">
        <v>26</v>
      </c>
      <c r="CB42">
        <v>-5.0562500000000021</v>
      </c>
      <c r="CC42">
        <v>25</v>
      </c>
      <c r="CD42">
        <v>-14.3125</v>
      </c>
      <c r="CE42">
        <v>25</v>
      </c>
      <c r="CF42">
        <v>-1.5625</v>
      </c>
      <c r="CG42">
        <v>14</v>
      </c>
      <c r="CH42">
        <v>14</v>
      </c>
      <c r="CI42">
        <v>14</v>
      </c>
      <c r="CJ42">
        <v>0.81875000000000098</v>
      </c>
      <c r="CK42">
        <v>10.6875</v>
      </c>
      <c r="CL42">
        <v>-0.875</v>
      </c>
      <c r="CM42">
        <v>11</v>
      </c>
      <c r="CN42">
        <v>11.5</v>
      </c>
      <c r="CO42">
        <v>16</v>
      </c>
      <c r="CP42">
        <v>-0.125</v>
      </c>
      <c r="CQ42">
        <v>7</v>
      </c>
      <c r="CR42">
        <v>0.375</v>
      </c>
      <c r="CS42">
        <v>5.375</v>
      </c>
      <c r="CT42">
        <v>29</v>
      </c>
      <c r="CU42">
        <v>24.75</v>
      </c>
      <c r="CV42">
        <v>27</v>
      </c>
      <c r="CW42">
        <v>-5.1221838688917762E-2</v>
      </c>
      <c r="CX42">
        <v>22</v>
      </c>
      <c r="CY42">
        <v>-7.7859167647405317E-3</v>
      </c>
      <c r="CZ42">
        <v>30</v>
      </c>
      <c r="DA42">
        <v>9.8561507936507961E-2</v>
      </c>
      <c r="DB42">
        <v>20</v>
      </c>
      <c r="DC42">
        <v>-0.5</v>
      </c>
      <c r="DD42">
        <v>-1.25</v>
      </c>
      <c r="DE42">
        <v>-5.875</v>
      </c>
      <c r="DF42">
        <v>2.875</v>
      </c>
      <c r="DG42">
        <v>-27.375</v>
      </c>
      <c r="DH42">
        <v>-13.3125</v>
      </c>
      <c r="DI42">
        <v>-0.3125</v>
      </c>
      <c r="DJ42">
        <v>-2.8125</v>
      </c>
      <c r="DK42">
        <v>-10.9375</v>
      </c>
      <c r="DL42">
        <v>25</v>
      </c>
      <c r="DM42">
        <v>-5.8849999999999989</v>
      </c>
      <c r="DN42">
        <v>-3.4601249999999992</v>
      </c>
      <c r="DO42">
        <v>-13</v>
      </c>
      <c r="DP42">
        <v>8</v>
      </c>
      <c r="DQ42">
        <v>-1.8254687499999998</v>
      </c>
      <c r="DR42">
        <v>-2.75</v>
      </c>
      <c r="DS42">
        <v>-0.53890624999999992</v>
      </c>
      <c r="DT42">
        <v>-3.1548437499999999</v>
      </c>
      <c r="DU42" t="s">
        <v>281</v>
      </c>
      <c r="DV42" t="s">
        <v>266</v>
      </c>
      <c r="DW42" t="s">
        <v>498</v>
      </c>
      <c r="DX42">
        <v>3</v>
      </c>
      <c r="DY42">
        <v>4.5975000000000001</v>
      </c>
      <c r="DZ42">
        <v>20</v>
      </c>
      <c r="EA42">
        <v>19.25</v>
      </c>
      <c r="EB42">
        <v>17</v>
      </c>
      <c r="EC42">
        <v>-0.12500000000000044</v>
      </c>
      <c r="ED42">
        <v>25</v>
      </c>
      <c r="EE42">
        <v>-2.6875</v>
      </c>
      <c r="EF42">
        <v>26</v>
      </c>
      <c r="EG42">
        <v>-18.0625</v>
      </c>
      <c r="EH42">
        <v>9</v>
      </c>
      <c r="EI42">
        <v>0.8125</v>
      </c>
      <c r="EJ42">
        <v>27</v>
      </c>
      <c r="EK42">
        <v>23.75</v>
      </c>
      <c r="EL42">
        <v>27</v>
      </c>
      <c r="EM42">
        <v>-3.4812499999999997</v>
      </c>
      <c r="EN42">
        <v>29</v>
      </c>
      <c r="EO42">
        <v>-2.8125</v>
      </c>
      <c r="EP42">
        <v>26</v>
      </c>
      <c r="EQ42">
        <v>-12.6875</v>
      </c>
      <c r="ER42">
        <v>13</v>
      </c>
      <c r="ES42">
        <v>6.25E-2</v>
      </c>
      <c r="ET42">
        <v>13</v>
      </c>
      <c r="EU42">
        <v>13</v>
      </c>
      <c r="EV42">
        <v>1</v>
      </c>
      <c r="EW42">
        <v>3.3562499999999993</v>
      </c>
      <c r="EX42">
        <v>16</v>
      </c>
      <c r="EY42">
        <v>0.125</v>
      </c>
      <c r="EZ42">
        <v>22</v>
      </c>
      <c r="FA42">
        <v>-5.375</v>
      </c>
      <c r="FB42">
        <v>6</v>
      </c>
      <c r="FC42">
        <v>0.75</v>
      </c>
      <c r="FD42">
        <v>6</v>
      </c>
      <c r="FE42">
        <v>6.333333333333333</v>
      </c>
      <c r="FF42">
        <v>6</v>
      </c>
      <c r="FG42">
        <v>6.7999999999999989</v>
      </c>
      <c r="FH42">
        <v>7</v>
      </c>
      <c r="FI42">
        <v>9.75</v>
      </c>
      <c r="FJ42">
        <v>6</v>
      </c>
      <c r="FK42">
        <v>1.75</v>
      </c>
      <c r="FL42">
        <v>6</v>
      </c>
      <c r="FM42">
        <v>6.666666666666667</v>
      </c>
      <c r="FN42">
        <v>5</v>
      </c>
      <c r="FO42">
        <v>4.28125</v>
      </c>
      <c r="FP42">
        <v>3</v>
      </c>
      <c r="FQ42">
        <v>13.125</v>
      </c>
      <c r="FR42">
        <v>12</v>
      </c>
      <c r="FS42">
        <v>0.125</v>
      </c>
      <c r="FT42">
        <v>5</v>
      </c>
      <c r="FU42">
        <v>8</v>
      </c>
      <c r="FV42">
        <v>4</v>
      </c>
      <c r="FW42">
        <v>4.6999999999999993</v>
      </c>
      <c r="FX42">
        <v>17</v>
      </c>
      <c r="FY42">
        <v>1.9375</v>
      </c>
      <c r="FZ42">
        <v>3</v>
      </c>
      <c r="GA42">
        <v>1.375</v>
      </c>
      <c r="GB42">
        <v>23</v>
      </c>
      <c r="GC42">
        <v>21</v>
      </c>
      <c r="GD42">
        <v>26</v>
      </c>
      <c r="GE42">
        <v>-2.1812500000000004</v>
      </c>
      <c r="GF42">
        <v>24</v>
      </c>
      <c r="GG42">
        <v>-5.3125</v>
      </c>
      <c r="GH42">
        <v>13</v>
      </c>
      <c r="GI42">
        <v>0.25</v>
      </c>
      <c r="GJ42">
        <v>1</v>
      </c>
      <c r="GK42">
        <v>1.6666666666666667</v>
      </c>
      <c r="GL42">
        <v>1</v>
      </c>
      <c r="GM42">
        <v>14.3125</v>
      </c>
      <c r="GN42">
        <v>2</v>
      </c>
      <c r="GO42">
        <v>48.125</v>
      </c>
      <c r="GP42">
        <v>2</v>
      </c>
      <c r="GQ42">
        <v>4.4375</v>
      </c>
      <c r="GR42">
        <v>2</v>
      </c>
      <c r="GS42">
        <v>2.6666666666666665</v>
      </c>
      <c r="GT42">
        <v>3</v>
      </c>
      <c r="GU42">
        <v>7.21875</v>
      </c>
      <c r="GV42">
        <v>20.3125</v>
      </c>
      <c r="GW42">
        <v>2.625</v>
      </c>
      <c r="GX42">
        <v>30</v>
      </c>
      <c r="GY42">
        <v>28.5</v>
      </c>
      <c r="GZ42">
        <v>26</v>
      </c>
      <c r="HA42">
        <v>-1.875</v>
      </c>
      <c r="HB42">
        <v>31</v>
      </c>
      <c r="HC42">
        <v>-1</v>
      </c>
      <c r="HD42">
        <v>-2.0625</v>
      </c>
      <c r="HE42">
        <v>22</v>
      </c>
      <c r="HF42">
        <v>20</v>
      </c>
      <c r="HG42">
        <v>21</v>
      </c>
      <c r="HH42">
        <v>-1.1554494438113898E-2</v>
      </c>
      <c r="HI42">
        <v>21</v>
      </c>
      <c r="HJ42">
        <v>-1.0383526260958136E-2</v>
      </c>
      <c r="HK42">
        <v>25</v>
      </c>
      <c r="HL42">
        <v>4.5928724053724015E-2</v>
      </c>
      <c r="HM42">
        <v>13</v>
      </c>
      <c r="HN42">
        <v>-0.1875</v>
      </c>
      <c r="HO42">
        <v>3.0625</v>
      </c>
      <c r="HP42">
        <v>5.75</v>
      </c>
      <c r="HQ42">
        <v>-0.875</v>
      </c>
      <c r="HR42">
        <v>23.0625</v>
      </c>
      <c r="HS42">
        <v>48.5</v>
      </c>
      <c r="HT42">
        <v>-21.25</v>
      </c>
      <c r="HU42">
        <v>3.3125</v>
      </c>
      <c r="HV42">
        <v>-7.5</v>
      </c>
      <c r="HW42">
        <v>9</v>
      </c>
      <c r="HX42">
        <v>4.7225000000000001</v>
      </c>
      <c r="HY42">
        <v>3.7857500000000002</v>
      </c>
      <c r="HZ42">
        <v>69.75</v>
      </c>
      <c r="IA42">
        <v>24</v>
      </c>
      <c r="IB42">
        <v>2.0770312500000001</v>
      </c>
      <c r="IC42">
        <v>4.375</v>
      </c>
    </row>
    <row r="43" spans="1:237" x14ac:dyDescent="0.2">
      <c r="A43" s="19">
        <v>44115</v>
      </c>
      <c r="B43" s="13" t="s">
        <v>381</v>
      </c>
      <c r="C43" s="41" t="s">
        <v>297</v>
      </c>
      <c r="D43" s="14" t="s">
        <v>311</v>
      </c>
      <c r="E43">
        <v>4.5999999999999996</v>
      </c>
      <c r="F43">
        <v>14.9</v>
      </c>
      <c r="G43">
        <v>10.7</v>
      </c>
      <c r="H43">
        <v>4.5999999999999996</v>
      </c>
      <c r="I43">
        <v>5.5</v>
      </c>
      <c r="J43">
        <v>54.5</v>
      </c>
      <c r="L43" t="s">
        <v>297</v>
      </c>
      <c r="M43">
        <v>6</v>
      </c>
      <c r="N43">
        <v>2.4804166666666667</v>
      </c>
      <c r="O43">
        <v>19</v>
      </c>
      <c r="P43">
        <v>18.75</v>
      </c>
      <c r="Q43">
        <v>12</v>
      </c>
      <c r="R43">
        <v>1.3874999999999988</v>
      </c>
      <c r="S43">
        <v>29</v>
      </c>
      <c r="T43">
        <v>-4.0208333333333339</v>
      </c>
      <c r="U43">
        <v>30</v>
      </c>
      <c r="V43">
        <v>-26.666666666666664</v>
      </c>
      <c r="W43">
        <v>4</v>
      </c>
      <c r="X43">
        <v>1.7083333333333333</v>
      </c>
      <c r="Y43">
        <v>17</v>
      </c>
      <c r="Z43">
        <v>15.333333333333334</v>
      </c>
      <c r="AA43">
        <v>11</v>
      </c>
      <c r="AB43">
        <v>2.2374999999999989</v>
      </c>
      <c r="AC43">
        <v>15</v>
      </c>
      <c r="AD43">
        <v>-0.54166666666666696</v>
      </c>
      <c r="AE43">
        <v>23</v>
      </c>
      <c r="AF43">
        <v>-9.2083333333333321</v>
      </c>
      <c r="AG43">
        <v>12</v>
      </c>
      <c r="AH43">
        <v>0.4375</v>
      </c>
      <c r="AI43">
        <v>21</v>
      </c>
      <c r="AJ43">
        <v>18.666666666666668</v>
      </c>
      <c r="AK43">
        <v>21</v>
      </c>
      <c r="AL43">
        <v>-0.8500000000000002</v>
      </c>
      <c r="AM43">
        <v>32</v>
      </c>
      <c r="AN43">
        <v>-3.479166666666667</v>
      </c>
      <c r="AO43">
        <v>32</v>
      </c>
      <c r="AP43">
        <v>-17.458333333333332</v>
      </c>
      <c r="AQ43">
        <v>3</v>
      </c>
      <c r="AR43">
        <v>1.2708333333333333</v>
      </c>
      <c r="AS43">
        <v>15</v>
      </c>
      <c r="AT43">
        <v>14</v>
      </c>
      <c r="AU43">
        <v>10</v>
      </c>
      <c r="AV43">
        <v>5.1104166666666666</v>
      </c>
      <c r="AW43">
        <v>17</v>
      </c>
      <c r="AX43">
        <v>2.0833333333333925E-2</v>
      </c>
      <c r="AY43">
        <v>15</v>
      </c>
      <c r="AZ43">
        <v>0.35416666666666674</v>
      </c>
      <c r="BA43">
        <v>18</v>
      </c>
      <c r="BB43">
        <v>19.666666666666668</v>
      </c>
      <c r="BC43">
        <v>16</v>
      </c>
      <c r="BD43">
        <v>0.41041666666666643</v>
      </c>
      <c r="BE43">
        <v>18</v>
      </c>
      <c r="BF43">
        <v>-3.6458333333333339</v>
      </c>
      <c r="BG43">
        <v>25</v>
      </c>
      <c r="BH43">
        <v>-1.4791666666666667</v>
      </c>
      <c r="BI43">
        <v>14</v>
      </c>
      <c r="BJ43">
        <v>14.333333333333334</v>
      </c>
      <c r="BK43">
        <v>13</v>
      </c>
      <c r="BL43">
        <v>1.1937500000000008</v>
      </c>
      <c r="BM43">
        <v>15</v>
      </c>
      <c r="BN43">
        <v>-4.2083333333333321</v>
      </c>
      <c r="BO43">
        <v>15</v>
      </c>
      <c r="BP43">
        <v>0.125</v>
      </c>
      <c r="BQ43">
        <v>5</v>
      </c>
      <c r="BR43">
        <v>6</v>
      </c>
      <c r="BS43">
        <v>5</v>
      </c>
      <c r="BT43">
        <v>3.5062499999999996</v>
      </c>
      <c r="BU43">
        <v>10</v>
      </c>
      <c r="BV43">
        <v>7.875</v>
      </c>
      <c r="BW43">
        <v>3</v>
      </c>
      <c r="BX43">
        <v>1.7083333333333335</v>
      </c>
      <c r="BY43">
        <v>8</v>
      </c>
      <c r="BZ43">
        <v>8.3333333333333339</v>
      </c>
      <c r="CA43">
        <v>8</v>
      </c>
      <c r="CB43">
        <v>3.8166666666666655</v>
      </c>
      <c r="CC43">
        <v>6</v>
      </c>
      <c r="CD43">
        <v>21.291666666666668</v>
      </c>
      <c r="CE43">
        <v>11</v>
      </c>
      <c r="CF43">
        <v>1.1875</v>
      </c>
      <c r="CG43">
        <v>22</v>
      </c>
      <c r="CH43">
        <v>22.666666666666668</v>
      </c>
      <c r="CI43">
        <v>24</v>
      </c>
      <c r="CJ43">
        <v>-2.2000000000000002</v>
      </c>
      <c r="CK43">
        <v>-13.666666666666666</v>
      </c>
      <c r="CL43">
        <v>-0.6875</v>
      </c>
      <c r="CM43">
        <v>3</v>
      </c>
      <c r="CN43">
        <v>4</v>
      </c>
      <c r="CO43">
        <v>4</v>
      </c>
      <c r="CP43">
        <v>2.020833333333333</v>
      </c>
      <c r="CQ43">
        <v>4</v>
      </c>
      <c r="CR43">
        <v>0.5625</v>
      </c>
      <c r="CS43">
        <v>-2.0208333333333335</v>
      </c>
      <c r="CT43">
        <v>18</v>
      </c>
      <c r="CU43">
        <v>16.75</v>
      </c>
      <c r="CV43">
        <v>32</v>
      </c>
      <c r="CW43">
        <v>-8.5500211441152468E-2</v>
      </c>
      <c r="CX43">
        <v>14</v>
      </c>
      <c r="CY43">
        <v>1.6232042218169446E-3</v>
      </c>
      <c r="CZ43">
        <v>4</v>
      </c>
      <c r="DA43">
        <v>-0.13023914742664744</v>
      </c>
      <c r="DB43">
        <v>17</v>
      </c>
      <c r="DC43">
        <v>-0.125</v>
      </c>
      <c r="DD43">
        <v>-1.8333333333333339</v>
      </c>
      <c r="DE43">
        <v>1.895833333333333</v>
      </c>
      <c r="DF43">
        <v>0</v>
      </c>
      <c r="DG43">
        <v>7.7708333333333286</v>
      </c>
      <c r="DH43">
        <v>35.395833333333329</v>
      </c>
      <c r="DI43">
        <v>-33.541666666666664</v>
      </c>
      <c r="DJ43">
        <v>7.6458333333333339</v>
      </c>
      <c r="DK43">
        <v>-1.7291666666666661</v>
      </c>
      <c r="DL43">
        <v>13</v>
      </c>
      <c r="DM43">
        <v>1.0929166666666679</v>
      </c>
      <c r="DN43">
        <v>0.38441666666666729</v>
      </c>
      <c r="DO43">
        <v>68.9375</v>
      </c>
      <c r="DP43">
        <v>20</v>
      </c>
      <c r="DQ43">
        <v>1.0998958333333331</v>
      </c>
      <c r="DR43">
        <v>-0.33333333333333326</v>
      </c>
      <c r="DS43">
        <v>0.67546875000000017</v>
      </c>
      <c r="DT43">
        <v>0.89255208333333358</v>
      </c>
      <c r="DU43" t="s">
        <v>311</v>
      </c>
      <c r="DV43" t="s">
        <v>275</v>
      </c>
      <c r="DW43" t="s">
        <v>477</v>
      </c>
      <c r="DX43">
        <v>26</v>
      </c>
      <c r="DY43">
        <v>-3.5850000000000004</v>
      </c>
      <c r="DZ43">
        <v>1</v>
      </c>
      <c r="EA43">
        <v>6</v>
      </c>
      <c r="EB43">
        <v>2</v>
      </c>
      <c r="EC43">
        <v>7.5791666666666675</v>
      </c>
      <c r="ED43">
        <v>1</v>
      </c>
      <c r="EE43">
        <v>6.833333333333333</v>
      </c>
      <c r="EF43">
        <v>2</v>
      </c>
      <c r="EG43">
        <v>43.479166666666671</v>
      </c>
      <c r="EH43">
        <v>19</v>
      </c>
      <c r="EI43">
        <v>-0.39583333333333326</v>
      </c>
      <c r="EJ43">
        <v>1</v>
      </c>
      <c r="EK43">
        <v>5.25</v>
      </c>
      <c r="EL43">
        <v>4</v>
      </c>
      <c r="EM43">
        <v>6.6208333333333345</v>
      </c>
      <c r="EN43">
        <v>2</v>
      </c>
      <c r="EO43">
        <v>4.083333333333333</v>
      </c>
      <c r="EP43">
        <v>3</v>
      </c>
      <c r="EQ43">
        <v>25.916666666666668</v>
      </c>
      <c r="ER43">
        <v>12</v>
      </c>
      <c r="ES43">
        <v>0.20833333333333337</v>
      </c>
      <c r="ET43">
        <v>2</v>
      </c>
      <c r="EU43">
        <v>4.333333333333333</v>
      </c>
      <c r="EV43">
        <v>8</v>
      </c>
      <c r="EW43">
        <v>0.95833333333333326</v>
      </c>
      <c r="EX43">
        <v>2</v>
      </c>
      <c r="EY43">
        <v>2.75</v>
      </c>
      <c r="EZ43">
        <v>3</v>
      </c>
      <c r="FA43">
        <v>17.5625</v>
      </c>
      <c r="FB43">
        <v>24</v>
      </c>
      <c r="FC43">
        <v>-0.60416666666666663</v>
      </c>
      <c r="FD43">
        <v>18</v>
      </c>
      <c r="FE43">
        <v>17.666666666666668</v>
      </c>
      <c r="FF43">
        <v>18</v>
      </c>
      <c r="FG43">
        <v>-2.1749999999999989</v>
      </c>
      <c r="FH43">
        <v>23</v>
      </c>
      <c r="FI43">
        <v>-11.041666666666666</v>
      </c>
      <c r="FJ43">
        <v>12</v>
      </c>
      <c r="FK43">
        <v>0.27083333333333315</v>
      </c>
      <c r="FL43">
        <v>13</v>
      </c>
      <c r="FM43">
        <v>17</v>
      </c>
      <c r="FN43">
        <v>14</v>
      </c>
      <c r="FO43">
        <v>-0.27916666666666634</v>
      </c>
      <c r="FP43">
        <v>22</v>
      </c>
      <c r="FQ43">
        <v>-6.5</v>
      </c>
      <c r="FR43">
        <v>15</v>
      </c>
      <c r="FS43">
        <v>-6.25E-2</v>
      </c>
      <c r="FT43">
        <v>8</v>
      </c>
      <c r="FU43">
        <v>10.666666666666666</v>
      </c>
      <c r="FV43">
        <v>11</v>
      </c>
      <c r="FW43">
        <v>1.5395833333333335</v>
      </c>
      <c r="FX43">
        <v>10</v>
      </c>
      <c r="FY43">
        <v>7.9375</v>
      </c>
      <c r="FZ43">
        <v>11</v>
      </c>
      <c r="GA43">
        <v>0.60416666666666652</v>
      </c>
      <c r="GB43">
        <v>27</v>
      </c>
      <c r="GC43">
        <v>26</v>
      </c>
      <c r="GD43">
        <v>31</v>
      </c>
      <c r="GE43">
        <v>-3.4354166666666663</v>
      </c>
      <c r="GF43">
        <v>29</v>
      </c>
      <c r="GG43">
        <v>-12.479166666666666</v>
      </c>
      <c r="GH43">
        <v>18</v>
      </c>
      <c r="GI43">
        <v>-0.27083333333333337</v>
      </c>
      <c r="GJ43">
        <v>28</v>
      </c>
      <c r="GK43">
        <v>27.333333333333332</v>
      </c>
      <c r="GL43">
        <v>28</v>
      </c>
      <c r="GM43">
        <v>-4.572916666666667</v>
      </c>
      <c r="GN43">
        <v>27</v>
      </c>
      <c r="GO43">
        <v>-17.1875</v>
      </c>
      <c r="GP43">
        <v>27</v>
      </c>
      <c r="GQ43">
        <v>-1.4166666666666665</v>
      </c>
      <c r="GR43">
        <v>15</v>
      </c>
      <c r="GS43">
        <v>16.333333333333332</v>
      </c>
      <c r="GT43">
        <v>12</v>
      </c>
      <c r="GU43">
        <v>-0.29791666666666683</v>
      </c>
      <c r="GV43">
        <v>-2.9791666666666661</v>
      </c>
      <c r="GW43">
        <v>-0.47916666666666674</v>
      </c>
      <c r="GX43">
        <v>6</v>
      </c>
      <c r="GY43">
        <v>6.5</v>
      </c>
      <c r="GZ43">
        <v>6</v>
      </c>
      <c r="HA43">
        <v>2.145833333333333</v>
      </c>
      <c r="HB43">
        <v>7</v>
      </c>
      <c r="HC43">
        <v>0.70833333333333326</v>
      </c>
      <c r="HD43">
        <v>0.54166666666666652</v>
      </c>
      <c r="HE43">
        <v>28</v>
      </c>
      <c r="HF43">
        <v>22</v>
      </c>
      <c r="HG43">
        <v>23</v>
      </c>
      <c r="HH43">
        <v>-2.5216139878508535E-2</v>
      </c>
      <c r="HI43">
        <v>5</v>
      </c>
      <c r="HJ43">
        <v>2.1126419863558354E-2</v>
      </c>
      <c r="HK43">
        <v>32</v>
      </c>
      <c r="HL43">
        <v>0.14818159271284273</v>
      </c>
      <c r="HM43">
        <v>28</v>
      </c>
      <c r="HN43">
        <v>-2.7083333333333335</v>
      </c>
      <c r="HO43">
        <v>6.25</v>
      </c>
      <c r="HP43">
        <v>3</v>
      </c>
      <c r="HQ43">
        <v>0.27083333333333337</v>
      </c>
      <c r="HR43">
        <v>25.979166666666671</v>
      </c>
      <c r="HS43">
        <v>-11.4375</v>
      </c>
      <c r="HT43">
        <v>48.291666666666664</v>
      </c>
      <c r="HU43">
        <v>0.33333333333333304</v>
      </c>
      <c r="HV43">
        <v>-11.208333333333332</v>
      </c>
      <c r="HW43">
        <v>31</v>
      </c>
      <c r="HX43">
        <v>-11.164166666666668</v>
      </c>
      <c r="HY43">
        <v>-5.0011666666666672</v>
      </c>
      <c r="HZ43">
        <v>-59.729166666666664</v>
      </c>
      <c r="IA43">
        <v>2</v>
      </c>
      <c r="IB43">
        <v>0.45838541666666677</v>
      </c>
      <c r="IC43">
        <v>-0.20833333333333359</v>
      </c>
    </row>
    <row r="44" spans="1:237" x14ac:dyDescent="0.2">
      <c r="A44" s="19">
        <v>44115</v>
      </c>
      <c r="B44" s="13" t="s">
        <v>381</v>
      </c>
      <c r="C44" s="41" t="s">
        <v>288</v>
      </c>
      <c r="D44" s="14" t="s">
        <v>303</v>
      </c>
      <c r="E44">
        <v>18.3</v>
      </c>
      <c r="F44">
        <v>10.4</v>
      </c>
      <c r="G44">
        <v>7</v>
      </c>
      <c r="H44">
        <v>27.8</v>
      </c>
      <c r="I44">
        <v>-10.5</v>
      </c>
      <c r="J44">
        <v>54</v>
      </c>
      <c r="L44" t="s">
        <v>288</v>
      </c>
      <c r="M44">
        <v>4</v>
      </c>
      <c r="N44">
        <v>7.1087499999999997</v>
      </c>
      <c r="O44">
        <v>21</v>
      </c>
      <c r="P44">
        <v>19.75</v>
      </c>
      <c r="Q44">
        <v>22</v>
      </c>
      <c r="R44">
        <v>-2.5562500000000008</v>
      </c>
      <c r="S44">
        <v>15</v>
      </c>
      <c r="T44">
        <v>0</v>
      </c>
      <c r="U44">
        <v>20</v>
      </c>
      <c r="V44">
        <v>-8.5</v>
      </c>
      <c r="W44">
        <v>22</v>
      </c>
      <c r="X44">
        <v>-0.5</v>
      </c>
      <c r="Y44">
        <v>15</v>
      </c>
      <c r="Z44">
        <v>15</v>
      </c>
      <c r="AA44">
        <v>18</v>
      </c>
      <c r="AB44">
        <v>-0.3375000000000008</v>
      </c>
      <c r="AC44">
        <v>9</v>
      </c>
      <c r="AD44">
        <v>1.9375</v>
      </c>
      <c r="AE44">
        <v>14</v>
      </c>
      <c r="AF44">
        <v>4.3125</v>
      </c>
      <c r="AG44">
        <v>13</v>
      </c>
      <c r="AH44">
        <v>0.375</v>
      </c>
      <c r="AI44">
        <v>30</v>
      </c>
      <c r="AJ44">
        <v>27</v>
      </c>
      <c r="AK44">
        <v>27</v>
      </c>
      <c r="AL44">
        <v>-2.21875</v>
      </c>
      <c r="AM44">
        <v>24</v>
      </c>
      <c r="AN44">
        <v>-1.9375</v>
      </c>
      <c r="AO44">
        <v>29</v>
      </c>
      <c r="AP44">
        <v>-12.8125</v>
      </c>
      <c r="AQ44">
        <v>25</v>
      </c>
      <c r="AR44">
        <v>-0.875</v>
      </c>
      <c r="AS44">
        <v>8</v>
      </c>
      <c r="AT44">
        <v>9.6666666666666661</v>
      </c>
      <c r="AU44">
        <v>8</v>
      </c>
      <c r="AV44">
        <v>6.7374999999999989</v>
      </c>
      <c r="AW44">
        <v>13</v>
      </c>
      <c r="AX44">
        <v>6.375</v>
      </c>
      <c r="AY44">
        <v>8</v>
      </c>
      <c r="AZ44">
        <v>2.125</v>
      </c>
      <c r="BA44">
        <v>11</v>
      </c>
      <c r="BB44">
        <v>10.333333333333334</v>
      </c>
      <c r="BC44">
        <v>10</v>
      </c>
      <c r="BD44">
        <v>2.8437499999999996</v>
      </c>
      <c r="BE44">
        <v>12</v>
      </c>
      <c r="BF44">
        <v>6.9375</v>
      </c>
      <c r="BG44">
        <v>9</v>
      </c>
      <c r="BH44">
        <v>0.75</v>
      </c>
      <c r="BI44">
        <v>9</v>
      </c>
      <c r="BJ44">
        <v>11.666666666666666</v>
      </c>
      <c r="BK44">
        <v>10</v>
      </c>
      <c r="BL44">
        <v>1.7500000000000004</v>
      </c>
      <c r="BM44">
        <v>13</v>
      </c>
      <c r="BN44">
        <v>-1.125</v>
      </c>
      <c r="BO44">
        <v>12</v>
      </c>
      <c r="BP44">
        <v>0.1875</v>
      </c>
      <c r="BQ44">
        <v>8</v>
      </c>
      <c r="BR44">
        <v>10</v>
      </c>
      <c r="BS44">
        <v>10</v>
      </c>
      <c r="BT44">
        <v>2.1437499999999989</v>
      </c>
      <c r="BU44">
        <v>15</v>
      </c>
      <c r="BV44">
        <v>0.5625</v>
      </c>
      <c r="BW44">
        <v>5</v>
      </c>
      <c r="BX44">
        <v>1.1875</v>
      </c>
      <c r="BY44">
        <v>2</v>
      </c>
      <c r="BZ44">
        <v>3.6666666666666665</v>
      </c>
      <c r="CA44">
        <v>2</v>
      </c>
      <c r="CB44">
        <v>8.2374999999999989</v>
      </c>
      <c r="CC44">
        <v>4</v>
      </c>
      <c r="CD44">
        <v>24.25</v>
      </c>
      <c r="CE44">
        <v>5</v>
      </c>
      <c r="CF44">
        <v>2.3125</v>
      </c>
      <c r="CG44">
        <v>2</v>
      </c>
      <c r="CH44">
        <v>2.3333333333333335</v>
      </c>
      <c r="CI44">
        <v>2</v>
      </c>
      <c r="CJ44">
        <v>6.9187500000000002</v>
      </c>
      <c r="CK44">
        <v>32.9375</v>
      </c>
      <c r="CL44">
        <v>3.125</v>
      </c>
      <c r="CM44">
        <v>16</v>
      </c>
      <c r="CN44">
        <v>16</v>
      </c>
      <c r="CO44">
        <v>11</v>
      </c>
      <c r="CP44">
        <v>0.75</v>
      </c>
      <c r="CQ44">
        <v>21</v>
      </c>
      <c r="CR44">
        <v>-0.125</v>
      </c>
      <c r="CS44">
        <v>3.25</v>
      </c>
      <c r="CT44">
        <v>31</v>
      </c>
      <c r="CU44">
        <v>26.25</v>
      </c>
      <c r="CV44">
        <v>17</v>
      </c>
      <c r="CW44">
        <v>-6.3148979286806323E-3</v>
      </c>
      <c r="CX44">
        <v>32</v>
      </c>
      <c r="CY44">
        <v>-3.3130994891262644E-2</v>
      </c>
      <c r="CZ44">
        <v>26</v>
      </c>
      <c r="DA44">
        <v>7.5842126623376638E-2</v>
      </c>
      <c r="DB44">
        <v>30</v>
      </c>
      <c r="DC44">
        <v>-3.25</v>
      </c>
      <c r="DD44">
        <v>0.9375</v>
      </c>
      <c r="DE44">
        <v>4.25</v>
      </c>
      <c r="DF44">
        <v>0.875</v>
      </c>
      <c r="DG44">
        <v>32.9375</v>
      </c>
      <c r="DH44">
        <v>24.125</v>
      </c>
      <c r="DI44">
        <v>-4.3125</v>
      </c>
      <c r="DJ44">
        <v>5.4375</v>
      </c>
      <c r="DK44">
        <v>7.6875</v>
      </c>
      <c r="DL44">
        <v>3</v>
      </c>
      <c r="DM44">
        <v>9.6650000000000009</v>
      </c>
      <c r="DN44">
        <v>5.4311249999999998</v>
      </c>
      <c r="DO44">
        <v>28.4375</v>
      </c>
      <c r="DP44">
        <v>30</v>
      </c>
      <c r="DQ44">
        <v>2.3698437499999998</v>
      </c>
      <c r="DR44">
        <v>5.25</v>
      </c>
      <c r="DS44">
        <v>-0.7420312499999997</v>
      </c>
      <c r="DT44">
        <v>-0.92421874999999976</v>
      </c>
      <c r="DU44" t="s">
        <v>303</v>
      </c>
      <c r="DV44" t="s">
        <v>247</v>
      </c>
      <c r="DW44" t="s">
        <v>510</v>
      </c>
      <c r="DX44">
        <v>28</v>
      </c>
      <c r="DY44">
        <v>-4.1849999999999996</v>
      </c>
      <c r="DZ44">
        <v>10</v>
      </c>
      <c r="EA44">
        <v>12.5</v>
      </c>
      <c r="EB44">
        <v>6</v>
      </c>
      <c r="EC44">
        <v>4.2625000000000011</v>
      </c>
      <c r="ED44">
        <v>21</v>
      </c>
      <c r="EE44">
        <v>-1</v>
      </c>
      <c r="EF44">
        <v>10</v>
      </c>
      <c r="EG44">
        <v>14.125</v>
      </c>
      <c r="EH44">
        <v>13</v>
      </c>
      <c r="EI44">
        <v>0.3125</v>
      </c>
      <c r="EJ44">
        <v>1</v>
      </c>
      <c r="EK44">
        <v>5.25</v>
      </c>
      <c r="EL44">
        <v>3</v>
      </c>
      <c r="EM44">
        <v>6.7562500000000005</v>
      </c>
      <c r="EN44">
        <v>6</v>
      </c>
      <c r="EO44">
        <v>2.75</v>
      </c>
      <c r="EP44">
        <v>6</v>
      </c>
      <c r="EQ44">
        <v>16.25</v>
      </c>
      <c r="ER44">
        <v>6</v>
      </c>
      <c r="ES44">
        <v>1.0625</v>
      </c>
      <c r="ET44">
        <v>29</v>
      </c>
      <c r="EU44">
        <v>26.666666666666668</v>
      </c>
      <c r="EV44">
        <v>31</v>
      </c>
      <c r="EW44">
        <v>-2.4937499999999999</v>
      </c>
      <c r="EX44">
        <v>32</v>
      </c>
      <c r="EY44">
        <v>-3.75</v>
      </c>
      <c r="EZ44">
        <v>17</v>
      </c>
      <c r="FA44">
        <v>-2.125</v>
      </c>
      <c r="FB44">
        <v>26</v>
      </c>
      <c r="FC44">
        <v>-0.75</v>
      </c>
      <c r="FD44">
        <v>28</v>
      </c>
      <c r="FE44">
        <v>26.333333333333332</v>
      </c>
      <c r="FF44">
        <v>25</v>
      </c>
      <c r="FG44">
        <v>-5.1374999999999984</v>
      </c>
      <c r="FH44">
        <v>29</v>
      </c>
      <c r="FI44">
        <v>-30.3125</v>
      </c>
      <c r="FJ44">
        <v>25</v>
      </c>
      <c r="FK44">
        <v>-1.6875</v>
      </c>
      <c r="FL44">
        <v>15</v>
      </c>
      <c r="FM44">
        <v>17.333333333333332</v>
      </c>
      <c r="FN44">
        <v>15</v>
      </c>
      <c r="FO44">
        <v>-0.40624999999999911</v>
      </c>
      <c r="FP44">
        <v>15</v>
      </c>
      <c r="FQ44">
        <v>0</v>
      </c>
      <c r="FR44">
        <v>22</v>
      </c>
      <c r="FS44">
        <v>-0.5625</v>
      </c>
      <c r="FT44">
        <v>32</v>
      </c>
      <c r="FU44">
        <v>30.666666666666668</v>
      </c>
      <c r="FV44">
        <v>31</v>
      </c>
      <c r="FW44">
        <v>-5.2562499999999996</v>
      </c>
      <c r="FX44">
        <v>29</v>
      </c>
      <c r="FY44">
        <v>-22.5625</v>
      </c>
      <c r="FZ44">
        <v>32</v>
      </c>
      <c r="GA44">
        <v>-1.8125</v>
      </c>
      <c r="GB44">
        <v>14</v>
      </c>
      <c r="GC44">
        <v>15.666666666666666</v>
      </c>
      <c r="GD44">
        <v>13</v>
      </c>
      <c r="GE44">
        <v>0.52500000000000013</v>
      </c>
      <c r="GF44">
        <v>26</v>
      </c>
      <c r="GG44">
        <v>-7.75</v>
      </c>
      <c r="GH44">
        <v>8</v>
      </c>
      <c r="GI44">
        <v>0.6875</v>
      </c>
      <c r="GJ44">
        <v>32</v>
      </c>
      <c r="GK44">
        <v>29</v>
      </c>
      <c r="GL44">
        <v>27</v>
      </c>
      <c r="GM44">
        <v>-4.3750000000000009</v>
      </c>
      <c r="GN44">
        <v>32</v>
      </c>
      <c r="GO44">
        <v>-31.875</v>
      </c>
      <c r="GP44">
        <v>28</v>
      </c>
      <c r="GQ44">
        <v>-1.5</v>
      </c>
      <c r="GR44">
        <v>20</v>
      </c>
      <c r="GS44">
        <v>19</v>
      </c>
      <c r="GT44">
        <v>17</v>
      </c>
      <c r="GU44">
        <v>-0.85625000000000007</v>
      </c>
      <c r="GV44">
        <v>-7.3125</v>
      </c>
      <c r="GW44">
        <v>-0.1875</v>
      </c>
      <c r="GX44">
        <v>11</v>
      </c>
      <c r="GY44">
        <v>11</v>
      </c>
      <c r="GZ44">
        <v>8</v>
      </c>
      <c r="HA44">
        <v>1.4375</v>
      </c>
      <c r="HB44">
        <v>14</v>
      </c>
      <c r="HC44">
        <v>0.125</v>
      </c>
      <c r="HD44">
        <v>6.25E-2</v>
      </c>
      <c r="HE44">
        <v>30</v>
      </c>
      <c r="HF44">
        <v>22.75</v>
      </c>
      <c r="HG44">
        <v>17</v>
      </c>
      <c r="HH44">
        <v>-2.7112190836264885E-3</v>
      </c>
      <c r="HI44">
        <v>30</v>
      </c>
      <c r="HJ44">
        <v>-2.2885328787652974E-2</v>
      </c>
      <c r="HK44">
        <v>13</v>
      </c>
      <c r="HL44">
        <v>-1.181943056943055E-2</v>
      </c>
      <c r="HM44">
        <v>31</v>
      </c>
      <c r="HN44">
        <v>-2.9375</v>
      </c>
      <c r="HO44">
        <v>-2.8125</v>
      </c>
      <c r="HP44">
        <v>1.9375</v>
      </c>
      <c r="HQ44">
        <v>0.4375</v>
      </c>
      <c r="HR44">
        <v>-7.5625</v>
      </c>
      <c r="HS44">
        <v>-18.5625</v>
      </c>
      <c r="HT44">
        <v>15.5625</v>
      </c>
      <c r="HU44">
        <v>1.875</v>
      </c>
      <c r="HV44">
        <v>-6.4375</v>
      </c>
      <c r="HW44">
        <v>29</v>
      </c>
      <c r="HX44">
        <v>-8.4475000000000016</v>
      </c>
      <c r="HY44">
        <v>-4.1669999999999998</v>
      </c>
      <c r="HZ44">
        <v>-34.125</v>
      </c>
      <c r="IA44">
        <v>4</v>
      </c>
      <c r="IB44">
        <v>-0.55984374999999964</v>
      </c>
      <c r="IC44">
        <v>-1.875</v>
      </c>
    </row>
    <row r="45" spans="1:237" x14ac:dyDescent="0.2">
      <c r="A45" s="19">
        <v>44115</v>
      </c>
      <c r="B45" s="13" t="s">
        <v>381</v>
      </c>
      <c r="C45" s="41" t="s">
        <v>303</v>
      </c>
      <c r="D45" s="14" t="s">
        <v>288</v>
      </c>
      <c r="E45">
        <v>22.8</v>
      </c>
      <c r="F45">
        <v>14.7</v>
      </c>
      <c r="G45">
        <v>5.2</v>
      </c>
      <c r="H45">
        <v>15.8</v>
      </c>
      <c r="I45">
        <v>10.5</v>
      </c>
      <c r="J45">
        <v>54</v>
      </c>
      <c r="L45" t="s">
        <v>303</v>
      </c>
      <c r="M45">
        <v>18</v>
      </c>
      <c r="N45">
        <v>-0.89874999999999838</v>
      </c>
      <c r="O45">
        <v>5</v>
      </c>
      <c r="P45">
        <v>8.5</v>
      </c>
      <c r="Q45">
        <v>13</v>
      </c>
      <c r="R45">
        <v>0.9562499999999986</v>
      </c>
      <c r="S45">
        <v>7</v>
      </c>
      <c r="T45">
        <v>3.75</v>
      </c>
      <c r="U45">
        <v>7</v>
      </c>
      <c r="V45">
        <v>14.4375</v>
      </c>
      <c r="W45">
        <v>7</v>
      </c>
      <c r="X45">
        <v>0.625</v>
      </c>
      <c r="Y45">
        <v>11</v>
      </c>
      <c r="Z45">
        <v>12.666666666666666</v>
      </c>
      <c r="AA45">
        <v>12</v>
      </c>
      <c r="AB45">
        <v>1.4312499999999986</v>
      </c>
      <c r="AC45">
        <v>2</v>
      </c>
      <c r="AD45">
        <v>5.8125</v>
      </c>
      <c r="AE45">
        <v>11</v>
      </c>
      <c r="AF45">
        <v>11.375</v>
      </c>
      <c r="AG45">
        <v>15</v>
      </c>
      <c r="AH45">
        <v>0.25</v>
      </c>
      <c r="AI45">
        <v>11</v>
      </c>
      <c r="AJ45">
        <v>13.666666666666666</v>
      </c>
      <c r="AK45">
        <v>18</v>
      </c>
      <c r="AL45">
        <v>-0.47499999999999998</v>
      </c>
      <c r="AM45">
        <v>26</v>
      </c>
      <c r="AN45">
        <v>-2.0625</v>
      </c>
      <c r="AO45">
        <v>10</v>
      </c>
      <c r="AP45">
        <v>3.0625</v>
      </c>
      <c r="AQ45">
        <v>13</v>
      </c>
      <c r="AR45">
        <v>0.375</v>
      </c>
      <c r="AS45">
        <v>29</v>
      </c>
      <c r="AT45">
        <v>28</v>
      </c>
      <c r="AU45">
        <v>27</v>
      </c>
      <c r="AV45">
        <v>-7.4874999999999998</v>
      </c>
      <c r="AW45">
        <v>26</v>
      </c>
      <c r="AX45">
        <v>-31.625</v>
      </c>
      <c r="AY45">
        <v>31</v>
      </c>
      <c r="AZ45">
        <v>-4.25</v>
      </c>
      <c r="BA45">
        <v>32</v>
      </c>
      <c r="BB45">
        <v>30.666666666666668</v>
      </c>
      <c r="BC45">
        <v>31</v>
      </c>
      <c r="BD45">
        <v>-7.1812500000000004</v>
      </c>
      <c r="BE45">
        <v>31</v>
      </c>
      <c r="BF45">
        <v>-24</v>
      </c>
      <c r="BG45">
        <v>30</v>
      </c>
      <c r="BH45">
        <v>-1.9375</v>
      </c>
      <c r="BI45">
        <v>28</v>
      </c>
      <c r="BJ45">
        <v>24</v>
      </c>
      <c r="BK45">
        <v>15</v>
      </c>
      <c r="BL45">
        <v>-0.42499999999999982</v>
      </c>
      <c r="BM45">
        <v>25</v>
      </c>
      <c r="BN45">
        <v>-11.75</v>
      </c>
      <c r="BO45">
        <v>32</v>
      </c>
      <c r="BP45">
        <v>-2.4375</v>
      </c>
      <c r="BQ45">
        <v>15</v>
      </c>
      <c r="BR45">
        <v>13.666666666666666</v>
      </c>
      <c r="BS45">
        <v>13</v>
      </c>
      <c r="BT45">
        <v>0.11875000000000002</v>
      </c>
      <c r="BU45">
        <v>11</v>
      </c>
      <c r="BV45">
        <v>4.125</v>
      </c>
      <c r="BW45">
        <v>17</v>
      </c>
      <c r="BX45">
        <v>0.125</v>
      </c>
      <c r="BY45">
        <v>29</v>
      </c>
      <c r="BZ45">
        <v>28</v>
      </c>
      <c r="CA45">
        <v>25</v>
      </c>
      <c r="CB45">
        <v>-4.4687499999999982</v>
      </c>
      <c r="CC45">
        <v>29</v>
      </c>
      <c r="CD45">
        <v>-25.3125</v>
      </c>
      <c r="CE45">
        <v>30</v>
      </c>
      <c r="CF45">
        <v>-2.625</v>
      </c>
      <c r="CG45">
        <v>3</v>
      </c>
      <c r="CH45">
        <v>4</v>
      </c>
      <c r="CI45">
        <v>5</v>
      </c>
      <c r="CJ45">
        <v>3.8687500000000004</v>
      </c>
      <c r="CK45">
        <v>14.9375</v>
      </c>
      <c r="CL45">
        <v>3.6875</v>
      </c>
      <c r="CM45">
        <v>2</v>
      </c>
      <c r="CN45">
        <v>2</v>
      </c>
      <c r="CO45">
        <v>2</v>
      </c>
      <c r="CP45">
        <v>3.5</v>
      </c>
      <c r="CQ45">
        <v>2</v>
      </c>
      <c r="CR45">
        <v>0.9375</v>
      </c>
      <c r="CS45">
        <v>-2.9375</v>
      </c>
      <c r="CT45">
        <v>19</v>
      </c>
      <c r="CU45">
        <v>17.75</v>
      </c>
      <c r="CV45">
        <v>21</v>
      </c>
      <c r="CW45">
        <v>-2.8764626188068285E-2</v>
      </c>
      <c r="CX45">
        <v>19</v>
      </c>
      <c r="CY45">
        <v>-3.6346886625371246E-3</v>
      </c>
      <c r="CZ45">
        <v>16</v>
      </c>
      <c r="DA45">
        <v>1.1060049019607859E-2</v>
      </c>
      <c r="DB45">
        <v>15</v>
      </c>
      <c r="DC45">
        <v>6.25E-2</v>
      </c>
      <c r="DD45">
        <v>3.5</v>
      </c>
      <c r="DE45">
        <v>2.125</v>
      </c>
      <c r="DF45">
        <v>-0.4375</v>
      </c>
      <c r="DG45">
        <v>29.6875</v>
      </c>
      <c r="DH45">
        <v>18.625</v>
      </c>
      <c r="DI45">
        <v>20.25</v>
      </c>
      <c r="DJ45">
        <v>-0.25</v>
      </c>
      <c r="DK45">
        <v>-8.9375</v>
      </c>
      <c r="DL45">
        <v>22</v>
      </c>
      <c r="DM45">
        <v>-1.8549999999999969</v>
      </c>
      <c r="DN45">
        <v>-1.381624999999999</v>
      </c>
      <c r="DO45">
        <v>-1.625</v>
      </c>
      <c r="DP45">
        <v>11</v>
      </c>
      <c r="DQ45">
        <v>-7.6562499999999201E-3</v>
      </c>
      <c r="DR45">
        <v>-0.5625</v>
      </c>
      <c r="DS45">
        <v>-0.7420312499999997</v>
      </c>
      <c r="DT45">
        <v>-0.55984374999999964</v>
      </c>
      <c r="DU45" t="s">
        <v>288</v>
      </c>
      <c r="DV45" t="s">
        <v>270</v>
      </c>
      <c r="DW45" t="s">
        <v>508</v>
      </c>
      <c r="DX45">
        <v>25</v>
      </c>
      <c r="DY45">
        <v>-2.6312499999999996</v>
      </c>
      <c r="DZ45">
        <v>4</v>
      </c>
      <c r="EA45">
        <v>8.5</v>
      </c>
      <c r="EB45">
        <v>9</v>
      </c>
      <c r="EC45">
        <v>2.3875000000000011</v>
      </c>
      <c r="ED45">
        <v>7</v>
      </c>
      <c r="EE45">
        <v>2.875</v>
      </c>
      <c r="EF45">
        <v>8</v>
      </c>
      <c r="EG45">
        <v>19.3125</v>
      </c>
      <c r="EH45">
        <v>10</v>
      </c>
      <c r="EI45">
        <v>0.625</v>
      </c>
      <c r="EJ45">
        <v>9</v>
      </c>
      <c r="EK45">
        <v>11.25</v>
      </c>
      <c r="EL45">
        <v>10</v>
      </c>
      <c r="EM45">
        <v>1.4937500000000004</v>
      </c>
      <c r="EN45">
        <v>19</v>
      </c>
      <c r="EO45">
        <v>-0.75</v>
      </c>
      <c r="EP45">
        <v>8</v>
      </c>
      <c r="EQ45">
        <v>10.3125</v>
      </c>
      <c r="ER45">
        <v>8</v>
      </c>
      <c r="ES45">
        <v>0.625</v>
      </c>
      <c r="ET45">
        <v>3</v>
      </c>
      <c r="EU45">
        <v>5.333333333333333</v>
      </c>
      <c r="EV45">
        <v>11</v>
      </c>
      <c r="EW45">
        <v>0.8937500000000006</v>
      </c>
      <c r="EX45">
        <v>1</v>
      </c>
      <c r="EY45">
        <v>3.625</v>
      </c>
      <c r="EZ45">
        <v>4</v>
      </c>
      <c r="FA45">
        <v>9</v>
      </c>
      <c r="FB45">
        <v>16</v>
      </c>
      <c r="FC45">
        <v>0</v>
      </c>
      <c r="FD45">
        <v>23</v>
      </c>
      <c r="FE45">
        <v>22.333333333333332</v>
      </c>
      <c r="FF45">
        <v>23</v>
      </c>
      <c r="FG45">
        <v>-4.3562500000000002</v>
      </c>
      <c r="FH45">
        <v>31</v>
      </c>
      <c r="FI45">
        <v>-39.5625</v>
      </c>
      <c r="FJ45">
        <v>13</v>
      </c>
      <c r="FK45">
        <v>0.25</v>
      </c>
      <c r="FL45">
        <v>20</v>
      </c>
      <c r="FM45">
        <v>20.666666666666668</v>
      </c>
      <c r="FN45">
        <v>23</v>
      </c>
      <c r="FO45">
        <v>-2.34375</v>
      </c>
      <c r="FP45">
        <v>25</v>
      </c>
      <c r="FQ45">
        <v>-7.0625</v>
      </c>
      <c r="FR45">
        <v>14</v>
      </c>
      <c r="FS45">
        <v>6.25E-2</v>
      </c>
      <c r="FT45">
        <v>28</v>
      </c>
      <c r="FU45">
        <v>26</v>
      </c>
      <c r="FV45">
        <v>27</v>
      </c>
      <c r="FW45">
        <v>-3.21875</v>
      </c>
      <c r="FX45">
        <v>31</v>
      </c>
      <c r="FY45">
        <v>-29.6875</v>
      </c>
      <c r="FZ45">
        <v>20</v>
      </c>
      <c r="GA45">
        <v>-0.5625</v>
      </c>
      <c r="GB45">
        <v>10</v>
      </c>
      <c r="GC45">
        <v>11</v>
      </c>
      <c r="GD45">
        <v>7</v>
      </c>
      <c r="GE45">
        <v>1.2062499999999998</v>
      </c>
      <c r="GF45">
        <v>19</v>
      </c>
      <c r="GG45">
        <v>-2.8125</v>
      </c>
      <c r="GH45">
        <v>7</v>
      </c>
      <c r="GI45">
        <v>0.75</v>
      </c>
      <c r="GJ45">
        <v>25</v>
      </c>
      <c r="GK45">
        <v>25</v>
      </c>
      <c r="GL45">
        <v>30</v>
      </c>
      <c r="GM45">
        <v>-4.7937499999999993</v>
      </c>
      <c r="GN45">
        <v>30</v>
      </c>
      <c r="GO45">
        <v>-26.0625</v>
      </c>
      <c r="GP45">
        <v>15</v>
      </c>
      <c r="GQ45">
        <v>-0.1875</v>
      </c>
      <c r="GR45">
        <v>11</v>
      </c>
      <c r="GS45">
        <v>13.666666666666666</v>
      </c>
      <c r="GT45">
        <v>16</v>
      </c>
      <c r="GU45">
        <v>-0.85624999999999929</v>
      </c>
      <c r="GV45">
        <v>-2.9375</v>
      </c>
      <c r="GW45">
        <v>0.9375</v>
      </c>
      <c r="GX45">
        <v>24</v>
      </c>
      <c r="GY45">
        <v>24.5</v>
      </c>
      <c r="GZ45">
        <v>27</v>
      </c>
      <c r="HA45">
        <v>-1.9375</v>
      </c>
      <c r="HB45">
        <v>22</v>
      </c>
      <c r="HC45">
        <v>-0.4375</v>
      </c>
      <c r="HD45">
        <v>-3.25</v>
      </c>
      <c r="HE45">
        <v>8</v>
      </c>
      <c r="HF45">
        <v>10.75</v>
      </c>
      <c r="HG45">
        <v>19</v>
      </c>
      <c r="HH45">
        <v>-8.9630822151520462E-3</v>
      </c>
      <c r="HI45">
        <v>12</v>
      </c>
      <c r="HJ45">
        <v>6.9900753705203576E-3</v>
      </c>
      <c r="HK45">
        <v>7</v>
      </c>
      <c r="HL45">
        <v>-7.0532663823104996E-2</v>
      </c>
      <c r="HM45">
        <v>5</v>
      </c>
      <c r="HN45">
        <v>3.25</v>
      </c>
      <c r="HO45">
        <v>3.1875</v>
      </c>
      <c r="HP45">
        <v>-5.9375</v>
      </c>
      <c r="HQ45">
        <v>-0.4375</v>
      </c>
      <c r="HR45">
        <v>-5.625</v>
      </c>
      <c r="HS45">
        <v>-31.8125</v>
      </c>
      <c r="HT45">
        <v>22.5625</v>
      </c>
      <c r="HU45">
        <v>0.6875</v>
      </c>
      <c r="HV45">
        <v>2.9375</v>
      </c>
      <c r="HW45">
        <v>26</v>
      </c>
      <c r="HX45">
        <v>-5.0187500000000007</v>
      </c>
      <c r="HY45">
        <v>-2.7625000000000002</v>
      </c>
      <c r="HZ45">
        <v>-54.375</v>
      </c>
      <c r="IA45">
        <v>7</v>
      </c>
      <c r="IB45">
        <v>-0.92421874999999976</v>
      </c>
      <c r="IC45">
        <v>1.1875</v>
      </c>
    </row>
    <row r="46" spans="1:237" x14ac:dyDescent="0.2">
      <c r="A46" s="19">
        <v>44115</v>
      </c>
      <c r="B46" s="13" t="s">
        <v>381</v>
      </c>
      <c r="C46" s="41" t="s">
        <v>287</v>
      </c>
      <c r="D46" s="14" t="s">
        <v>307</v>
      </c>
      <c r="E46">
        <v>10.9</v>
      </c>
      <c r="F46">
        <v>30.9</v>
      </c>
      <c r="G46">
        <v>5.5</v>
      </c>
      <c r="H46">
        <v>12.3</v>
      </c>
      <c r="I46">
        <v>7</v>
      </c>
      <c r="J46">
        <v>49</v>
      </c>
      <c r="L46" t="s">
        <v>287</v>
      </c>
      <c r="M46">
        <v>7</v>
      </c>
      <c r="N46">
        <v>2.2799999999999994</v>
      </c>
      <c r="O46">
        <v>14</v>
      </c>
      <c r="P46">
        <v>14.25</v>
      </c>
      <c r="Q46">
        <v>19</v>
      </c>
      <c r="R46">
        <v>-1.9500000000000011</v>
      </c>
      <c r="S46">
        <v>3</v>
      </c>
      <c r="T46">
        <v>4.25</v>
      </c>
      <c r="U46">
        <v>11</v>
      </c>
      <c r="V46">
        <v>11.0625</v>
      </c>
      <c r="W46">
        <v>24</v>
      </c>
      <c r="X46">
        <v>-0.75</v>
      </c>
      <c r="Y46">
        <v>19</v>
      </c>
      <c r="Z46">
        <v>18</v>
      </c>
      <c r="AA46">
        <v>21</v>
      </c>
      <c r="AB46">
        <v>-2.1375000000000011</v>
      </c>
      <c r="AC46">
        <v>20</v>
      </c>
      <c r="AD46">
        <v>-1.1875</v>
      </c>
      <c r="AE46">
        <v>15</v>
      </c>
      <c r="AF46">
        <v>-0.625</v>
      </c>
      <c r="AG46">
        <v>18</v>
      </c>
      <c r="AH46">
        <v>-0.25</v>
      </c>
      <c r="AI46">
        <v>9</v>
      </c>
      <c r="AJ46">
        <v>12.666666666666666</v>
      </c>
      <c r="AK46">
        <v>14</v>
      </c>
      <c r="AL46">
        <v>0.1875</v>
      </c>
      <c r="AM46">
        <v>2</v>
      </c>
      <c r="AN46">
        <v>5.4375</v>
      </c>
      <c r="AO46">
        <v>4</v>
      </c>
      <c r="AP46">
        <v>11.6875</v>
      </c>
      <c r="AQ46">
        <v>20</v>
      </c>
      <c r="AR46">
        <v>-0.5</v>
      </c>
      <c r="AS46">
        <v>11</v>
      </c>
      <c r="AT46">
        <v>11</v>
      </c>
      <c r="AU46">
        <v>13</v>
      </c>
      <c r="AV46">
        <v>1.4562500000000007</v>
      </c>
      <c r="AW46">
        <v>9</v>
      </c>
      <c r="AX46">
        <v>16.6875</v>
      </c>
      <c r="AY46">
        <v>11</v>
      </c>
      <c r="AZ46">
        <v>1.0625</v>
      </c>
      <c r="BA46">
        <v>7</v>
      </c>
      <c r="BB46">
        <v>7.333333333333333</v>
      </c>
      <c r="BC46">
        <v>13</v>
      </c>
      <c r="BD46">
        <v>2.1500000000000004</v>
      </c>
      <c r="BE46">
        <v>8</v>
      </c>
      <c r="BF46">
        <v>12.4375</v>
      </c>
      <c r="BG46">
        <v>1</v>
      </c>
      <c r="BH46">
        <v>3.1875</v>
      </c>
      <c r="BI46">
        <v>19</v>
      </c>
      <c r="BJ46">
        <v>18.333333333333332</v>
      </c>
      <c r="BK46">
        <v>20</v>
      </c>
      <c r="BL46">
        <v>-1.5624999999999996</v>
      </c>
      <c r="BM46">
        <v>11</v>
      </c>
      <c r="BN46">
        <v>4.6875</v>
      </c>
      <c r="BO46">
        <v>24</v>
      </c>
      <c r="BP46">
        <v>-0.4375</v>
      </c>
      <c r="BQ46">
        <v>17</v>
      </c>
      <c r="BR46">
        <v>19</v>
      </c>
      <c r="BS46">
        <v>12</v>
      </c>
      <c r="BT46">
        <v>0.86875000000000002</v>
      </c>
      <c r="BU46">
        <v>16</v>
      </c>
      <c r="BV46">
        <v>-0.4375</v>
      </c>
      <c r="BW46">
        <v>29</v>
      </c>
      <c r="BX46">
        <v>-1.6875</v>
      </c>
      <c r="BY46">
        <v>21</v>
      </c>
      <c r="BZ46">
        <v>21.333333333333332</v>
      </c>
      <c r="CA46">
        <v>18</v>
      </c>
      <c r="CB46">
        <v>-1.0000000000000004</v>
      </c>
      <c r="CC46">
        <v>17</v>
      </c>
      <c r="CD46">
        <v>-2.5</v>
      </c>
      <c r="CE46">
        <v>29</v>
      </c>
      <c r="CF46">
        <v>-2.0625</v>
      </c>
      <c r="CG46">
        <v>7</v>
      </c>
      <c r="CH46">
        <v>7</v>
      </c>
      <c r="CI46">
        <v>7</v>
      </c>
      <c r="CJ46">
        <v>2.8062500000000004</v>
      </c>
      <c r="CK46">
        <v>21.1875</v>
      </c>
      <c r="CL46">
        <v>0.8125</v>
      </c>
      <c r="CM46">
        <v>9</v>
      </c>
      <c r="CN46">
        <v>10</v>
      </c>
      <c r="CO46">
        <v>15</v>
      </c>
      <c r="CP46">
        <v>0.3125</v>
      </c>
      <c r="CQ46">
        <v>5</v>
      </c>
      <c r="CR46">
        <v>0.5</v>
      </c>
      <c r="CS46">
        <v>0.125</v>
      </c>
      <c r="CT46">
        <v>20</v>
      </c>
      <c r="CU46">
        <v>18.5</v>
      </c>
      <c r="CV46">
        <v>3</v>
      </c>
      <c r="CW46">
        <v>8.978002298402929E-2</v>
      </c>
      <c r="CX46">
        <v>25</v>
      </c>
      <c r="CY46">
        <v>-1.0662077509187176E-2</v>
      </c>
      <c r="CZ46">
        <v>27</v>
      </c>
      <c r="DA46">
        <v>9.1441065062388582E-2</v>
      </c>
      <c r="DB46">
        <v>19</v>
      </c>
      <c r="DC46">
        <v>-0.375</v>
      </c>
      <c r="DD46">
        <v>3.0625</v>
      </c>
      <c r="DE46">
        <v>-2.375</v>
      </c>
      <c r="DF46">
        <v>0.4375</v>
      </c>
      <c r="DG46">
        <v>41.8125</v>
      </c>
      <c r="DH46">
        <v>43.6875</v>
      </c>
      <c r="DI46">
        <v>9.3125</v>
      </c>
      <c r="DJ46">
        <v>-1.75</v>
      </c>
      <c r="DK46">
        <v>-9.4375</v>
      </c>
      <c r="DL46">
        <v>8</v>
      </c>
      <c r="DM46">
        <v>4.2300000000000004</v>
      </c>
      <c r="DN46">
        <v>2.2835000000000005</v>
      </c>
      <c r="DO46">
        <v>34.375</v>
      </c>
      <c r="DP46">
        <v>25</v>
      </c>
      <c r="DQ46">
        <v>0.61312499999999992</v>
      </c>
      <c r="DR46">
        <v>1.875</v>
      </c>
      <c r="DS46">
        <v>-0.75164062500000006</v>
      </c>
      <c r="DT46">
        <v>-0.56812499999999977</v>
      </c>
      <c r="DU46" t="s">
        <v>307</v>
      </c>
      <c r="DV46" t="s">
        <v>269</v>
      </c>
      <c r="DW46" t="s">
        <v>457</v>
      </c>
      <c r="DX46">
        <v>15</v>
      </c>
      <c r="DY46">
        <v>0.88124999999999787</v>
      </c>
      <c r="DZ46">
        <v>30</v>
      </c>
      <c r="EA46">
        <v>25.75</v>
      </c>
      <c r="EB46">
        <v>30</v>
      </c>
      <c r="EC46">
        <v>-6.5562500000000004</v>
      </c>
      <c r="ED46">
        <v>16</v>
      </c>
      <c r="EE46">
        <v>-0.125</v>
      </c>
      <c r="EF46">
        <v>25</v>
      </c>
      <c r="EG46">
        <v>-15.875</v>
      </c>
      <c r="EH46">
        <v>32</v>
      </c>
      <c r="EI46">
        <v>-2.4375</v>
      </c>
      <c r="EJ46">
        <v>30</v>
      </c>
      <c r="EK46">
        <v>24.75</v>
      </c>
      <c r="EL46">
        <v>31</v>
      </c>
      <c r="EM46">
        <v>-5.6187500000000004</v>
      </c>
      <c r="EN46">
        <v>9</v>
      </c>
      <c r="EO46">
        <v>1.1875</v>
      </c>
      <c r="EP46">
        <v>27</v>
      </c>
      <c r="EQ46">
        <v>-12.9375</v>
      </c>
      <c r="ER46">
        <v>32</v>
      </c>
      <c r="ES46">
        <v>-1.5</v>
      </c>
      <c r="ET46">
        <v>23</v>
      </c>
      <c r="EU46">
        <v>22</v>
      </c>
      <c r="EV46">
        <v>22</v>
      </c>
      <c r="EW46">
        <v>-0.9375</v>
      </c>
      <c r="EX46">
        <v>25</v>
      </c>
      <c r="EY46">
        <v>-1.3125</v>
      </c>
      <c r="EZ46">
        <v>19</v>
      </c>
      <c r="FA46">
        <v>-2.9375</v>
      </c>
      <c r="FB46">
        <v>29</v>
      </c>
      <c r="FC46">
        <v>-0.9375</v>
      </c>
      <c r="FD46">
        <v>30</v>
      </c>
      <c r="FE46">
        <v>29</v>
      </c>
      <c r="FF46">
        <v>28</v>
      </c>
      <c r="FG46">
        <v>-6.137500000000002</v>
      </c>
      <c r="FH46">
        <v>27</v>
      </c>
      <c r="FI46">
        <v>-23.9375</v>
      </c>
      <c r="FJ46">
        <v>32</v>
      </c>
      <c r="FK46">
        <v>-3.0625</v>
      </c>
      <c r="FL46">
        <v>20</v>
      </c>
      <c r="FM46">
        <v>20.666666666666668</v>
      </c>
      <c r="FN46">
        <v>20</v>
      </c>
      <c r="FO46">
        <v>-1.881250000000001</v>
      </c>
      <c r="FP46">
        <v>14</v>
      </c>
      <c r="FQ46">
        <v>0.375</v>
      </c>
      <c r="FR46">
        <v>28</v>
      </c>
      <c r="FS46">
        <v>-1.1875</v>
      </c>
      <c r="FT46">
        <v>29</v>
      </c>
      <c r="FU46">
        <v>27.666666666666668</v>
      </c>
      <c r="FV46">
        <v>28</v>
      </c>
      <c r="FW46">
        <v>-3.3062500000000004</v>
      </c>
      <c r="FX46">
        <v>28</v>
      </c>
      <c r="FY46">
        <v>-20.5625</v>
      </c>
      <c r="FZ46">
        <v>27</v>
      </c>
      <c r="GA46">
        <v>-1.1875</v>
      </c>
      <c r="GB46">
        <v>22</v>
      </c>
      <c r="GC46">
        <v>20.666666666666668</v>
      </c>
      <c r="GD46">
        <v>21</v>
      </c>
      <c r="GE46">
        <v>-0.95</v>
      </c>
      <c r="GF46">
        <v>20</v>
      </c>
      <c r="GG46">
        <v>-3.75</v>
      </c>
      <c r="GH46">
        <v>21</v>
      </c>
      <c r="GI46">
        <v>-0.6875</v>
      </c>
      <c r="GJ46">
        <v>28</v>
      </c>
      <c r="GK46">
        <v>27.333333333333332</v>
      </c>
      <c r="GL46">
        <v>29</v>
      </c>
      <c r="GM46">
        <v>-4.6124999999999989</v>
      </c>
      <c r="GN46">
        <v>29</v>
      </c>
      <c r="GO46">
        <v>-18</v>
      </c>
      <c r="GP46">
        <v>24</v>
      </c>
      <c r="GQ46">
        <v>-0.875</v>
      </c>
      <c r="GR46">
        <v>8</v>
      </c>
      <c r="GS46">
        <v>8.6666666666666661</v>
      </c>
      <c r="GT46">
        <v>6</v>
      </c>
      <c r="GU46">
        <v>4.7687499999999998</v>
      </c>
      <c r="GV46">
        <v>2.6875</v>
      </c>
      <c r="GW46">
        <v>1.625</v>
      </c>
      <c r="GX46">
        <v>20</v>
      </c>
      <c r="GY46">
        <v>20</v>
      </c>
      <c r="GZ46">
        <v>19</v>
      </c>
      <c r="HA46">
        <v>-0.4375</v>
      </c>
      <c r="HB46">
        <v>21</v>
      </c>
      <c r="HC46">
        <v>-0.375</v>
      </c>
      <c r="HD46">
        <v>-3.3125</v>
      </c>
      <c r="HE46">
        <v>1</v>
      </c>
      <c r="HF46">
        <v>8.75</v>
      </c>
      <c r="HG46">
        <v>3</v>
      </c>
      <c r="HH46">
        <v>8.0052089170000118E-2</v>
      </c>
      <c r="HI46">
        <v>6</v>
      </c>
      <c r="HJ46">
        <v>2.0499827085330508E-2</v>
      </c>
      <c r="HK46">
        <v>19</v>
      </c>
      <c r="HL46">
        <v>1.1235119047619035E-2</v>
      </c>
      <c r="HM46">
        <v>7</v>
      </c>
      <c r="HN46">
        <v>1.4375</v>
      </c>
      <c r="HO46">
        <v>-2.4375</v>
      </c>
      <c r="HP46">
        <v>1.3125</v>
      </c>
      <c r="HQ46">
        <v>-0.6875</v>
      </c>
      <c r="HR46">
        <v>-43.8125</v>
      </c>
      <c r="HS46">
        <v>-25</v>
      </c>
      <c r="HT46">
        <v>-22.1875</v>
      </c>
      <c r="HU46">
        <v>-0.9375</v>
      </c>
      <c r="HV46">
        <v>4.3125</v>
      </c>
      <c r="HW46">
        <v>3</v>
      </c>
      <c r="HX46">
        <v>7.4374999999999982</v>
      </c>
      <c r="HY46">
        <v>3.1806249999999991</v>
      </c>
      <c r="HZ46">
        <v>-2.8125</v>
      </c>
      <c r="IA46">
        <v>30</v>
      </c>
      <c r="IB46">
        <v>-0.93515625000000047</v>
      </c>
      <c r="IC46">
        <v>-1.4375</v>
      </c>
    </row>
    <row r="47" spans="1:237" x14ac:dyDescent="0.2">
      <c r="A47" s="19">
        <v>44115</v>
      </c>
      <c r="B47" s="13" t="s">
        <v>381</v>
      </c>
      <c r="C47" s="41" t="s">
        <v>304</v>
      </c>
      <c r="D47" s="14" t="s">
        <v>306</v>
      </c>
      <c r="E47">
        <v>17.100000000000001</v>
      </c>
      <c r="F47">
        <v>11.6</v>
      </c>
      <c r="G47">
        <v>6.6</v>
      </c>
      <c r="H47">
        <v>13</v>
      </c>
      <c r="I47">
        <v>-7</v>
      </c>
      <c r="J47">
        <v>45</v>
      </c>
      <c r="K47" t="s">
        <v>735</v>
      </c>
      <c r="L47" t="s">
        <v>304</v>
      </c>
      <c r="M47">
        <v>26</v>
      </c>
      <c r="N47">
        <v>-3.1850000000000014</v>
      </c>
      <c r="O47">
        <v>4</v>
      </c>
      <c r="P47">
        <v>8.25</v>
      </c>
      <c r="Q47">
        <v>9</v>
      </c>
      <c r="R47">
        <v>2.237499999999998</v>
      </c>
      <c r="S47">
        <v>6</v>
      </c>
      <c r="T47">
        <v>3.9375</v>
      </c>
      <c r="U47">
        <v>3</v>
      </c>
      <c r="V47">
        <v>26.75</v>
      </c>
      <c r="W47">
        <v>15</v>
      </c>
      <c r="X47">
        <v>6.25E-2</v>
      </c>
      <c r="Y47">
        <v>3</v>
      </c>
      <c r="Z47">
        <v>6.666666666666667</v>
      </c>
      <c r="AA47">
        <v>6</v>
      </c>
      <c r="AB47">
        <v>4.3937499999999989</v>
      </c>
      <c r="AC47">
        <v>11</v>
      </c>
      <c r="AD47">
        <v>0.375</v>
      </c>
      <c r="AE47">
        <v>7</v>
      </c>
      <c r="AF47">
        <v>16.5</v>
      </c>
      <c r="AG47">
        <v>7</v>
      </c>
      <c r="AH47">
        <v>0.75</v>
      </c>
      <c r="AI47">
        <v>20</v>
      </c>
      <c r="AJ47">
        <v>17.666666666666668</v>
      </c>
      <c r="AK47">
        <v>25</v>
      </c>
      <c r="AL47">
        <v>-2.1562500000000009</v>
      </c>
      <c r="AM47">
        <v>4</v>
      </c>
      <c r="AN47">
        <v>3.5625</v>
      </c>
      <c r="AO47">
        <v>5</v>
      </c>
      <c r="AP47">
        <v>10.25</v>
      </c>
      <c r="AQ47">
        <v>23</v>
      </c>
      <c r="AR47">
        <v>-0.6875</v>
      </c>
      <c r="AS47">
        <v>17</v>
      </c>
      <c r="AT47">
        <v>14.666666666666666</v>
      </c>
      <c r="AU47">
        <v>16</v>
      </c>
      <c r="AV47">
        <v>-0.23000000000000353</v>
      </c>
      <c r="AW47">
        <v>7</v>
      </c>
      <c r="AX47">
        <v>19.8125</v>
      </c>
      <c r="AY47">
        <v>21</v>
      </c>
      <c r="AZ47">
        <v>-0.8125</v>
      </c>
      <c r="BA47">
        <v>24</v>
      </c>
      <c r="BB47">
        <v>24</v>
      </c>
      <c r="BC47">
        <v>25</v>
      </c>
      <c r="BD47">
        <v>-3.1187500000000017</v>
      </c>
      <c r="BE47">
        <v>21</v>
      </c>
      <c r="BF47">
        <v>-7.625</v>
      </c>
      <c r="BG47">
        <v>26</v>
      </c>
      <c r="BH47">
        <v>-1.5</v>
      </c>
      <c r="BI47">
        <v>5</v>
      </c>
      <c r="BJ47">
        <v>6.666666666666667</v>
      </c>
      <c r="BK47">
        <v>6</v>
      </c>
      <c r="BL47">
        <v>3.4512499999999982</v>
      </c>
      <c r="BM47">
        <v>8</v>
      </c>
      <c r="BN47">
        <v>15.375</v>
      </c>
      <c r="BO47">
        <v>6</v>
      </c>
      <c r="BP47">
        <v>0.6875</v>
      </c>
      <c r="BQ47">
        <v>13</v>
      </c>
      <c r="BR47">
        <v>13.333333333333334</v>
      </c>
      <c r="BS47">
        <v>16</v>
      </c>
      <c r="BT47">
        <v>-0.5625</v>
      </c>
      <c r="BU47">
        <v>6</v>
      </c>
      <c r="BV47">
        <v>12.0625</v>
      </c>
      <c r="BW47">
        <v>18</v>
      </c>
      <c r="BX47">
        <v>0</v>
      </c>
      <c r="BY47">
        <v>18</v>
      </c>
      <c r="BZ47">
        <v>18.666666666666668</v>
      </c>
      <c r="CA47">
        <v>15</v>
      </c>
      <c r="CB47">
        <v>8.7500000000001243E-2</v>
      </c>
      <c r="CC47">
        <v>15</v>
      </c>
      <c r="CD47">
        <v>-0.375</v>
      </c>
      <c r="CE47">
        <v>26</v>
      </c>
      <c r="CF47">
        <v>-1.625</v>
      </c>
      <c r="CG47">
        <v>27</v>
      </c>
      <c r="CH47">
        <v>25.666666666666668</v>
      </c>
      <c r="CI47">
        <v>20</v>
      </c>
      <c r="CJ47">
        <v>-1.3437500000000004</v>
      </c>
      <c r="CK47">
        <v>-14.8125</v>
      </c>
      <c r="CL47">
        <v>-2.5</v>
      </c>
      <c r="CM47">
        <v>29</v>
      </c>
      <c r="CN47">
        <v>28</v>
      </c>
      <c r="CO47">
        <v>31</v>
      </c>
      <c r="CP47">
        <v>-2.4375</v>
      </c>
      <c r="CQ47">
        <v>25</v>
      </c>
      <c r="CR47">
        <v>-0.3125</v>
      </c>
      <c r="CS47">
        <v>-0.5625</v>
      </c>
      <c r="CT47">
        <v>23</v>
      </c>
      <c r="CU47">
        <v>19</v>
      </c>
      <c r="CV47">
        <v>20</v>
      </c>
      <c r="CW47">
        <v>-2.4494778926731187E-2</v>
      </c>
      <c r="CX47">
        <v>29</v>
      </c>
      <c r="CY47">
        <v>-2.3214282953531989E-2</v>
      </c>
      <c r="CZ47">
        <v>7</v>
      </c>
      <c r="DA47">
        <v>-8.2961309523809534E-2</v>
      </c>
      <c r="DB47">
        <v>20</v>
      </c>
      <c r="DC47">
        <v>-0.5</v>
      </c>
      <c r="DD47">
        <v>-1.25</v>
      </c>
      <c r="DE47">
        <v>-1.4375</v>
      </c>
      <c r="DF47">
        <v>-0.125</v>
      </c>
      <c r="DG47">
        <v>20.1875</v>
      </c>
      <c r="DH47">
        <v>-0.5625</v>
      </c>
      <c r="DI47">
        <v>19.375</v>
      </c>
      <c r="DJ47">
        <v>3.625</v>
      </c>
      <c r="DK47">
        <v>-2.25</v>
      </c>
      <c r="DL47">
        <v>24</v>
      </c>
      <c r="DM47">
        <v>-5.4224999999999994</v>
      </c>
      <c r="DN47">
        <v>-2.0705</v>
      </c>
      <c r="DO47">
        <v>-19.9375</v>
      </c>
      <c r="DP47">
        <v>9</v>
      </c>
      <c r="DQ47">
        <v>-0.61984375000000091</v>
      </c>
      <c r="DR47">
        <v>-3.3125</v>
      </c>
      <c r="DS47">
        <v>-0.49812499999999993</v>
      </c>
      <c r="DT47">
        <v>-1.1754687499999998</v>
      </c>
      <c r="DU47" t="s">
        <v>306</v>
      </c>
      <c r="DV47" t="s">
        <v>283</v>
      </c>
      <c r="DW47" t="s">
        <v>454</v>
      </c>
      <c r="DX47">
        <v>12</v>
      </c>
      <c r="DY47">
        <v>1.6887499999999989</v>
      </c>
      <c r="DZ47">
        <v>17</v>
      </c>
      <c r="EA47">
        <v>17</v>
      </c>
      <c r="EB47">
        <v>20</v>
      </c>
      <c r="EC47">
        <v>-1.0750000000000002</v>
      </c>
      <c r="ED47">
        <v>9</v>
      </c>
      <c r="EE47">
        <v>1.6875</v>
      </c>
      <c r="EF47">
        <v>17</v>
      </c>
      <c r="EG47">
        <v>-6.375</v>
      </c>
      <c r="EH47">
        <v>22</v>
      </c>
      <c r="EI47">
        <v>-0.625</v>
      </c>
      <c r="EJ47">
        <v>13</v>
      </c>
      <c r="EK47">
        <v>15</v>
      </c>
      <c r="EL47">
        <v>11</v>
      </c>
      <c r="EM47">
        <v>1.3062500000000004</v>
      </c>
      <c r="EN47">
        <v>13</v>
      </c>
      <c r="EO47">
        <v>6.25E-2</v>
      </c>
      <c r="EP47">
        <v>14</v>
      </c>
      <c r="EQ47">
        <v>1</v>
      </c>
      <c r="ER47">
        <v>22</v>
      </c>
      <c r="ES47">
        <v>-0.5625</v>
      </c>
      <c r="ET47">
        <v>21</v>
      </c>
      <c r="EU47">
        <v>20.666666666666668</v>
      </c>
      <c r="EV47">
        <v>29</v>
      </c>
      <c r="EW47">
        <v>-2.3812500000000005</v>
      </c>
      <c r="EX47">
        <v>6</v>
      </c>
      <c r="EY47">
        <v>1.625</v>
      </c>
      <c r="EZ47">
        <v>27</v>
      </c>
      <c r="FA47">
        <v>-7.375</v>
      </c>
      <c r="FB47">
        <v>18</v>
      </c>
      <c r="FC47">
        <v>-6.25E-2</v>
      </c>
      <c r="FD47">
        <v>13</v>
      </c>
      <c r="FE47">
        <v>15</v>
      </c>
      <c r="FF47">
        <v>22</v>
      </c>
      <c r="FG47">
        <v>-4.18</v>
      </c>
      <c r="FH47">
        <v>9</v>
      </c>
      <c r="FI47">
        <v>8</v>
      </c>
      <c r="FJ47">
        <v>14</v>
      </c>
      <c r="FK47">
        <v>0</v>
      </c>
      <c r="FL47">
        <v>26</v>
      </c>
      <c r="FM47">
        <v>23.666666666666668</v>
      </c>
      <c r="FN47">
        <v>28</v>
      </c>
      <c r="FO47">
        <v>-3.2874999999999992</v>
      </c>
      <c r="FP47">
        <v>18</v>
      </c>
      <c r="FQ47">
        <v>-3.6875</v>
      </c>
      <c r="FR47">
        <v>25</v>
      </c>
      <c r="FS47">
        <v>-0.9375</v>
      </c>
      <c r="FT47">
        <v>18</v>
      </c>
      <c r="FU47">
        <v>16.666666666666668</v>
      </c>
      <c r="FV47">
        <v>22</v>
      </c>
      <c r="FW47">
        <v>-2.0425</v>
      </c>
      <c r="FX47">
        <v>20</v>
      </c>
      <c r="FY47">
        <v>-2.375</v>
      </c>
      <c r="FZ47">
        <v>8</v>
      </c>
      <c r="GA47">
        <v>0.8125</v>
      </c>
      <c r="GB47">
        <v>7</v>
      </c>
      <c r="GC47">
        <v>8.6666666666666661</v>
      </c>
      <c r="GD47">
        <v>8</v>
      </c>
      <c r="GE47">
        <v>1.1499999999999999</v>
      </c>
      <c r="GF47">
        <v>3</v>
      </c>
      <c r="GG47">
        <v>14.0625</v>
      </c>
      <c r="GH47">
        <v>15</v>
      </c>
      <c r="GI47">
        <v>0.125</v>
      </c>
      <c r="GJ47">
        <v>12</v>
      </c>
      <c r="GK47">
        <v>13</v>
      </c>
      <c r="GL47">
        <v>9</v>
      </c>
      <c r="GM47">
        <v>1.4187500000000006</v>
      </c>
      <c r="GN47">
        <v>16</v>
      </c>
      <c r="GO47">
        <v>-3.3125</v>
      </c>
      <c r="GP47">
        <v>14</v>
      </c>
      <c r="GQ47">
        <v>-6.25E-2</v>
      </c>
      <c r="GR47">
        <v>9</v>
      </c>
      <c r="GS47">
        <v>10.333333333333334</v>
      </c>
      <c r="GT47">
        <v>7</v>
      </c>
      <c r="GU47">
        <v>4.0625000000000009</v>
      </c>
      <c r="GV47">
        <v>12.125</v>
      </c>
      <c r="GW47">
        <v>-6.25E-2</v>
      </c>
      <c r="GX47">
        <v>11</v>
      </c>
      <c r="GY47">
        <v>11</v>
      </c>
      <c r="GZ47">
        <v>11</v>
      </c>
      <c r="HA47">
        <v>0.9375</v>
      </c>
      <c r="HB47">
        <v>11</v>
      </c>
      <c r="HC47">
        <v>0.3125</v>
      </c>
      <c r="HD47">
        <v>0.75</v>
      </c>
      <c r="HE47">
        <v>2</v>
      </c>
      <c r="HF47">
        <v>9</v>
      </c>
      <c r="HG47">
        <v>4</v>
      </c>
      <c r="HH47">
        <v>4.6790291071448192E-2</v>
      </c>
      <c r="HI47">
        <v>3</v>
      </c>
      <c r="HJ47">
        <v>2.5411387198352391E-2</v>
      </c>
      <c r="HK47">
        <v>20</v>
      </c>
      <c r="HL47">
        <v>1.778048340548341E-2</v>
      </c>
      <c r="HM47">
        <v>9</v>
      </c>
      <c r="HN47">
        <v>1.0625</v>
      </c>
      <c r="HO47">
        <v>-0.6875</v>
      </c>
      <c r="HP47">
        <v>2.5625</v>
      </c>
      <c r="HQ47">
        <v>-1.3125</v>
      </c>
      <c r="HR47">
        <v>-8.875</v>
      </c>
      <c r="HS47">
        <v>16.5</v>
      </c>
      <c r="HT47">
        <v>-13.4375</v>
      </c>
      <c r="HU47">
        <v>-2.6875</v>
      </c>
      <c r="HV47">
        <v>-9.25</v>
      </c>
      <c r="HW47">
        <v>13</v>
      </c>
      <c r="HX47">
        <v>2.763749999999999</v>
      </c>
      <c r="HY47">
        <v>0.85175000000000023</v>
      </c>
      <c r="HZ47">
        <v>29.9375</v>
      </c>
      <c r="IA47">
        <v>20</v>
      </c>
      <c r="IB47">
        <v>0.17921875000000004</v>
      </c>
      <c r="IC47">
        <v>-6.25E-2</v>
      </c>
    </row>
    <row r="48" spans="1:237" x14ac:dyDescent="0.2">
      <c r="A48" s="19">
        <v>44115</v>
      </c>
      <c r="B48" s="13" t="s">
        <v>381</v>
      </c>
      <c r="C48" s="41" t="s">
        <v>293</v>
      </c>
      <c r="D48" s="14" t="s">
        <v>256</v>
      </c>
      <c r="E48">
        <v>13</v>
      </c>
      <c r="F48">
        <v>23.6</v>
      </c>
      <c r="G48">
        <v>4.3</v>
      </c>
      <c r="H48">
        <v>14.1</v>
      </c>
      <c r="I48">
        <v>8.5</v>
      </c>
      <c r="J48">
        <v>50.5</v>
      </c>
      <c r="K48" t="s">
        <v>735</v>
      </c>
      <c r="L48" t="s">
        <v>293</v>
      </c>
      <c r="M48">
        <v>24</v>
      </c>
      <c r="N48">
        <v>-2.1149999999999989</v>
      </c>
      <c r="O48">
        <v>24</v>
      </c>
      <c r="P48">
        <v>21.5</v>
      </c>
      <c r="Q48">
        <v>18</v>
      </c>
      <c r="R48">
        <v>-1.4812500000000006</v>
      </c>
      <c r="S48">
        <v>20</v>
      </c>
      <c r="T48">
        <v>-1.25</v>
      </c>
      <c r="U48">
        <v>24</v>
      </c>
      <c r="V48">
        <v>-15.6875</v>
      </c>
      <c r="W48">
        <v>24</v>
      </c>
      <c r="X48">
        <v>-0.75</v>
      </c>
      <c r="Y48">
        <v>20</v>
      </c>
      <c r="Z48">
        <v>20</v>
      </c>
      <c r="AA48">
        <v>24</v>
      </c>
      <c r="AB48">
        <v>-2.9250000000000003</v>
      </c>
      <c r="AC48">
        <v>29</v>
      </c>
      <c r="AD48">
        <v>-2.375</v>
      </c>
      <c r="AE48">
        <v>25</v>
      </c>
      <c r="AF48">
        <v>-11.1875</v>
      </c>
      <c r="AG48">
        <v>11</v>
      </c>
      <c r="AH48">
        <v>0.5</v>
      </c>
      <c r="AI48">
        <v>23</v>
      </c>
      <c r="AJ48">
        <v>19.333333333333332</v>
      </c>
      <c r="AK48">
        <v>9</v>
      </c>
      <c r="AL48">
        <v>1.4437499999999996</v>
      </c>
      <c r="AM48">
        <v>8</v>
      </c>
      <c r="AN48">
        <v>1.125</v>
      </c>
      <c r="AO48">
        <v>18</v>
      </c>
      <c r="AP48">
        <v>-4.5</v>
      </c>
      <c r="AQ48">
        <v>31</v>
      </c>
      <c r="AR48">
        <v>-1.25</v>
      </c>
      <c r="AS48">
        <v>32</v>
      </c>
      <c r="AT48">
        <v>30.666666666666668</v>
      </c>
      <c r="AU48">
        <v>32</v>
      </c>
      <c r="AV48">
        <v>-12.393750000000001</v>
      </c>
      <c r="AW48">
        <v>32</v>
      </c>
      <c r="AX48">
        <v>-55.9375</v>
      </c>
      <c r="AY48">
        <v>28</v>
      </c>
      <c r="AZ48">
        <v>-3.3125</v>
      </c>
      <c r="BA48">
        <v>26</v>
      </c>
      <c r="BB48">
        <v>24.666666666666668</v>
      </c>
      <c r="BC48">
        <v>23</v>
      </c>
      <c r="BD48">
        <v>-2.8687499999999999</v>
      </c>
      <c r="BE48">
        <v>28</v>
      </c>
      <c r="BF48">
        <v>-15.9375</v>
      </c>
      <c r="BG48">
        <v>23</v>
      </c>
      <c r="BH48">
        <v>-1.25</v>
      </c>
      <c r="BI48">
        <v>30</v>
      </c>
      <c r="BJ48">
        <v>26.666666666666668</v>
      </c>
      <c r="BK48">
        <v>31</v>
      </c>
      <c r="BL48">
        <v>-4.8062499999999995</v>
      </c>
      <c r="BM48">
        <v>28</v>
      </c>
      <c r="BN48">
        <v>-17.625</v>
      </c>
      <c r="BO48">
        <v>21</v>
      </c>
      <c r="BP48">
        <v>-0.25</v>
      </c>
      <c r="BQ48">
        <v>32</v>
      </c>
      <c r="BR48">
        <v>31</v>
      </c>
      <c r="BS48">
        <v>32</v>
      </c>
      <c r="BT48">
        <v>-4.7187500000000009</v>
      </c>
      <c r="BU48">
        <v>31</v>
      </c>
      <c r="BV48">
        <v>-22.375</v>
      </c>
      <c r="BW48">
        <v>30</v>
      </c>
      <c r="BX48">
        <v>-1.8125</v>
      </c>
      <c r="BY48">
        <v>31</v>
      </c>
      <c r="BZ48">
        <v>28.333333333333332</v>
      </c>
      <c r="CA48">
        <v>29</v>
      </c>
      <c r="CB48">
        <v>-5.6437500000000007</v>
      </c>
      <c r="CC48">
        <v>32</v>
      </c>
      <c r="CD48">
        <v>-40.8125</v>
      </c>
      <c r="CE48">
        <v>24</v>
      </c>
      <c r="CF48">
        <v>-1.25</v>
      </c>
      <c r="CG48">
        <v>10</v>
      </c>
      <c r="CH48">
        <v>11.333333333333334</v>
      </c>
      <c r="CI48">
        <v>8</v>
      </c>
      <c r="CJ48">
        <v>2.1937500000000005</v>
      </c>
      <c r="CK48">
        <v>2.5625</v>
      </c>
      <c r="CL48">
        <v>0.4375</v>
      </c>
      <c r="CM48">
        <v>9</v>
      </c>
      <c r="CN48">
        <v>10</v>
      </c>
      <c r="CO48">
        <v>7</v>
      </c>
      <c r="CP48">
        <v>1.125</v>
      </c>
      <c r="CQ48">
        <v>13</v>
      </c>
      <c r="CR48">
        <v>6.25E-2</v>
      </c>
      <c r="CS48">
        <v>0.3125</v>
      </c>
      <c r="CT48">
        <v>24</v>
      </c>
      <c r="CU48">
        <v>19.25</v>
      </c>
      <c r="CV48">
        <v>16</v>
      </c>
      <c r="CW48">
        <v>-4.8216179946745374E-3</v>
      </c>
      <c r="CX48">
        <v>16</v>
      </c>
      <c r="CY48">
        <v>-1.6357709131438469E-4</v>
      </c>
      <c r="CZ48">
        <v>21</v>
      </c>
      <c r="DA48">
        <v>3.7008477633477643E-2</v>
      </c>
      <c r="DB48">
        <v>24</v>
      </c>
      <c r="DC48">
        <v>-1.125</v>
      </c>
      <c r="DD48">
        <v>-1.25</v>
      </c>
      <c r="DE48">
        <v>-2</v>
      </c>
      <c r="DF48">
        <v>-0.875</v>
      </c>
      <c r="DG48">
        <v>-49.6875</v>
      </c>
      <c r="DH48">
        <v>-54.4375</v>
      </c>
      <c r="DI48">
        <v>-5.75</v>
      </c>
      <c r="DJ48">
        <v>1.75</v>
      </c>
      <c r="DK48">
        <v>8.75</v>
      </c>
      <c r="DL48">
        <v>18</v>
      </c>
      <c r="DM48">
        <v>-0.63374999999999826</v>
      </c>
      <c r="DN48">
        <v>-1.7223749999999993</v>
      </c>
      <c r="DO48">
        <v>-48.6875</v>
      </c>
      <c r="DP48">
        <v>15</v>
      </c>
      <c r="DQ48">
        <v>-1.5839062499999996</v>
      </c>
      <c r="DR48">
        <v>-2.875</v>
      </c>
      <c r="DS48">
        <v>-0.89164062499999974</v>
      </c>
      <c r="DT48">
        <v>-1.0814062499999997</v>
      </c>
      <c r="DU48" t="s">
        <v>256</v>
      </c>
      <c r="DV48" t="s">
        <v>257</v>
      </c>
      <c r="DW48" t="s">
        <v>547</v>
      </c>
      <c r="DX48">
        <v>19</v>
      </c>
      <c r="DY48">
        <v>-0.69625000000000004</v>
      </c>
      <c r="DZ48">
        <v>22</v>
      </c>
      <c r="EA48">
        <v>20.25</v>
      </c>
      <c r="EB48">
        <v>22</v>
      </c>
      <c r="EC48">
        <v>-2.1687500000000002</v>
      </c>
      <c r="ED48">
        <v>20</v>
      </c>
      <c r="EE48">
        <v>-0.8125</v>
      </c>
      <c r="EF48">
        <v>18</v>
      </c>
      <c r="EG48">
        <v>-7.3125</v>
      </c>
      <c r="EH48">
        <v>21</v>
      </c>
      <c r="EI48">
        <v>-0.5</v>
      </c>
      <c r="EJ48">
        <v>26</v>
      </c>
      <c r="EK48">
        <v>21</v>
      </c>
      <c r="EL48">
        <v>20</v>
      </c>
      <c r="EM48">
        <v>-1.7062500000000003</v>
      </c>
      <c r="EN48">
        <v>22</v>
      </c>
      <c r="EO48">
        <v>-0.9375</v>
      </c>
      <c r="EP48">
        <v>18</v>
      </c>
      <c r="EQ48">
        <v>-4.5</v>
      </c>
      <c r="ER48">
        <v>24</v>
      </c>
      <c r="ES48">
        <v>-0.625</v>
      </c>
      <c r="ET48">
        <v>17</v>
      </c>
      <c r="EU48">
        <v>18</v>
      </c>
      <c r="EV48">
        <v>20</v>
      </c>
      <c r="EW48">
        <v>-0.46250000000000013</v>
      </c>
      <c r="EX48">
        <v>16</v>
      </c>
      <c r="EY48">
        <v>0.125</v>
      </c>
      <c r="EZ48">
        <v>18</v>
      </c>
      <c r="FA48">
        <v>-2.8125</v>
      </c>
      <c r="FB48">
        <v>13</v>
      </c>
      <c r="FC48">
        <v>0.125</v>
      </c>
      <c r="FD48">
        <v>9</v>
      </c>
      <c r="FE48">
        <v>10.666666666666666</v>
      </c>
      <c r="FF48">
        <v>13</v>
      </c>
      <c r="FG48">
        <v>0.22500000000000087</v>
      </c>
      <c r="FH48">
        <v>10</v>
      </c>
      <c r="FI48">
        <v>7.9375</v>
      </c>
      <c r="FJ48">
        <v>9</v>
      </c>
      <c r="FK48">
        <v>0.8125</v>
      </c>
      <c r="FL48">
        <v>11</v>
      </c>
      <c r="FM48">
        <v>13</v>
      </c>
      <c r="FN48">
        <v>16</v>
      </c>
      <c r="FO48">
        <v>-0.78124999999999867</v>
      </c>
      <c r="FP48">
        <v>13</v>
      </c>
      <c r="FQ48">
        <v>0.5625</v>
      </c>
      <c r="FR48">
        <v>10</v>
      </c>
      <c r="FS48">
        <v>0.3125</v>
      </c>
      <c r="FT48">
        <v>10</v>
      </c>
      <c r="FU48">
        <v>11.666666666666666</v>
      </c>
      <c r="FV48">
        <v>14</v>
      </c>
      <c r="FW48">
        <v>0.97499999999999964</v>
      </c>
      <c r="FX48">
        <v>8</v>
      </c>
      <c r="FY48">
        <v>10</v>
      </c>
      <c r="FZ48">
        <v>13</v>
      </c>
      <c r="GA48">
        <v>0.375</v>
      </c>
      <c r="GB48">
        <v>16</v>
      </c>
      <c r="GC48">
        <v>16</v>
      </c>
      <c r="GD48">
        <v>15</v>
      </c>
      <c r="GE48">
        <v>3.1249999999999889E-2</v>
      </c>
      <c r="GF48">
        <v>18</v>
      </c>
      <c r="GG48">
        <v>-2.625</v>
      </c>
      <c r="GH48">
        <v>15</v>
      </c>
      <c r="GI48">
        <v>0.125</v>
      </c>
      <c r="GJ48">
        <v>26</v>
      </c>
      <c r="GK48">
        <v>25.666666666666668</v>
      </c>
      <c r="GL48">
        <v>25</v>
      </c>
      <c r="GM48">
        <v>-3.5437499999999997</v>
      </c>
      <c r="GN48">
        <v>21</v>
      </c>
      <c r="GO48">
        <v>-9.8125</v>
      </c>
      <c r="GP48">
        <v>31</v>
      </c>
      <c r="GQ48">
        <v>-2</v>
      </c>
      <c r="GR48">
        <v>30</v>
      </c>
      <c r="GS48">
        <v>28.666666666666668</v>
      </c>
      <c r="GT48">
        <v>28</v>
      </c>
      <c r="GU48">
        <v>-3.2874999999999996</v>
      </c>
      <c r="GV48">
        <v>-13.625</v>
      </c>
      <c r="GW48">
        <v>-1.75</v>
      </c>
      <c r="GX48">
        <v>14</v>
      </c>
      <c r="GY48">
        <v>13.5</v>
      </c>
      <c r="GZ48">
        <v>14</v>
      </c>
      <c r="HA48">
        <v>0.3125</v>
      </c>
      <c r="HB48">
        <v>13</v>
      </c>
      <c r="HC48">
        <v>0.1875</v>
      </c>
      <c r="HD48">
        <v>1.1875</v>
      </c>
      <c r="HE48">
        <v>15</v>
      </c>
      <c r="HF48">
        <v>16</v>
      </c>
      <c r="HG48">
        <v>8</v>
      </c>
      <c r="HH48">
        <v>2.3026346025627698E-2</v>
      </c>
      <c r="HI48">
        <v>24</v>
      </c>
      <c r="HJ48">
        <v>-1.6259232653606449E-2</v>
      </c>
      <c r="HK48">
        <v>5</v>
      </c>
      <c r="HL48">
        <v>-9.8850108225108216E-2</v>
      </c>
      <c r="HM48">
        <v>27</v>
      </c>
      <c r="HN48">
        <v>-2.25</v>
      </c>
      <c r="HO48">
        <v>-3.875</v>
      </c>
      <c r="HP48">
        <v>-1.5</v>
      </c>
      <c r="HQ48">
        <v>0.875</v>
      </c>
      <c r="HR48">
        <v>-24.375</v>
      </c>
      <c r="HS48">
        <v>-26.375</v>
      </c>
      <c r="HT48">
        <v>-9.375</v>
      </c>
      <c r="HU48">
        <v>2.25</v>
      </c>
      <c r="HV48">
        <v>9.125</v>
      </c>
      <c r="HW48">
        <v>15</v>
      </c>
      <c r="HX48">
        <v>1.4725000000000001</v>
      </c>
      <c r="HY48">
        <v>0.33262500000000039</v>
      </c>
      <c r="HZ48">
        <v>-17</v>
      </c>
      <c r="IA48">
        <v>18</v>
      </c>
      <c r="IB48">
        <v>-0.7018749999999998</v>
      </c>
      <c r="IC48">
        <v>-0.9375</v>
      </c>
    </row>
    <row r="49" spans="1:237" x14ac:dyDescent="0.2">
      <c r="A49" s="19">
        <v>44115</v>
      </c>
      <c r="B49" s="13" t="s">
        <v>381</v>
      </c>
      <c r="C49" s="41" t="s">
        <v>312</v>
      </c>
      <c r="D49" s="14" t="s">
        <v>308</v>
      </c>
      <c r="E49">
        <v>29.3</v>
      </c>
      <c r="F49">
        <v>5.5</v>
      </c>
      <c r="G49">
        <v>2.2999999999999998</v>
      </c>
      <c r="H49">
        <v>10.4</v>
      </c>
      <c r="I49">
        <v>6.5</v>
      </c>
      <c r="J49">
        <v>55</v>
      </c>
      <c r="L49" t="s">
        <v>312</v>
      </c>
      <c r="M49">
        <v>25</v>
      </c>
      <c r="N49">
        <v>-2.1508333333333334</v>
      </c>
      <c r="O49">
        <v>8</v>
      </c>
      <c r="P49">
        <v>10.5</v>
      </c>
      <c r="Q49">
        <v>7</v>
      </c>
      <c r="R49">
        <v>3.9187500000000006</v>
      </c>
      <c r="S49">
        <v>5</v>
      </c>
      <c r="T49">
        <v>4.1666666666666661</v>
      </c>
      <c r="U49">
        <v>2</v>
      </c>
      <c r="V49">
        <v>26.770833333333336</v>
      </c>
      <c r="W49">
        <v>28</v>
      </c>
      <c r="X49">
        <v>-1.2916666666666667</v>
      </c>
      <c r="Y49">
        <v>9</v>
      </c>
      <c r="Z49">
        <v>11.333333333333334</v>
      </c>
      <c r="AA49">
        <v>7</v>
      </c>
      <c r="AB49">
        <v>4.1625000000000005</v>
      </c>
      <c r="AC49">
        <v>6</v>
      </c>
      <c r="AD49">
        <v>3.333333333333333</v>
      </c>
      <c r="AE49">
        <v>3</v>
      </c>
      <c r="AF49">
        <v>23.541666666666668</v>
      </c>
      <c r="AG49">
        <v>24</v>
      </c>
      <c r="AH49">
        <v>-1</v>
      </c>
      <c r="AI49">
        <v>12</v>
      </c>
      <c r="AJ49">
        <v>14</v>
      </c>
      <c r="AK49">
        <v>16</v>
      </c>
      <c r="AL49">
        <v>-0.2437499999999998</v>
      </c>
      <c r="AM49">
        <v>11</v>
      </c>
      <c r="AN49">
        <v>0.83333333333333326</v>
      </c>
      <c r="AO49">
        <v>9</v>
      </c>
      <c r="AP49">
        <v>3.229166666666667</v>
      </c>
      <c r="AQ49">
        <v>17</v>
      </c>
      <c r="AR49">
        <v>-0.29166666666666674</v>
      </c>
      <c r="AS49">
        <v>9</v>
      </c>
      <c r="AT49">
        <v>10.333333333333334</v>
      </c>
      <c r="AU49">
        <v>7</v>
      </c>
      <c r="AV49">
        <v>7.5541666666666671</v>
      </c>
      <c r="AW49">
        <v>4</v>
      </c>
      <c r="AX49">
        <v>45.083333333333336</v>
      </c>
      <c r="AY49">
        <v>20</v>
      </c>
      <c r="AZ49">
        <v>-0.70833333333333326</v>
      </c>
      <c r="BA49">
        <v>3</v>
      </c>
      <c r="BB49">
        <v>5.666666666666667</v>
      </c>
      <c r="BC49">
        <v>3</v>
      </c>
      <c r="BD49">
        <v>5.0729166666666661</v>
      </c>
      <c r="BE49">
        <v>7</v>
      </c>
      <c r="BF49">
        <v>13.979166666666666</v>
      </c>
      <c r="BG49">
        <v>7</v>
      </c>
      <c r="BH49">
        <v>1.4583333333333333</v>
      </c>
      <c r="BI49">
        <v>8</v>
      </c>
      <c r="BJ49">
        <v>10.666666666666666</v>
      </c>
      <c r="BK49">
        <v>5</v>
      </c>
      <c r="BL49">
        <v>4.3937500000000007</v>
      </c>
      <c r="BM49">
        <v>2</v>
      </c>
      <c r="BN49">
        <v>35.166666666666671</v>
      </c>
      <c r="BO49">
        <v>25</v>
      </c>
      <c r="BP49">
        <v>-0.6875</v>
      </c>
      <c r="BQ49">
        <v>25</v>
      </c>
      <c r="BR49">
        <v>24</v>
      </c>
      <c r="BS49">
        <v>25</v>
      </c>
      <c r="BT49">
        <v>-1.9125000000000001</v>
      </c>
      <c r="BU49">
        <v>20</v>
      </c>
      <c r="BV49">
        <v>-4.0625</v>
      </c>
      <c r="BW49">
        <v>27</v>
      </c>
      <c r="BX49">
        <v>-1.4791666666666665</v>
      </c>
      <c r="BY49">
        <v>26</v>
      </c>
      <c r="BZ49">
        <v>24</v>
      </c>
      <c r="CA49">
        <v>23</v>
      </c>
      <c r="CB49">
        <v>-2.8833333333333337</v>
      </c>
      <c r="CC49">
        <v>18</v>
      </c>
      <c r="CD49">
        <v>-4.4583333333333321</v>
      </c>
      <c r="CE49">
        <v>31</v>
      </c>
      <c r="CF49">
        <v>-4</v>
      </c>
      <c r="CG49">
        <v>31</v>
      </c>
      <c r="CH49">
        <v>29.666666666666668</v>
      </c>
      <c r="CI49">
        <v>29</v>
      </c>
      <c r="CJ49">
        <v>-4.0125000000000002</v>
      </c>
      <c r="CK49">
        <v>-18.041666666666664</v>
      </c>
      <c r="CL49">
        <v>-2.0625</v>
      </c>
      <c r="CM49">
        <v>22</v>
      </c>
      <c r="CN49">
        <v>21</v>
      </c>
      <c r="CO49">
        <v>28</v>
      </c>
      <c r="CP49">
        <v>-1.5416666666666667</v>
      </c>
      <c r="CQ49">
        <v>14</v>
      </c>
      <c r="CR49">
        <v>0</v>
      </c>
      <c r="CS49">
        <v>-0.83333333333333337</v>
      </c>
      <c r="CT49">
        <v>2</v>
      </c>
      <c r="CU49">
        <v>8.25</v>
      </c>
      <c r="CV49">
        <v>1</v>
      </c>
      <c r="CW49">
        <v>0.11844731643410493</v>
      </c>
      <c r="CX49">
        <v>1</v>
      </c>
      <c r="CY49">
        <v>2.7677498105147979E-2</v>
      </c>
      <c r="CZ49">
        <v>22</v>
      </c>
      <c r="DA49">
        <v>3.922784391534391E-2</v>
      </c>
      <c r="DB49">
        <v>9</v>
      </c>
      <c r="DC49">
        <v>0.75</v>
      </c>
      <c r="DD49">
        <v>-5.8958333333333339</v>
      </c>
      <c r="DE49">
        <v>3.083333333333333</v>
      </c>
      <c r="DF49">
        <v>-0.4375</v>
      </c>
      <c r="DG49">
        <v>3.2708333333333286</v>
      </c>
      <c r="DH49">
        <v>-14.604166666666671</v>
      </c>
      <c r="DI49">
        <v>19.333333333333336</v>
      </c>
      <c r="DJ49">
        <v>-2.2916666666666665</v>
      </c>
      <c r="DK49">
        <v>0.83333333333333393</v>
      </c>
      <c r="DL49">
        <v>26</v>
      </c>
      <c r="DM49">
        <v>-6.0695833333333349</v>
      </c>
      <c r="DN49">
        <v>-1.6812083333333336</v>
      </c>
      <c r="DO49">
        <v>-33.937500000000007</v>
      </c>
      <c r="DP49">
        <v>7</v>
      </c>
      <c r="DQ49">
        <v>0.47098958333333329</v>
      </c>
      <c r="DR49">
        <v>-2.770833333333333</v>
      </c>
      <c r="DS49">
        <v>2.5902604166666663</v>
      </c>
      <c r="DT49">
        <v>2.3517708333333331</v>
      </c>
      <c r="DU49" t="s">
        <v>308</v>
      </c>
      <c r="DV49" t="s">
        <v>238</v>
      </c>
      <c r="DW49" t="s">
        <v>451</v>
      </c>
      <c r="DX49">
        <v>2</v>
      </c>
      <c r="DY49">
        <v>7.1362499999999995</v>
      </c>
      <c r="DZ49">
        <v>29</v>
      </c>
      <c r="EA49">
        <v>24.25</v>
      </c>
      <c r="EB49">
        <v>31</v>
      </c>
      <c r="EC49">
        <v>-6.9499999999999993</v>
      </c>
      <c r="ED49">
        <v>29</v>
      </c>
      <c r="EE49">
        <v>-3.8125</v>
      </c>
      <c r="EF49">
        <v>31</v>
      </c>
      <c r="EG49">
        <v>-33.625</v>
      </c>
      <c r="EH49">
        <v>6</v>
      </c>
      <c r="EI49">
        <v>1.5</v>
      </c>
      <c r="EJ49">
        <v>28</v>
      </c>
      <c r="EK49">
        <v>24</v>
      </c>
      <c r="EL49">
        <v>30</v>
      </c>
      <c r="EM49">
        <v>-4.5562500000000004</v>
      </c>
      <c r="EN49">
        <v>27</v>
      </c>
      <c r="EO49">
        <v>-1.8125</v>
      </c>
      <c r="EP49">
        <v>29</v>
      </c>
      <c r="EQ49">
        <v>-15.5625</v>
      </c>
      <c r="ER49">
        <v>10</v>
      </c>
      <c r="ES49">
        <v>0.4375</v>
      </c>
      <c r="ET49">
        <v>32</v>
      </c>
      <c r="EU49">
        <v>30.666666666666668</v>
      </c>
      <c r="EV49">
        <v>30</v>
      </c>
      <c r="EW49">
        <v>-2.3937499999999994</v>
      </c>
      <c r="EX49">
        <v>30</v>
      </c>
      <c r="EY49">
        <v>-2</v>
      </c>
      <c r="EZ49">
        <v>32</v>
      </c>
      <c r="FA49">
        <v>-18.0625</v>
      </c>
      <c r="FB49">
        <v>4</v>
      </c>
      <c r="FC49">
        <v>1.0625</v>
      </c>
      <c r="FD49">
        <v>1</v>
      </c>
      <c r="FE49">
        <v>1</v>
      </c>
      <c r="FF49">
        <v>1</v>
      </c>
      <c r="FG49">
        <v>23.787499999999998</v>
      </c>
      <c r="FH49">
        <v>1</v>
      </c>
      <c r="FI49">
        <v>119.5</v>
      </c>
      <c r="FJ49">
        <v>1</v>
      </c>
      <c r="FK49">
        <v>8.625</v>
      </c>
      <c r="FL49">
        <v>1</v>
      </c>
      <c r="FM49">
        <v>1.3333333333333333</v>
      </c>
      <c r="FN49">
        <v>2</v>
      </c>
      <c r="FO49">
        <v>8.0749999999999993</v>
      </c>
      <c r="FP49">
        <v>1</v>
      </c>
      <c r="FQ49">
        <v>52.5625</v>
      </c>
      <c r="FR49">
        <v>1</v>
      </c>
      <c r="FS49">
        <v>2.8125</v>
      </c>
      <c r="FT49">
        <v>1</v>
      </c>
      <c r="FU49">
        <v>1</v>
      </c>
      <c r="FV49">
        <v>1</v>
      </c>
      <c r="FW49">
        <v>7.5562499999999986</v>
      </c>
      <c r="FX49">
        <v>1</v>
      </c>
      <c r="FY49">
        <v>36.0625</v>
      </c>
      <c r="FZ49">
        <v>1</v>
      </c>
      <c r="GA49">
        <v>3.5</v>
      </c>
      <c r="GB49">
        <v>1</v>
      </c>
      <c r="GC49">
        <v>1</v>
      </c>
      <c r="GD49">
        <v>1</v>
      </c>
      <c r="GE49">
        <v>8.15625</v>
      </c>
      <c r="GF49">
        <v>1</v>
      </c>
      <c r="GG49">
        <v>30.875</v>
      </c>
      <c r="GH49">
        <v>1</v>
      </c>
      <c r="GI49">
        <v>2.3125</v>
      </c>
      <c r="GJ49">
        <v>2</v>
      </c>
      <c r="GK49">
        <v>2</v>
      </c>
      <c r="GL49">
        <v>4</v>
      </c>
      <c r="GM49">
        <v>6.8249999999999984</v>
      </c>
      <c r="GN49">
        <v>1</v>
      </c>
      <c r="GO49">
        <v>54.5</v>
      </c>
      <c r="GP49">
        <v>1</v>
      </c>
      <c r="GQ49">
        <v>4.875</v>
      </c>
      <c r="GR49">
        <v>28</v>
      </c>
      <c r="GS49">
        <v>26.333333333333332</v>
      </c>
      <c r="GT49">
        <v>30</v>
      </c>
      <c r="GU49">
        <v>-3.65625</v>
      </c>
      <c r="GV49">
        <v>-8.4375</v>
      </c>
      <c r="GW49">
        <v>-1</v>
      </c>
      <c r="GX49">
        <v>5</v>
      </c>
      <c r="GY49">
        <v>5.5</v>
      </c>
      <c r="GZ49">
        <v>5</v>
      </c>
      <c r="HA49">
        <v>2.3125</v>
      </c>
      <c r="HB49">
        <v>6</v>
      </c>
      <c r="HC49">
        <v>0.75</v>
      </c>
      <c r="HD49">
        <v>-1.5625</v>
      </c>
      <c r="HE49">
        <v>23</v>
      </c>
      <c r="HF49">
        <v>20.25</v>
      </c>
      <c r="HG49">
        <v>26</v>
      </c>
      <c r="HH49">
        <v>-3.2477444998064188E-2</v>
      </c>
      <c r="HI49">
        <v>25</v>
      </c>
      <c r="HJ49">
        <v>-1.9012720672438171E-2</v>
      </c>
      <c r="HK49">
        <v>21</v>
      </c>
      <c r="HL49">
        <v>2.428526334776332E-2</v>
      </c>
      <c r="HM49">
        <v>9</v>
      </c>
      <c r="HN49">
        <v>1.0625</v>
      </c>
      <c r="HO49">
        <v>3.6875</v>
      </c>
      <c r="HP49">
        <v>0</v>
      </c>
      <c r="HQ49">
        <v>0.875</v>
      </c>
      <c r="HR49">
        <v>58.8125</v>
      </c>
      <c r="HS49">
        <v>106.375</v>
      </c>
      <c r="HT49">
        <v>-48.5</v>
      </c>
      <c r="HU49">
        <v>-4.75</v>
      </c>
      <c r="HV49">
        <v>5.6875</v>
      </c>
      <c r="HW49">
        <v>1</v>
      </c>
      <c r="HX49">
        <v>14.08625</v>
      </c>
      <c r="HY49">
        <v>8.9284999999999997</v>
      </c>
      <c r="HZ49">
        <v>154.875</v>
      </c>
      <c r="IA49">
        <v>32</v>
      </c>
      <c r="IB49">
        <v>2.8287499999999994</v>
      </c>
      <c r="IC49">
        <v>7.625</v>
      </c>
    </row>
    <row r="50" spans="1:237" x14ac:dyDescent="0.2">
      <c r="A50" s="19">
        <v>44115</v>
      </c>
      <c r="B50" s="13" t="s">
        <v>381</v>
      </c>
      <c r="C50" s="41" t="s">
        <v>307</v>
      </c>
      <c r="D50" s="14" t="s">
        <v>287</v>
      </c>
      <c r="E50">
        <v>27.2</v>
      </c>
      <c r="F50">
        <v>7.4</v>
      </c>
      <c r="G50">
        <v>2.8</v>
      </c>
      <c r="H50">
        <v>13.2</v>
      </c>
      <c r="I50">
        <v>-7</v>
      </c>
      <c r="J50">
        <v>49</v>
      </c>
      <c r="L50" t="s">
        <v>307</v>
      </c>
      <c r="M50">
        <v>14</v>
      </c>
      <c r="N50">
        <v>-0.35500000000000087</v>
      </c>
      <c r="O50">
        <v>1</v>
      </c>
      <c r="P50">
        <v>3.75</v>
      </c>
      <c r="Q50">
        <v>2</v>
      </c>
      <c r="R50">
        <v>11.874999999999998</v>
      </c>
      <c r="S50">
        <v>3</v>
      </c>
      <c r="T50">
        <v>4.25</v>
      </c>
      <c r="U50">
        <v>8</v>
      </c>
      <c r="V50">
        <v>12.875</v>
      </c>
      <c r="W50">
        <v>2</v>
      </c>
      <c r="X50">
        <v>2.6875</v>
      </c>
      <c r="Y50">
        <v>3</v>
      </c>
      <c r="Z50">
        <v>6.666666666666667</v>
      </c>
      <c r="AA50">
        <v>1</v>
      </c>
      <c r="AB50">
        <v>10.562499999999998</v>
      </c>
      <c r="AC50">
        <v>17</v>
      </c>
      <c r="AD50">
        <v>-0.625</v>
      </c>
      <c r="AE50">
        <v>18</v>
      </c>
      <c r="AF50">
        <v>-2.125</v>
      </c>
      <c r="AG50">
        <v>1</v>
      </c>
      <c r="AH50">
        <v>3.3125</v>
      </c>
      <c r="AI50">
        <v>7</v>
      </c>
      <c r="AJ50">
        <v>11.666666666666666</v>
      </c>
      <c r="AK50">
        <v>10</v>
      </c>
      <c r="AL50">
        <v>1.3124999999999998</v>
      </c>
      <c r="AM50">
        <v>3</v>
      </c>
      <c r="AN50">
        <v>4.875</v>
      </c>
      <c r="AO50">
        <v>3</v>
      </c>
      <c r="AP50">
        <v>15</v>
      </c>
      <c r="AQ50">
        <v>22</v>
      </c>
      <c r="AR50">
        <v>-0.625</v>
      </c>
      <c r="AS50">
        <v>26</v>
      </c>
      <c r="AT50">
        <v>26.666666666666668</v>
      </c>
      <c r="AU50">
        <v>25</v>
      </c>
      <c r="AV50">
        <v>-5.4812499999999993</v>
      </c>
      <c r="AW50">
        <v>29</v>
      </c>
      <c r="AX50">
        <v>-37.3125</v>
      </c>
      <c r="AY50">
        <v>26</v>
      </c>
      <c r="AZ50">
        <v>-2.3125</v>
      </c>
      <c r="BA50">
        <v>30</v>
      </c>
      <c r="BB50">
        <v>27.333333333333332</v>
      </c>
      <c r="BC50">
        <v>21</v>
      </c>
      <c r="BD50">
        <v>-2.1124999999999989</v>
      </c>
      <c r="BE50">
        <v>30</v>
      </c>
      <c r="BF50">
        <v>-21.3125</v>
      </c>
      <c r="BG50">
        <v>31</v>
      </c>
      <c r="BH50">
        <v>-2.0625</v>
      </c>
      <c r="BI50">
        <v>17</v>
      </c>
      <c r="BJ50">
        <v>16.666666666666668</v>
      </c>
      <c r="BK50">
        <v>18</v>
      </c>
      <c r="BL50">
        <v>-1.2625000000000004</v>
      </c>
      <c r="BM50">
        <v>17</v>
      </c>
      <c r="BN50">
        <v>-5.5</v>
      </c>
      <c r="BO50">
        <v>15</v>
      </c>
      <c r="BP50">
        <v>0.125</v>
      </c>
      <c r="BQ50">
        <v>25</v>
      </c>
      <c r="BR50">
        <v>24</v>
      </c>
      <c r="BS50">
        <v>26</v>
      </c>
      <c r="BT50">
        <v>-2.1062500000000002</v>
      </c>
      <c r="BU50">
        <v>27</v>
      </c>
      <c r="BV50">
        <v>-10.5</v>
      </c>
      <c r="BW50">
        <v>19</v>
      </c>
      <c r="BX50">
        <v>-0.375</v>
      </c>
      <c r="BY50">
        <v>20</v>
      </c>
      <c r="BZ50">
        <v>20.666666666666668</v>
      </c>
      <c r="CA50">
        <v>24</v>
      </c>
      <c r="CB50">
        <v>-3.6062500000000002</v>
      </c>
      <c r="CC50">
        <v>22</v>
      </c>
      <c r="CD50">
        <v>-12.3125</v>
      </c>
      <c r="CE50">
        <v>16</v>
      </c>
      <c r="CF50">
        <v>0.125</v>
      </c>
      <c r="CG50">
        <v>13</v>
      </c>
      <c r="CH50">
        <v>13</v>
      </c>
      <c r="CI50">
        <v>13</v>
      </c>
      <c r="CJ50">
        <v>0.83750000000000013</v>
      </c>
      <c r="CK50">
        <v>2.75</v>
      </c>
      <c r="CL50">
        <v>0.3125</v>
      </c>
      <c r="CM50">
        <v>13</v>
      </c>
      <c r="CN50">
        <v>13</v>
      </c>
      <c r="CO50">
        <v>8</v>
      </c>
      <c r="CP50">
        <v>1</v>
      </c>
      <c r="CQ50">
        <v>18</v>
      </c>
      <c r="CR50">
        <v>-6.25E-2</v>
      </c>
      <c r="CS50">
        <v>1.4375</v>
      </c>
      <c r="CT50">
        <v>32</v>
      </c>
      <c r="CU50">
        <v>27</v>
      </c>
      <c r="CV50">
        <v>25</v>
      </c>
      <c r="CW50">
        <v>-4.8481548614120573E-2</v>
      </c>
      <c r="CX50">
        <v>20</v>
      </c>
      <c r="CY50">
        <v>-6.8681659394951144E-3</v>
      </c>
      <c r="CZ50">
        <v>32</v>
      </c>
      <c r="DA50">
        <v>0.20623647186147187</v>
      </c>
      <c r="DB50">
        <v>31</v>
      </c>
      <c r="DC50">
        <v>-3.3125</v>
      </c>
      <c r="DD50">
        <v>0.3125</v>
      </c>
      <c r="DE50">
        <v>3.25</v>
      </c>
      <c r="DF50">
        <v>0</v>
      </c>
      <c r="DG50">
        <v>-0.375</v>
      </c>
      <c r="DH50">
        <v>-0.8125</v>
      </c>
      <c r="DI50">
        <v>5.125</v>
      </c>
      <c r="DJ50">
        <v>1.8125</v>
      </c>
      <c r="DK50">
        <v>-6.5</v>
      </c>
      <c r="DL50">
        <v>31</v>
      </c>
      <c r="DM50">
        <v>-12.229999999999999</v>
      </c>
      <c r="DN50">
        <v>-6.9372499999999988</v>
      </c>
      <c r="DO50">
        <v>-5.9375</v>
      </c>
      <c r="DP50">
        <v>2</v>
      </c>
      <c r="DQ50">
        <v>0.98453124999999975</v>
      </c>
      <c r="DR50">
        <v>-2</v>
      </c>
      <c r="DS50">
        <v>-0.75164062500000006</v>
      </c>
      <c r="DT50">
        <v>-0.93515625000000047</v>
      </c>
      <c r="DU50" t="s">
        <v>287</v>
      </c>
      <c r="DV50" t="s">
        <v>267</v>
      </c>
      <c r="DW50" t="s">
        <v>502</v>
      </c>
      <c r="DX50">
        <v>13</v>
      </c>
      <c r="DY50">
        <v>1.4737499999999994</v>
      </c>
      <c r="DZ50">
        <v>21</v>
      </c>
      <c r="EA50">
        <v>20</v>
      </c>
      <c r="EB50">
        <v>25</v>
      </c>
      <c r="EC50">
        <v>-4.09375</v>
      </c>
      <c r="ED50">
        <v>28</v>
      </c>
      <c r="EE50">
        <v>-3.625</v>
      </c>
      <c r="EF50">
        <v>24</v>
      </c>
      <c r="EG50">
        <v>-15.375</v>
      </c>
      <c r="EH50">
        <v>3</v>
      </c>
      <c r="EI50">
        <v>1.9375</v>
      </c>
      <c r="EJ50">
        <v>20</v>
      </c>
      <c r="EK50">
        <v>19.25</v>
      </c>
      <c r="EL50">
        <v>26</v>
      </c>
      <c r="EM50">
        <v>-3.1249999999999996</v>
      </c>
      <c r="EN50">
        <v>28</v>
      </c>
      <c r="EO50">
        <v>-2</v>
      </c>
      <c r="EP50">
        <v>22</v>
      </c>
      <c r="EQ50">
        <v>-11.375</v>
      </c>
      <c r="ER50">
        <v>1</v>
      </c>
      <c r="ES50">
        <v>2.0625</v>
      </c>
      <c r="ET50">
        <v>25</v>
      </c>
      <c r="EU50">
        <v>23.333333333333332</v>
      </c>
      <c r="EV50">
        <v>23</v>
      </c>
      <c r="EW50">
        <v>-0.96875000000000044</v>
      </c>
      <c r="EX50">
        <v>27</v>
      </c>
      <c r="EY50">
        <v>-1.625</v>
      </c>
      <c r="EZ50">
        <v>20</v>
      </c>
      <c r="FA50">
        <v>-4</v>
      </c>
      <c r="FB50">
        <v>20</v>
      </c>
      <c r="FC50">
        <v>-0.125</v>
      </c>
      <c r="FD50">
        <v>27</v>
      </c>
      <c r="FE50">
        <v>26</v>
      </c>
      <c r="FF50">
        <v>27</v>
      </c>
      <c r="FG50">
        <v>-5.4499999999999984</v>
      </c>
      <c r="FH50">
        <v>22</v>
      </c>
      <c r="FI50">
        <v>-10.5625</v>
      </c>
      <c r="FJ50">
        <v>29</v>
      </c>
      <c r="FK50">
        <v>-2.8125</v>
      </c>
      <c r="FL50">
        <v>27</v>
      </c>
      <c r="FM50">
        <v>25</v>
      </c>
      <c r="FN50">
        <v>24</v>
      </c>
      <c r="FO50">
        <v>-2.362499999999998</v>
      </c>
      <c r="FP50">
        <v>26</v>
      </c>
      <c r="FQ50">
        <v>-7.25</v>
      </c>
      <c r="FR50">
        <v>25</v>
      </c>
      <c r="FS50">
        <v>-0.9375</v>
      </c>
      <c r="FT50">
        <v>16</v>
      </c>
      <c r="FU50">
        <v>16.333333333333332</v>
      </c>
      <c r="FV50">
        <v>15</v>
      </c>
      <c r="FW50">
        <v>0.21250000000000013</v>
      </c>
      <c r="FX50">
        <v>9</v>
      </c>
      <c r="FY50">
        <v>8.625</v>
      </c>
      <c r="FZ50">
        <v>25</v>
      </c>
      <c r="GA50">
        <v>-1</v>
      </c>
      <c r="GB50">
        <v>30</v>
      </c>
      <c r="GC50">
        <v>27.666666666666668</v>
      </c>
      <c r="GD50">
        <v>30</v>
      </c>
      <c r="GE50">
        <v>-3.3000000000000007</v>
      </c>
      <c r="GF50">
        <v>28</v>
      </c>
      <c r="GG50">
        <v>-11.9375</v>
      </c>
      <c r="GH50">
        <v>25</v>
      </c>
      <c r="GI50">
        <v>-0.875</v>
      </c>
      <c r="GJ50">
        <v>23</v>
      </c>
      <c r="GK50">
        <v>22</v>
      </c>
      <c r="GL50">
        <v>15</v>
      </c>
      <c r="GM50">
        <v>-0.48749999999999893</v>
      </c>
      <c r="GN50">
        <v>19</v>
      </c>
      <c r="GO50">
        <v>-8</v>
      </c>
      <c r="GP50">
        <v>32</v>
      </c>
      <c r="GQ50">
        <v>-3.125</v>
      </c>
      <c r="GR50">
        <v>7</v>
      </c>
      <c r="GS50">
        <v>8</v>
      </c>
      <c r="GT50">
        <v>9</v>
      </c>
      <c r="GU50">
        <v>1.9</v>
      </c>
      <c r="GV50">
        <v>7.75</v>
      </c>
      <c r="GW50">
        <v>1.125</v>
      </c>
      <c r="GX50">
        <v>4</v>
      </c>
      <c r="GY50">
        <v>5</v>
      </c>
      <c r="GZ50">
        <v>7</v>
      </c>
      <c r="HA50">
        <v>1.625</v>
      </c>
      <c r="HB50">
        <v>3</v>
      </c>
      <c r="HC50">
        <v>0.8125</v>
      </c>
      <c r="HD50">
        <v>-0.375</v>
      </c>
      <c r="HE50">
        <v>3</v>
      </c>
      <c r="HF50">
        <v>9.25</v>
      </c>
      <c r="HG50">
        <v>6</v>
      </c>
      <c r="HH50">
        <v>3.0525479016432489E-2</v>
      </c>
      <c r="HI50">
        <v>18</v>
      </c>
      <c r="HJ50">
        <v>-3.5727554036423118E-3</v>
      </c>
      <c r="HK50">
        <v>1</v>
      </c>
      <c r="HL50">
        <v>-0.193940000971251</v>
      </c>
      <c r="HM50">
        <v>12</v>
      </c>
      <c r="HN50">
        <v>0.125</v>
      </c>
      <c r="HO50">
        <v>-2.25</v>
      </c>
      <c r="HP50">
        <v>-2.875</v>
      </c>
      <c r="HQ50">
        <v>-0.5625</v>
      </c>
      <c r="HR50">
        <v>-10.75</v>
      </c>
      <c r="HS50">
        <v>-8</v>
      </c>
      <c r="HT50">
        <v>-11.9375</v>
      </c>
      <c r="HU50">
        <v>-1.875</v>
      </c>
      <c r="HV50">
        <v>11.0625</v>
      </c>
      <c r="HW50">
        <v>7</v>
      </c>
      <c r="HX50">
        <v>5.567499999999999</v>
      </c>
      <c r="HY50">
        <v>1.6316250000000001</v>
      </c>
      <c r="HZ50">
        <v>3.9375</v>
      </c>
      <c r="IA50">
        <v>26</v>
      </c>
      <c r="IB50">
        <v>-0.56812499999999977</v>
      </c>
      <c r="IC50">
        <v>-1.6875</v>
      </c>
    </row>
    <row r="51" spans="1:237" x14ac:dyDescent="0.2">
      <c r="A51" s="19">
        <v>44115</v>
      </c>
      <c r="B51" s="13" t="s">
        <v>381</v>
      </c>
      <c r="C51" s="41" t="s">
        <v>296</v>
      </c>
      <c r="D51" s="14" t="s">
        <v>291</v>
      </c>
      <c r="E51">
        <v>23.9</v>
      </c>
      <c r="F51">
        <v>8.1999999999999993</v>
      </c>
      <c r="G51">
        <v>0</v>
      </c>
      <c r="H51">
        <v>9.5</v>
      </c>
      <c r="I51">
        <v>7.5</v>
      </c>
      <c r="J51">
        <v>52.5</v>
      </c>
      <c r="K51" t="s">
        <v>734</v>
      </c>
      <c r="L51" t="s">
        <v>296</v>
      </c>
      <c r="M51">
        <v>29</v>
      </c>
      <c r="N51">
        <v>-4.7633333333333336</v>
      </c>
      <c r="O51">
        <v>29</v>
      </c>
      <c r="P51">
        <v>24.75</v>
      </c>
      <c r="Q51">
        <v>27</v>
      </c>
      <c r="R51">
        <v>-5.2666666666666666</v>
      </c>
      <c r="S51">
        <v>31</v>
      </c>
      <c r="T51">
        <v>-5.4791666666666661</v>
      </c>
      <c r="U51">
        <v>32</v>
      </c>
      <c r="V51">
        <v>-36.166666666666664</v>
      </c>
      <c r="W51">
        <v>9</v>
      </c>
      <c r="X51">
        <v>0.52083333333333337</v>
      </c>
      <c r="Y51">
        <v>21</v>
      </c>
      <c r="Z51">
        <v>21</v>
      </c>
      <c r="AA51">
        <v>25</v>
      </c>
      <c r="AB51">
        <v>-3.354166666666667</v>
      </c>
      <c r="AC51">
        <v>32</v>
      </c>
      <c r="AD51">
        <v>-5.4166666666666661</v>
      </c>
      <c r="AE51">
        <v>32</v>
      </c>
      <c r="AF51">
        <v>-38.8125</v>
      </c>
      <c r="AG51">
        <v>6</v>
      </c>
      <c r="AH51">
        <v>1.375</v>
      </c>
      <c r="AI51">
        <v>22</v>
      </c>
      <c r="AJ51">
        <v>19</v>
      </c>
      <c r="AK51">
        <v>22</v>
      </c>
      <c r="AL51">
        <v>-1.9124999999999996</v>
      </c>
      <c r="AM51">
        <v>13</v>
      </c>
      <c r="AN51">
        <v>-6.25E-2</v>
      </c>
      <c r="AO51">
        <v>11</v>
      </c>
      <c r="AP51">
        <v>2.645833333333333</v>
      </c>
      <c r="AQ51">
        <v>24</v>
      </c>
      <c r="AR51">
        <v>-0.85416666666666663</v>
      </c>
      <c r="AS51">
        <v>23</v>
      </c>
      <c r="AT51">
        <v>24</v>
      </c>
      <c r="AU51">
        <v>22</v>
      </c>
      <c r="AV51">
        <v>-4.8250000000000002</v>
      </c>
      <c r="AW51">
        <v>25</v>
      </c>
      <c r="AX51">
        <v>-31.583333333333336</v>
      </c>
      <c r="AY51">
        <v>25</v>
      </c>
      <c r="AZ51">
        <v>-2.166666666666667</v>
      </c>
      <c r="BA51">
        <v>20</v>
      </c>
      <c r="BB51">
        <v>20.666666666666668</v>
      </c>
      <c r="BC51">
        <v>20</v>
      </c>
      <c r="BD51">
        <v>-1.5145833333333334</v>
      </c>
      <c r="BE51">
        <v>21</v>
      </c>
      <c r="BF51">
        <v>-7.625</v>
      </c>
      <c r="BG51">
        <v>21</v>
      </c>
      <c r="BH51">
        <v>-0.97916666666666674</v>
      </c>
      <c r="BI51">
        <v>24</v>
      </c>
      <c r="BJ51">
        <v>23</v>
      </c>
      <c r="BK51">
        <v>27</v>
      </c>
      <c r="BL51">
        <v>-2.3291666666666671</v>
      </c>
      <c r="BM51">
        <v>31</v>
      </c>
      <c r="BN51">
        <v>-19.125</v>
      </c>
      <c r="BO51">
        <v>11</v>
      </c>
      <c r="BP51">
        <v>0.20833333333333326</v>
      </c>
      <c r="BQ51">
        <v>24</v>
      </c>
      <c r="BR51">
        <v>22.333333333333332</v>
      </c>
      <c r="BS51">
        <v>20</v>
      </c>
      <c r="BT51">
        <v>-0.98124999999999984</v>
      </c>
      <c r="BU51">
        <v>21</v>
      </c>
      <c r="BV51">
        <v>-4.8333333333333339</v>
      </c>
      <c r="BW51">
        <v>26</v>
      </c>
      <c r="BX51">
        <v>-1.3958333333333333</v>
      </c>
      <c r="BY51">
        <v>29</v>
      </c>
      <c r="BZ51">
        <v>28</v>
      </c>
      <c r="CA51">
        <v>30</v>
      </c>
      <c r="CB51">
        <v>-6.4666666666666668</v>
      </c>
      <c r="CC51">
        <v>31</v>
      </c>
      <c r="CD51">
        <v>-35.5</v>
      </c>
      <c r="CE51">
        <v>23</v>
      </c>
      <c r="CF51">
        <v>-1.1666666666666665</v>
      </c>
      <c r="CG51">
        <v>11</v>
      </c>
      <c r="CH51">
        <v>11.666666666666666</v>
      </c>
      <c r="CI51">
        <v>19</v>
      </c>
      <c r="CJ51">
        <v>-0.92916666666666647</v>
      </c>
      <c r="CK51">
        <v>4.291666666666667</v>
      </c>
      <c r="CL51">
        <v>2.5</v>
      </c>
      <c r="CM51">
        <v>6</v>
      </c>
      <c r="CN51">
        <v>8.5</v>
      </c>
      <c r="CO51">
        <v>9</v>
      </c>
      <c r="CP51">
        <v>0.89583333333333326</v>
      </c>
      <c r="CQ51">
        <v>8</v>
      </c>
      <c r="CR51">
        <v>0.29166666666666669</v>
      </c>
      <c r="CS51">
        <v>-0.77083333333333337</v>
      </c>
      <c r="CT51">
        <v>6</v>
      </c>
      <c r="CU51">
        <v>10.25</v>
      </c>
      <c r="CV51">
        <v>13</v>
      </c>
      <c r="CW51">
        <v>1.8048608749875947E-2</v>
      </c>
      <c r="CX51">
        <v>11</v>
      </c>
      <c r="CY51">
        <v>6.8441470154548996E-3</v>
      </c>
      <c r="CZ51">
        <v>15</v>
      </c>
      <c r="DA51">
        <v>9.1932890452627314E-3</v>
      </c>
      <c r="DB51">
        <v>2</v>
      </c>
      <c r="DC51">
        <v>3.8541666666666665</v>
      </c>
      <c r="DD51">
        <v>-3.5625</v>
      </c>
      <c r="DE51">
        <v>-7.145833333333333</v>
      </c>
      <c r="DF51">
        <v>-0.4375</v>
      </c>
      <c r="DG51">
        <v>-42.708333333333329</v>
      </c>
      <c r="DH51">
        <v>-18.25</v>
      </c>
      <c r="DI51">
        <v>-34.979166666666664</v>
      </c>
      <c r="DJ51">
        <v>-0.5</v>
      </c>
      <c r="DK51">
        <v>11.020833333333334</v>
      </c>
      <c r="DL51">
        <v>15</v>
      </c>
      <c r="DM51">
        <v>0.50333333333333297</v>
      </c>
      <c r="DN51">
        <v>0.52983333333333338</v>
      </c>
      <c r="DO51">
        <v>16.729166666666664</v>
      </c>
      <c r="DP51">
        <v>18</v>
      </c>
      <c r="DQ51">
        <v>-1.8610416666666665</v>
      </c>
      <c r="DR51">
        <v>0.33333333333333304</v>
      </c>
      <c r="DS51">
        <v>-2.7369791666666865E-2</v>
      </c>
      <c r="DT51">
        <v>-1.5258333333333336</v>
      </c>
      <c r="DU51" t="s">
        <v>291</v>
      </c>
      <c r="DV51" t="s">
        <v>282</v>
      </c>
      <c r="DW51" t="s">
        <v>453</v>
      </c>
      <c r="DX51">
        <v>9</v>
      </c>
      <c r="DY51">
        <v>2.49125</v>
      </c>
      <c r="DZ51">
        <v>24</v>
      </c>
      <c r="EA51">
        <v>20.5</v>
      </c>
      <c r="EB51">
        <v>28</v>
      </c>
      <c r="EC51">
        <v>-5.6437500000000007</v>
      </c>
      <c r="ED51">
        <v>10</v>
      </c>
      <c r="EE51">
        <v>1.5</v>
      </c>
      <c r="EF51">
        <v>14</v>
      </c>
      <c r="EG51">
        <v>0</v>
      </c>
      <c r="EH51">
        <v>30</v>
      </c>
      <c r="EI51">
        <v>-1.75</v>
      </c>
      <c r="EJ51">
        <v>25</v>
      </c>
      <c r="EK51">
        <v>20.25</v>
      </c>
      <c r="EL51">
        <v>25</v>
      </c>
      <c r="EM51">
        <v>-3.1000000000000005</v>
      </c>
      <c r="EN51">
        <v>11</v>
      </c>
      <c r="EO51">
        <v>1.0625</v>
      </c>
      <c r="EP51">
        <v>17</v>
      </c>
      <c r="EQ51">
        <v>-4.0625</v>
      </c>
      <c r="ER51">
        <v>28</v>
      </c>
      <c r="ES51">
        <v>-0.9375</v>
      </c>
      <c r="ET51">
        <v>19</v>
      </c>
      <c r="EU51">
        <v>18.333333333333332</v>
      </c>
      <c r="EV51">
        <v>32</v>
      </c>
      <c r="EW51">
        <v>-2.5437500000000002</v>
      </c>
      <c r="EX51">
        <v>12</v>
      </c>
      <c r="EY51">
        <v>0.4375</v>
      </c>
      <c r="EZ51">
        <v>11</v>
      </c>
      <c r="FA51">
        <v>4.0625</v>
      </c>
      <c r="FB51">
        <v>27</v>
      </c>
      <c r="FC51">
        <v>-0.8125</v>
      </c>
      <c r="FD51">
        <v>8</v>
      </c>
      <c r="FE51">
        <v>10</v>
      </c>
      <c r="FF51">
        <v>3</v>
      </c>
      <c r="FG51">
        <v>9.4837500000000006</v>
      </c>
      <c r="FH51">
        <v>16</v>
      </c>
      <c r="FI51">
        <v>-4.0625</v>
      </c>
      <c r="FJ51">
        <v>11</v>
      </c>
      <c r="FK51">
        <v>0.5625</v>
      </c>
      <c r="FL51">
        <v>4</v>
      </c>
      <c r="FM51">
        <v>5.333333333333333</v>
      </c>
      <c r="FN51">
        <v>1</v>
      </c>
      <c r="FO51">
        <v>8.6750000000000007</v>
      </c>
      <c r="FP51">
        <v>7</v>
      </c>
      <c r="FQ51">
        <v>9.6875</v>
      </c>
      <c r="FR51">
        <v>8</v>
      </c>
      <c r="FS51">
        <v>0.625</v>
      </c>
      <c r="FT51">
        <v>8</v>
      </c>
      <c r="FU51">
        <v>10.666666666666666</v>
      </c>
      <c r="FV51">
        <v>8</v>
      </c>
      <c r="FW51">
        <v>3.3149999999999995</v>
      </c>
      <c r="FX51">
        <v>15</v>
      </c>
      <c r="FY51">
        <v>4.5</v>
      </c>
      <c r="FZ51">
        <v>9</v>
      </c>
      <c r="GA51">
        <v>0.6875</v>
      </c>
      <c r="GB51">
        <v>29</v>
      </c>
      <c r="GC51">
        <v>27.333333333333332</v>
      </c>
      <c r="GD51">
        <v>28</v>
      </c>
      <c r="GE51">
        <v>-2.5062500000000001</v>
      </c>
      <c r="GF51">
        <v>32</v>
      </c>
      <c r="GG51">
        <v>-18.25</v>
      </c>
      <c r="GH51">
        <v>22</v>
      </c>
      <c r="GI51">
        <v>-0.75</v>
      </c>
      <c r="GJ51">
        <v>17</v>
      </c>
      <c r="GK51">
        <v>17.333333333333332</v>
      </c>
      <c r="GL51">
        <v>20</v>
      </c>
      <c r="GM51">
        <v>-1.6437499999999998</v>
      </c>
      <c r="GN51">
        <v>20</v>
      </c>
      <c r="GO51">
        <v>-9.5625</v>
      </c>
      <c r="GP51">
        <v>12</v>
      </c>
      <c r="GQ51">
        <v>0.1875</v>
      </c>
      <c r="GR51">
        <v>5</v>
      </c>
      <c r="GS51">
        <v>5.666666666666667</v>
      </c>
      <c r="GT51">
        <v>8</v>
      </c>
      <c r="GU51">
        <v>2.6875000000000004</v>
      </c>
      <c r="GV51">
        <v>16.25</v>
      </c>
      <c r="GW51">
        <v>1.6875</v>
      </c>
      <c r="GX51">
        <v>3</v>
      </c>
      <c r="GY51">
        <v>3</v>
      </c>
      <c r="GZ51">
        <v>3</v>
      </c>
      <c r="HA51">
        <v>2.75</v>
      </c>
      <c r="HB51">
        <v>3</v>
      </c>
      <c r="HC51">
        <v>0.8125</v>
      </c>
      <c r="HD51">
        <v>0.6875</v>
      </c>
      <c r="HE51">
        <v>28</v>
      </c>
      <c r="HF51">
        <v>22</v>
      </c>
      <c r="HG51">
        <v>27</v>
      </c>
      <c r="HH51">
        <v>-3.573218579159218E-2</v>
      </c>
      <c r="HI51">
        <v>17</v>
      </c>
      <c r="HJ51">
        <v>-2.7087999693810334E-3</v>
      </c>
      <c r="HK51">
        <v>15</v>
      </c>
      <c r="HL51">
        <v>-5.6795634920634996E-3</v>
      </c>
      <c r="HM51">
        <v>29</v>
      </c>
      <c r="HN51">
        <v>-2.8125</v>
      </c>
      <c r="HO51">
        <v>5.8125</v>
      </c>
      <c r="HP51">
        <v>6.25</v>
      </c>
      <c r="HQ51">
        <v>0.375</v>
      </c>
      <c r="HR51">
        <v>24.3125</v>
      </c>
      <c r="HS51">
        <v>-13.1875</v>
      </c>
      <c r="HT51">
        <v>22</v>
      </c>
      <c r="HU51">
        <v>10.9375</v>
      </c>
      <c r="HV51">
        <v>4.5625</v>
      </c>
      <c r="HW51">
        <v>2</v>
      </c>
      <c r="HX51">
        <v>8.1350000000000016</v>
      </c>
      <c r="HY51">
        <v>5.7543750000000005</v>
      </c>
      <c r="HZ51">
        <v>-35.1875</v>
      </c>
      <c r="IA51">
        <v>31</v>
      </c>
      <c r="IB51">
        <v>1.4710937499999999</v>
      </c>
      <c r="IC51">
        <v>2.25</v>
      </c>
    </row>
    <row r="52" spans="1:237" x14ac:dyDescent="0.2">
      <c r="A52" s="19">
        <v>44115</v>
      </c>
      <c r="B52" s="13" t="s">
        <v>381</v>
      </c>
      <c r="C52" s="41" t="s">
        <v>298</v>
      </c>
      <c r="D52" s="14" t="s">
        <v>285</v>
      </c>
      <c r="E52">
        <v>28.6</v>
      </c>
      <c r="F52">
        <v>5.3</v>
      </c>
      <c r="G52">
        <v>5</v>
      </c>
      <c r="H52">
        <v>4.4000000000000004</v>
      </c>
      <c r="I52">
        <v>7</v>
      </c>
      <c r="J52">
        <v>48</v>
      </c>
      <c r="K52" t="s">
        <v>734</v>
      </c>
      <c r="L52" t="s">
        <v>298</v>
      </c>
      <c r="M52">
        <v>28</v>
      </c>
      <c r="N52">
        <v>-3.80125</v>
      </c>
      <c r="O52">
        <v>26</v>
      </c>
      <c r="P52">
        <v>23.25</v>
      </c>
      <c r="Q52">
        <v>23</v>
      </c>
      <c r="R52">
        <v>-2.975000000000001</v>
      </c>
      <c r="S52">
        <v>23</v>
      </c>
      <c r="T52">
        <v>-1.6875</v>
      </c>
      <c r="U52">
        <v>26</v>
      </c>
      <c r="V52">
        <v>-17.4375</v>
      </c>
      <c r="W52">
        <v>21</v>
      </c>
      <c r="X52">
        <v>-0.4375</v>
      </c>
      <c r="Y52">
        <v>30</v>
      </c>
      <c r="Z52">
        <v>28</v>
      </c>
      <c r="AA52">
        <v>28</v>
      </c>
      <c r="AB52">
        <v>-5.4875000000000007</v>
      </c>
      <c r="AC52">
        <v>14</v>
      </c>
      <c r="AD52">
        <v>-0.4375</v>
      </c>
      <c r="AE52">
        <v>29</v>
      </c>
      <c r="AF52">
        <v>-15.5625</v>
      </c>
      <c r="AG52">
        <v>27</v>
      </c>
      <c r="AH52">
        <v>-1.25</v>
      </c>
      <c r="AI52">
        <v>5</v>
      </c>
      <c r="AJ52">
        <v>9.6666666666666661</v>
      </c>
      <c r="AK52">
        <v>4</v>
      </c>
      <c r="AL52">
        <v>2.5124999999999997</v>
      </c>
      <c r="AM52">
        <v>18</v>
      </c>
      <c r="AN52">
        <v>-1.25</v>
      </c>
      <c r="AO52">
        <v>16</v>
      </c>
      <c r="AP52">
        <v>-1.875</v>
      </c>
      <c r="AQ52">
        <v>9</v>
      </c>
      <c r="AR52">
        <v>0.8125</v>
      </c>
      <c r="AS52">
        <v>18</v>
      </c>
      <c r="AT52">
        <v>16.666666666666668</v>
      </c>
      <c r="AU52">
        <v>19</v>
      </c>
      <c r="AV52">
        <v>-2.6500000000000004</v>
      </c>
      <c r="AW52">
        <v>21</v>
      </c>
      <c r="AX52">
        <v>-7.6875</v>
      </c>
      <c r="AY52">
        <v>10</v>
      </c>
      <c r="AZ52">
        <v>1.1875</v>
      </c>
      <c r="BA52">
        <v>10</v>
      </c>
      <c r="BB52">
        <v>10</v>
      </c>
      <c r="BC52">
        <v>9</v>
      </c>
      <c r="BD52">
        <v>2.9125000000000001</v>
      </c>
      <c r="BE52">
        <v>9</v>
      </c>
      <c r="BF52">
        <v>11.625</v>
      </c>
      <c r="BG52">
        <v>12</v>
      </c>
      <c r="BH52">
        <v>0.375</v>
      </c>
      <c r="BI52">
        <v>13</v>
      </c>
      <c r="BJ52">
        <v>14</v>
      </c>
      <c r="BK52">
        <v>24</v>
      </c>
      <c r="BL52">
        <v>-1.9749999999999999</v>
      </c>
      <c r="BM52">
        <v>10</v>
      </c>
      <c r="BN52">
        <v>5.25</v>
      </c>
      <c r="BO52">
        <v>8</v>
      </c>
      <c r="BP52">
        <v>0.4375</v>
      </c>
      <c r="BQ52">
        <v>29</v>
      </c>
      <c r="BR52">
        <v>25.333333333333332</v>
      </c>
      <c r="BS52">
        <v>30</v>
      </c>
      <c r="BT52">
        <v>-3.5875000000000004</v>
      </c>
      <c r="BU52">
        <v>32</v>
      </c>
      <c r="BV52">
        <v>-24.5625</v>
      </c>
      <c r="BW52">
        <v>14</v>
      </c>
      <c r="BX52">
        <v>0.375</v>
      </c>
      <c r="BY52">
        <v>7</v>
      </c>
      <c r="BZ52">
        <v>7.666666666666667</v>
      </c>
      <c r="CA52">
        <v>6</v>
      </c>
      <c r="CB52">
        <v>4.25</v>
      </c>
      <c r="CC52">
        <v>8</v>
      </c>
      <c r="CD52">
        <v>20</v>
      </c>
      <c r="CE52">
        <v>9</v>
      </c>
      <c r="CF52">
        <v>1.3125</v>
      </c>
      <c r="CG52">
        <v>25</v>
      </c>
      <c r="CH52">
        <v>24.333333333333332</v>
      </c>
      <c r="CI52">
        <v>28</v>
      </c>
      <c r="CJ52">
        <v>-3.7250000000000005</v>
      </c>
      <c r="CK52">
        <v>-17.625</v>
      </c>
      <c r="CL52">
        <v>-0.375</v>
      </c>
      <c r="CM52">
        <v>15</v>
      </c>
      <c r="CN52">
        <v>15.5</v>
      </c>
      <c r="CO52">
        <v>13</v>
      </c>
      <c r="CP52">
        <v>0.5625</v>
      </c>
      <c r="CQ52">
        <v>18</v>
      </c>
      <c r="CR52">
        <v>-6.25E-2</v>
      </c>
      <c r="CS52">
        <v>-1.0625</v>
      </c>
      <c r="CT52">
        <v>1</v>
      </c>
      <c r="CU52">
        <v>7.5</v>
      </c>
      <c r="CV52">
        <v>2</v>
      </c>
      <c r="CW52">
        <v>9.6975671694391391E-2</v>
      </c>
      <c r="CX52">
        <v>4</v>
      </c>
      <c r="CY52">
        <v>1.7780305712755545E-2</v>
      </c>
      <c r="CZ52">
        <v>23</v>
      </c>
      <c r="DA52">
        <v>4.2261904761904764E-2</v>
      </c>
      <c r="DB52">
        <v>1</v>
      </c>
      <c r="DC52">
        <v>3.875</v>
      </c>
      <c r="DD52">
        <v>2.625</v>
      </c>
      <c r="DE52">
        <v>-4.6875</v>
      </c>
      <c r="DF52">
        <v>0.625</v>
      </c>
      <c r="DG52">
        <v>-33.75</v>
      </c>
      <c r="DH52">
        <v>-33.125</v>
      </c>
      <c r="DI52">
        <v>-6</v>
      </c>
      <c r="DJ52">
        <v>-0.375</v>
      </c>
      <c r="DK52">
        <v>5.75</v>
      </c>
      <c r="DL52">
        <v>19</v>
      </c>
      <c r="DM52">
        <v>-0.82624999999999904</v>
      </c>
      <c r="DN52">
        <v>-0.54774999999999952</v>
      </c>
      <c r="DO52">
        <v>-27.125</v>
      </c>
      <c r="DP52">
        <v>14</v>
      </c>
      <c r="DQ52">
        <v>-1.5735937500000001</v>
      </c>
      <c r="DR52">
        <v>0.8125</v>
      </c>
      <c r="DS52">
        <v>-7.820312500000004E-2</v>
      </c>
      <c r="DT52">
        <v>0.28546874999999994</v>
      </c>
      <c r="DU52" t="s">
        <v>285</v>
      </c>
      <c r="DV52" t="s">
        <v>249</v>
      </c>
      <c r="DW52" t="s">
        <v>452</v>
      </c>
      <c r="DX52">
        <v>11</v>
      </c>
      <c r="DY52">
        <v>1.8025000000000002</v>
      </c>
      <c r="DZ52">
        <v>14</v>
      </c>
      <c r="EA52">
        <v>14.75</v>
      </c>
      <c r="EB52">
        <v>18</v>
      </c>
      <c r="EC52">
        <v>-0.70625000000000049</v>
      </c>
      <c r="ED52">
        <v>7</v>
      </c>
      <c r="EE52">
        <v>2.875</v>
      </c>
      <c r="EF52">
        <v>6</v>
      </c>
      <c r="EG52">
        <v>26.6875</v>
      </c>
      <c r="EH52">
        <v>28</v>
      </c>
      <c r="EI52">
        <v>-1.4375</v>
      </c>
      <c r="EJ52">
        <v>13</v>
      </c>
      <c r="EK52">
        <v>15</v>
      </c>
      <c r="EL52">
        <v>19</v>
      </c>
      <c r="EM52">
        <v>-0.80000000000000027</v>
      </c>
      <c r="EN52">
        <v>8</v>
      </c>
      <c r="EO52">
        <v>2.25</v>
      </c>
      <c r="EP52">
        <v>11</v>
      </c>
      <c r="EQ52">
        <v>8.6875</v>
      </c>
      <c r="ER52">
        <v>22</v>
      </c>
      <c r="ES52">
        <v>-0.5625</v>
      </c>
      <c r="ET52">
        <v>7</v>
      </c>
      <c r="EU52">
        <v>9.6666666666666661</v>
      </c>
      <c r="EV52">
        <v>16</v>
      </c>
      <c r="EW52">
        <v>9.3749999999999778E-2</v>
      </c>
      <c r="EX52">
        <v>11</v>
      </c>
      <c r="EY52">
        <v>0.625</v>
      </c>
      <c r="EZ52">
        <v>2</v>
      </c>
      <c r="FA52">
        <v>18</v>
      </c>
      <c r="FB52">
        <v>28</v>
      </c>
      <c r="FC52">
        <v>-0.875</v>
      </c>
      <c r="FD52">
        <v>21</v>
      </c>
      <c r="FE52">
        <v>21.333333333333332</v>
      </c>
      <c r="FF52">
        <v>20</v>
      </c>
      <c r="FG52">
        <v>-3.375</v>
      </c>
      <c r="FH52">
        <v>20</v>
      </c>
      <c r="FI52">
        <v>-7.0625</v>
      </c>
      <c r="FJ52">
        <v>24</v>
      </c>
      <c r="FK52">
        <v>-1.25</v>
      </c>
      <c r="FL52">
        <v>9</v>
      </c>
      <c r="FM52">
        <v>9</v>
      </c>
      <c r="FN52">
        <v>10</v>
      </c>
      <c r="FO52">
        <v>0.98749999999999982</v>
      </c>
      <c r="FP52">
        <v>8</v>
      </c>
      <c r="FQ52">
        <v>7.0625</v>
      </c>
      <c r="FR52">
        <v>9</v>
      </c>
      <c r="FS52">
        <v>0.4375</v>
      </c>
      <c r="FT52">
        <v>26</v>
      </c>
      <c r="FU52">
        <v>25</v>
      </c>
      <c r="FV52">
        <v>25</v>
      </c>
      <c r="FW52">
        <v>-2.5249999999999995</v>
      </c>
      <c r="FX52">
        <v>26</v>
      </c>
      <c r="FY52">
        <v>-9.625</v>
      </c>
      <c r="FZ52">
        <v>24</v>
      </c>
      <c r="GA52">
        <v>-0.9375</v>
      </c>
      <c r="GB52">
        <v>25</v>
      </c>
      <c r="GC52">
        <v>23</v>
      </c>
      <c r="GD52">
        <v>25</v>
      </c>
      <c r="GE52">
        <v>-1.8375000000000004</v>
      </c>
      <c r="GF52">
        <v>22</v>
      </c>
      <c r="GG52">
        <v>-4.5</v>
      </c>
      <c r="GH52">
        <v>22</v>
      </c>
      <c r="GI52">
        <v>-0.75</v>
      </c>
      <c r="GJ52">
        <v>19</v>
      </c>
      <c r="GK52">
        <v>20</v>
      </c>
      <c r="GL52">
        <v>13</v>
      </c>
      <c r="GM52">
        <v>0.99375000000000036</v>
      </c>
      <c r="GN52">
        <v>22</v>
      </c>
      <c r="GO52">
        <v>-11.3125</v>
      </c>
      <c r="GP52">
        <v>25</v>
      </c>
      <c r="GQ52">
        <v>-1.0625</v>
      </c>
      <c r="GR52">
        <v>18</v>
      </c>
      <c r="GS52">
        <v>18</v>
      </c>
      <c r="GT52">
        <v>24</v>
      </c>
      <c r="GU52">
        <v>-2.2562499999999996</v>
      </c>
      <c r="GV52">
        <v>-6.25</v>
      </c>
      <c r="GW52">
        <v>0.75</v>
      </c>
      <c r="GX52">
        <v>10</v>
      </c>
      <c r="GY52">
        <v>10.5</v>
      </c>
      <c r="GZ52">
        <v>9</v>
      </c>
      <c r="HA52">
        <v>1</v>
      </c>
      <c r="HB52">
        <v>12</v>
      </c>
      <c r="HC52">
        <v>0.25</v>
      </c>
      <c r="HD52">
        <v>6.25E-2</v>
      </c>
      <c r="HE52">
        <v>24</v>
      </c>
      <c r="HF52">
        <v>20.75</v>
      </c>
      <c r="HG52">
        <v>29</v>
      </c>
      <c r="HH52">
        <v>-5.3525892850447329E-2</v>
      </c>
      <c r="HI52">
        <v>14</v>
      </c>
      <c r="HJ52">
        <v>1.6923306215591242E-3</v>
      </c>
      <c r="HK52">
        <v>16</v>
      </c>
      <c r="HL52">
        <v>-1.7045454545454586E-3</v>
      </c>
      <c r="HM52">
        <v>24</v>
      </c>
      <c r="HN52">
        <v>-1.25</v>
      </c>
      <c r="HO52">
        <v>-0.9375</v>
      </c>
      <c r="HP52">
        <v>-1</v>
      </c>
      <c r="HQ52">
        <v>0</v>
      </c>
      <c r="HR52">
        <v>5.4375</v>
      </c>
      <c r="HS52">
        <v>-8.375</v>
      </c>
      <c r="HT52">
        <v>21.8125</v>
      </c>
      <c r="HU52">
        <v>-10</v>
      </c>
      <c r="HV52">
        <v>2</v>
      </c>
      <c r="HW52">
        <v>14</v>
      </c>
      <c r="HX52">
        <v>2.5087500000000009</v>
      </c>
      <c r="HY52">
        <v>-0.41262499999999969</v>
      </c>
      <c r="HZ52">
        <v>-30.1875</v>
      </c>
      <c r="IA52">
        <v>19</v>
      </c>
      <c r="IB52">
        <v>-0.44187500000000002</v>
      </c>
      <c r="IC52">
        <v>-0.5</v>
      </c>
    </row>
    <row r="53" spans="1:237" x14ac:dyDescent="0.2">
      <c r="A53" s="19">
        <v>44115</v>
      </c>
      <c r="B53" s="13" t="s">
        <v>381</v>
      </c>
      <c r="C53" s="41" t="s">
        <v>294</v>
      </c>
      <c r="D53" s="14" t="s">
        <v>309</v>
      </c>
      <c r="E53">
        <v>34.200000000000003</v>
      </c>
      <c r="F53">
        <v>12.6</v>
      </c>
      <c r="G53">
        <v>5.8</v>
      </c>
      <c r="H53">
        <v>1.6</v>
      </c>
      <c r="I53">
        <v>7</v>
      </c>
      <c r="J53">
        <v>44.5</v>
      </c>
      <c r="L53" t="s">
        <v>294</v>
      </c>
      <c r="M53">
        <v>16</v>
      </c>
      <c r="N53">
        <v>-0.6575000000000002</v>
      </c>
      <c r="O53">
        <v>21</v>
      </c>
      <c r="P53">
        <v>19.75</v>
      </c>
      <c r="Q53">
        <v>26</v>
      </c>
      <c r="R53">
        <v>-4.6937500000000014</v>
      </c>
      <c r="S53">
        <v>26</v>
      </c>
      <c r="T53">
        <v>-2.25</v>
      </c>
      <c r="U53">
        <v>22</v>
      </c>
      <c r="V53">
        <v>-13.6875</v>
      </c>
      <c r="W53">
        <v>5</v>
      </c>
      <c r="X53">
        <v>1.625</v>
      </c>
      <c r="Y53">
        <v>13</v>
      </c>
      <c r="Z53">
        <v>13.333333333333334</v>
      </c>
      <c r="AA53">
        <v>20</v>
      </c>
      <c r="AB53">
        <v>-1.3687500000000004</v>
      </c>
      <c r="AC53">
        <v>16</v>
      </c>
      <c r="AD53">
        <v>-0.5625</v>
      </c>
      <c r="AE53">
        <v>17</v>
      </c>
      <c r="AF53">
        <v>-1.3125</v>
      </c>
      <c r="AG53">
        <v>3</v>
      </c>
      <c r="AH53">
        <v>2.0625</v>
      </c>
      <c r="AI53">
        <v>28</v>
      </c>
      <c r="AJ53">
        <v>25.333333333333332</v>
      </c>
      <c r="AK53">
        <v>30</v>
      </c>
      <c r="AL53">
        <v>-3.3250000000000006</v>
      </c>
      <c r="AM53">
        <v>22</v>
      </c>
      <c r="AN53">
        <v>-1.6875</v>
      </c>
      <c r="AO53">
        <v>27</v>
      </c>
      <c r="AP53">
        <v>-12.375</v>
      </c>
      <c r="AQ53">
        <v>19</v>
      </c>
      <c r="AR53">
        <v>-0.4375</v>
      </c>
      <c r="AS53">
        <v>25</v>
      </c>
      <c r="AT53">
        <v>25.333333333333332</v>
      </c>
      <c r="AU53">
        <v>26</v>
      </c>
      <c r="AV53">
        <v>-5.8249999999999993</v>
      </c>
      <c r="AW53">
        <v>27</v>
      </c>
      <c r="AX53">
        <v>-31.6875</v>
      </c>
      <c r="AY53">
        <v>23</v>
      </c>
      <c r="AZ53">
        <v>-1.6875</v>
      </c>
      <c r="BA53">
        <v>23</v>
      </c>
      <c r="BB53">
        <v>23</v>
      </c>
      <c r="BC53">
        <v>26</v>
      </c>
      <c r="BD53">
        <v>-3.3624999999999994</v>
      </c>
      <c r="BE53">
        <v>25</v>
      </c>
      <c r="BF53">
        <v>-12.5</v>
      </c>
      <c r="BG53">
        <v>18</v>
      </c>
      <c r="BH53">
        <v>-0.3125</v>
      </c>
      <c r="BI53">
        <v>26</v>
      </c>
      <c r="BJ53">
        <v>23.666666666666668</v>
      </c>
      <c r="BK53">
        <v>19</v>
      </c>
      <c r="BL53">
        <v>-1.4624999999999999</v>
      </c>
      <c r="BM53">
        <v>26</v>
      </c>
      <c r="BN53">
        <v>-13.6875</v>
      </c>
      <c r="BO53">
        <v>26</v>
      </c>
      <c r="BP53">
        <v>-0.9375</v>
      </c>
      <c r="BQ53">
        <v>22</v>
      </c>
      <c r="BR53">
        <v>21.666666666666668</v>
      </c>
      <c r="BS53">
        <v>22</v>
      </c>
      <c r="BT53">
        <v>-0.99999999999999978</v>
      </c>
      <c r="BU53">
        <v>22</v>
      </c>
      <c r="BV53">
        <v>-5.5</v>
      </c>
      <c r="BW53">
        <v>21</v>
      </c>
      <c r="BX53">
        <v>-0.4375</v>
      </c>
      <c r="BY53">
        <v>8</v>
      </c>
      <c r="BZ53">
        <v>8.3333333333333339</v>
      </c>
      <c r="CA53">
        <v>7</v>
      </c>
      <c r="CB53">
        <v>4.0937500000000018</v>
      </c>
      <c r="CC53">
        <v>16</v>
      </c>
      <c r="CD53">
        <v>-0.9375</v>
      </c>
      <c r="CE53">
        <v>2</v>
      </c>
      <c r="CF53">
        <v>3.3125</v>
      </c>
      <c r="CG53">
        <v>3</v>
      </c>
      <c r="CH53">
        <v>4</v>
      </c>
      <c r="CI53">
        <v>4</v>
      </c>
      <c r="CJ53">
        <v>4.9562500000000007</v>
      </c>
      <c r="CK53">
        <v>25.0625</v>
      </c>
      <c r="CL53">
        <v>2.125</v>
      </c>
      <c r="CM53">
        <v>23</v>
      </c>
      <c r="CN53">
        <v>22.5</v>
      </c>
      <c r="CO53">
        <v>22</v>
      </c>
      <c r="CP53">
        <v>-1</v>
      </c>
      <c r="CQ53">
        <v>23</v>
      </c>
      <c r="CR53">
        <v>-0.25</v>
      </c>
      <c r="CS53">
        <v>1.375</v>
      </c>
      <c r="CT53">
        <v>8</v>
      </c>
      <c r="CU53">
        <v>12.25</v>
      </c>
      <c r="CV53">
        <v>19</v>
      </c>
      <c r="CW53">
        <v>-2.2167147552321957E-2</v>
      </c>
      <c r="CX53">
        <v>8</v>
      </c>
      <c r="CY53">
        <v>1.4412679189953471E-2</v>
      </c>
      <c r="CZ53">
        <v>18</v>
      </c>
      <c r="DA53">
        <v>2.651254995004991E-2</v>
      </c>
      <c r="DB53">
        <v>4</v>
      </c>
      <c r="DC53">
        <v>2.9375</v>
      </c>
      <c r="DD53">
        <v>4.875</v>
      </c>
      <c r="DE53">
        <v>-2.9375</v>
      </c>
      <c r="DF53">
        <v>1.3125</v>
      </c>
      <c r="DG53">
        <v>-19.3125</v>
      </c>
      <c r="DH53">
        <v>1.375</v>
      </c>
      <c r="DI53">
        <v>-18.8125</v>
      </c>
      <c r="DJ53">
        <v>-3</v>
      </c>
      <c r="DK53">
        <v>1.125</v>
      </c>
      <c r="DL53">
        <v>9</v>
      </c>
      <c r="DM53">
        <v>4.0362500000000008</v>
      </c>
      <c r="DN53">
        <v>2.0416250000000007</v>
      </c>
      <c r="DO53">
        <v>20.1875</v>
      </c>
      <c r="DP53">
        <v>24</v>
      </c>
      <c r="DQ53">
        <v>-0.90250000000000008</v>
      </c>
      <c r="DR53">
        <v>0.4375</v>
      </c>
      <c r="DS53">
        <v>0.87380208333333331</v>
      </c>
      <c r="DT53">
        <v>0.9759374999999999</v>
      </c>
      <c r="DU53" t="s">
        <v>309</v>
      </c>
      <c r="DV53" t="s">
        <v>271</v>
      </c>
      <c r="DW53" t="s">
        <v>521</v>
      </c>
      <c r="DX53">
        <v>6</v>
      </c>
      <c r="DY53">
        <v>3.1983333333333337</v>
      </c>
      <c r="DZ53">
        <v>19</v>
      </c>
      <c r="EA53">
        <v>19</v>
      </c>
      <c r="EB53">
        <v>19</v>
      </c>
      <c r="EC53">
        <v>-0.80833333333333313</v>
      </c>
      <c r="ED53">
        <v>15</v>
      </c>
      <c r="EE53">
        <v>0.66666666666666652</v>
      </c>
      <c r="EF53">
        <v>28</v>
      </c>
      <c r="EG53">
        <v>-19.416666666666668</v>
      </c>
      <c r="EH53">
        <v>14</v>
      </c>
      <c r="EI53">
        <v>0.25</v>
      </c>
      <c r="EJ53">
        <v>11</v>
      </c>
      <c r="EK53">
        <v>12.25</v>
      </c>
      <c r="EL53">
        <v>14</v>
      </c>
      <c r="EM53">
        <v>0.4250000000000001</v>
      </c>
      <c r="EN53">
        <v>5</v>
      </c>
      <c r="EO53">
        <v>2.9166666666666665</v>
      </c>
      <c r="EP53">
        <v>23</v>
      </c>
      <c r="EQ53">
        <v>-11.75</v>
      </c>
      <c r="ER53">
        <v>7</v>
      </c>
      <c r="ES53">
        <v>0.83333333333333337</v>
      </c>
      <c r="ET53">
        <v>30</v>
      </c>
      <c r="EU53">
        <v>27.666666666666668</v>
      </c>
      <c r="EV53">
        <v>24</v>
      </c>
      <c r="EW53">
        <v>-1.2333333333333332</v>
      </c>
      <c r="EX53">
        <v>31</v>
      </c>
      <c r="EY53">
        <v>-2.25</v>
      </c>
      <c r="EZ53">
        <v>28</v>
      </c>
      <c r="FA53">
        <v>-7.666666666666667</v>
      </c>
      <c r="FB53">
        <v>23</v>
      </c>
      <c r="FC53">
        <v>-0.58333333333333337</v>
      </c>
      <c r="FD53">
        <v>5</v>
      </c>
      <c r="FE53">
        <v>5.666666666666667</v>
      </c>
      <c r="FF53">
        <v>4</v>
      </c>
      <c r="FG53">
        <v>8.6333333333333329</v>
      </c>
      <c r="FH53">
        <v>3</v>
      </c>
      <c r="FI53">
        <v>28.583333333333332</v>
      </c>
      <c r="FJ53">
        <v>10</v>
      </c>
      <c r="FK53">
        <v>0.58333333333333337</v>
      </c>
      <c r="FL53">
        <v>5</v>
      </c>
      <c r="FM53">
        <v>6.333333333333333</v>
      </c>
      <c r="FN53">
        <v>4</v>
      </c>
      <c r="FO53">
        <v>5.416666666666667</v>
      </c>
      <c r="FP53">
        <v>4</v>
      </c>
      <c r="FQ53">
        <v>11.666666666666666</v>
      </c>
      <c r="FR53">
        <v>11</v>
      </c>
      <c r="FS53">
        <v>0.16666666666666666</v>
      </c>
      <c r="FT53">
        <v>7</v>
      </c>
      <c r="FU53">
        <v>10</v>
      </c>
      <c r="FV53">
        <v>10</v>
      </c>
      <c r="FW53">
        <v>1.5833333333333333</v>
      </c>
      <c r="FX53">
        <v>4</v>
      </c>
      <c r="FY53">
        <v>14.166666666666666</v>
      </c>
      <c r="FZ53">
        <v>16</v>
      </c>
      <c r="GA53">
        <v>0</v>
      </c>
      <c r="GB53">
        <v>8</v>
      </c>
      <c r="GC53">
        <v>9.6666666666666661</v>
      </c>
      <c r="GD53">
        <v>6</v>
      </c>
      <c r="GE53">
        <v>1.6333333333333331</v>
      </c>
      <c r="GF53">
        <v>12</v>
      </c>
      <c r="GG53">
        <v>2.75</v>
      </c>
      <c r="GH53">
        <v>11</v>
      </c>
      <c r="GI53">
        <v>0.41666666666666669</v>
      </c>
      <c r="GJ53">
        <v>6</v>
      </c>
      <c r="GK53">
        <v>6</v>
      </c>
      <c r="GL53">
        <v>6</v>
      </c>
      <c r="GM53">
        <v>3.9333333333333336</v>
      </c>
      <c r="GN53">
        <v>7</v>
      </c>
      <c r="GO53">
        <v>12.666666666666666</v>
      </c>
      <c r="GP53">
        <v>5</v>
      </c>
      <c r="GQ53">
        <v>1.1666666666666667</v>
      </c>
      <c r="GR53">
        <v>26</v>
      </c>
      <c r="GS53">
        <v>25</v>
      </c>
      <c r="GT53">
        <v>23</v>
      </c>
      <c r="GU53">
        <v>-1.6833333333333333</v>
      </c>
      <c r="GV53">
        <v>-11.833333333333334</v>
      </c>
      <c r="GW53">
        <v>-1</v>
      </c>
      <c r="GX53">
        <v>32</v>
      </c>
      <c r="GY53">
        <v>29</v>
      </c>
      <c r="GZ53">
        <v>32</v>
      </c>
      <c r="HA53">
        <v>-3.1666666666666665</v>
      </c>
      <c r="HB53">
        <v>26</v>
      </c>
      <c r="HC53">
        <v>-0.66666666666666663</v>
      </c>
      <c r="HD53">
        <v>-0.16666666666666666</v>
      </c>
      <c r="HE53">
        <v>9</v>
      </c>
      <c r="HF53">
        <v>12.25</v>
      </c>
      <c r="HG53">
        <v>1</v>
      </c>
      <c r="HH53">
        <v>0.10783733677450973</v>
      </c>
      <c r="HI53">
        <v>2</v>
      </c>
      <c r="HJ53">
        <v>3.9239793145320438E-2</v>
      </c>
      <c r="HK53">
        <v>30</v>
      </c>
      <c r="HL53">
        <v>0.1082393483709273</v>
      </c>
      <c r="HM53">
        <v>16</v>
      </c>
      <c r="HN53">
        <v>-0.58333333333333337</v>
      </c>
      <c r="HO53">
        <v>0.83333333333333337</v>
      </c>
      <c r="HP53">
        <v>1.9166666666666667</v>
      </c>
      <c r="HQ53">
        <v>0</v>
      </c>
      <c r="HR53">
        <v>1.0833333333333333</v>
      </c>
      <c r="HS53">
        <v>27.666666666666668</v>
      </c>
      <c r="HT53">
        <v>-20.333333333333332</v>
      </c>
      <c r="HU53">
        <v>1.6666666666666667</v>
      </c>
      <c r="HV53">
        <v>-7.916666666666667</v>
      </c>
      <c r="HW53">
        <v>12</v>
      </c>
      <c r="HX53">
        <v>4.0066666666666668</v>
      </c>
      <c r="HY53">
        <v>2.4338333333333333</v>
      </c>
      <c r="HZ53">
        <v>48</v>
      </c>
      <c r="IA53">
        <v>21</v>
      </c>
      <c r="IB53">
        <v>0.77166666666666672</v>
      </c>
      <c r="IC53">
        <v>-0.41666666666666663</v>
      </c>
    </row>
    <row r="54" spans="1:237" x14ac:dyDescent="0.2">
      <c r="A54" s="19">
        <v>44115</v>
      </c>
      <c r="B54" s="13" t="s">
        <v>381</v>
      </c>
      <c r="C54" s="41" t="s">
        <v>309</v>
      </c>
      <c r="D54" s="14" t="s">
        <v>294</v>
      </c>
      <c r="E54">
        <v>45.6</v>
      </c>
      <c r="F54">
        <v>6.8</v>
      </c>
      <c r="G54">
        <v>0.8</v>
      </c>
      <c r="H54">
        <v>8.3000000000000007</v>
      </c>
      <c r="I54">
        <v>-7</v>
      </c>
      <c r="J54">
        <v>44.5</v>
      </c>
      <c r="L54" t="s">
        <v>309</v>
      </c>
      <c r="M54">
        <v>8</v>
      </c>
      <c r="N54">
        <v>1.923333333333332</v>
      </c>
      <c r="O54">
        <v>10</v>
      </c>
      <c r="P54">
        <v>11.75</v>
      </c>
      <c r="Q54">
        <v>11</v>
      </c>
      <c r="R54">
        <v>1.4666666666666668</v>
      </c>
      <c r="S54">
        <v>22</v>
      </c>
      <c r="T54">
        <v>-1.5</v>
      </c>
      <c r="U54">
        <v>4</v>
      </c>
      <c r="V54">
        <v>23.416666666666668</v>
      </c>
      <c r="W54">
        <v>10</v>
      </c>
      <c r="X54">
        <v>0.49999999999999994</v>
      </c>
      <c r="Y54">
        <v>6</v>
      </c>
      <c r="Z54">
        <v>9.6666666666666661</v>
      </c>
      <c r="AA54">
        <v>9</v>
      </c>
      <c r="AB54">
        <v>3.6500000000000004</v>
      </c>
      <c r="AC54">
        <v>12</v>
      </c>
      <c r="AD54">
        <v>0.16666666666666666</v>
      </c>
      <c r="AE54">
        <v>1</v>
      </c>
      <c r="AF54">
        <v>25.416666666666668</v>
      </c>
      <c r="AG54">
        <v>19</v>
      </c>
      <c r="AH54">
        <v>-0.41666666666666669</v>
      </c>
      <c r="AI54">
        <v>18</v>
      </c>
      <c r="AJ54">
        <v>16.333333333333332</v>
      </c>
      <c r="AK54">
        <v>26</v>
      </c>
      <c r="AL54">
        <v>-2.1833333333333336</v>
      </c>
      <c r="AM54">
        <v>20</v>
      </c>
      <c r="AN54">
        <v>-1.6666666666666667</v>
      </c>
      <c r="AO54">
        <v>17</v>
      </c>
      <c r="AP54">
        <v>-2</v>
      </c>
      <c r="AQ54">
        <v>6</v>
      </c>
      <c r="AR54">
        <v>0.91666666666666663</v>
      </c>
      <c r="AS54">
        <v>10</v>
      </c>
      <c r="AT54">
        <v>10.666666666666666</v>
      </c>
      <c r="AU54">
        <v>9</v>
      </c>
      <c r="AV54">
        <v>5.2666666666666675</v>
      </c>
      <c r="AW54">
        <v>11</v>
      </c>
      <c r="AX54">
        <v>8.6666666666666661</v>
      </c>
      <c r="AY54">
        <v>12</v>
      </c>
      <c r="AZ54">
        <v>1</v>
      </c>
      <c r="BA54">
        <v>13</v>
      </c>
      <c r="BB54">
        <v>12</v>
      </c>
      <c r="BC54">
        <v>6</v>
      </c>
      <c r="BD54">
        <v>3.6833333333333336</v>
      </c>
      <c r="BE54">
        <v>14</v>
      </c>
      <c r="BF54">
        <v>0.25</v>
      </c>
      <c r="BG54">
        <v>16</v>
      </c>
      <c r="BH54">
        <v>-8.3333333333333329E-2</v>
      </c>
      <c r="BI54">
        <v>11</v>
      </c>
      <c r="BJ54">
        <v>13.333333333333334</v>
      </c>
      <c r="BK54">
        <v>21</v>
      </c>
      <c r="BL54">
        <v>-1.6249999999999993</v>
      </c>
      <c r="BM54">
        <v>16</v>
      </c>
      <c r="BN54">
        <v>-4.5</v>
      </c>
      <c r="BO54">
        <v>3</v>
      </c>
      <c r="BP54">
        <v>1.5833333333333333</v>
      </c>
      <c r="BQ54">
        <v>10</v>
      </c>
      <c r="BR54">
        <v>11</v>
      </c>
      <c r="BS54">
        <v>6</v>
      </c>
      <c r="BT54">
        <v>3.2083333333333326</v>
      </c>
      <c r="BU54">
        <v>5</v>
      </c>
      <c r="BV54">
        <v>12.916666666666666</v>
      </c>
      <c r="BW54">
        <v>22</v>
      </c>
      <c r="BX54">
        <v>-0.5</v>
      </c>
      <c r="BY54">
        <v>13</v>
      </c>
      <c r="BZ54">
        <v>16</v>
      </c>
      <c r="CA54">
        <v>12</v>
      </c>
      <c r="CB54">
        <v>2.4750000000000001</v>
      </c>
      <c r="CC54">
        <v>21</v>
      </c>
      <c r="CD54">
        <v>-9.4166666666666661</v>
      </c>
      <c r="CE54">
        <v>15</v>
      </c>
      <c r="CF54">
        <v>0.16666666666666666</v>
      </c>
      <c r="CG54">
        <v>9</v>
      </c>
      <c r="CH54">
        <v>11</v>
      </c>
      <c r="CI54">
        <v>10</v>
      </c>
      <c r="CJ54">
        <v>1.2166666666666668</v>
      </c>
      <c r="CK54">
        <v>6.333333333333333</v>
      </c>
      <c r="CL54">
        <v>0.25</v>
      </c>
      <c r="CM54">
        <v>28</v>
      </c>
      <c r="CN54">
        <v>26.5</v>
      </c>
      <c r="CO54">
        <v>23</v>
      </c>
      <c r="CP54">
        <v>-1.0833333333333333</v>
      </c>
      <c r="CQ54">
        <v>30</v>
      </c>
      <c r="CR54">
        <v>-0.91666666666666663</v>
      </c>
      <c r="CS54">
        <v>-0.58333333333333337</v>
      </c>
      <c r="CT54">
        <v>30</v>
      </c>
      <c r="CU54">
        <v>26</v>
      </c>
      <c r="CV54">
        <v>30</v>
      </c>
      <c r="CW54">
        <v>-6.032447174530603E-2</v>
      </c>
      <c r="CX54">
        <v>31</v>
      </c>
      <c r="CY54">
        <v>-2.4635311709534979E-2</v>
      </c>
      <c r="CZ54">
        <v>25</v>
      </c>
      <c r="DA54">
        <v>7.2619047619047583E-2</v>
      </c>
      <c r="DB54">
        <v>18</v>
      </c>
      <c r="DC54">
        <v>-0.16666666666666666</v>
      </c>
      <c r="DD54">
        <v>0.33333333333333331</v>
      </c>
      <c r="DE54">
        <v>0.83333333333333337</v>
      </c>
      <c r="DF54">
        <v>-0.83333333333333337</v>
      </c>
      <c r="DG54">
        <v>15.75</v>
      </c>
      <c r="DH54">
        <v>10.916666666666666</v>
      </c>
      <c r="DI54">
        <v>19.333333333333332</v>
      </c>
      <c r="DJ54">
        <v>-1.3333333333333333</v>
      </c>
      <c r="DK54">
        <v>-13.166666666666666</v>
      </c>
      <c r="DL54">
        <v>16</v>
      </c>
      <c r="DM54">
        <v>0.45666666666666522</v>
      </c>
      <c r="DN54">
        <v>0.94799999999999995</v>
      </c>
      <c r="DO54">
        <v>-8.4166666666666661</v>
      </c>
      <c r="DP54">
        <v>17</v>
      </c>
      <c r="DQ54">
        <v>1.0987499999999999</v>
      </c>
      <c r="DR54">
        <v>1.25</v>
      </c>
      <c r="DS54">
        <v>0.87380208333333331</v>
      </c>
      <c r="DT54">
        <v>0.77166666666666672</v>
      </c>
      <c r="DU54" t="s">
        <v>294</v>
      </c>
      <c r="DV54" t="s">
        <v>290</v>
      </c>
      <c r="DW54" t="s">
        <v>469</v>
      </c>
      <c r="DX54">
        <v>16</v>
      </c>
      <c r="DY54">
        <v>0.76374999999999993</v>
      </c>
      <c r="DZ54">
        <v>26</v>
      </c>
      <c r="EA54">
        <v>22.25</v>
      </c>
      <c r="EB54">
        <v>24</v>
      </c>
      <c r="EC54">
        <v>-3.7562499999999996</v>
      </c>
      <c r="ED54">
        <v>19</v>
      </c>
      <c r="EE54">
        <v>-0.4375</v>
      </c>
      <c r="EF54">
        <v>19</v>
      </c>
      <c r="EG54">
        <v>-10</v>
      </c>
      <c r="EH54">
        <v>27</v>
      </c>
      <c r="EI54">
        <v>-1.3125</v>
      </c>
      <c r="EJ54">
        <v>17</v>
      </c>
      <c r="EK54">
        <v>18.5</v>
      </c>
      <c r="EL54">
        <v>21</v>
      </c>
      <c r="EM54">
        <v>-2.125</v>
      </c>
      <c r="EN54">
        <v>13</v>
      </c>
      <c r="EO54">
        <v>6.25E-2</v>
      </c>
      <c r="EP54">
        <v>24</v>
      </c>
      <c r="EQ54">
        <v>-12.0625</v>
      </c>
      <c r="ER54">
        <v>16</v>
      </c>
      <c r="ES54">
        <v>-6.25E-2</v>
      </c>
      <c r="ET54">
        <v>20</v>
      </c>
      <c r="EU54">
        <v>20.333333333333332</v>
      </c>
      <c r="EV54">
        <v>26</v>
      </c>
      <c r="EW54">
        <v>-1.6312499999999994</v>
      </c>
      <c r="EX54">
        <v>21</v>
      </c>
      <c r="EY54">
        <v>-0.5</v>
      </c>
      <c r="EZ54">
        <v>14</v>
      </c>
      <c r="FA54">
        <v>2.0625</v>
      </c>
      <c r="FB54">
        <v>30</v>
      </c>
      <c r="FC54">
        <v>-1.25</v>
      </c>
      <c r="FD54">
        <v>12</v>
      </c>
      <c r="FE54">
        <v>14.333333333333334</v>
      </c>
      <c r="FF54">
        <v>9</v>
      </c>
      <c r="FG54">
        <v>1.9999999999999998</v>
      </c>
      <c r="FH54">
        <v>19</v>
      </c>
      <c r="FI54">
        <v>-4.75</v>
      </c>
      <c r="FJ54">
        <v>15</v>
      </c>
      <c r="FK54">
        <v>-0.3125</v>
      </c>
      <c r="FL54">
        <v>23</v>
      </c>
      <c r="FM54">
        <v>21</v>
      </c>
      <c r="FN54">
        <v>17</v>
      </c>
      <c r="FO54">
        <v>-0.90624999999999956</v>
      </c>
      <c r="FP54">
        <v>29</v>
      </c>
      <c r="FQ54">
        <v>-15.8125</v>
      </c>
      <c r="FR54">
        <v>17</v>
      </c>
      <c r="FS54">
        <v>-0.125</v>
      </c>
      <c r="FT54">
        <v>22</v>
      </c>
      <c r="FU54">
        <v>20.666666666666668</v>
      </c>
      <c r="FV54">
        <v>18</v>
      </c>
      <c r="FW54">
        <v>-0.46875000000000022</v>
      </c>
      <c r="FX54">
        <v>14</v>
      </c>
      <c r="FY54">
        <v>6</v>
      </c>
      <c r="FZ54">
        <v>30</v>
      </c>
      <c r="GA54">
        <v>-1.5</v>
      </c>
      <c r="GB54">
        <v>4</v>
      </c>
      <c r="GC54">
        <v>5</v>
      </c>
      <c r="GD54">
        <v>4</v>
      </c>
      <c r="GE54">
        <v>3.3749999999999996</v>
      </c>
      <c r="GF54">
        <v>7</v>
      </c>
      <c r="GG54">
        <v>5.0625</v>
      </c>
      <c r="GH54">
        <v>4</v>
      </c>
      <c r="GI54">
        <v>1.3125</v>
      </c>
      <c r="GJ54">
        <v>24</v>
      </c>
      <c r="GK54">
        <v>23</v>
      </c>
      <c r="GL54">
        <v>24</v>
      </c>
      <c r="GM54">
        <v>-3.2687499999999998</v>
      </c>
      <c r="GN54">
        <v>24</v>
      </c>
      <c r="GO54">
        <v>-13.3125</v>
      </c>
      <c r="GP54">
        <v>21</v>
      </c>
      <c r="GQ54">
        <v>-0.5625</v>
      </c>
      <c r="GR54">
        <v>4</v>
      </c>
      <c r="GS54">
        <v>4.333333333333333</v>
      </c>
      <c r="GT54">
        <v>2</v>
      </c>
      <c r="GU54">
        <v>8.9874999999999989</v>
      </c>
      <c r="GV54">
        <v>22.6875</v>
      </c>
      <c r="GW54">
        <v>1</v>
      </c>
      <c r="GX54">
        <v>17</v>
      </c>
      <c r="GY54">
        <v>17</v>
      </c>
      <c r="GZ54">
        <v>16</v>
      </c>
      <c r="HA54">
        <v>-0.1875</v>
      </c>
      <c r="HB54">
        <v>18</v>
      </c>
      <c r="HC54">
        <v>-0.25</v>
      </c>
      <c r="HD54">
        <v>2.9375</v>
      </c>
      <c r="HE54">
        <v>4</v>
      </c>
      <c r="HF54">
        <v>9.5</v>
      </c>
      <c r="HG54">
        <v>2</v>
      </c>
      <c r="HH54">
        <v>8.1047829432016216E-2</v>
      </c>
      <c r="HI54">
        <v>4</v>
      </c>
      <c r="HJ54">
        <v>2.3412965791857334E-2</v>
      </c>
      <c r="HK54">
        <v>24</v>
      </c>
      <c r="HL54">
        <v>4.323870573870571E-2</v>
      </c>
      <c r="HM54">
        <v>8</v>
      </c>
      <c r="HN54">
        <v>1.375</v>
      </c>
      <c r="HO54">
        <v>1.625</v>
      </c>
      <c r="HP54">
        <v>2.3125</v>
      </c>
      <c r="HQ54">
        <v>0</v>
      </c>
      <c r="HR54">
        <v>-3</v>
      </c>
      <c r="HS54">
        <v>7.375</v>
      </c>
      <c r="HT54">
        <v>-16.1875</v>
      </c>
      <c r="HU54">
        <v>7.375</v>
      </c>
      <c r="HV54">
        <v>-1.5625</v>
      </c>
      <c r="HW54">
        <v>10</v>
      </c>
      <c r="HX54">
        <v>4.5199999999999996</v>
      </c>
      <c r="HY54">
        <v>4.2283749999999998</v>
      </c>
      <c r="HZ54">
        <v>23.5625</v>
      </c>
      <c r="IA54">
        <v>23</v>
      </c>
      <c r="IB54">
        <v>0.9759374999999999</v>
      </c>
      <c r="IC54">
        <v>0.6875</v>
      </c>
    </row>
    <row r="55" spans="1:237" x14ac:dyDescent="0.2">
      <c r="A55" s="19">
        <v>44115</v>
      </c>
      <c r="B55" s="14" t="s">
        <v>381</v>
      </c>
      <c r="C55" s="40" t="s">
        <v>256</v>
      </c>
      <c r="D55" s="13" t="s">
        <v>293</v>
      </c>
      <c r="E55">
        <v>4.2</v>
      </c>
      <c r="F55">
        <v>7.4</v>
      </c>
      <c r="G55">
        <v>11</v>
      </c>
      <c r="H55">
        <v>8.4</v>
      </c>
      <c r="I55">
        <v>-8.5</v>
      </c>
      <c r="J55">
        <v>50.5</v>
      </c>
      <c r="K55" t="s">
        <v>735</v>
      </c>
      <c r="L55" t="s">
        <v>256</v>
      </c>
      <c r="M55">
        <v>20</v>
      </c>
      <c r="N55">
        <v>-1.2675000000000001</v>
      </c>
      <c r="O55">
        <v>10</v>
      </c>
      <c r="P55">
        <v>11.75</v>
      </c>
      <c r="Q55">
        <v>4</v>
      </c>
      <c r="R55">
        <v>7.1937499999999988</v>
      </c>
      <c r="S55">
        <v>19</v>
      </c>
      <c r="T55">
        <v>-1</v>
      </c>
      <c r="U55">
        <v>21</v>
      </c>
      <c r="V55">
        <v>-12.25</v>
      </c>
      <c r="W55">
        <v>3</v>
      </c>
      <c r="X55">
        <v>2</v>
      </c>
      <c r="Y55">
        <v>8</v>
      </c>
      <c r="Z55">
        <v>11</v>
      </c>
      <c r="AA55">
        <v>8</v>
      </c>
      <c r="AB55">
        <v>3.9812499999999993</v>
      </c>
      <c r="AC55">
        <v>27</v>
      </c>
      <c r="AD55">
        <v>-2.0625</v>
      </c>
      <c r="AE55">
        <v>20</v>
      </c>
      <c r="AF55">
        <v>-5.0625</v>
      </c>
      <c r="AG55">
        <v>5</v>
      </c>
      <c r="AH55">
        <v>1.5</v>
      </c>
      <c r="AI55">
        <v>10</v>
      </c>
      <c r="AJ55">
        <v>13.333333333333334</v>
      </c>
      <c r="AK55">
        <v>3</v>
      </c>
      <c r="AL55">
        <v>3.2124999999999995</v>
      </c>
      <c r="AM55">
        <v>9</v>
      </c>
      <c r="AN55">
        <v>1.0625</v>
      </c>
      <c r="AO55">
        <v>25</v>
      </c>
      <c r="AP55">
        <v>-7.1875</v>
      </c>
      <c r="AQ55">
        <v>12</v>
      </c>
      <c r="AR55">
        <v>0.5</v>
      </c>
      <c r="AS55">
        <v>31</v>
      </c>
      <c r="AT55">
        <v>30.333333333333332</v>
      </c>
      <c r="AU55">
        <v>30</v>
      </c>
      <c r="AV55">
        <v>-9.8312500000000007</v>
      </c>
      <c r="AW55">
        <v>31</v>
      </c>
      <c r="AX55">
        <v>-45.1875</v>
      </c>
      <c r="AY55">
        <v>30</v>
      </c>
      <c r="AZ55">
        <v>-4.125</v>
      </c>
      <c r="BA55">
        <v>25</v>
      </c>
      <c r="BB55">
        <v>24.333333333333332</v>
      </c>
      <c r="BC55">
        <v>22</v>
      </c>
      <c r="BD55">
        <v>-2.6125000000000003</v>
      </c>
      <c r="BE55">
        <v>27</v>
      </c>
      <c r="BF55">
        <v>-14.4375</v>
      </c>
      <c r="BG55">
        <v>24</v>
      </c>
      <c r="BH55">
        <v>-1.4375</v>
      </c>
      <c r="BI55">
        <v>31</v>
      </c>
      <c r="BJ55">
        <v>28.333333333333332</v>
      </c>
      <c r="BK55">
        <v>29</v>
      </c>
      <c r="BL55">
        <v>-3.625</v>
      </c>
      <c r="BM55">
        <v>29</v>
      </c>
      <c r="BN55">
        <v>-18.3125</v>
      </c>
      <c r="BO55">
        <v>27</v>
      </c>
      <c r="BP55">
        <v>-1.0625</v>
      </c>
      <c r="BQ55">
        <v>30</v>
      </c>
      <c r="BR55">
        <v>29.333333333333332</v>
      </c>
      <c r="BS55">
        <v>31</v>
      </c>
      <c r="BT55">
        <v>-3.5937500000000009</v>
      </c>
      <c r="BU55">
        <v>29</v>
      </c>
      <c r="BV55">
        <v>-12.4375</v>
      </c>
      <c r="BW55">
        <v>28</v>
      </c>
      <c r="BX55">
        <v>-1.625</v>
      </c>
      <c r="BY55">
        <v>12</v>
      </c>
      <c r="BZ55">
        <v>11.333333333333334</v>
      </c>
      <c r="CA55">
        <v>13</v>
      </c>
      <c r="CB55">
        <v>2.0687500000000014</v>
      </c>
      <c r="CC55">
        <v>7</v>
      </c>
      <c r="CD55">
        <v>20.6875</v>
      </c>
      <c r="CE55">
        <v>14</v>
      </c>
      <c r="CF55">
        <v>0.25</v>
      </c>
      <c r="CG55">
        <v>1</v>
      </c>
      <c r="CH55">
        <v>1.3333333333333333</v>
      </c>
      <c r="CI55">
        <v>1</v>
      </c>
      <c r="CJ55">
        <v>8.5437500000000011</v>
      </c>
      <c r="CK55">
        <v>34.75</v>
      </c>
      <c r="CL55">
        <v>3.1875</v>
      </c>
      <c r="CM55">
        <v>23</v>
      </c>
      <c r="CN55">
        <v>22.5</v>
      </c>
      <c r="CO55">
        <v>17</v>
      </c>
      <c r="CP55">
        <v>-0.375</v>
      </c>
      <c r="CQ55">
        <v>28</v>
      </c>
      <c r="CR55">
        <v>-0.5</v>
      </c>
      <c r="CS55">
        <v>-2.25</v>
      </c>
      <c r="CT55">
        <v>11</v>
      </c>
      <c r="CU55">
        <v>13</v>
      </c>
      <c r="CV55">
        <v>7</v>
      </c>
      <c r="CW55">
        <v>3.683829345958968E-2</v>
      </c>
      <c r="CX55">
        <v>7</v>
      </c>
      <c r="CY55">
        <v>1.4491679950928454E-2</v>
      </c>
      <c r="CZ55">
        <v>31</v>
      </c>
      <c r="DA55">
        <v>0.13090277777777776</v>
      </c>
      <c r="DB55">
        <v>7</v>
      </c>
      <c r="DC55">
        <v>1.1875</v>
      </c>
      <c r="DD55">
        <v>0</v>
      </c>
      <c r="DE55">
        <v>1.125</v>
      </c>
      <c r="DF55">
        <v>-1</v>
      </c>
      <c r="DG55">
        <v>39.8125</v>
      </c>
      <c r="DH55">
        <v>31</v>
      </c>
      <c r="DI55">
        <v>6.3125</v>
      </c>
      <c r="DJ55">
        <v>10.5</v>
      </c>
      <c r="DK55">
        <v>-8</v>
      </c>
      <c r="DL55">
        <v>30</v>
      </c>
      <c r="DM55">
        <v>-8.4612499999999997</v>
      </c>
      <c r="DN55">
        <v>-4.1078749999999999</v>
      </c>
      <c r="DO55">
        <v>24.6875</v>
      </c>
      <c r="DP55">
        <v>3</v>
      </c>
      <c r="DQ55">
        <v>0.53296874999999977</v>
      </c>
      <c r="DR55">
        <v>-0.9375</v>
      </c>
      <c r="DS55">
        <v>-0.89164062499999974</v>
      </c>
      <c r="DT55">
        <v>-0.7018749999999998</v>
      </c>
      <c r="DU55" t="s">
        <v>293</v>
      </c>
      <c r="DV55" t="s">
        <v>264</v>
      </c>
      <c r="DW55" t="s">
        <v>468</v>
      </c>
      <c r="DX55">
        <v>24</v>
      </c>
      <c r="DY55">
        <v>-2.4762499999999985</v>
      </c>
      <c r="DZ55">
        <v>18</v>
      </c>
      <c r="EA55">
        <v>17.25</v>
      </c>
      <c r="EB55">
        <v>11</v>
      </c>
      <c r="EC55">
        <v>2.1874999999999991</v>
      </c>
      <c r="ED55">
        <v>18</v>
      </c>
      <c r="EE55">
        <v>-0.375</v>
      </c>
      <c r="EF55">
        <v>16</v>
      </c>
      <c r="EG55">
        <v>-5.9375</v>
      </c>
      <c r="EH55">
        <v>24</v>
      </c>
      <c r="EI55">
        <v>-0.6875</v>
      </c>
      <c r="EJ55">
        <v>15</v>
      </c>
      <c r="EK55">
        <v>17.25</v>
      </c>
      <c r="EL55">
        <v>8</v>
      </c>
      <c r="EM55">
        <v>2.2187499999999987</v>
      </c>
      <c r="EN55">
        <v>16</v>
      </c>
      <c r="EO55">
        <v>-6.25E-2</v>
      </c>
      <c r="EP55">
        <v>14</v>
      </c>
      <c r="EQ55">
        <v>1</v>
      </c>
      <c r="ER55">
        <v>31</v>
      </c>
      <c r="ES55">
        <v>-1.1875</v>
      </c>
      <c r="ET55">
        <v>22</v>
      </c>
      <c r="EU55">
        <v>21</v>
      </c>
      <c r="EV55">
        <v>18</v>
      </c>
      <c r="EW55">
        <v>-3.1249999999999778E-2</v>
      </c>
      <c r="EX55">
        <v>19</v>
      </c>
      <c r="EY55">
        <v>-0.3125</v>
      </c>
      <c r="EZ55">
        <v>26</v>
      </c>
      <c r="FA55">
        <v>-6.9375</v>
      </c>
      <c r="FB55">
        <v>8</v>
      </c>
      <c r="FC55">
        <v>0.5</v>
      </c>
      <c r="FD55">
        <v>22</v>
      </c>
      <c r="FE55">
        <v>21.666666666666668</v>
      </c>
      <c r="FF55">
        <v>26</v>
      </c>
      <c r="FG55">
        <v>-5.268749999999998</v>
      </c>
      <c r="FH55">
        <v>18</v>
      </c>
      <c r="FI55">
        <v>-4.5625</v>
      </c>
      <c r="FJ55">
        <v>21</v>
      </c>
      <c r="FK55">
        <v>-0.9375</v>
      </c>
      <c r="FL55">
        <v>23</v>
      </c>
      <c r="FM55">
        <v>21</v>
      </c>
      <c r="FN55">
        <v>27</v>
      </c>
      <c r="FO55">
        <v>-2.8437499999999991</v>
      </c>
      <c r="FP55">
        <v>21</v>
      </c>
      <c r="FQ55">
        <v>-5.5</v>
      </c>
      <c r="FR55">
        <v>15</v>
      </c>
      <c r="FS55">
        <v>-6.25E-2</v>
      </c>
      <c r="FT55">
        <v>21</v>
      </c>
      <c r="FU55">
        <v>20</v>
      </c>
      <c r="FV55">
        <v>21</v>
      </c>
      <c r="FW55">
        <v>-1.6937499999999996</v>
      </c>
      <c r="FX55">
        <v>19</v>
      </c>
      <c r="FY55">
        <v>-1</v>
      </c>
      <c r="FZ55">
        <v>20</v>
      </c>
      <c r="GA55">
        <v>-0.5625</v>
      </c>
      <c r="GB55">
        <v>17</v>
      </c>
      <c r="GC55">
        <v>17.333333333333332</v>
      </c>
      <c r="GD55">
        <v>19</v>
      </c>
      <c r="GE55">
        <v>-0.73124999999999951</v>
      </c>
      <c r="GF55">
        <v>14</v>
      </c>
      <c r="GG55">
        <v>1.9375</v>
      </c>
      <c r="GH55">
        <v>19</v>
      </c>
      <c r="GI55">
        <v>-0.3125</v>
      </c>
      <c r="GJ55">
        <v>22</v>
      </c>
      <c r="GK55">
        <v>21.333333333333332</v>
      </c>
      <c r="GL55">
        <v>21</v>
      </c>
      <c r="GM55">
        <v>-2.0124999999999993</v>
      </c>
      <c r="GN55">
        <v>25</v>
      </c>
      <c r="GO55">
        <v>-14.5</v>
      </c>
      <c r="GP55">
        <v>18</v>
      </c>
      <c r="GQ55">
        <v>-0.375</v>
      </c>
      <c r="GR55">
        <v>12</v>
      </c>
      <c r="GS55">
        <v>14</v>
      </c>
      <c r="GT55">
        <v>18</v>
      </c>
      <c r="GU55">
        <v>-1.03125</v>
      </c>
      <c r="GV55">
        <v>5.3125</v>
      </c>
      <c r="GW55">
        <v>0.25</v>
      </c>
      <c r="GX55">
        <v>27</v>
      </c>
      <c r="GY55">
        <v>27.5</v>
      </c>
      <c r="GZ55">
        <v>28</v>
      </c>
      <c r="HA55">
        <v>-2.0625</v>
      </c>
      <c r="HB55">
        <v>27</v>
      </c>
      <c r="HC55">
        <v>-0.6875</v>
      </c>
      <c r="HD55">
        <v>-1.125</v>
      </c>
      <c r="HE55">
        <v>17</v>
      </c>
      <c r="HF55">
        <v>16.5</v>
      </c>
      <c r="HG55">
        <v>15</v>
      </c>
      <c r="HH55">
        <v>-1.4199420412268765E-3</v>
      </c>
      <c r="HI55">
        <v>13</v>
      </c>
      <c r="HJ55">
        <v>4.0654689288125573E-3</v>
      </c>
      <c r="HK55">
        <v>27</v>
      </c>
      <c r="HL55">
        <v>6.2197524697524709E-2</v>
      </c>
      <c r="HM55">
        <v>11</v>
      </c>
      <c r="HN55">
        <v>0.3125</v>
      </c>
      <c r="HO55">
        <v>-2.375</v>
      </c>
      <c r="HP55">
        <v>-3.5625</v>
      </c>
      <c r="HQ55">
        <v>-1</v>
      </c>
      <c r="HR55">
        <v>19.125</v>
      </c>
      <c r="HS55">
        <v>10.4375</v>
      </c>
      <c r="HT55">
        <v>5.5</v>
      </c>
      <c r="HU55">
        <v>-1.625</v>
      </c>
      <c r="HV55">
        <v>4.8125</v>
      </c>
      <c r="HW55">
        <v>25</v>
      </c>
      <c r="HX55">
        <v>-4.6637499999999976</v>
      </c>
      <c r="HY55">
        <v>-2.8489999999999993</v>
      </c>
      <c r="HZ55">
        <v>4.9375</v>
      </c>
      <c r="IA55">
        <v>8</v>
      </c>
      <c r="IB55">
        <v>-1.0814062499999997</v>
      </c>
      <c r="IC55">
        <v>-0.6875</v>
      </c>
    </row>
    <row r="56" spans="1:237" x14ac:dyDescent="0.2">
      <c r="A56" s="19">
        <v>44115</v>
      </c>
      <c r="B56" s="13" t="s">
        <v>381</v>
      </c>
      <c r="C56" s="41" t="s">
        <v>308</v>
      </c>
      <c r="D56" s="14" t="s">
        <v>312</v>
      </c>
      <c r="E56">
        <v>8.4</v>
      </c>
      <c r="F56">
        <v>27.3</v>
      </c>
      <c r="G56">
        <v>0</v>
      </c>
      <c r="H56">
        <v>8.9</v>
      </c>
      <c r="I56">
        <v>-6.5</v>
      </c>
      <c r="J56">
        <v>55</v>
      </c>
      <c r="L56" t="s">
        <v>308</v>
      </c>
      <c r="M56">
        <v>3</v>
      </c>
      <c r="N56">
        <v>7.1712500000000006</v>
      </c>
      <c r="O56">
        <v>18</v>
      </c>
      <c r="P56">
        <v>17.75</v>
      </c>
      <c r="Q56">
        <v>8</v>
      </c>
      <c r="R56">
        <v>3.3749999999999996</v>
      </c>
      <c r="S56">
        <v>21</v>
      </c>
      <c r="T56">
        <v>-1.3125</v>
      </c>
      <c r="U56">
        <v>19</v>
      </c>
      <c r="V56">
        <v>-6.4375</v>
      </c>
      <c r="W56">
        <v>23</v>
      </c>
      <c r="X56">
        <v>-0.625</v>
      </c>
      <c r="Y56">
        <v>10</v>
      </c>
      <c r="Z56">
        <v>11.666666666666666</v>
      </c>
      <c r="AA56">
        <v>10</v>
      </c>
      <c r="AB56">
        <v>3.6437499999999994</v>
      </c>
      <c r="AC56">
        <v>18</v>
      </c>
      <c r="AD56">
        <v>-0.875</v>
      </c>
      <c r="AE56">
        <v>16</v>
      </c>
      <c r="AF56">
        <v>-1.1875</v>
      </c>
      <c r="AG56">
        <v>9</v>
      </c>
      <c r="AH56">
        <v>0.5625</v>
      </c>
      <c r="AI56">
        <v>27</v>
      </c>
      <c r="AJ56">
        <v>23</v>
      </c>
      <c r="AK56">
        <v>17</v>
      </c>
      <c r="AL56">
        <v>-0.26874999999999982</v>
      </c>
      <c r="AM56">
        <v>15</v>
      </c>
      <c r="AN56">
        <v>-0.4375</v>
      </c>
      <c r="AO56">
        <v>22</v>
      </c>
      <c r="AP56">
        <v>-5.25</v>
      </c>
      <c r="AQ56">
        <v>30</v>
      </c>
      <c r="AR56">
        <v>-1.1875</v>
      </c>
      <c r="AS56">
        <v>5</v>
      </c>
      <c r="AT56">
        <v>8.3333333333333339</v>
      </c>
      <c r="AU56">
        <v>3</v>
      </c>
      <c r="AV56">
        <v>10.07</v>
      </c>
      <c r="AW56">
        <v>5</v>
      </c>
      <c r="AX56">
        <v>43.6875</v>
      </c>
      <c r="AY56">
        <v>17</v>
      </c>
      <c r="AZ56">
        <v>6.25E-2</v>
      </c>
      <c r="BA56">
        <v>15</v>
      </c>
      <c r="BB56">
        <v>14.333333333333334</v>
      </c>
      <c r="BC56">
        <v>14</v>
      </c>
      <c r="BD56">
        <v>1.6687499999999988</v>
      </c>
      <c r="BE56">
        <v>16</v>
      </c>
      <c r="BF56">
        <v>-1.375</v>
      </c>
      <c r="BG56">
        <v>13</v>
      </c>
      <c r="BH56">
        <v>0.25</v>
      </c>
      <c r="BI56">
        <v>1</v>
      </c>
      <c r="BJ56">
        <v>2.6666666666666665</v>
      </c>
      <c r="BK56">
        <v>1</v>
      </c>
      <c r="BL56">
        <v>5.6950000000000003</v>
      </c>
      <c r="BM56">
        <v>1</v>
      </c>
      <c r="BN56">
        <v>35.25</v>
      </c>
      <c r="BO56">
        <v>6</v>
      </c>
      <c r="BP56">
        <v>0.6875</v>
      </c>
      <c r="BQ56">
        <v>12</v>
      </c>
      <c r="BR56">
        <v>12.666666666666666</v>
      </c>
      <c r="BS56">
        <v>7</v>
      </c>
      <c r="BT56">
        <v>2.7062499999999998</v>
      </c>
      <c r="BU56">
        <v>8</v>
      </c>
      <c r="BV56">
        <v>9.8125</v>
      </c>
      <c r="BW56">
        <v>23</v>
      </c>
      <c r="BX56">
        <v>-0.875</v>
      </c>
      <c r="BY56">
        <v>13</v>
      </c>
      <c r="BZ56">
        <v>16</v>
      </c>
      <c r="CA56">
        <v>17</v>
      </c>
      <c r="CB56">
        <v>-0.73749999999999982</v>
      </c>
      <c r="CC56">
        <v>14</v>
      </c>
      <c r="CD56">
        <v>0.125</v>
      </c>
      <c r="CE56">
        <v>17</v>
      </c>
      <c r="CF56">
        <v>-0.1875</v>
      </c>
      <c r="CG56">
        <v>23</v>
      </c>
      <c r="CH56">
        <v>23</v>
      </c>
      <c r="CI56">
        <v>25</v>
      </c>
      <c r="CJ56">
        <v>-3.3312499999999998</v>
      </c>
      <c r="CK56">
        <v>-13.3125</v>
      </c>
      <c r="CL56">
        <v>-0.875</v>
      </c>
      <c r="CM56">
        <v>26</v>
      </c>
      <c r="CN56">
        <v>24.5</v>
      </c>
      <c r="CO56">
        <v>18</v>
      </c>
      <c r="CP56">
        <v>-0.4375</v>
      </c>
      <c r="CQ56">
        <v>31</v>
      </c>
      <c r="CR56">
        <v>-1</v>
      </c>
      <c r="CS56">
        <v>1.0625</v>
      </c>
      <c r="CT56">
        <v>14</v>
      </c>
      <c r="CU56">
        <v>15.75</v>
      </c>
      <c r="CV56">
        <v>4</v>
      </c>
      <c r="CW56">
        <v>8.1529130405725264E-2</v>
      </c>
      <c r="CX56">
        <v>3</v>
      </c>
      <c r="CY56">
        <v>1.8827244356681747E-2</v>
      </c>
      <c r="CZ56">
        <v>29</v>
      </c>
      <c r="DA56">
        <v>9.4446699134199147E-2</v>
      </c>
      <c r="DB56">
        <v>27</v>
      </c>
      <c r="DC56">
        <v>-1.5625</v>
      </c>
      <c r="DD56">
        <v>-3.375</v>
      </c>
      <c r="DE56">
        <v>6.0625</v>
      </c>
      <c r="DF56">
        <v>-6.25E-2</v>
      </c>
      <c r="DG56">
        <v>-0.3125</v>
      </c>
      <c r="DH56">
        <v>32.25</v>
      </c>
      <c r="DI56">
        <v>-26.5625</v>
      </c>
      <c r="DJ56">
        <v>-6.75</v>
      </c>
      <c r="DK56">
        <v>0.75</v>
      </c>
      <c r="DL56">
        <v>10</v>
      </c>
      <c r="DM56">
        <v>3.796250000000001</v>
      </c>
      <c r="DN56">
        <v>1.0945000000000003</v>
      </c>
      <c r="DO56">
        <v>58.8125</v>
      </c>
      <c r="DP56">
        <v>23</v>
      </c>
      <c r="DQ56">
        <v>2.1059375</v>
      </c>
      <c r="DR56">
        <v>-0.8125</v>
      </c>
      <c r="DS56">
        <v>2.5902604166666663</v>
      </c>
      <c r="DT56">
        <v>2.8287499999999994</v>
      </c>
      <c r="DU56" t="s">
        <v>312</v>
      </c>
      <c r="DV56" t="s">
        <v>260</v>
      </c>
      <c r="DW56" t="s">
        <v>476</v>
      </c>
      <c r="DX56">
        <v>14</v>
      </c>
      <c r="DY56">
        <v>1.0079166666666661</v>
      </c>
      <c r="DZ56">
        <v>8</v>
      </c>
      <c r="EA56">
        <v>10.75</v>
      </c>
      <c r="EB56">
        <v>14</v>
      </c>
      <c r="EC56">
        <v>0.94583333333333264</v>
      </c>
      <c r="ED56">
        <v>3</v>
      </c>
      <c r="EE56">
        <v>3.8125000000000004</v>
      </c>
      <c r="EF56">
        <v>9</v>
      </c>
      <c r="EG56">
        <v>14.229166666666668</v>
      </c>
      <c r="EH56">
        <v>17</v>
      </c>
      <c r="EI56">
        <v>-0.27083333333333326</v>
      </c>
      <c r="EJ56">
        <v>8</v>
      </c>
      <c r="EK56">
        <v>10.5</v>
      </c>
      <c r="EL56">
        <v>12</v>
      </c>
      <c r="EM56">
        <v>1.2208333333333328</v>
      </c>
      <c r="EN56">
        <v>3</v>
      </c>
      <c r="EO56">
        <v>2.979166666666667</v>
      </c>
      <c r="EP56">
        <v>10</v>
      </c>
      <c r="EQ56">
        <v>8.9791666666666679</v>
      </c>
      <c r="ER56">
        <v>17</v>
      </c>
      <c r="ES56">
        <v>-0.22916666666666663</v>
      </c>
      <c r="ET56">
        <v>11</v>
      </c>
      <c r="EU56">
        <v>12</v>
      </c>
      <c r="EV56">
        <v>19</v>
      </c>
      <c r="EW56">
        <v>-0.27500000000000013</v>
      </c>
      <c r="EX56">
        <v>9</v>
      </c>
      <c r="EY56">
        <v>0.83333333333333337</v>
      </c>
      <c r="EZ56">
        <v>8</v>
      </c>
      <c r="FA56">
        <v>5.25</v>
      </c>
      <c r="FB56">
        <v>17</v>
      </c>
      <c r="FC56">
        <v>-4.166666666666663E-2</v>
      </c>
      <c r="FD56">
        <v>2</v>
      </c>
      <c r="FE56">
        <v>2.6666666666666665</v>
      </c>
      <c r="FF56">
        <v>2</v>
      </c>
      <c r="FG56">
        <v>14.781250000000002</v>
      </c>
      <c r="FH56">
        <v>2</v>
      </c>
      <c r="FI56">
        <v>46.9375</v>
      </c>
      <c r="FJ56">
        <v>4</v>
      </c>
      <c r="FK56">
        <v>2.541666666666667</v>
      </c>
      <c r="FL56">
        <v>2</v>
      </c>
      <c r="FM56">
        <v>2.3333333333333335</v>
      </c>
      <c r="FN56">
        <v>3</v>
      </c>
      <c r="FO56">
        <v>6.8958333333333339</v>
      </c>
      <c r="FP56">
        <v>2</v>
      </c>
      <c r="FQ56">
        <v>21.333333333333332</v>
      </c>
      <c r="FR56">
        <v>2</v>
      </c>
      <c r="FS56">
        <v>2.041666666666667</v>
      </c>
      <c r="FT56">
        <v>13</v>
      </c>
      <c r="FU56">
        <v>13.666666666666666</v>
      </c>
      <c r="FV56">
        <v>7</v>
      </c>
      <c r="FW56">
        <v>3.7208333333333345</v>
      </c>
      <c r="FX56">
        <v>6</v>
      </c>
      <c r="FY56">
        <v>12.854166666666668</v>
      </c>
      <c r="FZ56">
        <v>28</v>
      </c>
      <c r="GA56">
        <v>-1.2916666666666667</v>
      </c>
      <c r="GB56">
        <v>2</v>
      </c>
      <c r="GC56">
        <v>3</v>
      </c>
      <c r="GD56">
        <v>2</v>
      </c>
      <c r="GE56">
        <v>4.1645833333333329</v>
      </c>
      <c r="GF56">
        <v>5</v>
      </c>
      <c r="GG56">
        <v>12.75</v>
      </c>
      <c r="GH56">
        <v>2</v>
      </c>
      <c r="GI56">
        <v>1.7916666666666667</v>
      </c>
      <c r="GJ56">
        <v>13</v>
      </c>
      <c r="GK56">
        <v>14.666666666666666</v>
      </c>
      <c r="GL56">
        <v>17</v>
      </c>
      <c r="GM56">
        <v>-0.95416666666666483</v>
      </c>
      <c r="GN56">
        <v>18</v>
      </c>
      <c r="GO56">
        <v>-7.6666666666666679</v>
      </c>
      <c r="GP56">
        <v>9</v>
      </c>
      <c r="GQ56">
        <v>0.625</v>
      </c>
      <c r="GR56">
        <v>17</v>
      </c>
      <c r="GS56">
        <v>17.333333333333332</v>
      </c>
      <c r="GT56">
        <v>29</v>
      </c>
      <c r="GU56">
        <v>-3.3791666666666669</v>
      </c>
      <c r="GV56">
        <v>6.4166666666666661</v>
      </c>
      <c r="GW56">
        <v>0.20833333333333326</v>
      </c>
      <c r="GX56">
        <v>1</v>
      </c>
      <c r="GY56">
        <v>1.5</v>
      </c>
      <c r="GZ56">
        <v>1</v>
      </c>
      <c r="HA56">
        <v>5.4583333333333339</v>
      </c>
      <c r="HB56">
        <v>2</v>
      </c>
      <c r="HC56">
        <v>0.9375</v>
      </c>
      <c r="HD56">
        <v>0.75</v>
      </c>
      <c r="HE56">
        <v>21</v>
      </c>
      <c r="HF56">
        <v>19.25</v>
      </c>
      <c r="HG56">
        <v>25</v>
      </c>
      <c r="HH56">
        <v>-3.023083553701536E-2</v>
      </c>
      <c r="HI56">
        <v>20</v>
      </c>
      <c r="HJ56">
        <v>-6.1565803280423945E-3</v>
      </c>
      <c r="HK56">
        <v>14</v>
      </c>
      <c r="HL56">
        <v>-1.066468253968253E-2</v>
      </c>
      <c r="HM56">
        <v>18</v>
      </c>
      <c r="HN56">
        <v>-0.83333333333333337</v>
      </c>
      <c r="HO56">
        <v>5.4375</v>
      </c>
      <c r="HP56">
        <v>4.333333333333333</v>
      </c>
      <c r="HQ56">
        <v>-1.0625</v>
      </c>
      <c r="HR56">
        <v>43.270833333333329</v>
      </c>
      <c r="HS56">
        <v>25.645833333333329</v>
      </c>
      <c r="HT56">
        <v>17.708333333333332</v>
      </c>
      <c r="HU56">
        <v>3.0208333333333335</v>
      </c>
      <c r="HV56">
        <v>-3.1041666666666665</v>
      </c>
      <c r="HW56">
        <v>17</v>
      </c>
      <c r="HX56">
        <v>6.208333333333349E-2</v>
      </c>
      <c r="HY56">
        <v>2.0090833333333338</v>
      </c>
      <c r="HZ56">
        <v>7.9374999999999964</v>
      </c>
      <c r="IA56">
        <v>16</v>
      </c>
      <c r="IB56">
        <v>2.3517708333333331</v>
      </c>
      <c r="IC56">
        <v>2.75</v>
      </c>
    </row>
    <row r="57" spans="1:237" x14ac:dyDescent="0.2">
      <c r="A57" s="19">
        <v>44115</v>
      </c>
      <c r="B57" s="13" t="s">
        <v>381</v>
      </c>
      <c r="C57" s="41" t="s">
        <v>284</v>
      </c>
      <c r="D57" s="14" t="s">
        <v>265</v>
      </c>
      <c r="E57">
        <v>15.1</v>
      </c>
      <c r="F57">
        <v>0</v>
      </c>
      <c r="G57">
        <v>10.1</v>
      </c>
      <c r="H57">
        <v>8.1999999999999993</v>
      </c>
      <c r="I57">
        <v>-3.5</v>
      </c>
      <c r="J57">
        <v>43.5</v>
      </c>
      <c r="L57" t="s">
        <v>284</v>
      </c>
      <c r="M57">
        <v>9</v>
      </c>
      <c r="N57">
        <v>1.5587499999999999</v>
      </c>
      <c r="O57">
        <v>9</v>
      </c>
      <c r="P57">
        <v>11.25</v>
      </c>
      <c r="Q57">
        <v>10</v>
      </c>
      <c r="R57">
        <v>1.7124999999999995</v>
      </c>
      <c r="S57">
        <v>12</v>
      </c>
      <c r="T57">
        <v>1.25</v>
      </c>
      <c r="U57">
        <v>10</v>
      </c>
      <c r="V57">
        <v>11.9375</v>
      </c>
      <c r="W57">
        <v>13</v>
      </c>
      <c r="X57">
        <v>0.375</v>
      </c>
      <c r="Y57">
        <v>7</v>
      </c>
      <c r="Z57">
        <v>10.333333333333334</v>
      </c>
      <c r="AA57">
        <v>13</v>
      </c>
      <c r="AB57">
        <v>0.95624999999999938</v>
      </c>
      <c r="AC57">
        <v>23</v>
      </c>
      <c r="AD57">
        <v>-1.25</v>
      </c>
      <c r="AE57">
        <v>10</v>
      </c>
      <c r="AF57">
        <v>13.375</v>
      </c>
      <c r="AG57">
        <v>8</v>
      </c>
      <c r="AH57">
        <v>0.6875</v>
      </c>
      <c r="AI57">
        <v>13</v>
      </c>
      <c r="AJ57">
        <v>14.666666666666666</v>
      </c>
      <c r="AK57">
        <v>12</v>
      </c>
      <c r="AL57">
        <v>0.75625000000000009</v>
      </c>
      <c r="AM57">
        <v>7</v>
      </c>
      <c r="AN57">
        <v>2.5</v>
      </c>
      <c r="AO57">
        <v>14</v>
      </c>
      <c r="AP57">
        <v>-1.4375</v>
      </c>
      <c r="AQ57">
        <v>18</v>
      </c>
      <c r="AR57">
        <v>-0.3125</v>
      </c>
      <c r="AS57">
        <v>6</v>
      </c>
      <c r="AT57">
        <v>8.6666666666666661</v>
      </c>
      <c r="AU57">
        <v>4</v>
      </c>
      <c r="AV57">
        <v>8.1062500000000011</v>
      </c>
      <c r="AW57">
        <v>6</v>
      </c>
      <c r="AX57">
        <v>27.125</v>
      </c>
      <c r="AY57">
        <v>16</v>
      </c>
      <c r="AZ57">
        <v>0.1875</v>
      </c>
      <c r="BA57">
        <v>14</v>
      </c>
      <c r="BB57">
        <v>12.333333333333334</v>
      </c>
      <c r="BC57">
        <v>7</v>
      </c>
      <c r="BD57">
        <v>3.2812500000000004</v>
      </c>
      <c r="BE57">
        <v>10</v>
      </c>
      <c r="BF57">
        <v>11.4375</v>
      </c>
      <c r="BG57">
        <v>20</v>
      </c>
      <c r="BH57">
        <v>-0.6875</v>
      </c>
      <c r="BI57">
        <v>14</v>
      </c>
      <c r="BJ57">
        <v>14.333333333333334</v>
      </c>
      <c r="BK57">
        <v>8</v>
      </c>
      <c r="BL57">
        <v>2.4125000000000005</v>
      </c>
      <c r="BM57">
        <v>14</v>
      </c>
      <c r="BN57">
        <v>-3.1875</v>
      </c>
      <c r="BO57">
        <v>21</v>
      </c>
      <c r="BP57">
        <v>-0.25</v>
      </c>
      <c r="BQ57">
        <v>4</v>
      </c>
      <c r="BR57">
        <v>5.666666666666667</v>
      </c>
      <c r="BS57">
        <v>9</v>
      </c>
      <c r="BT57">
        <v>2.4124999999999996</v>
      </c>
      <c r="BU57">
        <v>2</v>
      </c>
      <c r="BV57">
        <v>18.875</v>
      </c>
      <c r="BW57">
        <v>6</v>
      </c>
      <c r="BX57">
        <v>1.125</v>
      </c>
      <c r="BY57">
        <v>6</v>
      </c>
      <c r="BZ57">
        <v>6</v>
      </c>
      <c r="CA57">
        <v>5</v>
      </c>
      <c r="CB57">
        <v>5.0125000000000011</v>
      </c>
      <c r="CC57">
        <v>5</v>
      </c>
      <c r="CD57">
        <v>22</v>
      </c>
      <c r="CE57">
        <v>8</v>
      </c>
      <c r="CF57">
        <v>1.5</v>
      </c>
      <c r="CG57">
        <v>21</v>
      </c>
      <c r="CH57">
        <v>20.666666666666668</v>
      </c>
      <c r="CI57">
        <v>21</v>
      </c>
      <c r="CJ57">
        <v>-1.4187499999999997</v>
      </c>
      <c r="CK57">
        <v>-6.0625</v>
      </c>
      <c r="CL57">
        <v>-0.875</v>
      </c>
      <c r="CM57">
        <v>32</v>
      </c>
      <c r="CN57">
        <v>29</v>
      </c>
      <c r="CO57">
        <v>30</v>
      </c>
      <c r="CP57">
        <v>-2</v>
      </c>
      <c r="CQ57">
        <v>28</v>
      </c>
      <c r="CR57">
        <v>-0.5</v>
      </c>
      <c r="CS57">
        <v>3.8125</v>
      </c>
      <c r="CT57">
        <v>20</v>
      </c>
      <c r="CU57">
        <v>18.5</v>
      </c>
      <c r="CV57">
        <v>31</v>
      </c>
      <c r="CW57">
        <v>-7.4595340682370004E-2</v>
      </c>
      <c r="CX57">
        <v>28</v>
      </c>
      <c r="CY57">
        <v>-1.2192690468336638E-2</v>
      </c>
      <c r="CZ57">
        <v>10</v>
      </c>
      <c r="DA57">
        <v>-3.0941439075630253E-2</v>
      </c>
      <c r="DB57">
        <v>5</v>
      </c>
      <c r="DC57">
        <v>2.0625</v>
      </c>
      <c r="DD57">
        <v>-0.3125</v>
      </c>
      <c r="DE57">
        <v>4.0625</v>
      </c>
      <c r="DF57">
        <v>-0.1875</v>
      </c>
      <c r="DG57">
        <v>9.125</v>
      </c>
      <c r="DH57">
        <v>22.1875</v>
      </c>
      <c r="DI57">
        <v>7.4375</v>
      </c>
      <c r="DJ57">
        <v>-0.5625</v>
      </c>
      <c r="DK57">
        <v>-19.9375</v>
      </c>
      <c r="DL57">
        <v>17</v>
      </c>
      <c r="DM57">
        <v>-0.15374999999999961</v>
      </c>
      <c r="DN57">
        <v>0.79300000000000015</v>
      </c>
      <c r="DO57">
        <v>14.75</v>
      </c>
      <c r="DP57">
        <v>16</v>
      </c>
      <c r="DQ57">
        <v>0.99484375000000003</v>
      </c>
      <c r="DR57">
        <v>-0.6875</v>
      </c>
      <c r="DS57">
        <v>-0.99695312499999988</v>
      </c>
      <c r="DT57">
        <v>-1.2229687499999997</v>
      </c>
      <c r="DU57" t="s">
        <v>265</v>
      </c>
      <c r="DV57" t="s">
        <v>236</v>
      </c>
      <c r="DW57" t="s">
        <v>539</v>
      </c>
      <c r="DX57">
        <v>27</v>
      </c>
      <c r="DY57">
        <v>-3.8175000000000008</v>
      </c>
      <c r="DZ57">
        <v>9</v>
      </c>
      <c r="EA57">
        <v>12</v>
      </c>
      <c r="EB57">
        <v>12</v>
      </c>
      <c r="EC57">
        <v>1.7499999999999996</v>
      </c>
      <c r="ED57">
        <v>13</v>
      </c>
      <c r="EE57">
        <v>1.25</v>
      </c>
      <c r="EF57">
        <v>7</v>
      </c>
      <c r="EG57">
        <v>23.6875</v>
      </c>
      <c r="EH57">
        <v>16</v>
      </c>
      <c r="EI57">
        <v>-0.1875</v>
      </c>
      <c r="EJ57">
        <v>12</v>
      </c>
      <c r="EK57">
        <v>13.75</v>
      </c>
      <c r="EL57">
        <v>13</v>
      </c>
      <c r="EM57">
        <v>0.43749999999999956</v>
      </c>
      <c r="EN57">
        <v>15</v>
      </c>
      <c r="EO57">
        <v>0</v>
      </c>
      <c r="EP57">
        <v>7</v>
      </c>
      <c r="EQ57">
        <v>14.9375</v>
      </c>
      <c r="ER57">
        <v>20</v>
      </c>
      <c r="ES57">
        <v>-0.5</v>
      </c>
      <c r="ET57">
        <v>4</v>
      </c>
      <c r="EU57">
        <v>6.666666666666667</v>
      </c>
      <c r="EV57">
        <v>6</v>
      </c>
      <c r="EW57">
        <v>1.3125</v>
      </c>
      <c r="EX57">
        <v>8</v>
      </c>
      <c r="EY57">
        <v>1.25</v>
      </c>
      <c r="EZ57">
        <v>6</v>
      </c>
      <c r="FA57">
        <v>8.75</v>
      </c>
      <c r="FB57">
        <v>9</v>
      </c>
      <c r="FC57">
        <v>0.3125</v>
      </c>
      <c r="FD57">
        <v>13</v>
      </c>
      <c r="FE57">
        <v>15</v>
      </c>
      <c r="FF57">
        <v>24</v>
      </c>
      <c r="FG57">
        <v>-5.1250000000000009</v>
      </c>
      <c r="FH57">
        <v>14</v>
      </c>
      <c r="FI57">
        <v>1.6875</v>
      </c>
      <c r="FJ57">
        <v>7</v>
      </c>
      <c r="FK57">
        <v>1.125</v>
      </c>
      <c r="FL57">
        <v>12</v>
      </c>
      <c r="FM57">
        <v>14.666666666666666</v>
      </c>
      <c r="FN57">
        <v>21</v>
      </c>
      <c r="FO57">
        <v>-1.9312499999999999</v>
      </c>
      <c r="FP57">
        <v>17</v>
      </c>
      <c r="FQ57">
        <v>-0.625</v>
      </c>
      <c r="FR57">
        <v>6</v>
      </c>
      <c r="FS57">
        <v>0.9375</v>
      </c>
      <c r="FT57">
        <v>20</v>
      </c>
      <c r="FU57">
        <v>19.333333333333332</v>
      </c>
      <c r="FV57">
        <v>23</v>
      </c>
      <c r="FW57">
        <v>-2.3062500000000004</v>
      </c>
      <c r="FX57">
        <v>16</v>
      </c>
      <c r="FY57">
        <v>3.0625</v>
      </c>
      <c r="FZ57">
        <v>19</v>
      </c>
      <c r="GA57">
        <v>-0.4375</v>
      </c>
      <c r="GB57">
        <v>13</v>
      </c>
      <c r="GC57">
        <v>15.333333333333334</v>
      </c>
      <c r="GD57">
        <v>20</v>
      </c>
      <c r="GE57">
        <v>-0.88750000000000018</v>
      </c>
      <c r="GF57">
        <v>17</v>
      </c>
      <c r="GG57">
        <v>-0.75</v>
      </c>
      <c r="GH57">
        <v>9</v>
      </c>
      <c r="GI57">
        <v>0.625</v>
      </c>
      <c r="GJ57">
        <v>13</v>
      </c>
      <c r="GK57">
        <v>14.666666666666666</v>
      </c>
      <c r="GL57">
        <v>18</v>
      </c>
      <c r="GM57">
        <v>-1.1187499999999999</v>
      </c>
      <c r="GN57">
        <v>10</v>
      </c>
      <c r="GO57">
        <v>6.9375</v>
      </c>
      <c r="GP57">
        <v>16</v>
      </c>
      <c r="GQ57">
        <v>-0.25</v>
      </c>
      <c r="GR57">
        <v>21</v>
      </c>
      <c r="GS57">
        <v>19.666666666666668</v>
      </c>
      <c r="GT57">
        <v>10</v>
      </c>
      <c r="GU57">
        <v>0.65000000000000058</v>
      </c>
      <c r="GV57">
        <v>-9.75</v>
      </c>
      <c r="GW57">
        <v>-0.9375</v>
      </c>
      <c r="GX57">
        <v>8</v>
      </c>
      <c r="GY57">
        <v>8</v>
      </c>
      <c r="GZ57">
        <v>13</v>
      </c>
      <c r="HA57">
        <v>0.375</v>
      </c>
      <c r="HB57">
        <v>3</v>
      </c>
      <c r="HC57">
        <v>0.8125</v>
      </c>
      <c r="HD57">
        <v>0.5</v>
      </c>
      <c r="HE57">
        <v>12</v>
      </c>
      <c r="HF57">
        <v>14.75</v>
      </c>
      <c r="HG57">
        <v>14</v>
      </c>
      <c r="HH57">
        <v>2.8990031423337254E-3</v>
      </c>
      <c r="HI57">
        <v>22</v>
      </c>
      <c r="HJ57">
        <v>-1.1722170636076721E-2</v>
      </c>
      <c r="HK57">
        <v>9</v>
      </c>
      <c r="HL57">
        <v>-6.0193452380952389E-2</v>
      </c>
      <c r="HM57">
        <v>14</v>
      </c>
      <c r="HN57">
        <v>-0.375</v>
      </c>
      <c r="HO57">
        <v>2.3125</v>
      </c>
      <c r="HP57">
        <v>-0.8125</v>
      </c>
      <c r="HQ57">
        <v>-1</v>
      </c>
      <c r="HR57">
        <v>-1.8125</v>
      </c>
      <c r="HS57">
        <v>-18.0625</v>
      </c>
      <c r="HT57">
        <v>18.3125</v>
      </c>
      <c r="HU57">
        <v>1.1875</v>
      </c>
      <c r="HV57">
        <v>-3.25</v>
      </c>
      <c r="HW57">
        <v>28</v>
      </c>
      <c r="HX57">
        <v>-5.5675000000000008</v>
      </c>
      <c r="HY57">
        <v>-2.5335000000000001</v>
      </c>
      <c r="HZ57">
        <v>-36.375</v>
      </c>
      <c r="IA57">
        <v>5</v>
      </c>
      <c r="IB57">
        <v>-0.77093750000000016</v>
      </c>
      <c r="IC57">
        <v>0.1875</v>
      </c>
    </row>
    <row r="58" spans="1:237" x14ac:dyDescent="0.2">
      <c r="A58" s="19">
        <v>44115</v>
      </c>
      <c r="B58" s="13" t="s">
        <v>381</v>
      </c>
      <c r="C58" s="41" t="s">
        <v>310</v>
      </c>
      <c r="D58" s="14" t="s">
        <v>276</v>
      </c>
      <c r="E58">
        <v>21.2</v>
      </c>
      <c r="F58">
        <v>4.5999999999999996</v>
      </c>
      <c r="G58">
        <v>2.2000000000000002</v>
      </c>
      <c r="H58">
        <v>21</v>
      </c>
      <c r="I58">
        <v>3</v>
      </c>
      <c r="J58">
        <v>52</v>
      </c>
      <c r="K58" t="s">
        <v>734</v>
      </c>
      <c r="L58" t="s">
        <v>310</v>
      </c>
      <c r="M58">
        <v>19</v>
      </c>
      <c r="N58">
        <v>-1.2316666666666656</v>
      </c>
      <c r="O58">
        <v>16</v>
      </c>
      <c r="P58">
        <v>15.75</v>
      </c>
      <c r="Q58">
        <v>24</v>
      </c>
      <c r="R58">
        <v>-3.5666666666666673</v>
      </c>
      <c r="S58">
        <v>2</v>
      </c>
      <c r="T58">
        <v>4.666666666666667</v>
      </c>
      <c r="U58">
        <v>6</v>
      </c>
      <c r="V58">
        <v>14.833333333333334</v>
      </c>
      <c r="W58">
        <v>31</v>
      </c>
      <c r="X58">
        <v>-2.416666666666667</v>
      </c>
      <c r="Y58">
        <v>14</v>
      </c>
      <c r="Z58">
        <v>14.666666666666666</v>
      </c>
      <c r="AA58">
        <v>17</v>
      </c>
      <c r="AB58">
        <v>-0.26666666666666689</v>
      </c>
      <c r="AC58">
        <v>1</v>
      </c>
      <c r="AD58">
        <v>7.666666666666667</v>
      </c>
      <c r="AE58">
        <v>2</v>
      </c>
      <c r="AF58">
        <v>24.416666666666668</v>
      </c>
      <c r="AG58">
        <v>25</v>
      </c>
      <c r="AH58">
        <v>-1.1666666666666667</v>
      </c>
      <c r="AI58">
        <v>32</v>
      </c>
      <c r="AJ58">
        <v>28.666666666666668</v>
      </c>
      <c r="AK58">
        <v>29</v>
      </c>
      <c r="AL58">
        <v>-3.3000000000000003</v>
      </c>
      <c r="AM58">
        <v>31</v>
      </c>
      <c r="AN58">
        <v>-3</v>
      </c>
      <c r="AO58">
        <v>26</v>
      </c>
      <c r="AP58">
        <v>-9.5833333333333339</v>
      </c>
      <c r="AQ58">
        <v>31</v>
      </c>
      <c r="AR58">
        <v>-1.25</v>
      </c>
      <c r="AS58">
        <v>21</v>
      </c>
      <c r="AT58">
        <v>19.666666666666668</v>
      </c>
      <c r="AU58">
        <v>21</v>
      </c>
      <c r="AV58">
        <v>-3.1583333333333314</v>
      </c>
      <c r="AW58">
        <v>16</v>
      </c>
      <c r="AX58">
        <v>0.91666666666666607</v>
      </c>
      <c r="AY58">
        <v>22</v>
      </c>
      <c r="AZ58">
        <v>-1.4166666666666667</v>
      </c>
      <c r="BA58">
        <v>28</v>
      </c>
      <c r="BB58">
        <v>26.333333333333332</v>
      </c>
      <c r="BC58">
        <v>27</v>
      </c>
      <c r="BD58">
        <v>-3.4166666666666656</v>
      </c>
      <c r="BE58">
        <v>23</v>
      </c>
      <c r="BF58">
        <v>-11.333333333333334</v>
      </c>
      <c r="BG58">
        <v>29</v>
      </c>
      <c r="BH58">
        <v>-1.9166666666666667</v>
      </c>
      <c r="BI58">
        <v>10</v>
      </c>
      <c r="BJ58">
        <v>12</v>
      </c>
      <c r="BK58">
        <v>12</v>
      </c>
      <c r="BL58">
        <v>1.5916666666666679</v>
      </c>
      <c r="BM58">
        <v>6</v>
      </c>
      <c r="BN58">
        <v>20.75</v>
      </c>
      <c r="BO58">
        <v>18</v>
      </c>
      <c r="BP58">
        <v>0</v>
      </c>
      <c r="BQ58">
        <v>20</v>
      </c>
      <c r="BR58">
        <v>20.666666666666668</v>
      </c>
      <c r="BS58">
        <v>23</v>
      </c>
      <c r="BT58">
        <v>-1.3333333333333339</v>
      </c>
      <c r="BU58">
        <v>26</v>
      </c>
      <c r="BV58">
        <v>-8.5</v>
      </c>
      <c r="BW58">
        <v>13</v>
      </c>
      <c r="BX58">
        <v>0.5</v>
      </c>
      <c r="BY58">
        <v>22</v>
      </c>
      <c r="BZ58">
        <v>21.666666666666668</v>
      </c>
      <c r="CA58">
        <v>19</v>
      </c>
      <c r="CB58">
        <v>-1.2833333333333343</v>
      </c>
      <c r="CC58">
        <v>26</v>
      </c>
      <c r="CD58">
        <v>-18.666666666666668</v>
      </c>
      <c r="CE58">
        <v>20</v>
      </c>
      <c r="CF58">
        <v>-0.83333333333333337</v>
      </c>
      <c r="CG58">
        <v>5</v>
      </c>
      <c r="CH58">
        <v>5.333333333333333</v>
      </c>
      <c r="CI58">
        <v>3</v>
      </c>
      <c r="CJ58">
        <v>6.1749999999999998</v>
      </c>
      <c r="CK58">
        <v>13.416666666666666</v>
      </c>
      <c r="CL58">
        <v>1.8333333333333333</v>
      </c>
      <c r="CM58">
        <v>5</v>
      </c>
      <c r="CN58">
        <v>6.5</v>
      </c>
      <c r="CO58">
        <v>10</v>
      </c>
      <c r="CP58">
        <v>0.83333333333333337</v>
      </c>
      <c r="CQ58">
        <v>3</v>
      </c>
      <c r="CR58">
        <v>0.91666666666666663</v>
      </c>
      <c r="CS58">
        <v>-3.0833333333333335</v>
      </c>
      <c r="CT58">
        <v>16</v>
      </c>
      <c r="CU58">
        <v>16.5</v>
      </c>
      <c r="CV58">
        <v>14</v>
      </c>
      <c r="CW58">
        <v>1.3173675054143916E-2</v>
      </c>
      <c r="CX58">
        <v>23</v>
      </c>
      <c r="CY58">
        <v>-7.9308981797860494E-3</v>
      </c>
      <c r="CZ58">
        <v>6</v>
      </c>
      <c r="DA58">
        <v>-8.3862433862433861E-2</v>
      </c>
      <c r="DB58">
        <v>23</v>
      </c>
      <c r="DC58">
        <v>-0.58333333333333337</v>
      </c>
      <c r="DD58">
        <v>2.0833333333333335</v>
      </c>
      <c r="DE58">
        <v>-0.41666666666666669</v>
      </c>
      <c r="DF58">
        <v>-1.0833333333333333</v>
      </c>
      <c r="DG58">
        <v>-9.0833333333333339</v>
      </c>
      <c r="DH58">
        <v>-10.666666666666666</v>
      </c>
      <c r="DI58">
        <v>10.333333333333334</v>
      </c>
      <c r="DJ58">
        <v>-5.333333333333333</v>
      </c>
      <c r="DK58">
        <v>-3.4166666666666665</v>
      </c>
      <c r="DL58">
        <v>11</v>
      </c>
      <c r="DM58">
        <v>2.3350000000000017</v>
      </c>
      <c r="DN58">
        <v>2.1403333333333339</v>
      </c>
      <c r="DO58">
        <v>-21</v>
      </c>
      <c r="DP58">
        <v>22</v>
      </c>
      <c r="DQ58">
        <v>-0.11854166666666639</v>
      </c>
      <c r="DR58">
        <v>0.41666666666666652</v>
      </c>
      <c r="DS58">
        <v>1.5485937500000004</v>
      </c>
      <c r="DT58">
        <v>1.2781250000000008</v>
      </c>
      <c r="DU58" t="s">
        <v>276</v>
      </c>
      <c r="DV58" t="s">
        <v>261</v>
      </c>
      <c r="DW58" t="s">
        <v>455</v>
      </c>
      <c r="DX58">
        <v>7</v>
      </c>
      <c r="DY58">
        <v>3.1025</v>
      </c>
      <c r="DZ58">
        <v>24</v>
      </c>
      <c r="EA58">
        <v>20.5</v>
      </c>
      <c r="EB58">
        <v>21</v>
      </c>
      <c r="EC58">
        <v>-1.1625000000000001</v>
      </c>
      <c r="ED58">
        <v>30</v>
      </c>
      <c r="EE58">
        <v>-4.0625</v>
      </c>
      <c r="EF58">
        <v>20</v>
      </c>
      <c r="EG58">
        <v>-10.9375</v>
      </c>
      <c r="EH58">
        <v>11</v>
      </c>
      <c r="EI58">
        <v>0.4375</v>
      </c>
      <c r="EJ58">
        <v>21</v>
      </c>
      <c r="EK58">
        <v>19.5</v>
      </c>
      <c r="EL58">
        <v>18</v>
      </c>
      <c r="EM58">
        <v>-0.65625000000000044</v>
      </c>
      <c r="EN58">
        <v>30</v>
      </c>
      <c r="EO58">
        <v>-3.3125</v>
      </c>
      <c r="EP58">
        <v>19</v>
      </c>
      <c r="EQ58">
        <v>-4.9375</v>
      </c>
      <c r="ER58">
        <v>11</v>
      </c>
      <c r="ES58">
        <v>0.25</v>
      </c>
      <c r="ET58">
        <v>24</v>
      </c>
      <c r="EU58">
        <v>22.666666666666668</v>
      </c>
      <c r="EV58">
        <v>21</v>
      </c>
      <c r="EW58">
        <v>-0.50624999999999964</v>
      </c>
      <c r="EX58">
        <v>22</v>
      </c>
      <c r="EY58">
        <v>-0.75</v>
      </c>
      <c r="EZ58">
        <v>25</v>
      </c>
      <c r="FA58">
        <v>-6</v>
      </c>
      <c r="FB58">
        <v>10</v>
      </c>
      <c r="FC58">
        <v>0.1875</v>
      </c>
      <c r="FD58">
        <v>3</v>
      </c>
      <c r="FE58">
        <v>4</v>
      </c>
      <c r="FF58">
        <v>5</v>
      </c>
      <c r="FG58">
        <v>7.8999999999999986</v>
      </c>
      <c r="FH58">
        <v>5</v>
      </c>
      <c r="FI58">
        <v>25.4375</v>
      </c>
      <c r="FJ58">
        <v>2</v>
      </c>
      <c r="FK58">
        <v>3.875</v>
      </c>
      <c r="FL58">
        <v>3</v>
      </c>
      <c r="FM58">
        <v>5</v>
      </c>
      <c r="FN58">
        <v>6</v>
      </c>
      <c r="FO58">
        <v>3.4437500000000001</v>
      </c>
      <c r="FP58">
        <v>6</v>
      </c>
      <c r="FQ58">
        <v>9.8125</v>
      </c>
      <c r="FR58">
        <v>3</v>
      </c>
      <c r="FS58">
        <v>1.5625</v>
      </c>
      <c r="FT58">
        <v>4</v>
      </c>
      <c r="FU58">
        <v>5.666666666666667</v>
      </c>
      <c r="FV58">
        <v>6</v>
      </c>
      <c r="FW58">
        <v>4.1749999999999989</v>
      </c>
      <c r="FX58">
        <v>7</v>
      </c>
      <c r="FY58">
        <v>11.5625</v>
      </c>
      <c r="FZ58">
        <v>4</v>
      </c>
      <c r="GA58">
        <v>1.3125</v>
      </c>
      <c r="GB58">
        <v>8</v>
      </c>
      <c r="GC58">
        <v>9.6666666666666661</v>
      </c>
      <c r="GD58">
        <v>14</v>
      </c>
      <c r="GE58">
        <v>0.28124999999999989</v>
      </c>
      <c r="GF58">
        <v>9</v>
      </c>
      <c r="GG58">
        <v>4.0625</v>
      </c>
      <c r="GH58">
        <v>6</v>
      </c>
      <c r="GI58">
        <v>1</v>
      </c>
      <c r="GJ58">
        <v>3</v>
      </c>
      <c r="GK58">
        <v>3</v>
      </c>
      <c r="GL58">
        <v>3</v>
      </c>
      <c r="GM58">
        <v>7.606250000000002</v>
      </c>
      <c r="GN58">
        <v>3</v>
      </c>
      <c r="GO58">
        <v>41.0625</v>
      </c>
      <c r="GP58">
        <v>3</v>
      </c>
      <c r="GQ58">
        <v>3.5625</v>
      </c>
      <c r="GR58">
        <v>3</v>
      </c>
      <c r="GS58">
        <v>3</v>
      </c>
      <c r="GT58">
        <v>5</v>
      </c>
      <c r="GU58">
        <v>4.9625000000000004</v>
      </c>
      <c r="GV58">
        <v>32.125</v>
      </c>
      <c r="GW58">
        <v>2</v>
      </c>
      <c r="GX58">
        <v>16</v>
      </c>
      <c r="GY58">
        <v>16.5</v>
      </c>
      <c r="GZ58">
        <v>17</v>
      </c>
      <c r="HA58">
        <v>-0.25</v>
      </c>
      <c r="HB58">
        <v>16</v>
      </c>
      <c r="HC58">
        <v>-0.125</v>
      </c>
      <c r="HD58">
        <v>-1.1875</v>
      </c>
      <c r="HE58">
        <v>14</v>
      </c>
      <c r="HF58">
        <v>15.75</v>
      </c>
      <c r="HG58">
        <v>16</v>
      </c>
      <c r="HH58">
        <v>-1.975995163425795E-3</v>
      </c>
      <c r="HI58">
        <v>8</v>
      </c>
      <c r="HJ58">
        <v>9.9940355919823174E-3</v>
      </c>
      <c r="HK58">
        <v>17</v>
      </c>
      <c r="HL58">
        <v>3.9502164502164261E-3</v>
      </c>
      <c r="HM58">
        <v>22</v>
      </c>
      <c r="HN58">
        <v>-1.125</v>
      </c>
      <c r="HO58">
        <v>-3.625</v>
      </c>
      <c r="HP58">
        <v>2</v>
      </c>
      <c r="HQ58">
        <v>-0.4375</v>
      </c>
      <c r="HR58">
        <v>31.6875</v>
      </c>
      <c r="HS58">
        <v>46.25</v>
      </c>
      <c r="HT58">
        <v>-5.5625</v>
      </c>
      <c r="HU58">
        <v>-1.125</v>
      </c>
      <c r="HV58">
        <v>-7.875</v>
      </c>
      <c r="HW58">
        <v>11</v>
      </c>
      <c r="HX58">
        <v>4.2650000000000006</v>
      </c>
      <c r="HY58">
        <v>3.7742500000000003</v>
      </c>
      <c r="HZ58">
        <v>51.8125</v>
      </c>
      <c r="IA58">
        <v>22</v>
      </c>
      <c r="IB58">
        <v>1.8190625</v>
      </c>
      <c r="IC58">
        <v>5.875</v>
      </c>
    </row>
    <row r="59" spans="1:237" x14ac:dyDescent="0.2">
      <c r="A59" s="19">
        <v>44115</v>
      </c>
      <c r="B59" s="13" t="s">
        <v>381</v>
      </c>
      <c r="C59" s="41" t="s">
        <v>306</v>
      </c>
      <c r="D59" s="14" t="s">
        <v>304</v>
      </c>
      <c r="E59">
        <v>5.6</v>
      </c>
      <c r="F59">
        <v>0.8</v>
      </c>
      <c r="G59">
        <v>1.3</v>
      </c>
      <c r="H59">
        <v>1.4</v>
      </c>
      <c r="I59">
        <v>7</v>
      </c>
      <c r="J59">
        <v>45</v>
      </c>
      <c r="K59" t="s">
        <v>735</v>
      </c>
      <c r="L59" t="s">
        <v>306</v>
      </c>
      <c r="M59">
        <v>31</v>
      </c>
      <c r="N59">
        <v>-7.07</v>
      </c>
      <c r="O59">
        <v>17</v>
      </c>
      <c r="P59">
        <v>16.75</v>
      </c>
      <c r="Q59">
        <v>15</v>
      </c>
      <c r="R59">
        <v>0.37499999999999845</v>
      </c>
      <c r="S59">
        <v>16</v>
      </c>
      <c r="T59">
        <v>-0.125</v>
      </c>
      <c r="U59">
        <v>17</v>
      </c>
      <c r="V59">
        <v>-4.875</v>
      </c>
      <c r="W59">
        <v>19</v>
      </c>
      <c r="X59">
        <v>-0.375</v>
      </c>
      <c r="Y59">
        <v>23</v>
      </c>
      <c r="Z59">
        <v>22</v>
      </c>
      <c r="AA59">
        <v>15</v>
      </c>
      <c r="AB59">
        <v>0.91249999999999876</v>
      </c>
      <c r="AC59">
        <v>20</v>
      </c>
      <c r="AD59">
        <v>-1.1875</v>
      </c>
      <c r="AE59">
        <v>24</v>
      </c>
      <c r="AF59">
        <v>-9.3125</v>
      </c>
      <c r="AG59">
        <v>27</v>
      </c>
      <c r="AH59">
        <v>-1.25</v>
      </c>
      <c r="AI59">
        <v>6</v>
      </c>
      <c r="AJ59">
        <v>11</v>
      </c>
      <c r="AK59">
        <v>19</v>
      </c>
      <c r="AL59">
        <v>-0.53750000000000031</v>
      </c>
      <c r="AM59">
        <v>9</v>
      </c>
      <c r="AN59">
        <v>1.0625</v>
      </c>
      <c r="AO59">
        <v>7</v>
      </c>
      <c r="AP59">
        <v>4.4375</v>
      </c>
      <c r="AQ59">
        <v>7</v>
      </c>
      <c r="AR59">
        <v>0.875</v>
      </c>
      <c r="AS59">
        <v>16</v>
      </c>
      <c r="AT59">
        <v>14.333333333333334</v>
      </c>
      <c r="AU59">
        <v>15</v>
      </c>
      <c r="AV59">
        <v>0.3062499999999988</v>
      </c>
      <c r="AW59">
        <v>14</v>
      </c>
      <c r="AX59">
        <v>4.625</v>
      </c>
      <c r="AY59">
        <v>14</v>
      </c>
      <c r="AZ59">
        <v>0.5625</v>
      </c>
      <c r="BA59">
        <v>5</v>
      </c>
      <c r="BB59">
        <v>6.333333333333333</v>
      </c>
      <c r="BC59">
        <v>11</v>
      </c>
      <c r="BD59">
        <v>2.4062499999999987</v>
      </c>
      <c r="BE59">
        <v>2</v>
      </c>
      <c r="BF59">
        <v>25.4375</v>
      </c>
      <c r="BG59">
        <v>6</v>
      </c>
      <c r="BH59">
        <v>1.5625</v>
      </c>
      <c r="BI59">
        <v>23</v>
      </c>
      <c r="BJ59">
        <v>22.666666666666668</v>
      </c>
      <c r="BK59">
        <v>17</v>
      </c>
      <c r="BL59">
        <v>-1.1249999999999998</v>
      </c>
      <c r="BM59">
        <v>22</v>
      </c>
      <c r="BN59">
        <v>-9.875</v>
      </c>
      <c r="BO59">
        <v>29</v>
      </c>
      <c r="BP59">
        <v>-1.1875</v>
      </c>
      <c r="BQ59">
        <v>21</v>
      </c>
      <c r="BR59">
        <v>21</v>
      </c>
      <c r="BS59">
        <v>19</v>
      </c>
      <c r="BT59">
        <v>-0.97500000000000009</v>
      </c>
      <c r="BU59">
        <v>28</v>
      </c>
      <c r="BV59">
        <v>-10.9375</v>
      </c>
      <c r="BW59">
        <v>16</v>
      </c>
      <c r="BX59">
        <v>0.1875</v>
      </c>
      <c r="BY59">
        <v>25</v>
      </c>
      <c r="BZ59">
        <v>23.666666666666668</v>
      </c>
      <c r="CA59">
        <v>27</v>
      </c>
      <c r="CB59">
        <v>-5.21875</v>
      </c>
      <c r="CC59">
        <v>27</v>
      </c>
      <c r="CD59">
        <v>-21.5625</v>
      </c>
      <c r="CE59">
        <v>17</v>
      </c>
      <c r="CF59">
        <v>-0.1875</v>
      </c>
      <c r="CG59">
        <v>29</v>
      </c>
      <c r="CH59">
        <v>26.333333333333332</v>
      </c>
      <c r="CI59">
        <v>32</v>
      </c>
      <c r="CJ59">
        <v>-7.4375</v>
      </c>
      <c r="CK59">
        <v>-27.6875</v>
      </c>
      <c r="CL59">
        <v>-6.25E-2</v>
      </c>
      <c r="CM59">
        <v>30</v>
      </c>
      <c r="CN59">
        <v>28.5</v>
      </c>
      <c r="CO59">
        <v>32</v>
      </c>
      <c r="CP59">
        <v>-2.8125</v>
      </c>
      <c r="CQ59">
        <v>25</v>
      </c>
      <c r="CR59">
        <v>-0.3125</v>
      </c>
      <c r="CS59">
        <v>1.0625</v>
      </c>
      <c r="CT59">
        <v>7</v>
      </c>
      <c r="CU59">
        <v>10.5</v>
      </c>
      <c r="CV59">
        <v>23</v>
      </c>
      <c r="CW59">
        <v>-3.195786002835705E-2</v>
      </c>
      <c r="CX59">
        <v>9</v>
      </c>
      <c r="CY59">
        <v>1.2021488095549083E-2</v>
      </c>
      <c r="CZ59">
        <v>1</v>
      </c>
      <c r="DA59">
        <v>-0.25308614996114998</v>
      </c>
      <c r="DB59">
        <v>9</v>
      </c>
      <c r="DC59">
        <v>0.75</v>
      </c>
      <c r="DD59">
        <v>-2.375</v>
      </c>
      <c r="DE59">
        <v>-5.125</v>
      </c>
      <c r="DF59">
        <v>0</v>
      </c>
      <c r="DG59">
        <v>-66.375</v>
      </c>
      <c r="DH59">
        <v>-53.5625</v>
      </c>
      <c r="DI59">
        <v>-7.875</v>
      </c>
      <c r="DJ59">
        <v>0.125</v>
      </c>
      <c r="DK59">
        <v>-5.0625</v>
      </c>
      <c r="DL59">
        <v>27</v>
      </c>
      <c r="DM59">
        <v>-7.4449999999999985</v>
      </c>
      <c r="DN59">
        <v>-3.0277499999999993</v>
      </c>
      <c r="DO59">
        <v>-45.6875</v>
      </c>
      <c r="DP59">
        <v>6</v>
      </c>
      <c r="DQ59">
        <v>-2.0798437500000002</v>
      </c>
      <c r="DR59">
        <v>0.5</v>
      </c>
      <c r="DS59">
        <v>-0.49812499999999993</v>
      </c>
      <c r="DT59">
        <v>0.17921875000000004</v>
      </c>
      <c r="DU59" t="s">
        <v>304</v>
      </c>
      <c r="DV59" t="s">
        <v>251</v>
      </c>
      <c r="DW59" t="s">
        <v>456</v>
      </c>
      <c r="DX59">
        <v>29</v>
      </c>
      <c r="DY59">
        <v>-4.8849999999999998</v>
      </c>
      <c r="DZ59">
        <v>4</v>
      </c>
      <c r="EA59">
        <v>8.5</v>
      </c>
      <c r="EB59">
        <v>4</v>
      </c>
      <c r="EC59">
        <v>4.9249999999999998</v>
      </c>
      <c r="ED59">
        <v>4</v>
      </c>
      <c r="EE59">
        <v>3.1875</v>
      </c>
      <c r="EF59">
        <v>4</v>
      </c>
      <c r="EG59">
        <v>31.625</v>
      </c>
      <c r="EH59">
        <v>22</v>
      </c>
      <c r="EI59">
        <v>-0.625</v>
      </c>
      <c r="EJ59">
        <v>7</v>
      </c>
      <c r="EK59">
        <v>9.75</v>
      </c>
      <c r="EL59">
        <v>5</v>
      </c>
      <c r="EM59">
        <v>4.0125000000000002</v>
      </c>
      <c r="EN59">
        <v>4</v>
      </c>
      <c r="EO59">
        <v>2.9375</v>
      </c>
      <c r="EP59">
        <v>4</v>
      </c>
      <c r="EQ59">
        <v>22.8125</v>
      </c>
      <c r="ER59">
        <v>26</v>
      </c>
      <c r="ES59">
        <v>-0.8125</v>
      </c>
      <c r="ET59">
        <v>7</v>
      </c>
      <c r="EU59">
        <v>9.6666666666666661</v>
      </c>
      <c r="EV59">
        <v>10</v>
      </c>
      <c r="EW59">
        <v>0.91249999999999998</v>
      </c>
      <c r="EX59">
        <v>14</v>
      </c>
      <c r="EY59">
        <v>0.25</v>
      </c>
      <c r="EZ59">
        <v>5</v>
      </c>
      <c r="FA59">
        <v>8.8125</v>
      </c>
      <c r="FB59">
        <v>10</v>
      </c>
      <c r="FC59">
        <v>0.1875</v>
      </c>
      <c r="FD59">
        <v>29</v>
      </c>
      <c r="FE59">
        <v>28.333333333333332</v>
      </c>
      <c r="FF59">
        <v>32</v>
      </c>
      <c r="FG59">
        <v>-7.9062499999999982</v>
      </c>
      <c r="FH59">
        <v>28</v>
      </c>
      <c r="FI59">
        <v>-24.0625</v>
      </c>
      <c r="FJ59">
        <v>25</v>
      </c>
      <c r="FK59">
        <v>-1.6875</v>
      </c>
      <c r="FL59">
        <v>29</v>
      </c>
      <c r="FM59">
        <v>27</v>
      </c>
      <c r="FN59">
        <v>30</v>
      </c>
      <c r="FO59">
        <v>-4.0624999999999982</v>
      </c>
      <c r="FP59">
        <v>30</v>
      </c>
      <c r="FQ59">
        <v>-17.25</v>
      </c>
      <c r="FR59">
        <v>21</v>
      </c>
      <c r="FS59">
        <v>-0.3125</v>
      </c>
      <c r="FT59">
        <v>24</v>
      </c>
      <c r="FU59">
        <v>22.333333333333332</v>
      </c>
      <c r="FV59">
        <v>24</v>
      </c>
      <c r="FW59">
        <v>-2.4625000000000004</v>
      </c>
      <c r="FX59">
        <v>23</v>
      </c>
      <c r="FY59">
        <v>-6.4375</v>
      </c>
      <c r="FZ59">
        <v>20</v>
      </c>
      <c r="GA59">
        <v>-0.5625</v>
      </c>
      <c r="GB59">
        <v>24</v>
      </c>
      <c r="GC59">
        <v>21.333333333333332</v>
      </c>
      <c r="GD59">
        <v>24</v>
      </c>
      <c r="GE59">
        <v>-1.3812499999999996</v>
      </c>
      <c r="GF59">
        <v>16</v>
      </c>
      <c r="GG59">
        <v>-0.375</v>
      </c>
      <c r="GH59">
        <v>24</v>
      </c>
      <c r="GI59">
        <v>-0.8125</v>
      </c>
      <c r="GJ59">
        <v>30</v>
      </c>
      <c r="GK59">
        <v>28</v>
      </c>
      <c r="GL59">
        <v>32</v>
      </c>
      <c r="GM59">
        <v>-5.9187500000000002</v>
      </c>
      <c r="GN59">
        <v>23</v>
      </c>
      <c r="GO59">
        <v>-12.3125</v>
      </c>
      <c r="GP59">
        <v>29</v>
      </c>
      <c r="GQ59">
        <v>-1.8125</v>
      </c>
      <c r="GR59">
        <v>22</v>
      </c>
      <c r="GS59">
        <v>20</v>
      </c>
      <c r="GT59">
        <v>15</v>
      </c>
      <c r="GU59">
        <v>-0.72500000000000053</v>
      </c>
      <c r="GV59">
        <v>-15.75</v>
      </c>
      <c r="GW59">
        <v>6.25E-2</v>
      </c>
      <c r="GX59">
        <v>18</v>
      </c>
      <c r="GY59">
        <v>18</v>
      </c>
      <c r="GZ59">
        <v>20</v>
      </c>
      <c r="HA59">
        <v>-0.8125</v>
      </c>
      <c r="HB59">
        <v>16</v>
      </c>
      <c r="HC59">
        <v>-0.125</v>
      </c>
      <c r="HD59">
        <v>-0.5</v>
      </c>
      <c r="HE59">
        <v>7</v>
      </c>
      <c r="HF59">
        <v>10.5</v>
      </c>
      <c r="HG59">
        <v>7</v>
      </c>
      <c r="HH59">
        <v>2.4663960574049022E-2</v>
      </c>
      <c r="HI59">
        <v>9</v>
      </c>
      <c r="HJ59">
        <v>9.8201393063512242E-3</v>
      </c>
      <c r="HK59">
        <v>11</v>
      </c>
      <c r="HL59">
        <v>-4.6671037296037277E-2</v>
      </c>
      <c r="HM59">
        <v>15</v>
      </c>
      <c r="HN59">
        <v>-0.5625</v>
      </c>
      <c r="HO59">
        <v>-2.5</v>
      </c>
      <c r="HP59">
        <v>-3.3125</v>
      </c>
      <c r="HQ59">
        <v>-0.4375</v>
      </c>
      <c r="HR59">
        <v>-19.875</v>
      </c>
      <c r="HS59">
        <v>-49.9375</v>
      </c>
      <c r="HT59">
        <v>34.9375</v>
      </c>
      <c r="HU59">
        <v>0</v>
      </c>
      <c r="HV59">
        <v>-4.875</v>
      </c>
      <c r="HW59">
        <v>30</v>
      </c>
      <c r="HX59">
        <v>-9.8099999999999987</v>
      </c>
      <c r="HY59">
        <v>-5.1657499999999992</v>
      </c>
      <c r="HZ59">
        <v>-84.875</v>
      </c>
      <c r="IA59">
        <v>3</v>
      </c>
      <c r="IB59">
        <v>-1.1754687499999998</v>
      </c>
      <c r="IC59">
        <v>-1.625</v>
      </c>
    </row>
    <row r="60" spans="1:237" x14ac:dyDescent="0.2">
      <c r="A60" s="19">
        <v>44122</v>
      </c>
      <c r="B60" s="13" t="s">
        <v>252</v>
      </c>
      <c r="C60" s="41" t="s">
        <v>285</v>
      </c>
      <c r="D60" s="14" t="s">
        <v>291</v>
      </c>
      <c r="E60">
        <v>9.3000000000000007</v>
      </c>
      <c r="F60">
        <v>22.6</v>
      </c>
      <c r="G60">
        <v>5.2</v>
      </c>
      <c r="H60">
        <v>1.1000000000000001</v>
      </c>
      <c r="I60">
        <v>0</v>
      </c>
      <c r="J60">
        <v>55</v>
      </c>
      <c r="L60" t="s">
        <v>285</v>
      </c>
      <c r="M60">
        <v>4</v>
      </c>
      <c r="N60">
        <v>7.9372000000000016</v>
      </c>
      <c r="O60">
        <v>25</v>
      </c>
      <c r="P60">
        <v>21.5</v>
      </c>
      <c r="Q60">
        <v>26</v>
      </c>
      <c r="R60">
        <v>-4.7290000000000019</v>
      </c>
      <c r="S60">
        <v>17</v>
      </c>
      <c r="T60">
        <v>-0.80000000000000027</v>
      </c>
      <c r="U60">
        <v>25</v>
      </c>
      <c r="V60">
        <v>-17.009999999999998</v>
      </c>
      <c r="W60">
        <v>18</v>
      </c>
      <c r="X60">
        <v>-0.14000000000000012</v>
      </c>
      <c r="Y60">
        <v>30</v>
      </c>
      <c r="Z60">
        <v>27.666666666666668</v>
      </c>
      <c r="AA60">
        <v>31</v>
      </c>
      <c r="AB60">
        <v>-7.9560000000000013</v>
      </c>
      <c r="AC60">
        <v>8</v>
      </c>
      <c r="AD60">
        <v>2.2000000000000002</v>
      </c>
      <c r="AE60">
        <v>21</v>
      </c>
      <c r="AF60">
        <v>-8.0400000000000009</v>
      </c>
      <c r="AG60">
        <v>31</v>
      </c>
      <c r="AH60">
        <v>-2.2799999999999998</v>
      </c>
      <c r="AI60">
        <v>7</v>
      </c>
      <c r="AJ60">
        <v>10</v>
      </c>
      <c r="AK60">
        <v>3</v>
      </c>
      <c r="AL60">
        <v>3.2269999999999994</v>
      </c>
      <c r="AM60">
        <v>30</v>
      </c>
      <c r="AN60">
        <v>-3.0000000000000004</v>
      </c>
      <c r="AO60">
        <v>26</v>
      </c>
      <c r="AP60">
        <v>-8.9699999999999989</v>
      </c>
      <c r="AQ60">
        <v>1</v>
      </c>
      <c r="AR60">
        <v>2.1399999999999997</v>
      </c>
      <c r="AS60">
        <v>4</v>
      </c>
      <c r="AT60">
        <v>4.666666666666667</v>
      </c>
      <c r="AU60">
        <v>4</v>
      </c>
      <c r="AV60">
        <v>8.113999999999999</v>
      </c>
      <c r="AW60">
        <v>8</v>
      </c>
      <c r="AX60">
        <v>21.069999999999997</v>
      </c>
      <c r="AY60">
        <v>2</v>
      </c>
      <c r="AZ60">
        <v>4.17</v>
      </c>
      <c r="BA60">
        <v>2</v>
      </c>
      <c r="BB60">
        <v>2.6666666666666665</v>
      </c>
      <c r="BC60">
        <v>3</v>
      </c>
      <c r="BD60">
        <v>7.1210000000000004</v>
      </c>
      <c r="BE60">
        <v>2</v>
      </c>
      <c r="BF60">
        <v>28.9</v>
      </c>
      <c r="BG60">
        <v>3</v>
      </c>
      <c r="BH60">
        <v>2.8200000000000003</v>
      </c>
      <c r="BI60">
        <v>14</v>
      </c>
      <c r="BJ60">
        <v>16</v>
      </c>
      <c r="BK60">
        <v>11</v>
      </c>
      <c r="BL60">
        <v>1.0719999999999996</v>
      </c>
      <c r="BM60">
        <v>20</v>
      </c>
      <c r="BN60">
        <v>-7.2800000000000011</v>
      </c>
      <c r="BO60">
        <v>17</v>
      </c>
      <c r="BP60">
        <v>6.0000000000000053E-2</v>
      </c>
      <c r="BQ60">
        <v>11</v>
      </c>
      <c r="BR60">
        <v>12.333333333333334</v>
      </c>
      <c r="BS60">
        <v>15</v>
      </c>
      <c r="BT60">
        <v>-7.9000000000000181E-2</v>
      </c>
      <c r="BU60">
        <v>17</v>
      </c>
      <c r="BV60">
        <v>-0.55000000000000004</v>
      </c>
      <c r="BW60">
        <v>5</v>
      </c>
      <c r="BX60">
        <v>1.2899999999999998</v>
      </c>
      <c r="BY60">
        <v>13</v>
      </c>
      <c r="BZ60">
        <v>15.333333333333334</v>
      </c>
      <c r="CA60">
        <v>16</v>
      </c>
      <c r="CB60">
        <v>-0.44400000000000117</v>
      </c>
      <c r="CC60">
        <v>20</v>
      </c>
      <c r="CD60">
        <v>-8.639999999999997</v>
      </c>
      <c r="CE60">
        <v>10</v>
      </c>
      <c r="CF60">
        <v>0.95</v>
      </c>
      <c r="CG60">
        <v>29</v>
      </c>
      <c r="CH60">
        <v>26.666666666666668</v>
      </c>
      <c r="CI60">
        <v>27</v>
      </c>
      <c r="CJ60">
        <v>-4.1219999999999999</v>
      </c>
      <c r="CK60">
        <v>-9.5599999999999987</v>
      </c>
      <c r="CL60">
        <v>-1.69</v>
      </c>
      <c r="CM60">
        <v>25</v>
      </c>
      <c r="CN60">
        <v>23.5</v>
      </c>
      <c r="CO60">
        <v>26</v>
      </c>
      <c r="CP60">
        <v>-1.4000000000000004</v>
      </c>
      <c r="CQ60">
        <v>21</v>
      </c>
      <c r="CR60">
        <v>-0.16999999999999998</v>
      </c>
      <c r="CS60">
        <v>-1.8700000000000003</v>
      </c>
      <c r="CT60">
        <v>19</v>
      </c>
      <c r="CU60">
        <v>19.25</v>
      </c>
      <c r="CV60">
        <v>26</v>
      </c>
      <c r="CW60">
        <v>-5.6440238710977454E-2</v>
      </c>
      <c r="CX60">
        <v>23</v>
      </c>
      <c r="CY60">
        <v>-1.0302115530627131E-2</v>
      </c>
      <c r="CZ60">
        <v>12</v>
      </c>
      <c r="DA60">
        <v>-2.3955479161361516E-2</v>
      </c>
      <c r="DB60">
        <v>16</v>
      </c>
      <c r="DC60">
        <v>6.9999999999999923E-2</v>
      </c>
      <c r="DD60">
        <v>3.0099999999999993</v>
      </c>
      <c r="DE60">
        <v>-0.87999999999999967</v>
      </c>
      <c r="DF60">
        <v>-1.27</v>
      </c>
      <c r="DG60">
        <v>22.930000000000007</v>
      </c>
      <c r="DH60">
        <v>15.5</v>
      </c>
      <c r="DI60">
        <v>-25.38</v>
      </c>
      <c r="DJ60">
        <v>-2.58</v>
      </c>
      <c r="DK60">
        <v>35.39</v>
      </c>
      <c r="DL60">
        <v>2</v>
      </c>
      <c r="DM60">
        <v>12.666200000000003</v>
      </c>
      <c r="DN60">
        <v>4.7503400000000013</v>
      </c>
      <c r="DO60">
        <v>40.879999999999995</v>
      </c>
      <c r="DP60">
        <v>31</v>
      </c>
      <c r="DQ60">
        <v>0.72502499999999981</v>
      </c>
      <c r="DR60">
        <v>2.48</v>
      </c>
      <c r="DS60">
        <v>0.87009999999999965</v>
      </c>
      <c r="DT60">
        <v>-7.0200000000000179E-2</v>
      </c>
      <c r="DU60" t="s">
        <v>291</v>
      </c>
      <c r="DV60" t="s">
        <v>282</v>
      </c>
      <c r="DW60" t="s">
        <v>453</v>
      </c>
      <c r="DX60">
        <v>12</v>
      </c>
      <c r="DY60">
        <v>1.679199999999998</v>
      </c>
      <c r="DZ60">
        <v>16</v>
      </c>
      <c r="EA60">
        <v>17.75</v>
      </c>
      <c r="EB60">
        <v>24</v>
      </c>
      <c r="EC60">
        <v>-3.3239999999999998</v>
      </c>
      <c r="ED60">
        <v>5</v>
      </c>
      <c r="EE60">
        <v>3.04</v>
      </c>
      <c r="EF60">
        <v>12</v>
      </c>
      <c r="EG60">
        <v>8.120000000000001</v>
      </c>
      <c r="EH60">
        <v>30</v>
      </c>
      <c r="EI60">
        <v>-1.7999999999999998</v>
      </c>
      <c r="EJ60">
        <v>19</v>
      </c>
      <c r="EK60">
        <v>18.5</v>
      </c>
      <c r="EL60">
        <v>23</v>
      </c>
      <c r="EM60">
        <v>-1.9999999999999996</v>
      </c>
      <c r="EN60">
        <v>4</v>
      </c>
      <c r="EO60">
        <v>2.2000000000000002</v>
      </c>
      <c r="EP60">
        <v>15</v>
      </c>
      <c r="EQ60">
        <v>4.3200000000000021</v>
      </c>
      <c r="ER60">
        <v>32</v>
      </c>
      <c r="ES60">
        <v>-1.4799999999999998</v>
      </c>
      <c r="ET60">
        <v>12</v>
      </c>
      <c r="EU60">
        <v>14.666666666666666</v>
      </c>
      <c r="EV60">
        <v>26</v>
      </c>
      <c r="EW60">
        <v>-1.3240000000000003</v>
      </c>
      <c r="EX60">
        <v>9</v>
      </c>
      <c r="EY60">
        <v>0.84000000000000008</v>
      </c>
      <c r="EZ60">
        <v>9</v>
      </c>
      <c r="FA60">
        <v>3.7999999999999994</v>
      </c>
      <c r="FB60">
        <v>24</v>
      </c>
      <c r="FC60">
        <v>-0.31999999999999995</v>
      </c>
      <c r="FD60">
        <v>6</v>
      </c>
      <c r="FE60">
        <v>7</v>
      </c>
      <c r="FF60">
        <v>3</v>
      </c>
      <c r="FG60">
        <v>9.5999999999999979</v>
      </c>
      <c r="FH60">
        <v>7</v>
      </c>
      <c r="FI60">
        <v>6.3200000000000038</v>
      </c>
      <c r="FJ60">
        <v>11</v>
      </c>
      <c r="FK60">
        <v>0.48000000000000043</v>
      </c>
      <c r="FL60">
        <v>2</v>
      </c>
      <c r="FM60">
        <v>3.3333333333333335</v>
      </c>
      <c r="FN60">
        <v>1</v>
      </c>
      <c r="FO60">
        <v>8.9591999999999992</v>
      </c>
      <c r="FP60">
        <v>4</v>
      </c>
      <c r="FQ60">
        <v>17.440000000000001</v>
      </c>
      <c r="FR60">
        <v>5</v>
      </c>
      <c r="FS60">
        <v>1.1600000000000004</v>
      </c>
      <c r="FT60">
        <v>10</v>
      </c>
      <c r="FU60">
        <v>11.333333333333334</v>
      </c>
      <c r="FV60">
        <v>8</v>
      </c>
      <c r="FW60">
        <v>2.988799999999999</v>
      </c>
      <c r="FX60">
        <v>11</v>
      </c>
      <c r="FY60">
        <v>5.3600000000000012</v>
      </c>
      <c r="FZ60">
        <v>15</v>
      </c>
      <c r="GA60">
        <v>0.12000000000000011</v>
      </c>
      <c r="GB60">
        <v>30</v>
      </c>
      <c r="GC60">
        <v>28.666666666666668</v>
      </c>
      <c r="GD60">
        <v>30</v>
      </c>
      <c r="GE60">
        <v>-2.3479999999999999</v>
      </c>
      <c r="GF60">
        <v>30</v>
      </c>
      <c r="GG60">
        <v>-16.48</v>
      </c>
      <c r="GH60">
        <v>26</v>
      </c>
      <c r="GI60">
        <v>-0.8</v>
      </c>
      <c r="GJ60">
        <v>16</v>
      </c>
      <c r="GK60">
        <v>17.333333333333332</v>
      </c>
      <c r="GL60">
        <v>18</v>
      </c>
      <c r="GM60">
        <v>-1.2759999999999998</v>
      </c>
      <c r="GN60">
        <v>18</v>
      </c>
      <c r="GO60">
        <v>-2.7600000000000007</v>
      </c>
      <c r="GP60">
        <v>16</v>
      </c>
      <c r="GQ60">
        <v>-0.39999999999999963</v>
      </c>
      <c r="GR60">
        <v>6</v>
      </c>
      <c r="GS60">
        <v>8</v>
      </c>
      <c r="GT60">
        <v>8</v>
      </c>
      <c r="GU60">
        <v>2.6479999999999997</v>
      </c>
      <c r="GV60">
        <v>9.0400000000000009</v>
      </c>
      <c r="GW60">
        <v>0.36000000000000015</v>
      </c>
      <c r="GX60">
        <v>3</v>
      </c>
      <c r="GY60">
        <v>3.5</v>
      </c>
      <c r="GZ60">
        <v>2</v>
      </c>
      <c r="HA60">
        <v>3.88</v>
      </c>
      <c r="HB60">
        <v>5</v>
      </c>
      <c r="HC60">
        <v>0.84000000000000008</v>
      </c>
      <c r="HD60">
        <v>1.2</v>
      </c>
      <c r="HE60">
        <v>28</v>
      </c>
      <c r="HF60">
        <v>21.5</v>
      </c>
      <c r="HG60">
        <v>11</v>
      </c>
      <c r="HH60">
        <v>8.50109740861138E-3</v>
      </c>
      <c r="HI60">
        <v>19</v>
      </c>
      <c r="HJ60">
        <v>-5.5448948862590929E-3</v>
      </c>
      <c r="HK60">
        <v>24</v>
      </c>
      <c r="HL60">
        <v>5.2126984126984154E-2</v>
      </c>
      <c r="HM60">
        <v>32</v>
      </c>
      <c r="HN60">
        <v>-3</v>
      </c>
      <c r="HO60">
        <v>5.3200000000000021</v>
      </c>
      <c r="HP60">
        <v>8.360000000000003</v>
      </c>
      <c r="HQ60">
        <v>1.08</v>
      </c>
      <c r="HR60">
        <v>24.519999999999992</v>
      </c>
      <c r="HS60">
        <v>-7.3199999999999816</v>
      </c>
      <c r="HT60">
        <v>24.52</v>
      </c>
      <c r="HU60">
        <v>11.6</v>
      </c>
      <c r="HV60">
        <v>-4.28</v>
      </c>
      <c r="HW60">
        <v>7</v>
      </c>
      <c r="HX60">
        <v>5.0031999999999979</v>
      </c>
      <c r="HY60">
        <v>4.4474399999999985</v>
      </c>
      <c r="HZ60">
        <v>-31.839999999999982</v>
      </c>
      <c r="IA60">
        <v>26</v>
      </c>
      <c r="IB60">
        <v>1.8103999999999996</v>
      </c>
      <c r="IC60">
        <v>0.84000000000000052</v>
      </c>
    </row>
    <row r="61" spans="1:237" x14ac:dyDescent="0.2">
      <c r="A61" s="19">
        <v>44122</v>
      </c>
      <c r="B61" s="13" t="s">
        <v>252</v>
      </c>
      <c r="C61" s="41" t="s">
        <v>295</v>
      </c>
      <c r="D61" s="14" t="s">
        <v>312</v>
      </c>
      <c r="E61">
        <v>36.700000000000003</v>
      </c>
      <c r="F61">
        <v>18.899999999999999</v>
      </c>
      <c r="G61">
        <v>10.5</v>
      </c>
      <c r="H61">
        <v>15.7</v>
      </c>
      <c r="I61">
        <v>4</v>
      </c>
      <c r="J61">
        <v>53.5</v>
      </c>
      <c r="L61" t="s">
        <v>295</v>
      </c>
      <c r="M61">
        <v>20</v>
      </c>
      <c r="N61">
        <v>-1.3671999999999993</v>
      </c>
      <c r="O61">
        <v>21</v>
      </c>
      <c r="P61">
        <v>20</v>
      </c>
      <c r="Q61">
        <v>23</v>
      </c>
      <c r="R61">
        <v>-2.7900000000000005</v>
      </c>
      <c r="S61">
        <v>13</v>
      </c>
      <c r="T61">
        <v>0.41000000000000014</v>
      </c>
      <c r="U61">
        <v>14</v>
      </c>
      <c r="V61">
        <v>7.6399999999999988</v>
      </c>
      <c r="W61">
        <v>30</v>
      </c>
      <c r="X61">
        <v>-1.7100000000000002</v>
      </c>
      <c r="Y61">
        <v>21</v>
      </c>
      <c r="Z61">
        <v>20.666666666666668</v>
      </c>
      <c r="AA61">
        <v>22</v>
      </c>
      <c r="AB61">
        <v>-2.1560000000000006</v>
      </c>
      <c r="AC61">
        <v>9</v>
      </c>
      <c r="AD61">
        <v>2.06</v>
      </c>
      <c r="AE61">
        <v>10</v>
      </c>
      <c r="AF61">
        <v>12.069999999999999</v>
      </c>
      <c r="AG61">
        <v>30</v>
      </c>
      <c r="AH61">
        <v>-1.6600000000000001</v>
      </c>
      <c r="AI61">
        <v>15</v>
      </c>
      <c r="AJ61">
        <v>16.666666666666668</v>
      </c>
      <c r="AK61">
        <v>19</v>
      </c>
      <c r="AL61">
        <v>-0.63399999999999979</v>
      </c>
      <c r="AM61">
        <v>23</v>
      </c>
      <c r="AN61">
        <v>-1.65</v>
      </c>
      <c r="AO61">
        <v>17</v>
      </c>
      <c r="AP61">
        <v>-4.43</v>
      </c>
      <c r="AQ61">
        <v>14</v>
      </c>
      <c r="AR61">
        <v>-4.9999999999999954E-2</v>
      </c>
      <c r="AS61">
        <v>5</v>
      </c>
      <c r="AT61">
        <v>5.666666666666667</v>
      </c>
      <c r="AU61">
        <v>9</v>
      </c>
      <c r="AV61">
        <v>5.0617999999999999</v>
      </c>
      <c r="AW61">
        <v>4</v>
      </c>
      <c r="AX61">
        <v>30.209999999999997</v>
      </c>
      <c r="AY61">
        <v>4</v>
      </c>
      <c r="AZ61">
        <v>3.3100000000000005</v>
      </c>
      <c r="BA61">
        <v>17</v>
      </c>
      <c r="BB61">
        <v>18</v>
      </c>
      <c r="BC61">
        <v>26</v>
      </c>
      <c r="BD61">
        <v>-3.4350000000000001</v>
      </c>
      <c r="BE61">
        <v>9</v>
      </c>
      <c r="BF61">
        <v>8.870000000000001</v>
      </c>
      <c r="BG61">
        <v>19</v>
      </c>
      <c r="BH61">
        <v>-0.46999999999999992</v>
      </c>
      <c r="BI61">
        <v>6</v>
      </c>
      <c r="BJ61">
        <v>6.333333333333333</v>
      </c>
      <c r="BK61">
        <v>3</v>
      </c>
      <c r="BL61">
        <v>4.6077999999999992</v>
      </c>
      <c r="BM61">
        <v>10</v>
      </c>
      <c r="BN61">
        <v>7.67</v>
      </c>
      <c r="BO61">
        <v>6</v>
      </c>
      <c r="BP61">
        <v>1.0700000000000003</v>
      </c>
      <c r="BQ61">
        <v>2</v>
      </c>
      <c r="BR61">
        <v>2.6666666666666665</v>
      </c>
      <c r="BS61">
        <v>2</v>
      </c>
      <c r="BT61">
        <v>3.8890000000000002</v>
      </c>
      <c r="BU61">
        <v>5</v>
      </c>
      <c r="BV61">
        <v>13.669999999999998</v>
      </c>
      <c r="BW61">
        <v>1</v>
      </c>
      <c r="BX61">
        <v>2.71</v>
      </c>
      <c r="BY61">
        <v>19</v>
      </c>
      <c r="BZ61">
        <v>18.333333333333332</v>
      </c>
      <c r="CA61">
        <v>23</v>
      </c>
      <c r="CB61">
        <v>-2.7929999999999993</v>
      </c>
      <c r="CC61">
        <v>18</v>
      </c>
      <c r="CD61">
        <v>-6.330000000000001</v>
      </c>
      <c r="CE61">
        <v>14</v>
      </c>
      <c r="CF61">
        <v>0.26999999999999991</v>
      </c>
      <c r="CG61">
        <v>12</v>
      </c>
      <c r="CH61">
        <v>14.666666666666666</v>
      </c>
      <c r="CI61">
        <v>14</v>
      </c>
      <c r="CJ61">
        <v>0.24599999999999955</v>
      </c>
      <c r="CK61">
        <v>-3.9799999999999995</v>
      </c>
      <c r="CL61">
        <v>0.85</v>
      </c>
      <c r="CM61">
        <v>10</v>
      </c>
      <c r="CN61">
        <v>10</v>
      </c>
      <c r="CO61">
        <v>11</v>
      </c>
      <c r="CP61">
        <v>0.68999999999999984</v>
      </c>
      <c r="CQ61">
        <v>9</v>
      </c>
      <c r="CR61">
        <v>0.25999999999999995</v>
      </c>
      <c r="CS61">
        <v>-1.9799999999999998</v>
      </c>
      <c r="CT61">
        <v>12</v>
      </c>
      <c r="CU61">
        <v>14.25</v>
      </c>
      <c r="CV61">
        <v>11</v>
      </c>
      <c r="CW61">
        <v>1.3653761093792016E-2</v>
      </c>
      <c r="CX61">
        <v>13</v>
      </c>
      <c r="CY61">
        <v>2.0789060004244506E-3</v>
      </c>
      <c r="CZ61">
        <v>9</v>
      </c>
      <c r="DA61">
        <v>-3.9853747559629948E-2</v>
      </c>
      <c r="DB61">
        <v>24</v>
      </c>
      <c r="DC61">
        <v>-1.4500000000000002</v>
      </c>
      <c r="DD61">
        <v>2.4700000000000015</v>
      </c>
      <c r="DE61">
        <v>-1.3300000000000012</v>
      </c>
      <c r="DF61">
        <v>-0.64</v>
      </c>
      <c r="DG61">
        <v>13.25</v>
      </c>
      <c r="DH61">
        <v>20.719999999999992</v>
      </c>
      <c r="DI61">
        <v>7.05</v>
      </c>
      <c r="DJ61">
        <v>-4.26</v>
      </c>
      <c r="DK61">
        <v>-10.26</v>
      </c>
      <c r="DL61">
        <v>13</v>
      </c>
      <c r="DM61">
        <v>1.422800000000001</v>
      </c>
      <c r="DN61">
        <v>2.1831200000000002</v>
      </c>
      <c r="DO61">
        <v>13.669999999999991</v>
      </c>
      <c r="DP61">
        <v>20</v>
      </c>
      <c r="DQ61">
        <v>0.23007499999999986</v>
      </c>
      <c r="DR61">
        <v>4.16</v>
      </c>
      <c r="DS61">
        <v>1.6179375</v>
      </c>
      <c r="DT61">
        <v>2.1437499999999998</v>
      </c>
      <c r="DU61" t="s">
        <v>312</v>
      </c>
      <c r="DV61" t="s">
        <v>260</v>
      </c>
      <c r="DW61" t="s">
        <v>476</v>
      </c>
      <c r="DX61">
        <v>19</v>
      </c>
      <c r="DY61">
        <v>-1.0620000000000012</v>
      </c>
      <c r="DZ61">
        <v>9</v>
      </c>
      <c r="EA61">
        <v>12</v>
      </c>
      <c r="EB61">
        <v>15</v>
      </c>
      <c r="EC61">
        <v>-3.9999999999992264E-3</v>
      </c>
      <c r="ED61">
        <v>8</v>
      </c>
      <c r="EE61">
        <v>2.0700000000000003</v>
      </c>
      <c r="EF61">
        <v>11</v>
      </c>
      <c r="EG61">
        <v>10.420000000000002</v>
      </c>
      <c r="EH61">
        <v>14</v>
      </c>
      <c r="EI61">
        <v>0.1</v>
      </c>
      <c r="EJ61">
        <v>7</v>
      </c>
      <c r="EK61">
        <v>10.5</v>
      </c>
      <c r="EL61">
        <v>13</v>
      </c>
      <c r="EM61">
        <v>0.99500000000000066</v>
      </c>
      <c r="EN61">
        <v>5</v>
      </c>
      <c r="EO61">
        <v>1.9400000000000002</v>
      </c>
      <c r="EP61">
        <v>13</v>
      </c>
      <c r="EQ61">
        <v>6.9</v>
      </c>
      <c r="ER61">
        <v>11</v>
      </c>
      <c r="ES61">
        <v>0.31000000000000005</v>
      </c>
      <c r="ET61">
        <v>17</v>
      </c>
      <c r="EU61">
        <v>15.666666666666666</v>
      </c>
      <c r="EV61">
        <v>22</v>
      </c>
      <c r="EW61">
        <v>-0.99899999999999989</v>
      </c>
      <c r="EX61">
        <v>15</v>
      </c>
      <c r="EY61">
        <v>0.12999999999999998</v>
      </c>
      <c r="EZ61">
        <v>10</v>
      </c>
      <c r="FA61">
        <v>3.5200000000000005</v>
      </c>
      <c r="FB61">
        <v>20</v>
      </c>
      <c r="FC61">
        <v>-0.21000000000000005</v>
      </c>
      <c r="FD61">
        <v>5</v>
      </c>
      <c r="FE61">
        <v>4.666666666666667</v>
      </c>
      <c r="FF61">
        <v>4</v>
      </c>
      <c r="FG61">
        <v>8.7129999999999992</v>
      </c>
      <c r="FH61">
        <v>5</v>
      </c>
      <c r="FI61">
        <v>22.419999999999998</v>
      </c>
      <c r="FJ61">
        <v>5</v>
      </c>
      <c r="FK61">
        <v>2.04</v>
      </c>
      <c r="FL61">
        <v>6</v>
      </c>
      <c r="FM61">
        <v>8</v>
      </c>
      <c r="FN61">
        <v>8</v>
      </c>
      <c r="FO61">
        <v>3.0100000000000002</v>
      </c>
      <c r="FP61">
        <v>6</v>
      </c>
      <c r="FQ61">
        <v>10.799999999999997</v>
      </c>
      <c r="FR61">
        <v>10</v>
      </c>
      <c r="FS61">
        <v>0.7</v>
      </c>
      <c r="FT61">
        <v>9</v>
      </c>
      <c r="FU61">
        <v>10.666666666666666</v>
      </c>
      <c r="FV61">
        <v>3</v>
      </c>
      <c r="FW61">
        <v>4.0739999999999998</v>
      </c>
      <c r="FX61">
        <v>8</v>
      </c>
      <c r="FY61">
        <v>8.35</v>
      </c>
      <c r="FZ61">
        <v>21</v>
      </c>
      <c r="GA61">
        <v>-0.30999999999999994</v>
      </c>
      <c r="GB61">
        <v>4</v>
      </c>
      <c r="GC61">
        <v>5.666666666666667</v>
      </c>
      <c r="GD61">
        <v>5</v>
      </c>
      <c r="GE61">
        <v>1.629</v>
      </c>
      <c r="GF61">
        <v>10</v>
      </c>
      <c r="GG61">
        <v>3.2700000000000005</v>
      </c>
      <c r="GH61">
        <v>2</v>
      </c>
      <c r="GI61">
        <v>1.65</v>
      </c>
      <c r="GJ61">
        <v>26</v>
      </c>
      <c r="GK61">
        <v>23.666666666666668</v>
      </c>
      <c r="GL61">
        <v>25</v>
      </c>
      <c r="GM61">
        <v>-2.8189999999999982</v>
      </c>
      <c r="GN61">
        <v>26</v>
      </c>
      <c r="GO61">
        <v>-14.789999999999997</v>
      </c>
      <c r="GP61">
        <v>20</v>
      </c>
      <c r="GQ61">
        <v>-0.72</v>
      </c>
      <c r="GR61">
        <v>21</v>
      </c>
      <c r="GS61">
        <v>19.666666666666668</v>
      </c>
      <c r="GT61">
        <v>27</v>
      </c>
      <c r="GU61">
        <v>-2.8099999999999992</v>
      </c>
      <c r="GV61">
        <v>4.7</v>
      </c>
      <c r="GW61">
        <v>-0.43</v>
      </c>
      <c r="GX61">
        <v>2</v>
      </c>
      <c r="GY61">
        <v>3</v>
      </c>
      <c r="GZ61">
        <v>1</v>
      </c>
      <c r="HA61">
        <v>3.9</v>
      </c>
      <c r="HB61">
        <v>5</v>
      </c>
      <c r="HC61">
        <v>0.84000000000000008</v>
      </c>
      <c r="HD61">
        <v>0.36</v>
      </c>
      <c r="HE61">
        <v>13</v>
      </c>
      <c r="HF61">
        <v>15</v>
      </c>
      <c r="HG61">
        <v>22</v>
      </c>
      <c r="HH61">
        <v>-1.5693786278653511E-2</v>
      </c>
      <c r="HI61">
        <v>15</v>
      </c>
      <c r="HJ61">
        <v>3.9710523647665148E-3</v>
      </c>
      <c r="HK61">
        <v>10</v>
      </c>
      <c r="HL61">
        <v>-5.0055555555555541E-2</v>
      </c>
      <c r="HM61">
        <v>13</v>
      </c>
      <c r="HN61">
        <v>-9.9999999999999638E-3</v>
      </c>
      <c r="HO61">
        <v>3.5100000000000007</v>
      </c>
      <c r="HP61">
        <v>1.2300000000000004</v>
      </c>
      <c r="HQ61">
        <v>-1.05</v>
      </c>
      <c r="HR61">
        <v>22.809999999999992</v>
      </c>
      <c r="HS61">
        <v>4.4200000000000044</v>
      </c>
      <c r="HT61">
        <v>15.16</v>
      </c>
      <c r="HU61">
        <v>2.1100000000000003</v>
      </c>
      <c r="HV61">
        <v>1.1199999999999997</v>
      </c>
      <c r="HW61">
        <v>17</v>
      </c>
      <c r="HX61">
        <v>-1.058000000000002</v>
      </c>
      <c r="HY61">
        <v>0.97019999999999951</v>
      </c>
      <c r="HZ61">
        <v>-10.739999999999995</v>
      </c>
      <c r="IA61">
        <v>16</v>
      </c>
      <c r="IB61">
        <v>1.0921250000000002</v>
      </c>
      <c r="IC61">
        <v>1.61</v>
      </c>
    </row>
    <row r="62" spans="1:237" x14ac:dyDescent="0.2">
      <c r="A62" s="19">
        <v>44122</v>
      </c>
      <c r="B62" s="13" t="s">
        <v>252</v>
      </c>
      <c r="C62" s="41" t="s">
        <v>305</v>
      </c>
      <c r="D62" s="14" t="s">
        <v>294</v>
      </c>
      <c r="E62">
        <v>9.6999999999999993</v>
      </c>
      <c r="F62">
        <v>6.1</v>
      </c>
      <c r="G62">
        <v>4.2</v>
      </c>
      <c r="H62">
        <v>4.0999999999999996</v>
      </c>
      <c r="I62">
        <v>-10</v>
      </c>
      <c r="J62">
        <v>47</v>
      </c>
      <c r="K62" t="s">
        <v>734</v>
      </c>
      <c r="L62" t="s">
        <v>305</v>
      </c>
      <c r="M62">
        <v>18</v>
      </c>
      <c r="N62">
        <v>-0.67680000000000007</v>
      </c>
      <c r="O62">
        <v>32</v>
      </c>
      <c r="P62">
        <v>31.25</v>
      </c>
      <c r="Q62">
        <v>31</v>
      </c>
      <c r="R62">
        <v>-8.1639999999999997</v>
      </c>
      <c r="S62">
        <v>32</v>
      </c>
      <c r="T62">
        <v>-7.08</v>
      </c>
      <c r="U62">
        <v>30</v>
      </c>
      <c r="V62">
        <v>-27.48</v>
      </c>
      <c r="W62">
        <v>32</v>
      </c>
      <c r="X62">
        <v>-2.8399999999999994</v>
      </c>
      <c r="Y62">
        <v>32</v>
      </c>
      <c r="Z62">
        <v>31.666666666666668</v>
      </c>
      <c r="AA62">
        <v>32</v>
      </c>
      <c r="AB62">
        <v>-8.6</v>
      </c>
      <c r="AC62">
        <v>31</v>
      </c>
      <c r="AD62">
        <v>-5.76</v>
      </c>
      <c r="AE62">
        <v>31</v>
      </c>
      <c r="AF62">
        <v>-28.96</v>
      </c>
      <c r="AG62">
        <v>32</v>
      </c>
      <c r="AH62">
        <v>-2.3999999999999995</v>
      </c>
      <c r="AI62">
        <v>14</v>
      </c>
      <c r="AJ62">
        <v>15</v>
      </c>
      <c r="AK62">
        <v>13</v>
      </c>
      <c r="AL62">
        <v>0.43599999999999939</v>
      </c>
      <c r="AM62">
        <v>22</v>
      </c>
      <c r="AN62">
        <v>-1.3199999999999998</v>
      </c>
      <c r="AO62">
        <v>11</v>
      </c>
      <c r="AP62">
        <v>1.4799999999999991</v>
      </c>
      <c r="AQ62">
        <v>21</v>
      </c>
      <c r="AR62">
        <v>-0.44000000000000006</v>
      </c>
      <c r="AS62">
        <v>29</v>
      </c>
      <c r="AT62">
        <v>28.666666666666668</v>
      </c>
      <c r="AU62">
        <v>28</v>
      </c>
      <c r="AV62">
        <v>-7.3120000000000003</v>
      </c>
      <c r="AW62">
        <v>29</v>
      </c>
      <c r="AX62">
        <v>-33.319999999999993</v>
      </c>
      <c r="AY62">
        <v>29</v>
      </c>
      <c r="AZ62">
        <v>-3.64</v>
      </c>
      <c r="BA62">
        <v>24</v>
      </c>
      <c r="BB62">
        <v>22.333333333333332</v>
      </c>
      <c r="BC62">
        <v>27</v>
      </c>
      <c r="BD62">
        <v>-3.7400000000000007</v>
      </c>
      <c r="BE62">
        <v>20</v>
      </c>
      <c r="BF62">
        <v>-7.3599999999999994</v>
      </c>
      <c r="BG62">
        <v>20</v>
      </c>
      <c r="BH62">
        <v>-0.64</v>
      </c>
      <c r="BI62">
        <v>28</v>
      </c>
      <c r="BJ62">
        <v>25.666666666666668</v>
      </c>
      <c r="BK62">
        <v>21</v>
      </c>
      <c r="BL62">
        <v>-1.6600000000000001</v>
      </c>
      <c r="BM62">
        <v>25</v>
      </c>
      <c r="BN62">
        <v>-14.479999999999999</v>
      </c>
      <c r="BO62">
        <v>31</v>
      </c>
      <c r="BP62">
        <v>-2</v>
      </c>
      <c r="BQ62">
        <v>25</v>
      </c>
      <c r="BR62">
        <v>25</v>
      </c>
      <c r="BS62">
        <v>27</v>
      </c>
      <c r="BT62">
        <v>-1.9119999999999997</v>
      </c>
      <c r="BU62">
        <v>26</v>
      </c>
      <c r="BV62">
        <v>-11.48</v>
      </c>
      <c r="BW62">
        <v>22</v>
      </c>
      <c r="BX62">
        <v>-1</v>
      </c>
      <c r="BY62">
        <v>21</v>
      </c>
      <c r="BZ62">
        <v>20</v>
      </c>
      <c r="CA62">
        <v>19</v>
      </c>
      <c r="CB62">
        <v>-1.4880000000000013</v>
      </c>
      <c r="CC62">
        <v>19</v>
      </c>
      <c r="CD62">
        <v>-8.48</v>
      </c>
      <c r="CE62">
        <v>22</v>
      </c>
      <c r="CF62">
        <v>-1.0399999999999998</v>
      </c>
      <c r="CG62">
        <v>14</v>
      </c>
      <c r="CH62">
        <v>15.666666666666666</v>
      </c>
      <c r="CI62">
        <v>10</v>
      </c>
      <c r="CJ62">
        <v>2.124000000000001</v>
      </c>
      <c r="CK62">
        <v>-3.1599999999999993</v>
      </c>
      <c r="CL62">
        <v>-0.44000000000000006</v>
      </c>
      <c r="CM62">
        <v>7</v>
      </c>
      <c r="CN62">
        <v>7.5</v>
      </c>
      <c r="CO62">
        <v>5</v>
      </c>
      <c r="CP62">
        <v>1.9599999999999997</v>
      </c>
      <c r="CQ62">
        <v>10</v>
      </c>
      <c r="CR62">
        <v>0.16</v>
      </c>
      <c r="CS62">
        <v>6.839999999999999</v>
      </c>
      <c r="CT62">
        <v>9</v>
      </c>
      <c r="CU62">
        <v>12.75</v>
      </c>
      <c r="CV62">
        <v>8</v>
      </c>
      <c r="CW62">
        <v>4.243064622460848E-2</v>
      </c>
      <c r="CX62">
        <v>8</v>
      </c>
      <c r="CY62">
        <v>1.3148567657253713E-2</v>
      </c>
      <c r="CZ62">
        <v>10</v>
      </c>
      <c r="DA62">
        <v>-3.4591297591297587E-2</v>
      </c>
      <c r="DB62">
        <v>25</v>
      </c>
      <c r="DC62">
        <v>-1.6800000000000002</v>
      </c>
      <c r="DD62">
        <v>-8.4</v>
      </c>
      <c r="DE62">
        <v>3.9999999999999855E-2</v>
      </c>
      <c r="DF62">
        <v>3.0799999999999992</v>
      </c>
      <c r="DG62">
        <v>-41.319999999999993</v>
      </c>
      <c r="DH62">
        <v>-63.480000000000004</v>
      </c>
      <c r="DI62">
        <v>-8.9200000000000017</v>
      </c>
      <c r="DJ62">
        <v>3.7599999999999993</v>
      </c>
      <c r="DK62">
        <v>27.32</v>
      </c>
      <c r="DL62">
        <v>6</v>
      </c>
      <c r="DM62">
        <v>7.4872000000000005</v>
      </c>
      <c r="DN62">
        <v>2.9090400000000001</v>
      </c>
      <c r="DO62">
        <v>-54.56</v>
      </c>
      <c r="DP62">
        <v>27</v>
      </c>
      <c r="DQ62">
        <v>-1.5085999999999999</v>
      </c>
      <c r="DR62">
        <v>-4.08</v>
      </c>
      <c r="DS62">
        <v>-0.10650000000000048</v>
      </c>
      <c r="DT62">
        <v>-1.6500000000000004</v>
      </c>
      <c r="DU62" t="s">
        <v>294</v>
      </c>
      <c r="DV62" t="s">
        <v>290</v>
      </c>
      <c r="DW62" t="s">
        <v>469</v>
      </c>
      <c r="DX62">
        <v>13</v>
      </c>
      <c r="DY62">
        <v>1.3579999999999988</v>
      </c>
      <c r="DZ62">
        <v>29</v>
      </c>
      <c r="EA62">
        <v>23.25</v>
      </c>
      <c r="EB62">
        <v>25</v>
      </c>
      <c r="EC62">
        <v>-3.4190000000000005</v>
      </c>
      <c r="ED62">
        <v>16</v>
      </c>
      <c r="EE62">
        <v>8.9999999999999858E-2</v>
      </c>
      <c r="EF62">
        <v>24</v>
      </c>
      <c r="EG62">
        <v>-16.02</v>
      </c>
      <c r="EH62">
        <v>28</v>
      </c>
      <c r="EI62">
        <v>-1.5899999999999999</v>
      </c>
      <c r="EJ62">
        <v>28</v>
      </c>
      <c r="EK62">
        <v>23.25</v>
      </c>
      <c r="EL62">
        <v>25</v>
      </c>
      <c r="EM62">
        <v>-2.1660000000000008</v>
      </c>
      <c r="EN62">
        <v>22</v>
      </c>
      <c r="EO62">
        <v>-0.4</v>
      </c>
      <c r="EP62">
        <v>29</v>
      </c>
      <c r="EQ62">
        <v>-17.559999999999999</v>
      </c>
      <c r="ER62">
        <v>17</v>
      </c>
      <c r="ES62">
        <v>-0.18999999999999986</v>
      </c>
      <c r="ET62">
        <v>15</v>
      </c>
      <c r="EU62">
        <v>15.333333333333334</v>
      </c>
      <c r="EV62">
        <v>24</v>
      </c>
      <c r="EW62">
        <v>-1.2529999999999999</v>
      </c>
      <c r="EX62">
        <v>11</v>
      </c>
      <c r="EY62">
        <v>0.48999999999999988</v>
      </c>
      <c r="EZ62">
        <v>11</v>
      </c>
      <c r="FA62">
        <v>1.5399999999999991</v>
      </c>
      <c r="FB62">
        <v>32</v>
      </c>
      <c r="FC62">
        <v>-1.4</v>
      </c>
      <c r="FD62">
        <v>12</v>
      </c>
      <c r="FE62">
        <v>14.333333333333334</v>
      </c>
      <c r="FF62">
        <v>7</v>
      </c>
      <c r="FG62">
        <v>4.9829999999999997</v>
      </c>
      <c r="FH62">
        <v>20</v>
      </c>
      <c r="FI62">
        <v>-1.589999999999999</v>
      </c>
      <c r="FJ62">
        <v>16</v>
      </c>
      <c r="FK62">
        <v>-7.9999999999999849E-2</v>
      </c>
      <c r="FL62">
        <v>12</v>
      </c>
      <c r="FM62">
        <v>12</v>
      </c>
      <c r="FN62">
        <v>5</v>
      </c>
      <c r="FO62">
        <v>4.016</v>
      </c>
      <c r="FP62">
        <v>17</v>
      </c>
      <c r="FQ62">
        <v>-2.2199999999999989</v>
      </c>
      <c r="FR62">
        <v>14</v>
      </c>
      <c r="FS62">
        <v>0.45</v>
      </c>
      <c r="FT62">
        <v>23</v>
      </c>
      <c r="FU62">
        <v>21.666666666666668</v>
      </c>
      <c r="FV62">
        <v>20</v>
      </c>
      <c r="FW62">
        <v>-0.43100000000000022</v>
      </c>
      <c r="FX62">
        <v>14</v>
      </c>
      <c r="FY62">
        <v>3.0700000000000003</v>
      </c>
      <c r="FZ62">
        <v>31</v>
      </c>
      <c r="GA62">
        <v>-1.5799999999999998</v>
      </c>
      <c r="GB62">
        <v>8</v>
      </c>
      <c r="GC62">
        <v>11.333333333333334</v>
      </c>
      <c r="GD62">
        <v>7</v>
      </c>
      <c r="GE62">
        <v>1.3979999999999997</v>
      </c>
      <c r="GF62">
        <v>23</v>
      </c>
      <c r="GG62">
        <v>-2.4400000000000004</v>
      </c>
      <c r="GH62">
        <v>4</v>
      </c>
      <c r="GI62">
        <v>1.05</v>
      </c>
      <c r="GJ62">
        <v>21</v>
      </c>
      <c r="GK62">
        <v>19.666666666666668</v>
      </c>
      <c r="GL62">
        <v>19</v>
      </c>
      <c r="GM62">
        <v>-1.4180000000000006</v>
      </c>
      <c r="GN62">
        <v>21</v>
      </c>
      <c r="GO62">
        <v>-9.6800000000000015</v>
      </c>
      <c r="GP62">
        <v>19</v>
      </c>
      <c r="GQ62">
        <v>-0.48999999999999988</v>
      </c>
      <c r="GR62">
        <v>4</v>
      </c>
      <c r="GS62">
        <v>3.3333333333333335</v>
      </c>
      <c r="GT62">
        <v>2</v>
      </c>
      <c r="GU62">
        <v>8.0539999999999985</v>
      </c>
      <c r="GV62">
        <v>19.920000000000002</v>
      </c>
      <c r="GW62">
        <v>1.32</v>
      </c>
      <c r="GX62">
        <v>13</v>
      </c>
      <c r="GY62">
        <v>13.5</v>
      </c>
      <c r="GZ62">
        <v>11</v>
      </c>
      <c r="HA62">
        <v>0.51999999999999991</v>
      </c>
      <c r="HB62">
        <v>16</v>
      </c>
      <c r="HC62">
        <v>-0.13999999999999999</v>
      </c>
      <c r="HD62">
        <v>2.4400000000000004</v>
      </c>
      <c r="HE62">
        <v>11</v>
      </c>
      <c r="HF62">
        <v>14.5</v>
      </c>
      <c r="HG62">
        <v>3</v>
      </c>
      <c r="HH62">
        <v>7.2072093993855904E-2</v>
      </c>
      <c r="HI62">
        <v>12</v>
      </c>
      <c r="HJ62">
        <v>6.0502501286230654E-3</v>
      </c>
      <c r="HK62">
        <v>25</v>
      </c>
      <c r="HL62">
        <v>5.7768009768009755E-2</v>
      </c>
      <c r="HM62">
        <v>18</v>
      </c>
      <c r="HN62">
        <v>-0.64999999999999991</v>
      </c>
      <c r="HO62">
        <v>2.2900000000000005</v>
      </c>
      <c r="HP62">
        <v>5.16</v>
      </c>
      <c r="HQ62">
        <v>-0.1</v>
      </c>
      <c r="HR62">
        <v>10.270000000000005</v>
      </c>
      <c r="HS62">
        <v>14.6</v>
      </c>
      <c r="HT62">
        <v>-20.729999999999997</v>
      </c>
      <c r="HU62">
        <v>17.46</v>
      </c>
      <c r="HV62">
        <v>-1.0599999999999998</v>
      </c>
      <c r="HW62">
        <v>8</v>
      </c>
      <c r="HX62">
        <v>4.7769999999999992</v>
      </c>
      <c r="HY62">
        <v>4.5884999999999998</v>
      </c>
      <c r="HZ62">
        <v>35.33</v>
      </c>
      <c r="IA62">
        <v>25</v>
      </c>
      <c r="IB62">
        <v>1.4369999999999994</v>
      </c>
      <c r="IC62">
        <v>1.2400000000000002</v>
      </c>
    </row>
    <row r="63" spans="1:237" x14ac:dyDescent="0.2">
      <c r="A63" s="19">
        <v>44122</v>
      </c>
      <c r="B63" s="13" t="s">
        <v>252</v>
      </c>
      <c r="C63" s="41" t="s">
        <v>276</v>
      </c>
      <c r="D63" s="14" t="s">
        <v>288</v>
      </c>
      <c r="E63">
        <v>16.600000000000001</v>
      </c>
      <c r="F63">
        <v>14.5</v>
      </c>
      <c r="G63">
        <v>1.7</v>
      </c>
      <c r="H63">
        <v>1.7</v>
      </c>
      <c r="I63">
        <v>5</v>
      </c>
      <c r="J63">
        <v>56.5</v>
      </c>
      <c r="L63" t="s">
        <v>276</v>
      </c>
      <c r="M63">
        <v>1</v>
      </c>
      <c r="N63">
        <v>9.5440000000000005</v>
      </c>
      <c r="O63">
        <v>28</v>
      </c>
      <c r="P63">
        <v>26.5</v>
      </c>
      <c r="Q63">
        <v>32</v>
      </c>
      <c r="R63">
        <v>-8.1769999999999996</v>
      </c>
      <c r="S63">
        <v>21</v>
      </c>
      <c r="T63">
        <v>-1.44</v>
      </c>
      <c r="U63">
        <v>29</v>
      </c>
      <c r="V63">
        <v>-22.2</v>
      </c>
      <c r="W63">
        <v>24</v>
      </c>
      <c r="X63">
        <v>-0.89</v>
      </c>
      <c r="Y63">
        <v>28</v>
      </c>
      <c r="Z63">
        <v>24.666666666666668</v>
      </c>
      <c r="AA63">
        <v>30</v>
      </c>
      <c r="AB63">
        <v>-7.1759999999999993</v>
      </c>
      <c r="AC63">
        <v>26</v>
      </c>
      <c r="AD63">
        <v>-2.04</v>
      </c>
      <c r="AE63">
        <v>29</v>
      </c>
      <c r="AF63">
        <v>-23.86</v>
      </c>
      <c r="AG63">
        <v>15</v>
      </c>
      <c r="AH63">
        <v>6.9999999999999923E-2</v>
      </c>
      <c r="AI63">
        <v>21</v>
      </c>
      <c r="AJ63">
        <v>19.666666666666668</v>
      </c>
      <c r="AK63">
        <v>21</v>
      </c>
      <c r="AL63">
        <v>-1.0009999999999999</v>
      </c>
      <c r="AM63">
        <v>11</v>
      </c>
      <c r="AN63">
        <v>0.6</v>
      </c>
      <c r="AO63">
        <v>10</v>
      </c>
      <c r="AP63">
        <v>1.6600000000000001</v>
      </c>
      <c r="AQ63">
        <v>28</v>
      </c>
      <c r="AR63">
        <v>-0.96</v>
      </c>
      <c r="AS63">
        <v>1</v>
      </c>
      <c r="AT63">
        <v>1</v>
      </c>
      <c r="AU63">
        <v>1</v>
      </c>
      <c r="AV63">
        <v>14.891</v>
      </c>
      <c r="AW63">
        <v>1</v>
      </c>
      <c r="AX63">
        <v>72.680000000000007</v>
      </c>
      <c r="AY63">
        <v>1</v>
      </c>
      <c r="AZ63">
        <v>5.79</v>
      </c>
      <c r="BA63">
        <v>1</v>
      </c>
      <c r="BB63">
        <v>1.6666666666666667</v>
      </c>
      <c r="BC63">
        <v>2</v>
      </c>
      <c r="BD63">
        <v>7.6569999999999991</v>
      </c>
      <c r="BE63">
        <v>1</v>
      </c>
      <c r="BF63">
        <v>31.29</v>
      </c>
      <c r="BG63">
        <v>2</v>
      </c>
      <c r="BH63">
        <v>2.9899999999999998</v>
      </c>
      <c r="BI63">
        <v>7</v>
      </c>
      <c r="BJ63">
        <v>7.666666666666667</v>
      </c>
      <c r="BK63">
        <v>7</v>
      </c>
      <c r="BL63">
        <v>2.9410000000000003</v>
      </c>
      <c r="BM63">
        <v>8</v>
      </c>
      <c r="BN63">
        <v>16.010000000000002</v>
      </c>
      <c r="BO63">
        <v>8</v>
      </c>
      <c r="BP63">
        <v>1.01</v>
      </c>
      <c r="BQ63">
        <v>1</v>
      </c>
      <c r="BR63">
        <v>1.3333333333333333</v>
      </c>
      <c r="BS63">
        <v>1</v>
      </c>
      <c r="BT63">
        <v>4.293000000000001</v>
      </c>
      <c r="BU63">
        <v>1</v>
      </c>
      <c r="BV63">
        <v>25.380000000000003</v>
      </c>
      <c r="BW63">
        <v>2</v>
      </c>
      <c r="BX63">
        <v>1.7899999999999998</v>
      </c>
      <c r="BY63">
        <v>3</v>
      </c>
      <c r="BZ63">
        <v>3.3333333333333335</v>
      </c>
      <c r="CA63">
        <v>4</v>
      </c>
      <c r="CB63">
        <v>7.6639999999999988</v>
      </c>
      <c r="CC63">
        <v>4</v>
      </c>
      <c r="CD63">
        <v>28.54</v>
      </c>
      <c r="CE63">
        <v>2</v>
      </c>
      <c r="CF63">
        <v>3.1399999999999997</v>
      </c>
      <c r="CG63">
        <v>28</v>
      </c>
      <c r="CH63">
        <v>25.333333333333332</v>
      </c>
      <c r="CI63">
        <v>25</v>
      </c>
      <c r="CJ63">
        <v>-2.3770000000000011</v>
      </c>
      <c r="CK63">
        <v>-8.4699999999999989</v>
      </c>
      <c r="CL63">
        <v>-1.42</v>
      </c>
      <c r="CM63">
        <v>19</v>
      </c>
      <c r="CN63">
        <v>20.5</v>
      </c>
      <c r="CO63">
        <v>21</v>
      </c>
      <c r="CP63">
        <v>-0.95000000000000018</v>
      </c>
      <c r="CQ63">
        <v>20</v>
      </c>
      <c r="CR63">
        <v>-0.16000000000000006</v>
      </c>
      <c r="CS63">
        <v>-1.0699999999999998</v>
      </c>
      <c r="CT63">
        <v>19</v>
      </c>
      <c r="CU63">
        <v>19.25</v>
      </c>
      <c r="CV63">
        <v>13</v>
      </c>
      <c r="CW63">
        <v>6.1094463052377866E-3</v>
      </c>
      <c r="CX63">
        <v>22</v>
      </c>
      <c r="CY63">
        <v>-1.0228124775865809E-2</v>
      </c>
      <c r="CZ63">
        <v>21</v>
      </c>
      <c r="DA63">
        <v>3.9878232878232868E-2</v>
      </c>
      <c r="DB63">
        <v>21</v>
      </c>
      <c r="DC63">
        <v>-0.98999999999999988</v>
      </c>
      <c r="DD63">
        <v>2.069999999999999</v>
      </c>
      <c r="DE63">
        <v>3.5799999999999996</v>
      </c>
      <c r="DF63">
        <v>-0.91999999999999993</v>
      </c>
      <c r="DG63">
        <v>24</v>
      </c>
      <c r="DH63">
        <v>58.17</v>
      </c>
      <c r="DI63">
        <v>-32.839999999999996</v>
      </c>
      <c r="DJ63">
        <v>-3.13</v>
      </c>
      <c r="DK63">
        <v>1.8</v>
      </c>
      <c r="DL63">
        <v>1</v>
      </c>
      <c r="DM63">
        <v>17.721</v>
      </c>
      <c r="DN63">
        <v>8.5000999999999998</v>
      </c>
      <c r="DO63">
        <v>91.009999999999991</v>
      </c>
      <c r="DP63">
        <v>32</v>
      </c>
      <c r="DQ63">
        <v>1.6163750000000001</v>
      </c>
      <c r="DR63">
        <v>4.37</v>
      </c>
      <c r="DS63">
        <v>0.33574999999999988</v>
      </c>
      <c r="DT63">
        <v>1.0518749999999994</v>
      </c>
      <c r="DU63" t="s">
        <v>288</v>
      </c>
      <c r="DV63" t="s">
        <v>270</v>
      </c>
      <c r="DW63" t="s">
        <v>508</v>
      </c>
      <c r="DX63">
        <v>20</v>
      </c>
      <c r="DY63">
        <v>-1.1740000000000002</v>
      </c>
      <c r="DZ63">
        <v>4</v>
      </c>
      <c r="EA63">
        <v>8.25</v>
      </c>
      <c r="EB63">
        <v>8</v>
      </c>
      <c r="EC63">
        <v>3.2360000000000002</v>
      </c>
      <c r="ED63">
        <v>4</v>
      </c>
      <c r="EE63">
        <v>3.37</v>
      </c>
      <c r="EF63">
        <v>6</v>
      </c>
      <c r="EG63">
        <v>20.329999999999998</v>
      </c>
      <c r="EH63">
        <v>15</v>
      </c>
      <c r="EI63">
        <v>-1.9999999999999962E-2</v>
      </c>
      <c r="EJ63">
        <v>12</v>
      </c>
      <c r="EK63">
        <v>14.5</v>
      </c>
      <c r="EL63">
        <v>7</v>
      </c>
      <c r="EM63">
        <v>2.1509999999999998</v>
      </c>
      <c r="EN63">
        <v>24</v>
      </c>
      <c r="EO63">
        <v>-0.61999999999999988</v>
      </c>
      <c r="EP63">
        <v>14</v>
      </c>
      <c r="EQ63">
        <v>5.5399999999999991</v>
      </c>
      <c r="ER63">
        <v>13</v>
      </c>
      <c r="ES63">
        <v>0.25000000000000006</v>
      </c>
      <c r="ET63">
        <v>2</v>
      </c>
      <c r="EU63">
        <v>4.333333333333333</v>
      </c>
      <c r="EV63">
        <v>9</v>
      </c>
      <c r="EW63">
        <v>1.0850000000000004</v>
      </c>
      <c r="EX63">
        <v>1</v>
      </c>
      <c r="EY63">
        <v>3.9899999999999998</v>
      </c>
      <c r="EZ63">
        <v>3</v>
      </c>
      <c r="FA63">
        <v>14.789999999999997</v>
      </c>
      <c r="FB63">
        <v>22</v>
      </c>
      <c r="FC63">
        <v>-0.27</v>
      </c>
      <c r="FD63">
        <v>25</v>
      </c>
      <c r="FE63">
        <v>23.666666666666668</v>
      </c>
      <c r="FF63">
        <v>20</v>
      </c>
      <c r="FG63">
        <v>-2.5749999999999993</v>
      </c>
      <c r="FH63">
        <v>27</v>
      </c>
      <c r="FI63">
        <v>-17.150000000000002</v>
      </c>
      <c r="FJ63">
        <v>24</v>
      </c>
      <c r="FK63">
        <v>-1.0799999999999998</v>
      </c>
      <c r="FL63">
        <v>15</v>
      </c>
      <c r="FM63">
        <v>15.666666666666666</v>
      </c>
      <c r="FN63">
        <v>14</v>
      </c>
      <c r="FO63">
        <v>2.2000000000000953E-2</v>
      </c>
      <c r="FP63">
        <v>12</v>
      </c>
      <c r="FQ63">
        <v>7.0999999999999988</v>
      </c>
      <c r="FR63">
        <v>21</v>
      </c>
      <c r="FS63">
        <v>-0.29999999999999982</v>
      </c>
      <c r="FT63">
        <v>29</v>
      </c>
      <c r="FU63">
        <v>28.666666666666668</v>
      </c>
      <c r="FV63">
        <v>27</v>
      </c>
      <c r="FW63">
        <v>-3.3910000000000005</v>
      </c>
      <c r="FX63">
        <v>31</v>
      </c>
      <c r="FY63">
        <v>-23.43</v>
      </c>
      <c r="FZ63">
        <v>28</v>
      </c>
      <c r="GA63">
        <v>-0.83000000000000007</v>
      </c>
      <c r="GB63">
        <v>13</v>
      </c>
      <c r="GC63">
        <v>13.333333333333334</v>
      </c>
      <c r="GD63">
        <v>10</v>
      </c>
      <c r="GE63">
        <v>0.79400000000000015</v>
      </c>
      <c r="GF63">
        <v>17</v>
      </c>
      <c r="GG63">
        <v>-0.81999999999999962</v>
      </c>
      <c r="GH63">
        <v>13</v>
      </c>
      <c r="GI63">
        <v>0.05</v>
      </c>
      <c r="GJ63">
        <v>30</v>
      </c>
      <c r="GK63">
        <v>28</v>
      </c>
      <c r="GL63">
        <v>31</v>
      </c>
      <c r="GM63">
        <v>-6.2780000000000005</v>
      </c>
      <c r="GN63">
        <v>32</v>
      </c>
      <c r="GO63">
        <v>-24.28</v>
      </c>
      <c r="GP63">
        <v>21</v>
      </c>
      <c r="GQ63">
        <v>-0.7699999999999998</v>
      </c>
      <c r="GR63">
        <v>16</v>
      </c>
      <c r="GS63">
        <v>18</v>
      </c>
      <c r="GT63">
        <v>17</v>
      </c>
      <c r="GU63">
        <v>-1.0499999999999989</v>
      </c>
      <c r="GV63">
        <v>-4.2</v>
      </c>
      <c r="GW63">
        <v>0.12000000000000002</v>
      </c>
      <c r="GX63">
        <v>21</v>
      </c>
      <c r="GY63">
        <v>22.5</v>
      </c>
      <c r="GZ63">
        <v>23</v>
      </c>
      <c r="HA63">
        <v>-1.48</v>
      </c>
      <c r="HB63">
        <v>22</v>
      </c>
      <c r="HC63">
        <v>-0.47000000000000003</v>
      </c>
      <c r="HD63">
        <v>-2.96</v>
      </c>
      <c r="HE63">
        <v>2</v>
      </c>
      <c r="HF63">
        <v>9.25</v>
      </c>
      <c r="HG63">
        <v>15</v>
      </c>
      <c r="HH63">
        <v>1.6124057069607177E-3</v>
      </c>
      <c r="HI63">
        <v>11</v>
      </c>
      <c r="HJ63">
        <v>7.9312040229468032E-3</v>
      </c>
      <c r="HK63">
        <v>6</v>
      </c>
      <c r="HL63">
        <v>-5.6203175909058281E-2</v>
      </c>
      <c r="HM63">
        <v>5</v>
      </c>
      <c r="HN63">
        <v>1.8200000000000003</v>
      </c>
      <c r="HO63">
        <v>2.5300000000000025</v>
      </c>
      <c r="HP63">
        <v>-3.2300000000000004</v>
      </c>
      <c r="HQ63">
        <v>-0.42000000000000004</v>
      </c>
      <c r="HR63">
        <v>8.1300000000000061</v>
      </c>
      <c r="HS63">
        <v>-15.759999999999996</v>
      </c>
      <c r="HT63">
        <v>22.259999999999998</v>
      </c>
      <c r="HU63">
        <v>-1.65</v>
      </c>
      <c r="HV63">
        <v>3.2800000000000011</v>
      </c>
      <c r="HW63">
        <v>26</v>
      </c>
      <c r="HX63">
        <v>-4.41</v>
      </c>
      <c r="HY63">
        <v>-2.5777999999999999</v>
      </c>
      <c r="HZ63">
        <v>-38.019999999999996</v>
      </c>
      <c r="IA63">
        <v>7</v>
      </c>
      <c r="IB63">
        <v>-0.38037499999999974</v>
      </c>
      <c r="IC63">
        <v>-0.95999999999999985</v>
      </c>
    </row>
    <row r="64" spans="1:237" x14ac:dyDescent="0.2">
      <c r="A64" s="19">
        <v>44122</v>
      </c>
      <c r="B64" s="13" t="s">
        <v>252</v>
      </c>
      <c r="C64" s="41" t="s">
        <v>301</v>
      </c>
      <c r="D64" s="14" t="s">
        <v>265</v>
      </c>
      <c r="E64">
        <v>11.7</v>
      </c>
      <c r="F64">
        <v>14.3</v>
      </c>
      <c r="G64">
        <v>2.2999999999999998</v>
      </c>
      <c r="H64">
        <v>1.9</v>
      </c>
      <c r="I64">
        <v>-2</v>
      </c>
      <c r="J64">
        <v>45.5</v>
      </c>
      <c r="K64" t="s">
        <v>735</v>
      </c>
      <c r="L64" t="s">
        <v>301</v>
      </c>
      <c r="M64">
        <v>23</v>
      </c>
      <c r="N64">
        <v>-3.2600000000000025</v>
      </c>
      <c r="O64">
        <v>4</v>
      </c>
      <c r="P64">
        <v>8</v>
      </c>
      <c r="Q64">
        <v>5</v>
      </c>
      <c r="R64">
        <v>6.7599999999999989</v>
      </c>
      <c r="S64">
        <v>8</v>
      </c>
      <c r="T64">
        <v>2.2400000000000002</v>
      </c>
      <c r="U64">
        <v>9</v>
      </c>
      <c r="V64">
        <v>13.160000000000004</v>
      </c>
      <c r="W64">
        <v>10</v>
      </c>
      <c r="X64">
        <v>0.5199999999999998</v>
      </c>
      <c r="Y64">
        <v>3</v>
      </c>
      <c r="Z64">
        <v>6</v>
      </c>
      <c r="AA64">
        <v>3</v>
      </c>
      <c r="AB64">
        <v>6.903999999999999</v>
      </c>
      <c r="AC64">
        <v>6</v>
      </c>
      <c r="AD64">
        <v>3.4</v>
      </c>
      <c r="AE64">
        <v>5</v>
      </c>
      <c r="AF64">
        <v>18.360000000000003</v>
      </c>
      <c r="AG64">
        <v>10</v>
      </c>
      <c r="AH64">
        <v>0.83999999999999986</v>
      </c>
      <c r="AI64">
        <v>17</v>
      </c>
      <c r="AJ64">
        <v>17.666666666666668</v>
      </c>
      <c r="AK64">
        <v>15</v>
      </c>
      <c r="AL64">
        <v>-0.14400000000000029</v>
      </c>
      <c r="AM64">
        <v>19</v>
      </c>
      <c r="AN64">
        <v>-1.1599999999999999</v>
      </c>
      <c r="AO64">
        <v>21</v>
      </c>
      <c r="AP64">
        <v>-5.2</v>
      </c>
      <c r="AQ64">
        <v>17</v>
      </c>
      <c r="AR64">
        <v>-0.32000000000000012</v>
      </c>
      <c r="AS64">
        <v>3</v>
      </c>
      <c r="AT64">
        <v>4</v>
      </c>
      <c r="AU64">
        <v>3</v>
      </c>
      <c r="AV64">
        <v>8.2479999999999993</v>
      </c>
      <c r="AW64">
        <v>3</v>
      </c>
      <c r="AX64">
        <v>50.8</v>
      </c>
      <c r="AY64">
        <v>6</v>
      </c>
      <c r="AZ64">
        <v>3.2</v>
      </c>
      <c r="BA64">
        <v>7</v>
      </c>
      <c r="BB64">
        <v>9.3333333333333339</v>
      </c>
      <c r="BC64">
        <v>10</v>
      </c>
      <c r="BD64">
        <v>2.3639999999999994</v>
      </c>
      <c r="BE64">
        <v>6</v>
      </c>
      <c r="BF64">
        <v>15.52</v>
      </c>
      <c r="BG64">
        <v>12</v>
      </c>
      <c r="BH64">
        <v>0.48000000000000026</v>
      </c>
      <c r="BI64">
        <v>3</v>
      </c>
      <c r="BJ64">
        <v>3.6666666666666665</v>
      </c>
      <c r="BK64">
        <v>6</v>
      </c>
      <c r="BL64">
        <v>3.1560000000000001</v>
      </c>
      <c r="BM64">
        <v>4</v>
      </c>
      <c r="BN64">
        <v>26.4</v>
      </c>
      <c r="BO64">
        <v>1</v>
      </c>
      <c r="BP64">
        <v>1.92</v>
      </c>
      <c r="BQ64">
        <v>6</v>
      </c>
      <c r="BR64">
        <v>7.333333333333333</v>
      </c>
      <c r="BS64">
        <v>5</v>
      </c>
      <c r="BT64">
        <v>2.7279999999999998</v>
      </c>
      <c r="BU64">
        <v>6</v>
      </c>
      <c r="BV64">
        <v>8.879999999999999</v>
      </c>
      <c r="BW64">
        <v>11</v>
      </c>
      <c r="BX64">
        <v>0.8</v>
      </c>
      <c r="BY64">
        <v>13</v>
      </c>
      <c r="BZ64">
        <v>15.333333333333334</v>
      </c>
      <c r="CA64">
        <v>20</v>
      </c>
      <c r="CB64">
        <v>-1.6479999999999997</v>
      </c>
      <c r="CC64">
        <v>14</v>
      </c>
      <c r="CD64">
        <v>3.1200000000000019</v>
      </c>
      <c r="CE64">
        <v>12</v>
      </c>
      <c r="CF64">
        <v>0.63999999999999946</v>
      </c>
      <c r="CG64">
        <v>32</v>
      </c>
      <c r="CH64">
        <v>32</v>
      </c>
      <c r="CI64">
        <v>32</v>
      </c>
      <c r="CJ64">
        <v>-8.3120000000000012</v>
      </c>
      <c r="CK64">
        <v>-34.760000000000005</v>
      </c>
      <c r="CL64">
        <v>-3.6799999999999997</v>
      </c>
      <c r="CM64">
        <v>4</v>
      </c>
      <c r="CN64">
        <v>6.5</v>
      </c>
      <c r="CO64">
        <v>9</v>
      </c>
      <c r="CP64">
        <v>1.0399999999999998</v>
      </c>
      <c r="CQ64">
        <v>4</v>
      </c>
      <c r="CR64">
        <v>0.72</v>
      </c>
      <c r="CS64">
        <v>-0.67999999999999994</v>
      </c>
      <c r="CT64">
        <v>26</v>
      </c>
      <c r="CU64">
        <v>21.75</v>
      </c>
      <c r="CV64">
        <v>28</v>
      </c>
      <c r="CW64">
        <v>-6.5708184947098486E-2</v>
      </c>
      <c r="CX64">
        <v>27</v>
      </c>
      <c r="CY64">
        <v>-1.4412438910555759E-2</v>
      </c>
      <c r="CZ64">
        <v>13</v>
      </c>
      <c r="DA64">
        <v>6.3109668109668452E-3</v>
      </c>
      <c r="DB64">
        <v>19</v>
      </c>
      <c r="DC64">
        <v>-0.68000000000000027</v>
      </c>
      <c r="DD64">
        <v>-0.16000000000000086</v>
      </c>
      <c r="DE64">
        <v>-0.84000000000000052</v>
      </c>
      <c r="DF64">
        <v>-0.83999999999999986</v>
      </c>
      <c r="DG64">
        <v>21.719999999999992</v>
      </c>
      <c r="DH64">
        <v>9.0800000000000018</v>
      </c>
      <c r="DI64">
        <v>9.0800000000000018</v>
      </c>
      <c r="DJ64">
        <v>5.2</v>
      </c>
      <c r="DK64">
        <v>-1.64</v>
      </c>
      <c r="DL64">
        <v>29</v>
      </c>
      <c r="DM64">
        <v>-10.020000000000001</v>
      </c>
      <c r="DN64">
        <v>-4.0448000000000004</v>
      </c>
      <c r="DO64">
        <v>0</v>
      </c>
      <c r="DP64">
        <v>4</v>
      </c>
      <c r="DQ64">
        <v>0.55949999999999933</v>
      </c>
      <c r="DR64">
        <v>-0.47999999999999954</v>
      </c>
      <c r="DS64">
        <v>-0.91410000000000013</v>
      </c>
      <c r="DT64">
        <v>-0.69719999999999993</v>
      </c>
      <c r="DU64" t="s">
        <v>265</v>
      </c>
      <c r="DV64" t="s">
        <v>236</v>
      </c>
      <c r="DW64" t="s">
        <v>539</v>
      </c>
      <c r="DX64">
        <v>29</v>
      </c>
      <c r="DY64">
        <v>-3.9610000000000012</v>
      </c>
      <c r="DZ64">
        <v>13</v>
      </c>
      <c r="EA64">
        <v>13.5</v>
      </c>
      <c r="EB64">
        <v>16</v>
      </c>
      <c r="EC64">
        <v>-4.5999999999999874E-2</v>
      </c>
      <c r="ED64">
        <v>14</v>
      </c>
      <c r="EE64">
        <v>0.37999999999999956</v>
      </c>
      <c r="EF64">
        <v>8</v>
      </c>
      <c r="EG64">
        <v>16.78</v>
      </c>
      <c r="EH64">
        <v>16</v>
      </c>
      <c r="EI64">
        <v>-0.10000000000000003</v>
      </c>
      <c r="EJ64">
        <v>13</v>
      </c>
      <c r="EK64">
        <v>15.25</v>
      </c>
      <c r="EL64">
        <v>17</v>
      </c>
      <c r="EM64">
        <v>-0.3030000000000001</v>
      </c>
      <c r="EN64">
        <v>15</v>
      </c>
      <c r="EO64">
        <v>0.16999999999999957</v>
      </c>
      <c r="EP64">
        <v>7</v>
      </c>
      <c r="EQ64">
        <v>11.76</v>
      </c>
      <c r="ER64">
        <v>22</v>
      </c>
      <c r="ES64">
        <v>-0.47000000000000003</v>
      </c>
      <c r="ET64">
        <v>9</v>
      </c>
      <c r="EU64">
        <v>11.666666666666666</v>
      </c>
      <c r="EV64">
        <v>14</v>
      </c>
      <c r="EW64">
        <v>0.25700000000000023</v>
      </c>
      <c r="EX64">
        <v>13</v>
      </c>
      <c r="EY64">
        <v>0.20999999999999996</v>
      </c>
      <c r="EZ64">
        <v>8</v>
      </c>
      <c r="FA64">
        <v>5.0199999999999996</v>
      </c>
      <c r="FB64">
        <v>11</v>
      </c>
      <c r="FC64">
        <v>0.37</v>
      </c>
      <c r="FD64">
        <v>23</v>
      </c>
      <c r="FE64">
        <v>20.666666666666668</v>
      </c>
      <c r="FF64">
        <v>30</v>
      </c>
      <c r="FG64">
        <v>-6.4949999999999992</v>
      </c>
      <c r="FH64">
        <v>24</v>
      </c>
      <c r="FI64">
        <v>-10.510000000000002</v>
      </c>
      <c r="FJ64">
        <v>8</v>
      </c>
      <c r="FK64">
        <v>0.68</v>
      </c>
      <c r="FL64">
        <v>22</v>
      </c>
      <c r="FM64">
        <v>21</v>
      </c>
      <c r="FN64">
        <v>26</v>
      </c>
      <c r="FO64">
        <v>-3.6129999999999995</v>
      </c>
      <c r="FP64">
        <v>26</v>
      </c>
      <c r="FQ64">
        <v>-13.25</v>
      </c>
      <c r="FR64">
        <v>11</v>
      </c>
      <c r="FS64">
        <v>0.55000000000000004</v>
      </c>
      <c r="FT64">
        <v>26</v>
      </c>
      <c r="FU64">
        <v>23.666666666666668</v>
      </c>
      <c r="FV64">
        <v>26</v>
      </c>
      <c r="FW64">
        <v>-2.87</v>
      </c>
      <c r="FX64">
        <v>19</v>
      </c>
      <c r="FY64">
        <v>2.0000000000000285E-2</v>
      </c>
      <c r="FZ64">
        <v>26</v>
      </c>
      <c r="GA64">
        <v>-0.76</v>
      </c>
      <c r="GB64">
        <v>7</v>
      </c>
      <c r="GC64">
        <v>11</v>
      </c>
      <c r="GD64">
        <v>16</v>
      </c>
      <c r="GE64">
        <v>-1.1999999999999655E-2</v>
      </c>
      <c r="GF64">
        <v>11</v>
      </c>
      <c r="GG64">
        <v>2.7199999999999998</v>
      </c>
      <c r="GH64">
        <v>6</v>
      </c>
      <c r="GI64">
        <v>0.89</v>
      </c>
      <c r="GJ64">
        <v>27</v>
      </c>
      <c r="GK64">
        <v>24</v>
      </c>
      <c r="GL64">
        <v>29</v>
      </c>
      <c r="GM64">
        <v>-3.746999999999999</v>
      </c>
      <c r="GN64">
        <v>20</v>
      </c>
      <c r="GO64">
        <v>-8.5699999999999985</v>
      </c>
      <c r="GP64">
        <v>23</v>
      </c>
      <c r="GQ64">
        <v>-0.93999999999999984</v>
      </c>
      <c r="GR64">
        <v>18</v>
      </c>
      <c r="GS64">
        <v>18.333333333333332</v>
      </c>
      <c r="GT64">
        <v>11</v>
      </c>
      <c r="GU64">
        <v>0.59400000000000008</v>
      </c>
      <c r="GV64">
        <v>-2.4</v>
      </c>
      <c r="GW64">
        <v>-0.55999999999999994</v>
      </c>
      <c r="GX64">
        <v>5</v>
      </c>
      <c r="GY64">
        <v>5.5</v>
      </c>
      <c r="GZ64">
        <v>9</v>
      </c>
      <c r="HA64">
        <v>0.8600000000000001</v>
      </c>
      <c r="HB64">
        <v>2</v>
      </c>
      <c r="HC64">
        <v>0.95</v>
      </c>
      <c r="HD64">
        <v>-0.2900000000000002</v>
      </c>
      <c r="HE64">
        <v>10</v>
      </c>
      <c r="HF64">
        <v>13.5</v>
      </c>
      <c r="HG64">
        <v>9</v>
      </c>
      <c r="HH64">
        <v>1.5422640060317811E-2</v>
      </c>
      <c r="HI64">
        <v>17</v>
      </c>
      <c r="HJ64">
        <v>-2.6375495340327767E-3</v>
      </c>
      <c r="HK64">
        <v>8</v>
      </c>
      <c r="HL64">
        <v>-5.4460317460317473E-2</v>
      </c>
      <c r="HM64">
        <v>20</v>
      </c>
      <c r="HN64">
        <v>-0.86999999999999988</v>
      </c>
      <c r="HO64">
        <v>2.4</v>
      </c>
      <c r="HP64">
        <v>-2.3099999999999996</v>
      </c>
      <c r="HQ64">
        <v>-1.28</v>
      </c>
      <c r="HR64">
        <v>-1.9600000000000022</v>
      </c>
      <c r="HS64">
        <v>-15.129999999999995</v>
      </c>
      <c r="HT64">
        <v>13.540000000000003</v>
      </c>
      <c r="HU64">
        <v>0.48000000000000015</v>
      </c>
      <c r="HV64">
        <v>-0.85</v>
      </c>
      <c r="HW64">
        <v>24</v>
      </c>
      <c r="HX64">
        <v>-3.9150000000000014</v>
      </c>
      <c r="HY64">
        <v>-1.9494000000000005</v>
      </c>
      <c r="HZ64">
        <v>-28.669999999999998</v>
      </c>
      <c r="IA64">
        <v>9</v>
      </c>
      <c r="IB64">
        <v>-1.1310000000000002</v>
      </c>
      <c r="IC64">
        <v>0.12000000000000011</v>
      </c>
    </row>
    <row r="65" spans="1:237" x14ac:dyDescent="0.2">
      <c r="A65" s="19">
        <v>44122</v>
      </c>
      <c r="B65" s="13" t="s">
        <v>252</v>
      </c>
      <c r="C65" s="41" t="s">
        <v>265</v>
      </c>
      <c r="D65" s="13" t="s">
        <v>301</v>
      </c>
      <c r="E65">
        <v>10.3</v>
      </c>
      <c r="F65">
        <v>3.8</v>
      </c>
      <c r="G65">
        <v>6.6</v>
      </c>
      <c r="H65">
        <v>8.4</v>
      </c>
      <c r="I65">
        <v>2</v>
      </c>
      <c r="J65">
        <v>45.5</v>
      </c>
      <c r="K65" t="s">
        <v>735</v>
      </c>
      <c r="L65" t="s">
        <v>265</v>
      </c>
      <c r="M65">
        <v>17</v>
      </c>
      <c r="N65">
        <v>-0.47160000000000046</v>
      </c>
      <c r="O65">
        <v>29</v>
      </c>
      <c r="P65">
        <v>26.75</v>
      </c>
      <c r="Q65">
        <v>30</v>
      </c>
      <c r="R65">
        <v>-8.0290000000000017</v>
      </c>
      <c r="S65">
        <v>30</v>
      </c>
      <c r="T65">
        <v>-4.4800000000000004</v>
      </c>
      <c r="U65">
        <v>27</v>
      </c>
      <c r="V65">
        <v>-18.730000000000004</v>
      </c>
      <c r="W65">
        <v>20</v>
      </c>
      <c r="X65">
        <v>-0.29999999999999988</v>
      </c>
      <c r="Y65">
        <v>24</v>
      </c>
      <c r="Z65">
        <v>21.666666666666668</v>
      </c>
      <c r="AA65">
        <v>25</v>
      </c>
      <c r="AB65">
        <v>-4.3880000000000008</v>
      </c>
      <c r="AC65">
        <v>24</v>
      </c>
      <c r="AD65">
        <v>-1.8</v>
      </c>
      <c r="AE65">
        <v>26</v>
      </c>
      <c r="AF65">
        <v>-13.960000000000003</v>
      </c>
      <c r="AG65">
        <v>14</v>
      </c>
      <c r="AH65">
        <v>0.24000000000000005</v>
      </c>
      <c r="AI65">
        <v>28</v>
      </c>
      <c r="AJ65">
        <v>24.333333333333332</v>
      </c>
      <c r="AK65">
        <v>32</v>
      </c>
      <c r="AL65">
        <v>-3.6410000000000005</v>
      </c>
      <c r="AM65">
        <v>28</v>
      </c>
      <c r="AN65">
        <v>-2.68</v>
      </c>
      <c r="AO65">
        <v>19</v>
      </c>
      <c r="AP65">
        <v>-4.7700000000000005</v>
      </c>
      <c r="AQ65">
        <v>22</v>
      </c>
      <c r="AR65">
        <v>-0.53999999999999992</v>
      </c>
      <c r="AS65">
        <v>15</v>
      </c>
      <c r="AT65">
        <v>13.666666666666666</v>
      </c>
      <c r="AU65">
        <v>16</v>
      </c>
      <c r="AV65">
        <v>-0.5163999999999993</v>
      </c>
      <c r="AW65">
        <v>20</v>
      </c>
      <c r="AX65">
        <v>-11.49</v>
      </c>
      <c r="AY65">
        <v>5</v>
      </c>
      <c r="AZ65">
        <v>3.21</v>
      </c>
      <c r="BA65">
        <v>3</v>
      </c>
      <c r="BB65">
        <v>4</v>
      </c>
      <c r="BC65">
        <v>7</v>
      </c>
      <c r="BD65">
        <v>3.3482000000000012</v>
      </c>
      <c r="BE65">
        <v>4</v>
      </c>
      <c r="BF65">
        <v>16.14</v>
      </c>
      <c r="BG65">
        <v>1</v>
      </c>
      <c r="BH65">
        <v>3.06</v>
      </c>
      <c r="BI65">
        <v>32</v>
      </c>
      <c r="BJ65">
        <v>29.666666666666668</v>
      </c>
      <c r="BK65">
        <v>30</v>
      </c>
      <c r="BL65">
        <v>-4.7720000000000002</v>
      </c>
      <c r="BM65">
        <v>32</v>
      </c>
      <c r="BN65">
        <v>-28.48</v>
      </c>
      <c r="BO65">
        <v>27</v>
      </c>
      <c r="BP65">
        <v>-1.4600000000000002</v>
      </c>
      <c r="BQ65">
        <v>9</v>
      </c>
      <c r="BR65">
        <v>10</v>
      </c>
      <c r="BS65">
        <v>10</v>
      </c>
      <c r="BT65">
        <v>0.90739999999999976</v>
      </c>
      <c r="BU65">
        <v>16</v>
      </c>
      <c r="BV65">
        <v>0.84999999999999931</v>
      </c>
      <c r="BW65">
        <v>4</v>
      </c>
      <c r="BX65">
        <v>1.61</v>
      </c>
      <c r="BY65">
        <v>9</v>
      </c>
      <c r="BZ65">
        <v>9.6666666666666661</v>
      </c>
      <c r="CA65">
        <v>14</v>
      </c>
      <c r="CB65">
        <v>0.25999999999999834</v>
      </c>
      <c r="CC65">
        <v>12</v>
      </c>
      <c r="CD65">
        <v>5.6</v>
      </c>
      <c r="CE65">
        <v>3</v>
      </c>
      <c r="CF65">
        <v>3.11</v>
      </c>
      <c r="CG65">
        <v>8</v>
      </c>
      <c r="CH65">
        <v>8.6666666666666661</v>
      </c>
      <c r="CI65">
        <v>6</v>
      </c>
      <c r="CJ65">
        <v>3.278</v>
      </c>
      <c r="CK65">
        <v>3.4799999999999995</v>
      </c>
      <c r="CL65">
        <v>1.23</v>
      </c>
      <c r="CM65">
        <v>20</v>
      </c>
      <c r="CN65">
        <v>21</v>
      </c>
      <c r="CO65">
        <v>29</v>
      </c>
      <c r="CP65">
        <v>-1.92</v>
      </c>
      <c r="CQ65">
        <v>13</v>
      </c>
      <c r="CR65">
        <v>0.11000000000000001</v>
      </c>
      <c r="CS65">
        <v>-0.86999999999999988</v>
      </c>
      <c r="CT65">
        <v>11</v>
      </c>
      <c r="CU65">
        <v>14</v>
      </c>
      <c r="CV65">
        <v>19</v>
      </c>
      <c r="CW65">
        <v>-1.656713055420525E-2</v>
      </c>
      <c r="CX65">
        <v>16</v>
      </c>
      <c r="CY65">
        <v>-3.9293963617368922E-4</v>
      </c>
      <c r="CZ65">
        <v>3</v>
      </c>
      <c r="DA65">
        <v>-0.17685786435786435</v>
      </c>
      <c r="DB65">
        <v>18</v>
      </c>
      <c r="DC65">
        <v>-0.2900000000000002</v>
      </c>
      <c r="DD65">
        <v>0.65000000000000147</v>
      </c>
      <c r="DE65">
        <v>-3.5600000000000009</v>
      </c>
      <c r="DF65">
        <v>-1.55</v>
      </c>
      <c r="DG65">
        <v>-22.470000000000006</v>
      </c>
      <c r="DH65">
        <v>-11.660000000000002</v>
      </c>
      <c r="DI65">
        <v>-21.5</v>
      </c>
      <c r="DJ65">
        <v>6.5400000000000009</v>
      </c>
      <c r="DK65">
        <v>4.1500000000000004</v>
      </c>
      <c r="DL65">
        <v>5</v>
      </c>
      <c r="DM65">
        <v>7.5574000000000012</v>
      </c>
      <c r="DN65">
        <v>4.472500000000001</v>
      </c>
      <c r="DO65">
        <v>9.8399999999999981</v>
      </c>
      <c r="DP65">
        <v>28</v>
      </c>
      <c r="DQ65">
        <v>-0.95737500000000031</v>
      </c>
      <c r="DR65">
        <v>4.4399999999999995</v>
      </c>
      <c r="DS65">
        <v>-0.91410000000000013</v>
      </c>
      <c r="DT65">
        <v>-1.1310000000000002</v>
      </c>
      <c r="DU65" t="s">
        <v>301</v>
      </c>
      <c r="DV65" t="s">
        <v>279</v>
      </c>
      <c r="DW65" t="s">
        <v>484</v>
      </c>
      <c r="DX65">
        <v>32</v>
      </c>
      <c r="DY65">
        <v>-6.7896000000000001</v>
      </c>
      <c r="DZ65">
        <v>3</v>
      </c>
      <c r="EA65">
        <v>8</v>
      </c>
      <c r="EB65">
        <v>1</v>
      </c>
      <c r="EC65">
        <v>11.672000000000001</v>
      </c>
      <c r="ED65">
        <v>21</v>
      </c>
      <c r="EE65">
        <v>-1.2000000000000002</v>
      </c>
      <c r="EF65">
        <v>9</v>
      </c>
      <c r="EG65">
        <v>14.92</v>
      </c>
      <c r="EH65">
        <v>1</v>
      </c>
      <c r="EI65">
        <v>2.2800000000000002</v>
      </c>
      <c r="EJ65">
        <v>5</v>
      </c>
      <c r="EK65">
        <v>9</v>
      </c>
      <c r="EL65">
        <v>1</v>
      </c>
      <c r="EM65">
        <v>10.164</v>
      </c>
      <c r="EN65">
        <v>26</v>
      </c>
      <c r="EO65">
        <v>-1.3200000000000003</v>
      </c>
      <c r="EP65">
        <v>8</v>
      </c>
      <c r="EQ65">
        <v>9.24</v>
      </c>
      <c r="ER65">
        <v>1</v>
      </c>
      <c r="ES65">
        <v>1.8800000000000001</v>
      </c>
      <c r="ET65">
        <v>8</v>
      </c>
      <c r="EU65">
        <v>9.6666666666666661</v>
      </c>
      <c r="EV65">
        <v>6</v>
      </c>
      <c r="EW65">
        <v>1.508</v>
      </c>
      <c r="EX65">
        <v>16</v>
      </c>
      <c r="EY65">
        <v>0.12000000000000011</v>
      </c>
      <c r="EZ65">
        <v>7</v>
      </c>
      <c r="FA65">
        <v>5.68</v>
      </c>
      <c r="FB65">
        <v>10</v>
      </c>
      <c r="FC65">
        <v>0.4</v>
      </c>
      <c r="FD65">
        <v>29</v>
      </c>
      <c r="FE65">
        <v>27</v>
      </c>
      <c r="FF65">
        <v>29</v>
      </c>
      <c r="FG65">
        <v>-6.3839999999999995</v>
      </c>
      <c r="FH65">
        <v>30</v>
      </c>
      <c r="FI65">
        <v>-31.64</v>
      </c>
      <c r="FJ65">
        <v>22</v>
      </c>
      <c r="FK65">
        <v>-0.87999999999999945</v>
      </c>
      <c r="FL65">
        <v>5</v>
      </c>
      <c r="FM65">
        <v>5.333333333333333</v>
      </c>
      <c r="FN65">
        <v>7</v>
      </c>
      <c r="FO65">
        <v>3.1040000000000001</v>
      </c>
      <c r="FP65">
        <v>7</v>
      </c>
      <c r="FQ65">
        <v>10.360000000000001</v>
      </c>
      <c r="FR65">
        <v>2</v>
      </c>
      <c r="FS65">
        <v>2.0000000000000004</v>
      </c>
      <c r="FT65">
        <v>31</v>
      </c>
      <c r="FU65">
        <v>30</v>
      </c>
      <c r="FV65">
        <v>31</v>
      </c>
      <c r="FW65">
        <v>-5.2</v>
      </c>
      <c r="FX65">
        <v>29</v>
      </c>
      <c r="FY65">
        <v>-18.680000000000003</v>
      </c>
      <c r="FZ65">
        <v>30</v>
      </c>
      <c r="GA65">
        <v>-1.2799999999999998</v>
      </c>
      <c r="GB65">
        <v>32</v>
      </c>
      <c r="GC65">
        <v>31.666666666666668</v>
      </c>
      <c r="GD65">
        <v>32</v>
      </c>
      <c r="GE65">
        <v>-4.2879999999999994</v>
      </c>
      <c r="GF65">
        <v>32</v>
      </c>
      <c r="GG65">
        <v>-23.32</v>
      </c>
      <c r="GH65">
        <v>31</v>
      </c>
      <c r="GI65">
        <v>-1.6</v>
      </c>
      <c r="GJ65">
        <v>9</v>
      </c>
      <c r="GK65">
        <v>11</v>
      </c>
      <c r="GL65">
        <v>12</v>
      </c>
      <c r="GM65">
        <v>0.89600000000000013</v>
      </c>
      <c r="GN65">
        <v>15</v>
      </c>
      <c r="GO65">
        <v>0.15999999999999942</v>
      </c>
      <c r="GP65">
        <v>6</v>
      </c>
      <c r="GQ65">
        <v>1.0000000000000002</v>
      </c>
      <c r="GR65">
        <v>28</v>
      </c>
      <c r="GS65">
        <v>26</v>
      </c>
      <c r="GT65">
        <v>28</v>
      </c>
      <c r="GU65">
        <v>-3.3159999999999998</v>
      </c>
      <c r="GV65">
        <v>-11.959999999999999</v>
      </c>
      <c r="GW65">
        <v>-0.43999999999999984</v>
      </c>
      <c r="GX65">
        <v>23</v>
      </c>
      <c r="GY65">
        <v>25</v>
      </c>
      <c r="GZ65">
        <v>20</v>
      </c>
      <c r="HA65">
        <v>-0.75999999999999979</v>
      </c>
      <c r="HB65">
        <v>30</v>
      </c>
      <c r="HC65">
        <v>-0.8</v>
      </c>
      <c r="HD65">
        <v>-0.68000000000000027</v>
      </c>
      <c r="HE65">
        <v>20</v>
      </c>
      <c r="HF65">
        <v>18.75</v>
      </c>
      <c r="HG65">
        <v>26</v>
      </c>
      <c r="HH65">
        <v>-4.0463405910694257E-2</v>
      </c>
      <c r="HI65">
        <v>26</v>
      </c>
      <c r="HJ65">
        <v>-1.9587103934301332E-2</v>
      </c>
      <c r="HK65">
        <v>4</v>
      </c>
      <c r="HL65">
        <v>-7.9642951819422422E-2</v>
      </c>
      <c r="HM65">
        <v>19</v>
      </c>
      <c r="HN65">
        <v>-0.67999999999999994</v>
      </c>
      <c r="HO65">
        <v>-3.3599999999999994</v>
      </c>
      <c r="HP65">
        <v>-2.04</v>
      </c>
      <c r="HQ65">
        <v>-0.36</v>
      </c>
      <c r="HR65">
        <v>-37</v>
      </c>
      <c r="HS65">
        <v>-50.64</v>
      </c>
      <c r="HT65">
        <v>11.000000000000004</v>
      </c>
      <c r="HU65">
        <v>1.2</v>
      </c>
      <c r="HV65">
        <v>1.4400000000000008</v>
      </c>
      <c r="HW65">
        <v>32</v>
      </c>
      <c r="HX65">
        <v>-18.461600000000001</v>
      </c>
      <c r="HY65">
        <v>-9.1339199999999998</v>
      </c>
      <c r="HZ65">
        <v>-61.64</v>
      </c>
      <c r="IA65">
        <v>1</v>
      </c>
      <c r="IB65">
        <v>-0.69719999999999993</v>
      </c>
      <c r="IC65">
        <v>-1.3199999999999994</v>
      </c>
    </row>
    <row r="66" spans="1:237" x14ac:dyDescent="0.2">
      <c r="A66" s="19">
        <v>44122</v>
      </c>
      <c r="B66" s="13" t="s">
        <v>252</v>
      </c>
      <c r="C66" s="17" t="s">
        <v>272</v>
      </c>
      <c r="D66" s="14" t="s">
        <v>289</v>
      </c>
      <c r="E66">
        <v>12.9</v>
      </c>
      <c r="F66">
        <v>21.7</v>
      </c>
      <c r="G66">
        <v>17.600000000000001</v>
      </c>
      <c r="H66">
        <v>0</v>
      </c>
      <c r="I66">
        <v>7</v>
      </c>
      <c r="J66">
        <v>46</v>
      </c>
      <c r="K66" t="s">
        <v>735</v>
      </c>
      <c r="L66" t="s">
        <v>272</v>
      </c>
      <c r="M66">
        <v>24</v>
      </c>
      <c r="N66">
        <v>-3.6536000000000008</v>
      </c>
      <c r="O66">
        <v>9</v>
      </c>
      <c r="P66">
        <v>12.25</v>
      </c>
      <c r="Q66">
        <v>16</v>
      </c>
      <c r="R66">
        <v>0.22399999999999909</v>
      </c>
      <c r="S66">
        <v>10</v>
      </c>
      <c r="T66">
        <v>1.8400000000000007</v>
      </c>
      <c r="U66">
        <v>15</v>
      </c>
      <c r="V66">
        <v>6.24</v>
      </c>
      <c r="W66">
        <v>8</v>
      </c>
      <c r="X66">
        <v>0.76000000000000012</v>
      </c>
      <c r="Y66">
        <v>13</v>
      </c>
      <c r="Z66">
        <v>13.333333333333334</v>
      </c>
      <c r="AA66">
        <v>13</v>
      </c>
      <c r="AB66">
        <v>1.2719999999999989</v>
      </c>
      <c r="AC66">
        <v>3</v>
      </c>
      <c r="AD66">
        <v>4.9600000000000009</v>
      </c>
      <c r="AE66">
        <v>8</v>
      </c>
      <c r="AF66">
        <v>15.24</v>
      </c>
      <c r="AG66">
        <v>19</v>
      </c>
      <c r="AH66">
        <v>-0.31999999999999995</v>
      </c>
      <c r="AI66">
        <v>18</v>
      </c>
      <c r="AJ66">
        <v>18</v>
      </c>
      <c r="AK66">
        <v>22</v>
      </c>
      <c r="AL66">
        <v>-1.0479999999999998</v>
      </c>
      <c r="AM66">
        <v>31</v>
      </c>
      <c r="AN66">
        <v>-3.12</v>
      </c>
      <c r="AO66">
        <v>27</v>
      </c>
      <c r="AP66">
        <v>-9</v>
      </c>
      <c r="AQ66">
        <v>5</v>
      </c>
      <c r="AR66">
        <v>1.08</v>
      </c>
      <c r="AS66">
        <v>17</v>
      </c>
      <c r="AT66">
        <v>16.333333333333332</v>
      </c>
      <c r="AU66">
        <v>23</v>
      </c>
      <c r="AV66">
        <v>-3.6959999999999988</v>
      </c>
      <c r="AW66">
        <v>19</v>
      </c>
      <c r="AX66">
        <v>-11.079999999999995</v>
      </c>
      <c r="AY66">
        <v>7</v>
      </c>
      <c r="AZ66">
        <v>3.16</v>
      </c>
      <c r="BA66">
        <v>15</v>
      </c>
      <c r="BB66">
        <v>15.333333333333334</v>
      </c>
      <c r="BC66">
        <v>19</v>
      </c>
      <c r="BD66">
        <v>-1.268</v>
      </c>
      <c r="BE66">
        <v>12</v>
      </c>
      <c r="BF66">
        <v>4.6800000000000015</v>
      </c>
      <c r="BG66">
        <v>15</v>
      </c>
      <c r="BH66">
        <v>0.20000000000000034</v>
      </c>
      <c r="BI66">
        <v>21</v>
      </c>
      <c r="BJ66">
        <v>21</v>
      </c>
      <c r="BK66">
        <v>31</v>
      </c>
      <c r="BL66">
        <v>-5.1399999999999988</v>
      </c>
      <c r="BM66">
        <v>30</v>
      </c>
      <c r="BN66">
        <v>-20.439999999999998</v>
      </c>
      <c r="BO66">
        <v>2</v>
      </c>
      <c r="BP66">
        <v>1.8399999999999999</v>
      </c>
      <c r="BQ66">
        <v>7</v>
      </c>
      <c r="BR66">
        <v>7.666666666666667</v>
      </c>
      <c r="BS66">
        <v>6</v>
      </c>
      <c r="BT66">
        <v>2.7119999999999997</v>
      </c>
      <c r="BU66">
        <v>11</v>
      </c>
      <c r="BV66">
        <v>4.6800000000000006</v>
      </c>
      <c r="BW66">
        <v>6</v>
      </c>
      <c r="BX66">
        <v>1.1200000000000001</v>
      </c>
      <c r="BY66">
        <v>23</v>
      </c>
      <c r="BZ66">
        <v>22.333333333333332</v>
      </c>
      <c r="CA66">
        <v>28</v>
      </c>
      <c r="CB66">
        <v>-5.2440000000000015</v>
      </c>
      <c r="CC66">
        <v>24</v>
      </c>
      <c r="CD66">
        <v>-15.24</v>
      </c>
      <c r="CE66">
        <v>15</v>
      </c>
      <c r="CF66">
        <v>0.19999999999999965</v>
      </c>
      <c r="CG66">
        <v>23</v>
      </c>
      <c r="CH66">
        <v>23.666666666666668</v>
      </c>
      <c r="CI66">
        <v>28</v>
      </c>
      <c r="CJ66">
        <v>-4.4279999999999999</v>
      </c>
      <c r="CK66">
        <v>-12.360000000000003</v>
      </c>
      <c r="CL66">
        <v>-0.4</v>
      </c>
      <c r="CM66">
        <v>2</v>
      </c>
      <c r="CN66">
        <v>2.5</v>
      </c>
      <c r="CO66">
        <v>3</v>
      </c>
      <c r="CP66">
        <v>2.4</v>
      </c>
      <c r="CQ66">
        <v>2</v>
      </c>
      <c r="CR66">
        <v>0.79999999999999982</v>
      </c>
      <c r="CS66">
        <v>-2.6399999999999997</v>
      </c>
      <c r="CT66">
        <v>1</v>
      </c>
      <c r="CU66">
        <v>6</v>
      </c>
      <c r="CV66">
        <v>5</v>
      </c>
      <c r="CW66">
        <v>7.3258486945301543E-2</v>
      </c>
      <c r="CX66">
        <v>1</v>
      </c>
      <c r="CY66">
        <v>3.5916622138106168E-2</v>
      </c>
      <c r="CZ66">
        <v>14</v>
      </c>
      <c r="DA66">
        <v>9.31973581973582E-3</v>
      </c>
      <c r="DB66">
        <v>4</v>
      </c>
      <c r="DC66">
        <v>3.3600000000000003</v>
      </c>
      <c r="DD66">
        <v>5.5600000000000023</v>
      </c>
      <c r="DE66">
        <v>-4.9999999999999991</v>
      </c>
      <c r="DF66">
        <v>-0.27999999999999997</v>
      </c>
      <c r="DG66">
        <v>-27.560000000000002</v>
      </c>
      <c r="DH66">
        <v>-23</v>
      </c>
      <c r="DI66">
        <v>1.0399999999999978</v>
      </c>
      <c r="DJ66">
        <v>-7.6399999999999988</v>
      </c>
      <c r="DK66">
        <v>2.0399999999999996</v>
      </c>
      <c r="DL66">
        <v>23</v>
      </c>
      <c r="DM66">
        <v>-3.8775999999999993</v>
      </c>
      <c r="DN66">
        <v>-2.4675199999999995</v>
      </c>
      <c r="DO66">
        <v>-24.04</v>
      </c>
      <c r="DP66">
        <v>10</v>
      </c>
      <c r="DQ66">
        <v>-1.1441999999999999</v>
      </c>
      <c r="DR66">
        <v>2.7600000000000002</v>
      </c>
      <c r="DS66">
        <v>-1.0473999999999999</v>
      </c>
      <c r="DT66">
        <v>0.27200000000000008</v>
      </c>
      <c r="DU66" t="s">
        <v>289</v>
      </c>
      <c r="DV66" t="s">
        <v>274</v>
      </c>
      <c r="DW66" t="s">
        <v>488</v>
      </c>
      <c r="DX66">
        <v>30</v>
      </c>
      <c r="DY66">
        <v>-4.7504000000000008</v>
      </c>
      <c r="DZ66">
        <v>32</v>
      </c>
      <c r="EA66">
        <v>27.75</v>
      </c>
      <c r="EB66">
        <v>32</v>
      </c>
      <c r="EC66">
        <v>-7.26</v>
      </c>
      <c r="ED66">
        <v>27</v>
      </c>
      <c r="EE66">
        <v>-3.0399999999999991</v>
      </c>
      <c r="EF66">
        <v>31</v>
      </c>
      <c r="EG66">
        <v>-30</v>
      </c>
      <c r="EH66">
        <v>21</v>
      </c>
      <c r="EI66">
        <v>-0.52000000000000013</v>
      </c>
      <c r="EJ66">
        <v>27</v>
      </c>
      <c r="EK66">
        <v>22.5</v>
      </c>
      <c r="EL66">
        <v>27</v>
      </c>
      <c r="EM66">
        <v>-3.7679999999999993</v>
      </c>
      <c r="EN66">
        <v>18</v>
      </c>
      <c r="EO66">
        <v>-0.11999999999999922</v>
      </c>
      <c r="EP66">
        <v>27</v>
      </c>
      <c r="EQ66">
        <v>-12.919999999999998</v>
      </c>
      <c r="ER66">
        <v>18</v>
      </c>
      <c r="ES66">
        <v>-0.24000000000000013</v>
      </c>
      <c r="ET66">
        <v>32</v>
      </c>
      <c r="EU66">
        <v>31.666666666666668</v>
      </c>
      <c r="EV66">
        <v>32</v>
      </c>
      <c r="EW66">
        <v>-3.492</v>
      </c>
      <c r="EX66">
        <v>31</v>
      </c>
      <c r="EY66">
        <v>-2.92</v>
      </c>
      <c r="EZ66">
        <v>32</v>
      </c>
      <c r="FA66">
        <v>-17.080000000000002</v>
      </c>
      <c r="FB66">
        <v>23</v>
      </c>
      <c r="FC66">
        <v>-0.28000000000000003</v>
      </c>
      <c r="FD66">
        <v>27</v>
      </c>
      <c r="FE66">
        <v>25.333333333333332</v>
      </c>
      <c r="FF66">
        <v>24</v>
      </c>
      <c r="FG66">
        <v>-4.1520000000000019</v>
      </c>
      <c r="FH66">
        <v>26</v>
      </c>
      <c r="FI66">
        <v>-16.84</v>
      </c>
      <c r="FJ66">
        <v>26</v>
      </c>
      <c r="FK66">
        <v>-1.56</v>
      </c>
      <c r="FL66">
        <v>30</v>
      </c>
      <c r="FM66">
        <v>28.666666666666668</v>
      </c>
      <c r="FN66">
        <v>29</v>
      </c>
      <c r="FO66">
        <v>-4.3128000000000011</v>
      </c>
      <c r="FP66">
        <v>30</v>
      </c>
      <c r="FQ66">
        <v>-15.8</v>
      </c>
      <c r="FR66">
        <v>27</v>
      </c>
      <c r="FS66">
        <v>-1.6400000000000001</v>
      </c>
      <c r="FT66">
        <v>27</v>
      </c>
      <c r="FU66">
        <v>24.666666666666668</v>
      </c>
      <c r="FV66">
        <v>22</v>
      </c>
      <c r="FW66">
        <v>-2.3032000000000004</v>
      </c>
      <c r="FX66">
        <v>26</v>
      </c>
      <c r="FY66">
        <v>-9.8000000000000007</v>
      </c>
      <c r="FZ66">
        <v>26</v>
      </c>
      <c r="GA66">
        <v>-0.76</v>
      </c>
      <c r="GB66">
        <v>3</v>
      </c>
      <c r="GC66">
        <v>5</v>
      </c>
      <c r="GD66">
        <v>4</v>
      </c>
      <c r="GE66">
        <v>2.4639999999999995</v>
      </c>
      <c r="GF66">
        <v>4</v>
      </c>
      <c r="GG66">
        <v>8.7600000000000016</v>
      </c>
      <c r="GH66">
        <v>7</v>
      </c>
      <c r="GI66">
        <v>0.84000000000000019</v>
      </c>
      <c r="GJ66">
        <v>14</v>
      </c>
      <c r="GK66">
        <v>16.666666666666668</v>
      </c>
      <c r="GL66">
        <v>17</v>
      </c>
      <c r="GM66">
        <v>-1.1519999999999999</v>
      </c>
      <c r="GN66">
        <v>23</v>
      </c>
      <c r="GO66">
        <v>-12.320000000000002</v>
      </c>
      <c r="GP66">
        <v>10</v>
      </c>
      <c r="GQ66">
        <v>0.36000000000000049</v>
      </c>
      <c r="GR66">
        <v>23</v>
      </c>
      <c r="GS66">
        <v>21</v>
      </c>
      <c r="GT66">
        <v>25</v>
      </c>
      <c r="GU66">
        <v>-2.3720000000000008</v>
      </c>
      <c r="GV66">
        <v>-3.3200000000000003</v>
      </c>
      <c r="GW66">
        <v>-0.15999999999999986</v>
      </c>
      <c r="GX66">
        <v>18</v>
      </c>
      <c r="GY66">
        <v>18.5</v>
      </c>
      <c r="GZ66">
        <v>18</v>
      </c>
      <c r="HA66">
        <v>-0.3999999999999998</v>
      </c>
      <c r="HB66">
        <v>19</v>
      </c>
      <c r="HC66">
        <v>-0.32</v>
      </c>
      <c r="HD66">
        <v>0.59999999999999987</v>
      </c>
      <c r="HE66">
        <v>15</v>
      </c>
      <c r="HF66">
        <v>16</v>
      </c>
      <c r="HG66">
        <v>32</v>
      </c>
      <c r="HH66">
        <v>-8.6634335967895118E-2</v>
      </c>
      <c r="HI66">
        <v>28</v>
      </c>
      <c r="HJ66">
        <v>-1.9918075254197358E-2</v>
      </c>
      <c r="HK66">
        <v>2</v>
      </c>
      <c r="HL66">
        <v>-0.14187301587301587</v>
      </c>
      <c r="HM66">
        <v>2</v>
      </c>
      <c r="HN66">
        <v>5.64</v>
      </c>
      <c r="HO66">
        <v>-2.9200000000000004</v>
      </c>
      <c r="HP66">
        <v>-6.6400000000000006</v>
      </c>
      <c r="HQ66">
        <v>1.1600000000000001</v>
      </c>
      <c r="HR66">
        <v>-84.6</v>
      </c>
      <c r="HS66">
        <v>-41.6</v>
      </c>
      <c r="HT66">
        <v>-30.639999999999997</v>
      </c>
      <c r="HU66">
        <v>-7.6400000000000006</v>
      </c>
      <c r="HV66">
        <v>-4.7199999999999989</v>
      </c>
      <c r="HW66">
        <v>11</v>
      </c>
      <c r="HX66">
        <v>2.5095999999999989</v>
      </c>
      <c r="HY66">
        <v>1.375119999999999</v>
      </c>
      <c r="HZ66">
        <v>-10.960000000000004</v>
      </c>
      <c r="IA66">
        <v>22</v>
      </c>
      <c r="IB66">
        <v>-2.3668</v>
      </c>
      <c r="IC66">
        <v>-1.72</v>
      </c>
    </row>
    <row r="67" spans="1:237" x14ac:dyDescent="0.2">
      <c r="A67" s="19">
        <v>44122</v>
      </c>
      <c r="B67" s="13" t="s">
        <v>252</v>
      </c>
      <c r="C67" s="41" t="s">
        <v>281</v>
      </c>
      <c r="D67" s="14" t="s">
        <v>309</v>
      </c>
      <c r="E67">
        <v>4.5</v>
      </c>
      <c r="F67">
        <v>7</v>
      </c>
      <c r="G67">
        <v>8.3000000000000007</v>
      </c>
      <c r="H67">
        <v>10.199999999999999</v>
      </c>
      <c r="I67">
        <v>3</v>
      </c>
      <c r="J67">
        <v>50.5</v>
      </c>
      <c r="L67" t="s">
        <v>281</v>
      </c>
      <c r="M67">
        <v>26</v>
      </c>
      <c r="N67">
        <v>-3.9727999999999994</v>
      </c>
      <c r="O67">
        <v>3</v>
      </c>
      <c r="P67">
        <v>7</v>
      </c>
      <c r="Q67">
        <v>1</v>
      </c>
      <c r="R67">
        <v>12.152000000000001</v>
      </c>
      <c r="S67">
        <v>1</v>
      </c>
      <c r="T67">
        <v>7.2400000000000011</v>
      </c>
      <c r="U67">
        <v>1</v>
      </c>
      <c r="V67">
        <v>61.76</v>
      </c>
      <c r="W67">
        <v>25</v>
      </c>
      <c r="X67">
        <v>-0.96000000000000008</v>
      </c>
      <c r="Y67">
        <v>11</v>
      </c>
      <c r="Z67">
        <v>12.333333333333334</v>
      </c>
      <c r="AA67">
        <v>6</v>
      </c>
      <c r="AB67">
        <v>5.48</v>
      </c>
      <c r="AC67">
        <v>11</v>
      </c>
      <c r="AD67">
        <v>0.72000000000000064</v>
      </c>
      <c r="AE67">
        <v>2</v>
      </c>
      <c r="AF67">
        <v>22.4</v>
      </c>
      <c r="AG67">
        <v>29</v>
      </c>
      <c r="AH67">
        <v>-1.48</v>
      </c>
      <c r="AI67">
        <v>1</v>
      </c>
      <c r="AJ67">
        <v>3.6666666666666665</v>
      </c>
      <c r="AK67">
        <v>1</v>
      </c>
      <c r="AL67">
        <v>6.6719999999999997</v>
      </c>
      <c r="AM67">
        <v>1</v>
      </c>
      <c r="AN67">
        <v>6.5200000000000005</v>
      </c>
      <c r="AO67">
        <v>1</v>
      </c>
      <c r="AP67">
        <v>39.36</v>
      </c>
      <c r="AQ67">
        <v>9</v>
      </c>
      <c r="AR67">
        <v>0.51999999999999991</v>
      </c>
      <c r="AS67">
        <v>23</v>
      </c>
      <c r="AT67">
        <v>22.333333333333332</v>
      </c>
      <c r="AU67">
        <v>19</v>
      </c>
      <c r="AV67">
        <v>-2.0560000000000023</v>
      </c>
      <c r="AW67">
        <v>23</v>
      </c>
      <c r="AX67">
        <v>-16.8</v>
      </c>
      <c r="AY67">
        <v>25</v>
      </c>
      <c r="AZ67">
        <v>-1.9600000000000002</v>
      </c>
      <c r="BA67">
        <v>16</v>
      </c>
      <c r="BB67">
        <v>17.333333333333332</v>
      </c>
      <c r="BC67">
        <v>15</v>
      </c>
      <c r="BD67">
        <v>-0.4368000000000018</v>
      </c>
      <c r="BE67">
        <v>21</v>
      </c>
      <c r="BF67">
        <v>-8.4799999999999986</v>
      </c>
      <c r="BG67">
        <v>16</v>
      </c>
      <c r="BH67">
        <v>-1.7763568394002506E-16</v>
      </c>
      <c r="BI67">
        <v>13</v>
      </c>
      <c r="BJ67">
        <v>15.333333333333334</v>
      </c>
      <c r="BK67">
        <v>17</v>
      </c>
      <c r="BL67">
        <v>-0.23920000000000066</v>
      </c>
      <c r="BM67">
        <v>11</v>
      </c>
      <c r="BN67">
        <v>3.12</v>
      </c>
      <c r="BO67">
        <v>18</v>
      </c>
      <c r="BP67">
        <v>-0.15999999999999998</v>
      </c>
      <c r="BQ67">
        <v>29</v>
      </c>
      <c r="BR67">
        <v>26</v>
      </c>
      <c r="BS67">
        <v>23</v>
      </c>
      <c r="BT67">
        <v>-1.38</v>
      </c>
      <c r="BU67">
        <v>25</v>
      </c>
      <c r="BV67">
        <v>-11.440000000000001</v>
      </c>
      <c r="BW67">
        <v>30</v>
      </c>
      <c r="BX67">
        <v>-1.8</v>
      </c>
      <c r="BY67">
        <v>27</v>
      </c>
      <c r="BZ67">
        <v>26.333333333333332</v>
      </c>
      <c r="CA67">
        <v>25</v>
      </c>
      <c r="CB67">
        <v>-3.9840000000000004</v>
      </c>
      <c r="CC67">
        <v>23</v>
      </c>
      <c r="CD67">
        <v>-13.840000000000003</v>
      </c>
      <c r="CE67">
        <v>31</v>
      </c>
      <c r="CF67">
        <v>-3.28</v>
      </c>
      <c r="CG67">
        <v>16</v>
      </c>
      <c r="CH67">
        <v>17.333333333333332</v>
      </c>
      <c r="CI67">
        <v>17</v>
      </c>
      <c r="CJ67">
        <v>-0.46000000000000069</v>
      </c>
      <c r="CK67">
        <v>-6.6399999999999988</v>
      </c>
      <c r="CL67">
        <v>0.27999999999999992</v>
      </c>
      <c r="CM67">
        <v>22</v>
      </c>
      <c r="CN67">
        <v>22.5</v>
      </c>
      <c r="CO67">
        <v>15</v>
      </c>
      <c r="CP67">
        <v>-1.7763568394002506E-16</v>
      </c>
      <c r="CQ67">
        <v>30</v>
      </c>
      <c r="CR67">
        <v>-0.6</v>
      </c>
      <c r="CS67">
        <v>0.31999999999999984</v>
      </c>
      <c r="CT67">
        <v>29</v>
      </c>
      <c r="CU67">
        <v>23.5</v>
      </c>
      <c r="CV67">
        <v>16</v>
      </c>
      <c r="CW67">
        <v>-4.2847460262088414E-3</v>
      </c>
      <c r="CX67">
        <v>25</v>
      </c>
      <c r="CY67">
        <v>-1.3473159141610503E-2</v>
      </c>
      <c r="CZ67">
        <v>24</v>
      </c>
      <c r="DA67">
        <v>6.8199134199134204E-2</v>
      </c>
      <c r="DB67">
        <v>29</v>
      </c>
      <c r="DC67">
        <v>-2.7600000000000002</v>
      </c>
      <c r="DD67">
        <v>0.48000000000000254</v>
      </c>
      <c r="DE67">
        <v>5.92</v>
      </c>
      <c r="DF67">
        <v>0.8</v>
      </c>
      <c r="DG67">
        <v>21.639999999999997</v>
      </c>
      <c r="DH67">
        <v>-42.519999999999996</v>
      </c>
      <c r="DI67">
        <v>65.88</v>
      </c>
      <c r="DJ67">
        <v>7.3999999999999986</v>
      </c>
      <c r="DK67">
        <v>-9.1199999999999992</v>
      </c>
      <c r="DL67">
        <v>32</v>
      </c>
      <c r="DM67">
        <v>-16.1248</v>
      </c>
      <c r="DN67">
        <v>-7.3737600000000008</v>
      </c>
      <c r="DO67">
        <v>-108.39999999999999</v>
      </c>
      <c r="DP67">
        <v>1</v>
      </c>
      <c r="DQ67">
        <v>0.70789999999999986</v>
      </c>
      <c r="DR67">
        <v>-1.6800000000000002</v>
      </c>
      <c r="DS67">
        <v>1.3101374999999997</v>
      </c>
      <c r="DT67">
        <v>2.0234000000000001</v>
      </c>
      <c r="DU67" t="s">
        <v>309</v>
      </c>
      <c r="DV67" t="s">
        <v>271</v>
      </c>
      <c r="DW67" t="s">
        <v>521</v>
      </c>
      <c r="DX67">
        <v>9</v>
      </c>
      <c r="DY67">
        <v>2.1624999999999988</v>
      </c>
      <c r="DZ67">
        <v>23</v>
      </c>
      <c r="EA67">
        <v>21</v>
      </c>
      <c r="EB67">
        <v>14</v>
      </c>
      <c r="EC67">
        <v>0.59499999999999842</v>
      </c>
      <c r="ED67">
        <v>23</v>
      </c>
      <c r="EE67">
        <v>-1.5500000000000003</v>
      </c>
      <c r="EF67">
        <v>27</v>
      </c>
      <c r="EG67">
        <v>-18.687500000000004</v>
      </c>
      <c r="EH67">
        <v>20</v>
      </c>
      <c r="EI67">
        <v>-0.24999999999999989</v>
      </c>
      <c r="EJ67">
        <v>9</v>
      </c>
      <c r="EK67">
        <v>13</v>
      </c>
      <c r="EL67">
        <v>6</v>
      </c>
      <c r="EM67">
        <v>2.1549999999999985</v>
      </c>
      <c r="EN67">
        <v>11</v>
      </c>
      <c r="EO67">
        <v>0.78750000000000009</v>
      </c>
      <c r="EP67">
        <v>25</v>
      </c>
      <c r="EQ67">
        <v>-10.962500000000002</v>
      </c>
      <c r="ER67">
        <v>10</v>
      </c>
      <c r="ES67">
        <v>0.46250000000000002</v>
      </c>
      <c r="ET67">
        <v>30</v>
      </c>
      <c r="EU67">
        <v>29</v>
      </c>
      <c r="EV67">
        <v>28</v>
      </c>
      <c r="EW67">
        <v>-1.56</v>
      </c>
      <c r="EX67">
        <v>30</v>
      </c>
      <c r="EY67">
        <v>-2.3375000000000004</v>
      </c>
      <c r="EZ67">
        <v>29</v>
      </c>
      <c r="FA67">
        <v>-7.7250000000000005</v>
      </c>
      <c r="FB67">
        <v>27</v>
      </c>
      <c r="FC67">
        <v>-0.71249999999999991</v>
      </c>
      <c r="FD67">
        <v>3</v>
      </c>
      <c r="FE67">
        <v>3.6666666666666665</v>
      </c>
      <c r="FF67">
        <v>2</v>
      </c>
      <c r="FG67">
        <v>10.50625</v>
      </c>
      <c r="FH67">
        <v>3</v>
      </c>
      <c r="FI67">
        <v>30.375</v>
      </c>
      <c r="FJ67">
        <v>6</v>
      </c>
      <c r="FK67">
        <v>1.5000000000000004</v>
      </c>
      <c r="FL67">
        <v>4</v>
      </c>
      <c r="FM67">
        <v>4.666666666666667</v>
      </c>
      <c r="FN67">
        <v>3</v>
      </c>
      <c r="FO67">
        <v>7.9975000000000005</v>
      </c>
      <c r="FP67">
        <v>2</v>
      </c>
      <c r="FQ67">
        <v>25.174999999999997</v>
      </c>
      <c r="FR67">
        <v>9</v>
      </c>
      <c r="FS67">
        <v>0.76250000000000018</v>
      </c>
      <c r="FT67">
        <v>16</v>
      </c>
      <c r="FU67">
        <v>15.333333333333334</v>
      </c>
      <c r="FV67">
        <v>15</v>
      </c>
      <c r="FW67">
        <v>1.0537499999999991</v>
      </c>
      <c r="FX67">
        <v>13</v>
      </c>
      <c r="FY67">
        <v>3.6624999999999996</v>
      </c>
      <c r="FZ67">
        <v>18</v>
      </c>
      <c r="GA67">
        <v>-0.23749999999999982</v>
      </c>
      <c r="GB67">
        <v>5</v>
      </c>
      <c r="GC67">
        <v>8</v>
      </c>
      <c r="GD67">
        <v>6</v>
      </c>
      <c r="GE67">
        <v>1.4550000000000001</v>
      </c>
      <c r="GF67">
        <v>13</v>
      </c>
      <c r="GG67">
        <v>1.5374999999999996</v>
      </c>
      <c r="GH67">
        <v>5</v>
      </c>
      <c r="GI67">
        <v>0.9750000000000002</v>
      </c>
      <c r="GJ67">
        <v>7</v>
      </c>
      <c r="GK67">
        <v>7.666666666666667</v>
      </c>
      <c r="GL67">
        <v>7</v>
      </c>
      <c r="GM67">
        <v>2.9275000000000011</v>
      </c>
      <c r="GN67">
        <v>8</v>
      </c>
      <c r="GO67">
        <v>9.7750000000000004</v>
      </c>
      <c r="GP67">
        <v>8</v>
      </c>
      <c r="GQ67">
        <v>0.60000000000000009</v>
      </c>
      <c r="GR67">
        <v>29</v>
      </c>
      <c r="GS67">
        <v>28.333333333333332</v>
      </c>
      <c r="GT67">
        <v>30</v>
      </c>
      <c r="GU67">
        <v>-4.1262499999999989</v>
      </c>
      <c r="GV67">
        <v>-19.987499999999997</v>
      </c>
      <c r="GW67">
        <v>-0.73750000000000016</v>
      </c>
      <c r="GX67">
        <v>32</v>
      </c>
      <c r="GY67">
        <v>31.5</v>
      </c>
      <c r="GZ67">
        <v>32</v>
      </c>
      <c r="HA67">
        <v>-4.3625000000000007</v>
      </c>
      <c r="HB67">
        <v>31</v>
      </c>
      <c r="HC67">
        <v>-0.83749999999999991</v>
      </c>
      <c r="HD67">
        <v>-2.5375000000000001</v>
      </c>
      <c r="HE67">
        <v>5</v>
      </c>
      <c r="HF67">
        <v>9.75</v>
      </c>
      <c r="HG67">
        <v>1</v>
      </c>
      <c r="HH67">
        <v>8.7716251381104823E-2</v>
      </c>
      <c r="HI67">
        <v>1</v>
      </c>
      <c r="HJ67">
        <v>4.3360970602235677E-2</v>
      </c>
      <c r="HK67">
        <v>21</v>
      </c>
      <c r="HL67">
        <v>3.3881531480215679E-2</v>
      </c>
      <c r="HM67">
        <v>16</v>
      </c>
      <c r="HN67">
        <v>-0.22500000000000009</v>
      </c>
      <c r="HO67">
        <v>-2.2124999999999986</v>
      </c>
      <c r="HP67">
        <v>2.125</v>
      </c>
      <c r="HQ67">
        <v>-0.7</v>
      </c>
      <c r="HR67">
        <v>-1.4124999999999943</v>
      </c>
      <c r="HS67">
        <v>25.162500000000009</v>
      </c>
      <c r="HT67">
        <v>-18.987499999999997</v>
      </c>
      <c r="HU67">
        <v>1.2124999999999999</v>
      </c>
      <c r="HV67">
        <v>-8.8000000000000007</v>
      </c>
      <c r="HW67">
        <v>15</v>
      </c>
      <c r="HX67">
        <v>1.5675000000000003</v>
      </c>
      <c r="HY67">
        <v>1.4110000000000009</v>
      </c>
      <c r="HZ67">
        <v>44.150000000000006</v>
      </c>
      <c r="IA67">
        <v>18</v>
      </c>
      <c r="IB67">
        <v>0.5968749999999996</v>
      </c>
      <c r="IC67">
        <v>0.76250000000000029</v>
      </c>
    </row>
    <row r="68" spans="1:237" x14ac:dyDescent="0.2">
      <c r="A68" s="19">
        <v>44122</v>
      </c>
      <c r="B68" s="13" t="s">
        <v>252</v>
      </c>
      <c r="C68" s="41" t="s">
        <v>291</v>
      </c>
      <c r="D68" s="14" t="s">
        <v>285</v>
      </c>
      <c r="E68">
        <v>20.9</v>
      </c>
      <c r="F68">
        <v>13.4</v>
      </c>
      <c r="G68">
        <v>3</v>
      </c>
      <c r="H68">
        <v>7.5</v>
      </c>
      <c r="I68">
        <v>0</v>
      </c>
      <c r="J68">
        <v>55</v>
      </c>
      <c r="L68" t="s">
        <v>291</v>
      </c>
      <c r="M68">
        <v>5</v>
      </c>
      <c r="N68">
        <v>6.6479999999999979</v>
      </c>
      <c r="O68">
        <v>6</v>
      </c>
      <c r="P68">
        <v>8.75</v>
      </c>
      <c r="Q68">
        <v>7</v>
      </c>
      <c r="R68">
        <v>3.2839999999999994</v>
      </c>
      <c r="S68">
        <v>11</v>
      </c>
      <c r="T68">
        <v>1.5199999999999996</v>
      </c>
      <c r="U68">
        <v>11</v>
      </c>
      <c r="V68">
        <v>9.5599999999999969</v>
      </c>
      <c r="W68">
        <v>6</v>
      </c>
      <c r="X68">
        <v>0.8400000000000003</v>
      </c>
      <c r="Y68">
        <v>2</v>
      </c>
      <c r="Z68">
        <v>5</v>
      </c>
      <c r="AA68">
        <v>4</v>
      </c>
      <c r="AB68">
        <v>6.3199999999999994</v>
      </c>
      <c r="AC68">
        <v>5</v>
      </c>
      <c r="AD68">
        <v>3.88</v>
      </c>
      <c r="AE68">
        <v>9</v>
      </c>
      <c r="AF68">
        <v>14.919999999999998</v>
      </c>
      <c r="AG68">
        <v>2</v>
      </c>
      <c r="AH68">
        <v>1.7600000000000002</v>
      </c>
      <c r="AI68">
        <v>31</v>
      </c>
      <c r="AJ68">
        <v>26.666666666666668</v>
      </c>
      <c r="AK68">
        <v>30</v>
      </c>
      <c r="AL68">
        <v>-3.036</v>
      </c>
      <c r="AM68">
        <v>27</v>
      </c>
      <c r="AN68">
        <v>-2.3600000000000003</v>
      </c>
      <c r="AO68">
        <v>23</v>
      </c>
      <c r="AP68">
        <v>-5.3600000000000012</v>
      </c>
      <c r="AQ68">
        <v>27</v>
      </c>
      <c r="AR68">
        <v>-0.91999999999999993</v>
      </c>
      <c r="AS68">
        <v>2</v>
      </c>
      <c r="AT68">
        <v>2.3333333333333335</v>
      </c>
      <c r="AU68">
        <v>2</v>
      </c>
      <c r="AV68">
        <v>12.7104</v>
      </c>
      <c r="AW68">
        <v>2</v>
      </c>
      <c r="AX68">
        <v>57.879999999999995</v>
      </c>
      <c r="AY68">
        <v>3</v>
      </c>
      <c r="AZ68">
        <v>4.16</v>
      </c>
      <c r="BA68">
        <v>9</v>
      </c>
      <c r="BB68">
        <v>10.333333333333334</v>
      </c>
      <c r="BC68">
        <v>11</v>
      </c>
      <c r="BD68">
        <v>0.99600000000000011</v>
      </c>
      <c r="BE68">
        <v>14</v>
      </c>
      <c r="BF68">
        <v>3.1599999999999979</v>
      </c>
      <c r="BG68">
        <v>6</v>
      </c>
      <c r="BH68">
        <v>1.5600000000000003</v>
      </c>
      <c r="BI68">
        <v>1</v>
      </c>
      <c r="BJ68">
        <v>2</v>
      </c>
      <c r="BK68">
        <v>1</v>
      </c>
      <c r="BL68">
        <v>7.8280000000000003</v>
      </c>
      <c r="BM68">
        <v>1</v>
      </c>
      <c r="BN68">
        <v>40.440000000000005</v>
      </c>
      <c r="BO68">
        <v>4</v>
      </c>
      <c r="BP68">
        <v>1.56</v>
      </c>
      <c r="BQ68">
        <v>3</v>
      </c>
      <c r="BR68">
        <v>4.666666666666667</v>
      </c>
      <c r="BS68">
        <v>3</v>
      </c>
      <c r="BT68">
        <v>3.8864000000000005</v>
      </c>
      <c r="BU68">
        <v>4</v>
      </c>
      <c r="BV68">
        <v>14.279999999999998</v>
      </c>
      <c r="BW68">
        <v>7</v>
      </c>
      <c r="BX68">
        <v>1.04</v>
      </c>
      <c r="BY68">
        <v>1</v>
      </c>
      <c r="BZ68">
        <v>1.6666666666666667</v>
      </c>
      <c r="CA68">
        <v>2</v>
      </c>
      <c r="CB68">
        <v>9.2719999999999985</v>
      </c>
      <c r="CC68">
        <v>2</v>
      </c>
      <c r="CD68">
        <v>38.320000000000007</v>
      </c>
      <c r="CE68">
        <v>1</v>
      </c>
      <c r="CF68">
        <v>4.4799999999999995</v>
      </c>
      <c r="CG68">
        <v>10</v>
      </c>
      <c r="CH68">
        <v>11.333333333333334</v>
      </c>
      <c r="CI68">
        <v>15</v>
      </c>
      <c r="CJ68">
        <v>-4.8000000000000043E-2</v>
      </c>
      <c r="CK68">
        <v>7.5199999999999987</v>
      </c>
      <c r="CL68">
        <v>0.6399999999999999</v>
      </c>
      <c r="CM68">
        <v>17</v>
      </c>
      <c r="CN68">
        <v>18.5</v>
      </c>
      <c r="CO68">
        <v>18</v>
      </c>
      <c r="CP68">
        <v>-0.28000000000000008</v>
      </c>
      <c r="CQ68">
        <v>19</v>
      </c>
      <c r="CR68">
        <v>-0.16</v>
      </c>
      <c r="CS68">
        <v>-3</v>
      </c>
      <c r="CT68">
        <v>18</v>
      </c>
      <c r="CU68">
        <v>16.25</v>
      </c>
      <c r="CV68">
        <v>15</v>
      </c>
      <c r="CW68">
        <v>-3.466594776169779E-3</v>
      </c>
      <c r="CX68">
        <v>24</v>
      </c>
      <c r="CY68">
        <v>-1.2349920009370612E-2</v>
      </c>
      <c r="CZ68">
        <v>17</v>
      </c>
      <c r="DA68">
        <v>1.8567210567210578E-2</v>
      </c>
      <c r="DB68">
        <v>9</v>
      </c>
      <c r="DC68">
        <v>1.2</v>
      </c>
      <c r="DD68">
        <v>7.0000000000000027</v>
      </c>
      <c r="DE68">
        <v>5.3199999999999994</v>
      </c>
      <c r="DF68">
        <v>0.55999999999999983</v>
      </c>
      <c r="DG68">
        <v>97.12</v>
      </c>
      <c r="DH68">
        <v>91.839999999999989</v>
      </c>
      <c r="DI68">
        <v>8.8000000000000007</v>
      </c>
      <c r="DJ68">
        <v>-5.3199999999999994</v>
      </c>
      <c r="DK68">
        <v>1.8</v>
      </c>
      <c r="DL68">
        <v>11</v>
      </c>
      <c r="DM68">
        <v>3.3639999999999985</v>
      </c>
      <c r="DN68">
        <v>2.2200800000000003</v>
      </c>
      <c r="DO68">
        <v>83.039999999999992</v>
      </c>
      <c r="DP68">
        <v>22</v>
      </c>
      <c r="DQ68">
        <v>2.7892999999999999</v>
      </c>
      <c r="DR68">
        <v>4.8</v>
      </c>
      <c r="DS68">
        <v>0.87009999999999965</v>
      </c>
      <c r="DT68">
        <v>1.8103999999999996</v>
      </c>
      <c r="DU68" t="s">
        <v>285</v>
      </c>
      <c r="DV68" t="s">
        <v>249</v>
      </c>
      <c r="DW68" t="s">
        <v>452</v>
      </c>
      <c r="DX68">
        <v>11</v>
      </c>
      <c r="DY68">
        <v>1.6973999999999987</v>
      </c>
      <c r="DZ68">
        <v>14</v>
      </c>
      <c r="EA68">
        <v>14</v>
      </c>
      <c r="EB68">
        <v>18</v>
      </c>
      <c r="EC68">
        <v>-0.14999999999999947</v>
      </c>
      <c r="ED68">
        <v>3</v>
      </c>
      <c r="EE68">
        <v>4.0999999999999996</v>
      </c>
      <c r="EF68">
        <v>4</v>
      </c>
      <c r="EG68">
        <v>28.26</v>
      </c>
      <c r="EH68">
        <v>31</v>
      </c>
      <c r="EI68">
        <v>-1.9400000000000002</v>
      </c>
      <c r="EJ68">
        <v>11</v>
      </c>
      <c r="EK68">
        <v>14.25</v>
      </c>
      <c r="EL68">
        <v>16</v>
      </c>
      <c r="EM68">
        <v>-0.13499999999999979</v>
      </c>
      <c r="EN68">
        <v>6</v>
      </c>
      <c r="EO68">
        <v>1.8900000000000001</v>
      </c>
      <c r="EP68">
        <v>9</v>
      </c>
      <c r="EQ68">
        <v>8.8000000000000007</v>
      </c>
      <c r="ER68">
        <v>26</v>
      </c>
      <c r="ES68">
        <v>-0.75</v>
      </c>
      <c r="ET68">
        <v>5</v>
      </c>
      <c r="EU68">
        <v>7.333333333333333</v>
      </c>
      <c r="EV68">
        <v>17</v>
      </c>
      <c r="EW68">
        <v>-1.499999999999968E-2</v>
      </c>
      <c r="EX68">
        <v>3</v>
      </c>
      <c r="EY68">
        <v>2.21</v>
      </c>
      <c r="EZ68">
        <v>2</v>
      </c>
      <c r="FA68">
        <v>19.46</v>
      </c>
      <c r="FB68">
        <v>30</v>
      </c>
      <c r="FC68">
        <v>-1.1900000000000002</v>
      </c>
      <c r="FD68">
        <v>17</v>
      </c>
      <c r="FE68">
        <v>17.333333333333332</v>
      </c>
      <c r="FF68">
        <v>16</v>
      </c>
      <c r="FG68">
        <v>-1.3390000000000015</v>
      </c>
      <c r="FH68">
        <v>17</v>
      </c>
      <c r="FI68">
        <v>8.9999999999999858E-2</v>
      </c>
      <c r="FJ68">
        <v>19</v>
      </c>
      <c r="FK68">
        <v>-0.31999999999999984</v>
      </c>
      <c r="FL68">
        <v>9</v>
      </c>
      <c r="FM68">
        <v>10.333333333333334</v>
      </c>
      <c r="FN68">
        <v>10</v>
      </c>
      <c r="FO68">
        <v>2.8509999999999991</v>
      </c>
      <c r="FP68">
        <v>5</v>
      </c>
      <c r="FQ68">
        <v>13.790000000000003</v>
      </c>
      <c r="FR68">
        <v>16</v>
      </c>
      <c r="FS68">
        <v>0.39</v>
      </c>
      <c r="FT68">
        <v>23</v>
      </c>
      <c r="FU68">
        <v>21.666666666666668</v>
      </c>
      <c r="FV68">
        <v>24</v>
      </c>
      <c r="FW68">
        <v>-2.6700000000000008</v>
      </c>
      <c r="FX68">
        <v>27</v>
      </c>
      <c r="FY68">
        <v>-11.900000000000002</v>
      </c>
      <c r="FZ68">
        <v>14</v>
      </c>
      <c r="GA68">
        <v>0.15999999999999998</v>
      </c>
      <c r="GB68">
        <v>28</v>
      </c>
      <c r="GC68">
        <v>25</v>
      </c>
      <c r="GD68">
        <v>26</v>
      </c>
      <c r="GE68">
        <v>-1.5199999999999998</v>
      </c>
      <c r="GF68">
        <v>21</v>
      </c>
      <c r="GG68">
        <v>-1.8000000000000007</v>
      </c>
      <c r="GH68">
        <v>28</v>
      </c>
      <c r="GI68">
        <v>-0.86999999999999988</v>
      </c>
      <c r="GJ68">
        <v>12</v>
      </c>
      <c r="GK68">
        <v>14</v>
      </c>
      <c r="GL68">
        <v>11</v>
      </c>
      <c r="GM68">
        <v>1.1209999999999993</v>
      </c>
      <c r="GN68">
        <v>17</v>
      </c>
      <c r="GO68">
        <v>-2.6900000000000004</v>
      </c>
      <c r="GP68">
        <v>14</v>
      </c>
      <c r="GQ68">
        <v>-0.25999999999999979</v>
      </c>
      <c r="GR68">
        <v>12</v>
      </c>
      <c r="GS68">
        <v>14.333333333333334</v>
      </c>
      <c r="GT68">
        <v>16</v>
      </c>
      <c r="GU68">
        <v>-0.94999999999999951</v>
      </c>
      <c r="GV68">
        <v>-1.7199999999999995</v>
      </c>
      <c r="GW68">
        <v>0.55999999999999994</v>
      </c>
      <c r="GX68">
        <v>16</v>
      </c>
      <c r="GY68">
        <v>14</v>
      </c>
      <c r="GZ68">
        <v>16</v>
      </c>
      <c r="HA68">
        <v>0.17999999999999988</v>
      </c>
      <c r="HB68">
        <v>12</v>
      </c>
      <c r="HC68">
        <v>7.0000000000000021E-2</v>
      </c>
      <c r="HD68">
        <v>6.9999999999999923E-2</v>
      </c>
      <c r="HE68">
        <v>29</v>
      </c>
      <c r="HF68">
        <v>22.75</v>
      </c>
      <c r="HG68">
        <v>28</v>
      </c>
      <c r="HH68">
        <v>-4.5018805034360357E-2</v>
      </c>
      <c r="HI68">
        <v>20</v>
      </c>
      <c r="HJ68">
        <v>-5.9320878533703674E-3</v>
      </c>
      <c r="HK68">
        <v>18</v>
      </c>
      <c r="HL68">
        <v>5.4011544011543953E-3</v>
      </c>
      <c r="HM68">
        <v>25</v>
      </c>
      <c r="HN68">
        <v>-1.8700000000000003</v>
      </c>
      <c r="HO68">
        <v>-0.2</v>
      </c>
      <c r="HP68">
        <v>-0.66999999999999993</v>
      </c>
      <c r="HQ68">
        <v>-0.27999999999999997</v>
      </c>
      <c r="HR68">
        <v>17.2</v>
      </c>
      <c r="HS68">
        <v>0.66999999999999882</v>
      </c>
      <c r="HT68">
        <v>22.020000000000003</v>
      </c>
      <c r="HU68">
        <v>-6.2399999999999993</v>
      </c>
      <c r="HV68">
        <v>0.75</v>
      </c>
      <c r="HW68">
        <v>14</v>
      </c>
      <c r="HX68">
        <v>1.8473999999999982</v>
      </c>
      <c r="HY68">
        <v>-4.332000000000083E-2</v>
      </c>
      <c r="HZ68">
        <v>-21.350000000000005</v>
      </c>
      <c r="IA68">
        <v>19</v>
      </c>
      <c r="IB68">
        <v>-7.0200000000000179E-2</v>
      </c>
      <c r="IC68">
        <v>0.2400000000000001</v>
      </c>
    </row>
    <row r="69" spans="1:237" x14ac:dyDescent="0.2">
      <c r="A69" s="19">
        <v>44122</v>
      </c>
      <c r="B69" s="13" t="s">
        <v>252</v>
      </c>
      <c r="C69" s="41" t="s">
        <v>278</v>
      </c>
      <c r="D69" s="14" t="s">
        <v>302</v>
      </c>
      <c r="E69">
        <v>5.2</v>
      </c>
      <c r="F69">
        <v>17.100000000000001</v>
      </c>
      <c r="G69">
        <v>0</v>
      </c>
      <c r="H69">
        <v>6.5</v>
      </c>
      <c r="I69">
        <v>7</v>
      </c>
      <c r="J69">
        <v>44</v>
      </c>
      <c r="K69" t="s">
        <v>735</v>
      </c>
      <c r="L69" t="s">
        <v>278</v>
      </c>
      <c r="M69">
        <v>25</v>
      </c>
      <c r="N69">
        <v>-3.9602499999999998</v>
      </c>
      <c r="O69">
        <v>19</v>
      </c>
      <c r="P69">
        <v>18.5</v>
      </c>
      <c r="Q69">
        <v>21</v>
      </c>
      <c r="R69">
        <v>-2.1987499999999995</v>
      </c>
      <c r="S69">
        <v>12</v>
      </c>
      <c r="T69">
        <v>1.425</v>
      </c>
      <c r="U69">
        <v>12</v>
      </c>
      <c r="V69">
        <v>8.3250000000000028</v>
      </c>
      <c r="W69">
        <v>29</v>
      </c>
      <c r="X69">
        <v>-1.3749999999999998</v>
      </c>
      <c r="Y69">
        <v>17</v>
      </c>
      <c r="Z69">
        <v>15.666666666666666</v>
      </c>
      <c r="AA69">
        <v>16</v>
      </c>
      <c r="AB69">
        <v>0.59125000000000028</v>
      </c>
      <c r="AC69">
        <v>7</v>
      </c>
      <c r="AD69">
        <v>2.5750000000000002</v>
      </c>
      <c r="AE69">
        <v>11</v>
      </c>
      <c r="AF69">
        <v>10.437500000000002</v>
      </c>
      <c r="AG69">
        <v>20</v>
      </c>
      <c r="AH69">
        <v>-0.34999999999999987</v>
      </c>
      <c r="AI69">
        <v>29</v>
      </c>
      <c r="AJ69">
        <v>24.666666666666668</v>
      </c>
      <c r="AK69">
        <v>29</v>
      </c>
      <c r="AL69">
        <v>-2.79</v>
      </c>
      <c r="AM69">
        <v>18</v>
      </c>
      <c r="AN69">
        <v>-1.1500000000000001</v>
      </c>
      <c r="AO69">
        <v>15</v>
      </c>
      <c r="AP69">
        <v>-2.1124999999999998</v>
      </c>
      <c r="AQ69">
        <v>30</v>
      </c>
      <c r="AR69">
        <v>-1.0249999999999999</v>
      </c>
      <c r="AS69">
        <v>27</v>
      </c>
      <c r="AT69">
        <v>25</v>
      </c>
      <c r="AU69">
        <v>26</v>
      </c>
      <c r="AV69">
        <v>-7.052500000000002</v>
      </c>
      <c r="AW69">
        <v>26</v>
      </c>
      <c r="AX69">
        <v>-21.374999999999996</v>
      </c>
      <c r="AY69">
        <v>23</v>
      </c>
      <c r="AZ69">
        <v>-1.2375</v>
      </c>
      <c r="BA69">
        <v>31</v>
      </c>
      <c r="BB69">
        <v>29.333333333333332</v>
      </c>
      <c r="BC69">
        <v>31</v>
      </c>
      <c r="BD69">
        <v>-5.838750000000001</v>
      </c>
      <c r="BE69">
        <v>30</v>
      </c>
      <c r="BF69">
        <v>-16.762499999999999</v>
      </c>
      <c r="BG69">
        <v>27</v>
      </c>
      <c r="BH69">
        <v>-1.425</v>
      </c>
      <c r="BI69">
        <v>15</v>
      </c>
      <c r="BJ69">
        <v>16.666666666666668</v>
      </c>
      <c r="BK69">
        <v>15</v>
      </c>
      <c r="BL69">
        <v>5.8749999999999858E-2</v>
      </c>
      <c r="BM69">
        <v>16</v>
      </c>
      <c r="BN69">
        <v>-2.4124999999999996</v>
      </c>
      <c r="BO69">
        <v>19</v>
      </c>
      <c r="BP69">
        <v>-0.16250000000000009</v>
      </c>
      <c r="BQ69">
        <v>19</v>
      </c>
      <c r="BR69">
        <v>19</v>
      </c>
      <c r="BS69">
        <v>21</v>
      </c>
      <c r="BT69">
        <v>-1.2725000000000004</v>
      </c>
      <c r="BU69">
        <v>20</v>
      </c>
      <c r="BV69">
        <v>-2.2000000000000002</v>
      </c>
      <c r="BW69">
        <v>16</v>
      </c>
      <c r="BX69">
        <v>0.35000000000000009</v>
      </c>
      <c r="BY69">
        <v>32</v>
      </c>
      <c r="BZ69">
        <v>30.666666666666668</v>
      </c>
      <c r="CA69">
        <v>32</v>
      </c>
      <c r="CB69">
        <v>-7.3212500000000009</v>
      </c>
      <c r="CC69">
        <v>32</v>
      </c>
      <c r="CD69">
        <v>-37.087499999999999</v>
      </c>
      <c r="CE69">
        <v>28</v>
      </c>
      <c r="CF69">
        <v>-1.7000000000000002</v>
      </c>
      <c r="CG69">
        <v>4</v>
      </c>
      <c r="CH69">
        <v>4</v>
      </c>
      <c r="CI69">
        <v>5</v>
      </c>
      <c r="CJ69">
        <v>4.4512499999999999</v>
      </c>
      <c r="CK69">
        <v>19.762499999999999</v>
      </c>
      <c r="CL69">
        <v>1.9624999999999999</v>
      </c>
      <c r="CM69">
        <v>10</v>
      </c>
      <c r="CN69">
        <v>10</v>
      </c>
      <c r="CO69">
        <v>8</v>
      </c>
      <c r="CP69">
        <v>1.4624999999999999</v>
      </c>
      <c r="CQ69">
        <v>12</v>
      </c>
      <c r="CR69">
        <v>0.13749999999999996</v>
      </c>
      <c r="CS69">
        <v>-0.30000000000000004</v>
      </c>
      <c r="CT69">
        <v>2</v>
      </c>
      <c r="CU69">
        <v>8</v>
      </c>
      <c r="CV69">
        <v>9</v>
      </c>
      <c r="CW69">
        <v>4.0653795036575208E-2</v>
      </c>
      <c r="CX69">
        <v>15</v>
      </c>
      <c r="CY69">
        <v>-3.3142285498828118E-4</v>
      </c>
      <c r="CZ69">
        <v>5</v>
      </c>
      <c r="DA69">
        <v>-0.12421460849092425</v>
      </c>
      <c r="DB69">
        <v>3</v>
      </c>
      <c r="DC69">
        <v>3.5625</v>
      </c>
      <c r="DD69">
        <v>1.6374999999999993</v>
      </c>
      <c r="DE69">
        <v>-2.7125000000000004</v>
      </c>
      <c r="DF69">
        <v>-1.5</v>
      </c>
      <c r="DG69">
        <v>-38.050000000000011</v>
      </c>
      <c r="DH69">
        <v>-30.724999999999994</v>
      </c>
      <c r="DI69">
        <v>1.7375000000000007</v>
      </c>
      <c r="DJ69">
        <v>-3.375</v>
      </c>
      <c r="DK69">
        <v>-5.6875</v>
      </c>
      <c r="DL69">
        <v>22</v>
      </c>
      <c r="DM69">
        <v>-1.7614999999999998</v>
      </c>
      <c r="DN69">
        <v>-0.2129250000000007</v>
      </c>
      <c r="DO69">
        <v>-32.462499999999991</v>
      </c>
      <c r="DP69">
        <v>11</v>
      </c>
      <c r="DQ69">
        <v>-0.91221875000000008</v>
      </c>
      <c r="DR69">
        <v>0.72499999999999987</v>
      </c>
      <c r="DS69">
        <v>-1.432765625</v>
      </c>
      <c r="DT69">
        <v>0.34434375000000006</v>
      </c>
      <c r="DU69" t="s">
        <v>302</v>
      </c>
      <c r="DV69" t="s">
        <v>292</v>
      </c>
      <c r="DW69" t="s">
        <v>464</v>
      </c>
      <c r="DX69">
        <v>31</v>
      </c>
      <c r="DY69">
        <v>-6.4240000000000013</v>
      </c>
      <c r="DZ69">
        <v>28</v>
      </c>
      <c r="EA69">
        <v>22.75</v>
      </c>
      <c r="EB69">
        <v>29</v>
      </c>
      <c r="EC69">
        <v>-5.0799999999999974</v>
      </c>
      <c r="ED69">
        <v>20</v>
      </c>
      <c r="EE69">
        <v>-1.1499999999999995</v>
      </c>
      <c r="EF69">
        <v>17</v>
      </c>
      <c r="EG69">
        <v>-4.4999999999999991</v>
      </c>
      <c r="EH69">
        <v>25</v>
      </c>
      <c r="EI69">
        <v>-1.2000000000000002</v>
      </c>
      <c r="EJ69">
        <v>31</v>
      </c>
      <c r="EK69">
        <v>24.75</v>
      </c>
      <c r="EL69">
        <v>28</v>
      </c>
      <c r="EM69">
        <v>-3.8549999999999982</v>
      </c>
      <c r="EN69">
        <v>25</v>
      </c>
      <c r="EO69">
        <v>-1.0999999999999996</v>
      </c>
      <c r="EP69">
        <v>17</v>
      </c>
      <c r="EQ69">
        <v>-1.1999999999999993</v>
      </c>
      <c r="ER69">
        <v>29</v>
      </c>
      <c r="ES69">
        <v>-1.25</v>
      </c>
      <c r="ET69">
        <v>23</v>
      </c>
      <c r="EU69">
        <v>21</v>
      </c>
      <c r="EV69">
        <v>23</v>
      </c>
      <c r="EW69">
        <v>-1.2249999999999994</v>
      </c>
      <c r="EX69">
        <v>19</v>
      </c>
      <c r="EY69">
        <v>-4.9999999999999822E-2</v>
      </c>
      <c r="EZ69">
        <v>21</v>
      </c>
      <c r="FA69">
        <v>-3.3</v>
      </c>
      <c r="FB69">
        <v>17</v>
      </c>
      <c r="FC69">
        <v>4.9999999999999933E-2</v>
      </c>
      <c r="FD69">
        <v>19</v>
      </c>
      <c r="FE69">
        <v>18.666666666666668</v>
      </c>
      <c r="FF69">
        <v>19</v>
      </c>
      <c r="FG69">
        <v>-1.9000000000000035</v>
      </c>
      <c r="FH69">
        <v>22</v>
      </c>
      <c r="FI69">
        <v>-8.1500000000000021</v>
      </c>
      <c r="FJ69">
        <v>15</v>
      </c>
      <c r="FK69">
        <v>0.10000000000000031</v>
      </c>
      <c r="FL69">
        <v>16</v>
      </c>
      <c r="FM69">
        <v>16</v>
      </c>
      <c r="FN69">
        <v>13</v>
      </c>
      <c r="FO69">
        <v>0.13499999999999845</v>
      </c>
      <c r="FP69">
        <v>16</v>
      </c>
      <c r="FQ69">
        <v>-1.6500000000000004</v>
      </c>
      <c r="FR69">
        <v>19</v>
      </c>
      <c r="FS69">
        <v>-4.9999999999999822E-2</v>
      </c>
      <c r="FT69">
        <v>25</v>
      </c>
      <c r="FU69">
        <v>22.666666666666668</v>
      </c>
      <c r="FV69">
        <v>30</v>
      </c>
      <c r="FW69">
        <v>-4.8050000000000015</v>
      </c>
      <c r="FX69">
        <v>25</v>
      </c>
      <c r="FY69">
        <v>-8.7500000000000018</v>
      </c>
      <c r="FZ69">
        <v>13</v>
      </c>
      <c r="GA69">
        <v>0.25</v>
      </c>
      <c r="GB69">
        <v>6</v>
      </c>
      <c r="GC69">
        <v>10.666666666666666</v>
      </c>
      <c r="GD69">
        <v>3</v>
      </c>
      <c r="GE69">
        <v>2.77</v>
      </c>
      <c r="GF69">
        <v>12</v>
      </c>
      <c r="GG69">
        <v>2.25</v>
      </c>
      <c r="GH69">
        <v>17</v>
      </c>
      <c r="GI69">
        <v>-9.9999999999999867E-2</v>
      </c>
      <c r="GJ69">
        <v>6</v>
      </c>
      <c r="GK69">
        <v>6.333333333333333</v>
      </c>
      <c r="GL69">
        <v>8</v>
      </c>
      <c r="GM69">
        <v>1.6650000000000009</v>
      </c>
      <c r="GN69">
        <v>6</v>
      </c>
      <c r="GO69">
        <v>10.650000000000006</v>
      </c>
      <c r="GP69">
        <v>5</v>
      </c>
      <c r="GQ69">
        <v>1.1000000000000003</v>
      </c>
      <c r="GR69">
        <v>32</v>
      </c>
      <c r="GS69">
        <v>31.666666666666668</v>
      </c>
      <c r="GT69">
        <v>32</v>
      </c>
      <c r="GU69">
        <v>-8.9249999999999989</v>
      </c>
      <c r="GV69">
        <v>-28.75</v>
      </c>
      <c r="GW69">
        <v>-2.9499999999999997</v>
      </c>
      <c r="GX69">
        <v>23</v>
      </c>
      <c r="GY69">
        <v>25</v>
      </c>
      <c r="GZ69">
        <v>30</v>
      </c>
      <c r="HA69">
        <v>-3.35</v>
      </c>
      <c r="HB69">
        <v>20</v>
      </c>
      <c r="HC69">
        <v>-0.35</v>
      </c>
      <c r="HD69">
        <v>1.9</v>
      </c>
      <c r="HE69">
        <v>18</v>
      </c>
      <c r="HF69">
        <v>16.75</v>
      </c>
      <c r="HG69">
        <v>20</v>
      </c>
      <c r="HH69">
        <v>-4.2443568291323647E-3</v>
      </c>
      <c r="HI69">
        <v>18</v>
      </c>
      <c r="HJ69">
        <v>-3.0453935817272969E-3</v>
      </c>
      <c r="HK69">
        <v>26</v>
      </c>
      <c r="HL69">
        <v>6.299512987012984E-2</v>
      </c>
      <c r="HM69">
        <v>3</v>
      </c>
      <c r="HN69">
        <v>5.3500000000000005</v>
      </c>
      <c r="HO69">
        <v>-3.25</v>
      </c>
      <c r="HP69">
        <v>-8.5499999999999989</v>
      </c>
      <c r="HQ69">
        <v>1.2999999999999998</v>
      </c>
      <c r="HR69">
        <v>-61.650000000000006</v>
      </c>
      <c r="HS69">
        <v>-44.099999999999994</v>
      </c>
      <c r="HT69">
        <v>-13.75</v>
      </c>
      <c r="HU69">
        <v>-5.2</v>
      </c>
      <c r="HV69">
        <v>1.3999999999999995</v>
      </c>
      <c r="HW69">
        <v>18</v>
      </c>
      <c r="HX69">
        <v>-1.3440000000000039</v>
      </c>
      <c r="HY69">
        <v>-0.90980000000000194</v>
      </c>
      <c r="HZ69">
        <v>-30.349999999999994</v>
      </c>
      <c r="IA69">
        <v>15</v>
      </c>
      <c r="IB69">
        <v>-3.2098750000000003</v>
      </c>
      <c r="IC69">
        <v>-2.8499999999999996</v>
      </c>
    </row>
    <row r="70" spans="1:237" x14ac:dyDescent="0.2">
      <c r="A70" s="19">
        <v>44122</v>
      </c>
      <c r="B70" s="13" t="s">
        <v>252</v>
      </c>
      <c r="C70" s="41" t="s">
        <v>299</v>
      </c>
      <c r="D70" s="14" t="s">
        <v>297</v>
      </c>
      <c r="E70">
        <v>17.5</v>
      </c>
      <c r="F70">
        <v>5.0999999999999996</v>
      </c>
      <c r="G70">
        <v>2.8</v>
      </c>
      <c r="H70">
        <v>9.6999999999999993</v>
      </c>
      <c r="I70">
        <v>-3</v>
      </c>
      <c r="J70">
        <v>53</v>
      </c>
      <c r="K70" t="s">
        <v>734</v>
      </c>
      <c r="L70" t="s">
        <v>299</v>
      </c>
      <c r="M70">
        <v>13</v>
      </c>
      <c r="N70">
        <v>0.57899999999999885</v>
      </c>
      <c r="O70">
        <v>26</v>
      </c>
      <c r="P70">
        <v>23.75</v>
      </c>
      <c r="Q70">
        <v>24</v>
      </c>
      <c r="R70">
        <v>-3.4074999999999998</v>
      </c>
      <c r="S70">
        <v>24</v>
      </c>
      <c r="T70">
        <v>-2.5874999999999999</v>
      </c>
      <c r="U70">
        <v>24</v>
      </c>
      <c r="V70">
        <v>-16.900000000000002</v>
      </c>
      <c r="W70">
        <v>23</v>
      </c>
      <c r="X70">
        <v>-0.38749999999999996</v>
      </c>
      <c r="Y70">
        <v>27</v>
      </c>
      <c r="Z70">
        <v>24.333333333333332</v>
      </c>
      <c r="AA70">
        <v>28</v>
      </c>
      <c r="AB70">
        <v>-6.125</v>
      </c>
      <c r="AC70">
        <v>17</v>
      </c>
      <c r="AD70">
        <v>-0.72500000000000009</v>
      </c>
      <c r="AE70">
        <v>19</v>
      </c>
      <c r="AF70">
        <v>-4.6625000000000014</v>
      </c>
      <c r="AG70">
        <v>26</v>
      </c>
      <c r="AH70">
        <v>-1.075</v>
      </c>
      <c r="AI70">
        <v>11</v>
      </c>
      <c r="AJ70">
        <v>13.666666666666666</v>
      </c>
      <c r="AK70">
        <v>4</v>
      </c>
      <c r="AL70">
        <v>2.7175000000000002</v>
      </c>
      <c r="AM70">
        <v>25</v>
      </c>
      <c r="AN70">
        <v>-1.8624999999999998</v>
      </c>
      <c r="AO70">
        <v>30</v>
      </c>
      <c r="AP70">
        <v>-12.237500000000001</v>
      </c>
      <c r="AQ70">
        <v>7</v>
      </c>
      <c r="AR70">
        <v>0.6875</v>
      </c>
      <c r="AS70">
        <v>13</v>
      </c>
      <c r="AT70">
        <v>13.333333333333334</v>
      </c>
      <c r="AU70">
        <v>17</v>
      </c>
      <c r="AV70">
        <v>-1.1537500000000001</v>
      </c>
      <c r="AW70">
        <v>14</v>
      </c>
      <c r="AX70">
        <v>0.41250000000000053</v>
      </c>
      <c r="AY70">
        <v>9</v>
      </c>
      <c r="AZ70">
        <v>1.2875000000000005</v>
      </c>
      <c r="BA70">
        <v>22</v>
      </c>
      <c r="BB70">
        <v>21.333333333333332</v>
      </c>
      <c r="BC70">
        <v>21</v>
      </c>
      <c r="BD70">
        <v>-1.7137500000000001</v>
      </c>
      <c r="BE70">
        <v>29</v>
      </c>
      <c r="BF70">
        <v>-16.0625</v>
      </c>
      <c r="BG70">
        <v>14</v>
      </c>
      <c r="BH70">
        <v>0.21250000000000036</v>
      </c>
      <c r="BI70">
        <v>9</v>
      </c>
      <c r="BJ70">
        <v>11.333333333333334</v>
      </c>
      <c r="BK70">
        <v>12</v>
      </c>
      <c r="BL70">
        <v>0.97875000000000001</v>
      </c>
      <c r="BM70">
        <v>6</v>
      </c>
      <c r="BN70">
        <v>17.787500000000001</v>
      </c>
      <c r="BO70">
        <v>16</v>
      </c>
      <c r="BP70">
        <v>8.7500000000000133E-2</v>
      </c>
      <c r="BQ70">
        <v>14</v>
      </c>
      <c r="BR70">
        <v>14.666666666666666</v>
      </c>
      <c r="BS70">
        <v>17</v>
      </c>
      <c r="BT70">
        <v>-0.41874999999999996</v>
      </c>
      <c r="BU70">
        <v>18</v>
      </c>
      <c r="BV70">
        <v>-1.3125000000000009</v>
      </c>
      <c r="BW70">
        <v>9</v>
      </c>
      <c r="BX70">
        <v>0.98749999999999993</v>
      </c>
      <c r="BY70">
        <v>5</v>
      </c>
      <c r="BZ70">
        <v>7.333333333333333</v>
      </c>
      <c r="CA70">
        <v>6</v>
      </c>
      <c r="CB70">
        <v>3.9287499999999991</v>
      </c>
      <c r="CC70">
        <v>8</v>
      </c>
      <c r="CD70">
        <v>12.287500000000001</v>
      </c>
      <c r="CE70">
        <v>8</v>
      </c>
      <c r="CF70">
        <v>1.3374999999999999</v>
      </c>
      <c r="CG70">
        <v>11</v>
      </c>
      <c r="CH70">
        <v>13</v>
      </c>
      <c r="CI70">
        <v>11</v>
      </c>
      <c r="CJ70">
        <v>1.2324999999999999</v>
      </c>
      <c r="CK70">
        <v>6.7750000000000004</v>
      </c>
      <c r="CL70">
        <v>-0.53749999999999987</v>
      </c>
      <c r="CM70">
        <v>15</v>
      </c>
      <c r="CN70">
        <v>15.5</v>
      </c>
      <c r="CO70">
        <v>16</v>
      </c>
      <c r="CP70">
        <v>-0.23750000000000027</v>
      </c>
      <c r="CQ70">
        <v>15</v>
      </c>
      <c r="CR70">
        <v>7.4999999999999956E-2</v>
      </c>
      <c r="CS70">
        <v>-0.92499999999999993</v>
      </c>
      <c r="CT70">
        <v>15</v>
      </c>
      <c r="CU70">
        <v>15.25</v>
      </c>
      <c r="CV70">
        <v>14</v>
      </c>
      <c r="CW70">
        <v>2.6610684253065564E-3</v>
      </c>
      <c r="CX70">
        <v>7</v>
      </c>
      <c r="CY70">
        <v>1.4278370422998257E-2</v>
      </c>
      <c r="CZ70">
        <v>25</v>
      </c>
      <c r="DA70">
        <v>7.1132478632478624E-2</v>
      </c>
      <c r="DB70">
        <v>15</v>
      </c>
      <c r="DC70">
        <v>0.23749999999999982</v>
      </c>
      <c r="DD70">
        <v>-0.86250000000000071</v>
      </c>
      <c r="DE70">
        <v>0.83750000000000036</v>
      </c>
      <c r="DF70">
        <v>0</v>
      </c>
      <c r="DG70">
        <v>-7.5374999999999943</v>
      </c>
      <c r="DH70">
        <v>1.1000000000000014</v>
      </c>
      <c r="DI70">
        <v>-8.0374999999999979</v>
      </c>
      <c r="DJ70">
        <v>-0.57499999999999996</v>
      </c>
      <c r="DK70">
        <v>-2.4999999999999911E-2</v>
      </c>
      <c r="DL70">
        <v>9</v>
      </c>
      <c r="DM70">
        <v>3.9864999999999986</v>
      </c>
      <c r="DN70">
        <v>1.8352999999999997</v>
      </c>
      <c r="DO70">
        <v>9.1374999999999993</v>
      </c>
      <c r="DP70">
        <v>24</v>
      </c>
      <c r="DQ70">
        <v>-0.37340625000000022</v>
      </c>
      <c r="DR70">
        <v>0.75000000000000067</v>
      </c>
      <c r="DS70">
        <v>0.74149374999999995</v>
      </c>
      <c r="DT70">
        <v>-0.3046875</v>
      </c>
      <c r="DU70" t="s">
        <v>297</v>
      </c>
      <c r="DV70" t="s">
        <v>474</v>
      </c>
      <c r="DW70" t="s">
        <v>475</v>
      </c>
      <c r="DX70">
        <v>4</v>
      </c>
      <c r="DY70">
        <v>4.1153999999999993</v>
      </c>
      <c r="DZ70">
        <v>2</v>
      </c>
      <c r="EA70">
        <v>7.25</v>
      </c>
      <c r="EB70">
        <v>2</v>
      </c>
      <c r="EC70">
        <v>5.9520000000000008</v>
      </c>
      <c r="ED70">
        <v>10</v>
      </c>
      <c r="EE70">
        <v>1.7999999999999996</v>
      </c>
      <c r="EF70">
        <v>7</v>
      </c>
      <c r="EG70">
        <v>17.430000000000003</v>
      </c>
      <c r="EH70">
        <v>10</v>
      </c>
      <c r="EI70">
        <v>0.67000000000000026</v>
      </c>
      <c r="EJ70">
        <v>2</v>
      </c>
      <c r="EK70">
        <v>4.75</v>
      </c>
      <c r="EL70">
        <v>2</v>
      </c>
      <c r="EM70">
        <v>5.5560000000000009</v>
      </c>
      <c r="EN70">
        <v>8</v>
      </c>
      <c r="EO70">
        <v>1.8299999999999996</v>
      </c>
      <c r="EP70">
        <v>5</v>
      </c>
      <c r="EQ70">
        <v>17.040000000000003</v>
      </c>
      <c r="ER70">
        <v>4</v>
      </c>
      <c r="ES70">
        <v>1.2600000000000002</v>
      </c>
      <c r="ET70">
        <v>11</v>
      </c>
      <c r="EU70">
        <v>14.333333333333334</v>
      </c>
      <c r="EV70">
        <v>12</v>
      </c>
      <c r="EW70">
        <v>0.39600000000000007</v>
      </c>
      <c r="EX70">
        <v>18</v>
      </c>
      <c r="EY70">
        <v>-3.0000000000000027E-2</v>
      </c>
      <c r="EZ70">
        <v>13</v>
      </c>
      <c r="FA70">
        <v>0.38999999999999985</v>
      </c>
      <c r="FB70">
        <v>25</v>
      </c>
      <c r="FC70">
        <v>-0.59</v>
      </c>
      <c r="FD70">
        <v>9</v>
      </c>
      <c r="FE70">
        <v>11.666666666666666</v>
      </c>
      <c r="FF70">
        <v>9</v>
      </c>
      <c r="FG70">
        <v>3.5949999999999998</v>
      </c>
      <c r="FH70">
        <v>13</v>
      </c>
      <c r="FI70">
        <v>3.9499999999999966</v>
      </c>
      <c r="FJ70">
        <v>13</v>
      </c>
      <c r="FK70">
        <v>0.36000000000000004</v>
      </c>
      <c r="FL70">
        <v>18</v>
      </c>
      <c r="FM70">
        <v>18</v>
      </c>
      <c r="FN70">
        <v>17</v>
      </c>
      <c r="FO70">
        <v>-1.0820000000000001</v>
      </c>
      <c r="FP70">
        <v>19</v>
      </c>
      <c r="FQ70">
        <v>-5.7600000000000025</v>
      </c>
      <c r="FR70">
        <v>18</v>
      </c>
      <c r="FS70">
        <v>0.15999999999999978</v>
      </c>
      <c r="FT70">
        <v>5</v>
      </c>
      <c r="FU70">
        <v>8.3333333333333339</v>
      </c>
      <c r="FV70">
        <v>4</v>
      </c>
      <c r="FW70">
        <v>3.3719999999999999</v>
      </c>
      <c r="FX70">
        <v>12</v>
      </c>
      <c r="FY70">
        <v>4.93</v>
      </c>
      <c r="FZ70">
        <v>9</v>
      </c>
      <c r="GA70">
        <v>0.57000000000000006</v>
      </c>
      <c r="GB70">
        <v>12</v>
      </c>
      <c r="GC70">
        <v>12.666666666666666</v>
      </c>
      <c r="GD70">
        <v>8</v>
      </c>
      <c r="GE70">
        <v>1.3049999999999995</v>
      </c>
      <c r="GF70">
        <v>7</v>
      </c>
      <c r="GG70">
        <v>4.7799999999999994</v>
      </c>
      <c r="GH70">
        <v>23</v>
      </c>
      <c r="GI70">
        <v>-0.36999999999999983</v>
      </c>
      <c r="GJ70">
        <v>5</v>
      </c>
      <c r="GK70">
        <v>5.333333333333333</v>
      </c>
      <c r="GL70">
        <v>2</v>
      </c>
      <c r="GM70">
        <v>8.3320000000000025</v>
      </c>
      <c r="GN70">
        <v>5</v>
      </c>
      <c r="GO70">
        <v>21.32</v>
      </c>
      <c r="GP70">
        <v>9</v>
      </c>
      <c r="GQ70">
        <v>0.54000000000000026</v>
      </c>
      <c r="GR70">
        <v>19</v>
      </c>
      <c r="GS70">
        <v>18.666666666666668</v>
      </c>
      <c r="GT70">
        <v>13</v>
      </c>
      <c r="GU70">
        <v>0.27900000000000008</v>
      </c>
      <c r="GV70">
        <v>0.78999999999999915</v>
      </c>
      <c r="GW70">
        <v>-1.31</v>
      </c>
      <c r="GX70">
        <v>17</v>
      </c>
      <c r="GY70">
        <v>15</v>
      </c>
      <c r="GZ70">
        <v>13</v>
      </c>
      <c r="HA70">
        <v>0.35999999999999976</v>
      </c>
      <c r="HB70">
        <v>17</v>
      </c>
      <c r="HC70">
        <v>-0.1999999999999999</v>
      </c>
      <c r="HD70">
        <v>0.73000000000000009</v>
      </c>
      <c r="HE70">
        <v>32</v>
      </c>
      <c r="HF70">
        <v>29</v>
      </c>
      <c r="HG70">
        <v>27</v>
      </c>
      <c r="HH70">
        <v>-4.3621805188359494E-2</v>
      </c>
      <c r="HI70">
        <v>31</v>
      </c>
      <c r="HJ70">
        <v>-3.1898065105927929E-2</v>
      </c>
      <c r="HK70">
        <v>27</v>
      </c>
      <c r="HL70">
        <v>7.1105672105672063E-2</v>
      </c>
      <c r="HM70">
        <v>31</v>
      </c>
      <c r="HN70">
        <v>-2.95</v>
      </c>
      <c r="HO70">
        <v>-1.7200000000000002</v>
      </c>
      <c r="HP70">
        <v>5.3400000000000007</v>
      </c>
      <c r="HQ70">
        <v>-0.91999999999999993</v>
      </c>
      <c r="HR70">
        <v>51.179999999999993</v>
      </c>
      <c r="HS70">
        <v>20.279999999999994</v>
      </c>
      <c r="HT70">
        <v>17.550000000000004</v>
      </c>
      <c r="HU70">
        <v>11.4</v>
      </c>
      <c r="HV70">
        <v>1.95</v>
      </c>
      <c r="HW70">
        <v>19</v>
      </c>
      <c r="HX70">
        <v>-1.8366000000000016</v>
      </c>
      <c r="HY70">
        <v>-1.3781200000000007</v>
      </c>
      <c r="HZ70">
        <v>2.7299999999999898</v>
      </c>
      <c r="IA70">
        <v>14</v>
      </c>
      <c r="IB70">
        <v>1.7876749999999999</v>
      </c>
      <c r="IC70">
        <v>-0.95</v>
      </c>
    </row>
    <row r="71" spans="1:237" x14ac:dyDescent="0.2">
      <c r="A71" s="19">
        <v>44122</v>
      </c>
      <c r="B71" s="13" t="s">
        <v>252</v>
      </c>
      <c r="C71" s="41" t="s">
        <v>300</v>
      </c>
      <c r="D71" s="14" t="s">
        <v>284</v>
      </c>
      <c r="E71">
        <v>12.1</v>
      </c>
      <c r="F71">
        <v>6.2</v>
      </c>
      <c r="G71">
        <v>2.6</v>
      </c>
      <c r="H71">
        <v>5.5</v>
      </c>
      <c r="I71">
        <v>-2.5</v>
      </c>
      <c r="J71">
        <v>54.5</v>
      </c>
      <c r="L71" t="s">
        <v>300</v>
      </c>
      <c r="M71">
        <v>8</v>
      </c>
      <c r="N71">
        <v>1.7874999999999979</v>
      </c>
      <c r="O71">
        <v>2</v>
      </c>
      <c r="P71">
        <v>5.75</v>
      </c>
      <c r="Q71">
        <v>3</v>
      </c>
      <c r="R71">
        <v>9.3987500000000015</v>
      </c>
      <c r="S71">
        <v>15</v>
      </c>
      <c r="T71">
        <v>0.10000000000000075</v>
      </c>
      <c r="U71">
        <v>4</v>
      </c>
      <c r="V71">
        <v>17.987500000000001</v>
      </c>
      <c r="W71">
        <v>1</v>
      </c>
      <c r="X71">
        <v>2.7750000000000004</v>
      </c>
      <c r="Y71">
        <v>1</v>
      </c>
      <c r="Z71">
        <v>4.333333333333333</v>
      </c>
      <c r="AA71">
        <v>2</v>
      </c>
      <c r="AB71">
        <v>7.1000000000000014</v>
      </c>
      <c r="AC71">
        <v>15</v>
      </c>
      <c r="AD71">
        <v>-0.54999999999999938</v>
      </c>
      <c r="AE71">
        <v>6</v>
      </c>
      <c r="AF71">
        <v>16.95</v>
      </c>
      <c r="AG71">
        <v>5</v>
      </c>
      <c r="AH71">
        <v>1.25</v>
      </c>
      <c r="AI71">
        <v>3</v>
      </c>
      <c r="AJ71">
        <v>6.666666666666667</v>
      </c>
      <c r="AK71">
        <v>5</v>
      </c>
      <c r="AL71">
        <v>2.2987500000000001</v>
      </c>
      <c r="AM71">
        <v>10</v>
      </c>
      <c r="AN71">
        <v>0.65000000000000013</v>
      </c>
      <c r="AO71">
        <v>12</v>
      </c>
      <c r="AP71">
        <v>1.0375000000000001</v>
      </c>
      <c r="AQ71">
        <v>3</v>
      </c>
      <c r="AR71">
        <v>1.5250000000000001</v>
      </c>
      <c r="AS71">
        <v>18</v>
      </c>
      <c r="AT71">
        <v>17.666666666666668</v>
      </c>
      <c r="AU71">
        <v>18</v>
      </c>
      <c r="AV71">
        <v>-1.6825000000000014</v>
      </c>
      <c r="AW71">
        <v>16</v>
      </c>
      <c r="AX71">
        <v>-2.912500000000005</v>
      </c>
      <c r="AY71">
        <v>19</v>
      </c>
      <c r="AZ71">
        <v>-0.7374999999999996</v>
      </c>
      <c r="BA71">
        <v>3</v>
      </c>
      <c r="BB71">
        <v>4</v>
      </c>
      <c r="BC71">
        <v>4</v>
      </c>
      <c r="BD71">
        <v>4.9162500000000007</v>
      </c>
      <c r="BE71">
        <v>3</v>
      </c>
      <c r="BF71">
        <v>18.774999999999999</v>
      </c>
      <c r="BG71">
        <v>5</v>
      </c>
      <c r="BH71">
        <v>1.6750000000000003</v>
      </c>
      <c r="BI71">
        <v>30</v>
      </c>
      <c r="BJ71">
        <v>27</v>
      </c>
      <c r="BK71">
        <v>32</v>
      </c>
      <c r="BL71">
        <v>-6.2200000000000024</v>
      </c>
      <c r="BM71">
        <v>26</v>
      </c>
      <c r="BN71">
        <v>-16.450000000000003</v>
      </c>
      <c r="BO71">
        <v>23</v>
      </c>
      <c r="BP71">
        <v>-0.52499999999999991</v>
      </c>
      <c r="BQ71">
        <v>24</v>
      </c>
      <c r="BR71">
        <v>23</v>
      </c>
      <c r="BS71">
        <v>16</v>
      </c>
      <c r="BT71">
        <v>-0.3787499999999997</v>
      </c>
      <c r="BU71">
        <v>22</v>
      </c>
      <c r="BV71">
        <v>-5.2375000000000007</v>
      </c>
      <c r="BW71">
        <v>31</v>
      </c>
      <c r="BX71">
        <v>-1.8875</v>
      </c>
      <c r="BY71">
        <v>11</v>
      </c>
      <c r="BZ71">
        <v>11.333333333333334</v>
      </c>
      <c r="CA71">
        <v>5</v>
      </c>
      <c r="CB71">
        <v>4.5599999999999996</v>
      </c>
      <c r="CC71">
        <v>6</v>
      </c>
      <c r="CD71">
        <v>16.350000000000001</v>
      </c>
      <c r="CE71">
        <v>23</v>
      </c>
      <c r="CF71">
        <v>-1.0625</v>
      </c>
      <c r="CG71">
        <v>12</v>
      </c>
      <c r="CH71">
        <v>14.666666666666666</v>
      </c>
      <c r="CI71">
        <v>8</v>
      </c>
      <c r="CJ71">
        <v>2.7024999999999988</v>
      </c>
      <c r="CK71">
        <v>4.9000000000000004</v>
      </c>
      <c r="CL71">
        <v>-1.2625</v>
      </c>
      <c r="CM71">
        <v>8</v>
      </c>
      <c r="CN71">
        <v>9</v>
      </c>
      <c r="CO71">
        <v>4</v>
      </c>
      <c r="CP71">
        <v>2.1</v>
      </c>
      <c r="CQ71">
        <v>14</v>
      </c>
      <c r="CR71">
        <v>8.7499999999999967E-2</v>
      </c>
      <c r="CS71">
        <v>1.7625</v>
      </c>
      <c r="CT71">
        <v>30</v>
      </c>
      <c r="CU71">
        <v>24.5</v>
      </c>
      <c r="CV71">
        <v>30</v>
      </c>
      <c r="CW71">
        <v>-7.320284127007963E-2</v>
      </c>
      <c r="CX71">
        <v>30</v>
      </c>
      <c r="CY71">
        <v>-2.5008671690300667E-2</v>
      </c>
      <c r="CZ71">
        <v>6</v>
      </c>
      <c r="DA71">
        <v>-0.10195283882783876</v>
      </c>
      <c r="DB71">
        <v>32</v>
      </c>
      <c r="DC71">
        <v>-5.1124999999999998</v>
      </c>
      <c r="DD71">
        <v>-0.58750000000000036</v>
      </c>
      <c r="DE71">
        <v>5.2999999999999989</v>
      </c>
      <c r="DF71">
        <v>1.7124999999999999</v>
      </c>
      <c r="DG71">
        <v>42.612499999999997</v>
      </c>
      <c r="DH71">
        <v>20.125</v>
      </c>
      <c r="DI71">
        <v>33.975000000000001</v>
      </c>
      <c r="DJ71">
        <v>-2.5249999999999999</v>
      </c>
      <c r="DK71">
        <v>-8.9624999999999986</v>
      </c>
      <c r="DL71">
        <v>26</v>
      </c>
      <c r="DM71">
        <v>-7.6112500000000036</v>
      </c>
      <c r="DN71">
        <v>-4.137875000000002</v>
      </c>
      <c r="DO71">
        <v>-13.850000000000001</v>
      </c>
      <c r="DP71">
        <v>7</v>
      </c>
      <c r="DQ71">
        <v>1.7882812499999994</v>
      </c>
      <c r="DR71">
        <v>-1.9999999999999996</v>
      </c>
      <c r="DS71">
        <v>-1.1003374999999997</v>
      </c>
      <c r="DT71">
        <v>-0.80687500000000001</v>
      </c>
      <c r="DU71" t="s">
        <v>284</v>
      </c>
      <c r="DV71" t="s">
        <v>243</v>
      </c>
      <c r="DW71" t="s">
        <v>486</v>
      </c>
      <c r="DX71">
        <v>28</v>
      </c>
      <c r="DY71">
        <v>-3.9164000000000008</v>
      </c>
      <c r="DZ71">
        <v>31</v>
      </c>
      <c r="EA71">
        <v>25.25</v>
      </c>
      <c r="EB71">
        <v>28</v>
      </c>
      <c r="EC71">
        <v>-4.9359999999999991</v>
      </c>
      <c r="ED71">
        <v>32</v>
      </c>
      <c r="EE71">
        <v>-5.3599999999999985</v>
      </c>
      <c r="EF71">
        <v>32</v>
      </c>
      <c r="EG71">
        <v>-47.949999999999989</v>
      </c>
      <c r="EH71">
        <v>9</v>
      </c>
      <c r="EI71">
        <v>1</v>
      </c>
      <c r="EJ71">
        <v>32</v>
      </c>
      <c r="EK71">
        <v>27.25</v>
      </c>
      <c r="EL71">
        <v>30</v>
      </c>
      <c r="EM71">
        <v>-4.8679999999999994</v>
      </c>
      <c r="EN71">
        <v>31</v>
      </c>
      <c r="EO71">
        <v>-4.2099999999999991</v>
      </c>
      <c r="EP71">
        <v>32</v>
      </c>
      <c r="EQ71">
        <v>-34.529999999999994</v>
      </c>
      <c r="ER71">
        <v>16</v>
      </c>
      <c r="ES71">
        <v>-0.14999999999999983</v>
      </c>
      <c r="ET71">
        <v>26</v>
      </c>
      <c r="EU71">
        <v>24.333333333333332</v>
      </c>
      <c r="EV71">
        <v>18</v>
      </c>
      <c r="EW71">
        <v>-6.7999999999999797E-2</v>
      </c>
      <c r="EX71">
        <v>24</v>
      </c>
      <c r="EY71">
        <v>-1.1499999999999997</v>
      </c>
      <c r="EZ71">
        <v>31</v>
      </c>
      <c r="FA71">
        <v>-13.419999999999998</v>
      </c>
      <c r="FB71">
        <v>1</v>
      </c>
      <c r="FC71">
        <v>1.1499999999999999</v>
      </c>
      <c r="FD71">
        <v>16</v>
      </c>
      <c r="FE71">
        <v>16.666666666666668</v>
      </c>
      <c r="FF71">
        <v>15</v>
      </c>
      <c r="FG71">
        <v>-0.46300000000000019</v>
      </c>
      <c r="FH71">
        <v>21</v>
      </c>
      <c r="FI71">
        <v>-6.6200000000000028</v>
      </c>
      <c r="FJ71">
        <v>14</v>
      </c>
      <c r="FK71">
        <v>0.28000000000000036</v>
      </c>
      <c r="FL71">
        <v>14</v>
      </c>
      <c r="FM71">
        <v>15.333333333333334</v>
      </c>
      <c r="FN71">
        <v>20</v>
      </c>
      <c r="FO71">
        <v>-2.6220000000000003</v>
      </c>
      <c r="FP71">
        <v>22</v>
      </c>
      <c r="FQ71">
        <v>-8.2600000000000016</v>
      </c>
      <c r="FR71">
        <v>4</v>
      </c>
      <c r="FS71">
        <v>1.45</v>
      </c>
      <c r="FT71">
        <v>17</v>
      </c>
      <c r="FU71">
        <v>15.666666666666666</v>
      </c>
      <c r="FV71">
        <v>11</v>
      </c>
      <c r="FW71">
        <v>2.1149999999999998</v>
      </c>
      <c r="FX71">
        <v>15</v>
      </c>
      <c r="FY71">
        <v>2.0099999999999993</v>
      </c>
      <c r="FZ71">
        <v>21</v>
      </c>
      <c r="GA71">
        <v>-0.30999999999999994</v>
      </c>
      <c r="GB71">
        <v>21</v>
      </c>
      <c r="GC71">
        <v>19.333333333333332</v>
      </c>
      <c r="GD71">
        <v>15</v>
      </c>
      <c r="GE71">
        <v>4.4000000000000393E-2</v>
      </c>
      <c r="GF71">
        <v>16</v>
      </c>
      <c r="GG71">
        <v>-0.37000000000000066</v>
      </c>
      <c r="GH71">
        <v>27</v>
      </c>
      <c r="GI71">
        <v>-0.85999999999999976</v>
      </c>
      <c r="GJ71">
        <v>8</v>
      </c>
      <c r="GK71">
        <v>10</v>
      </c>
      <c r="GL71">
        <v>9</v>
      </c>
      <c r="GM71">
        <v>1.633999999999999</v>
      </c>
      <c r="GN71">
        <v>9</v>
      </c>
      <c r="GO71">
        <v>7.5399999999999974</v>
      </c>
      <c r="GP71">
        <v>12</v>
      </c>
      <c r="GQ71">
        <v>4.0000000000000216E-2</v>
      </c>
      <c r="GR71">
        <v>13</v>
      </c>
      <c r="GS71">
        <v>15.333333333333334</v>
      </c>
      <c r="GT71">
        <v>19</v>
      </c>
      <c r="GU71">
        <v>-1.3049999999999993</v>
      </c>
      <c r="GV71">
        <v>3.05</v>
      </c>
      <c r="GW71">
        <v>5.0000000000000176E-2</v>
      </c>
      <c r="GX71">
        <v>19</v>
      </c>
      <c r="GY71">
        <v>20</v>
      </c>
      <c r="GZ71">
        <v>19</v>
      </c>
      <c r="HA71">
        <v>-0.53000000000000025</v>
      </c>
      <c r="HB71">
        <v>21</v>
      </c>
      <c r="HC71">
        <v>-0.42999999999999988</v>
      </c>
      <c r="HD71">
        <v>1.9299999999999997</v>
      </c>
      <c r="HE71">
        <v>7</v>
      </c>
      <c r="HF71">
        <v>10.5</v>
      </c>
      <c r="HG71">
        <v>4</v>
      </c>
      <c r="HH71">
        <v>4.9574741672891519E-2</v>
      </c>
      <c r="HI71">
        <v>2</v>
      </c>
      <c r="HJ71">
        <v>3.8538748782998081E-2</v>
      </c>
      <c r="HK71">
        <v>32</v>
      </c>
      <c r="HL71">
        <v>0.12830768457548647</v>
      </c>
      <c r="HM71">
        <v>4</v>
      </c>
      <c r="HN71">
        <v>3.38</v>
      </c>
      <c r="HO71">
        <v>-3.6899999999999977</v>
      </c>
      <c r="HP71">
        <v>-3.54</v>
      </c>
      <c r="HQ71">
        <v>2.2399999999999998</v>
      </c>
      <c r="HR71">
        <v>-52.090000000000011</v>
      </c>
      <c r="HS71">
        <v>-1.6300000000000068</v>
      </c>
      <c r="HT71">
        <v>-46.95</v>
      </c>
      <c r="HU71">
        <v>0.3300000000000004</v>
      </c>
      <c r="HV71">
        <v>-3.84</v>
      </c>
      <c r="HW71">
        <v>16</v>
      </c>
      <c r="HX71">
        <v>1.0195999999999983</v>
      </c>
      <c r="HY71">
        <v>1.3311199999999994</v>
      </c>
      <c r="HZ71">
        <v>45.319999999999993</v>
      </c>
      <c r="IA71">
        <v>17</v>
      </c>
      <c r="IB71">
        <v>-1.3937999999999997</v>
      </c>
      <c r="IC71">
        <v>0.33000000000000052</v>
      </c>
    </row>
    <row r="72" spans="1:237" x14ac:dyDescent="0.2">
      <c r="A72" s="19">
        <v>44122</v>
      </c>
      <c r="B72" s="13" t="s">
        <v>252</v>
      </c>
      <c r="C72" s="41" t="s">
        <v>311</v>
      </c>
      <c r="D72" s="14" t="s">
        <v>310</v>
      </c>
      <c r="E72">
        <v>27.3</v>
      </c>
      <c r="F72">
        <v>21.8</v>
      </c>
      <c r="G72">
        <v>10.7</v>
      </c>
      <c r="H72">
        <v>20.5</v>
      </c>
      <c r="I72">
        <v>3.5</v>
      </c>
      <c r="J72">
        <v>52.5</v>
      </c>
      <c r="K72" t="s">
        <v>734</v>
      </c>
      <c r="L72" t="s">
        <v>311</v>
      </c>
      <c r="M72">
        <v>11</v>
      </c>
      <c r="N72">
        <v>0.83339999999999959</v>
      </c>
      <c r="O72">
        <v>31</v>
      </c>
      <c r="P72">
        <v>27.75</v>
      </c>
      <c r="Q72">
        <v>29</v>
      </c>
      <c r="R72">
        <v>-7.5619999999999994</v>
      </c>
      <c r="S72">
        <v>28</v>
      </c>
      <c r="T72">
        <v>-4.419999999999999</v>
      </c>
      <c r="U72">
        <v>26</v>
      </c>
      <c r="V72">
        <v>-17.060000000000002</v>
      </c>
      <c r="W72">
        <v>28</v>
      </c>
      <c r="X72">
        <v>-1.25</v>
      </c>
      <c r="Y72">
        <v>25</v>
      </c>
      <c r="Z72">
        <v>23</v>
      </c>
      <c r="AA72">
        <v>26</v>
      </c>
      <c r="AB72">
        <v>-4.9389999999999992</v>
      </c>
      <c r="AC72">
        <v>28</v>
      </c>
      <c r="AD72">
        <v>-2.3399999999999994</v>
      </c>
      <c r="AE72">
        <v>20</v>
      </c>
      <c r="AF72">
        <v>-5.830000000000001</v>
      </c>
      <c r="AG72">
        <v>23</v>
      </c>
      <c r="AH72">
        <v>-0.90999999999999992</v>
      </c>
      <c r="AI72">
        <v>30</v>
      </c>
      <c r="AJ72">
        <v>25</v>
      </c>
      <c r="AK72">
        <v>28</v>
      </c>
      <c r="AL72">
        <v>-2.6230000000000002</v>
      </c>
      <c r="AM72">
        <v>26</v>
      </c>
      <c r="AN72">
        <v>-2.0799999999999996</v>
      </c>
      <c r="AO72">
        <v>28</v>
      </c>
      <c r="AP72">
        <v>-11.23</v>
      </c>
      <c r="AQ72">
        <v>19</v>
      </c>
      <c r="AR72">
        <v>-0.33999999999999997</v>
      </c>
      <c r="AS72">
        <v>10</v>
      </c>
      <c r="AT72">
        <v>11.333333333333334</v>
      </c>
      <c r="AU72">
        <v>12</v>
      </c>
      <c r="AV72">
        <v>1.8989999999999991</v>
      </c>
      <c r="AW72">
        <v>5</v>
      </c>
      <c r="AX72">
        <v>26.78</v>
      </c>
      <c r="AY72">
        <v>17</v>
      </c>
      <c r="AZ72">
        <v>-0.13999999999999968</v>
      </c>
      <c r="BA72">
        <v>22</v>
      </c>
      <c r="BB72">
        <v>21.333333333333332</v>
      </c>
      <c r="BC72">
        <v>17</v>
      </c>
      <c r="BD72">
        <v>-0.49200000000000055</v>
      </c>
      <c r="BE72">
        <v>19</v>
      </c>
      <c r="BF72">
        <v>-6.4599999999999991</v>
      </c>
      <c r="BG72">
        <v>28</v>
      </c>
      <c r="BH72">
        <v>-1.5699999999999998</v>
      </c>
      <c r="BI72">
        <v>4</v>
      </c>
      <c r="BJ72">
        <v>6</v>
      </c>
      <c r="BK72">
        <v>5</v>
      </c>
      <c r="BL72">
        <v>3.5179999999999993</v>
      </c>
      <c r="BM72">
        <v>3</v>
      </c>
      <c r="BN72">
        <v>26.82</v>
      </c>
      <c r="BO72">
        <v>10</v>
      </c>
      <c r="BP72">
        <v>0.98000000000000009</v>
      </c>
      <c r="BQ72">
        <v>12</v>
      </c>
      <c r="BR72">
        <v>14</v>
      </c>
      <c r="BS72">
        <v>19</v>
      </c>
      <c r="BT72">
        <v>-1.1269999999999998</v>
      </c>
      <c r="BU72">
        <v>8</v>
      </c>
      <c r="BV72">
        <v>6.42</v>
      </c>
      <c r="BW72">
        <v>15</v>
      </c>
      <c r="BX72">
        <v>0.45000000000000007</v>
      </c>
      <c r="BY72">
        <v>2</v>
      </c>
      <c r="BZ72">
        <v>2.3333333333333335</v>
      </c>
      <c r="CA72">
        <v>1</v>
      </c>
      <c r="CB72">
        <v>9.9509999999999987</v>
      </c>
      <c r="CC72">
        <v>1</v>
      </c>
      <c r="CD72">
        <v>58.909999999999989</v>
      </c>
      <c r="CE72">
        <v>5</v>
      </c>
      <c r="CF72">
        <v>2.38</v>
      </c>
      <c r="CG72">
        <v>16</v>
      </c>
      <c r="CH72">
        <v>17.333333333333332</v>
      </c>
      <c r="CI72">
        <v>13</v>
      </c>
      <c r="CJ72">
        <v>0.52999999999999958</v>
      </c>
      <c r="CK72">
        <v>3.4000000000000012</v>
      </c>
      <c r="CL72">
        <v>-1.2499999999999998</v>
      </c>
      <c r="CM72">
        <v>14</v>
      </c>
      <c r="CN72">
        <v>14.5</v>
      </c>
      <c r="CO72">
        <v>13</v>
      </c>
      <c r="CP72">
        <v>0.48000000000000009</v>
      </c>
      <c r="CQ72">
        <v>16</v>
      </c>
      <c r="CR72">
        <v>6.9999999999999979E-2</v>
      </c>
      <c r="CS72">
        <v>-1.53</v>
      </c>
      <c r="CT72">
        <v>5</v>
      </c>
      <c r="CU72">
        <v>9.5</v>
      </c>
      <c r="CV72">
        <v>12</v>
      </c>
      <c r="CW72">
        <v>1.2055732113009332E-2</v>
      </c>
      <c r="CX72">
        <v>6</v>
      </c>
      <c r="CY72">
        <v>1.5797808622995058E-2</v>
      </c>
      <c r="CZ72">
        <v>7</v>
      </c>
      <c r="DA72">
        <v>-8.5284954811270589E-2</v>
      </c>
      <c r="DB72">
        <v>13</v>
      </c>
      <c r="DC72">
        <v>0.48</v>
      </c>
      <c r="DD72">
        <v>-7.919999999999999</v>
      </c>
      <c r="DE72">
        <v>-1.31</v>
      </c>
      <c r="DF72">
        <v>-0.36</v>
      </c>
      <c r="DG72">
        <v>-11.880000000000006</v>
      </c>
      <c r="DH72">
        <v>20.210000000000008</v>
      </c>
      <c r="DI72">
        <v>-25.53</v>
      </c>
      <c r="DJ72">
        <v>-6.33</v>
      </c>
      <c r="DK72">
        <v>-0.23000000000000043</v>
      </c>
      <c r="DL72">
        <v>4</v>
      </c>
      <c r="DM72">
        <v>8.3953999999999986</v>
      </c>
      <c r="DN72">
        <v>4.4334799999999994</v>
      </c>
      <c r="DO72">
        <v>45.740000000000009</v>
      </c>
      <c r="DP72">
        <v>29</v>
      </c>
      <c r="DQ72">
        <v>-0.47745000000000021</v>
      </c>
      <c r="DR72">
        <v>-1.3899999999999995</v>
      </c>
      <c r="DS72">
        <v>9.3850000000000378E-2</v>
      </c>
      <c r="DT72">
        <v>-0.21479999999999971</v>
      </c>
      <c r="DU72" t="s">
        <v>310</v>
      </c>
      <c r="DV72" t="s">
        <v>286</v>
      </c>
      <c r="DW72" t="s">
        <v>479</v>
      </c>
      <c r="DX72">
        <v>17</v>
      </c>
      <c r="DY72">
        <v>-0.27749999999999764</v>
      </c>
      <c r="DZ72">
        <v>7</v>
      </c>
      <c r="EA72">
        <v>10.75</v>
      </c>
      <c r="EB72">
        <v>9</v>
      </c>
      <c r="EC72">
        <v>2.910000000000001</v>
      </c>
      <c r="ED72">
        <v>9</v>
      </c>
      <c r="EE72">
        <v>1.8500000000000003</v>
      </c>
      <c r="EF72">
        <v>3</v>
      </c>
      <c r="EG72">
        <v>32.412500000000009</v>
      </c>
      <c r="EH72">
        <v>22</v>
      </c>
      <c r="EI72">
        <v>-0.60000000000000031</v>
      </c>
      <c r="EJ72">
        <v>10</v>
      </c>
      <c r="EK72">
        <v>13.25</v>
      </c>
      <c r="EL72">
        <v>14</v>
      </c>
      <c r="EM72">
        <v>0.86000000000000099</v>
      </c>
      <c r="EN72">
        <v>12</v>
      </c>
      <c r="EO72">
        <v>0.63750000000000062</v>
      </c>
      <c r="EP72">
        <v>2</v>
      </c>
      <c r="EQ72">
        <v>25.987500000000004</v>
      </c>
      <c r="ER72">
        <v>25</v>
      </c>
      <c r="ES72">
        <v>-0.68750000000000022</v>
      </c>
      <c r="ET72">
        <v>3</v>
      </c>
      <c r="EU72">
        <v>6</v>
      </c>
      <c r="EV72">
        <v>4</v>
      </c>
      <c r="EW72">
        <v>2.0500000000000003</v>
      </c>
      <c r="EX72">
        <v>8</v>
      </c>
      <c r="EY72">
        <v>1.2124999999999997</v>
      </c>
      <c r="EZ72">
        <v>6</v>
      </c>
      <c r="FA72">
        <v>6.4250000000000007</v>
      </c>
      <c r="FB72">
        <v>16</v>
      </c>
      <c r="FC72">
        <v>8.7499999999999967E-2</v>
      </c>
      <c r="FD72">
        <v>9</v>
      </c>
      <c r="FE72">
        <v>11.666666666666666</v>
      </c>
      <c r="FF72">
        <v>14</v>
      </c>
      <c r="FG72">
        <v>-0.44375000000000009</v>
      </c>
      <c r="FH72">
        <v>14</v>
      </c>
      <c r="FI72">
        <v>3.3250000000000011</v>
      </c>
      <c r="FJ72">
        <v>7</v>
      </c>
      <c r="FK72">
        <v>1.0999999999999999</v>
      </c>
      <c r="FL72">
        <v>17</v>
      </c>
      <c r="FM72">
        <v>16.333333333333332</v>
      </c>
      <c r="FN72">
        <v>21</v>
      </c>
      <c r="FO72">
        <v>-2.6424999999999996</v>
      </c>
      <c r="FP72">
        <v>15</v>
      </c>
      <c r="FQ72">
        <v>-1.6249999999999982</v>
      </c>
      <c r="FR72">
        <v>13</v>
      </c>
      <c r="FS72">
        <v>0.46249999999999969</v>
      </c>
      <c r="FT72">
        <v>3</v>
      </c>
      <c r="FU72">
        <v>5.666666666666667</v>
      </c>
      <c r="FV72">
        <v>5</v>
      </c>
      <c r="FW72">
        <v>3.2487499999999994</v>
      </c>
      <c r="FX72">
        <v>6</v>
      </c>
      <c r="FY72">
        <v>11.462499999999999</v>
      </c>
      <c r="FZ72">
        <v>6</v>
      </c>
      <c r="GA72">
        <v>0.86250000000000004</v>
      </c>
      <c r="GB72">
        <v>26</v>
      </c>
      <c r="GC72">
        <v>23</v>
      </c>
      <c r="GD72">
        <v>22</v>
      </c>
      <c r="GE72">
        <v>-1.0499999999999998</v>
      </c>
      <c r="GF72">
        <v>26</v>
      </c>
      <c r="GG72">
        <v>-6.5124999999999993</v>
      </c>
      <c r="GH72">
        <v>21</v>
      </c>
      <c r="GI72">
        <v>-0.22499999999999987</v>
      </c>
      <c r="GJ72">
        <v>4</v>
      </c>
      <c r="GK72">
        <v>4.333333333333333</v>
      </c>
      <c r="GL72">
        <v>5</v>
      </c>
      <c r="GM72">
        <v>4.5975000000000001</v>
      </c>
      <c r="GN72">
        <v>4</v>
      </c>
      <c r="GO72">
        <v>21.974999999999998</v>
      </c>
      <c r="GP72">
        <v>4</v>
      </c>
      <c r="GQ72">
        <v>1.75</v>
      </c>
      <c r="GR72">
        <v>8</v>
      </c>
      <c r="GS72">
        <v>9.3333333333333339</v>
      </c>
      <c r="GT72">
        <v>7</v>
      </c>
      <c r="GU72">
        <v>2.9937499999999999</v>
      </c>
      <c r="GV72">
        <v>5.0625</v>
      </c>
      <c r="GW72">
        <v>0.16250000000000009</v>
      </c>
      <c r="GX72">
        <v>29</v>
      </c>
      <c r="GY72">
        <v>28</v>
      </c>
      <c r="GZ72">
        <v>28</v>
      </c>
      <c r="HA72">
        <v>-1.9624999999999999</v>
      </c>
      <c r="HB72">
        <v>28</v>
      </c>
      <c r="HC72">
        <v>-0.6875</v>
      </c>
      <c r="HD72">
        <v>-2.5874999999999999</v>
      </c>
      <c r="HE72">
        <v>23</v>
      </c>
      <c r="HF72">
        <v>20</v>
      </c>
      <c r="HG72">
        <v>13</v>
      </c>
      <c r="HH72">
        <v>4.5537139289629491E-3</v>
      </c>
      <c r="HI72">
        <v>32</v>
      </c>
      <c r="HJ72">
        <v>-3.2861066671776802E-2</v>
      </c>
      <c r="HK72">
        <v>12</v>
      </c>
      <c r="HL72">
        <v>-4.3385872168766965E-2</v>
      </c>
      <c r="HM72">
        <v>23</v>
      </c>
      <c r="HN72">
        <v>-1.4750000000000001</v>
      </c>
      <c r="HO72">
        <v>-0.26250000000000107</v>
      </c>
      <c r="HP72">
        <v>-1.625</v>
      </c>
      <c r="HQ72">
        <v>0</v>
      </c>
      <c r="HR72">
        <v>40.4375</v>
      </c>
      <c r="HS72">
        <v>3.4624999999999986</v>
      </c>
      <c r="HT72">
        <v>31.162500000000001</v>
      </c>
      <c r="HU72">
        <v>5.7125000000000004</v>
      </c>
      <c r="HV72">
        <v>0.10000000000000053</v>
      </c>
      <c r="HW72">
        <v>23</v>
      </c>
      <c r="HX72">
        <v>-3.1874999999999987</v>
      </c>
      <c r="HY72">
        <v>-1.0005000000000002</v>
      </c>
      <c r="HZ72">
        <v>-27.700000000000003</v>
      </c>
      <c r="IA72">
        <v>10</v>
      </c>
      <c r="IB72">
        <v>0.40250000000000047</v>
      </c>
      <c r="IC72">
        <v>1.2625</v>
      </c>
    </row>
    <row r="73" spans="1:237" x14ac:dyDescent="0.2">
      <c r="A73" s="19">
        <v>44122</v>
      </c>
      <c r="B73" s="13" t="s">
        <v>252</v>
      </c>
      <c r="C73" s="41" t="s">
        <v>289</v>
      </c>
      <c r="D73" s="14" t="s">
        <v>272</v>
      </c>
      <c r="E73">
        <v>2.1</v>
      </c>
      <c r="F73">
        <v>15.4</v>
      </c>
      <c r="G73">
        <v>18.8</v>
      </c>
      <c r="H73">
        <v>21.9</v>
      </c>
      <c r="I73">
        <v>-7</v>
      </c>
      <c r="J73">
        <v>46</v>
      </c>
      <c r="K73" t="s">
        <v>735</v>
      </c>
      <c r="L73" t="s">
        <v>289</v>
      </c>
      <c r="M73">
        <v>32</v>
      </c>
      <c r="N73">
        <v>-8.2264000000000017</v>
      </c>
      <c r="O73">
        <v>13</v>
      </c>
      <c r="P73">
        <v>13.5</v>
      </c>
      <c r="Q73">
        <v>12</v>
      </c>
      <c r="R73">
        <v>0.84400000000000008</v>
      </c>
      <c r="S73">
        <v>9</v>
      </c>
      <c r="T73">
        <v>1.8800000000000003</v>
      </c>
      <c r="U73">
        <v>18</v>
      </c>
      <c r="V73">
        <v>-2.4800000000000022</v>
      </c>
      <c r="W73">
        <v>15</v>
      </c>
      <c r="X73">
        <v>0.19999999999999996</v>
      </c>
      <c r="Y73">
        <v>22</v>
      </c>
      <c r="Z73">
        <v>21</v>
      </c>
      <c r="AA73">
        <v>18</v>
      </c>
      <c r="AB73">
        <v>0.1</v>
      </c>
      <c r="AC73">
        <v>16</v>
      </c>
      <c r="AD73">
        <v>-0.59999999999999964</v>
      </c>
      <c r="AE73">
        <v>23</v>
      </c>
      <c r="AF73">
        <v>-8.4400000000000013</v>
      </c>
      <c r="AG73">
        <v>22</v>
      </c>
      <c r="AH73">
        <v>-0.76</v>
      </c>
      <c r="AI73">
        <v>5</v>
      </c>
      <c r="AJ73">
        <v>8.3333333333333339</v>
      </c>
      <c r="AK73">
        <v>12</v>
      </c>
      <c r="AL73">
        <v>0.74400000000000011</v>
      </c>
      <c r="AM73">
        <v>7</v>
      </c>
      <c r="AN73">
        <v>2.48</v>
      </c>
      <c r="AO73">
        <v>7</v>
      </c>
      <c r="AP73">
        <v>5.9599999999999991</v>
      </c>
      <c r="AQ73">
        <v>6</v>
      </c>
      <c r="AR73">
        <v>0.96</v>
      </c>
      <c r="AS73">
        <v>30</v>
      </c>
      <c r="AT73">
        <v>29.666666666666668</v>
      </c>
      <c r="AU73">
        <v>32</v>
      </c>
      <c r="AV73">
        <v>-13.444000000000001</v>
      </c>
      <c r="AW73">
        <v>31</v>
      </c>
      <c r="AX73">
        <v>-47.16</v>
      </c>
      <c r="AY73">
        <v>26</v>
      </c>
      <c r="AZ73">
        <v>-3.1599999999999993</v>
      </c>
      <c r="BA73">
        <v>32</v>
      </c>
      <c r="BB73">
        <v>30</v>
      </c>
      <c r="BC73">
        <v>32</v>
      </c>
      <c r="BD73">
        <v>-7.5519999999999996</v>
      </c>
      <c r="BE73">
        <v>32</v>
      </c>
      <c r="BF73">
        <v>-26.560000000000002</v>
      </c>
      <c r="BG73">
        <v>26</v>
      </c>
      <c r="BH73">
        <v>-1.3199999999999996</v>
      </c>
      <c r="BI73">
        <v>29</v>
      </c>
      <c r="BJ73">
        <v>26.666666666666668</v>
      </c>
      <c r="BK73">
        <v>29</v>
      </c>
      <c r="BL73">
        <v>-4.7000000000000011</v>
      </c>
      <c r="BM73">
        <v>29</v>
      </c>
      <c r="BN73">
        <v>-18.839999999999996</v>
      </c>
      <c r="BO73">
        <v>22</v>
      </c>
      <c r="BP73">
        <v>-0.47999999999999987</v>
      </c>
      <c r="BQ73">
        <v>21</v>
      </c>
      <c r="BR73">
        <v>21.333333333333332</v>
      </c>
      <c r="BS73">
        <v>20</v>
      </c>
      <c r="BT73">
        <v>-1.1919999999999997</v>
      </c>
      <c r="BU73">
        <v>19</v>
      </c>
      <c r="BV73">
        <v>-1.7600000000000002</v>
      </c>
      <c r="BW73">
        <v>25</v>
      </c>
      <c r="BX73">
        <v>-1.3599999999999999</v>
      </c>
      <c r="BY73">
        <v>28</v>
      </c>
      <c r="BZ73">
        <v>27</v>
      </c>
      <c r="CA73">
        <v>30</v>
      </c>
      <c r="CB73">
        <v>-6.4640000000000031</v>
      </c>
      <c r="CC73">
        <v>25</v>
      </c>
      <c r="CD73">
        <v>-17.04</v>
      </c>
      <c r="CE73">
        <v>26</v>
      </c>
      <c r="CF73">
        <v>-1.5200000000000002</v>
      </c>
      <c r="CG73">
        <v>16</v>
      </c>
      <c r="CH73">
        <v>17.333333333333332</v>
      </c>
      <c r="CI73">
        <v>18</v>
      </c>
      <c r="CJ73">
        <v>-0.54799999999999971</v>
      </c>
      <c r="CK73">
        <v>4.5200000000000005</v>
      </c>
      <c r="CL73">
        <v>-0.88000000000000012</v>
      </c>
      <c r="CM73">
        <v>4</v>
      </c>
      <c r="CN73">
        <v>6.5</v>
      </c>
      <c r="CO73">
        <v>10</v>
      </c>
      <c r="CP73">
        <v>0.91999999999999993</v>
      </c>
      <c r="CQ73">
        <v>3</v>
      </c>
      <c r="CR73">
        <v>0.76</v>
      </c>
      <c r="CS73">
        <v>5.64</v>
      </c>
      <c r="CT73">
        <v>28</v>
      </c>
      <c r="CU73">
        <v>23.25</v>
      </c>
      <c r="CV73">
        <v>24</v>
      </c>
      <c r="CW73">
        <v>-4.422687056042534E-2</v>
      </c>
      <c r="CX73">
        <v>26</v>
      </c>
      <c r="CY73">
        <v>-1.4101422701022714E-2</v>
      </c>
      <c r="CZ73">
        <v>31</v>
      </c>
      <c r="DA73">
        <v>0.12545054945054948</v>
      </c>
      <c r="DB73">
        <v>12</v>
      </c>
      <c r="DC73">
        <v>0.59999999999999987</v>
      </c>
      <c r="DD73">
        <v>-3.2400000000000007</v>
      </c>
      <c r="DE73">
        <v>-7.08</v>
      </c>
      <c r="DF73">
        <v>3.6</v>
      </c>
      <c r="DG73">
        <v>-44.720000000000006</v>
      </c>
      <c r="DH73">
        <v>-31</v>
      </c>
      <c r="DI73">
        <v>2.9599999999999995</v>
      </c>
      <c r="DJ73">
        <v>-1.9599999999999997</v>
      </c>
      <c r="DK73">
        <v>-14.719999999999999</v>
      </c>
      <c r="DL73">
        <v>28</v>
      </c>
      <c r="DM73">
        <v>-9.0704000000000011</v>
      </c>
      <c r="DN73">
        <v>-4.8656799999999993</v>
      </c>
      <c r="DO73">
        <v>-33.96</v>
      </c>
      <c r="DP73">
        <v>5</v>
      </c>
      <c r="DQ73">
        <v>-2.5568</v>
      </c>
      <c r="DR73">
        <v>-4.0399999999999991</v>
      </c>
      <c r="DS73">
        <v>-1.0473999999999999</v>
      </c>
      <c r="DT73">
        <v>-2.3668</v>
      </c>
      <c r="DU73" t="s">
        <v>272</v>
      </c>
      <c r="DV73" t="s">
        <v>277</v>
      </c>
      <c r="DW73" t="s">
        <v>528</v>
      </c>
      <c r="DX73">
        <v>21</v>
      </c>
      <c r="DY73">
        <v>-1.7879999999999989</v>
      </c>
      <c r="DZ73">
        <v>10</v>
      </c>
      <c r="EA73">
        <v>13</v>
      </c>
      <c r="EB73">
        <v>13</v>
      </c>
      <c r="EC73">
        <v>0.9479999999999994</v>
      </c>
      <c r="ED73">
        <v>7</v>
      </c>
      <c r="EE73">
        <v>2.2800000000000002</v>
      </c>
      <c r="EF73">
        <v>5</v>
      </c>
      <c r="EG73">
        <v>27.84</v>
      </c>
      <c r="EH73">
        <v>27</v>
      </c>
      <c r="EI73">
        <v>-1.3200000000000003</v>
      </c>
      <c r="EJ73">
        <v>8</v>
      </c>
      <c r="EK73">
        <v>11</v>
      </c>
      <c r="EL73">
        <v>18</v>
      </c>
      <c r="EM73">
        <v>-0.4680000000000003</v>
      </c>
      <c r="EN73">
        <v>1</v>
      </c>
      <c r="EO73">
        <v>4</v>
      </c>
      <c r="EP73">
        <v>4</v>
      </c>
      <c r="EQ73">
        <v>21.28</v>
      </c>
      <c r="ER73">
        <v>21</v>
      </c>
      <c r="ES73">
        <v>-0.44000000000000006</v>
      </c>
      <c r="ET73">
        <v>10</v>
      </c>
      <c r="EU73">
        <v>13.333333333333334</v>
      </c>
      <c r="EV73">
        <v>7</v>
      </c>
      <c r="EW73">
        <v>1.4159999999999997</v>
      </c>
      <c r="EX73">
        <v>28</v>
      </c>
      <c r="EY73">
        <v>-1.72</v>
      </c>
      <c r="EZ73">
        <v>5</v>
      </c>
      <c r="FA73">
        <v>6.56</v>
      </c>
      <c r="FB73">
        <v>29</v>
      </c>
      <c r="FC73">
        <v>-0.88000000000000012</v>
      </c>
      <c r="FD73">
        <v>8</v>
      </c>
      <c r="FE73">
        <v>10.666666666666666</v>
      </c>
      <c r="FF73">
        <v>12</v>
      </c>
      <c r="FG73">
        <v>0.15199999999999947</v>
      </c>
      <c r="FH73">
        <v>11</v>
      </c>
      <c r="FI73">
        <v>4.4000000000000004</v>
      </c>
      <c r="FJ73">
        <v>9</v>
      </c>
      <c r="FK73">
        <v>0.64000000000000035</v>
      </c>
      <c r="FL73">
        <v>7</v>
      </c>
      <c r="FM73">
        <v>8.3333333333333339</v>
      </c>
      <c r="FN73">
        <v>6</v>
      </c>
      <c r="FO73">
        <v>3.9231999999999991</v>
      </c>
      <c r="FP73">
        <v>11</v>
      </c>
      <c r="FQ73">
        <v>7.24</v>
      </c>
      <c r="FR73">
        <v>8</v>
      </c>
      <c r="FS73">
        <v>0.88000000000000023</v>
      </c>
      <c r="FT73">
        <v>22</v>
      </c>
      <c r="FU73">
        <v>21</v>
      </c>
      <c r="FV73">
        <v>23</v>
      </c>
      <c r="FW73">
        <v>-2.4032</v>
      </c>
      <c r="FX73">
        <v>21</v>
      </c>
      <c r="FY73">
        <v>-1.7600000000000002</v>
      </c>
      <c r="FZ73">
        <v>19</v>
      </c>
      <c r="GA73">
        <v>-0.23999999999999985</v>
      </c>
      <c r="GB73">
        <v>21</v>
      </c>
      <c r="GC73">
        <v>19.333333333333332</v>
      </c>
      <c r="GD73">
        <v>24</v>
      </c>
      <c r="GE73">
        <v>-1.3679999999999997</v>
      </c>
      <c r="GF73">
        <v>18</v>
      </c>
      <c r="GG73">
        <v>-1.0799999999999996</v>
      </c>
      <c r="GH73">
        <v>16</v>
      </c>
      <c r="GI73">
        <v>4.4408920985006264E-17</v>
      </c>
      <c r="GJ73">
        <v>15</v>
      </c>
      <c r="GK73">
        <v>17</v>
      </c>
      <c r="GL73">
        <v>24</v>
      </c>
      <c r="GM73">
        <v>-2.7680000000000007</v>
      </c>
      <c r="GN73">
        <v>16</v>
      </c>
      <c r="GO73">
        <v>-2.0800000000000041</v>
      </c>
      <c r="GP73">
        <v>11</v>
      </c>
      <c r="GQ73">
        <v>0.36000000000000015</v>
      </c>
      <c r="GR73">
        <v>7</v>
      </c>
      <c r="GS73">
        <v>9</v>
      </c>
      <c r="GT73">
        <v>14</v>
      </c>
      <c r="GU73">
        <v>0.10400000000000027</v>
      </c>
      <c r="GV73">
        <v>7.6</v>
      </c>
      <c r="GW73">
        <v>1.36</v>
      </c>
      <c r="GX73">
        <v>1</v>
      </c>
      <c r="GY73">
        <v>2</v>
      </c>
      <c r="GZ73">
        <v>3</v>
      </c>
      <c r="HA73">
        <v>2.7600000000000002</v>
      </c>
      <c r="HB73">
        <v>1</v>
      </c>
      <c r="HC73">
        <v>1.1199999999999999</v>
      </c>
      <c r="HD73">
        <v>3.3600000000000003</v>
      </c>
      <c r="HE73">
        <v>31</v>
      </c>
      <c r="HF73">
        <v>26.75</v>
      </c>
      <c r="HG73">
        <v>30</v>
      </c>
      <c r="HH73">
        <v>-5.9267428381285944E-2</v>
      </c>
      <c r="HI73">
        <v>30</v>
      </c>
      <c r="HJ73">
        <v>-2.8129321137902129E-2</v>
      </c>
      <c r="HK73">
        <v>17</v>
      </c>
      <c r="HL73">
        <v>3.0017302958479262E-3</v>
      </c>
      <c r="HM73">
        <v>30</v>
      </c>
      <c r="HN73">
        <v>-2.6399999999999997</v>
      </c>
      <c r="HO73">
        <v>3.0000000000000044</v>
      </c>
      <c r="HP73">
        <v>7.999999999999971E-2</v>
      </c>
      <c r="HQ73">
        <v>-0.36</v>
      </c>
      <c r="HR73">
        <v>20.840000000000011</v>
      </c>
      <c r="HS73">
        <v>-2.680000000000001</v>
      </c>
      <c r="HT73">
        <v>25.56</v>
      </c>
      <c r="HU73">
        <v>1.2799999999999996</v>
      </c>
      <c r="HV73">
        <v>-3.3199999999999994</v>
      </c>
      <c r="HW73">
        <v>21</v>
      </c>
      <c r="HX73">
        <v>-2.7359999999999984</v>
      </c>
      <c r="HY73">
        <v>-0.78039999999999954</v>
      </c>
      <c r="HZ73">
        <v>-28.24</v>
      </c>
      <c r="IA73">
        <v>12</v>
      </c>
      <c r="IB73">
        <v>0.27200000000000008</v>
      </c>
      <c r="IC73">
        <v>2.0000000000000004</v>
      </c>
    </row>
    <row r="74" spans="1:237" x14ac:dyDescent="0.2">
      <c r="A74" s="19">
        <v>44122</v>
      </c>
      <c r="B74" s="13" t="s">
        <v>252</v>
      </c>
      <c r="C74" s="41" t="s">
        <v>297</v>
      </c>
      <c r="D74" s="14" t="s">
        <v>299</v>
      </c>
      <c r="E74">
        <v>11.5</v>
      </c>
      <c r="F74">
        <v>23.3</v>
      </c>
      <c r="G74">
        <v>4.0999999999999996</v>
      </c>
      <c r="H74">
        <v>0</v>
      </c>
      <c r="I74">
        <v>3</v>
      </c>
      <c r="J74">
        <v>53</v>
      </c>
      <c r="K74" t="s">
        <v>734</v>
      </c>
      <c r="L74" t="s">
        <v>297</v>
      </c>
      <c r="M74">
        <v>6</v>
      </c>
      <c r="N74">
        <v>3.6328000000000005</v>
      </c>
      <c r="O74">
        <v>24</v>
      </c>
      <c r="P74">
        <v>20.5</v>
      </c>
      <c r="Q74">
        <v>17</v>
      </c>
      <c r="R74">
        <v>0.12699999999999967</v>
      </c>
      <c r="S74">
        <v>31</v>
      </c>
      <c r="T74">
        <v>-4.84</v>
      </c>
      <c r="U74">
        <v>32</v>
      </c>
      <c r="V74">
        <v>-34.879999999999995</v>
      </c>
      <c r="W74">
        <v>2</v>
      </c>
      <c r="X74">
        <v>2.5099999999999998</v>
      </c>
      <c r="Y74">
        <v>16</v>
      </c>
      <c r="Z74">
        <v>15.333333333333334</v>
      </c>
      <c r="AA74">
        <v>15</v>
      </c>
      <c r="AB74">
        <v>0.91999999999999993</v>
      </c>
      <c r="AC74">
        <v>20</v>
      </c>
      <c r="AD74">
        <v>-1.0799999999999994</v>
      </c>
      <c r="AE74">
        <v>25</v>
      </c>
      <c r="AF74">
        <v>-12.9</v>
      </c>
      <c r="AG74">
        <v>6</v>
      </c>
      <c r="AH74">
        <v>1.23</v>
      </c>
      <c r="AI74">
        <v>20</v>
      </c>
      <c r="AJ74">
        <v>18.666666666666668</v>
      </c>
      <c r="AK74">
        <v>20</v>
      </c>
      <c r="AL74">
        <v>-0.79300000000000026</v>
      </c>
      <c r="AM74">
        <v>32</v>
      </c>
      <c r="AN74">
        <v>-3.7600000000000007</v>
      </c>
      <c r="AO74">
        <v>32</v>
      </c>
      <c r="AP74">
        <v>-21.979999999999997</v>
      </c>
      <c r="AQ74">
        <v>4</v>
      </c>
      <c r="AR74">
        <v>1.28</v>
      </c>
      <c r="AS74">
        <v>16</v>
      </c>
      <c r="AT74">
        <v>14.666666666666666</v>
      </c>
      <c r="AU74">
        <v>11</v>
      </c>
      <c r="AV74">
        <v>3.4221999999999988</v>
      </c>
      <c r="AW74">
        <v>15</v>
      </c>
      <c r="AX74">
        <v>-2.7199999999999989</v>
      </c>
      <c r="AY74">
        <v>18</v>
      </c>
      <c r="AZ74">
        <v>-0.49</v>
      </c>
      <c r="BA74">
        <v>27</v>
      </c>
      <c r="BB74">
        <v>26.333333333333332</v>
      </c>
      <c r="BC74">
        <v>22</v>
      </c>
      <c r="BD74">
        <v>-1.823800000000001</v>
      </c>
      <c r="BE74">
        <v>25</v>
      </c>
      <c r="BF74">
        <v>-10.99</v>
      </c>
      <c r="BG74">
        <v>32</v>
      </c>
      <c r="BH74">
        <v>-2.4500000000000002</v>
      </c>
      <c r="BI74">
        <v>10</v>
      </c>
      <c r="BJ74">
        <v>12</v>
      </c>
      <c r="BK74">
        <v>10</v>
      </c>
      <c r="BL74">
        <v>1.6010000000000002</v>
      </c>
      <c r="BM74">
        <v>13</v>
      </c>
      <c r="BN74">
        <v>0.81000000000000227</v>
      </c>
      <c r="BO74">
        <v>13</v>
      </c>
      <c r="BP74">
        <v>0.33000000000000007</v>
      </c>
      <c r="BQ74">
        <v>3</v>
      </c>
      <c r="BR74">
        <v>4.666666666666667</v>
      </c>
      <c r="BS74">
        <v>4</v>
      </c>
      <c r="BT74">
        <v>3.6449999999999996</v>
      </c>
      <c r="BU74">
        <v>7</v>
      </c>
      <c r="BV74">
        <v>7.4599999999999991</v>
      </c>
      <c r="BW74">
        <v>3</v>
      </c>
      <c r="BX74">
        <v>1.6300000000000001</v>
      </c>
      <c r="BY74">
        <v>6</v>
      </c>
      <c r="BZ74">
        <v>7.666666666666667</v>
      </c>
      <c r="CA74">
        <v>7</v>
      </c>
      <c r="CB74">
        <v>3.5279999999999987</v>
      </c>
      <c r="CC74">
        <v>7</v>
      </c>
      <c r="CD74">
        <v>15.979999999999999</v>
      </c>
      <c r="CE74">
        <v>9</v>
      </c>
      <c r="CF74">
        <v>1.06</v>
      </c>
      <c r="CG74">
        <v>24</v>
      </c>
      <c r="CH74">
        <v>24.666666666666668</v>
      </c>
      <c r="CI74">
        <v>26</v>
      </c>
      <c r="CJ74">
        <v>-2.9329999999999998</v>
      </c>
      <c r="CK74">
        <v>-16.029999999999998</v>
      </c>
      <c r="CL74">
        <v>-0.58000000000000007</v>
      </c>
      <c r="CM74">
        <v>12</v>
      </c>
      <c r="CN74">
        <v>12.5</v>
      </c>
      <c r="CO74">
        <v>17</v>
      </c>
      <c r="CP74">
        <v>-0.26999999999999991</v>
      </c>
      <c r="CQ74">
        <v>8</v>
      </c>
      <c r="CR74">
        <v>0.28000000000000003</v>
      </c>
      <c r="CS74">
        <v>-2.95</v>
      </c>
      <c r="CT74">
        <v>12</v>
      </c>
      <c r="CU74">
        <v>14.25</v>
      </c>
      <c r="CV74">
        <v>25</v>
      </c>
      <c r="CW74">
        <v>-5.6304330958634061E-2</v>
      </c>
      <c r="CX74">
        <v>17</v>
      </c>
      <c r="CY74">
        <v>-3.2968263194284599E-3</v>
      </c>
      <c r="CZ74">
        <v>4</v>
      </c>
      <c r="DA74">
        <v>-0.12734776334776335</v>
      </c>
      <c r="DB74">
        <v>11</v>
      </c>
      <c r="DC74">
        <v>0.73000000000000009</v>
      </c>
      <c r="DD74">
        <v>-1.2100000000000009</v>
      </c>
      <c r="DE74">
        <v>-0.46000000000000085</v>
      </c>
      <c r="DF74">
        <v>-0.91999999999999993</v>
      </c>
      <c r="DG74">
        <v>6.5600000000000023</v>
      </c>
      <c r="DH74">
        <v>44.370000000000005</v>
      </c>
      <c r="DI74">
        <v>-43.44</v>
      </c>
      <c r="DJ74">
        <v>4.8699999999999992</v>
      </c>
      <c r="DK74">
        <v>0.76000000000000012</v>
      </c>
      <c r="DL74">
        <v>10</v>
      </c>
      <c r="DM74">
        <v>3.5058000000000007</v>
      </c>
      <c r="DN74">
        <v>0.76090000000000013</v>
      </c>
      <c r="DO74">
        <v>87.81</v>
      </c>
      <c r="DP74">
        <v>23</v>
      </c>
      <c r="DQ74">
        <v>0.49737499999999985</v>
      </c>
      <c r="DR74">
        <v>-1.07</v>
      </c>
      <c r="DS74">
        <v>0.74149374999999995</v>
      </c>
      <c r="DT74">
        <v>1.7876749999999999</v>
      </c>
      <c r="DU74" t="s">
        <v>299</v>
      </c>
      <c r="DV74" t="s">
        <v>258</v>
      </c>
      <c r="DW74" t="s">
        <v>478</v>
      </c>
      <c r="DX74">
        <v>22</v>
      </c>
      <c r="DY74">
        <v>-1.8537500000000016</v>
      </c>
      <c r="DZ74">
        <v>5</v>
      </c>
      <c r="EA74">
        <v>10.25</v>
      </c>
      <c r="EB74">
        <v>6</v>
      </c>
      <c r="EC74">
        <v>3.6350000000000007</v>
      </c>
      <c r="ED74">
        <v>2</v>
      </c>
      <c r="EE74">
        <v>4.7375000000000007</v>
      </c>
      <c r="EF74">
        <v>1</v>
      </c>
      <c r="EG74">
        <v>51.237499999999997</v>
      </c>
      <c r="EH74">
        <v>32</v>
      </c>
      <c r="EI74">
        <v>-2.5124999999999997</v>
      </c>
      <c r="EJ74">
        <v>6</v>
      </c>
      <c r="EK74">
        <v>10.25</v>
      </c>
      <c r="EL74">
        <v>9</v>
      </c>
      <c r="EM74">
        <v>1.7287499999999998</v>
      </c>
      <c r="EN74">
        <v>3</v>
      </c>
      <c r="EO74">
        <v>2.4875000000000003</v>
      </c>
      <c r="EP74">
        <v>1</v>
      </c>
      <c r="EQ74">
        <v>31.524999999999999</v>
      </c>
      <c r="ER74">
        <v>28</v>
      </c>
      <c r="ES74">
        <v>-1.1375</v>
      </c>
      <c r="ET74">
        <v>1</v>
      </c>
      <c r="EU74">
        <v>2.6666666666666665</v>
      </c>
      <c r="EV74">
        <v>5</v>
      </c>
      <c r="EW74">
        <v>1.9062500000000011</v>
      </c>
      <c r="EX74">
        <v>2</v>
      </c>
      <c r="EY74">
        <v>2.25</v>
      </c>
      <c r="EZ74">
        <v>1</v>
      </c>
      <c r="FA74">
        <v>19.712499999999999</v>
      </c>
      <c r="FB74">
        <v>31</v>
      </c>
      <c r="FC74">
        <v>-1.3749999999999998</v>
      </c>
      <c r="FD74">
        <v>18</v>
      </c>
      <c r="FE74">
        <v>18</v>
      </c>
      <c r="FF74">
        <v>11</v>
      </c>
      <c r="FG74">
        <v>0.19250000000000123</v>
      </c>
      <c r="FH74">
        <v>15</v>
      </c>
      <c r="FI74">
        <v>2.4375</v>
      </c>
      <c r="FJ74">
        <v>28</v>
      </c>
      <c r="FK74">
        <v>-2.5</v>
      </c>
      <c r="FL74">
        <v>26</v>
      </c>
      <c r="FM74">
        <v>26</v>
      </c>
      <c r="FN74">
        <v>25</v>
      </c>
      <c r="FO74">
        <v>-3.4649999999999999</v>
      </c>
      <c r="FP74">
        <v>24</v>
      </c>
      <c r="FQ74">
        <v>-9.85</v>
      </c>
      <c r="FR74">
        <v>29</v>
      </c>
      <c r="FS74">
        <v>-2.125</v>
      </c>
      <c r="FT74">
        <v>1</v>
      </c>
      <c r="FU74">
        <v>2</v>
      </c>
      <c r="FV74">
        <v>1</v>
      </c>
      <c r="FW74">
        <v>5.9675000000000011</v>
      </c>
      <c r="FX74">
        <v>1</v>
      </c>
      <c r="FY74">
        <v>28.824999999999999</v>
      </c>
      <c r="FZ74">
        <v>4</v>
      </c>
      <c r="GA74">
        <v>1.2500000000000002</v>
      </c>
      <c r="GB74">
        <v>31</v>
      </c>
      <c r="GC74">
        <v>30.666666666666668</v>
      </c>
      <c r="GD74">
        <v>29</v>
      </c>
      <c r="GE74">
        <v>-2.31</v>
      </c>
      <c r="GF74">
        <v>31</v>
      </c>
      <c r="GG74">
        <v>-16.537500000000001</v>
      </c>
      <c r="GH74">
        <v>32</v>
      </c>
      <c r="GI74">
        <v>-1.625</v>
      </c>
      <c r="GJ74">
        <v>16</v>
      </c>
      <c r="GK74">
        <v>17.333333333333332</v>
      </c>
      <c r="GL74">
        <v>13</v>
      </c>
      <c r="GM74">
        <v>0.66624999999999979</v>
      </c>
      <c r="GN74">
        <v>10</v>
      </c>
      <c r="GO74">
        <v>6.9125000000000014</v>
      </c>
      <c r="GP74">
        <v>29</v>
      </c>
      <c r="GQ74">
        <v>-1.375</v>
      </c>
      <c r="GR74">
        <v>29</v>
      </c>
      <c r="GS74">
        <v>28.333333333333332</v>
      </c>
      <c r="GT74">
        <v>29</v>
      </c>
      <c r="GU74">
        <v>-3.63625</v>
      </c>
      <c r="GV74">
        <v>-18.362500000000001</v>
      </c>
      <c r="GW74">
        <v>-0.79999999999999982</v>
      </c>
      <c r="GX74">
        <v>22</v>
      </c>
      <c r="GY74">
        <v>23</v>
      </c>
      <c r="GZ74">
        <v>21</v>
      </c>
      <c r="HA74">
        <v>-0.77500000000000013</v>
      </c>
      <c r="HB74">
        <v>25</v>
      </c>
      <c r="HC74">
        <v>-0.60000000000000009</v>
      </c>
      <c r="HD74">
        <v>0.23749999999999982</v>
      </c>
      <c r="HE74">
        <v>26</v>
      </c>
      <c r="HF74">
        <v>21</v>
      </c>
      <c r="HG74">
        <v>19</v>
      </c>
      <c r="HH74">
        <v>-2.6148235069413453E-3</v>
      </c>
      <c r="HI74">
        <v>16</v>
      </c>
      <c r="HJ74">
        <v>-1.4550090186385067E-3</v>
      </c>
      <c r="HK74">
        <v>28</v>
      </c>
      <c r="HL74">
        <v>7.1160714285714285E-2</v>
      </c>
      <c r="HM74">
        <v>21</v>
      </c>
      <c r="HN74">
        <v>-0.92499999999999993</v>
      </c>
      <c r="HO74">
        <v>8.7499999999998579E-2</v>
      </c>
      <c r="HP74">
        <v>2.1124999999999998</v>
      </c>
      <c r="HQ74">
        <v>0.83750000000000002</v>
      </c>
      <c r="HR74">
        <v>22.837499999999991</v>
      </c>
      <c r="HS74">
        <v>-21.775000000000006</v>
      </c>
      <c r="HT74">
        <v>51.012500000000003</v>
      </c>
      <c r="HU74">
        <v>-0.71249999999999991</v>
      </c>
      <c r="HV74">
        <v>-5.6874999999999982</v>
      </c>
      <c r="HW74">
        <v>28</v>
      </c>
      <c r="HX74">
        <v>-5.4887500000000022</v>
      </c>
      <c r="HY74">
        <v>-2.8770000000000007</v>
      </c>
      <c r="HZ74">
        <v>-72.787500000000009</v>
      </c>
      <c r="IA74">
        <v>5</v>
      </c>
      <c r="IB74">
        <v>-0.3046875</v>
      </c>
      <c r="IC74">
        <v>-3.3</v>
      </c>
    </row>
    <row r="75" spans="1:237" x14ac:dyDescent="0.2">
      <c r="A75" s="19">
        <v>44122</v>
      </c>
      <c r="B75" s="13" t="s">
        <v>252</v>
      </c>
      <c r="C75" s="41" t="s">
        <v>288</v>
      </c>
      <c r="D75" s="14" t="s">
        <v>276</v>
      </c>
      <c r="E75">
        <v>5.5</v>
      </c>
      <c r="F75">
        <v>11.9</v>
      </c>
      <c r="G75">
        <v>0</v>
      </c>
      <c r="H75">
        <v>22.5</v>
      </c>
      <c r="I75">
        <v>-5</v>
      </c>
      <c r="J75">
        <v>56.5</v>
      </c>
      <c r="L75" t="s">
        <v>288</v>
      </c>
      <c r="M75">
        <v>2</v>
      </c>
      <c r="N75">
        <v>8.1826000000000008</v>
      </c>
      <c r="O75">
        <v>23</v>
      </c>
      <c r="P75">
        <v>20.25</v>
      </c>
      <c r="Q75">
        <v>25</v>
      </c>
      <c r="R75">
        <v>-4.4420000000000011</v>
      </c>
      <c r="S75">
        <v>19</v>
      </c>
      <c r="T75">
        <v>-1.0499999999999996</v>
      </c>
      <c r="U75">
        <v>20</v>
      </c>
      <c r="V75">
        <v>-12.360000000000001</v>
      </c>
      <c r="W75">
        <v>17</v>
      </c>
      <c r="X75">
        <v>-0.11999999999999994</v>
      </c>
      <c r="Y75">
        <v>20</v>
      </c>
      <c r="Z75">
        <v>18.666666666666668</v>
      </c>
      <c r="AA75">
        <v>23</v>
      </c>
      <c r="AB75">
        <v>-2.596000000000001</v>
      </c>
      <c r="AC75">
        <v>10</v>
      </c>
      <c r="AD75">
        <v>0.78000000000000047</v>
      </c>
      <c r="AE75">
        <v>16</v>
      </c>
      <c r="AF75">
        <v>1.5700000000000003</v>
      </c>
      <c r="AG75">
        <v>17</v>
      </c>
      <c r="AH75">
        <v>-1.9999999999999928E-2</v>
      </c>
      <c r="AI75">
        <v>26</v>
      </c>
      <c r="AJ75">
        <v>23.666666666666668</v>
      </c>
      <c r="AK75">
        <v>25</v>
      </c>
      <c r="AL75">
        <v>-1.8460000000000001</v>
      </c>
      <c r="AM75">
        <v>24</v>
      </c>
      <c r="AN75">
        <v>-1.83</v>
      </c>
      <c r="AO75">
        <v>31</v>
      </c>
      <c r="AP75">
        <v>-13.930000000000001</v>
      </c>
      <c r="AQ75">
        <v>15</v>
      </c>
      <c r="AR75">
        <v>-0.1</v>
      </c>
      <c r="AS75">
        <v>8</v>
      </c>
      <c r="AT75">
        <v>10</v>
      </c>
      <c r="AU75">
        <v>7</v>
      </c>
      <c r="AV75">
        <v>6.52</v>
      </c>
      <c r="AW75">
        <v>11</v>
      </c>
      <c r="AX75">
        <v>8.9</v>
      </c>
      <c r="AY75">
        <v>12</v>
      </c>
      <c r="AZ75">
        <v>0.61000000000000032</v>
      </c>
      <c r="BA75">
        <v>10</v>
      </c>
      <c r="BB75">
        <v>11</v>
      </c>
      <c r="BC75">
        <v>9</v>
      </c>
      <c r="BD75">
        <v>2.7479999999999998</v>
      </c>
      <c r="BE75">
        <v>11</v>
      </c>
      <c r="BF75">
        <v>5.3</v>
      </c>
      <c r="BG75">
        <v>13</v>
      </c>
      <c r="BH75">
        <v>0.2900000000000002</v>
      </c>
      <c r="BI75">
        <v>11</v>
      </c>
      <c r="BJ75">
        <v>14.666666666666666</v>
      </c>
      <c r="BK75">
        <v>9</v>
      </c>
      <c r="BL75">
        <v>2.31</v>
      </c>
      <c r="BM75">
        <v>14</v>
      </c>
      <c r="BN75">
        <v>-1.3599999999999994</v>
      </c>
      <c r="BO75">
        <v>21</v>
      </c>
      <c r="BP75">
        <v>-0.39</v>
      </c>
      <c r="BQ75">
        <v>9</v>
      </c>
      <c r="BR75">
        <v>10</v>
      </c>
      <c r="BS75">
        <v>8</v>
      </c>
      <c r="BT75">
        <v>1.4619999999999995</v>
      </c>
      <c r="BU75">
        <v>10</v>
      </c>
      <c r="BV75">
        <v>4.96</v>
      </c>
      <c r="BW75">
        <v>12</v>
      </c>
      <c r="BX75">
        <v>0.71000000000000008</v>
      </c>
      <c r="BY75">
        <v>4</v>
      </c>
      <c r="BZ75">
        <v>4</v>
      </c>
      <c r="CA75">
        <v>3</v>
      </c>
      <c r="CB75">
        <v>8.6879999999999988</v>
      </c>
      <c r="CC75">
        <v>3</v>
      </c>
      <c r="CD75">
        <v>36.680000000000007</v>
      </c>
      <c r="CE75">
        <v>6</v>
      </c>
      <c r="CF75">
        <v>2.1399999999999997</v>
      </c>
      <c r="CG75">
        <v>1</v>
      </c>
      <c r="CH75">
        <v>1</v>
      </c>
      <c r="CI75">
        <v>1</v>
      </c>
      <c r="CJ75">
        <v>9.7749999999999986</v>
      </c>
      <c r="CK75">
        <v>43.75</v>
      </c>
      <c r="CL75">
        <v>4.16</v>
      </c>
      <c r="CM75">
        <v>17</v>
      </c>
      <c r="CN75">
        <v>18.5</v>
      </c>
      <c r="CO75">
        <v>14</v>
      </c>
      <c r="CP75">
        <v>0.3999999999999998</v>
      </c>
      <c r="CQ75">
        <v>23</v>
      </c>
      <c r="CR75">
        <v>-0.22000000000000003</v>
      </c>
      <c r="CS75">
        <v>1.8200000000000003</v>
      </c>
      <c r="CT75">
        <v>25</v>
      </c>
      <c r="CU75">
        <v>21.5</v>
      </c>
      <c r="CV75">
        <v>10</v>
      </c>
      <c r="CW75">
        <v>1.5137692053602447E-2</v>
      </c>
      <c r="CX75">
        <v>31</v>
      </c>
      <c r="CY75">
        <v>-2.6082245130638115E-2</v>
      </c>
      <c r="CZ75">
        <v>15</v>
      </c>
      <c r="DA75">
        <v>1.6194805194805217E-2</v>
      </c>
      <c r="DB75">
        <v>30</v>
      </c>
      <c r="DC75">
        <v>-2.96</v>
      </c>
      <c r="DD75">
        <v>0.85</v>
      </c>
      <c r="DE75">
        <v>4.99</v>
      </c>
      <c r="DF75">
        <v>0.49000000000000005</v>
      </c>
      <c r="DG75">
        <v>35.589999999999996</v>
      </c>
      <c r="DH75">
        <v>31.840000000000003</v>
      </c>
      <c r="DI75">
        <v>-9.6599999999999966</v>
      </c>
      <c r="DJ75">
        <v>5.839999999999999</v>
      </c>
      <c r="DK75">
        <v>7.5699999999999985</v>
      </c>
      <c r="DL75">
        <v>3</v>
      </c>
      <c r="DM75">
        <v>12.624600000000001</v>
      </c>
      <c r="DN75">
        <v>7.1165199999999995</v>
      </c>
      <c r="DO75">
        <v>41.5</v>
      </c>
      <c r="DP75">
        <v>30</v>
      </c>
      <c r="DQ75">
        <v>2.5544499999999997</v>
      </c>
      <c r="DR75">
        <v>4.7700000000000005</v>
      </c>
      <c r="DS75">
        <v>0.33574999999999988</v>
      </c>
      <c r="DT75">
        <v>-0.38037499999999974</v>
      </c>
      <c r="DU75" t="s">
        <v>276</v>
      </c>
      <c r="DV75" t="s">
        <v>261</v>
      </c>
      <c r="DW75" t="s">
        <v>455</v>
      </c>
      <c r="DX75">
        <v>7</v>
      </c>
      <c r="DY75">
        <v>2.7209999999999988</v>
      </c>
      <c r="DZ75">
        <v>24</v>
      </c>
      <c r="EA75">
        <v>21.75</v>
      </c>
      <c r="EB75">
        <v>21</v>
      </c>
      <c r="EC75">
        <v>-1.1279999999999994</v>
      </c>
      <c r="ED75">
        <v>30</v>
      </c>
      <c r="EE75">
        <v>-4.12</v>
      </c>
      <c r="EF75">
        <v>25</v>
      </c>
      <c r="EG75">
        <v>-16.809999999999999</v>
      </c>
      <c r="EH75">
        <v>11</v>
      </c>
      <c r="EI75">
        <v>0.59000000000000008</v>
      </c>
      <c r="EJ75">
        <v>25</v>
      </c>
      <c r="EK75">
        <v>22</v>
      </c>
      <c r="EL75">
        <v>20</v>
      </c>
      <c r="EM75">
        <v>-1.1599999999999997</v>
      </c>
      <c r="EN75">
        <v>30</v>
      </c>
      <c r="EO75">
        <v>-4.13</v>
      </c>
      <c r="EP75">
        <v>24</v>
      </c>
      <c r="EQ75">
        <v>-10.959999999999999</v>
      </c>
      <c r="ER75">
        <v>14</v>
      </c>
      <c r="ES75">
        <v>0.18</v>
      </c>
      <c r="ET75">
        <v>22</v>
      </c>
      <c r="EU75">
        <v>19.333333333333332</v>
      </c>
      <c r="EV75">
        <v>16</v>
      </c>
      <c r="EW75">
        <v>3.2000000000000209E-2</v>
      </c>
      <c r="EX75">
        <v>17</v>
      </c>
      <c r="EY75">
        <v>9.9999999999999638E-3</v>
      </c>
      <c r="EZ75">
        <v>25</v>
      </c>
      <c r="FA75">
        <v>-5.85</v>
      </c>
      <c r="FB75">
        <v>9</v>
      </c>
      <c r="FC75">
        <v>0.41000000000000003</v>
      </c>
      <c r="FD75">
        <v>6</v>
      </c>
      <c r="FE75">
        <v>7</v>
      </c>
      <c r="FF75">
        <v>8</v>
      </c>
      <c r="FG75">
        <v>3.8229999999999968</v>
      </c>
      <c r="FH75">
        <v>10</v>
      </c>
      <c r="FI75">
        <v>4.5500000000000025</v>
      </c>
      <c r="FJ75">
        <v>3</v>
      </c>
      <c r="FK75">
        <v>2.72</v>
      </c>
      <c r="FL75">
        <v>7</v>
      </c>
      <c r="FM75">
        <v>8.3333333333333339</v>
      </c>
      <c r="FN75">
        <v>9</v>
      </c>
      <c r="FO75">
        <v>2.9299999999999979</v>
      </c>
      <c r="FP75">
        <v>13</v>
      </c>
      <c r="FQ75">
        <v>6.0400000000000018</v>
      </c>
      <c r="FR75">
        <v>3</v>
      </c>
      <c r="FS75">
        <v>1.9600000000000002</v>
      </c>
      <c r="FT75">
        <v>14</v>
      </c>
      <c r="FU75">
        <v>13.666666666666666</v>
      </c>
      <c r="FV75">
        <v>13</v>
      </c>
      <c r="FW75">
        <v>1.5399999999999987</v>
      </c>
      <c r="FX75">
        <v>17</v>
      </c>
      <c r="FY75">
        <v>0.32999999999999974</v>
      </c>
      <c r="FZ75">
        <v>11</v>
      </c>
      <c r="GA75">
        <v>0.36999999999999994</v>
      </c>
      <c r="GB75">
        <v>17</v>
      </c>
      <c r="GC75">
        <v>17.333333333333332</v>
      </c>
      <c r="GD75">
        <v>20</v>
      </c>
      <c r="GE75">
        <v>-0.64700000000000024</v>
      </c>
      <c r="GF75">
        <v>22</v>
      </c>
      <c r="GG75">
        <v>-1.8199999999999996</v>
      </c>
      <c r="GH75">
        <v>10</v>
      </c>
      <c r="GI75">
        <v>0.39</v>
      </c>
      <c r="GJ75">
        <v>3</v>
      </c>
      <c r="GK75">
        <v>3</v>
      </c>
      <c r="GL75">
        <v>3</v>
      </c>
      <c r="GM75">
        <v>5.7200000000000006</v>
      </c>
      <c r="GN75">
        <v>3</v>
      </c>
      <c r="GO75">
        <v>30.8</v>
      </c>
      <c r="GP75">
        <v>3</v>
      </c>
      <c r="GQ75">
        <v>3.46</v>
      </c>
      <c r="GR75">
        <v>2</v>
      </c>
      <c r="GS75">
        <v>3</v>
      </c>
      <c r="GT75">
        <v>4</v>
      </c>
      <c r="GU75">
        <v>4.5190000000000001</v>
      </c>
      <c r="GV75">
        <v>19.189999999999998</v>
      </c>
      <c r="GW75">
        <v>1.81</v>
      </c>
      <c r="GX75">
        <v>27</v>
      </c>
      <c r="GY75">
        <v>26.5</v>
      </c>
      <c r="GZ75">
        <v>24</v>
      </c>
      <c r="HA75">
        <v>-1.52</v>
      </c>
      <c r="HB75">
        <v>29</v>
      </c>
      <c r="HC75">
        <v>-0.72</v>
      </c>
      <c r="HD75">
        <v>-0.98999999999999988</v>
      </c>
      <c r="HE75">
        <v>22</v>
      </c>
      <c r="HF75">
        <v>19.75</v>
      </c>
      <c r="HG75">
        <v>14</v>
      </c>
      <c r="HH75">
        <v>2.4105222850828055E-3</v>
      </c>
      <c r="HI75">
        <v>14</v>
      </c>
      <c r="HJ75">
        <v>4.2895709916117384E-3</v>
      </c>
      <c r="HK75">
        <v>29</v>
      </c>
      <c r="HL75">
        <v>8.0226551226551202E-2</v>
      </c>
      <c r="HM75">
        <v>22</v>
      </c>
      <c r="HN75">
        <v>-1.0699999999999998</v>
      </c>
      <c r="HO75">
        <v>-4.08</v>
      </c>
      <c r="HP75">
        <v>2.6600000000000006</v>
      </c>
      <c r="HQ75">
        <v>-0.27999999999999997</v>
      </c>
      <c r="HR75">
        <v>6.1399999999999979</v>
      </c>
      <c r="HS75">
        <v>17.360000000000007</v>
      </c>
      <c r="HT75">
        <v>-10.809999999999999</v>
      </c>
      <c r="HU75">
        <v>-0.11999999999999975</v>
      </c>
      <c r="HV75">
        <v>-0.28999999999999843</v>
      </c>
      <c r="HW75">
        <v>9</v>
      </c>
      <c r="HX75">
        <v>3.8489999999999984</v>
      </c>
      <c r="HY75">
        <v>2.7765999999999988</v>
      </c>
      <c r="HZ75">
        <v>28.170000000000005</v>
      </c>
      <c r="IA75">
        <v>24</v>
      </c>
      <c r="IB75">
        <v>1.0518749999999994</v>
      </c>
      <c r="IC75">
        <v>4.53</v>
      </c>
    </row>
    <row r="76" spans="1:237" x14ac:dyDescent="0.2">
      <c r="A76" s="19">
        <v>44122</v>
      </c>
      <c r="B76" s="13" t="s">
        <v>252</v>
      </c>
      <c r="C76" s="41" t="s">
        <v>304</v>
      </c>
      <c r="D76" s="14" t="s">
        <v>256</v>
      </c>
      <c r="E76">
        <v>14</v>
      </c>
      <c r="F76">
        <v>4.0999999999999996</v>
      </c>
      <c r="G76">
        <v>12.5</v>
      </c>
      <c r="H76">
        <v>8.6</v>
      </c>
      <c r="I76">
        <v>-2</v>
      </c>
      <c r="J76">
        <v>51</v>
      </c>
      <c r="L76" t="s">
        <v>304</v>
      </c>
      <c r="M76">
        <v>21</v>
      </c>
      <c r="N76">
        <v>-1.4807999999999992</v>
      </c>
      <c r="O76">
        <v>4</v>
      </c>
      <c r="P76">
        <v>8</v>
      </c>
      <c r="Q76">
        <v>8</v>
      </c>
      <c r="R76">
        <v>2.7679999999999998</v>
      </c>
      <c r="S76">
        <v>7</v>
      </c>
      <c r="T76">
        <v>2.84</v>
      </c>
      <c r="U76">
        <v>3</v>
      </c>
      <c r="V76">
        <v>21.560000000000002</v>
      </c>
      <c r="W76">
        <v>14</v>
      </c>
      <c r="X76">
        <v>0.23999999999999977</v>
      </c>
      <c r="Y76">
        <v>6</v>
      </c>
      <c r="Z76">
        <v>9.6666666666666661</v>
      </c>
      <c r="AA76">
        <v>7</v>
      </c>
      <c r="AB76">
        <v>4.1920000000000002</v>
      </c>
      <c r="AC76">
        <v>13</v>
      </c>
      <c r="AD76">
        <v>-3.9999999999999855E-2</v>
      </c>
      <c r="AE76">
        <v>14</v>
      </c>
      <c r="AF76">
        <v>8.48</v>
      </c>
      <c r="AG76">
        <v>8</v>
      </c>
      <c r="AH76">
        <v>1.1199999999999999</v>
      </c>
      <c r="AI76">
        <v>18</v>
      </c>
      <c r="AJ76">
        <v>18</v>
      </c>
      <c r="AK76">
        <v>23</v>
      </c>
      <c r="AL76">
        <v>-1.4240000000000004</v>
      </c>
      <c r="AM76">
        <v>6</v>
      </c>
      <c r="AN76">
        <v>2.88</v>
      </c>
      <c r="AO76">
        <v>5</v>
      </c>
      <c r="AP76">
        <v>13.080000000000002</v>
      </c>
      <c r="AQ76">
        <v>26</v>
      </c>
      <c r="AR76">
        <v>-0.88000000000000012</v>
      </c>
      <c r="AS76">
        <v>11</v>
      </c>
      <c r="AT76">
        <v>12</v>
      </c>
      <c r="AU76">
        <v>13</v>
      </c>
      <c r="AV76">
        <v>1.7552000000000008</v>
      </c>
      <c r="AW76">
        <v>7</v>
      </c>
      <c r="AX76">
        <v>24.119999999999997</v>
      </c>
      <c r="AY76">
        <v>16</v>
      </c>
      <c r="AZ76">
        <v>-8.0000000000000182E-2</v>
      </c>
      <c r="BA76">
        <v>25</v>
      </c>
      <c r="BB76">
        <v>25</v>
      </c>
      <c r="BC76">
        <v>24</v>
      </c>
      <c r="BD76">
        <v>-2.5159999999999991</v>
      </c>
      <c r="BE76">
        <v>22</v>
      </c>
      <c r="BF76">
        <v>-8.52</v>
      </c>
      <c r="BG76">
        <v>29</v>
      </c>
      <c r="BH76">
        <v>-1.7200000000000002</v>
      </c>
      <c r="BI76">
        <v>4</v>
      </c>
      <c r="BJ76">
        <v>6</v>
      </c>
      <c r="BK76">
        <v>4</v>
      </c>
      <c r="BL76">
        <v>3.7808000000000002</v>
      </c>
      <c r="BM76">
        <v>7</v>
      </c>
      <c r="BN76">
        <v>17.68</v>
      </c>
      <c r="BO76">
        <v>7</v>
      </c>
      <c r="BP76">
        <v>1.04</v>
      </c>
      <c r="BQ76">
        <v>8</v>
      </c>
      <c r="BR76">
        <v>9</v>
      </c>
      <c r="BS76">
        <v>11</v>
      </c>
      <c r="BT76">
        <v>0.49039999999999961</v>
      </c>
      <c r="BU76">
        <v>3</v>
      </c>
      <c r="BV76">
        <v>14.959999999999999</v>
      </c>
      <c r="BW76">
        <v>13</v>
      </c>
      <c r="BX76">
        <v>0.6</v>
      </c>
      <c r="BY76">
        <v>16</v>
      </c>
      <c r="BZ76">
        <v>16.333333333333332</v>
      </c>
      <c r="CA76">
        <v>12</v>
      </c>
      <c r="CB76">
        <v>1.1080000000000005</v>
      </c>
      <c r="CC76">
        <v>10</v>
      </c>
      <c r="CD76">
        <v>9.4799999999999986</v>
      </c>
      <c r="CE76">
        <v>27</v>
      </c>
      <c r="CF76">
        <v>-1.5599999999999998</v>
      </c>
      <c r="CG76">
        <v>22</v>
      </c>
      <c r="CH76">
        <v>22.333333333333332</v>
      </c>
      <c r="CI76">
        <v>19</v>
      </c>
      <c r="CJ76">
        <v>-0.77200000000000091</v>
      </c>
      <c r="CK76">
        <v>-1.4400000000000006</v>
      </c>
      <c r="CL76">
        <v>-1.8800000000000001</v>
      </c>
      <c r="CM76">
        <v>31</v>
      </c>
      <c r="CN76">
        <v>30.5</v>
      </c>
      <c r="CO76">
        <v>32</v>
      </c>
      <c r="CP76">
        <v>-3.04</v>
      </c>
      <c r="CQ76">
        <v>29</v>
      </c>
      <c r="CR76">
        <v>-0.40000000000000008</v>
      </c>
      <c r="CS76">
        <v>-0.12000000000000029</v>
      </c>
      <c r="CT76">
        <v>22</v>
      </c>
      <c r="CU76">
        <v>20</v>
      </c>
      <c r="CV76">
        <v>29</v>
      </c>
      <c r="CW76">
        <v>-7.2422323824070475E-2</v>
      </c>
      <c r="CX76">
        <v>29</v>
      </c>
      <c r="CY76">
        <v>-2.2357815062890671E-2</v>
      </c>
      <c r="CZ76">
        <v>2</v>
      </c>
      <c r="DA76">
        <v>-0.21353391053391055</v>
      </c>
      <c r="DB76">
        <v>20</v>
      </c>
      <c r="DC76">
        <v>-0.96000000000000019</v>
      </c>
      <c r="DD76">
        <v>-0.31999999999999745</v>
      </c>
      <c r="DE76">
        <v>-1.8399999999999999</v>
      </c>
      <c r="DF76">
        <v>-0.64</v>
      </c>
      <c r="DG76">
        <v>34.319999999999993</v>
      </c>
      <c r="DH76">
        <v>18.079999999999995</v>
      </c>
      <c r="DI76">
        <v>20.88</v>
      </c>
      <c r="DJ76">
        <v>2.2800000000000002</v>
      </c>
      <c r="DK76">
        <v>-6.919999999999999</v>
      </c>
      <c r="DL76">
        <v>24</v>
      </c>
      <c r="DM76">
        <v>-4.2487999999999992</v>
      </c>
      <c r="DN76">
        <v>-1.4835199999999999</v>
      </c>
      <c r="DO76">
        <v>-2.8000000000000043</v>
      </c>
      <c r="DP76">
        <v>9</v>
      </c>
      <c r="DQ76">
        <v>-9.6199999999999952E-2</v>
      </c>
      <c r="DR76">
        <v>-1.9600000000000004</v>
      </c>
      <c r="DS76">
        <v>-0.84400000000000031</v>
      </c>
      <c r="DT76">
        <v>-1.6147000000000002</v>
      </c>
      <c r="DU76" t="s">
        <v>256</v>
      </c>
      <c r="DV76" t="s">
        <v>257</v>
      </c>
      <c r="DW76" t="s">
        <v>547</v>
      </c>
      <c r="DX76">
        <v>14</v>
      </c>
      <c r="DY76">
        <v>0.89759999999999951</v>
      </c>
      <c r="DZ76">
        <v>18</v>
      </c>
      <c r="EA76">
        <v>18.25</v>
      </c>
      <c r="EB76">
        <v>22</v>
      </c>
      <c r="EC76">
        <v>-1.532</v>
      </c>
      <c r="ED76">
        <v>15</v>
      </c>
      <c r="EE76">
        <v>0.28000000000000008</v>
      </c>
      <c r="EF76">
        <v>18</v>
      </c>
      <c r="EG76">
        <v>-5.3199999999999985</v>
      </c>
      <c r="EH76">
        <v>18</v>
      </c>
      <c r="EI76">
        <v>-0.11999999999999986</v>
      </c>
      <c r="EJ76">
        <v>22</v>
      </c>
      <c r="EK76">
        <v>19.5</v>
      </c>
      <c r="EL76">
        <v>19</v>
      </c>
      <c r="EM76">
        <v>-0.98000000000000043</v>
      </c>
      <c r="EN76">
        <v>20</v>
      </c>
      <c r="EO76">
        <v>-0.28000000000000008</v>
      </c>
      <c r="EP76">
        <v>19</v>
      </c>
      <c r="EQ76">
        <v>-5.0799999999999983</v>
      </c>
      <c r="ER76">
        <v>20</v>
      </c>
      <c r="ES76">
        <v>-0.31999999999999995</v>
      </c>
      <c r="ET76">
        <v>15</v>
      </c>
      <c r="EU76">
        <v>15.333333333333334</v>
      </c>
      <c r="EV76">
        <v>21</v>
      </c>
      <c r="EW76">
        <v>-0.5519999999999996</v>
      </c>
      <c r="EX76">
        <v>10</v>
      </c>
      <c r="EY76">
        <v>0.56000000000000016</v>
      </c>
      <c r="EZ76">
        <v>15</v>
      </c>
      <c r="FA76">
        <v>-0.24000000000000021</v>
      </c>
      <c r="FB76">
        <v>12</v>
      </c>
      <c r="FC76">
        <v>0.20000000000000009</v>
      </c>
      <c r="FD76">
        <v>14</v>
      </c>
      <c r="FE76">
        <v>15</v>
      </c>
      <c r="FF76">
        <v>13</v>
      </c>
      <c r="FG76">
        <v>-4.400000000000262E-2</v>
      </c>
      <c r="FH76">
        <v>9</v>
      </c>
      <c r="FI76">
        <v>4.6799999999999944</v>
      </c>
      <c r="FJ76">
        <v>23</v>
      </c>
      <c r="FK76">
        <v>-1.0399999999999998</v>
      </c>
      <c r="FL76">
        <v>23</v>
      </c>
      <c r="FM76">
        <v>23.333333333333332</v>
      </c>
      <c r="FN76">
        <v>23</v>
      </c>
      <c r="FO76">
        <v>-2.8440000000000012</v>
      </c>
      <c r="FP76">
        <v>25</v>
      </c>
      <c r="FQ76">
        <v>-11.479999999999999</v>
      </c>
      <c r="FR76">
        <v>22</v>
      </c>
      <c r="FS76">
        <v>-0.6399999999999999</v>
      </c>
      <c r="FT76">
        <v>6</v>
      </c>
      <c r="FU76">
        <v>9</v>
      </c>
      <c r="FV76">
        <v>6</v>
      </c>
      <c r="FW76">
        <v>3.0439999999999987</v>
      </c>
      <c r="FX76">
        <v>2</v>
      </c>
      <c r="FY76">
        <v>17.799999999999994</v>
      </c>
      <c r="FZ76">
        <v>19</v>
      </c>
      <c r="GA76">
        <v>-0.23999999999999985</v>
      </c>
      <c r="GB76">
        <v>18</v>
      </c>
      <c r="GC76">
        <v>18</v>
      </c>
      <c r="GD76">
        <v>17</v>
      </c>
      <c r="GE76">
        <v>-0.24400000000000013</v>
      </c>
      <c r="GF76">
        <v>19</v>
      </c>
      <c r="GG76">
        <v>-1.6400000000000006</v>
      </c>
      <c r="GH76">
        <v>18</v>
      </c>
      <c r="GI76">
        <v>-0.15999999999999998</v>
      </c>
      <c r="GJ76">
        <v>25</v>
      </c>
      <c r="GK76">
        <v>23.333333333333332</v>
      </c>
      <c r="GL76">
        <v>20</v>
      </c>
      <c r="GM76">
        <v>-1.9399999999999995</v>
      </c>
      <c r="GN76">
        <v>19</v>
      </c>
      <c r="GO76">
        <v>-3.3999999999999986</v>
      </c>
      <c r="GP76">
        <v>31</v>
      </c>
      <c r="GQ76">
        <v>-2.12</v>
      </c>
      <c r="GR76">
        <v>27</v>
      </c>
      <c r="GS76">
        <v>23.666666666666668</v>
      </c>
      <c r="GT76">
        <v>24</v>
      </c>
      <c r="GU76">
        <v>-1.8679999999999999</v>
      </c>
      <c r="GV76">
        <v>-1.7600000000000002</v>
      </c>
      <c r="GW76">
        <v>-0.92000000000000015</v>
      </c>
      <c r="GX76">
        <v>7</v>
      </c>
      <c r="GY76">
        <v>7.5</v>
      </c>
      <c r="GZ76">
        <v>6</v>
      </c>
      <c r="HA76">
        <v>1.9599999999999995</v>
      </c>
      <c r="HB76">
        <v>9</v>
      </c>
      <c r="HC76">
        <v>0.6</v>
      </c>
      <c r="HD76">
        <v>2.12</v>
      </c>
      <c r="HE76">
        <v>17</v>
      </c>
      <c r="HF76">
        <v>16.25</v>
      </c>
      <c r="HG76">
        <v>5</v>
      </c>
      <c r="HH76">
        <v>2.9312884651620942E-2</v>
      </c>
      <c r="HI76">
        <v>22</v>
      </c>
      <c r="HJ76">
        <v>-8.4284882505910562E-3</v>
      </c>
      <c r="HK76">
        <v>9</v>
      </c>
      <c r="HL76">
        <v>-5.3505050505050535E-2</v>
      </c>
      <c r="HM76">
        <v>29</v>
      </c>
      <c r="HN76">
        <v>-2.4800000000000004</v>
      </c>
      <c r="HO76">
        <v>-2.7200000000000015</v>
      </c>
      <c r="HP76">
        <v>0.91999999999999993</v>
      </c>
      <c r="HQ76">
        <v>0.55999999999999983</v>
      </c>
      <c r="HR76">
        <v>-13.039999999999997</v>
      </c>
      <c r="HS76">
        <v>-12.319999999999999</v>
      </c>
      <c r="HT76">
        <v>-8.7199999999999971</v>
      </c>
      <c r="HU76">
        <v>-1.6</v>
      </c>
      <c r="HV76">
        <v>9.6000000000000014</v>
      </c>
      <c r="HW76">
        <v>12</v>
      </c>
      <c r="HX76">
        <v>2.4295999999999998</v>
      </c>
      <c r="HY76">
        <v>0.5631199999999994</v>
      </c>
      <c r="HZ76">
        <v>-3.6000000000000014</v>
      </c>
      <c r="IA76">
        <v>21</v>
      </c>
      <c r="IB76">
        <v>-7.330000000000042E-2</v>
      </c>
      <c r="IC76">
        <v>-1.96</v>
      </c>
    </row>
    <row r="77" spans="1:237" x14ac:dyDescent="0.2">
      <c r="A77" s="19">
        <v>44122</v>
      </c>
      <c r="B77" s="13" t="s">
        <v>252</v>
      </c>
      <c r="C77" s="41" t="s">
        <v>293</v>
      </c>
      <c r="D77" s="14" t="s">
        <v>298</v>
      </c>
      <c r="E77">
        <v>6.5</v>
      </c>
      <c r="F77">
        <v>9.8000000000000007</v>
      </c>
      <c r="G77">
        <v>8.8000000000000007</v>
      </c>
      <c r="H77">
        <v>14.1</v>
      </c>
      <c r="I77">
        <v>-8.5</v>
      </c>
      <c r="J77">
        <v>46.5</v>
      </c>
      <c r="L77" t="s">
        <v>293</v>
      </c>
      <c r="M77">
        <v>15</v>
      </c>
      <c r="N77">
        <v>0.34100000000000075</v>
      </c>
      <c r="O77">
        <v>20</v>
      </c>
      <c r="P77">
        <v>18.75</v>
      </c>
      <c r="Q77">
        <v>15</v>
      </c>
      <c r="R77">
        <v>0.46999999999999931</v>
      </c>
      <c r="S77">
        <v>18</v>
      </c>
      <c r="T77">
        <v>-0.81</v>
      </c>
      <c r="U77">
        <v>23</v>
      </c>
      <c r="V77">
        <v>-13.879999999999999</v>
      </c>
      <c r="W77">
        <v>19</v>
      </c>
      <c r="X77">
        <v>-0.28000000000000014</v>
      </c>
      <c r="Y77">
        <v>18</v>
      </c>
      <c r="Z77">
        <v>17</v>
      </c>
      <c r="AA77">
        <v>20</v>
      </c>
      <c r="AB77">
        <v>-0.5600000000000005</v>
      </c>
      <c r="AC77">
        <v>23</v>
      </c>
      <c r="AD77">
        <v>-1.78</v>
      </c>
      <c r="AE77">
        <v>22</v>
      </c>
      <c r="AF77">
        <v>-8.3099999999999987</v>
      </c>
      <c r="AG77">
        <v>9</v>
      </c>
      <c r="AH77">
        <v>0.9</v>
      </c>
      <c r="AI77">
        <v>25</v>
      </c>
      <c r="AJ77">
        <v>22</v>
      </c>
      <c r="AK77">
        <v>10</v>
      </c>
      <c r="AL77">
        <v>1.0299999999999998</v>
      </c>
      <c r="AM77">
        <v>8</v>
      </c>
      <c r="AN77">
        <v>0.97</v>
      </c>
      <c r="AO77">
        <v>24</v>
      </c>
      <c r="AP77">
        <v>-5.57</v>
      </c>
      <c r="AQ77">
        <v>32</v>
      </c>
      <c r="AR77">
        <v>-1.1800000000000002</v>
      </c>
      <c r="AS77">
        <v>31</v>
      </c>
      <c r="AT77">
        <v>30</v>
      </c>
      <c r="AU77">
        <v>30</v>
      </c>
      <c r="AV77">
        <v>-7.9359999999999999</v>
      </c>
      <c r="AW77">
        <v>30</v>
      </c>
      <c r="AX77">
        <v>-35.020000000000003</v>
      </c>
      <c r="AY77">
        <v>30</v>
      </c>
      <c r="AZ77">
        <v>-3.7100000000000004</v>
      </c>
      <c r="BA77">
        <v>28</v>
      </c>
      <c r="BB77">
        <v>27.666666666666668</v>
      </c>
      <c r="BC77">
        <v>25</v>
      </c>
      <c r="BD77">
        <v>-3.2280000000000002</v>
      </c>
      <c r="BE77">
        <v>28</v>
      </c>
      <c r="BF77">
        <v>-14.900000000000002</v>
      </c>
      <c r="BG77">
        <v>30</v>
      </c>
      <c r="BH77">
        <v>-2.1100000000000003</v>
      </c>
      <c r="BI77">
        <v>20</v>
      </c>
      <c r="BJ77">
        <v>19.333333333333332</v>
      </c>
      <c r="BK77">
        <v>20</v>
      </c>
      <c r="BL77">
        <v>-1.6059999999999992</v>
      </c>
      <c r="BM77">
        <v>18</v>
      </c>
      <c r="BN77">
        <v>-6.0000000000000018</v>
      </c>
      <c r="BO77">
        <v>20</v>
      </c>
      <c r="BP77">
        <v>-0.18999999999999986</v>
      </c>
      <c r="BQ77">
        <v>31</v>
      </c>
      <c r="BR77">
        <v>29.333333333333332</v>
      </c>
      <c r="BS77">
        <v>31</v>
      </c>
      <c r="BT77">
        <v>-3.1019999999999999</v>
      </c>
      <c r="BU77">
        <v>30</v>
      </c>
      <c r="BV77">
        <v>-14.12</v>
      </c>
      <c r="BW77">
        <v>27</v>
      </c>
      <c r="BX77">
        <v>-1.4100000000000001</v>
      </c>
      <c r="BY77">
        <v>23</v>
      </c>
      <c r="BZ77">
        <v>22.333333333333332</v>
      </c>
      <c r="CA77">
        <v>21</v>
      </c>
      <c r="CB77">
        <v>-1.9480000000000008</v>
      </c>
      <c r="CC77">
        <v>26</v>
      </c>
      <c r="CD77">
        <v>-17.68</v>
      </c>
      <c r="CE77">
        <v>20</v>
      </c>
      <c r="CF77">
        <v>-0.73999999999999988</v>
      </c>
      <c r="CG77">
        <v>7</v>
      </c>
      <c r="CH77">
        <v>7.666666666666667</v>
      </c>
      <c r="CI77">
        <v>7</v>
      </c>
      <c r="CJ77">
        <v>2.8390000000000004</v>
      </c>
      <c r="CK77">
        <v>12.95</v>
      </c>
      <c r="CL77">
        <v>0.76</v>
      </c>
      <c r="CM77">
        <v>3</v>
      </c>
      <c r="CN77">
        <v>3.5</v>
      </c>
      <c r="CO77">
        <v>2</v>
      </c>
      <c r="CP77">
        <v>3.1199999999999997</v>
      </c>
      <c r="CQ77">
        <v>5</v>
      </c>
      <c r="CR77">
        <v>0.57999999999999985</v>
      </c>
      <c r="CS77">
        <v>0.69999999999999984</v>
      </c>
      <c r="CT77">
        <v>24</v>
      </c>
      <c r="CU77">
        <v>20.5</v>
      </c>
      <c r="CV77">
        <v>18</v>
      </c>
      <c r="CW77">
        <v>-5.481008531598941E-3</v>
      </c>
      <c r="CX77">
        <v>11</v>
      </c>
      <c r="CY77">
        <v>2.6787841118853335E-3</v>
      </c>
      <c r="CZ77">
        <v>27</v>
      </c>
      <c r="DA77">
        <v>8.0966810966810979E-2</v>
      </c>
      <c r="DB77">
        <v>26</v>
      </c>
      <c r="DC77">
        <v>-2</v>
      </c>
      <c r="DD77">
        <v>-0.9899999999999991</v>
      </c>
      <c r="DE77">
        <v>1.9900000000000007</v>
      </c>
      <c r="DF77">
        <v>-0.90999999999999992</v>
      </c>
      <c r="DG77">
        <v>-17.21</v>
      </c>
      <c r="DH77">
        <v>-12.2</v>
      </c>
      <c r="DI77">
        <v>-6.6599999999999993</v>
      </c>
      <c r="DJ77">
        <v>0.6</v>
      </c>
      <c r="DK77">
        <v>1.0499999999999994</v>
      </c>
      <c r="DL77">
        <v>18</v>
      </c>
      <c r="DM77">
        <v>-0.12899999999999856</v>
      </c>
      <c r="DN77">
        <v>-1.1861999999999995</v>
      </c>
      <c r="DO77">
        <v>-5.54</v>
      </c>
      <c r="DP77">
        <v>15</v>
      </c>
      <c r="DQ77">
        <v>-0.14574999999999999</v>
      </c>
      <c r="DR77">
        <v>-2.95</v>
      </c>
      <c r="DS77">
        <v>-2.1487499999999882E-2</v>
      </c>
      <c r="DT77">
        <v>-1.2401749999999998</v>
      </c>
      <c r="DU77" t="s">
        <v>298</v>
      </c>
      <c r="DV77" t="s">
        <v>262</v>
      </c>
      <c r="DW77" t="s">
        <v>473</v>
      </c>
      <c r="DX77">
        <v>15</v>
      </c>
      <c r="DY77">
        <v>0.86360000000000026</v>
      </c>
      <c r="DZ77">
        <v>7</v>
      </c>
      <c r="EA77">
        <v>10.75</v>
      </c>
      <c r="EB77">
        <v>5</v>
      </c>
      <c r="EC77">
        <v>3.7759999999999989</v>
      </c>
      <c r="ED77">
        <v>12</v>
      </c>
      <c r="EE77">
        <v>1.32</v>
      </c>
      <c r="EF77">
        <v>14</v>
      </c>
      <c r="EG77">
        <v>5.8100000000000005</v>
      </c>
      <c r="EH77">
        <v>12</v>
      </c>
      <c r="EI77">
        <v>0.52</v>
      </c>
      <c r="EJ77">
        <v>15</v>
      </c>
      <c r="EK77">
        <v>17</v>
      </c>
      <c r="EL77">
        <v>11</v>
      </c>
      <c r="EM77">
        <v>1.379999999999999</v>
      </c>
      <c r="EN77">
        <v>21</v>
      </c>
      <c r="EO77">
        <v>-0.36999999999999994</v>
      </c>
      <c r="EP77">
        <v>12</v>
      </c>
      <c r="EQ77">
        <v>7.7900000000000009</v>
      </c>
      <c r="ER77">
        <v>24</v>
      </c>
      <c r="ES77">
        <v>-0.59000000000000008</v>
      </c>
      <c r="ET77">
        <v>7</v>
      </c>
      <c r="EU77">
        <v>8.6666666666666661</v>
      </c>
      <c r="EV77">
        <v>2</v>
      </c>
      <c r="EW77">
        <v>2.3959999999999999</v>
      </c>
      <c r="EX77">
        <v>7</v>
      </c>
      <c r="EY77">
        <v>1.69</v>
      </c>
      <c r="EZ77">
        <v>17</v>
      </c>
      <c r="FA77">
        <v>-1.9800000000000004</v>
      </c>
      <c r="FB77">
        <v>2</v>
      </c>
      <c r="FC77">
        <v>1.1100000000000001</v>
      </c>
      <c r="FD77">
        <v>11</v>
      </c>
      <c r="FE77">
        <v>13.666666666666666</v>
      </c>
      <c r="FF77">
        <v>10</v>
      </c>
      <c r="FG77">
        <v>1.9249999999999998</v>
      </c>
      <c r="FH77">
        <v>6</v>
      </c>
      <c r="FI77">
        <v>17.860000000000007</v>
      </c>
      <c r="FJ77">
        <v>25</v>
      </c>
      <c r="FK77">
        <v>-1.2799999999999998</v>
      </c>
      <c r="FL77">
        <v>19</v>
      </c>
      <c r="FM77">
        <v>18.666666666666668</v>
      </c>
      <c r="FN77">
        <v>11</v>
      </c>
      <c r="FO77">
        <v>0.7819999999999997</v>
      </c>
      <c r="FP77">
        <v>14</v>
      </c>
      <c r="FQ77">
        <v>5.8600000000000021</v>
      </c>
      <c r="FR77">
        <v>31</v>
      </c>
      <c r="FS77">
        <v>-2.27</v>
      </c>
      <c r="FT77">
        <v>6</v>
      </c>
      <c r="FU77">
        <v>9</v>
      </c>
      <c r="FV77">
        <v>12</v>
      </c>
      <c r="FW77">
        <v>1.7429999999999999</v>
      </c>
      <c r="FX77">
        <v>5</v>
      </c>
      <c r="FY77">
        <v>14.450000000000003</v>
      </c>
      <c r="FZ77">
        <v>10</v>
      </c>
      <c r="GA77">
        <v>0.41000000000000014</v>
      </c>
      <c r="GB77">
        <v>16</v>
      </c>
      <c r="GC77">
        <v>17</v>
      </c>
      <c r="GD77">
        <v>19</v>
      </c>
      <c r="GE77">
        <v>-0.59999999999999976</v>
      </c>
      <c r="GF77">
        <v>24</v>
      </c>
      <c r="GG77">
        <v>-2.4499999999999993</v>
      </c>
      <c r="GH77">
        <v>8</v>
      </c>
      <c r="GI77">
        <v>0.57999999999999996</v>
      </c>
      <c r="GJ77">
        <v>19</v>
      </c>
      <c r="GK77">
        <v>18.333333333333332</v>
      </c>
      <c r="GL77">
        <v>14</v>
      </c>
      <c r="GM77">
        <v>-0.10199999999999924</v>
      </c>
      <c r="GN77">
        <v>14</v>
      </c>
      <c r="GO77">
        <v>0.18000000000000113</v>
      </c>
      <c r="GP77">
        <v>27</v>
      </c>
      <c r="GQ77">
        <v>-1.2000000000000004</v>
      </c>
      <c r="GR77">
        <v>23</v>
      </c>
      <c r="GS77">
        <v>21</v>
      </c>
      <c r="GT77">
        <v>12</v>
      </c>
      <c r="GU77">
        <v>0.46299999999999991</v>
      </c>
      <c r="GV77">
        <v>-5.39</v>
      </c>
      <c r="GW77">
        <v>-0.74999999999999989</v>
      </c>
      <c r="GX77">
        <v>6</v>
      </c>
      <c r="GY77">
        <v>6</v>
      </c>
      <c r="GZ77">
        <v>4</v>
      </c>
      <c r="HA77">
        <v>2.5499999999999998</v>
      </c>
      <c r="HB77">
        <v>8</v>
      </c>
      <c r="HC77">
        <v>0.61</v>
      </c>
      <c r="HD77">
        <v>4.2099999999999991</v>
      </c>
      <c r="HE77">
        <v>25</v>
      </c>
      <c r="HF77">
        <v>20.75</v>
      </c>
      <c r="HG77">
        <v>24</v>
      </c>
      <c r="HH77">
        <v>-1.8836010232579092E-2</v>
      </c>
      <c r="HI77">
        <v>29</v>
      </c>
      <c r="HJ77">
        <v>-2.0487905685038842E-2</v>
      </c>
      <c r="HK77">
        <v>3</v>
      </c>
      <c r="HL77">
        <v>-0.12253409456041039</v>
      </c>
      <c r="HM77">
        <v>27</v>
      </c>
      <c r="HN77">
        <v>-2.06</v>
      </c>
      <c r="HO77">
        <v>0.70999999999999797</v>
      </c>
      <c r="HP77">
        <v>5.22</v>
      </c>
      <c r="HQ77">
        <v>2.2800000000000002</v>
      </c>
      <c r="HR77">
        <v>24.029999999999994</v>
      </c>
      <c r="HS77">
        <v>7.1299999999999955</v>
      </c>
      <c r="HT77">
        <v>21.370000000000005</v>
      </c>
      <c r="HU77">
        <v>-4.7499999999999991</v>
      </c>
      <c r="HV77">
        <v>0.27999999999999969</v>
      </c>
      <c r="HW77">
        <v>22</v>
      </c>
      <c r="HX77">
        <v>-2.9123999999999985</v>
      </c>
      <c r="HY77">
        <v>-1.2376799999999994</v>
      </c>
      <c r="HZ77">
        <v>-14.240000000000009</v>
      </c>
      <c r="IA77">
        <v>11</v>
      </c>
      <c r="IB77">
        <v>1.1972</v>
      </c>
      <c r="IC77">
        <v>-2.0299999999999998</v>
      </c>
    </row>
    <row r="78" spans="1:237" x14ac:dyDescent="0.2">
      <c r="A78" s="19">
        <v>44122</v>
      </c>
      <c r="B78" s="13" t="s">
        <v>252</v>
      </c>
      <c r="C78" s="41" t="s">
        <v>312</v>
      </c>
      <c r="D78" s="14" t="s">
        <v>295</v>
      </c>
      <c r="E78">
        <v>14.1</v>
      </c>
      <c r="F78">
        <v>42.6</v>
      </c>
      <c r="G78">
        <v>3.3</v>
      </c>
      <c r="H78">
        <v>11.5</v>
      </c>
      <c r="I78">
        <v>-4</v>
      </c>
      <c r="J78">
        <v>53.5</v>
      </c>
      <c r="L78" t="s">
        <v>312</v>
      </c>
      <c r="M78">
        <v>28</v>
      </c>
      <c r="N78">
        <v>-4.5375999999999994</v>
      </c>
      <c r="O78">
        <v>6</v>
      </c>
      <c r="P78">
        <v>8.75</v>
      </c>
      <c r="Q78">
        <v>4</v>
      </c>
      <c r="R78">
        <v>7.6570000000000009</v>
      </c>
      <c r="S78">
        <v>2</v>
      </c>
      <c r="T78">
        <v>7.21</v>
      </c>
      <c r="U78">
        <v>2</v>
      </c>
      <c r="V78">
        <v>47.8</v>
      </c>
      <c r="W78">
        <v>27</v>
      </c>
      <c r="X78">
        <v>-1.2399999999999998</v>
      </c>
      <c r="Y78">
        <v>6</v>
      </c>
      <c r="Z78">
        <v>9.6666666666666661</v>
      </c>
      <c r="AA78">
        <v>5</v>
      </c>
      <c r="AB78">
        <v>6.0280000000000005</v>
      </c>
      <c r="AC78">
        <v>4</v>
      </c>
      <c r="AD78">
        <v>3.9400000000000004</v>
      </c>
      <c r="AE78">
        <v>1</v>
      </c>
      <c r="AF78">
        <v>29.65</v>
      </c>
      <c r="AG78">
        <v>23</v>
      </c>
      <c r="AH78">
        <v>-0.90999999999999992</v>
      </c>
      <c r="AI78">
        <v>6</v>
      </c>
      <c r="AJ78">
        <v>9.6666666666666661</v>
      </c>
      <c r="AK78">
        <v>8</v>
      </c>
      <c r="AL78">
        <v>1.6290000000000007</v>
      </c>
      <c r="AM78">
        <v>4</v>
      </c>
      <c r="AN78">
        <v>3.2699999999999996</v>
      </c>
      <c r="AO78">
        <v>3</v>
      </c>
      <c r="AP78">
        <v>18.149999999999999</v>
      </c>
      <c r="AQ78">
        <v>18</v>
      </c>
      <c r="AR78">
        <v>-0.32999999999999996</v>
      </c>
      <c r="AS78">
        <v>19</v>
      </c>
      <c r="AT78">
        <v>18.333333333333332</v>
      </c>
      <c r="AU78">
        <v>14</v>
      </c>
      <c r="AV78">
        <v>1.0231999999999992</v>
      </c>
      <c r="AW78">
        <v>13</v>
      </c>
      <c r="AX78">
        <v>1.4499999999999957</v>
      </c>
      <c r="AY78">
        <v>28</v>
      </c>
      <c r="AZ78">
        <v>-3.42</v>
      </c>
      <c r="BA78">
        <v>8</v>
      </c>
      <c r="BB78">
        <v>9.6666666666666661</v>
      </c>
      <c r="BC78">
        <v>5</v>
      </c>
      <c r="BD78">
        <v>4.8731999999999989</v>
      </c>
      <c r="BE78">
        <v>15</v>
      </c>
      <c r="BF78">
        <v>1.9199999999999988</v>
      </c>
      <c r="BG78">
        <v>9</v>
      </c>
      <c r="BH78">
        <v>0.88000000000000012</v>
      </c>
      <c r="BI78">
        <v>16</v>
      </c>
      <c r="BJ78">
        <v>17</v>
      </c>
      <c r="BK78">
        <v>13</v>
      </c>
      <c r="BL78">
        <v>0.9680000000000003</v>
      </c>
      <c r="BM78">
        <v>9</v>
      </c>
      <c r="BN78">
        <v>15.2</v>
      </c>
      <c r="BO78">
        <v>29</v>
      </c>
      <c r="BP78">
        <v>-1.6799999999999997</v>
      </c>
      <c r="BQ78">
        <v>32</v>
      </c>
      <c r="BR78">
        <v>31.666666666666668</v>
      </c>
      <c r="BS78">
        <v>32</v>
      </c>
      <c r="BT78">
        <v>-4.8179999999999996</v>
      </c>
      <c r="BU78">
        <v>31</v>
      </c>
      <c r="BV78">
        <v>-15.670000000000002</v>
      </c>
      <c r="BW78">
        <v>32</v>
      </c>
      <c r="BX78">
        <v>-2.62</v>
      </c>
      <c r="BY78">
        <v>31</v>
      </c>
      <c r="BZ78">
        <v>30.333333333333332</v>
      </c>
      <c r="CA78">
        <v>31</v>
      </c>
      <c r="CB78">
        <v>-7.0930000000000009</v>
      </c>
      <c r="CC78">
        <v>28</v>
      </c>
      <c r="CD78">
        <v>-24.23</v>
      </c>
      <c r="CE78">
        <v>32</v>
      </c>
      <c r="CF78">
        <v>-5.7099999999999991</v>
      </c>
      <c r="CG78">
        <v>26</v>
      </c>
      <c r="CH78">
        <v>25</v>
      </c>
      <c r="CI78">
        <v>23</v>
      </c>
      <c r="CJ78">
        <v>-1.9229999999999996</v>
      </c>
      <c r="CK78">
        <v>-8.3299999999999983</v>
      </c>
      <c r="CL78">
        <v>-1.7700000000000002</v>
      </c>
      <c r="CM78">
        <v>24</v>
      </c>
      <c r="CN78">
        <v>23</v>
      </c>
      <c r="CO78">
        <v>24</v>
      </c>
      <c r="CP78">
        <v>-1.06</v>
      </c>
      <c r="CQ78">
        <v>22</v>
      </c>
      <c r="CR78">
        <v>-0.18</v>
      </c>
      <c r="CS78">
        <v>-9.9999999999999638E-3</v>
      </c>
      <c r="CT78">
        <v>6</v>
      </c>
      <c r="CU78">
        <v>9.75</v>
      </c>
      <c r="CV78">
        <v>1</v>
      </c>
      <c r="CW78">
        <v>0.11368361073408387</v>
      </c>
      <c r="CX78">
        <v>2</v>
      </c>
      <c r="CY78">
        <v>3.1818299722654424E-2</v>
      </c>
      <c r="CZ78">
        <v>22</v>
      </c>
      <c r="DA78">
        <v>4.54963924963925E-2</v>
      </c>
      <c r="DB78">
        <v>14</v>
      </c>
      <c r="DC78">
        <v>0.36</v>
      </c>
      <c r="DD78">
        <v>-4.339999999999999</v>
      </c>
      <c r="DE78">
        <v>3.2499999999999991</v>
      </c>
      <c r="DF78">
        <v>-0.91999999999999993</v>
      </c>
      <c r="DG78">
        <v>-3.4299999999999953</v>
      </c>
      <c r="DH78">
        <v>-43.790000000000006</v>
      </c>
      <c r="DI78">
        <v>45.45</v>
      </c>
      <c r="DJ78">
        <v>-0.59000000000000008</v>
      </c>
      <c r="DK78">
        <v>-4.5</v>
      </c>
      <c r="DL78">
        <v>31</v>
      </c>
      <c r="DM78">
        <v>-12.194600000000001</v>
      </c>
      <c r="DN78">
        <v>-4.9159800000000002</v>
      </c>
      <c r="DO78">
        <v>-89.240000000000009</v>
      </c>
      <c r="DP78">
        <v>2</v>
      </c>
      <c r="DQ78">
        <v>0.14495000000000025</v>
      </c>
      <c r="DR78">
        <v>-5.19</v>
      </c>
      <c r="DS78">
        <v>1.6179375</v>
      </c>
      <c r="DT78">
        <v>1.0921250000000002</v>
      </c>
      <c r="DU78" t="s">
        <v>295</v>
      </c>
      <c r="DV78" t="s">
        <v>280</v>
      </c>
      <c r="DW78" t="s">
        <v>489</v>
      </c>
      <c r="DX78">
        <v>1</v>
      </c>
      <c r="DY78">
        <v>7.9025999999999996</v>
      </c>
      <c r="DZ78">
        <v>12</v>
      </c>
      <c r="EA78">
        <v>13.25</v>
      </c>
      <c r="EB78">
        <v>11</v>
      </c>
      <c r="EC78">
        <v>1.4240000000000006</v>
      </c>
      <c r="ED78">
        <v>18</v>
      </c>
      <c r="EE78">
        <v>-0.44999999999999973</v>
      </c>
      <c r="EF78">
        <v>20</v>
      </c>
      <c r="EG78">
        <v>-10.649999999999999</v>
      </c>
      <c r="EH78">
        <v>4</v>
      </c>
      <c r="EI78">
        <v>1.5500000000000003</v>
      </c>
      <c r="EJ78">
        <v>14</v>
      </c>
      <c r="EK78">
        <v>16.75</v>
      </c>
      <c r="EL78">
        <v>15</v>
      </c>
      <c r="EM78">
        <v>0.11900000000000013</v>
      </c>
      <c r="EN78">
        <v>23</v>
      </c>
      <c r="EO78">
        <v>-0.60999999999999976</v>
      </c>
      <c r="EP78">
        <v>21</v>
      </c>
      <c r="EQ78">
        <v>-6.6999999999999984</v>
      </c>
      <c r="ER78">
        <v>8</v>
      </c>
      <c r="ES78">
        <v>0.57000000000000006</v>
      </c>
      <c r="ET78">
        <v>14</v>
      </c>
      <c r="EU78">
        <v>15</v>
      </c>
      <c r="EV78">
        <v>8</v>
      </c>
      <c r="EW78">
        <v>1.3050000000000004</v>
      </c>
      <c r="EX78">
        <v>14</v>
      </c>
      <c r="EY78">
        <v>0.16000000000000006</v>
      </c>
      <c r="EZ78">
        <v>23</v>
      </c>
      <c r="FA78">
        <v>-3.9500000000000006</v>
      </c>
      <c r="FB78">
        <v>4</v>
      </c>
      <c r="FC78">
        <v>0.98000000000000009</v>
      </c>
      <c r="FD78">
        <v>12</v>
      </c>
      <c r="FE78">
        <v>14.333333333333334</v>
      </c>
      <c r="FF78">
        <v>17</v>
      </c>
      <c r="FG78">
        <v>-1.3795999999999997</v>
      </c>
      <c r="FH78">
        <v>8</v>
      </c>
      <c r="FI78">
        <v>6.1099999999999959</v>
      </c>
      <c r="FJ78">
        <v>18</v>
      </c>
      <c r="FK78">
        <v>-0.19999999999999998</v>
      </c>
      <c r="FL78">
        <v>13</v>
      </c>
      <c r="FM78">
        <v>13.333333333333334</v>
      </c>
      <c r="FN78">
        <v>16</v>
      </c>
      <c r="FO78">
        <v>-0.10399999999999991</v>
      </c>
      <c r="FP78">
        <v>9</v>
      </c>
      <c r="FQ78">
        <v>7.76</v>
      </c>
      <c r="FR78">
        <v>15</v>
      </c>
      <c r="FS78">
        <v>0.41999999999999993</v>
      </c>
      <c r="FT78">
        <v>20</v>
      </c>
      <c r="FU78">
        <v>20</v>
      </c>
      <c r="FV78">
        <v>17</v>
      </c>
      <c r="FW78">
        <v>0.48999999999999988</v>
      </c>
      <c r="FX78">
        <v>18</v>
      </c>
      <c r="FY78">
        <v>9.9999999999997161E-2</v>
      </c>
      <c r="FZ78">
        <v>25</v>
      </c>
      <c r="GA78">
        <v>-0.64</v>
      </c>
      <c r="GB78">
        <v>23</v>
      </c>
      <c r="GC78">
        <v>20.333333333333332</v>
      </c>
      <c r="GD78">
        <v>27</v>
      </c>
      <c r="GE78">
        <v>-1.7655999999999996</v>
      </c>
      <c r="GF78">
        <v>20</v>
      </c>
      <c r="GG78">
        <v>-1.7500000000000013</v>
      </c>
      <c r="GH78">
        <v>14</v>
      </c>
      <c r="GI78">
        <v>2.0000000000000108E-2</v>
      </c>
      <c r="GJ78">
        <v>22</v>
      </c>
      <c r="GK78">
        <v>21</v>
      </c>
      <c r="GL78">
        <v>15</v>
      </c>
      <c r="GM78">
        <v>-0.55100000000000049</v>
      </c>
      <c r="GN78">
        <v>22</v>
      </c>
      <c r="GO78">
        <v>-11.310000000000002</v>
      </c>
      <c r="GP78">
        <v>26</v>
      </c>
      <c r="GQ78">
        <v>-1.1399999999999995</v>
      </c>
      <c r="GR78">
        <v>1</v>
      </c>
      <c r="GS78">
        <v>1.6666666666666667</v>
      </c>
      <c r="GT78">
        <v>1</v>
      </c>
      <c r="GU78">
        <v>8.8629999999999978</v>
      </c>
      <c r="GV78">
        <v>22.23</v>
      </c>
      <c r="GW78">
        <v>1.7200000000000002</v>
      </c>
      <c r="GX78">
        <v>13</v>
      </c>
      <c r="GY78">
        <v>13.5</v>
      </c>
      <c r="GZ78">
        <v>14</v>
      </c>
      <c r="HA78">
        <v>0.33999999999999986</v>
      </c>
      <c r="HB78">
        <v>13</v>
      </c>
      <c r="HC78">
        <v>4.0000000000000015E-2</v>
      </c>
      <c r="HD78">
        <v>-1.4500000000000002</v>
      </c>
      <c r="HE78">
        <v>30</v>
      </c>
      <c r="HF78">
        <v>25.75</v>
      </c>
      <c r="HG78">
        <v>23</v>
      </c>
      <c r="HH78">
        <v>-1.7420898681411567E-2</v>
      </c>
      <c r="HI78">
        <v>24</v>
      </c>
      <c r="HJ78">
        <v>-1.4481318091573239E-2</v>
      </c>
      <c r="HK78">
        <v>30</v>
      </c>
      <c r="HL78">
        <v>9.844083694083694E-2</v>
      </c>
      <c r="HM78">
        <v>26</v>
      </c>
      <c r="HN78">
        <v>-1.9799999999999998</v>
      </c>
      <c r="HO78">
        <v>2.1900000000000022</v>
      </c>
      <c r="HP78">
        <v>3.0500000000000007</v>
      </c>
      <c r="HQ78">
        <v>-0.80999999999999994</v>
      </c>
      <c r="HR78">
        <v>34.029999999999994</v>
      </c>
      <c r="HS78">
        <v>38.140000000000008</v>
      </c>
      <c r="HT78">
        <v>-13.670000000000002</v>
      </c>
      <c r="HU78">
        <v>7.75</v>
      </c>
      <c r="HV78">
        <v>1.8099999999999998</v>
      </c>
      <c r="HW78">
        <v>4</v>
      </c>
      <c r="HX78">
        <v>6.4785999999999992</v>
      </c>
      <c r="HY78">
        <v>2.3651999999999993</v>
      </c>
      <c r="HZ78">
        <v>51.810000000000009</v>
      </c>
      <c r="IA78">
        <v>29</v>
      </c>
      <c r="IB78">
        <v>2.1437499999999998</v>
      </c>
      <c r="IC78">
        <v>1.5200000000000002</v>
      </c>
    </row>
    <row r="79" spans="1:237" x14ac:dyDescent="0.2">
      <c r="A79" s="19">
        <v>44122</v>
      </c>
      <c r="B79" s="13" t="s">
        <v>252</v>
      </c>
      <c r="C79" s="41" t="s">
        <v>302</v>
      </c>
      <c r="D79" s="14" t="s">
        <v>278</v>
      </c>
      <c r="E79">
        <v>4.32</v>
      </c>
      <c r="F79">
        <v>6.8</v>
      </c>
      <c r="G79">
        <v>0</v>
      </c>
      <c r="H79">
        <v>5.8</v>
      </c>
      <c r="I79">
        <v>-7</v>
      </c>
      <c r="J79">
        <v>44</v>
      </c>
      <c r="K79" t="s">
        <v>735</v>
      </c>
      <c r="L79" t="s">
        <v>302</v>
      </c>
      <c r="M79">
        <v>22</v>
      </c>
      <c r="N79">
        <v>-1.6410000000000009</v>
      </c>
      <c r="O79">
        <v>18</v>
      </c>
      <c r="P79">
        <v>18</v>
      </c>
      <c r="Q79">
        <v>18</v>
      </c>
      <c r="R79">
        <v>-0.20500000000000007</v>
      </c>
      <c r="S79">
        <v>26</v>
      </c>
      <c r="T79">
        <v>-2.9</v>
      </c>
      <c r="U79">
        <v>16</v>
      </c>
      <c r="V79">
        <v>4.1499999999999986</v>
      </c>
      <c r="W79">
        <v>12</v>
      </c>
      <c r="X79">
        <v>0.3999999999999998</v>
      </c>
      <c r="Y79">
        <v>29</v>
      </c>
      <c r="Z79">
        <v>25</v>
      </c>
      <c r="AA79">
        <v>27</v>
      </c>
      <c r="AB79">
        <v>-5.2249999999999996</v>
      </c>
      <c r="AC79">
        <v>32</v>
      </c>
      <c r="AD79">
        <v>-6</v>
      </c>
      <c r="AE79">
        <v>30</v>
      </c>
      <c r="AF79">
        <v>-25.55</v>
      </c>
      <c r="AG79">
        <v>18</v>
      </c>
      <c r="AH79">
        <v>-0.15000000000000013</v>
      </c>
      <c r="AI79">
        <v>2</v>
      </c>
      <c r="AJ79">
        <v>4</v>
      </c>
      <c r="AK79">
        <v>2</v>
      </c>
      <c r="AL79">
        <v>5.0199999999999996</v>
      </c>
      <c r="AM79">
        <v>5</v>
      </c>
      <c r="AN79">
        <v>3.1</v>
      </c>
      <c r="AO79">
        <v>2</v>
      </c>
      <c r="AP79">
        <v>29.7</v>
      </c>
      <c r="AQ79">
        <v>8</v>
      </c>
      <c r="AR79">
        <v>0.54999999999999993</v>
      </c>
      <c r="AS79">
        <v>22</v>
      </c>
      <c r="AT79">
        <v>21.666666666666668</v>
      </c>
      <c r="AU79">
        <v>29</v>
      </c>
      <c r="AV79">
        <v>-7.75</v>
      </c>
      <c r="AW79">
        <v>25</v>
      </c>
      <c r="AX79">
        <v>-19.55</v>
      </c>
      <c r="AY79">
        <v>11</v>
      </c>
      <c r="AZ79">
        <v>0.84999999999999987</v>
      </c>
      <c r="BA79">
        <v>26</v>
      </c>
      <c r="BB79">
        <v>25.333333333333332</v>
      </c>
      <c r="BC79">
        <v>29</v>
      </c>
      <c r="BD79">
        <v>-4.2350000000000012</v>
      </c>
      <c r="BE79">
        <v>24</v>
      </c>
      <c r="BF79">
        <v>-10.3</v>
      </c>
      <c r="BG79">
        <v>23</v>
      </c>
      <c r="BH79">
        <v>-0.84999999999999987</v>
      </c>
      <c r="BI79">
        <v>18</v>
      </c>
      <c r="BJ79">
        <v>18.333333333333332</v>
      </c>
      <c r="BK79">
        <v>23</v>
      </c>
      <c r="BL79">
        <v>-1.6749999999999994</v>
      </c>
      <c r="BM79">
        <v>21</v>
      </c>
      <c r="BN79">
        <v>-11.25</v>
      </c>
      <c r="BO79">
        <v>11</v>
      </c>
      <c r="BP79">
        <v>0.75</v>
      </c>
      <c r="BQ79">
        <v>17</v>
      </c>
      <c r="BR79">
        <v>17</v>
      </c>
      <c r="BS79">
        <v>26</v>
      </c>
      <c r="BT79">
        <v>-1.8399999999999996</v>
      </c>
      <c r="BU79">
        <v>15</v>
      </c>
      <c r="BV79">
        <v>2</v>
      </c>
      <c r="BW79">
        <v>10</v>
      </c>
      <c r="BX79">
        <v>0.94999999999999973</v>
      </c>
      <c r="BY79">
        <v>15</v>
      </c>
      <c r="BZ79">
        <v>15.666666666666666</v>
      </c>
      <c r="CA79">
        <v>17</v>
      </c>
      <c r="CB79">
        <v>-0.9650000000000003</v>
      </c>
      <c r="CC79">
        <v>13</v>
      </c>
      <c r="CD79">
        <v>5.3499999999999979</v>
      </c>
      <c r="CE79">
        <v>17</v>
      </c>
      <c r="CF79">
        <v>-0.39999999999999991</v>
      </c>
      <c r="CG79">
        <v>31</v>
      </c>
      <c r="CH79">
        <v>30.666666666666668</v>
      </c>
      <c r="CI79">
        <v>30</v>
      </c>
      <c r="CJ79">
        <v>-5.6999999999999993</v>
      </c>
      <c r="CK79">
        <v>-23</v>
      </c>
      <c r="CL79">
        <v>-2.7499999999999996</v>
      </c>
      <c r="CM79">
        <v>22</v>
      </c>
      <c r="CN79">
        <v>22.5</v>
      </c>
      <c r="CO79">
        <v>28</v>
      </c>
      <c r="CP79">
        <v>-1.6500000000000001</v>
      </c>
      <c r="CQ79">
        <v>17</v>
      </c>
      <c r="CR79">
        <v>4.9999999999999933E-2</v>
      </c>
      <c r="CS79">
        <v>5.3500000000000005</v>
      </c>
      <c r="CT79">
        <v>23</v>
      </c>
      <c r="CU79">
        <v>20.25</v>
      </c>
      <c r="CV79">
        <v>31</v>
      </c>
      <c r="CW79">
        <v>-7.4024078600046755E-2</v>
      </c>
      <c r="CX79">
        <v>12</v>
      </c>
      <c r="CY79">
        <v>2.2190256037134459E-3</v>
      </c>
      <c r="CZ79">
        <v>30</v>
      </c>
      <c r="DA79">
        <v>0.12264610389610389</v>
      </c>
      <c r="DB79">
        <v>8</v>
      </c>
      <c r="DC79">
        <v>1.9</v>
      </c>
      <c r="DD79">
        <v>2.25</v>
      </c>
      <c r="DE79">
        <v>-3.7000000000000011</v>
      </c>
      <c r="DF79">
        <v>2.4499999999999997</v>
      </c>
      <c r="DG79">
        <v>-13.549999999999997</v>
      </c>
      <c r="DH79">
        <v>-65.400000000000006</v>
      </c>
      <c r="DI79">
        <v>28.950000000000003</v>
      </c>
      <c r="DJ79">
        <v>6.0500000000000007</v>
      </c>
      <c r="DK79">
        <v>16.850000000000001</v>
      </c>
      <c r="DL79">
        <v>21</v>
      </c>
      <c r="DM79">
        <v>-1.4360000000000008</v>
      </c>
      <c r="DN79">
        <v>-2.9157000000000002</v>
      </c>
      <c r="DO79">
        <v>-94.350000000000009</v>
      </c>
      <c r="DP79">
        <v>12</v>
      </c>
      <c r="DQ79">
        <v>-2.1182500000000002</v>
      </c>
      <c r="DR79">
        <v>-1.8999999999999997</v>
      </c>
      <c r="DS79">
        <v>-1.432765625</v>
      </c>
      <c r="DT79">
        <v>-3.2098750000000003</v>
      </c>
      <c r="DU79" t="s">
        <v>278</v>
      </c>
      <c r="DV79" t="s">
        <v>240</v>
      </c>
      <c r="DW79" t="s">
        <v>540</v>
      </c>
      <c r="DX79">
        <v>8</v>
      </c>
      <c r="DY79">
        <v>2.3247499999999999</v>
      </c>
      <c r="DZ79">
        <v>25</v>
      </c>
      <c r="EA79">
        <v>22</v>
      </c>
      <c r="EB79">
        <v>26</v>
      </c>
      <c r="EC79">
        <v>-3.7137499999999988</v>
      </c>
      <c r="ED79">
        <v>24</v>
      </c>
      <c r="EE79">
        <v>-1.5875000000000001</v>
      </c>
      <c r="EF79">
        <v>21</v>
      </c>
      <c r="EG79">
        <v>-11.487499999999999</v>
      </c>
      <c r="EH79">
        <v>17</v>
      </c>
      <c r="EI79">
        <v>-0.10000000000000009</v>
      </c>
      <c r="EJ79">
        <v>18</v>
      </c>
      <c r="EK79">
        <v>18.25</v>
      </c>
      <c r="EL79">
        <v>22</v>
      </c>
      <c r="EM79">
        <v>-1.9524999999999988</v>
      </c>
      <c r="EN79">
        <v>14</v>
      </c>
      <c r="EO79">
        <v>0.33749999999999991</v>
      </c>
      <c r="EP79">
        <v>18</v>
      </c>
      <c r="EQ79">
        <v>-3.6499999999999986</v>
      </c>
      <c r="ER79">
        <v>19</v>
      </c>
      <c r="ES79">
        <v>-0.26250000000000007</v>
      </c>
      <c r="ET79">
        <v>31</v>
      </c>
      <c r="EU79">
        <v>29.666666666666668</v>
      </c>
      <c r="EV79">
        <v>30</v>
      </c>
      <c r="EW79">
        <v>-1.76125</v>
      </c>
      <c r="EX79">
        <v>29</v>
      </c>
      <c r="EY79">
        <v>-1.925</v>
      </c>
      <c r="EZ79">
        <v>30</v>
      </c>
      <c r="FA79">
        <v>-7.8375000000000004</v>
      </c>
      <c r="FB79">
        <v>13</v>
      </c>
      <c r="FC79">
        <v>0.16249999999999998</v>
      </c>
      <c r="FD79">
        <v>2</v>
      </c>
      <c r="FE79">
        <v>3.3333333333333335</v>
      </c>
      <c r="FF79">
        <v>6</v>
      </c>
      <c r="FG79">
        <v>5.862499999999998</v>
      </c>
      <c r="FH79">
        <v>2</v>
      </c>
      <c r="FI79">
        <v>34.950000000000003</v>
      </c>
      <c r="FJ79">
        <v>2</v>
      </c>
      <c r="FK79">
        <v>4</v>
      </c>
      <c r="FL79">
        <v>10</v>
      </c>
      <c r="FM79">
        <v>11.333333333333334</v>
      </c>
      <c r="FN79">
        <v>19</v>
      </c>
      <c r="FO79">
        <v>-1.302500000000002</v>
      </c>
      <c r="FP79">
        <v>8</v>
      </c>
      <c r="FQ79">
        <v>8.7250000000000014</v>
      </c>
      <c r="FR79">
        <v>7</v>
      </c>
      <c r="FS79">
        <v>1.0625</v>
      </c>
      <c r="FT79">
        <v>8</v>
      </c>
      <c r="FU79">
        <v>10.333333333333334</v>
      </c>
      <c r="FV79">
        <v>9</v>
      </c>
      <c r="FW79">
        <v>2.6262499999999998</v>
      </c>
      <c r="FX79">
        <v>20</v>
      </c>
      <c r="FY79">
        <v>-0.80000000000000071</v>
      </c>
      <c r="FZ79">
        <v>2</v>
      </c>
      <c r="GA79">
        <v>1.4375</v>
      </c>
      <c r="GB79">
        <v>2</v>
      </c>
      <c r="GC79">
        <v>2</v>
      </c>
      <c r="GD79">
        <v>2</v>
      </c>
      <c r="GE79">
        <v>4.5387500000000003</v>
      </c>
      <c r="GF79">
        <v>1</v>
      </c>
      <c r="GG79">
        <v>27.024999999999999</v>
      </c>
      <c r="GH79">
        <v>3</v>
      </c>
      <c r="GI79">
        <v>1.5</v>
      </c>
      <c r="GJ79">
        <v>18</v>
      </c>
      <c r="GK79">
        <v>18</v>
      </c>
      <c r="GL79">
        <v>28</v>
      </c>
      <c r="GM79">
        <v>-3.2174999999999998</v>
      </c>
      <c r="GN79">
        <v>11</v>
      </c>
      <c r="GO79">
        <v>3.9499999999999993</v>
      </c>
      <c r="GP79">
        <v>15</v>
      </c>
      <c r="GQ79">
        <v>-0.28749999999999964</v>
      </c>
      <c r="GR79">
        <v>21</v>
      </c>
      <c r="GS79">
        <v>19.666666666666668</v>
      </c>
      <c r="GT79">
        <v>23</v>
      </c>
      <c r="GU79">
        <v>-1.6187499999999995</v>
      </c>
      <c r="GV79">
        <v>-3.8125</v>
      </c>
      <c r="GW79">
        <v>6.25E-2</v>
      </c>
      <c r="GX79">
        <v>10</v>
      </c>
      <c r="GY79">
        <v>10.5</v>
      </c>
      <c r="GZ79">
        <v>17</v>
      </c>
      <c r="HA79">
        <v>-9.9999999999999645E-2</v>
      </c>
      <c r="HB79">
        <v>4</v>
      </c>
      <c r="HC79">
        <v>0.875</v>
      </c>
      <c r="HD79">
        <v>3.5625</v>
      </c>
      <c r="HE79">
        <v>15</v>
      </c>
      <c r="HF79">
        <v>16</v>
      </c>
      <c r="HG79">
        <v>25</v>
      </c>
      <c r="HH79">
        <v>-2.3460217192864181E-2</v>
      </c>
      <c r="HI79">
        <v>9</v>
      </c>
      <c r="HJ79">
        <v>1.092186582766156E-2</v>
      </c>
      <c r="HK79">
        <v>13</v>
      </c>
      <c r="HL79">
        <v>-2.6011904761904736E-2</v>
      </c>
      <c r="HM79">
        <v>17</v>
      </c>
      <c r="HN79">
        <v>-0.30000000000000004</v>
      </c>
      <c r="HO79">
        <v>3.7624999999999993</v>
      </c>
      <c r="HP79">
        <v>-3.3749999999999996</v>
      </c>
      <c r="HQ79">
        <v>2.1749999999999998</v>
      </c>
      <c r="HR79">
        <v>22.012500000000003</v>
      </c>
      <c r="HS79">
        <v>30.6</v>
      </c>
      <c r="HT79">
        <v>-13.024999999999999</v>
      </c>
      <c r="HU79">
        <v>-7.4749999999999996</v>
      </c>
      <c r="HV79">
        <v>11.9125</v>
      </c>
      <c r="HW79">
        <v>5</v>
      </c>
      <c r="HX79">
        <v>6.0384999999999991</v>
      </c>
      <c r="HY79">
        <v>3.1705749999999995</v>
      </c>
      <c r="HZ79">
        <v>43.625</v>
      </c>
      <c r="IA79">
        <v>28</v>
      </c>
      <c r="IB79">
        <v>0.34434375000000006</v>
      </c>
      <c r="IC79">
        <v>4.0625</v>
      </c>
    </row>
    <row r="80" spans="1:237" x14ac:dyDescent="0.2">
      <c r="A80" s="19">
        <v>44122</v>
      </c>
      <c r="B80" s="13" t="s">
        <v>252</v>
      </c>
      <c r="C80" s="41" t="s">
        <v>296</v>
      </c>
      <c r="D80" s="14" t="s">
        <v>306</v>
      </c>
      <c r="E80">
        <v>11.8</v>
      </c>
      <c r="F80">
        <v>2.1</v>
      </c>
      <c r="G80">
        <v>1.8</v>
      </c>
      <c r="H80">
        <v>5</v>
      </c>
      <c r="I80">
        <v>-2</v>
      </c>
      <c r="J80">
        <v>42</v>
      </c>
      <c r="L80" t="s">
        <v>296</v>
      </c>
      <c r="M80">
        <v>31</v>
      </c>
      <c r="N80">
        <v>-6.3089999999999984</v>
      </c>
      <c r="O80">
        <v>27</v>
      </c>
      <c r="P80">
        <v>24.5</v>
      </c>
      <c r="Q80">
        <v>27</v>
      </c>
      <c r="R80">
        <v>-4.9779999999999998</v>
      </c>
      <c r="S80">
        <v>29</v>
      </c>
      <c r="T80">
        <v>-4.46</v>
      </c>
      <c r="U80">
        <v>31</v>
      </c>
      <c r="V80">
        <v>-34.14</v>
      </c>
      <c r="W80">
        <v>11</v>
      </c>
      <c r="X80">
        <v>0.47</v>
      </c>
      <c r="Y80">
        <v>22</v>
      </c>
      <c r="Z80">
        <v>21</v>
      </c>
      <c r="AA80">
        <v>24</v>
      </c>
      <c r="AB80">
        <v>-3.3109999999999999</v>
      </c>
      <c r="AC80">
        <v>30</v>
      </c>
      <c r="AD80">
        <v>-3.9799999999999995</v>
      </c>
      <c r="AE80">
        <v>32</v>
      </c>
      <c r="AF80">
        <v>-35.15</v>
      </c>
      <c r="AG80">
        <v>7</v>
      </c>
      <c r="AH80">
        <v>1.17</v>
      </c>
      <c r="AI80">
        <v>23</v>
      </c>
      <c r="AJ80">
        <v>20.666666666666668</v>
      </c>
      <c r="AK80">
        <v>24</v>
      </c>
      <c r="AL80">
        <v>-1.6670000000000003</v>
      </c>
      <c r="AM80">
        <v>15</v>
      </c>
      <c r="AN80">
        <v>-0.48000000000000009</v>
      </c>
      <c r="AO80">
        <v>13</v>
      </c>
      <c r="AP80">
        <v>1.0100000000000002</v>
      </c>
      <c r="AQ80">
        <v>25</v>
      </c>
      <c r="AR80">
        <v>-0.7</v>
      </c>
      <c r="AS80">
        <v>28</v>
      </c>
      <c r="AT80">
        <v>26</v>
      </c>
      <c r="AU80">
        <v>27</v>
      </c>
      <c r="AV80">
        <v>-7.0562000000000005</v>
      </c>
      <c r="AW80">
        <v>27</v>
      </c>
      <c r="AX80">
        <v>-21.660000000000004</v>
      </c>
      <c r="AY80">
        <v>24</v>
      </c>
      <c r="AZ80">
        <v>-1.5</v>
      </c>
      <c r="BA80">
        <v>18</v>
      </c>
      <c r="BB80">
        <v>18.666666666666668</v>
      </c>
      <c r="BC80">
        <v>23</v>
      </c>
      <c r="BD80">
        <v>-2.0600000000000009</v>
      </c>
      <c r="BE80">
        <v>16</v>
      </c>
      <c r="BF80">
        <v>0.85999999999999943</v>
      </c>
      <c r="BG80">
        <v>17</v>
      </c>
      <c r="BH80">
        <v>-0.36999999999999994</v>
      </c>
      <c r="BI80">
        <v>25</v>
      </c>
      <c r="BJ80">
        <v>23</v>
      </c>
      <c r="BK80">
        <v>27</v>
      </c>
      <c r="BL80">
        <v>-3.4171999999999998</v>
      </c>
      <c r="BM80">
        <v>27</v>
      </c>
      <c r="BN80">
        <v>-16.580000000000002</v>
      </c>
      <c r="BO80">
        <v>15</v>
      </c>
      <c r="BP80">
        <v>0.30000000000000016</v>
      </c>
      <c r="BQ80">
        <v>26</v>
      </c>
      <c r="BR80">
        <v>25.333333333333332</v>
      </c>
      <c r="BS80">
        <v>25</v>
      </c>
      <c r="BT80">
        <v>-1.579</v>
      </c>
      <c r="BU80">
        <v>23</v>
      </c>
      <c r="BV80">
        <v>-5.9400000000000013</v>
      </c>
      <c r="BW80">
        <v>28</v>
      </c>
      <c r="BX80">
        <v>-1.4300000000000002</v>
      </c>
      <c r="BY80">
        <v>29</v>
      </c>
      <c r="BZ80">
        <v>27.666666666666668</v>
      </c>
      <c r="CA80">
        <v>29</v>
      </c>
      <c r="CB80">
        <v>-5.7330000000000014</v>
      </c>
      <c r="CC80">
        <v>30</v>
      </c>
      <c r="CD80">
        <v>-26.73</v>
      </c>
      <c r="CE80">
        <v>24</v>
      </c>
      <c r="CF80">
        <v>-1.1000000000000001</v>
      </c>
      <c r="CG80">
        <v>14</v>
      </c>
      <c r="CH80">
        <v>15.666666666666666</v>
      </c>
      <c r="CI80">
        <v>20</v>
      </c>
      <c r="CJ80">
        <v>-0.84200000000000053</v>
      </c>
      <c r="CK80">
        <v>-3.5999999999999992</v>
      </c>
      <c r="CL80">
        <v>1.23</v>
      </c>
      <c r="CM80">
        <v>4</v>
      </c>
      <c r="CN80">
        <v>6.5</v>
      </c>
      <c r="CO80">
        <v>6</v>
      </c>
      <c r="CP80">
        <v>1.7599999999999998</v>
      </c>
      <c r="CQ80">
        <v>7</v>
      </c>
      <c r="CR80">
        <v>0.43</v>
      </c>
      <c r="CS80">
        <v>0.2700000000000003</v>
      </c>
      <c r="CT80">
        <v>7</v>
      </c>
      <c r="CU80">
        <v>10</v>
      </c>
      <c r="CV80">
        <v>6</v>
      </c>
      <c r="CW80">
        <v>6.7893751141854558E-2</v>
      </c>
      <c r="CX80">
        <v>14</v>
      </c>
      <c r="CY80">
        <v>5.2228055067586601E-5</v>
      </c>
      <c r="CZ80">
        <v>19</v>
      </c>
      <c r="DA80">
        <v>2.0983221456905655E-2</v>
      </c>
      <c r="DB80">
        <v>1</v>
      </c>
      <c r="DC80">
        <v>4.6400000000000006</v>
      </c>
      <c r="DD80">
        <v>-3.6</v>
      </c>
      <c r="DE80">
        <v>-8.27</v>
      </c>
      <c r="DF80">
        <v>0.76</v>
      </c>
      <c r="DG80">
        <v>-51.719999999999992</v>
      </c>
      <c r="DH80">
        <v>-21.35</v>
      </c>
      <c r="DI80">
        <v>-36.370000000000005</v>
      </c>
      <c r="DJ80">
        <v>-1.65</v>
      </c>
      <c r="DK80">
        <v>7.65</v>
      </c>
      <c r="DL80">
        <v>20</v>
      </c>
      <c r="DM80">
        <v>-1.3309999999999982</v>
      </c>
      <c r="DN80">
        <v>-0.35244000000000009</v>
      </c>
      <c r="DO80">
        <v>15.020000000000003</v>
      </c>
      <c r="DP80">
        <v>13</v>
      </c>
      <c r="DQ80">
        <v>-2.1781500000000005</v>
      </c>
      <c r="DR80">
        <v>-0.27</v>
      </c>
      <c r="DS80">
        <v>-0.83555000000000068</v>
      </c>
      <c r="DT80">
        <v>-1.8088000000000009</v>
      </c>
      <c r="DU80" t="s">
        <v>306</v>
      </c>
      <c r="DV80" t="s">
        <v>283</v>
      </c>
      <c r="DW80" t="s">
        <v>454</v>
      </c>
      <c r="DX80">
        <v>6</v>
      </c>
      <c r="DY80">
        <v>3.1895999999999995</v>
      </c>
      <c r="DZ80">
        <v>18</v>
      </c>
      <c r="EA80">
        <v>18.25</v>
      </c>
      <c r="EB80">
        <v>19</v>
      </c>
      <c r="EC80">
        <v>-0.46000000000000107</v>
      </c>
      <c r="ED80">
        <v>11</v>
      </c>
      <c r="EE80">
        <v>1.6400000000000003</v>
      </c>
      <c r="EF80">
        <v>19</v>
      </c>
      <c r="EG80">
        <v>-5.92</v>
      </c>
      <c r="EH80">
        <v>24</v>
      </c>
      <c r="EI80">
        <v>-0.72</v>
      </c>
      <c r="EJ80">
        <v>17</v>
      </c>
      <c r="EK80">
        <v>18</v>
      </c>
      <c r="EL80">
        <v>12</v>
      </c>
      <c r="EM80">
        <v>1.0359999999999996</v>
      </c>
      <c r="EN80">
        <v>17</v>
      </c>
      <c r="EO80">
        <v>-7.999999999999971E-2</v>
      </c>
      <c r="EP80">
        <v>20</v>
      </c>
      <c r="EQ80">
        <v>-5.9599999999999991</v>
      </c>
      <c r="ER80">
        <v>23</v>
      </c>
      <c r="ES80">
        <v>-0.48</v>
      </c>
      <c r="ET80">
        <v>17</v>
      </c>
      <c r="EU80">
        <v>15.666666666666666</v>
      </c>
      <c r="EV80">
        <v>27</v>
      </c>
      <c r="EW80">
        <v>-1.4960000000000007</v>
      </c>
      <c r="EX80">
        <v>6</v>
      </c>
      <c r="EY80">
        <v>1.72</v>
      </c>
      <c r="EZ80">
        <v>14</v>
      </c>
      <c r="FA80">
        <v>3.9999999999998793E-2</v>
      </c>
      <c r="FB80">
        <v>21</v>
      </c>
      <c r="FC80">
        <v>-0.23999999999999994</v>
      </c>
      <c r="FD80">
        <v>24</v>
      </c>
      <c r="FE80">
        <v>22.333333333333332</v>
      </c>
      <c r="FF80">
        <v>28</v>
      </c>
      <c r="FG80">
        <v>-5.9400000000000013</v>
      </c>
      <c r="FH80">
        <v>18</v>
      </c>
      <c r="FI80">
        <v>-3.9999999999999147E-2</v>
      </c>
      <c r="FJ80">
        <v>21</v>
      </c>
      <c r="FK80">
        <v>-0.83999999999999975</v>
      </c>
      <c r="FL80">
        <v>25</v>
      </c>
      <c r="FM80">
        <v>24.333333333333332</v>
      </c>
      <c r="FN80">
        <v>27</v>
      </c>
      <c r="FO80">
        <v>-3.6448000000000009</v>
      </c>
      <c r="FP80">
        <v>21</v>
      </c>
      <c r="FQ80">
        <v>-6.4799999999999986</v>
      </c>
      <c r="FR80">
        <v>25</v>
      </c>
      <c r="FS80">
        <v>-1.1999999999999997</v>
      </c>
      <c r="FT80">
        <v>19</v>
      </c>
      <c r="FU80">
        <v>18.333333333333332</v>
      </c>
      <c r="FV80">
        <v>25</v>
      </c>
      <c r="FW80">
        <v>-2.7312000000000003</v>
      </c>
      <c r="FX80">
        <v>23</v>
      </c>
      <c r="FY80">
        <v>-5.3999999999999995</v>
      </c>
      <c r="FZ80">
        <v>7</v>
      </c>
      <c r="GA80">
        <v>0.64000000000000012</v>
      </c>
      <c r="GB80">
        <v>11</v>
      </c>
      <c r="GC80">
        <v>12.333333333333334</v>
      </c>
      <c r="GD80">
        <v>12</v>
      </c>
      <c r="GE80">
        <v>0.43599999999999983</v>
      </c>
      <c r="GF80">
        <v>3</v>
      </c>
      <c r="GG80">
        <v>11.84</v>
      </c>
      <c r="GH80">
        <v>22</v>
      </c>
      <c r="GI80">
        <v>-0.28000000000000014</v>
      </c>
      <c r="GJ80">
        <v>10</v>
      </c>
      <c r="GK80">
        <v>13.666666666666666</v>
      </c>
      <c r="GL80">
        <v>10</v>
      </c>
      <c r="GM80">
        <v>1.5760000000000005</v>
      </c>
      <c r="GN80">
        <v>13</v>
      </c>
      <c r="GO80">
        <v>1.3599999999999965</v>
      </c>
      <c r="GP80">
        <v>18</v>
      </c>
      <c r="GQ80">
        <v>-0.4</v>
      </c>
      <c r="GR80">
        <v>9</v>
      </c>
      <c r="GS80">
        <v>9.6666666666666661</v>
      </c>
      <c r="GT80">
        <v>6</v>
      </c>
      <c r="GU80">
        <v>3.6319999999999992</v>
      </c>
      <c r="GV80">
        <v>18.080000000000002</v>
      </c>
      <c r="GW80">
        <v>-0.27999999999999992</v>
      </c>
      <c r="GX80">
        <v>11</v>
      </c>
      <c r="GY80">
        <v>12</v>
      </c>
      <c r="GZ80">
        <v>10</v>
      </c>
      <c r="HA80">
        <v>0.68000000000000027</v>
      </c>
      <c r="HB80">
        <v>14</v>
      </c>
      <c r="HC80">
        <v>3.9999999999999945E-2</v>
      </c>
      <c r="HD80">
        <v>0.83999999999999986</v>
      </c>
      <c r="HE80">
        <v>5</v>
      </c>
      <c r="HF80">
        <v>9.75</v>
      </c>
      <c r="HG80">
        <v>10</v>
      </c>
      <c r="HH80">
        <v>1.5296075413298593E-2</v>
      </c>
      <c r="HI80">
        <v>5</v>
      </c>
      <c r="HJ80">
        <v>2.0000486763816487E-2</v>
      </c>
      <c r="HK80">
        <v>14</v>
      </c>
      <c r="HL80">
        <v>-2.1919191919191915E-2</v>
      </c>
      <c r="HM80">
        <v>10</v>
      </c>
      <c r="HN80">
        <v>0.4</v>
      </c>
      <c r="HO80">
        <v>-0.39999999999999714</v>
      </c>
      <c r="HP80">
        <v>2.6</v>
      </c>
      <c r="HQ80">
        <v>-1.48</v>
      </c>
      <c r="HR80">
        <v>-7.4</v>
      </c>
      <c r="HS80">
        <v>10.360000000000008</v>
      </c>
      <c r="HT80">
        <v>-6.8800000000000008</v>
      </c>
      <c r="HU80">
        <v>-6.3999999999999995</v>
      </c>
      <c r="HV80">
        <v>-4.4799999999999986</v>
      </c>
      <c r="HW80">
        <v>10</v>
      </c>
      <c r="HX80">
        <v>3.6496000000000004</v>
      </c>
      <c r="HY80">
        <v>0.40632000000000001</v>
      </c>
      <c r="HZ80">
        <v>17.240000000000009</v>
      </c>
      <c r="IA80">
        <v>23</v>
      </c>
      <c r="IB80">
        <v>0.1376999999999996</v>
      </c>
      <c r="IC80">
        <v>-1.1199999999999997</v>
      </c>
    </row>
    <row r="81" spans="1:237" x14ac:dyDescent="0.2">
      <c r="A81" s="19">
        <v>44122</v>
      </c>
      <c r="B81" s="13" t="s">
        <v>252</v>
      </c>
      <c r="C81" s="41" t="s">
        <v>298</v>
      </c>
      <c r="D81" s="14" t="s">
        <v>293</v>
      </c>
      <c r="E81">
        <v>11.8</v>
      </c>
      <c r="F81">
        <v>10.199999999999999</v>
      </c>
      <c r="G81">
        <v>1.8</v>
      </c>
      <c r="H81">
        <v>3.7</v>
      </c>
      <c r="I81">
        <v>8.5</v>
      </c>
      <c r="J81">
        <v>46.5</v>
      </c>
      <c r="L81" t="s">
        <v>298</v>
      </c>
      <c r="M81">
        <v>29</v>
      </c>
      <c r="N81">
        <v>-5.0563999999999991</v>
      </c>
      <c r="O81">
        <v>29</v>
      </c>
      <c r="P81">
        <v>26.75</v>
      </c>
      <c r="Q81">
        <v>28</v>
      </c>
      <c r="R81">
        <v>-5.9789999999999992</v>
      </c>
      <c r="S81">
        <v>25</v>
      </c>
      <c r="T81">
        <v>-2.8000000000000003</v>
      </c>
      <c r="U81">
        <v>28</v>
      </c>
      <c r="V81">
        <v>-20.16</v>
      </c>
      <c r="W81">
        <v>26</v>
      </c>
      <c r="X81">
        <v>-0.9900000000000001</v>
      </c>
      <c r="Y81">
        <v>31</v>
      </c>
      <c r="Z81">
        <v>28.333333333333332</v>
      </c>
      <c r="AA81">
        <v>29</v>
      </c>
      <c r="AB81">
        <v>-6.9169999999999989</v>
      </c>
      <c r="AC81">
        <v>22</v>
      </c>
      <c r="AD81">
        <v>-1.5700000000000003</v>
      </c>
      <c r="AE81">
        <v>28</v>
      </c>
      <c r="AF81">
        <v>-15.09</v>
      </c>
      <c r="AG81">
        <v>28</v>
      </c>
      <c r="AH81">
        <v>-1.47</v>
      </c>
      <c r="AI81">
        <v>11</v>
      </c>
      <c r="AJ81">
        <v>13.666666666666666</v>
      </c>
      <c r="AK81">
        <v>11</v>
      </c>
      <c r="AL81">
        <v>0.9379999999999995</v>
      </c>
      <c r="AM81">
        <v>20</v>
      </c>
      <c r="AN81">
        <v>-1.23</v>
      </c>
      <c r="AO81">
        <v>20</v>
      </c>
      <c r="AP81">
        <v>-5.07</v>
      </c>
      <c r="AQ81">
        <v>10</v>
      </c>
      <c r="AR81">
        <v>0.47999999999999987</v>
      </c>
      <c r="AS81">
        <v>13</v>
      </c>
      <c r="AT81">
        <v>13.333333333333334</v>
      </c>
      <c r="AU81">
        <v>15</v>
      </c>
      <c r="AV81">
        <v>-0.48080000000000034</v>
      </c>
      <c r="AW81">
        <v>17</v>
      </c>
      <c r="AX81">
        <v>-5.1600000000000019</v>
      </c>
      <c r="AY81">
        <v>8</v>
      </c>
      <c r="AZ81">
        <v>2.67</v>
      </c>
      <c r="BA81">
        <v>6</v>
      </c>
      <c r="BB81">
        <v>7</v>
      </c>
      <c r="BC81">
        <v>6</v>
      </c>
      <c r="BD81">
        <v>4.3121999999999998</v>
      </c>
      <c r="BE81">
        <v>5</v>
      </c>
      <c r="BF81">
        <v>15.829999999999998</v>
      </c>
      <c r="BG81">
        <v>10</v>
      </c>
      <c r="BH81">
        <v>0.71</v>
      </c>
      <c r="BI81">
        <v>11</v>
      </c>
      <c r="BJ81">
        <v>14.666666666666666</v>
      </c>
      <c r="BK81">
        <v>24</v>
      </c>
      <c r="BL81">
        <v>-2.0839999999999996</v>
      </c>
      <c r="BM81">
        <v>15</v>
      </c>
      <c r="BN81">
        <v>-1.5400000000000005</v>
      </c>
      <c r="BO81">
        <v>5</v>
      </c>
      <c r="BP81">
        <v>1.4300000000000002</v>
      </c>
      <c r="BQ81">
        <v>26</v>
      </c>
      <c r="BR81">
        <v>25.333333333333332</v>
      </c>
      <c r="BS81">
        <v>30</v>
      </c>
      <c r="BT81">
        <v>-2.7090000000000005</v>
      </c>
      <c r="BU81">
        <v>32</v>
      </c>
      <c r="BV81">
        <v>-19.45</v>
      </c>
      <c r="BW81">
        <v>14</v>
      </c>
      <c r="BX81">
        <v>0.53</v>
      </c>
      <c r="BY81">
        <v>6</v>
      </c>
      <c r="BZ81">
        <v>7.666666666666667</v>
      </c>
      <c r="CA81">
        <v>11</v>
      </c>
      <c r="CB81">
        <v>2.198999999999999</v>
      </c>
      <c r="CC81">
        <v>5</v>
      </c>
      <c r="CD81">
        <v>16.690000000000001</v>
      </c>
      <c r="CE81">
        <v>7</v>
      </c>
      <c r="CF81">
        <v>1.52</v>
      </c>
      <c r="CG81">
        <v>30</v>
      </c>
      <c r="CH81">
        <v>27.333333333333332</v>
      </c>
      <c r="CI81">
        <v>29</v>
      </c>
      <c r="CJ81">
        <v>-4.5019999999999998</v>
      </c>
      <c r="CK81">
        <v>-18.5</v>
      </c>
      <c r="CL81">
        <v>-1.1800000000000002</v>
      </c>
      <c r="CM81">
        <v>26</v>
      </c>
      <c r="CN81">
        <v>24</v>
      </c>
      <c r="CO81">
        <v>22</v>
      </c>
      <c r="CP81">
        <v>-1.0200000000000002</v>
      </c>
      <c r="CQ81">
        <v>26</v>
      </c>
      <c r="CR81">
        <v>-0.36</v>
      </c>
      <c r="CS81">
        <v>-2.06</v>
      </c>
      <c r="CT81">
        <v>3</v>
      </c>
      <c r="CU81">
        <v>8.25</v>
      </c>
      <c r="CV81">
        <v>2</v>
      </c>
      <c r="CW81">
        <v>0.10682389534736222</v>
      </c>
      <c r="CX81">
        <v>9</v>
      </c>
      <c r="CY81">
        <v>1.2876759508007807E-2</v>
      </c>
      <c r="CZ81">
        <v>20</v>
      </c>
      <c r="DA81">
        <v>3.6301587301587321E-2</v>
      </c>
      <c r="DB81">
        <v>2</v>
      </c>
      <c r="DC81">
        <v>4.2099999999999991</v>
      </c>
      <c r="DD81">
        <v>1.5899999999999992</v>
      </c>
      <c r="DE81">
        <v>-7.95</v>
      </c>
      <c r="DF81">
        <v>0.21000000000000005</v>
      </c>
      <c r="DG81">
        <v>-44.629999999999995</v>
      </c>
      <c r="DH81">
        <v>-41.51</v>
      </c>
      <c r="DI81">
        <v>-11.6</v>
      </c>
      <c r="DJ81">
        <v>2.7199999999999998</v>
      </c>
      <c r="DK81">
        <v>5.7599999999999989</v>
      </c>
      <c r="DL81">
        <v>16</v>
      </c>
      <c r="DM81">
        <v>0.92260000000000031</v>
      </c>
      <c r="DN81">
        <v>0.98165999999999976</v>
      </c>
      <c r="DO81">
        <v>-29.909999999999997</v>
      </c>
      <c r="DP81">
        <v>17</v>
      </c>
      <c r="DQ81">
        <v>-2.1297749999999995</v>
      </c>
      <c r="DR81">
        <v>1.4899999999999998</v>
      </c>
      <c r="DS81">
        <v>-2.1487499999999882E-2</v>
      </c>
      <c r="DT81">
        <v>1.1972</v>
      </c>
      <c r="DU81" t="s">
        <v>293</v>
      </c>
      <c r="DV81" t="s">
        <v>264</v>
      </c>
      <c r="DW81" t="s">
        <v>468</v>
      </c>
      <c r="DX81">
        <v>25</v>
      </c>
      <c r="DY81">
        <v>-2.6923999999999992</v>
      </c>
      <c r="DZ81">
        <v>21</v>
      </c>
      <c r="EA81">
        <v>19.25</v>
      </c>
      <c r="EB81">
        <v>17</v>
      </c>
      <c r="EC81">
        <v>-4.7999999999999599E-2</v>
      </c>
      <c r="ED81">
        <v>19</v>
      </c>
      <c r="EE81">
        <v>-0.90999999999999981</v>
      </c>
      <c r="EF81">
        <v>15</v>
      </c>
      <c r="EG81">
        <v>2.8900000000000023</v>
      </c>
      <c r="EH81">
        <v>26</v>
      </c>
      <c r="EI81">
        <v>-1.26</v>
      </c>
      <c r="EJ81">
        <v>15</v>
      </c>
      <c r="EK81">
        <v>17</v>
      </c>
      <c r="EL81">
        <v>10</v>
      </c>
      <c r="EM81">
        <v>1.579</v>
      </c>
      <c r="EN81">
        <v>16</v>
      </c>
      <c r="EO81">
        <v>2.0000000000000285E-2</v>
      </c>
      <c r="EP81">
        <v>11</v>
      </c>
      <c r="EQ81">
        <v>7.9400000000000022</v>
      </c>
      <c r="ER81">
        <v>31</v>
      </c>
      <c r="ES81">
        <v>-1.35</v>
      </c>
      <c r="ET81">
        <v>27</v>
      </c>
      <c r="EU81">
        <v>25.333333333333332</v>
      </c>
      <c r="EV81">
        <v>29</v>
      </c>
      <c r="EW81">
        <v>-1.6269999999999996</v>
      </c>
      <c r="EX81">
        <v>23</v>
      </c>
      <c r="EY81">
        <v>-0.93</v>
      </c>
      <c r="EZ81">
        <v>24</v>
      </c>
      <c r="FA81">
        <v>-5.05</v>
      </c>
      <c r="FB81">
        <v>15</v>
      </c>
      <c r="FC81">
        <v>0.09</v>
      </c>
      <c r="FD81">
        <v>22</v>
      </c>
      <c r="FE81">
        <v>19.333333333333332</v>
      </c>
      <c r="FF81">
        <v>22</v>
      </c>
      <c r="FG81">
        <v>-3.0310000000000006</v>
      </c>
      <c r="FH81">
        <v>16</v>
      </c>
      <c r="FI81">
        <v>1.4899999999999993</v>
      </c>
      <c r="FJ81">
        <v>20</v>
      </c>
      <c r="FK81">
        <v>-0.35999999999999976</v>
      </c>
      <c r="FL81">
        <v>20</v>
      </c>
      <c r="FM81">
        <v>19.666666666666668</v>
      </c>
      <c r="FN81">
        <v>22</v>
      </c>
      <c r="FO81">
        <v>-2.7860000000000005</v>
      </c>
      <c r="FP81">
        <v>20</v>
      </c>
      <c r="FQ81">
        <v>-6.3800000000000008</v>
      </c>
      <c r="FR81">
        <v>17</v>
      </c>
      <c r="FS81">
        <v>0.21999999999999992</v>
      </c>
      <c r="FT81">
        <v>20</v>
      </c>
      <c r="FU81">
        <v>20</v>
      </c>
      <c r="FV81">
        <v>21</v>
      </c>
      <c r="FW81">
        <v>-1.3430000000000004</v>
      </c>
      <c r="FX81">
        <v>16</v>
      </c>
      <c r="FY81">
        <v>1.5700000000000003</v>
      </c>
      <c r="FZ81">
        <v>23</v>
      </c>
      <c r="GA81">
        <v>-0.38999999999999985</v>
      </c>
      <c r="GB81">
        <v>8</v>
      </c>
      <c r="GC81">
        <v>11.333333333333334</v>
      </c>
      <c r="GD81">
        <v>9</v>
      </c>
      <c r="GE81">
        <v>1.0980000000000005</v>
      </c>
      <c r="GF81">
        <v>6</v>
      </c>
      <c r="GG81">
        <v>6.3</v>
      </c>
      <c r="GH81">
        <v>19</v>
      </c>
      <c r="GI81">
        <v>-0.18999999999999986</v>
      </c>
      <c r="GJ81">
        <v>20</v>
      </c>
      <c r="GK81">
        <v>19.333333333333332</v>
      </c>
      <c r="GL81">
        <v>21</v>
      </c>
      <c r="GM81">
        <v>-2.0979999999999999</v>
      </c>
      <c r="GN81">
        <v>24</v>
      </c>
      <c r="GO81">
        <v>-12.479999999999999</v>
      </c>
      <c r="GP81">
        <v>13</v>
      </c>
      <c r="GQ81">
        <v>-0.16999999999999993</v>
      </c>
      <c r="GR81">
        <v>15</v>
      </c>
      <c r="GS81">
        <v>17.666666666666668</v>
      </c>
      <c r="GT81">
        <v>26</v>
      </c>
      <c r="GU81">
        <v>-2.5100000000000002</v>
      </c>
      <c r="GV81">
        <v>0.28000000000000042</v>
      </c>
      <c r="GW81">
        <v>0.12000000000000019</v>
      </c>
      <c r="GX81">
        <v>27</v>
      </c>
      <c r="GY81">
        <v>26.5</v>
      </c>
      <c r="GZ81">
        <v>27</v>
      </c>
      <c r="HA81">
        <v>-1.64</v>
      </c>
      <c r="HB81">
        <v>26</v>
      </c>
      <c r="HC81">
        <v>-0.63</v>
      </c>
      <c r="HD81">
        <v>-2</v>
      </c>
      <c r="HE81">
        <v>11</v>
      </c>
      <c r="HF81">
        <v>14.5</v>
      </c>
      <c r="HG81">
        <v>16</v>
      </c>
      <c r="HH81">
        <v>1.2972281323759937E-3</v>
      </c>
      <c r="HI81">
        <v>10</v>
      </c>
      <c r="HJ81">
        <v>1.0403541169815608E-2</v>
      </c>
      <c r="HK81">
        <v>23</v>
      </c>
      <c r="HL81">
        <v>4.915417915417912E-2</v>
      </c>
      <c r="HM81">
        <v>9</v>
      </c>
      <c r="HN81">
        <v>0.69999999999999984</v>
      </c>
      <c r="HO81">
        <v>-3.1900000000000004</v>
      </c>
      <c r="HP81">
        <v>-3.1100000000000003</v>
      </c>
      <c r="HQ81">
        <v>-0.78</v>
      </c>
      <c r="HR81">
        <v>3.2100000000000022</v>
      </c>
      <c r="HS81">
        <v>-4.6399999999999979</v>
      </c>
      <c r="HT81">
        <v>8.86</v>
      </c>
      <c r="HU81">
        <v>-3.2899999999999991</v>
      </c>
      <c r="HV81">
        <v>2.2800000000000002</v>
      </c>
      <c r="HW81">
        <v>20</v>
      </c>
      <c r="HX81">
        <v>-2.6443999999999996</v>
      </c>
      <c r="HY81">
        <v>-1.6226800000000001</v>
      </c>
      <c r="HZ81">
        <v>-13.499999999999996</v>
      </c>
      <c r="IA81">
        <v>13</v>
      </c>
      <c r="IB81">
        <v>-1.2401749999999998</v>
      </c>
      <c r="IC81">
        <v>-0.23999999999999957</v>
      </c>
    </row>
    <row r="82" spans="1:237" x14ac:dyDescent="0.2">
      <c r="A82" s="19">
        <v>44122</v>
      </c>
      <c r="B82" s="13" t="s">
        <v>252</v>
      </c>
      <c r="C82" s="41" t="s">
        <v>294</v>
      </c>
      <c r="D82" s="14" t="s">
        <v>305</v>
      </c>
      <c r="E82">
        <v>19.5</v>
      </c>
      <c r="F82">
        <v>5.9</v>
      </c>
      <c r="G82">
        <v>6</v>
      </c>
      <c r="H82">
        <v>7.3</v>
      </c>
      <c r="I82">
        <v>10</v>
      </c>
      <c r="J82">
        <v>47</v>
      </c>
      <c r="K82" t="s">
        <v>734</v>
      </c>
      <c r="L82" t="s">
        <v>294</v>
      </c>
      <c r="M82">
        <v>19</v>
      </c>
      <c r="N82">
        <v>-0.72179999999999789</v>
      </c>
      <c r="O82">
        <v>17</v>
      </c>
      <c r="P82">
        <v>17.25</v>
      </c>
      <c r="Q82">
        <v>22</v>
      </c>
      <c r="R82">
        <v>-2.7460000000000004</v>
      </c>
      <c r="S82">
        <v>23</v>
      </c>
      <c r="T82">
        <v>-2.0599999999999996</v>
      </c>
      <c r="U82">
        <v>17</v>
      </c>
      <c r="V82">
        <v>-1.6600000000000037</v>
      </c>
      <c r="W82">
        <v>7</v>
      </c>
      <c r="X82">
        <v>0.79</v>
      </c>
      <c r="Y82">
        <v>8</v>
      </c>
      <c r="Z82">
        <v>11</v>
      </c>
      <c r="AA82">
        <v>17</v>
      </c>
      <c r="AB82">
        <v>0.43299999999999983</v>
      </c>
      <c r="AC82">
        <v>18</v>
      </c>
      <c r="AD82">
        <v>-0.77999999999999969</v>
      </c>
      <c r="AE82">
        <v>13</v>
      </c>
      <c r="AF82">
        <v>9.889999999999997</v>
      </c>
      <c r="AG82">
        <v>3</v>
      </c>
      <c r="AH82">
        <v>1.45</v>
      </c>
      <c r="AI82">
        <v>32</v>
      </c>
      <c r="AJ82">
        <v>28</v>
      </c>
      <c r="AK82">
        <v>31</v>
      </c>
      <c r="AL82">
        <v>-3.1790000000000003</v>
      </c>
      <c r="AM82">
        <v>21</v>
      </c>
      <c r="AN82">
        <v>-1.28</v>
      </c>
      <c r="AO82">
        <v>29</v>
      </c>
      <c r="AP82">
        <v>-11.55</v>
      </c>
      <c r="AQ82">
        <v>24</v>
      </c>
      <c r="AR82">
        <v>-0.65999999999999992</v>
      </c>
      <c r="AS82">
        <v>20</v>
      </c>
      <c r="AT82">
        <v>19</v>
      </c>
      <c r="AU82">
        <v>20</v>
      </c>
      <c r="AV82">
        <v>-2.1770000000000005</v>
      </c>
      <c r="AW82">
        <v>24</v>
      </c>
      <c r="AX82">
        <v>-18.060000000000002</v>
      </c>
      <c r="AY82">
        <v>13</v>
      </c>
      <c r="AZ82">
        <v>0.5</v>
      </c>
      <c r="BA82">
        <v>10</v>
      </c>
      <c r="BB82">
        <v>11</v>
      </c>
      <c r="BC82">
        <v>13</v>
      </c>
      <c r="BD82">
        <v>-0.15600000000000006</v>
      </c>
      <c r="BE82">
        <v>13</v>
      </c>
      <c r="BF82">
        <v>3.5399999999999991</v>
      </c>
      <c r="BG82">
        <v>7</v>
      </c>
      <c r="BH82">
        <v>1.0699999999999998</v>
      </c>
      <c r="BI82">
        <v>26</v>
      </c>
      <c r="BJ82">
        <v>23.666666666666668</v>
      </c>
      <c r="BK82">
        <v>19</v>
      </c>
      <c r="BL82">
        <v>-1.5020000000000002</v>
      </c>
      <c r="BM82">
        <v>28</v>
      </c>
      <c r="BN82">
        <v>-16.940000000000001</v>
      </c>
      <c r="BO82">
        <v>24</v>
      </c>
      <c r="BP82">
        <v>-0.57999999999999985</v>
      </c>
      <c r="BQ82">
        <v>19</v>
      </c>
      <c r="BR82">
        <v>19</v>
      </c>
      <c r="BS82">
        <v>18</v>
      </c>
      <c r="BT82">
        <v>-0.51900000000000013</v>
      </c>
      <c r="BU82">
        <v>21</v>
      </c>
      <c r="BV82">
        <v>-4.660000000000001</v>
      </c>
      <c r="BW82">
        <v>18</v>
      </c>
      <c r="BX82">
        <v>1.0000000000000054E-2</v>
      </c>
      <c r="BY82">
        <v>8</v>
      </c>
      <c r="BZ82">
        <v>9.3333333333333339</v>
      </c>
      <c r="CA82">
        <v>8</v>
      </c>
      <c r="CB82">
        <v>3.1589999999999998</v>
      </c>
      <c r="CC82">
        <v>16</v>
      </c>
      <c r="CD82">
        <v>-3.4099999999999993</v>
      </c>
      <c r="CE82">
        <v>4</v>
      </c>
      <c r="CF82">
        <v>2.74</v>
      </c>
      <c r="CG82">
        <v>6</v>
      </c>
      <c r="CH82">
        <v>7</v>
      </c>
      <c r="CI82">
        <v>9</v>
      </c>
      <c r="CJ82">
        <v>2.5859999999999999</v>
      </c>
      <c r="CK82">
        <v>12.520000000000001</v>
      </c>
      <c r="CL82">
        <v>1.8299999999999996</v>
      </c>
      <c r="CM82">
        <v>29</v>
      </c>
      <c r="CN82">
        <v>26</v>
      </c>
      <c r="CO82">
        <v>27</v>
      </c>
      <c r="CP82">
        <v>-1.5200000000000002</v>
      </c>
      <c r="CQ82">
        <v>25</v>
      </c>
      <c r="CR82">
        <v>-0.28999999999999998</v>
      </c>
      <c r="CS82">
        <v>-0.64999999999999991</v>
      </c>
      <c r="CT82">
        <v>9</v>
      </c>
      <c r="CU82">
        <v>12.75</v>
      </c>
      <c r="CV82">
        <v>20</v>
      </c>
      <c r="CW82">
        <v>-2.3830278451668102E-2</v>
      </c>
      <c r="CX82">
        <v>10</v>
      </c>
      <c r="CY82">
        <v>8.5852142426352945E-3</v>
      </c>
      <c r="CZ82">
        <v>16</v>
      </c>
      <c r="DA82">
        <v>1.7916843390527591E-2</v>
      </c>
      <c r="DB82">
        <v>5</v>
      </c>
      <c r="DC82">
        <v>2.4400000000000004</v>
      </c>
      <c r="DD82">
        <v>4.0400000000000009</v>
      </c>
      <c r="DE82">
        <v>-1.4699999999999995</v>
      </c>
      <c r="DF82">
        <v>0.83999999999999986</v>
      </c>
      <c r="DG82">
        <v>-5.9599999999999911</v>
      </c>
      <c r="DH82">
        <v>0.53000000000000114</v>
      </c>
      <c r="DI82">
        <v>-7.4900000000000038</v>
      </c>
      <c r="DJ82">
        <v>-4.01</v>
      </c>
      <c r="DK82">
        <v>5.0099999999999989</v>
      </c>
      <c r="DL82">
        <v>12</v>
      </c>
      <c r="DM82">
        <v>2.0242000000000027</v>
      </c>
      <c r="DN82">
        <v>1.3104400000000005</v>
      </c>
      <c r="DO82">
        <v>8.0200000000000049</v>
      </c>
      <c r="DP82">
        <v>21</v>
      </c>
      <c r="DQ82">
        <v>-0.5723499999999998</v>
      </c>
      <c r="DR82">
        <v>2.3299999999999996</v>
      </c>
      <c r="DS82">
        <v>-0.10650000000000048</v>
      </c>
      <c r="DT82">
        <v>1.4369999999999994</v>
      </c>
      <c r="DU82" t="s">
        <v>305</v>
      </c>
      <c r="DV82" t="s">
        <v>268</v>
      </c>
      <c r="DW82" t="s">
        <v>500</v>
      </c>
      <c r="DX82">
        <v>18</v>
      </c>
      <c r="DY82">
        <v>-0.3680000000000021</v>
      </c>
      <c r="DZ82">
        <v>20</v>
      </c>
      <c r="EA82">
        <v>18.75</v>
      </c>
      <c r="EB82">
        <v>23</v>
      </c>
      <c r="EC82">
        <v>-2.3879999999999999</v>
      </c>
      <c r="ED82">
        <v>22</v>
      </c>
      <c r="EE82">
        <v>-1.4799999999999993</v>
      </c>
      <c r="EF82">
        <v>28</v>
      </c>
      <c r="EG82">
        <v>-19.800000000000004</v>
      </c>
      <c r="EH82">
        <v>2</v>
      </c>
      <c r="EI82">
        <v>1.88</v>
      </c>
      <c r="EJ82">
        <v>21</v>
      </c>
      <c r="EK82">
        <v>19</v>
      </c>
      <c r="EL82">
        <v>24</v>
      </c>
      <c r="EM82">
        <v>-2.0919999999999996</v>
      </c>
      <c r="EN82">
        <v>19</v>
      </c>
      <c r="EO82">
        <v>-0.19999999999999929</v>
      </c>
      <c r="EP82">
        <v>28</v>
      </c>
      <c r="EQ82">
        <v>-13.48</v>
      </c>
      <c r="ER82">
        <v>5</v>
      </c>
      <c r="ES82">
        <v>1.2</v>
      </c>
      <c r="ET82">
        <v>25</v>
      </c>
      <c r="EU82">
        <v>23.666666666666668</v>
      </c>
      <c r="EV82">
        <v>19</v>
      </c>
      <c r="EW82">
        <v>-0.29600000000000043</v>
      </c>
      <c r="EX82">
        <v>25</v>
      </c>
      <c r="EY82">
        <v>-1.28</v>
      </c>
      <c r="EZ82">
        <v>27</v>
      </c>
      <c r="FA82">
        <v>-6.3200000000000021</v>
      </c>
      <c r="FB82">
        <v>6</v>
      </c>
      <c r="FC82">
        <v>0.67999999999999994</v>
      </c>
      <c r="FD82">
        <v>19</v>
      </c>
      <c r="FE82">
        <v>18.666666666666668</v>
      </c>
      <c r="FF82">
        <v>26</v>
      </c>
      <c r="FG82">
        <v>-4.9800000000000004</v>
      </c>
      <c r="FH82">
        <v>19</v>
      </c>
      <c r="FI82">
        <v>-0.83999999999999986</v>
      </c>
      <c r="FJ82">
        <v>11</v>
      </c>
      <c r="FK82">
        <v>0.48000000000000043</v>
      </c>
      <c r="FL82">
        <v>27</v>
      </c>
      <c r="FM82">
        <v>26.333333333333332</v>
      </c>
      <c r="FN82">
        <v>30</v>
      </c>
      <c r="FO82">
        <v>-4.4008000000000003</v>
      </c>
      <c r="FP82">
        <v>29</v>
      </c>
      <c r="FQ82">
        <v>-15.6</v>
      </c>
      <c r="FR82">
        <v>20</v>
      </c>
      <c r="FS82">
        <v>-0.19999999999999982</v>
      </c>
      <c r="FT82">
        <v>12</v>
      </c>
      <c r="FU82">
        <v>11.666666666666666</v>
      </c>
      <c r="FV82">
        <v>16</v>
      </c>
      <c r="FW82">
        <v>0.64480000000000004</v>
      </c>
      <c r="FX82">
        <v>7</v>
      </c>
      <c r="FY82">
        <v>10.48</v>
      </c>
      <c r="FZ82">
        <v>12</v>
      </c>
      <c r="GA82">
        <v>0.36000000000000015</v>
      </c>
      <c r="GB82">
        <v>14</v>
      </c>
      <c r="GC82">
        <v>14</v>
      </c>
      <c r="GD82">
        <v>23</v>
      </c>
      <c r="GE82">
        <v>-1.224</v>
      </c>
      <c r="GF82">
        <v>8</v>
      </c>
      <c r="GG82">
        <v>4.2799999999999994</v>
      </c>
      <c r="GH82">
        <v>11</v>
      </c>
      <c r="GI82">
        <v>0.32000000000000006</v>
      </c>
      <c r="GJ82">
        <v>12</v>
      </c>
      <c r="GK82">
        <v>14</v>
      </c>
      <c r="GL82">
        <v>23</v>
      </c>
      <c r="GM82">
        <v>-2.5519999999999992</v>
      </c>
      <c r="GN82">
        <v>12</v>
      </c>
      <c r="GO82">
        <v>2.8800000000000012</v>
      </c>
      <c r="GP82">
        <v>7</v>
      </c>
      <c r="GQ82">
        <v>0.60000000000000031</v>
      </c>
      <c r="GR82">
        <v>26</v>
      </c>
      <c r="GS82">
        <v>22.666666666666668</v>
      </c>
      <c r="GT82">
        <v>21</v>
      </c>
      <c r="GU82">
        <v>-1.3839999999999999</v>
      </c>
      <c r="GV82">
        <v>-0.6399999999999999</v>
      </c>
      <c r="GW82">
        <v>-1.4</v>
      </c>
      <c r="GX82">
        <v>31</v>
      </c>
      <c r="GY82">
        <v>29</v>
      </c>
      <c r="GZ82">
        <v>31</v>
      </c>
      <c r="HA82">
        <v>-4.08</v>
      </c>
      <c r="HB82">
        <v>27</v>
      </c>
      <c r="HC82">
        <v>-0.6399999999999999</v>
      </c>
      <c r="HD82">
        <v>-1.6800000000000002</v>
      </c>
      <c r="HE82">
        <v>2</v>
      </c>
      <c r="HF82">
        <v>9.25</v>
      </c>
      <c r="HG82">
        <v>18</v>
      </c>
      <c r="HH82">
        <v>-2.4039971427737505E-3</v>
      </c>
      <c r="HI82">
        <v>13</v>
      </c>
      <c r="HJ82">
        <v>5.840740063167189E-3</v>
      </c>
      <c r="HK82">
        <v>5</v>
      </c>
      <c r="HL82">
        <v>-7.2140359640359641E-2</v>
      </c>
      <c r="HM82">
        <v>1</v>
      </c>
      <c r="HN82">
        <v>6.839999999999999</v>
      </c>
      <c r="HO82">
        <v>1.7600000000000009</v>
      </c>
      <c r="HP82">
        <v>-8.4</v>
      </c>
      <c r="HQ82">
        <v>-0.64</v>
      </c>
      <c r="HR82">
        <v>-3.9600000000000022</v>
      </c>
      <c r="HS82">
        <v>19</v>
      </c>
      <c r="HT82">
        <v>-19.36</v>
      </c>
      <c r="HU82">
        <v>-0.72</v>
      </c>
      <c r="HV82">
        <v>-2.8800000000000003</v>
      </c>
      <c r="HW82">
        <v>13</v>
      </c>
      <c r="HX82">
        <v>2.0199999999999978</v>
      </c>
      <c r="HY82">
        <v>-0.15240000000000054</v>
      </c>
      <c r="HZ82">
        <v>38.36</v>
      </c>
      <c r="IA82">
        <v>20</v>
      </c>
      <c r="IB82">
        <v>-1.6500000000000004</v>
      </c>
      <c r="IC82">
        <v>-0.91999999999999948</v>
      </c>
    </row>
    <row r="83" spans="1:237" x14ac:dyDescent="0.2">
      <c r="A83" s="19">
        <v>44122</v>
      </c>
      <c r="B83" s="13" t="s">
        <v>252</v>
      </c>
      <c r="C83" s="41" t="s">
        <v>309</v>
      </c>
      <c r="D83" s="14" t="s">
        <v>281</v>
      </c>
      <c r="E83">
        <v>18.100000000000001</v>
      </c>
      <c r="F83">
        <v>16.8</v>
      </c>
      <c r="G83">
        <v>2.6</v>
      </c>
      <c r="H83">
        <v>2.9</v>
      </c>
      <c r="I83">
        <v>-3</v>
      </c>
      <c r="J83">
        <v>50.5</v>
      </c>
      <c r="L83" t="s">
        <v>309</v>
      </c>
      <c r="M83">
        <v>9</v>
      </c>
      <c r="N83">
        <v>1.6634999999999991</v>
      </c>
      <c r="O83">
        <v>14</v>
      </c>
      <c r="P83">
        <v>14</v>
      </c>
      <c r="Q83">
        <v>14</v>
      </c>
      <c r="R83">
        <v>0.52124999999999977</v>
      </c>
      <c r="S83">
        <v>16</v>
      </c>
      <c r="T83">
        <v>-0.39999999999999991</v>
      </c>
      <c r="U83">
        <v>5</v>
      </c>
      <c r="V83">
        <v>17.700000000000003</v>
      </c>
      <c r="W83">
        <v>21</v>
      </c>
      <c r="X83">
        <v>-0.33749999999999997</v>
      </c>
      <c r="Y83">
        <v>10</v>
      </c>
      <c r="Z83">
        <v>11.333333333333334</v>
      </c>
      <c r="AA83">
        <v>9</v>
      </c>
      <c r="AB83">
        <v>2.7737500000000002</v>
      </c>
      <c r="AC83">
        <v>12</v>
      </c>
      <c r="AD83">
        <v>0.23750000000000027</v>
      </c>
      <c r="AE83">
        <v>4</v>
      </c>
      <c r="AF83">
        <v>19.037500000000001</v>
      </c>
      <c r="AG83">
        <v>21</v>
      </c>
      <c r="AH83">
        <v>-0.58750000000000002</v>
      </c>
      <c r="AI83">
        <v>16</v>
      </c>
      <c r="AJ83">
        <v>17.333333333333332</v>
      </c>
      <c r="AK83">
        <v>26</v>
      </c>
      <c r="AL83">
        <v>-2.2525000000000004</v>
      </c>
      <c r="AM83">
        <v>16</v>
      </c>
      <c r="AN83">
        <v>-0.63750000000000018</v>
      </c>
      <c r="AO83">
        <v>14</v>
      </c>
      <c r="AP83">
        <v>-1.3375000000000004</v>
      </c>
      <c r="AQ83">
        <v>12</v>
      </c>
      <c r="AR83">
        <v>0.25000000000000006</v>
      </c>
      <c r="AS83">
        <v>9</v>
      </c>
      <c r="AT83">
        <v>10.333333333333334</v>
      </c>
      <c r="AU83">
        <v>5</v>
      </c>
      <c r="AV83">
        <v>7.6030000000000015</v>
      </c>
      <c r="AW83">
        <v>12</v>
      </c>
      <c r="AX83">
        <v>4.9000000000000021</v>
      </c>
      <c r="AY83">
        <v>14</v>
      </c>
      <c r="AZ83">
        <v>0.3875000000000004</v>
      </c>
      <c r="BA83">
        <v>5</v>
      </c>
      <c r="BB83">
        <v>5.333333333333333</v>
      </c>
      <c r="BC83">
        <v>1</v>
      </c>
      <c r="BD83">
        <v>10.026250000000001</v>
      </c>
      <c r="BE83">
        <v>7</v>
      </c>
      <c r="BF83">
        <v>14.987500000000001</v>
      </c>
      <c r="BG83">
        <v>8</v>
      </c>
      <c r="BH83">
        <v>0.98750000000000027</v>
      </c>
      <c r="BI83">
        <v>19</v>
      </c>
      <c r="BJ83">
        <v>18.666666666666668</v>
      </c>
      <c r="BK83">
        <v>25</v>
      </c>
      <c r="BL83">
        <v>-2.504999999999999</v>
      </c>
      <c r="BM83">
        <v>22</v>
      </c>
      <c r="BN83">
        <v>-12.424999999999999</v>
      </c>
      <c r="BO83">
        <v>9</v>
      </c>
      <c r="BP83">
        <v>0.98750000000000004</v>
      </c>
      <c r="BQ83">
        <v>18</v>
      </c>
      <c r="BR83">
        <v>18.333333333333332</v>
      </c>
      <c r="BS83">
        <v>13</v>
      </c>
      <c r="BT83">
        <v>8.1749999999999545E-2</v>
      </c>
      <c r="BU83">
        <v>13</v>
      </c>
      <c r="BV83">
        <v>2.3375000000000004</v>
      </c>
      <c r="BW83">
        <v>29</v>
      </c>
      <c r="BX83">
        <v>-1.5874999999999999</v>
      </c>
      <c r="BY83">
        <v>20</v>
      </c>
      <c r="BZ83">
        <v>19</v>
      </c>
      <c r="CA83">
        <v>10</v>
      </c>
      <c r="CB83">
        <v>2.6137499999999987</v>
      </c>
      <c r="CC83">
        <v>22</v>
      </c>
      <c r="CD83">
        <v>-13.487500000000001</v>
      </c>
      <c r="CE83">
        <v>25</v>
      </c>
      <c r="CF83">
        <v>-1.1999999999999997</v>
      </c>
      <c r="CG83">
        <v>16</v>
      </c>
      <c r="CH83">
        <v>17.333333333333332</v>
      </c>
      <c r="CI83">
        <v>22</v>
      </c>
      <c r="CJ83">
        <v>-1.3425000000000002</v>
      </c>
      <c r="CK83">
        <v>1.4750000000000005</v>
      </c>
      <c r="CL83">
        <v>-0.22500000000000009</v>
      </c>
      <c r="CM83">
        <v>28</v>
      </c>
      <c r="CN83">
        <v>25</v>
      </c>
      <c r="CO83">
        <v>19</v>
      </c>
      <c r="CP83">
        <v>-0.32499999999999996</v>
      </c>
      <c r="CQ83">
        <v>31</v>
      </c>
      <c r="CR83">
        <v>-0.85</v>
      </c>
      <c r="CS83">
        <v>-0.22500000000000009</v>
      </c>
      <c r="CT83">
        <v>32</v>
      </c>
      <c r="CU83">
        <v>30</v>
      </c>
      <c r="CV83">
        <v>32</v>
      </c>
      <c r="CW83">
        <v>-7.4651622806064313E-2</v>
      </c>
      <c r="CX83">
        <v>32</v>
      </c>
      <c r="CY83">
        <v>-2.9230843049474892E-2</v>
      </c>
      <c r="CZ83">
        <v>29</v>
      </c>
      <c r="DA83">
        <v>9.2738095238095203E-2</v>
      </c>
      <c r="DB83">
        <v>27</v>
      </c>
      <c r="DC83">
        <v>-2.5375000000000001</v>
      </c>
      <c r="DD83">
        <v>-0.46249999999999858</v>
      </c>
      <c r="DE83">
        <v>3.3624999999999998</v>
      </c>
      <c r="DF83">
        <v>-0.88749999999999996</v>
      </c>
      <c r="DG83">
        <v>9.4124999999999943</v>
      </c>
      <c r="DH83">
        <v>-4.2875000000000014</v>
      </c>
      <c r="DI83">
        <v>16.100000000000001</v>
      </c>
      <c r="DJ83">
        <v>9.6000000000000014</v>
      </c>
      <c r="DK83">
        <v>-12</v>
      </c>
      <c r="DL83">
        <v>14</v>
      </c>
      <c r="DM83">
        <v>1.1422499999999993</v>
      </c>
      <c r="DN83">
        <v>1.3241750000000001</v>
      </c>
      <c r="DO83">
        <v>-20.387500000000003</v>
      </c>
      <c r="DP83">
        <v>19</v>
      </c>
      <c r="DQ83">
        <v>1.0150312499999998</v>
      </c>
      <c r="DR83">
        <v>0.16250000000000031</v>
      </c>
      <c r="DS83">
        <v>1.3101374999999997</v>
      </c>
      <c r="DT83">
        <v>0.5968749999999996</v>
      </c>
      <c r="DU83" t="s">
        <v>281</v>
      </c>
      <c r="DV83" t="s">
        <v>266</v>
      </c>
      <c r="DW83" t="s">
        <v>498</v>
      </c>
      <c r="DX83">
        <v>3</v>
      </c>
      <c r="DY83">
        <v>4.3528000000000002</v>
      </c>
      <c r="DZ83">
        <v>25</v>
      </c>
      <c r="EA83">
        <v>22</v>
      </c>
      <c r="EB83">
        <v>20</v>
      </c>
      <c r="EC83">
        <v>-0.66400000000000015</v>
      </c>
      <c r="ED83">
        <v>29</v>
      </c>
      <c r="EE83">
        <v>-3.6</v>
      </c>
      <c r="EF83">
        <v>26</v>
      </c>
      <c r="EG83">
        <v>-18.36</v>
      </c>
      <c r="EH83">
        <v>13</v>
      </c>
      <c r="EI83">
        <v>0.47999999999999993</v>
      </c>
      <c r="EJ83">
        <v>29</v>
      </c>
      <c r="EK83">
        <v>24</v>
      </c>
      <c r="EL83">
        <v>26</v>
      </c>
      <c r="EM83">
        <v>-2.7679999999999998</v>
      </c>
      <c r="EN83">
        <v>29</v>
      </c>
      <c r="EO83">
        <v>-3.12</v>
      </c>
      <c r="EP83">
        <v>26</v>
      </c>
      <c r="EQ83">
        <v>-11.48</v>
      </c>
      <c r="ER83">
        <v>15</v>
      </c>
      <c r="ES83">
        <v>3.9999999999999994E-2</v>
      </c>
      <c r="ET83">
        <v>21</v>
      </c>
      <c r="EU83">
        <v>17</v>
      </c>
      <c r="EV83">
        <v>3</v>
      </c>
      <c r="EW83">
        <v>2.1039999999999996</v>
      </c>
      <c r="EX83">
        <v>20</v>
      </c>
      <c r="EY83">
        <v>-0.47999999999999987</v>
      </c>
      <c r="EZ83">
        <v>28</v>
      </c>
      <c r="FA83">
        <v>-6.8800000000000008</v>
      </c>
      <c r="FB83">
        <v>8</v>
      </c>
      <c r="FC83">
        <v>0.43999999999999995</v>
      </c>
      <c r="FD83">
        <v>4</v>
      </c>
      <c r="FE83">
        <v>4.333333333333333</v>
      </c>
      <c r="FF83">
        <v>5</v>
      </c>
      <c r="FG83">
        <v>8.1224000000000007</v>
      </c>
      <c r="FH83">
        <v>4</v>
      </c>
      <c r="FI83">
        <v>22.84</v>
      </c>
      <c r="FJ83">
        <v>4</v>
      </c>
      <c r="FK83">
        <v>2.3199999999999998</v>
      </c>
      <c r="FL83">
        <v>3</v>
      </c>
      <c r="FM83">
        <v>4.333333333333333</v>
      </c>
      <c r="FN83">
        <v>4</v>
      </c>
      <c r="FO83">
        <v>5.5400000000000009</v>
      </c>
      <c r="FP83">
        <v>3</v>
      </c>
      <c r="FQ83">
        <v>21.04</v>
      </c>
      <c r="FR83">
        <v>6</v>
      </c>
      <c r="FS83">
        <v>1.1599999999999999</v>
      </c>
      <c r="FT83">
        <v>13</v>
      </c>
      <c r="FU83">
        <v>12.333333333333334</v>
      </c>
      <c r="FV83">
        <v>7</v>
      </c>
      <c r="FW83">
        <v>3.0360000000000005</v>
      </c>
      <c r="FX83">
        <v>22</v>
      </c>
      <c r="FY83">
        <v>-2.160000000000001</v>
      </c>
      <c r="FZ83">
        <v>8</v>
      </c>
      <c r="GA83">
        <v>0.59999999999999987</v>
      </c>
      <c r="GB83">
        <v>10</v>
      </c>
      <c r="GC83">
        <v>12</v>
      </c>
      <c r="GD83">
        <v>18</v>
      </c>
      <c r="GE83">
        <v>-0.45359999999999967</v>
      </c>
      <c r="GF83">
        <v>9</v>
      </c>
      <c r="GG83">
        <v>3.9599999999999995</v>
      </c>
      <c r="GH83">
        <v>9</v>
      </c>
      <c r="GI83">
        <v>0.55999999999999994</v>
      </c>
      <c r="GJ83">
        <v>1</v>
      </c>
      <c r="GK83">
        <v>1</v>
      </c>
      <c r="GL83">
        <v>1</v>
      </c>
      <c r="GM83">
        <v>13.187999999999999</v>
      </c>
      <c r="GN83">
        <v>1</v>
      </c>
      <c r="GO83">
        <v>49.879999999999995</v>
      </c>
      <c r="GP83">
        <v>1</v>
      </c>
      <c r="GQ83">
        <v>4.5599999999999996</v>
      </c>
      <c r="GR83">
        <v>2</v>
      </c>
      <c r="GS83">
        <v>3</v>
      </c>
      <c r="GT83">
        <v>3</v>
      </c>
      <c r="GU83">
        <v>5.895999999999999</v>
      </c>
      <c r="GV83">
        <v>15.760000000000002</v>
      </c>
      <c r="GW83">
        <v>2.7600000000000002</v>
      </c>
      <c r="GX83">
        <v>29</v>
      </c>
      <c r="GY83">
        <v>28</v>
      </c>
      <c r="GZ83">
        <v>24</v>
      </c>
      <c r="HA83">
        <v>-1.52</v>
      </c>
      <c r="HB83">
        <v>32</v>
      </c>
      <c r="HC83">
        <v>-0.88000000000000012</v>
      </c>
      <c r="HD83">
        <v>-2.7600000000000002</v>
      </c>
      <c r="HE83">
        <v>20</v>
      </c>
      <c r="HF83">
        <v>18.75</v>
      </c>
      <c r="HG83">
        <v>17</v>
      </c>
      <c r="HH83">
        <v>-2.0668770480358478E-3</v>
      </c>
      <c r="HI83">
        <v>25</v>
      </c>
      <c r="HJ83">
        <v>-1.5408300420698587E-2</v>
      </c>
      <c r="HK83">
        <v>22</v>
      </c>
      <c r="HL83">
        <v>3.7912087912087868E-2</v>
      </c>
      <c r="HM83">
        <v>11</v>
      </c>
      <c r="HN83">
        <v>0.31999999999999984</v>
      </c>
      <c r="HO83">
        <v>1.6000000000000014</v>
      </c>
      <c r="HP83">
        <v>5.36</v>
      </c>
      <c r="HQ83">
        <v>-0.6399999999999999</v>
      </c>
      <c r="HR83">
        <v>27.840000000000011</v>
      </c>
      <c r="HS83">
        <v>52.879999999999995</v>
      </c>
      <c r="HT83">
        <v>-23.56</v>
      </c>
      <c r="HU83">
        <v>1.5599999999999998</v>
      </c>
      <c r="HV83">
        <v>-3.04</v>
      </c>
      <c r="HW83">
        <v>6</v>
      </c>
      <c r="HX83">
        <v>5.0167999999999999</v>
      </c>
      <c r="HY83">
        <v>4.00624</v>
      </c>
      <c r="HZ83">
        <v>76.44</v>
      </c>
      <c r="IA83">
        <v>27</v>
      </c>
      <c r="IB83">
        <v>2.0234000000000001</v>
      </c>
      <c r="IC83">
        <v>5.08</v>
      </c>
    </row>
    <row r="84" spans="1:237" x14ac:dyDescent="0.2">
      <c r="A84" s="19">
        <v>44122</v>
      </c>
      <c r="B84" s="14" t="s">
        <v>252</v>
      </c>
      <c r="C84" s="40" t="s">
        <v>256</v>
      </c>
      <c r="D84" s="13" t="s">
        <v>304</v>
      </c>
      <c r="E84">
        <v>18</v>
      </c>
      <c r="F84">
        <v>9.1999999999999993</v>
      </c>
      <c r="G84">
        <v>6.4</v>
      </c>
      <c r="H84">
        <v>26.9</v>
      </c>
      <c r="I84">
        <v>2</v>
      </c>
      <c r="J84">
        <v>51</v>
      </c>
      <c r="L84" t="s">
        <v>256</v>
      </c>
      <c r="M84">
        <v>27</v>
      </c>
      <c r="N84">
        <v>-4.0856000000000003</v>
      </c>
      <c r="O84">
        <v>9</v>
      </c>
      <c r="P84">
        <v>12.25</v>
      </c>
      <c r="Q84">
        <v>6</v>
      </c>
      <c r="R84">
        <v>4.8119999999999994</v>
      </c>
      <c r="S84">
        <v>20</v>
      </c>
      <c r="T84">
        <v>-1.1599999999999999</v>
      </c>
      <c r="U84">
        <v>19</v>
      </c>
      <c r="V84">
        <v>-3.4799999999999995</v>
      </c>
      <c r="W84">
        <v>4</v>
      </c>
      <c r="X84">
        <v>1.6</v>
      </c>
      <c r="Y84">
        <v>5</v>
      </c>
      <c r="Z84">
        <v>9</v>
      </c>
      <c r="AA84">
        <v>8</v>
      </c>
      <c r="AB84">
        <v>2.9080000000000004</v>
      </c>
      <c r="AC84">
        <v>25</v>
      </c>
      <c r="AD84">
        <v>-2</v>
      </c>
      <c r="AE84">
        <v>15</v>
      </c>
      <c r="AF84">
        <v>1.8000000000000014</v>
      </c>
      <c r="AG84">
        <v>4</v>
      </c>
      <c r="AH84">
        <v>1.44</v>
      </c>
      <c r="AI84">
        <v>11</v>
      </c>
      <c r="AJ84">
        <v>13.666666666666666</v>
      </c>
      <c r="AK84">
        <v>6</v>
      </c>
      <c r="AL84">
        <v>1.9039999999999995</v>
      </c>
      <c r="AM84">
        <v>9</v>
      </c>
      <c r="AN84">
        <v>0.84000000000000008</v>
      </c>
      <c r="AO84">
        <v>22</v>
      </c>
      <c r="AP84">
        <v>-5.2800000000000011</v>
      </c>
      <c r="AQ84">
        <v>13</v>
      </c>
      <c r="AR84">
        <v>0.16000000000000006</v>
      </c>
      <c r="AS84">
        <v>32</v>
      </c>
      <c r="AT84">
        <v>31.333333333333332</v>
      </c>
      <c r="AU84">
        <v>31</v>
      </c>
      <c r="AV84">
        <v>-12.253599999999999</v>
      </c>
      <c r="AW84">
        <v>32</v>
      </c>
      <c r="AX84">
        <v>-57.24</v>
      </c>
      <c r="AY84">
        <v>31</v>
      </c>
      <c r="AZ84">
        <v>-3.8799999999999994</v>
      </c>
      <c r="BA84">
        <v>29</v>
      </c>
      <c r="BB84">
        <v>28.333333333333332</v>
      </c>
      <c r="BC84">
        <v>30</v>
      </c>
      <c r="BD84">
        <v>-5.6079999999999997</v>
      </c>
      <c r="BE84">
        <v>31</v>
      </c>
      <c r="BF84">
        <v>-25.080000000000002</v>
      </c>
      <c r="BG84">
        <v>24</v>
      </c>
      <c r="BH84">
        <v>-1.1999999999999997</v>
      </c>
      <c r="BI84">
        <v>31</v>
      </c>
      <c r="BJ84">
        <v>28</v>
      </c>
      <c r="BK84">
        <v>28</v>
      </c>
      <c r="BL84">
        <v>-4.1639999999999997</v>
      </c>
      <c r="BM84">
        <v>31</v>
      </c>
      <c r="BN84">
        <v>-20.559999999999995</v>
      </c>
      <c r="BO84">
        <v>25</v>
      </c>
      <c r="BP84">
        <v>-1.3599999999999999</v>
      </c>
      <c r="BQ84">
        <v>30</v>
      </c>
      <c r="BR84">
        <v>26.666666666666668</v>
      </c>
      <c r="BS84">
        <v>29</v>
      </c>
      <c r="BT84">
        <v>-2.4816000000000003</v>
      </c>
      <c r="BU84">
        <v>27</v>
      </c>
      <c r="BV84">
        <v>-11.6</v>
      </c>
      <c r="BW84">
        <v>24</v>
      </c>
      <c r="BX84">
        <v>-1.3199999999999998</v>
      </c>
      <c r="BY84">
        <v>12</v>
      </c>
      <c r="BZ84">
        <v>13.333333333333334</v>
      </c>
      <c r="CA84">
        <v>13</v>
      </c>
      <c r="CB84">
        <v>0.97199999999999953</v>
      </c>
      <c r="CC84">
        <v>11</v>
      </c>
      <c r="CD84">
        <v>9.3200000000000021</v>
      </c>
      <c r="CE84">
        <v>16</v>
      </c>
      <c r="CF84">
        <v>-0.16000000000000014</v>
      </c>
      <c r="CG84">
        <v>2</v>
      </c>
      <c r="CH84">
        <v>2</v>
      </c>
      <c r="CI84">
        <v>2</v>
      </c>
      <c r="CJ84">
        <v>8.4920000000000009</v>
      </c>
      <c r="CK84">
        <v>32.600000000000009</v>
      </c>
      <c r="CL84">
        <v>3.56</v>
      </c>
      <c r="CM84">
        <v>21</v>
      </c>
      <c r="CN84">
        <v>22</v>
      </c>
      <c r="CO84">
        <v>20</v>
      </c>
      <c r="CP84">
        <v>-0.36000000000000015</v>
      </c>
      <c r="CQ84">
        <v>24</v>
      </c>
      <c r="CR84">
        <v>-0.28000000000000003</v>
      </c>
      <c r="CS84">
        <v>-2.4800000000000004</v>
      </c>
      <c r="CT84">
        <v>7</v>
      </c>
      <c r="CU84">
        <v>10</v>
      </c>
      <c r="CV84">
        <v>7</v>
      </c>
      <c r="CW84">
        <v>4.7355545070397131E-2</v>
      </c>
      <c r="CX84">
        <v>4</v>
      </c>
      <c r="CY84">
        <v>2.5800125245570162E-2</v>
      </c>
      <c r="CZ84">
        <v>23</v>
      </c>
      <c r="DA84">
        <v>5.2747474747474724E-2</v>
      </c>
      <c r="DB84">
        <v>6</v>
      </c>
      <c r="DC84">
        <v>2.12</v>
      </c>
      <c r="DD84">
        <v>-0.52000000000000024</v>
      </c>
      <c r="DE84">
        <v>-0.43999999999999984</v>
      </c>
      <c r="DF84">
        <v>-0.91999999999999993</v>
      </c>
      <c r="DG84">
        <v>6.9199999999999928</v>
      </c>
      <c r="DH84">
        <v>1.0800000000000012</v>
      </c>
      <c r="DI84">
        <v>11.559999999999999</v>
      </c>
      <c r="DJ84">
        <v>6.2</v>
      </c>
      <c r="DK84">
        <v>-11.919999999999998</v>
      </c>
      <c r="DL84">
        <v>27</v>
      </c>
      <c r="DM84">
        <v>-8.8976000000000006</v>
      </c>
      <c r="DN84">
        <v>-3.975439999999999</v>
      </c>
      <c r="DO84">
        <v>-10.479999999999997</v>
      </c>
      <c r="DP84">
        <v>6</v>
      </c>
      <c r="DQ84">
        <v>-0.4244</v>
      </c>
      <c r="DR84">
        <v>-0.3199999999999994</v>
      </c>
      <c r="DS84">
        <v>-0.84400000000000031</v>
      </c>
      <c r="DT84">
        <v>-7.330000000000042E-2</v>
      </c>
      <c r="DU84" t="s">
        <v>304</v>
      </c>
      <c r="DV84" t="s">
        <v>251</v>
      </c>
      <c r="DW84" t="s">
        <v>456</v>
      </c>
      <c r="DX84">
        <v>26</v>
      </c>
      <c r="DY84">
        <v>-3.1679999999999997</v>
      </c>
      <c r="DZ84">
        <v>5</v>
      </c>
      <c r="EA84">
        <v>10.25</v>
      </c>
      <c r="EB84">
        <v>10</v>
      </c>
      <c r="EC84">
        <v>2.8079999999999994</v>
      </c>
      <c r="ED84">
        <v>13</v>
      </c>
      <c r="EE84">
        <v>1.08</v>
      </c>
      <c r="EF84">
        <v>10</v>
      </c>
      <c r="EG84">
        <v>14.359999999999998</v>
      </c>
      <c r="EH84">
        <v>8</v>
      </c>
      <c r="EI84">
        <v>1.0399999999999998</v>
      </c>
      <c r="EJ84">
        <v>4</v>
      </c>
      <c r="EK84">
        <v>8.25</v>
      </c>
      <c r="EL84">
        <v>8</v>
      </c>
      <c r="EM84">
        <v>1.9199999999999988</v>
      </c>
      <c r="EN84">
        <v>7</v>
      </c>
      <c r="EO84">
        <v>1.8800000000000001</v>
      </c>
      <c r="EP84">
        <v>6</v>
      </c>
      <c r="EQ84">
        <v>13.319999999999999</v>
      </c>
      <c r="ER84">
        <v>12</v>
      </c>
      <c r="ES84">
        <v>0.27999999999999992</v>
      </c>
      <c r="ET84">
        <v>12</v>
      </c>
      <c r="EU84">
        <v>14.666666666666666</v>
      </c>
      <c r="EV84">
        <v>10</v>
      </c>
      <c r="EW84">
        <v>0.88800000000000046</v>
      </c>
      <c r="EX84">
        <v>22</v>
      </c>
      <c r="EY84">
        <v>-0.8</v>
      </c>
      <c r="EZ84">
        <v>12</v>
      </c>
      <c r="FA84">
        <v>1.0399999999999991</v>
      </c>
      <c r="FB84">
        <v>5</v>
      </c>
      <c r="FC84">
        <v>0.7599999999999999</v>
      </c>
      <c r="FD84">
        <v>32</v>
      </c>
      <c r="FE84">
        <v>31.666666666666668</v>
      </c>
      <c r="FF84">
        <v>32</v>
      </c>
      <c r="FG84">
        <v>-11.1496</v>
      </c>
      <c r="FH84">
        <v>32</v>
      </c>
      <c r="FI84">
        <v>-41.359999999999992</v>
      </c>
      <c r="FJ84">
        <v>31</v>
      </c>
      <c r="FK84">
        <v>-3.5199999999999996</v>
      </c>
      <c r="FL84">
        <v>31</v>
      </c>
      <c r="FM84">
        <v>29.333333333333332</v>
      </c>
      <c r="FN84">
        <v>32</v>
      </c>
      <c r="FO84">
        <v>-6.0879999999999992</v>
      </c>
      <c r="FP84">
        <v>32</v>
      </c>
      <c r="FQ84">
        <v>-29.079999999999995</v>
      </c>
      <c r="FR84">
        <v>24</v>
      </c>
      <c r="FS84">
        <v>-0.95999999999999974</v>
      </c>
      <c r="FT84">
        <v>28</v>
      </c>
      <c r="FU84">
        <v>28.333333333333332</v>
      </c>
      <c r="FV84">
        <v>28</v>
      </c>
      <c r="FW84">
        <v>-3.5480000000000005</v>
      </c>
      <c r="FX84">
        <v>28</v>
      </c>
      <c r="FY84">
        <v>-12.24</v>
      </c>
      <c r="FZ84">
        <v>29</v>
      </c>
      <c r="GA84">
        <v>-1.0799999999999998</v>
      </c>
      <c r="GB84">
        <v>27</v>
      </c>
      <c r="GC84">
        <v>23.333333333333332</v>
      </c>
      <c r="GD84">
        <v>25</v>
      </c>
      <c r="GE84">
        <v>-1.5135999999999998</v>
      </c>
      <c r="GF84">
        <v>15</v>
      </c>
      <c r="GG84">
        <v>-4.000000000000057E-2</v>
      </c>
      <c r="GH84">
        <v>30</v>
      </c>
      <c r="GI84">
        <v>-1.4800000000000002</v>
      </c>
      <c r="GJ84">
        <v>32</v>
      </c>
      <c r="GK84">
        <v>31.333333333333332</v>
      </c>
      <c r="GL84">
        <v>32</v>
      </c>
      <c r="GM84">
        <v>-6.5039999999999996</v>
      </c>
      <c r="GN84">
        <v>30</v>
      </c>
      <c r="GO84">
        <v>-20.240000000000002</v>
      </c>
      <c r="GP84">
        <v>32</v>
      </c>
      <c r="GQ84">
        <v>-2.16</v>
      </c>
      <c r="GR84">
        <v>20</v>
      </c>
      <c r="GS84">
        <v>19.333333333333332</v>
      </c>
      <c r="GT84">
        <v>15</v>
      </c>
      <c r="GU84">
        <v>-0.44800000000000073</v>
      </c>
      <c r="GV84">
        <v>-10.76</v>
      </c>
      <c r="GW84">
        <v>3.9999999999999772E-2</v>
      </c>
      <c r="GX84">
        <v>19</v>
      </c>
      <c r="GY84">
        <v>20</v>
      </c>
      <c r="GZ84">
        <v>22</v>
      </c>
      <c r="HA84">
        <v>-0.96000000000000019</v>
      </c>
      <c r="HB84">
        <v>18</v>
      </c>
      <c r="HC84">
        <v>-0.19999999999999996</v>
      </c>
      <c r="HD84">
        <v>-0.96000000000000019</v>
      </c>
      <c r="HE84">
        <v>8</v>
      </c>
      <c r="HF84">
        <v>11</v>
      </c>
      <c r="HG84">
        <v>8</v>
      </c>
      <c r="HH84">
        <v>1.9602086655718359E-2</v>
      </c>
      <c r="HI84">
        <v>3</v>
      </c>
      <c r="HJ84">
        <v>2.6467625308963072E-2</v>
      </c>
      <c r="HK84">
        <v>19</v>
      </c>
      <c r="HL84">
        <v>1.7614163614163625E-2</v>
      </c>
      <c r="HM84">
        <v>14</v>
      </c>
      <c r="HN84">
        <v>-0.12000000000000029</v>
      </c>
      <c r="HO84">
        <v>-3.3999999999999986</v>
      </c>
      <c r="HP84">
        <v>-4.5600000000000005</v>
      </c>
      <c r="HQ84">
        <v>-0.83999999999999986</v>
      </c>
      <c r="HR84">
        <v>-39.159999999999989</v>
      </c>
      <c r="HS84">
        <v>-53.79999999999999</v>
      </c>
      <c r="HT84">
        <v>16.760000000000002</v>
      </c>
      <c r="HU84">
        <v>-1.52</v>
      </c>
      <c r="HV84">
        <v>-0.60000000000000075</v>
      </c>
      <c r="HW84">
        <v>29</v>
      </c>
      <c r="HX84">
        <v>-5.9759999999999991</v>
      </c>
      <c r="HY84">
        <v>-4.3571199999999992</v>
      </c>
      <c r="HZ84">
        <v>-70.559999999999988</v>
      </c>
      <c r="IA84">
        <v>4</v>
      </c>
      <c r="IB84">
        <v>-1.6147000000000002</v>
      </c>
      <c r="IC84">
        <v>-3.48</v>
      </c>
    </row>
    <row r="85" spans="1:237" x14ac:dyDescent="0.2">
      <c r="A85" s="19">
        <v>44122</v>
      </c>
      <c r="B85" s="13" t="s">
        <v>252</v>
      </c>
      <c r="C85" s="41" t="s">
        <v>284</v>
      </c>
      <c r="D85" s="14" t="s">
        <v>300</v>
      </c>
      <c r="E85">
        <v>2</v>
      </c>
      <c r="F85">
        <v>9.8000000000000007</v>
      </c>
      <c r="G85">
        <v>7.7</v>
      </c>
      <c r="H85">
        <v>18.8</v>
      </c>
      <c r="I85">
        <v>2.5</v>
      </c>
      <c r="J85">
        <v>54.5</v>
      </c>
      <c r="L85" t="s">
        <v>284</v>
      </c>
      <c r="M85">
        <v>10</v>
      </c>
      <c r="N85">
        <v>1.0556000000000001</v>
      </c>
      <c r="O85">
        <v>9</v>
      </c>
      <c r="P85">
        <v>12.25</v>
      </c>
      <c r="Q85">
        <v>13</v>
      </c>
      <c r="R85">
        <v>0.78099999999999992</v>
      </c>
      <c r="S85">
        <v>14</v>
      </c>
      <c r="T85">
        <v>0.28000000000000042</v>
      </c>
      <c r="U85">
        <v>13</v>
      </c>
      <c r="V85">
        <v>7.879999999999999</v>
      </c>
      <c r="W85">
        <v>9</v>
      </c>
      <c r="X85">
        <v>0.56999999999999995</v>
      </c>
      <c r="Y85">
        <v>8</v>
      </c>
      <c r="Z85">
        <v>11</v>
      </c>
      <c r="AA85">
        <v>14</v>
      </c>
      <c r="AB85">
        <v>1.2309999999999999</v>
      </c>
      <c r="AC85">
        <v>14</v>
      </c>
      <c r="AD85">
        <v>-0.12999999999999973</v>
      </c>
      <c r="AE85">
        <v>7</v>
      </c>
      <c r="AF85">
        <v>15.87</v>
      </c>
      <c r="AG85">
        <v>12</v>
      </c>
      <c r="AH85">
        <v>0.69</v>
      </c>
      <c r="AI85">
        <v>21</v>
      </c>
      <c r="AJ85">
        <v>19.666666666666668</v>
      </c>
      <c r="AK85">
        <v>18</v>
      </c>
      <c r="AL85">
        <v>-0.4499999999999999</v>
      </c>
      <c r="AM85">
        <v>13</v>
      </c>
      <c r="AN85">
        <v>0.41000000000000014</v>
      </c>
      <c r="AO85">
        <v>25</v>
      </c>
      <c r="AP85">
        <v>-7.99</v>
      </c>
      <c r="AQ85">
        <v>16</v>
      </c>
      <c r="AR85">
        <v>-0.12000000000000002</v>
      </c>
      <c r="AS85">
        <v>12</v>
      </c>
      <c r="AT85">
        <v>13</v>
      </c>
      <c r="AU85">
        <v>8</v>
      </c>
      <c r="AV85">
        <v>5.5039999999999996</v>
      </c>
      <c r="AW85">
        <v>10</v>
      </c>
      <c r="AX85">
        <v>12.199999999999994</v>
      </c>
      <c r="AY85">
        <v>21</v>
      </c>
      <c r="AZ85">
        <v>-0.84999999999999964</v>
      </c>
      <c r="BA85">
        <v>13</v>
      </c>
      <c r="BB85">
        <v>12</v>
      </c>
      <c r="BC85">
        <v>8</v>
      </c>
      <c r="BD85">
        <v>2.9769999999999994</v>
      </c>
      <c r="BE85">
        <v>10</v>
      </c>
      <c r="BF85">
        <v>6.07</v>
      </c>
      <c r="BG85">
        <v>18</v>
      </c>
      <c r="BH85">
        <v>-0.44999999999999962</v>
      </c>
      <c r="BI85">
        <v>23</v>
      </c>
      <c r="BJ85">
        <v>22</v>
      </c>
      <c r="BK85">
        <v>16</v>
      </c>
      <c r="BL85">
        <v>-0.17999999999999988</v>
      </c>
      <c r="BM85">
        <v>24</v>
      </c>
      <c r="BN85">
        <v>-13.180000000000001</v>
      </c>
      <c r="BO85">
        <v>26</v>
      </c>
      <c r="BP85">
        <v>-1.4099999999999997</v>
      </c>
      <c r="BQ85">
        <v>5</v>
      </c>
      <c r="BR85">
        <v>5.666666666666667</v>
      </c>
      <c r="BS85">
        <v>7</v>
      </c>
      <c r="BT85">
        <v>2.7069999999999999</v>
      </c>
      <c r="BU85">
        <v>2</v>
      </c>
      <c r="BV85">
        <v>19.309999999999995</v>
      </c>
      <c r="BW85">
        <v>8</v>
      </c>
      <c r="BX85">
        <v>1.0099999999999998</v>
      </c>
      <c r="BY85">
        <v>10</v>
      </c>
      <c r="BZ85">
        <v>10.333333333333334</v>
      </c>
      <c r="CA85">
        <v>9</v>
      </c>
      <c r="CB85">
        <v>3.0669999999999997</v>
      </c>
      <c r="CC85">
        <v>9</v>
      </c>
      <c r="CD85">
        <v>12.170000000000002</v>
      </c>
      <c r="CE85">
        <v>13</v>
      </c>
      <c r="CF85">
        <v>0.6</v>
      </c>
      <c r="CG85">
        <v>20</v>
      </c>
      <c r="CH85">
        <v>17.666666666666668</v>
      </c>
      <c r="CI85">
        <v>21</v>
      </c>
      <c r="CJ85">
        <v>-1.2259999999999995</v>
      </c>
      <c r="CK85">
        <v>0.13999999999999915</v>
      </c>
      <c r="CL85">
        <v>-0.33999999999999986</v>
      </c>
      <c r="CM85">
        <v>27</v>
      </c>
      <c r="CN85">
        <v>24.5</v>
      </c>
      <c r="CO85">
        <v>22</v>
      </c>
      <c r="CP85">
        <v>-1.0200000000000002</v>
      </c>
      <c r="CQ85">
        <v>27</v>
      </c>
      <c r="CR85">
        <v>-0.36000000000000004</v>
      </c>
      <c r="CS85">
        <v>3.38</v>
      </c>
      <c r="CT85">
        <v>16</v>
      </c>
      <c r="CU85">
        <v>15.5</v>
      </c>
      <c r="CV85">
        <v>27</v>
      </c>
      <c r="CW85">
        <v>-6.4089079852385294E-2</v>
      </c>
      <c r="CX85">
        <v>20</v>
      </c>
      <c r="CY85">
        <v>-8.4628367415951443E-3</v>
      </c>
      <c r="CZ85">
        <v>8</v>
      </c>
      <c r="DA85">
        <v>-5.5261617467499823E-2</v>
      </c>
      <c r="DB85">
        <v>7</v>
      </c>
      <c r="DC85">
        <v>1.9299999999999997</v>
      </c>
      <c r="DD85">
        <v>-1.3700000000000003</v>
      </c>
      <c r="DE85">
        <v>3.3299999999999996</v>
      </c>
      <c r="DF85">
        <v>-0.15</v>
      </c>
      <c r="DG85">
        <v>3.8500000000000112</v>
      </c>
      <c r="DH85">
        <v>17.29</v>
      </c>
      <c r="DI85">
        <v>3.1599999999999993</v>
      </c>
      <c r="DJ85">
        <v>-0.72000000000000008</v>
      </c>
      <c r="DK85">
        <v>-15.879999999999999</v>
      </c>
      <c r="DL85">
        <v>17</v>
      </c>
      <c r="DM85">
        <v>0.27460000000000012</v>
      </c>
      <c r="DN85">
        <v>0.67622000000000015</v>
      </c>
      <c r="DO85">
        <v>14.129999999999999</v>
      </c>
      <c r="DP85">
        <v>16</v>
      </c>
      <c r="DQ85">
        <v>0.63682499999999986</v>
      </c>
      <c r="DR85">
        <v>-1.1899999999999995</v>
      </c>
      <c r="DS85">
        <v>-1.1003374999999997</v>
      </c>
      <c r="DT85">
        <v>-1.3937999999999997</v>
      </c>
      <c r="DU85" t="s">
        <v>300</v>
      </c>
      <c r="DV85" t="s">
        <v>253</v>
      </c>
      <c r="DW85" t="s">
        <v>458</v>
      </c>
      <c r="DX85">
        <v>16</v>
      </c>
      <c r="DY85">
        <v>0.51374999999999904</v>
      </c>
      <c r="DZ85">
        <v>16</v>
      </c>
      <c r="EA85">
        <v>17.75</v>
      </c>
      <c r="EB85">
        <v>4</v>
      </c>
      <c r="EC85">
        <v>4.4625000000000012</v>
      </c>
      <c r="ED85">
        <v>31</v>
      </c>
      <c r="EE85">
        <v>-5.1749999999999998</v>
      </c>
      <c r="EF85">
        <v>29</v>
      </c>
      <c r="EG85">
        <v>-23.774999999999999</v>
      </c>
      <c r="EH85">
        <v>7</v>
      </c>
      <c r="EI85">
        <v>1.2250000000000001</v>
      </c>
      <c r="EJ85">
        <v>19</v>
      </c>
      <c r="EK85">
        <v>18.5</v>
      </c>
      <c r="EL85">
        <v>5</v>
      </c>
      <c r="EM85">
        <v>4.1712500000000015</v>
      </c>
      <c r="EN85">
        <v>32</v>
      </c>
      <c r="EO85">
        <v>-4.5374999999999996</v>
      </c>
      <c r="EP85">
        <v>31</v>
      </c>
      <c r="EQ85">
        <v>-22.75</v>
      </c>
      <c r="ER85">
        <v>6</v>
      </c>
      <c r="ES85">
        <v>1.1125</v>
      </c>
      <c r="ET85">
        <v>20</v>
      </c>
      <c r="EU85">
        <v>16.666666666666668</v>
      </c>
      <c r="EV85">
        <v>13</v>
      </c>
      <c r="EW85">
        <v>0.29125000000000001</v>
      </c>
      <c r="EX85">
        <v>21</v>
      </c>
      <c r="EY85">
        <v>-0.63750000000000018</v>
      </c>
      <c r="EZ85">
        <v>16</v>
      </c>
      <c r="FA85">
        <v>-1.0249999999999995</v>
      </c>
      <c r="FB85">
        <v>14</v>
      </c>
      <c r="FC85">
        <v>0.11250000000000004</v>
      </c>
      <c r="FD85">
        <v>31</v>
      </c>
      <c r="FE85">
        <v>30.666666666666668</v>
      </c>
      <c r="FF85">
        <v>31</v>
      </c>
      <c r="FG85">
        <v>-7.2537499999999993</v>
      </c>
      <c r="FH85">
        <v>31</v>
      </c>
      <c r="FI85">
        <v>-40.637500000000003</v>
      </c>
      <c r="FJ85">
        <v>30</v>
      </c>
      <c r="FK85">
        <v>-3.3999999999999995</v>
      </c>
      <c r="FL85">
        <v>24</v>
      </c>
      <c r="FM85">
        <v>24</v>
      </c>
      <c r="FN85">
        <v>15</v>
      </c>
      <c r="FO85">
        <v>-5.6249999999999023E-2</v>
      </c>
      <c r="FP85">
        <v>27</v>
      </c>
      <c r="FQ85">
        <v>-13.612500000000001</v>
      </c>
      <c r="FR85">
        <v>30</v>
      </c>
      <c r="FS85">
        <v>-2.1625000000000001</v>
      </c>
      <c r="FT85">
        <v>30</v>
      </c>
      <c r="FU85">
        <v>29.333333333333332</v>
      </c>
      <c r="FV85">
        <v>32</v>
      </c>
      <c r="FW85">
        <v>-7.3625000000000007</v>
      </c>
      <c r="FX85">
        <v>32</v>
      </c>
      <c r="FY85">
        <v>-33.575000000000003</v>
      </c>
      <c r="FZ85">
        <v>24</v>
      </c>
      <c r="GA85">
        <v>-0.44999999999999996</v>
      </c>
      <c r="GB85">
        <v>15</v>
      </c>
      <c r="GC85">
        <v>14.333333333333334</v>
      </c>
      <c r="GD85">
        <v>13</v>
      </c>
      <c r="GE85">
        <v>0.16500000000000026</v>
      </c>
      <c r="GF85">
        <v>5</v>
      </c>
      <c r="GG85">
        <v>6.5499999999999989</v>
      </c>
      <c r="GH85">
        <v>25</v>
      </c>
      <c r="GI85">
        <v>-0.78749999999999987</v>
      </c>
      <c r="GJ85">
        <v>22</v>
      </c>
      <c r="GK85">
        <v>21</v>
      </c>
      <c r="GL85">
        <v>16</v>
      </c>
      <c r="GM85">
        <v>-0.97875000000000112</v>
      </c>
      <c r="GN85">
        <v>25</v>
      </c>
      <c r="GO85">
        <v>-13.662500000000001</v>
      </c>
      <c r="GP85">
        <v>22</v>
      </c>
      <c r="GQ85">
        <v>-0.875</v>
      </c>
      <c r="GR85">
        <v>16</v>
      </c>
      <c r="GS85">
        <v>18</v>
      </c>
      <c r="GT85">
        <v>22</v>
      </c>
      <c r="GU85">
        <v>-1.6025000000000007</v>
      </c>
      <c r="GV85">
        <v>5.6</v>
      </c>
      <c r="GW85">
        <v>-0.49999999999999989</v>
      </c>
      <c r="GX85">
        <v>26</v>
      </c>
      <c r="GY85">
        <v>26</v>
      </c>
      <c r="GZ85">
        <v>29</v>
      </c>
      <c r="HA85">
        <v>-2.5750000000000002</v>
      </c>
      <c r="HB85">
        <v>23</v>
      </c>
      <c r="HC85">
        <v>-0.5625</v>
      </c>
      <c r="HD85">
        <v>-5.1124999999999998</v>
      </c>
      <c r="HE85">
        <v>14</v>
      </c>
      <c r="HF85">
        <v>15.25</v>
      </c>
      <c r="HG85">
        <v>31</v>
      </c>
      <c r="HH85">
        <v>-8.2734912674989225E-2</v>
      </c>
      <c r="HI85">
        <v>8</v>
      </c>
      <c r="HJ85">
        <v>1.1137505693814546E-2</v>
      </c>
      <c r="HK85">
        <v>16</v>
      </c>
      <c r="HL85">
        <v>-7.2222222222222271E-3</v>
      </c>
      <c r="HM85">
        <v>6</v>
      </c>
      <c r="HN85">
        <v>1.7625</v>
      </c>
      <c r="HO85">
        <v>-6.1000000000000014</v>
      </c>
      <c r="HP85">
        <v>-0.93749999999999911</v>
      </c>
      <c r="HQ85">
        <v>-0.35</v>
      </c>
      <c r="HR85">
        <v>-10.350000000000009</v>
      </c>
      <c r="HS85">
        <v>6.7875000000000014</v>
      </c>
      <c r="HT85">
        <v>-18.524999999999999</v>
      </c>
      <c r="HU85">
        <v>-3.2</v>
      </c>
      <c r="HV85">
        <v>4.5875000000000004</v>
      </c>
      <c r="HW85">
        <v>25</v>
      </c>
      <c r="HX85">
        <v>-3.9487500000000022</v>
      </c>
      <c r="HY85">
        <v>-3.8997500000000009</v>
      </c>
      <c r="HZ85">
        <v>25.3125</v>
      </c>
      <c r="IA85">
        <v>8</v>
      </c>
      <c r="IB85">
        <v>-0.80687500000000001</v>
      </c>
      <c r="IC85">
        <v>-3.8999999999999995</v>
      </c>
    </row>
    <row r="86" spans="1:237" x14ac:dyDescent="0.2">
      <c r="A86" s="19">
        <v>44122</v>
      </c>
      <c r="B86" s="13" t="s">
        <v>252</v>
      </c>
      <c r="C86" s="41" t="s">
        <v>310</v>
      </c>
      <c r="D86" s="14" t="s">
        <v>311</v>
      </c>
      <c r="E86">
        <v>22.8</v>
      </c>
      <c r="F86">
        <v>18.399999999999999</v>
      </c>
      <c r="G86">
        <v>6.2</v>
      </c>
      <c r="H86">
        <v>28.3</v>
      </c>
      <c r="I86">
        <v>-3.5</v>
      </c>
      <c r="J86">
        <v>52.5</v>
      </c>
      <c r="K86" t="s">
        <v>734</v>
      </c>
      <c r="L86" t="s">
        <v>310</v>
      </c>
      <c r="M86">
        <v>16</v>
      </c>
      <c r="N86">
        <v>0.26350000000000051</v>
      </c>
      <c r="O86">
        <v>15</v>
      </c>
      <c r="P86">
        <v>14.75</v>
      </c>
      <c r="Q86">
        <v>19</v>
      </c>
      <c r="R86">
        <v>-0.80374999999999952</v>
      </c>
      <c r="S86">
        <v>3</v>
      </c>
      <c r="T86">
        <v>6.9</v>
      </c>
      <c r="U86">
        <v>6</v>
      </c>
      <c r="V86">
        <v>16.850000000000001</v>
      </c>
      <c r="W86">
        <v>31</v>
      </c>
      <c r="X86">
        <v>-2.3875000000000002</v>
      </c>
      <c r="Y86">
        <v>14</v>
      </c>
      <c r="Z86">
        <v>14</v>
      </c>
      <c r="AA86">
        <v>12</v>
      </c>
      <c r="AB86">
        <v>1.608750000000001</v>
      </c>
      <c r="AC86">
        <v>1</v>
      </c>
      <c r="AD86">
        <v>7.9375</v>
      </c>
      <c r="AE86">
        <v>3</v>
      </c>
      <c r="AF86">
        <v>19.6875</v>
      </c>
      <c r="AG86">
        <v>27</v>
      </c>
      <c r="AH86">
        <v>-1.3875000000000002</v>
      </c>
      <c r="AI86">
        <v>27</v>
      </c>
      <c r="AJ86">
        <v>24</v>
      </c>
      <c r="AK86">
        <v>27</v>
      </c>
      <c r="AL86">
        <v>-2.4125000000000005</v>
      </c>
      <c r="AM86">
        <v>17</v>
      </c>
      <c r="AN86">
        <v>-1.0374999999999999</v>
      </c>
      <c r="AO86">
        <v>16</v>
      </c>
      <c r="AP86">
        <v>-2.8375000000000004</v>
      </c>
      <c r="AQ86">
        <v>29</v>
      </c>
      <c r="AR86">
        <v>-1</v>
      </c>
      <c r="AS86">
        <v>25</v>
      </c>
      <c r="AT86">
        <v>24.333333333333332</v>
      </c>
      <c r="AU86">
        <v>25</v>
      </c>
      <c r="AV86">
        <v>-5.7649999999999997</v>
      </c>
      <c r="AW86">
        <v>21</v>
      </c>
      <c r="AX86">
        <v>-12.05</v>
      </c>
      <c r="AY86">
        <v>27</v>
      </c>
      <c r="AZ86">
        <v>-3.3624999999999998</v>
      </c>
      <c r="BA86">
        <v>21</v>
      </c>
      <c r="BB86">
        <v>21</v>
      </c>
      <c r="BC86">
        <v>20</v>
      </c>
      <c r="BD86">
        <v>-1.598749999999999</v>
      </c>
      <c r="BE86">
        <v>18</v>
      </c>
      <c r="BF86">
        <v>-4.6625000000000014</v>
      </c>
      <c r="BG86">
        <v>25</v>
      </c>
      <c r="BH86">
        <v>-1.2625000000000002</v>
      </c>
      <c r="BI86">
        <v>23</v>
      </c>
      <c r="BJ86">
        <v>22</v>
      </c>
      <c r="BK86">
        <v>26</v>
      </c>
      <c r="BL86">
        <v>-2.7800000000000002</v>
      </c>
      <c r="BM86">
        <v>12</v>
      </c>
      <c r="BN86">
        <v>0.875</v>
      </c>
      <c r="BO86">
        <v>28</v>
      </c>
      <c r="BP86">
        <v>-1.6624999999999999</v>
      </c>
      <c r="BQ86">
        <v>22</v>
      </c>
      <c r="BR86">
        <v>22.666666666666668</v>
      </c>
      <c r="BS86">
        <v>24</v>
      </c>
      <c r="BT86">
        <v>-1.3862500000000004</v>
      </c>
      <c r="BU86">
        <v>24</v>
      </c>
      <c r="BV86">
        <v>-8.2624999999999993</v>
      </c>
      <c r="BW86">
        <v>20</v>
      </c>
      <c r="BX86">
        <v>-0.4375</v>
      </c>
      <c r="BY86">
        <v>26</v>
      </c>
      <c r="BZ86">
        <v>25.333333333333332</v>
      </c>
      <c r="CA86">
        <v>24</v>
      </c>
      <c r="CB86">
        <v>-3.4712500000000008</v>
      </c>
      <c r="CC86">
        <v>31</v>
      </c>
      <c r="CD86">
        <v>-26.837500000000002</v>
      </c>
      <c r="CE86">
        <v>21</v>
      </c>
      <c r="CF86">
        <v>-0.79999999999999982</v>
      </c>
      <c r="CG86">
        <v>5</v>
      </c>
      <c r="CH86">
        <v>6.666666666666667</v>
      </c>
      <c r="CI86">
        <v>3</v>
      </c>
      <c r="CJ86">
        <v>5.6325000000000003</v>
      </c>
      <c r="CK86">
        <v>4.8250000000000011</v>
      </c>
      <c r="CL86">
        <v>1.4750000000000001</v>
      </c>
      <c r="CM86">
        <v>8</v>
      </c>
      <c r="CN86">
        <v>9</v>
      </c>
      <c r="CO86">
        <v>12</v>
      </c>
      <c r="CP86">
        <v>0.67500000000000027</v>
      </c>
      <c r="CQ86">
        <v>6</v>
      </c>
      <c r="CR86">
        <v>0.44999999999999996</v>
      </c>
      <c r="CS86">
        <v>-1.4750000000000001</v>
      </c>
      <c r="CT86">
        <v>27</v>
      </c>
      <c r="CU86">
        <v>22.75</v>
      </c>
      <c r="CV86">
        <v>17</v>
      </c>
      <c r="CW86">
        <v>-4.3789614918050418E-3</v>
      </c>
      <c r="CX86">
        <v>28</v>
      </c>
      <c r="CY86">
        <v>-2.0895522267521931E-2</v>
      </c>
      <c r="CZ86">
        <v>18</v>
      </c>
      <c r="DA86">
        <v>1.9087301587301625E-2</v>
      </c>
      <c r="DB86">
        <v>28</v>
      </c>
      <c r="DC86">
        <v>-2.5874999999999999</v>
      </c>
      <c r="DD86">
        <v>2.8375000000000004</v>
      </c>
      <c r="DE86">
        <v>3.2125000000000004</v>
      </c>
      <c r="DF86">
        <v>-0.78749999999999998</v>
      </c>
      <c r="DG86">
        <v>-18.487500000000011</v>
      </c>
      <c r="DH86">
        <v>-28.287499999999994</v>
      </c>
      <c r="DI86">
        <v>13.45</v>
      </c>
      <c r="DJ86">
        <v>-4.3</v>
      </c>
      <c r="DK86">
        <v>0.64999999999999947</v>
      </c>
      <c r="DL86">
        <v>15</v>
      </c>
      <c r="DM86">
        <v>1.06725</v>
      </c>
      <c r="DN86">
        <v>0.42807499999999998</v>
      </c>
      <c r="DO86">
        <v>-41.737499999999997</v>
      </c>
      <c r="DP86">
        <v>18</v>
      </c>
      <c r="DQ86">
        <v>2.8125000000017719E-4</v>
      </c>
      <c r="DR86">
        <v>-1.8874999999999997</v>
      </c>
      <c r="DS86">
        <v>9.3850000000000378E-2</v>
      </c>
      <c r="DT86">
        <v>0.40250000000000047</v>
      </c>
      <c r="DU86" t="s">
        <v>311</v>
      </c>
      <c r="DV86" t="s">
        <v>275</v>
      </c>
      <c r="DW86" t="s">
        <v>477</v>
      </c>
      <c r="DX86">
        <v>23</v>
      </c>
      <c r="DY86">
        <v>-2.4443999999999995</v>
      </c>
      <c r="DZ86">
        <v>1</v>
      </c>
      <c r="EA86">
        <v>6.25</v>
      </c>
      <c r="EB86">
        <v>3</v>
      </c>
      <c r="EC86">
        <v>5.221000000000001</v>
      </c>
      <c r="ED86">
        <v>1</v>
      </c>
      <c r="EE86">
        <v>5.2900000000000009</v>
      </c>
      <c r="EF86">
        <v>2</v>
      </c>
      <c r="EG86">
        <v>33.940000000000005</v>
      </c>
      <c r="EH86">
        <v>19</v>
      </c>
      <c r="EI86">
        <v>-0.15000000000000013</v>
      </c>
      <c r="EJ86">
        <v>1</v>
      </c>
      <c r="EK86">
        <v>4.5</v>
      </c>
      <c r="EL86">
        <v>4</v>
      </c>
      <c r="EM86">
        <v>4.7220000000000013</v>
      </c>
      <c r="EN86">
        <v>2</v>
      </c>
      <c r="EO86">
        <v>3.3600000000000008</v>
      </c>
      <c r="EP86">
        <v>3</v>
      </c>
      <c r="EQ86">
        <v>22.560000000000002</v>
      </c>
      <c r="ER86">
        <v>9</v>
      </c>
      <c r="ES86">
        <v>0.48999999999999988</v>
      </c>
      <c r="ET86">
        <v>4</v>
      </c>
      <c r="EU86">
        <v>6.666666666666667</v>
      </c>
      <c r="EV86">
        <v>11</v>
      </c>
      <c r="EW86">
        <v>0.49899999999999967</v>
      </c>
      <c r="EX86">
        <v>5</v>
      </c>
      <c r="EY86">
        <v>1.9299999999999997</v>
      </c>
      <c r="EZ86">
        <v>4</v>
      </c>
      <c r="FA86">
        <v>11.38</v>
      </c>
      <c r="FB86">
        <v>26</v>
      </c>
      <c r="FC86">
        <v>-0.64</v>
      </c>
      <c r="FD86">
        <v>19</v>
      </c>
      <c r="FE86">
        <v>18.666666666666668</v>
      </c>
      <c r="FF86">
        <v>23</v>
      </c>
      <c r="FG86">
        <v>-3.524999999999999</v>
      </c>
      <c r="FH86">
        <v>23</v>
      </c>
      <c r="FI86">
        <v>-9.3500000000000014</v>
      </c>
      <c r="FJ86">
        <v>10</v>
      </c>
      <c r="FK86">
        <v>0.63999999999999968</v>
      </c>
      <c r="FL86">
        <v>27</v>
      </c>
      <c r="FM86">
        <v>26.333333333333332</v>
      </c>
      <c r="FN86">
        <v>28</v>
      </c>
      <c r="FO86">
        <v>-3.8639999999999999</v>
      </c>
      <c r="FP86">
        <v>28</v>
      </c>
      <c r="FQ86">
        <v>-15.5</v>
      </c>
      <c r="FR86">
        <v>23</v>
      </c>
      <c r="FS86">
        <v>-0.71000000000000019</v>
      </c>
      <c r="FT86">
        <v>3</v>
      </c>
      <c r="FU86">
        <v>5.666666666666667</v>
      </c>
      <c r="FV86">
        <v>10</v>
      </c>
      <c r="FW86">
        <v>2.2330000000000005</v>
      </c>
      <c r="FX86">
        <v>4</v>
      </c>
      <c r="FY86">
        <v>15.629999999999999</v>
      </c>
      <c r="FZ86">
        <v>3</v>
      </c>
      <c r="GA86">
        <v>1.2599999999999998</v>
      </c>
      <c r="GB86">
        <v>25</v>
      </c>
      <c r="GC86">
        <v>22.666666666666668</v>
      </c>
      <c r="GD86">
        <v>28</v>
      </c>
      <c r="GE86">
        <v>-1.8939999999999997</v>
      </c>
      <c r="GF86">
        <v>28</v>
      </c>
      <c r="GG86">
        <v>-9.48</v>
      </c>
      <c r="GH86">
        <v>12</v>
      </c>
      <c r="GI86">
        <v>9.000000000000008E-2</v>
      </c>
      <c r="GJ86">
        <v>29</v>
      </c>
      <c r="GK86">
        <v>27.666666666666668</v>
      </c>
      <c r="GL86">
        <v>27</v>
      </c>
      <c r="GM86">
        <v>-3.2060000000000004</v>
      </c>
      <c r="GN86">
        <v>31</v>
      </c>
      <c r="GO86">
        <v>-20.759999999999998</v>
      </c>
      <c r="GP86">
        <v>25</v>
      </c>
      <c r="GQ86">
        <v>-1.1299999999999997</v>
      </c>
      <c r="GR86">
        <v>25</v>
      </c>
      <c r="GS86">
        <v>21.333333333333332</v>
      </c>
      <c r="GT86">
        <v>18</v>
      </c>
      <c r="GU86">
        <v>-1.2100000000000004</v>
      </c>
      <c r="GV86">
        <v>-7</v>
      </c>
      <c r="GW86">
        <v>-0.39999999999999991</v>
      </c>
      <c r="GX86">
        <v>12</v>
      </c>
      <c r="GY86">
        <v>12.5</v>
      </c>
      <c r="GZ86">
        <v>15</v>
      </c>
      <c r="HA86">
        <v>0.24000000000000021</v>
      </c>
      <c r="HB86">
        <v>10</v>
      </c>
      <c r="HC86">
        <v>0.57999999999999985</v>
      </c>
      <c r="HD86">
        <v>0.48</v>
      </c>
      <c r="HE86">
        <v>24</v>
      </c>
      <c r="HF86">
        <v>20.5</v>
      </c>
      <c r="HG86">
        <v>21</v>
      </c>
      <c r="HH86">
        <v>-1.4354125397705197E-2</v>
      </c>
      <c r="HI86">
        <v>6</v>
      </c>
      <c r="HJ86">
        <v>1.7937742734553383E-2</v>
      </c>
      <c r="HK86">
        <v>31</v>
      </c>
      <c r="HL86">
        <v>0.11666161616161616</v>
      </c>
      <c r="HM86">
        <v>24</v>
      </c>
      <c r="HN86">
        <v>-1.53</v>
      </c>
      <c r="HO86">
        <v>5.7299999999999995</v>
      </c>
      <c r="HP86">
        <v>0.36000000000000015</v>
      </c>
      <c r="HQ86">
        <v>0.18</v>
      </c>
      <c r="HR86">
        <v>16.910000000000004</v>
      </c>
      <c r="HS86">
        <v>-8.3200000000000038</v>
      </c>
      <c r="HT86">
        <v>37.549999999999997</v>
      </c>
      <c r="HU86">
        <v>-6.62</v>
      </c>
      <c r="HV86">
        <v>-5.6999999999999993</v>
      </c>
      <c r="HW86">
        <v>31</v>
      </c>
      <c r="HX86">
        <v>-7.6654</v>
      </c>
      <c r="HY86">
        <v>-4.0463800000000001</v>
      </c>
      <c r="HZ86">
        <v>-45.870000000000005</v>
      </c>
      <c r="IA86">
        <v>2</v>
      </c>
      <c r="IB86">
        <v>-0.21479999999999971</v>
      </c>
      <c r="IC86">
        <v>0.23999999999999977</v>
      </c>
    </row>
    <row r="87" spans="1:237" x14ac:dyDescent="0.2">
      <c r="A87" s="19">
        <v>44122</v>
      </c>
      <c r="B87" s="13" t="s">
        <v>252</v>
      </c>
      <c r="C87" s="41" t="s">
        <v>306</v>
      </c>
      <c r="D87" s="14" t="s">
        <v>296</v>
      </c>
      <c r="E87">
        <v>14.4</v>
      </c>
      <c r="F87">
        <v>9.5</v>
      </c>
      <c r="G87">
        <v>6.6</v>
      </c>
      <c r="H87">
        <v>13.2</v>
      </c>
      <c r="I87">
        <v>2</v>
      </c>
      <c r="J87">
        <v>42</v>
      </c>
      <c r="L87" t="s">
        <v>306</v>
      </c>
      <c r="M87">
        <v>30</v>
      </c>
      <c r="N87">
        <v>-5.4304000000000006</v>
      </c>
      <c r="O87">
        <v>15</v>
      </c>
      <c r="P87">
        <v>14.75</v>
      </c>
      <c r="Q87">
        <v>11</v>
      </c>
      <c r="R87">
        <v>0.99199999999999977</v>
      </c>
      <c r="S87">
        <v>22</v>
      </c>
      <c r="T87">
        <v>-1.6800000000000002</v>
      </c>
      <c r="U87">
        <v>21</v>
      </c>
      <c r="V87">
        <v>-13.320000000000004</v>
      </c>
      <c r="W87">
        <v>5</v>
      </c>
      <c r="X87">
        <v>0.92000000000000037</v>
      </c>
      <c r="Y87">
        <v>26</v>
      </c>
      <c r="Z87">
        <v>23.666666666666668</v>
      </c>
      <c r="AA87">
        <v>19</v>
      </c>
      <c r="AB87">
        <v>-0.42400000000000021</v>
      </c>
      <c r="AC87">
        <v>27</v>
      </c>
      <c r="AD87">
        <v>-2.12</v>
      </c>
      <c r="AE87">
        <v>27</v>
      </c>
      <c r="AF87">
        <v>-15.080000000000002</v>
      </c>
      <c r="AG87">
        <v>25</v>
      </c>
      <c r="AH87">
        <v>-1</v>
      </c>
      <c r="AI87">
        <v>3</v>
      </c>
      <c r="AJ87">
        <v>6.666666666666667</v>
      </c>
      <c r="AK87">
        <v>9</v>
      </c>
      <c r="AL87">
        <v>1.4159999999999999</v>
      </c>
      <c r="AM87">
        <v>12</v>
      </c>
      <c r="AN87">
        <v>0.44000000000000006</v>
      </c>
      <c r="AO87">
        <v>9</v>
      </c>
      <c r="AP87">
        <v>1.7599999999999987</v>
      </c>
      <c r="AQ87">
        <v>2</v>
      </c>
      <c r="AR87">
        <v>1.9200000000000004</v>
      </c>
      <c r="AS87">
        <v>21</v>
      </c>
      <c r="AT87">
        <v>21</v>
      </c>
      <c r="AU87">
        <v>21</v>
      </c>
      <c r="AV87">
        <v>-3.488</v>
      </c>
      <c r="AW87">
        <v>22</v>
      </c>
      <c r="AX87">
        <v>-14.48</v>
      </c>
      <c r="AY87">
        <v>20</v>
      </c>
      <c r="AZ87">
        <v>-0.79999999999999971</v>
      </c>
      <c r="BA87">
        <v>14</v>
      </c>
      <c r="BB87">
        <v>12.333333333333334</v>
      </c>
      <c r="BC87">
        <v>18</v>
      </c>
      <c r="BD87">
        <v>-0.50399999999999989</v>
      </c>
      <c r="BE87">
        <v>8</v>
      </c>
      <c r="BF87">
        <v>11.960000000000003</v>
      </c>
      <c r="BG87">
        <v>11</v>
      </c>
      <c r="BH87">
        <v>0.68000000000000038</v>
      </c>
      <c r="BI87">
        <v>27</v>
      </c>
      <c r="BJ87">
        <v>25</v>
      </c>
      <c r="BK87">
        <v>22</v>
      </c>
      <c r="BL87">
        <v>-1.6639999999999993</v>
      </c>
      <c r="BM87">
        <v>23</v>
      </c>
      <c r="BN87">
        <v>-12.960000000000003</v>
      </c>
      <c r="BO87">
        <v>30</v>
      </c>
      <c r="BP87">
        <v>-1.7600000000000002</v>
      </c>
      <c r="BQ87">
        <v>22</v>
      </c>
      <c r="BR87">
        <v>22.666666666666668</v>
      </c>
      <c r="BS87">
        <v>22</v>
      </c>
      <c r="BT87">
        <v>-1.3200000000000007</v>
      </c>
      <c r="BU87">
        <v>29</v>
      </c>
      <c r="BV87">
        <v>-13.48</v>
      </c>
      <c r="BW87">
        <v>17</v>
      </c>
      <c r="BX87">
        <v>0.28000000000000014</v>
      </c>
      <c r="BY87">
        <v>25</v>
      </c>
      <c r="BZ87">
        <v>24.666666666666668</v>
      </c>
      <c r="CA87">
        <v>27</v>
      </c>
      <c r="CB87">
        <v>-4.8880000000000008</v>
      </c>
      <c r="CC87">
        <v>29</v>
      </c>
      <c r="CD87">
        <v>-24.479999999999997</v>
      </c>
      <c r="CE87">
        <v>18</v>
      </c>
      <c r="CF87">
        <v>-0.48000000000000043</v>
      </c>
      <c r="CG87">
        <v>26</v>
      </c>
      <c r="CH87">
        <v>25</v>
      </c>
      <c r="CI87">
        <v>31</v>
      </c>
      <c r="CJ87">
        <v>-5.9440000000000017</v>
      </c>
      <c r="CK87">
        <v>-22.359999999999996</v>
      </c>
      <c r="CL87">
        <v>0</v>
      </c>
      <c r="CM87">
        <v>30</v>
      </c>
      <c r="CN87">
        <v>28.5</v>
      </c>
      <c r="CO87">
        <v>30</v>
      </c>
      <c r="CP87">
        <v>-2.4799999999999995</v>
      </c>
      <c r="CQ87">
        <v>27</v>
      </c>
      <c r="CR87">
        <v>-0.36000000000000004</v>
      </c>
      <c r="CS87">
        <v>0.4</v>
      </c>
      <c r="CT87">
        <v>4</v>
      </c>
      <c r="CU87">
        <v>9</v>
      </c>
      <c r="CV87">
        <v>22</v>
      </c>
      <c r="CW87">
        <v>-3.9175164186657181E-2</v>
      </c>
      <c r="CX87">
        <v>3</v>
      </c>
      <c r="CY87">
        <v>2.9627888493106536E-2</v>
      </c>
      <c r="CZ87">
        <v>1</v>
      </c>
      <c r="DA87">
        <v>-0.21430724830724829</v>
      </c>
      <c r="DB87">
        <v>10</v>
      </c>
      <c r="DC87">
        <v>0.83999999999999986</v>
      </c>
      <c r="DD87">
        <v>-3.1199999999999974</v>
      </c>
      <c r="DE87">
        <v>-4.3999999999999995</v>
      </c>
      <c r="DF87">
        <v>-0.27999999999999997</v>
      </c>
      <c r="DG87">
        <v>-77.2</v>
      </c>
      <c r="DH87">
        <v>-53.720000000000006</v>
      </c>
      <c r="DI87">
        <v>-15.920000000000002</v>
      </c>
      <c r="DJ87">
        <v>-2.1199999999999997</v>
      </c>
      <c r="DK87">
        <v>-5.4399999999999995</v>
      </c>
      <c r="DL87">
        <v>25</v>
      </c>
      <c r="DM87">
        <v>-6.4223999999999997</v>
      </c>
      <c r="DN87">
        <v>-3.46848</v>
      </c>
      <c r="DO87">
        <v>-37.800000000000004</v>
      </c>
      <c r="DP87">
        <v>8</v>
      </c>
      <c r="DQ87">
        <v>-2.0438000000000005</v>
      </c>
      <c r="DR87">
        <v>-0.79999999999999971</v>
      </c>
      <c r="DS87">
        <v>-0.83555000000000068</v>
      </c>
      <c r="DT87">
        <v>0.1376999999999996</v>
      </c>
      <c r="DU87" t="s">
        <v>296</v>
      </c>
      <c r="DV87" t="s">
        <v>245</v>
      </c>
      <c r="DW87" t="s">
        <v>472</v>
      </c>
      <c r="DX87">
        <v>27</v>
      </c>
      <c r="DY87">
        <v>-3.8868000000000018</v>
      </c>
      <c r="DZ87">
        <v>15</v>
      </c>
      <c r="EA87">
        <v>14.25</v>
      </c>
      <c r="EB87">
        <v>12</v>
      </c>
      <c r="EC87">
        <v>0.95699999999999696</v>
      </c>
      <c r="ED87">
        <v>6</v>
      </c>
      <c r="EE87">
        <v>2.4499999999999993</v>
      </c>
      <c r="EF87">
        <v>16</v>
      </c>
      <c r="EG87">
        <v>-0.21999999999999886</v>
      </c>
      <c r="EH87">
        <v>23</v>
      </c>
      <c r="EI87">
        <v>-0.67</v>
      </c>
      <c r="EJ87">
        <v>23</v>
      </c>
      <c r="EK87">
        <v>20</v>
      </c>
      <c r="EL87">
        <v>21</v>
      </c>
      <c r="EM87">
        <v>-1.8500000000000025</v>
      </c>
      <c r="EN87">
        <v>13</v>
      </c>
      <c r="EO87">
        <v>0.4799999999999997</v>
      </c>
      <c r="EP87">
        <v>16</v>
      </c>
      <c r="EQ87">
        <v>2.0000000000000013</v>
      </c>
      <c r="ER87">
        <v>30</v>
      </c>
      <c r="ES87">
        <v>-1.27</v>
      </c>
      <c r="ET87">
        <v>6</v>
      </c>
      <c r="EU87">
        <v>7.666666666666667</v>
      </c>
      <c r="EV87">
        <v>1</v>
      </c>
      <c r="EW87">
        <v>2.8069999999999995</v>
      </c>
      <c r="EX87">
        <v>4</v>
      </c>
      <c r="EY87">
        <v>1.9699999999999995</v>
      </c>
      <c r="EZ87">
        <v>18</v>
      </c>
      <c r="FA87">
        <v>-2.2200000000000002</v>
      </c>
      <c r="FB87">
        <v>7</v>
      </c>
      <c r="FC87">
        <v>0.6</v>
      </c>
      <c r="FD87">
        <v>28</v>
      </c>
      <c r="FE87">
        <v>26.666666666666668</v>
      </c>
      <c r="FF87">
        <v>25</v>
      </c>
      <c r="FG87">
        <v>-4.5706000000000007</v>
      </c>
      <c r="FH87">
        <v>28</v>
      </c>
      <c r="FI87">
        <v>-25.07</v>
      </c>
      <c r="FJ87">
        <v>27</v>
      </c>
      <c r="FK87">
        <v>-1.92</v>
      </c>
      <c r="FL87">
        <v>32</v>
      </c>
      <c r="FM87">
        <v>30</v>
      </c>
      <c r="FN87">
        <v>31</v>
      </c>
      <c r="FO87">
        <v>-5.3040000000000003</v>
      </c>
      <c r="FP87">
        <v>31</v>
      </c>
      <c r="FQ87">
        <v>-23.82</v>
      </c>
      <c r="FR87">
        <v>28</v>
      </c>
      <c r="FS87">
        <v>-1.9100000000000001</v>
      </c>
      <c r="FT87">
        <v>10</v>
      </c>
      <c r="FU87">
        <v>11.333333333333334</v>
      </c>
      <c r="FV87">
        <v>19</v>
      </c>
      <c r="FW87">
        <v>1.2999999999999724E-2</v>
      </c>
      <c r="FX87">
        <v>10</v>
      </c>
      <c r="FY87">
        <v>6.1099999999999994</v>
      </c>
      <c r="FZ87">
        <v>5</v>
      </c>
      <c r="GA87">
        <v>0.94000000000000006</v>
      </c>
      <c r="GB87">
        <v>24</v>
      </c>
      <c r="GC87">
        <v>22.333333333333332</v>
      </c>
      <c r="GD87">
        <v>11</v>
      </c>
      <c r="GE87">
        <v>0.72040000000000004</v>
      </c>
      <c r="GF87">
        <v>27</v>
      </c>
      <c r="GG87">
        <v>-7.3600000000000012</v>
      </c>
      <c r="GH87">
        <v>29</v>
      </c>
      <c r="GI87">
        <v>-0.95</v>
      </c>
      <c r="GJ87">
        <v>31</v>
      </c>
      <c r="GK87">
        <v>29.333333333333332</v>
      </c>
      <c r="GL87">
        <v>30</v>
      </c>
      <c r="GM87">
        <v>-3.7660000000000005</v>
      </c>
      <c r="GN87">
        <v>28</v>
      </c>
      <c r="GO87">
        <v>-15.560000000000002</v>
      </c>
      <c r="GP87">
        <v>30</v>
      </c>
      <c r="GQ87">
        <v>-1.4499999999999997</v>
      </c>
      <c r="GR87">
        <v>31</v>
      </c>
      <c r="GS87">
        <v>31.333333333333332</v>
      </c>
      <c r="GT87">
        <v>31</v>
      </c>
      <c r="GU87">
        <v>-8.8500000000000014</v>
      </c>
      <c r="GV87">
        <v>-29.919999999999998</v>
      </c>
      <c r="GW87">
        <v>-2.6399999999999997</v>
      </c>
      <c r="GX87">
        <v>7</v>
      </c>
      <c r="GY87">
        <v>7.5</v>
      </c>
      <c r="GZ87">
        <v>8</v>
      </c>
      <c r="HA87">
        <v>1.8800000000000001</v>
      </c>
      <c r="HB87">
        <v>7</v>
      </c>
      <c r="HC87">
        <v>0.74</v>
      </c>
      <c r="HD87">
        <v>4.6400000000000006</v>
      </c>
      <c r="HE87">
        <v>4</v>
      </c>
      <c r="HF87">
        <v>9.5</v>
      </c>
      <c r="HG87">
        <v>12</v>
      </c>
      <c r="HH87">
        <v>6.6190141166122488E-3</v>
      </c>
      <c r="HI87">
        <v>7</v>
      </c>
      <c r="HJ87">
        <v>1.4828662333970432E-2</v>
      </c>
      <c r="HK87">
        <v>7</v>
      </c>
      <c r="HL87">
        <v>-5.6158730158730165E-2</v>
      </c>
      <c r="HM87">
        <v>12</v>
      </c>
      <c r="HN87">
        <v>0.2700000000000003</v>
      </c>
      <c r="HO87">
        <v>-2.8699999999999988</v>
      </c>
      <c r="HP87">
        <v>-1.44</v>
      </c>
      <c r="HQ87">
        <v>1.02</v>
      </c>
      <c r="HR87">
        <v>-51.489999999999995</v>
      </c>
      <c r="HS87">
        <v>-38.719999999999992</v>
      </c>
      <c r="HT87">
        <v>-8.1300000000000008</v>
      </c>
      <c r="HU87">
        <v>-1.8999999999999992</v>
      </c>
      <c r="HV87">
        <v>-2.7399999999999998</v>
      </c>
      <c r="HW87">
        <v>27</v>
      </c>
      <c r="HX87">
        <v>-4.843799999999999</v>
      </c>
      <c r="HY87">
        <v>-3.9399799999999994</v>
      </c>
      <c r="HZ87">
        <v>-30.589999999999989</v>
      </c>
      <c r="IA87">
        <v>6</v>
      </c>
      <c r="IB87">
        <v>-1.8088000000000009</v>
      </c>
      <c r="IC87">
        <v>-4.5599999999999996</v>
      </c>
    </row>
    <row r="88" spans="1:237" x14ac:dyDescent="0.2">
      <c r="A88" s="19">
        <v>44129</v>
      </c>
      <c r="B88" s="13" t="s">
        <v>250</v>
      </c>
      <c r="C88" s="41" t="s">
        <v>285</v>
      </c>
      <c r="D88" s="14" t="s">
        <v>308</v>
      </c>
      <c r="E88">
        <v>28.3</v>
      </c>
      <c r="F88">
        <v>20.7</v>
      </c>
      <c r="G88">
        <v>14.2</v>
      </c>
      <c r="H88">
        <v>7.7</v>
      </c>
      <c r="I88">
        <v>3.5</v>
      </c>
      <c r="J88">
        <v>55</v>
      </c>
      <c r="K88" t="s">
        <v>734</v>
      </c>
      <c r="L88" t="s">
        <v>285</v>
      </c>
      <c r="M88">
        <v>2</v>
      </c>
      <c r="N88">
        <v>8.1740000000000013</v>
      </c>
      <c r="O88">
        <v>23</v>
      </c>
      <c r="P88">
        <v>20.25</v>
      </c>
      <c r="Q88">
        <v>26</v>
      </c>
      <c r="R88">
        <v>-3.2959999999999972</v>
      </c>
      <c r="S88">
        <v>21</v>
      </c>
      <c r="T88">
        <v>-0.7200000000000002</v>
      </c>
      <c r="U88">
        <v>20</v>
      </c>
      <c r="V88">
        <v>-5.0500000000000016</v>
      </c>
      <c r="W88">
        <v>14</v>
      </c>
      <c r="X88">
        <v>-9.9999999999997868E-3</v>
      </c>
      <c r="Y88">
        <v>27</v>
      </c>
      <c r="Z88">
        <v>24.666666666666668</v>
      </c>
      <c r="AA88">
        <v>28</v>
      </c>
      <c r="AB88">
        <v>-5.5129999999999981</v>
      </c>
      <c r="AC88">
        <v>9</v>
      </c>
      <c r="AD88">
        <v>1.9299999999999997</v>
      </c>
      <c r="AE88">
        <v>15</v>
      </c>
      <c r="AF88">
        <v>4.669999999999999</v>
      </c>
      <c r="AG88">
        <v>31</v>
      </c>
      <c r="AH88">
        <v>-1.85</v>
      </c>
      <c r="AI88">
        <v>9</v>
      </c>
      <c r="AJ88">
        <v>12.666666666666666</v>
      </c>
      <c r="AK88">
        <v>6</v>
      </c>
      <c r="AL88">
        <v>2.217000000000001</v>
      </c>
      <c r="AM88">
        <v>29</v>
      </c>
      <c r="AN88">
        <v>-2.65</v>
      </c>
      <c r="AO88">
        <v>30</v>
      </c>
      <c r="AP88">
        <v>-9.7200000000000006</v>
      </c>
      <c r="AQ88">
        <v>2</v>
      </c>
      <c r="AR88">
        <v>1.8400000000000003</v>
      </c>
      <c r="AS88">
        <v>10</v>
      </c>
      <c r="AT88">
        <v>9.6666666666666661</v>
      </c>
      <c r="AU88">
        <v>10</v>
      </c>
      <c r="AV88">
        <v>5.4277999999999995</v>
      </c>
      <c r="AW88">
        <v>10</v>
      </c>
      <c r="AX88">
        <v>20.479999999999997</v>
      </c>
      <c r="AY88">
        <v>9</v>
      </c>
      <c r="AZ88">
        <v>1.5999999999999996</v>
      </c>
      <c r="BA88">
        <v>8</v>
      </c>
      <c r="BB88">
        <v>7.333333333333333</v>
      </c>
      <c r="BC88">
        <v>10</v>
      </c>
      <c r="BD88">
        <v>1.3489999999999995</v>
      </c>
      <c r="BE88">
        <v>5</v>
      </c>
      <c r="BF88">
        <v>14.189999999999998</v>
      </c>
      <c r="BG88">
        <v>7</v>
      </c>
      <c r="BH88">
        <v>0.84999999999999964</v>
      </c>
      <c r="BI88">
        <v>11</v>
      </c>
      <c r="BJ88">
        <v>11.666666666666666</v>
      </c>
      <c r="BK88">
        <v>7</v>
      </c>
      <c r="BL88">
        <v>3.1518000000000002</v>
      </c>
      <c r="BM88">
        <v>12</v>
      </c>
      <c r="BN88">
        <v>0.4099999999999987</v>
      </c>
      <c r="BO88">
        <v>16</v>
      </c>
      <c r="BP88">
        <v>-0.20999999999999996</v>
      </c>
      <c r="BQ88">
        <v>9</v>
      </c>
      <c r="BR88">
        <v>10</v>
      </c>
      <c r="BS88">
        <v>13</v>
      </c>
      <c r="BT88">
        <v>0.92699999999999994</v>
      </c>
      <c r="BU88">
        <v>10</v>
      </c>
      <c r="BV88">
        <v>5.8800000000000008</v>
      </c>
      <c r="BW88">
        <v>7</v>
      </c>
      <c r="BX88">
        <v>0.96</v>
      </c>
      <c r="BY88">
        <v>11</v>
      </c>
      <c r="BZ88">
        <v>11.666666666666666</v>
      </c>
      <c r="CA88">
        <v>9</v>
      </c>
      <c r="CB88">
        <v>2.4309999999999996</v>
      </c>
      <c r="CC88">
        <v>19</v>
      </c>
      <c r="CD88">
        <v>-6.5899999999999981</v>
      </c>
      <c r="CE88">
        <v>7</v>
      </c>
      <c r="CF88">
        <v>1.48</v>
      </c>
      <c r="CG88">
        <v>29</v>
      </c>
      <c r="CH88">
        <v>26.333333333333332</v>
      </c>
      <c r="CI88">
        <v>30</v>
      </c>
      <c r="CJ88">
        <v>-4.4590000000000005</v>
      </c>
      <c r="CK88">
        <v>-10.43</v>
      </c>
      <c r="CL88">
        <v>-1.3800000000000001</v>
      </c>
      <c r="CM88">
        <v>28</v>
      </c>
      <c r="CN88">
        <v>24.5</v>
      </c>
      <c r="CO88">
        <v>24</v>
      </c>
      <c r="CP88">
        <v>-1.1399999999999995</v>
      </c>
      <c r="CQ88">
        <v>25</v>
      </c>
      <c r="CR88">
        <v>-0.37000000000000005</v>
      </c>
      <c r="CS88">
        <v>-1.4100000000000001</v>
      </c>
      <c r="CT88">
        <v>28</v>
      </c>
      <c r="CU88">
        <v>22</v>
      </c>
      <c r="CV88">
        <v>30</v>
      </c>
      <c r="CW88">
        <v>-8.0965691413225543E-2</v>
      </c>
      <c r="CX88">
        <v>22</v>
      </c>
      <c r="CY88">
        <v>-3.4809004474758197E-3</v>
      </c>
      <c r="CZ88">
        <v>22</v>
      </c>
      <c r="DA88">
        <v>2.0010665804783456E-2</v>
      </c>
      <c r="DB88">
        <v>14</v>
      </c>
      <c r="DC88">
        <v>-0.37999999999999989</v>
      </c>
      <c r="DD88">
        <v>0.2899999999999977</v>
      </c>
      <c r="DE88">
        <v>-8.999999999999915E-2</v>
      </c>
      <c r="DF88">
        <v>-1.6300000000000001</v>
      </c>
      <c r="DG88">
        <v>32.25</v>
      </c>
      <c r="DH88">
        <v>18.21</v>
      </c>
      <c r="DI88">
        <v>-16.900000000000002</v>
      </c>
      <c r="DJ88">
        <v>-4.33</v>
      </c>
      <c r="DK88">
        <v>35.269999999999996</v>
      </c>
      <c r="DL88">
        <v>2</v>
      </c>
      <c r="DM88">
        <v>11.469999999999999</v>
      </c>
      <c r="DN88">
        <v>3.4765599999999988</v>
      </c>
      <c r="DO88">
        <v>35.11</v>
      </c>
      <c r="DP88">
        <v>31</v>
      </c>
      <c r="DQ88">
        <v>0.58835000000000037</v>
      </c>
      <c r="DR88">
        <v>0.21999999999999953</v>
      </c>
      <c r="DS88">
        <v>0.56882812500000024</v>
      </c>
      <c r="DT88">
        <v>-0.79112499999999986</v>
      </c>
      <c r="DU88" t="s">
        <v>308</v>
      </c>
      <c r="DV88" t="s">
        <v>238</v>
      </c>
      <c r="DW88" t="s">
        <v>451</v>
      </c>
      <c r="DX88">
        <v>3</v>
      </c>
      <c r="DY88">
        <v>5.5497499999999986</v>
      </c>
      <c r="DZ88">
        <v>20</v>
      </c>
      <c r="EA88">
        <v>18.75</v>
      </c>
      <c r="EB88">
        <v>23</v>
      </c>
      <c r="EC88">
        <v>-3.2262499999999998</v>
      </c>
      <c r="ED88">
        <v>19</v>
      </c>
      <c r="EE88">
        <v>-0.77500000000000013</v>
      </c>
      <c r="EF88">
        <v>27</v>
      </c>
      <c r="EG88">
        <v>-20.1875</v>
      </c>
      <c r="EH88">
        <v>6</v>
      </c>
      <c r="EI88">
        <v>1.0875000000000001</v>
      </c>
      <c r="EJ88">
        <v>31</v>
      </c>
      <c r="EK88">
        <v>26.25</v>
      </c>
      <c r="EL88">
        <v>31</v>
      </c>
      <c r="EM88">
        <v>-5.1362500000000004</v>
      </c>
      <c r="EN88">
        <v>24</v>
      </c>
      <c r="EO88">
        <v>-1.35</v>
      </c>
      <c r="EP88">
        <v>30</v>
      </c>
      <c r="EQ88">
        <v>-20.662500000000001</v>
      </c>
      <c r="ER88">
        <v>20</v>
      </c>
      <c r="ES88">
        <v>-0.44999999999999996</v>
      </c>
      <c r="ET88">
        <v>9</v>
      </c>
      <c r="EU88">
        <v>12.333333333333334</v>
      </c>
      <c r="EV88">
        <v>4</v>
      </c>
      <c r="EW88">
        <v>1.9100000000000006</v>
      </c>
      <c r="EX88">
        <v>14</v>
      </c>
      <c r="EY88">
        <v>0.57499999999999996</v>
      </c>
      <c r="EZ88">
        <v>19</v>
      </c>
      <c r="FA88">
        <v>0.47499999999999964</v>
      </c>
      <c r="FB88">
        <v>1</v>
      </c>
      <c r="FC88">
        <v>1.5375000000000001</v>
      </c>
      <c r="FD88">
        <v>1</v>
      </c>
      <c r="FE88">
        <v>1</v>
      </c>
      <c r="FF88">
        <v>1</v>
      </c>
      <c r="FG88">
        <v>13.015500000000003</v>
      </c>
      <c r="FH88">
        <v>1</v>
      </c>
      <c r="FI88">
        <v>62.887499999999989</v>
      </c>
      <c r="FJ88">
        <v>1</v>
      </c>
      <c r="FK88">
        <v>6.7125000000000004</v>
      </c>
      <c r="FL88">
        <v>1</v>
      </c>
      <c r="FM88">
        <v>1</v>
      </c>
      <c r="FN88">
        <v>1</v>
      </c>
      <c r="FO88">
        <v>9.1700000000000017</v>
      </c>
      <c r="FP88">
        <v>1</v>
      </c>
      <c r="FQ88">
        <v>46.737499999999997</v>
      </c>
      <c r="FR88">
        <v>1</v>
      </c>
      <c r="FS88">
        <v>3.7875000000000005</v>
      </c>
      <c r="FT88">
        <v>16</v>
      </c>
      <c r="FU88">
        <v>16</v>
      </c>
      <c r="FV88">
        <v>25</v>
      </c>
      <c r="FW88">
        <v>-2.0049999999999999</v>
      </c>
      <c r="FX88">
        <v>22</v>
      </c>
      <c r="FY88">
        <v>-3.2750000000000021</v>
      </c>
      <c r="FZ88">
        <v>1</v>
      </c>
      <c r="GA88">
        <v>1.9875</v>
      </c>
      <c r="GB88">
        <v>1</v>
      </c>
      <c r="GC88">
        <v>2</v>
      </c>
      <c r="GD88">
        <v>1</v>
      </c>
      <c r="GE88">
        <v>5.8505000000000003</v>
      </c>
      <c r="GF88">
        <v>1</v>
      </c>
      <c r="GG88">
        <v>19.424999999999997</v>
      </c>
      <c r="GH88">
        <v>4</v>
      </c>
      <c r="GI88">
        <v>0.9375</v>
      </c>
      <c r="GJ88">
        <v>5</v>
      </c>
      <c r="GK88">
        <v>5.666666666666667</v>
      </c>
      <c r="GL88">
        <v>11</v>
      </c>
      <c r="GM88">
        <v>1.3724999999999978</v>
      </c>
      <c r="GN88">
        <v>4</v>
      </c>
      <c r="GO88">
        <v>16.224999999999998</v>
      </c>
      <c r="GP88">
        <v>2</v>
      </c>
      <c r="GQ88">
        <v>3.0625</v>
      </c>
      <c r="GR88">
        <v>20</v>
      </c>
      <c r="GS88">
        <v>20.666666666666668</v>
      </c>
      <c r="GT88">
        <v>24</v>
      </c>
      <c r="GU88">
        <v>-2.3462499999999991</v>
      </c>
      <c r="GV88">
        <v>-2.4624999999999986</v>
      </c>
      <c r="GW88">
        <v>-0.26250000000000018</v>
      </c>
      <c r="GX88">
        <v>3</v>
      </c>
      <c r="GY88">
        <v>5</v>
      </c>
      <c r="GZ88">
        <v>4</v>
      </c>
      <c r="HA88">
        <v>2.4375</v>
      </c>
      <c r="HB88">
        <v>6</v>
      </c>
      <c r="HC88">
        <v>0.75</v>
      </c>
      <c r="HD88">
        <v>-1.0000000000000002</v>
      </c>
      <c r="HE88">
        <v>28</v>
      </c>
      <c r="HF88">
        <v>25</v>
      </c>
      <c r="HG88">
        <v>32</v>
      </c>
      <c r="HH88">
        <v>-6.9485241675346476E-2</v>
      </c>
      <c r="HI88">
        <v>29</v>
      </c>
      <c r="HJ88">
        <v>-2.2085351089000439E-2</v>
      </c>
      <c r="HK88">
        <v>20</v>
      </c>
      <c r="HL88">
        <v>1.4760101010101001E-2</v>
      </c>
      <c r="HM88">
        <v>19</v>
      </c>
      <c r="HN88">
        <v>-0.7</v>
      </c>
      <c r="HO88">
        <v>8.6000000000000014</v>
      </c>
      <c r="HP88">
        <v>0.17499999999999982</v>
      </c>
      <c r="HQ88">
        <v>0.52500000000000002</v>
      </c>
      <c r="HR88">
        <v>57.437499999999986</v>
      </c>
      <c r="HS88">
        <v>74.825000000000003</v>
      </c>
      <c r="HT88">
        <v>-25.849999999999994</v>
      </c>
      <c r="HU88">
        <v>-1.7250000000000001</v>
      </c>
      <c r="HV88">
        <v>10.1875</v>
      </c>
      <c r="HW88">
        <v>4</v>
      </c>
      <c r="HX88">
        <v>8.775999999999998</v>
      </c>
      <c r="HY88">
        <v>4.8569250000000013</v>
      </c>
      <c r="HZ88">
        <v>100.675</v>
      </c>
      <c r="IA88">
        <v>29</v>
      </c>
      <c r="IB88">
        <v>1.9287812500000003</v>
      </c>
      <c r="IC88">
        <v>6.45</v>
      </c>
    </row>
    <row r="89" spans="1:237" x14ac:dyDescent="0.2">
      <c r="A89" s="19">
        <v>44129</v>
      </c>
      <c r="B89" s="13" t="s">
        <v>250</v>
      </c>
      <c r="C89" s="41" t="s">
        <v>295</v>
      </c>
      <c r="D89" s="14" t="s">
        <v>299</v>
      </c>
      <c r="E89">
        <v>17.7</v>
      </c>
      <c r="F89">
        <v>19.899999999999999</v>
      </c>
      <c r="G89">
        <v>11.4</v>
      </c>
      <c r="H89">
        <v>12.8</v>
      </c>
      <c r="I89">
        <v>-1</v>
      </c>
      <c r="J89">
        <v>54.5</v>
      </c>
      <c r="K89" t="s">
        <v>734</v>
      </c>
      <c r="L89" t="s">
        <v>295</v>
      </c>
      <c r="M89">
        <v>13</v>
      </c>
      <c r="N89">
        <v>0.96120000000000094</v>
      </c>
      <c r="O89">
        <v>19</v>
      </c>
      <c r="P89">
        <v>17.75</v>
      </c>
      <c r="Q89">
        <v>23</v>
      </c>
      <c r="R89">
        <v>-2.4209999999999976</v>
      </c>
      <c r="S89">
        <v>10</v>
      </c>
      <c r="T89">
        <v>1.87</v>
      </c>
      <c r="U89">
        <v>15</v>
      </c>
      <c r="V89">
        <v>2.009999999999998</v>
      </c>
      <c r="W89">
        <v>23</v>
      </c>
      <c r="X89">
        <v>-0.84000000000000019</v>
      </c>
      <c r="Y89">
        <v>26</v>
      </c>
      <c r="Z89">
        <v>24.333333333333332</v>
      </c>
      <c r="AA89">
        <v>26</v>
      </c>
      <c r="AB89">
        <v>-3.7849999999999979</v>
      </c>
      <c r="AC89">
        <v>12</v>
      </c>
      <c r="AD89">
        <v>1.35</v>
      </c>
      <c r="AE89">
        <v>18</v>
      </c>
      <c r="AF89">
        <v>3.9999999999997725E-2</v>
      </c>
      <c r="AG89">
        <v>29</v>
      </c>
      <c r="AH89">
        <v>-1.4600000000000002</v>
      </c>
      <c r="AI89">
        <v>4</v>
      </c>
      <c r="AJ89">
        <v>8.3333333333333339</v>
      </c>
      <c r="AK89">
        <v>8</v>
      </c>
      <c r="AL89">
        <v>1.3640000000000005</v>
      </c>
      <c r="AM89">
        <v>11</v>
      </c>
      <c r="AN89">
        <v>0.51999999999999991</v>
      </c>
      <c r="AO89">
        <v>10</v>
      </c>
      <c r="AP89">
        <v>1.9700000000000002</v>
      </c>
      <c r="AQ89">
        <v>7</v>
      </c>
      <c r="AR89">
        <v>0.62</v>
      </c>
      <c r="AS89">
        <v>3</v>
      </c>
      <c r="AT89">
        <v>6</v>
      </c>
      <c r="AU89">
        <v>6</v>
      </c>
      <c r="AV89">
        <v>5.6508000000000003</v>
      </c>
      <c r="AW89">
        <v>7</v>
      </c>
      <c r="AX89">
        <v>26.68</v>
      </c>
      <c r="AY89">
        <v>5</v>
      </c>
      <c r="AZ89">
        <v>2.6399999999999997</v>
      </c>
      <c r="BA89">
        <v>5</v>
      </c>
      <c r="BB89">
        <v>7</v>
      </c>
      <c r="BC89">
        <v>8</v>
      </c>
      <c r="BD89">
        <v>1.8690000000000004</v>
      </c>
      <c r="BE89">
        <v>3</v>
      </c>
      <c r="BF89">
        <v>19.389999999999997</v>
      </c>
      <c r="BG89">
        <v>10</v>
      </c>
      <c r="BH89">
        <v>0.46999999999999992</v>
      </c>
      <c r="BI89">
        <v>17</v>
      </c>
      <c r="BJ89">
        <v>16.333333333333332</v>
      </c>
      <c r="BK89">
        <v>13</v>
      </c>
      <c r="BL89">
        <v>0.68379999999999941</v>
      </c>
      <c r="BM89">
        <v>22</v>
      </c>
      <c r="BN89">
        <v>-5.669999999999999</v>
      </c>
      <c r="BO89">
        <v>14</v>
      </c>
      <c r="BP89">
        <v>0.46999999999999992</v>
      </c>
      <c r="BQ89">
        <v>2</v>
      </c>
      <c r="BR89">
        <v>4.333333333333333</v>
      </c>
      <c r="BS89">
        <v>3</v>
      </c>
      <c r="BT89">
        <v>3.0979999999999999</v>
      </c>
      <c r="BU89">
        <v>6</v>
      </c>
      <c r="BV89">
        <v>12.959999999999999</v>
      </c>
      <c r="BW89">
        <v>4</v>
      </c>
      <c r="BX89">
        <v>1.7</v>
      </c>
      <c r="BY89">
        <v>16</v>
      </c>
      <c r="BZ89">
        <v>14.666666666666666</v>
      </c>
      <c r="CA89">
        <v>14</v>
      </c>
      <c r="CB89">
        <v>-0.25500000000000045</v>
      </c>
      <c r="CC89">
        <v>14</v>
      </c>
      <c r="CD89">
        <v>5.0000000000001418E-2</v>
      </c>
      <c r="CE89">
        <v>16</v>
      </c>
      <c r="CF89">
        <v>-0.2299999999999999</v>
      </c>
      <c r="CG89">
        <v>14</v>
      </c>
      <c r="CH89">
        <v>14</v>
      </c>
      <c r="CI89">
        <v>14</v>
      </c>
      <c r="CJ89">
        <v>1.0339999999999994</v>
      </c>
      <c r="CK89">
        <v>-3.1999999999999984</v>
      </c>
      <c r="CL89">
        <v>0.59000000000000008</v>
      </c>
      <c r="CM89">
        <v>6</v>
      </c>
      <c r="CN89">
        <v>6.5</v>
      </c>
      <c r="CO89">
        <v>7</v>
      </c>
      <c r="CP89">
        <v>1.5900000000000005</v>
      </c>
      <c r="CQ89">
        <v>6</v>
      </c>
      <c r="CR89">
        <v>0.53999999999999992</v>
      </c>
      <c r="CS89">
        <v>-3.3299999999999996</v>
      </c>
      <c r="CT89">
        <v>14</v>
      </c>
      <c r="CU89">
        <v>16.25</v>
      </c>
      <c r="CV89">
        <v>12</v>
      </c>
      <c r="CW89">
        <v>6.1744358941614452E-3</v>
      </c>
      <c r="CX89">
        <v>18</v>
      </c>
      <c r="CY89">
        <v>-6.6116597625820168E-4</v>
      </c>
      <c r="CZ89">
        <v>8</v>
      </c>
      <c r="DA89">
        <v>-5.7643790849673179E-2</v>
      </c>
      <c r="DB89">
        <v>27</v>
      </c>
      <c r="DC89">
        <v>-1.95</v>
      </c>
      <c r="DD89">
        <v>4.7299999999999986</v>
      </c>
      <c r="DE89">
        <v>1.0600000000000009</v>
      </c>
      <c r="DF89">
        <v>-0.71</v>
      </c>
      <c r="DG89">
        <v>28.9</v>
      </c>
      <c r="DH89">
        <v>36.33</v>
      </c>
      <c r="DI89">
        <v>3.25</v>
      </c>
      <c r="DJ89">
        <v>-1.6599999999999997</v>
      </c>
      <c r="DK89">
        <v>-9.02</v>
      </c>
      <c r="DL89">
        <v>11</v>
      </c>
      <c r="DM89">
        <v>3.3821999999999983</v>
      </c>
      <c r="DN89">
        <v>2.7396999999999987</v>
      </c>
      <c r="DO89">
        <v>33.08</v>
      </c>
      <c r="DP89">
        <v>22</v>
      </c>
      <c r="DQ89">
        <v>0.85187500000000049</v>
      </c>
      <c r="DR89">
        <v>3.2299999999999995</v>
      </c>
      <c r="DS89">
        <v>1.3569562500000001</v>
      </c>
      <c r="DT89">
        <v>3.0394749999999999</v>
      </c>
      <c r="DU89" t="s">
        <v>299</v>
      </c>
      <c r="DV89" t="s">
        <v>258</v>
      </c>
      <c r="DW89" t="s">
        <v>478</v>
      </c>
      <c r="DX89">
        <v>21</v>
      </c>
      <c r="DY89">
        <v>-2.112000000000001</v>
      </c>
      <c r="DZ89">
        <v>9</v>
      </c>
      <c r="EA89">
        <v>12.25</v>
      </c>
      <c r="EB89">
        <v>10</v>
      </c>
      <c r="EC89">
        <v>2.1675000000000009</v>
      </c>
      <c r="ED89">
        <v>4</v>
      </c>
      <c r="EE89">
        <v>3.5249999999999995</v>
      </c>
      <c r="EF89">
        <v>4</v>
      </c>
      <c r="EG89">
        <v>27.525000000000002</v>
      </c>
      <c r="EH89">
        <v>31</v>
      </c>
      <c r="EI89">
        <v>-1.9624999999999999</v>
      </c>
      <c r="EJ89">
        <v>10</v>
      </c>
      <c r="EK89">
        <v>13</v>
      </c>
      <c r="EL89">
        <v>12</v>
      </c>
      <c r="EM89">
        <v>1.0487500000000001</v>
      </c>
      <c r="EN89">
        <v>5</v>
      </c>
      <c r="EO89">
        <v>2.0999999999999996</v>
      </c>
      <c r="EP89">
        <v>5</v>
      </c>
      <c r="EQ89">
        <v>15.600000000000001</v>
      </c>
      <c r="ER89">
        <v>30</v>
      </c>
      <c r="ES89">
        <v>-0.98750000000000004</v>
      </c>
      <c r="ET89">
        <v>5</v>
      </c>
      <c r="EU89">
        <v>6</v>
      </c>
      <c r="EV89">
        <v>10</v>
      </c>
      <c r="EW89">
        <v>1.1187500000000008</v>
      </c>
      <c r="EX89">
        <v>4</v>
      </c>
      <c r="EY89">
        <v>1.4249999999999998</v>
      </c>
      <c r="EZ89">
        <v>4</v>
      </c>
      <c r="FA89">
        <v>11.925000000000001</v>
      </c>
      <c r="FB89">
        <v>29</v>
      </c>
      <c r="FC89">
        <v>-0.97499999999999998</v>
      </c>
      <c r="FD89">
        <v>5</v>
      </c>
      <c r="FE89">
        <v>5.666666666666667</v>
      </c>
      <c r="FF89">
        <v>7</v>
      </c>
      <c r="FG89">
        <v>3.5037500000000001</v>
      </c>
      <c r="FH89">
        <v>6</v>
      </c>
      <c r="FI89">
        <v>16.8125</v>
      </c>
      <c r="FJ89">
        <v>4</v>
      </c>
      <c r="FK89">
        <v>1.7499999999999998</v>
      </c>
      <c r="FL89">
        <v>13</v>
      </c>
      <c r="FM89">
        <v>14</v>
      </c>
      <c r="FN89">
        <v>15</v>
      </c>
      <c r="FO89">
        <v>0.19875000000000043</v>
      </c>
      <c r="FP89">
        <v>18</v>
      </c>
      <c r="FQ89">
        <v>-2.6500000000000004</v>
      </c>
      <c r="FR89">
        <v>9</v>
      </c>
      <c r="FS89">
        <v>0.83749999999999991</v>
      </c>
      <c r="FT89">
        <v>1</v>
      </c>
      <c r="FU89">
        <v>2</v>
      </c>
      <c r="FV89">
        <v>3</v>
      </c>
      <c r="FW89">
        <v>5.7537500000000001</v>
      </c>
      <c r="FX89">
        <v>1</v>
      </c>
      <c r="FY89">
        <v>32.987499999999997</v>
      </c>
      <c r="FZ89">
        <v>2</v>
      </c>
      <c r="GA89">
        <v>1.4624999999999999</v>
      </c>
      <c r="GB89">
        <v>31</v>
      </c>
      <c r="GC89">
        <v>29.666666666666668</v>
      </c>
      <c r="GD89">
        <v>30</v>
      </c>
      <c r="GE89">
        <v>-2.4487500000000004</v>
      </c>
      <c r="GF89">
        <v>31</v>
      </c>
      <c r="GG89">
        <v>-13.525</v>
      </c>
      <c r="GH89">
        <v>28</v>
      </c>
      <c r="GI89">
        <v>-0.55000000000000004</v>
      </c>
      <c r="GJ89">
        <v>19</v>
      </c>
      <c r="GK89">
        <v>19.666666666666668</v>
      </c>
      <c r="GL89">
        <v>17</v>
      </c>
      <c r="GM89">
        <v>-0.81125000000000069</v>
      </c>
      <c r="GN89">
        <v>16</v>
      </c>
      <c r="GO89">
        <v>0.51249999999999929</v>
      </c>
      <c r="GP89">
        <v>26</v>
      </c>
      <c r="GQ89">
        <v>-1.2250000000000001</v>
      </c>
      <c r="GR89">
        <v>30</v>
      </c>
      <c r="GS89">
        <v>30</v>
      </c>
      <c r="GT89">
        <v>30</v>
      </c>
      <c r="GU89">
        <v>-4.6012500000000003</v>
      </c>
      <c r="GV89">
        <v>-17.387499999999999</v>
      </c>
      <c r="GW89">
        <v>-2.125</v>
      </c>
      <c r="GX89">
        <v>26</v>
      </c>
      <c r="GY89">
        <v>26</v>
      </c>
      <c r="GZ89">
        <v>26</v>
      </c>
      <c r="HA89">
        <v>-1.5624999999999998</v>
      </c>
      <c r="HB89">
        <v>26</v>
      </c>
      <c r="HC89">
        <v>-0.47499999999999998</v>
      </c>
      <c r="HD89">
        <v>1.4125000000000001</v>
      </c>
      <c r="HE89">
        <v>27</v>
      </c>
      <c r="HF89">
        <v>22.75</v>
      </c>
      <c r="HG89">
        <v>23</v>
      </c>
      <c r="HH89">
        <v>-1.9523930867991653E-2</v>
      </c>
      <c r="HI89">
        <v>22</v>
      </c>
      <c r="HJ89">
        <v>-6.3912190014208947E-3</v>
      </c>
      <c r="HK89">
        <v>25</v>
      </c>
      <c r="HL89">
        <v>5.8183760683760716E-2</v>
      </c>
      <c r="HM89">
        <v>21</v>
      </c>
      <c r="HN89">
        <v>-1.3125</v>
      </c>
      <c r="HO89">
        <v>1.0875000000000021</v>
      </c>
      <c r="HP89">
        <v>0.8125</v>
      </c>
      <c r="HQ89">
        <v>1.3125</v>
      </c>
      <c r="HR89">
        <v>-6.9125000000000085</v>
      </c>
      <c r="HS89">
        <v>-24.862500000000004</v>
      </c>
      <c r="HT89">
        <v>28.337499999999999</v>
      </c>
      <c r="HU89">
        <v>-2.0874999999999999</v>
      </c>
      <c r="HV89">
        <v>-8.2999999999999989</v>
      </c>
      <c r="HW89">
        <v>24</v>
      </c>
      <c r="HX89">
        <v>-4.2795000000000023</v>
      </c>
      <c r="HY89">
        <v>-1.7256500000000008</v>
      </c>
      <c r="HZ89">
        <v>-53.2</v>
      </c>
      <c r="IA89">
        <v>9</v>
      </c>
      <c r="IB89">
        <v>-0.32556249999999998</v>
      </c>
      <c r="IC89">
        <v>-0.37500000000000022</v>
      </c>
    </row>
    <row r="90" spans="1:237" x14ac:dyDescent="0.2">
      <c r="A90" s="19">
        <v>44129</v>
      </c>
      <c r="B90" s="13" t="s">
        <v>250</v>
      </c>
      <c r="C90" s="41" t="s">
        <v>276</v>
      </c>
      <c r="D90" s="14" t="s">
        <v>298</v>
      </c>
      <c r="E90">
        <v>10.8</v>
      </c>
      <c r="F90">
        <v>25.2</v>
      </c>
      <c r="G90">
        <v>2.1</v>
      </c>
      <c r="H90">
        <v>10.4</v>
      </c>
      <c r="I90">
        <v>-9</v>
      </c>
      <c r="J90">
        <v>47</v>
      </c>
      <c r="L90" t="s">
        <v>276</v>
      </c>
      <c r="M90">
        <v>4</v>
      </c>
      <c r="N90">
        <v>6.7204000000000006</v>
      </c>
      <c r="O90">
        <v>31</v>
      </c>
      <c r="P90">
        <v>29</v>
      </c>
      <c r="Q90">
        <v>32</v>
      </c>
      <c r="R90">
        <v>-9.1739999999999995</v>
      </c>
      <c r="S90">
        <v>24</v>
      </c>
      <c r="T90">
        <v>-1.9700000000000004</v>
      </c>
      <c r="U90">
        <v>28</v>
      </c>
      <c r="V90">
        <v>-21.94</v>
      </c>
      <c r="W90">
        <v>32</v>
      </c>
      <c r="X90">
        <v>-2.6799999999999997</v>
      </c>
      <c r="Y90">
        <v>31</v>
      </c>
      <c r="Z90">
        <v>27.333333333333332</v>
      </c>
      <c r="AA90">
        <v>30</v>
      </c>
      <c r="AB90">
        <v>-6.2969999999999997</v>
      </c>
      <c r="AC90">
        <v>20</v>
      </c>
      <c r="AD90">
        <v>-0.9500000000000004</v>
      </c>
      <c r="AE90">
        <v>26</v>
      </c>
      <c r="AF90">
        <v>-16.080000000000002</v>
      </c>
      <c r="AG90">
        <v>26</v>
      </c>
      <c r="AH90">
        <v>-1.25</v>
      </c>
      <c r="AI90">
        <v>31</v>
      </c>
      <c r="AJ90">
        <v>28.666666666666668</v>
      </c>
      <c r="AK90">
        <v>30</v>
      </c>
      <c r="AL90">
        <v>-2.8770000000000002</v>
      </c>
      <c r="AM90">
        <v>20</v>
      </c>
      <c r="AN90">
        <v>-1.02</v>
      </c>
      <c r="AO90">
        <v>24</v>
      </c>
      <c r="AP90">
        <v>-5.86</v>
      </c>
      <c r="AQ90">
        <v>32</v>
      </c>
      <c r="AR90">
        <v>-1.43</v>
      </c>
      <c r="AS90">
        <v>1</v>
      </c>
      <c r="AT90">
        <v>1.6666666666666667</v>
      </c>
      <c r="AU90">
        <v>2</v>
      </c>
      <c r="AV90">
        <v>12.068999999999999</v>
      </c>
      <c r="AW90">
        <v>1</v>
      </c>
      <c r="AX90">
        <v>58.889999999999993</v>
      </c>
      <c r="AY90">
        <v>2</v>
      </c>
      <c r="AZ90">
        <v>4.3599999999999994</v>
      </c>
      <c r="BA90">
        <v>1</v>
      </c>
      <c r="BB90">
        <v>1.3333333333333333</v>
      </c>
      <c r="BC90">
        <v>1</v>
      </c>
      <c r="BD90">
        <v>7.4859999999999989</v>
      </c>
      <c r="BE90">
        <v>1</v>
      </c>
      <c r="BF90">
        <v>28.829999999999995</v>
      </c>
      <c r="BG90">
        <v>2</v>
      </c>
      <c r="BH90">
        <v>2.42</v>
      </c>
      <c r="BI90">
        <v>8</v>
      </c>
      <c r="BJ90">
        <v>9</v>
      </c>
      <c r="BK90">
        <v>10</v>
      </c>
      <c r="BL90">
        <v>2.3769999999999998</v>
      </c>
      <c r="BM90">
        <v>8</v>
      </c>
      <c r="BN90">
        <v>14.669999999999998</v>
      </c>
      <c r="BO90">
        <v>9</v>
      </c>
      <c r="BP90">
        <v>0.99999999999999978</v>
      </c>
      <c r="BQ90">
        <v>4</v>
      </c>
      <c r="BR90">
        <v>6</v>
      </c>
      <c r="BS90">
        <v>6</v>
      </c>
      <c r="BT90">
        <v>2.2060000000000004</v>
      </c>
      <c r="BU90">
        <v>4</v>
      </c>
      <c r="BV90">
        <v>15.39</v>
      </c>
      <c r="BW90">
        <v>8</v>
      </c>
      <c r="BX90">
        <v>0.93999999999999984</v>
      </c>
      <c r="BY90">
        <v>3</v>
      </c>
      <c r="BZ90">
        <v>3.6666666666666665</v>
      </c>
      <c r="CA90">
        <v>4</v>
      </c>
      <c r="CB90">
        <v>6.4989999999999997</v>
      </c>
      <c r="CC90">
        <v>4</v>
      </c>
      <c r="CD90">
        <v>17.089999999999996</v>
      </c>
      <c r="CE90">
        <v>3</v>
      </c>
      <c r="CF90">
        <v>1.9400000000000002</v>
      </c>
      <c r="CG90">
        <v>30</v>
      </c>
      <c r="CH90">
        <v>28.666666666666668</v>
      </c>
      <c r="CI90">
        <v>28</v>
      </c>
      <c r="CJ90">
        <v>-3.4980000000000002</v>
      </c>
      <c r="CK90">
        <v>-15.280000000000001</v>
      </c>
      <c r="CL90">
        <v>-2.3200000000000003</v>
      </c>
      <c r="CM90">
        <v>21</v>
      </c>
      <c r="CN90">
        <v>21.5</v>
      </c>
      <c r="CO90">
        <v>19</v>
      </c>
      <c r="CP90">
        <v>-0.76999999999999991</v>
      </c>
      <c r="CQ90">
        <v>24</v>
      </c>
      <c r="CR90">
        <v>-0.35</v>
      </c>
      <c r="CS90">
        <v>-0.95000000000000018</v>
      </c>
      <c r="CT90">
        <v>21</v>
      </c>
      <c r="CU90">
        <v>19.75</v>
      </c>
      <c r="CV90">
        <v>6</v>
      </c>
      <c r="CW90">
        <v>4.5159965993298821E-2</v>
      </c>
      <c r="CX90">
        <v>27</v>
      </c>
      <c r="CY90">
        <v>-2.0215723699290741E-2</v>
      </c>
      <c r="CZ90">
        <v>15</v>
      </c>
      <c r="DA90">
        <v>-4.2595737595737425E-3</v>
      </c>
      <c r="DB90">
        <v>31</v>
      </c>
      <c r="DC90">
        <v>-2.4300000000000002</v>
      </c>
      <c r="DD90">
        <v>-4.4699999999999989</v>
      </c>
      <c r="DE90">
        <v>2.8900000000000006</v>
      </c>
      <c r="DF90">
        <v>-0.63</v>
      </c>
      <c r="DG90">
        <v>-10.739999999999998</v>
      </c>
      <c r="DH90">
        <v>24.76</v>
      </c>
      <c r="DI90">
        <v>-32.130000000000003</v>
      </c>
      <c r="DJ90">
        <v>-2.8899999999999997</v>
      </c>
      <c r="DK90">
        <v>-0.4799999999999997</v>
      </c>
      <c r="DL90">
        <v>1</v>
      </c>
      <c r="DM90">
        <v>15.894400000000001</v>
      </c>
      <c r="DN90">
        <v>7.6452799999999987</v>
      </c>
      <c r="DO90">
        <v>56.89</v>
      </c>
      <c r="DP90">
        <v>32</v>
      </c>
      <c r="DQ90">
        <v>0.66842499999999994</v>
      </c>
      <c r="DR90">
        <v>2.0399999999999991</v>
      </c>
      <c r="DS90">
        <v>0.35889999999999989</v>
      </c>
      <c r="DT90">
        <v>0.27059999999999973</v>
      </c>
      <c r="DU90" t="s">
        <v>298</v>
      </c>
      <c r="DV90" t="s">
        <v>262</v>
      </c>
      <c r="DW90" t="s">
        <v>473</v>
      </c>
      <c r="DX90">
        <v>17</v>
      </c>
      <c r="DY90">
        <v>-0.64440000000000064</v>
      </c>
      <c r="DZ90">
        <v>4</v>
      </c>
      <c r="EA90">
        <v>9.75</v>
      </c>
      <c r="EB90">
        <v>5</v>
      </c>
      <c r="EC90">
        <v>4.5080000000000009</v>
      </c>
      <c r="ED90">
        <v>11</v>
      </c>
      <c r="EE90">
        <v>1.47</v>
      </c>
      <c r="EF90">
        <v>9</v>
      </c>
      <c r="EG90">
        <v>12.920000000000002</v>
      </c>
      <c r="EH90">
        <v>14</v>
      </c>
      <c r="EI90">
        <v>0.1599999999999997</v>
      </c>
      <c r="EJ90">
        <v>12</v>
      </c>
      <c r="EK90">
        <v>14</v>
      </c>
      <c r="EL90">
        <v>7</v>
      </c>
      <c r="EM90">
        <v>2.5630000000000002</v>
      </c>
      <c r="EN90">
        <v>14</v>
      </c>
      <c r="EO90">
        <v>0.10999999999999979</v>
      </c>
      <c r="EP90">
        <v>7</v>
      </c>
      <c r="EQ90">
        <v>10.520000000000001</v>
      </c>
      <c r="ER90">
        <v>28</v>
      </c>
      <c r="ES90">
        <v>-0.88000000000000012</v>
      </c>
      <c r="ET90">
        <v>6</v>
      </c>
      <c r="EU90">
        <v>7.333333333333333</v>
      </c>
      <c r="EV90">
        <v>3</v>
      </c>
      <c r="EW90">
        <v>1.945000000000001</v>
      </c>
      <c r="EX90">
        <v>6</v>
      </c>
      <c r="EY90">
        <v>1.36</v>
      </c>
      <c r="EZ90">
        <v>13</v>
      </c>
      <c r="FA90">
        <v>2.4000000000000004</v>
      </c>
      <c r="FB90">
        <v>3</v>
      </c>
      <c r="FC90">
        <v>1.0399999999999998</v>
      </c>
      <c r="FD90">
        <v>19</v>
      </c>
      <c r="FE90">
        <v>18</v>
      </c>
      <c r="FF90">
        <v>18</v>
      </c>
      <c r="FG90">
        <v>-0.56499999999999995</v>
      </c>
      <c r="FH90">
        <v>11</v>
      </c>
      <c r="FI90">
        <v>8.0800000000000018</v>
      </c>
      <c r="FJ90">
        <v>25</v>
      </c>
      <c r="FK90">
        <v>-1.59</v>
      </c>
      <c r="FL90">
        <v>16</v>
      </c>
      <c r="FM90">
        <v>16</v>
      </c>
      <c r="FN90">
        <v>12</v>
      </c>
      <c r="FO90">
        <v>0.74200000000000033</v>
      </c>
      <c r="FP90">
        <v>8</v>
      </c>
      <c r="FQ90">
        <v>11.06</v>
      </c>
      <c r="FR90">
        <v>28</v>
      </c>
      <c r="FS90">
        <v>-1.44</v>
      </c>
      <c r="FT90">
        <v>19</v>
      </c>
      <c r="FU90">
        <v>19.333333333333332</v>
      </c>
      <c r="FV90">
        <v>19</v>
      </c>
      <c r="FW90">
        <v>-0.73900000000000043</v>
      </c>
      <c r="FX90">
        <v>14</v>
      </c>
      <c r="FY90">
        <v>-2.9999999999999714E-2</v>
      </c>
      <c r="FZ90">
        <v>25</v>
      </c>
      <c r="GA90">
        <v>-0.54</v>
      </c>
      <c r="GB90">
        <v>14</v>
      </c>
      <c r="GC90">
        <v>16.333333333333332</v>
      </c>
      <c r="GD90">
        <v>19</v>
      </c>
      <c r="GE90">
        <v>-0.56799999999999984</v>
      </c>
      <c r="GF90">
        <v>21</v>
      </c>
      <c r="GG90">
        <v>-2.9499999999999984</v>
      </c>
      <c r="GH90">
        <v>9</v>
      </c>
      <c r="GI90">
        <v>0.38999999999999985</v>
      </c>
      <c r="GJ90">
        <v>26</v>
      </c>
      <c r="GK90">
        <v>24</v>
      </c>
      <c r="GL90">
        <v>24</v>
      </c>
      <c r="GM90">
        <v>-2.0439999999999992</v>
      </c>
      <c r="GN90">
        <v>18</v>
      </c>
      <c r="GO90">
        <v>-2.5400000000000005</v>
      </c>
      <c r="GP90">
        <v>30</v>
      </c>
      <c r="GQ90">
        <v>-2.2599999999999998</v>
      </c>
      <c r="GR90">
        <v>24</v>
      </c>
      <c r="GS90">
        <v>23.333333333333332</v>
      </c>
      <c r="GT90">
        <v>16</v>
      </c>
      <c r="GU90">
        <v>0.38900000000000057</v>
      </c>
      <c r="GV90">
        <v>-8.15</v>
      </c>
      <c r="GW90">
        <v>-1.31</v>
      </c>
      <c r="GX90">
        <v>19</v>
      </c>
      <c r="GY90">
        <v>18.5</v>
      </c>
      <c r="GZ90">
        <v>15</v>
      </c>
      <c r="HA90">
        <v>-0.11000000000000014</v>
      </c>
      <c r="HB90">
        <v>22</v>
      </c>
      <c r="HC90">
        <v>-0.36999999999999994</v>
      </c>
      <c r="HD90">
        <v>3.63</v>
      </c>
      <c r="HE90">
        <v>17</v>
      </c>
      <c r="HF90">
        <v>17.25</v>
      </c>
      <c r="HG90">
        <v>17</v>
      </c>
      <c r="HH90">
        <v>6.649989579673582E-3</v>
      </c>
      <c r="HI90">
        <v>27</v>
      </c>
      <c r="HJ90">
        <v>-1.841222774586463E-2</v>
      </c>
      <c r="HK90">
        <v>2</v>
      </c>
      <c r="HL90">
        <v>-0.13781814384445967</v>
      </c>
      <c r="HM90">
        <v>23</v>
      </c>
      <c r="HN90">
        <v>-1.4600000000000002</v>
      </c>
      <c r="HO90">
        <v>-2.85</v>
      </c>
      <c r="HP90">
        <v>2.8600000000000003</v>
      </c>
      <c r="HQ90">
        <v>2.2800000000000002</v>
      </c>
      <c r="HR90">
        <v>9.5799999999999947</v>
      </c>
      <c r="HS90">
        <v>-2.6000000000000112</v>
      </c>
      <c r="HT90">
        <v>27.04</v>
      </c>
      <c r="HU90">
        <v>-5.2</v>
      </c>
      <c r="HV90">
        <v>-9.66</v>
      </c>
      <c r="HW90">
        <v>25</v>
      </c>
      <c r="HX90">
        <v>-5.1524000000000019</v>
      </c>
      <c r="HY90">
        <v>-2.4180800000000002</v>
      </c>
      <c r="HZ90">
        <v>-29.640000000000011</v>
      </c>
      <c r="IA90">
        <v>8</v>
      </c>
      <c r="IB90">
        <v>0.4472000000000001</v>
      </c>
      <c r="IC90">
        <v>-2.9000000000000004</v>
      </c>
    </row>
    <row r="91" spans="1:237" x14ac:dyDescent="0.2">
      <c r="A91" s="19">
        <v>44129</v>
      </c>
      <c r="B91" s="13" t="s">
        <v>250</v>
      </c>
      <c r="C91" s="41" t="s">
        <v>301</v>
      </c>
      <c r="D91" s="14" t="s">
        <v>307</v>
      </c>
      <c r="E91">
        <v>13.4</v>
      </c>
      <c r="F91">
        <v>25.3</v>
      </c>
      <c r="G91">
        <v>17.3</v>
      </c>
      <c r="H91">
        <v>2.1</v>
      </c>
      <c r="I91">
        <v>7</v>
      </c>
      <c r="J91">
        <v>49.5</v>
      </c>
      <c r="K91" t="s">
        <v>735</v>
      </c>
      <c r="L91" t="s">
        <v>301</v>
      </c>
      <c r="M91">
        <v>21</v>
      </c>
      <c r="N91">
        <v>-2.4065999999999996</v>
      </c>
      <c r="O91">
        <v>5</v>
      </c>
      <c r="P91">
        <v>8.5</v>
      </c>
      <c r="Q91">
        <v>4</v>
      </c>
      <c r="R91">
        <v>8.4130000000000003</v>
      </c>
      <c r="S91">
        <v>11</v>
      </c>
      <c r="T91">
        <v>1.3700000000000003</v>
      </c>
      <c r="U91">
        <v>12</v>
      </c>
      <c r="V91">
        <v>8.1399999999999988</v>
      </c>
      <c r="W91">
        <v>7</v>
      </c>
      <c r="X91">
        <v>1.4599999999999997</v>
      </c>
      <c r="Y91">
        <v>2</v>
      </c>
      <c r="Z91">
        <v>6</v>
      </c>
      <c r="AA91">
        <v>3</v>
      </c>
      <c r="AB91">
        <v>6.9980000000000002</v>
      </c>
      <c r="AC91">
        <v>8</v>
      </c>
      <c r="AD91">
        <v>2.4200000000000004</v>
      </c>
      <c r="AE91">
        <v>10</v>
      </c>
      <c r="AF91">
        <v>9.6</v>
      </c>
      <c r="AG91">
        <v>5</v>
      </c>
      <c r="AH91">
        <v>1.2799999999999998</v>
      </c>
      <c r="AI91">
        <v>8</v>
      </c>
      <c r="AJ91">
        <v>11.666666666666666</v>
      </c>
      <c r="AK91">
        <v>7</v>
      </c>
      <c r="AL91">
        <v>1.4150000000000003</v>
      </c>
      <c r="AM91">
        <v>22</v>
      </c>
      <c r="AN91">
        <v>-1.05</v>
      </c>
      <c r="AO91">
        <v>15</v>
      </c>
      <c r="AP91">
        <v>-1.4600000000000002</v>
      </c>
      <c r="AQ91">
        <v>13</v>
      </c>
      <c r="AR91">
        <v>0.17999999999999988</v>
      </c>
      <c r="AS91">
        <v>7</v>
      </c>
      <c r="AT91">
        <v>8.3333333333333339</v>
      </c>
      <c r="AU91">
        <v>11</v>
      </c>
      <c r="AV91">
        <v>3.3529999999999989</v>
      </c>
      <c r="AW91">
        <v>3</v>
      </c>
      <c r="AX91">
        <v>37.1</v>
      </c>
      <c r="AY91">
        <v>11</v>
      </c>
      <c r="AZ91">
        <v>0.82000000000000017</v>
      </c>
      <c r="BA91">
        <v>16</v>
      </c>
      <c r="BB91">
        <v>18.333333333333332</v>
      </c>
      <c r="BC91">
        <v>24</v>
      </c>
      <c r="BD91">
        <v>-1.3010000000000008</v>
      </c>
      <c r="BE91">
        <v>10</v>
      </c>
      <c r="BF91">
        <v>7.1399999999999979</v>
      </c>
      <c r="BG91">
        <v>21</v>
      </c>
      <c r="BH91">
        <v>-0.73999999999999988</v>
      </c>
      <c r="BI91">
        <v>5</v>
      </c>
      <c r="BJ91">
        <v>5.666666666666667</v>
      </c>
      <c r="BK91">
        <v>8</v>
      </c>
      <c r="BL91">
        <v>2.899</v>
      </c>
      <c r="BM91">
        <v>5</v>
      </c>
      <c r="BN91">
        <v>25.96</v>
      </c>
      <c r="BO91">
        <v>4</v>
      </c>
      <c r="BP91">
        <v>1.92</v>
      </c>
      <c r="BQ91">
        <v>15</v>
      </c>
      <c r="BR91">
        <v>14.666666666666666</v>
      </c>
      <c r="BS91">
        <v>9</v>
      </c>
      <c r="BT91">
        <v>1.7549999999999997</v>
      </c>
      <c r="BU91">
        <v>15</v>
      </c>
      <c r="BV91">
        <v>4</v>
      </c>
      <c r="BW91">
        <v>20</v>
      </c>
      <c r="BX91">
        <v>-0.36</v>
      </c>
      <c r="BY91">
        <v>25</v>
      </c>
      <c r="BZ91">
        <v>25.333333333333332</v>
      </c>
      <c r="CA91">
        <v>25</v>
      </c>
      <c r="CB91">
        <v>-4.0939999999999994</v>
      </c>
      <c r="CC91">
        <v>22</v>
      </c>
      <c r="CD91">
        <v>-8.2399999999999984</v>
      </c>
      <c r="CE91">
        <v>29</v>
      </c>
      <c r="CF91">
        <v>-1.7200000000000002</v>
      </c>
      <c r="CG91">
        <v>32</v>
      </c>
      <c r="CH91">
        <v>32</v>
      </c>
      <c r="CI91">
        <v>32</v>
      </c>
      <c r="CJ91">
        <v>-8.1829999999999998</v>
      </c>
      <c r="CK91">
        <v>-34.53</v>
      </c>
      <c r="CL91">
        <v>-3.7299999999999995</v>
      </c>
      <c r="CM91">
        <v>9</v>
      </c>
      <c r="CN91">
        <v>8</v>
      </c>
      <c r="CO91">
        <v>12</v>
      </c>
      <c r="CP91">
        <v>0.98000000000000009</v>
      </c>
      <c r="CQ91">
        <v>4</v>
      </c>
      <c r="CR91">
        <v>0.63</v>
      </c>
      <c r="CS91">
        <v>0.79</v>
      </c>
      <c r="CT91">
        <v>20</v>
      </c>
      <c r="CU91">
        <v>19.5</v>
      </c>
      <c r="CV91">
        <v>28</v>
      </c>
      <c r="CW91">
        <v>-6.5359545910952568E-2</v>
      </c>
      <c r="CX91">
        <v>19</v>
      </c>
      <c r="CY91">
        <v>-1.459539977263058E-3</v>
      </c>
      <c r="CZ91">
        <v>14</v>
      </c>
      <c r="DA91">
        <v>-4.4172077922077554E-3</v>
      </c>
      <c r="DB91">
        <v>17</v>
      </c>
      <c r="DC91">
        <v>-0.65999999999999992</v>
      </c>
      <c r="DD91">
        <v>-1.45</v>
      </c>
      <c r="DE91">
        <v>-0.4799999999999997</v>
      </c>
      <c r="DF91">
        <v>-0.27999999999999997</v>
      </c>
      <c r="DG91">
        <v>19.529999999999994</v>
      </c>
      <c r="DH91">
        <v>3.6099999999999968</v>
      </c>
      <c r="DI91">
        <v>3.6400000000000006</v>
      </c>
      <c r="DJ91">
        <v>6.45</v>
      </c>
      <c r="DK91">
        <v>5.8300000000000018</v>
      </c>
      <c r="DL91">
        <v>30</v>
      </c>
      <c r="DM91">
        <v>-10.819600000000001</v>
      </c>
      <c r="DN91">
        <v>-5.6538199999999996</v>
      </c>
      <c r="DO91">
        <v>-3.0000000000003801E-2</v>
      </c>
      <c r="DP91">
        <v>3</v>
      </c>
      <c r="DQ91">
        <v>0.2695499999999999</v>
      </c>
      <c r="DR91">
        <v>-2.9099999999999993</v>
      </c>
      <c r="DS91">
        <v>-0.40395625000000002</v>
      </c>
      <c r="DT91">
        <v>-1.231975</v>
      </c>
      <c r="DU91" t="s">
        <v>307</v>
      </c>
      <c r="DV91" t="s">
        <v>269</v>
      </c>
      <c r="DW91" t="s">
        <v>457</v>
      </c>
      <c r="DX91">
        <v>9</v>
      </c>
      <c r="DY91">
        <v>2.955000000000001</v>
      </c>
      <c r="DZ91">
        <v>28</v>
      </c>
      <c r="EA91">
        <v>23.5</v>
      </c>
      <c r="EB91">
        <v>29</v>
      </c>
      <c r="EC91">
        <v>-4.4312500000000004</v>
      </c>
      <c r="ED91">
        <v>17</v>
      </c>
      <c r="EE91">
        <v>-0.125</v>
      </c>
      <c r="EF91">
        <v>22</v>
      </c>
      <c r="EG91">
        <v>-10.625</v>
      </c>
      <c r="EH91">
        <v>26</v>
      </c>
      <c r="EI91">
        <v>-1</v>
      </c>
      <c r="EJ91">
        <v>18</v>
      </c>
      <c r="EK91">
        <v>18.25</v>
      </c>
      <c r="EL91">
        <v>30</v>
      </c>
      <c r="EM91">
        <v>-4.1312499999999996</v>
      </c>
      <c r="EN91">
        <v>2</v>
      </c>
      <c r="EO91">
        <v>2.25</v>
      </c>
      <c r="EP91">
        <v>19</v>
      </c>
      <c r="EQ91">
        <v>-2.8125</v>
      </c>
      <c r="ER91">
        <v>22</v>
      </c>
      <c r="ES91">
        <v>-0.625</v>
      </c>
      <c r="ET91">
        <v>28</v>
      </c>
      <c r="EU91">
        <v>24.333333333333332</v>
      </c>
      <c r="EV91">
        <v>17</v>
      </c>
      <c r="EW91">
        <v>-0.30000000000000071</v>
      </c>
      <c r="EX91">
        <v>30</v>
      </c>
      <c r="EY91">
        <v>-2.375</v>
      </c>
      <c r="EZ91">
        <v>26</v>
      </c>
      <c r="FA91">
        <v>-7.8125</v>
      </c>
      <c r="FB91">
        <v>22</v>
      </c>
      <c r="FC91">
        <v>-0.375</v>
      </c>
      <c r="FD91">
        <v>22</v>
      </c>
      <c r="FE91">
        <v>22</v>
      </c>
      <c r="FF91">
        <v>14</v>
      </c>
      <c r="FG91">
        <v>0.78124999999999956</v>
      </c>
      <c r="FH91">
        <v>23</v>
      </c>
      <c r="FI91">
        <v>-6.0625</v>
      </c>
      <c r="FJ91">
        <v>29</v>
      </c>
      <c r="FK91">
        <v>-2.3125</v>
      </c>
      <c r="FL91">
        <v>27</v>
      </c>
      <c r="FM91">
        <v>26</v>
      </c>
      <c r="FN91">
        <v>20</v>
      </c>
      <c r="FO91">
        <v>-1.3000000000000007</v>
      </c>
      <c r="FP91">
        <v>27</v>
      </c>
      <c r="FQ91">
        <v>-10.125</v>
      </c>
      <c r="FR91">
        <v>31</v>
      </c>
      <c r="FS91">
        <v>-2.5</v>
      </c>
      <c r="FT91">
        <v>7</v>
      </c>
      <c r="FU91">
        <v>8.6666666666666661</v>
      </c>
      <c r="FV91">
        <v>4</v>
      </c>
      <c r="FW91">
        <v>3.2875000000000001</v>
      </c>
      <c r="FX91">
        <v>9</v>
      </c>
      <c r="FY91">
        <v>5.375</v>
      </c>
      <c r="FZ91">
        <v>13</v>
      </c>
      <c r="GA91">
        <v>0.25</v>
      </c>
      <c r="GB91">
        <v>20</v>
      </c>
      <c r="GC91">
        <v>18.333333333333332</v>
      </c>
      <c r="GD91">
        <v>24</v>
      </c>
      <c r="GE91">
        <v>-1.2062499999999998</v>
      </c>
      <c r="GF91">
        <v>16</v>
      </c>
      <c r="GG91">
        <v>-1.3125</v>
      </c>
      <c r="GH91">
        <v>15</v>
      </c>
      <c r="GI91">
        <v>-6.25E-2</v>
      </c>
      <c r="GJ91">
        <v>27</v>
      </c>
      <c r="GK91">
        <v>26.333333333333332</v>
      </c>
      <c r="GL91">
        <v>25</v>
      </c>
      <c r="GM91">
        <v>-2.0500000000000007</v>
      </c>
      <c r="GN91">
        <v>27</v>
      </c>
      <c r="GO91">
        <v>-10.5</v>
      </c>
      <c r="GP91">
        <v>27</v>
      </c>
      <c r="GQ91">
        <v>-1.3125</v>
      </c>
      <c r="GR91">
        <v>7</v>
      </c>
      <c r="GS91">
        <v>8</v>
      </c>
      <c r="GT91">
        <v>3</v>
      </c>
      <c r="GU91">
        <v>4.2125000000000004</v>
      </c>
      <c r="GV91">
        <v>-2.25</v>
      </c>
      <c r="GW91">
        <v>1.8125</v>
      </c>
      <c r="GX91">
        <v>22</v>
      </c>
      <c r="GY91">
        <v>20.5</v>
      </c>
      <c r="GZ91">
        <v>16</v>
      </c>
      <c r="HA91">
        <v>-0.125</v>
      </c>
      <c r="HB91">
        <v>25</v>
      </c>
      <c r="HC91">
        <v>-0.4375</v>
      </c>
      <c r="HD91">
        <v>-1.25</v>
      </c>
      <c r="HE91">
        <v>8</v>
      </c>
      <c r="HF91">
        <v>12.5</v>
      </c>
      <c r="HG91">
        <v>4</v>
      </c>
      <c r="HH91">
        <v>4.4042753518949707E-2</v>
      </c>
      <c r="HI91">
        <v>12</v>
      </c>
      <c r="HJ91">
        <v>7.9525191375591289E-3</v>
      </c>
      <c r="HK91">
        <v>4</v>
      </c>
      <c r="HL91">
        <v>-9.5240768218709415E-2</v>
      </c>
      <c r="HM91">
        <v>30</v>
      </c>
      <c r="HN91">
        <v>-3.1875</v>
      </c>
      <c r="HO91">
        <v>0.5</v>
      </c>
      <c r="HP91">
        <v>5.125</v>
      </c>
      <c r="HQ91">
        <v>-0.875</v>
      </c>
      <c r="HR91">
        <v>-28.75</v>
      </c>
      <c r="HS91">
        <v>-12.6875</v>
      </c>
      <c r="HT91">
        <v>-16.5625</v>
      </c>
      <c r="HU91">
        <v>-0.125</v>
      </c>
      <c r="HV91">
        <v>0.625</v>
      </c>
      <c r="HW91">
        <v>6</v>
      </c>
      <c r="HX91">
        <v>7.3862500000000013</v>
      </c>
      <c r="HY91">
        <v>3.8053750000000006</v>
      </c>
      <c r="HZ91">
        <v>3.875</v>
      </c>
      <c r="IA91">
        <v>27</v>
      </c>
      <c r="IB91">
        <v>0.42406250000000006</v>
      </c>
      <c r="IC91">
        <v>-0.5</v>
      </c>
    </row>
    <row r="92" spans="1:237" x14ac:dyDescent="0.2">
      <c r="A92" s="19">
        <v>44129</v>
      </c>
      <c r="B92" s="13" t="s">
        <v>250</v>
      </c>
      <c r="C92" s="41" t="s">
        <v>265</v>
      </c>
      <c r="D92" s="13" t="s">
        <v>304</v>
      </c>
      <c r="E92">
        <v>11</v>
      </c>
      <c r="F92">
        <v>5</v>
      </c>
      <c r="G92">
        <v>7</v>
      </c>
      <c r="H92">
        <v>8.1</v>
      </c>
      <c r="I92">
        <v>6</v>
      </c>
      <c r="J92">
        <v>44.5</v>
      </c>
      <c r="L92" t="s">
        <v>265</v>
      </c>
      <c r="M92">
        <v>15</v>
      </c>
      <c r="N92">
        <v>0.16480000000000139</v>
      </c>
      <c r="O92">
        <v>28</v>
      </c>
      <c r="P92">
        <v>25.25</v>
      </c>
      <c r="Q92">
        <v>29</v>
      </c>
      <c r="R92">
        <v>-6.8920000000000012</v>
      </c>
      <c r="S92">
        <v>25</v>
      </c>
      <c r="T92">
        <v>-2.9600000000000004</v>
      </c>
      <c r="U92">
        <v>25</v>
      </c>
      <c r="V92">
        <v>-16.440000000000001</v>
      </c>
      <c r="W92">
        <v>22</v>
      </c>
      <c r="X92">
        <v>-0.84</v>
      </c>
      <c r="Y92">
        <v>22</v>
      </c>
      <c r="Z92">
        <v>19.333333333333332</v>
      </c>
      <c r="AA92">
        <v>23</v>
      </c>
      <c r="AB92">
        <v>-1.9560000000000008</v>
      </c>
      <c r="AC92">
        <v>15</v>
      </c>
      <c r="AD92">
        <v>0.23999999999999985</v>
      </c>
      <c r="AE92">
        <v>22</v>
      </c>
      <c r="AF92">
        <v>-7.32</v>
      </c>
      <c r="AG92">
        <v>13</v>
      </c>
      <c r="AH92">
        <v>0.43999999999999984</v>
      </c>
      <c r="AI92">
        <v>32</v>
      </c>
      <c r="AJ92">
        <v>30</v>
      </c>
      <c r="AK92">
        <v>32</v>
      </c>
      <c r="AL92">
        <v>-4.9359999999999999</v>
      </c>
      <c r="AM92">
        <v>30</v>
      </c>
      <c r="AN92">
        <v>-3.2</v>
      </c>
      <c r="AO92">
        <v>28</v>
      </c>
      <c r="AP92">
        <v>-9.120000000000001</v>
      </c>
      <c r="AQ92">
        <v>30</v>
      </c>
      <c r="AR92">
        <v>-1.2799999999999998</v>
      </c>
      <c r="AS92">
        <v>20</v>
      </c>
      <c r="AT92">
        <v>19.333333333333332</v>
      </c>
      <c r="AU92">
        <v>23</v>
      </c>
      <c r="AV92">
        <v>-3.3624000000000001</v>
      </c>
      <c r="AW92">
        <v>27</v>
      </c>
      <c r="AX92">
        <v>-27.680000000000007</v>
      </c>
      <c r="AY92">
        <v>8</v>
      </c>
      <c r="AZ92">
        <v>1.6400000000000001</v>
      </c>
      <c r="BA92">
        <v>5</v>
      </c>
      <c r="BB92">
        <v>7</v>
      </c>
      <c r="BC92">
        <v>7</v>
      </c>
      <c r="BD92">
        <v>2.2712000000000003</v>
      </c>
      <c r="BE92">
        <v>9</v>
      </c>
      <c r="BF92">
        <v>7.3199999999999976</v>
      </c>
      <c r="BG92">
        <v>5</v>
      </c>
      <c r="BH92">
        <v>1.7600000000000002</v>
      </c>
      <c r="BI92">
        <v>32</v>
      </c>
      <c r="BJ92">
        <v>30.333333333333332</v>
      </c>
      <c r="BK92">
        <v>31</v>
      </c>
      <c r="BL92">
        <v>-6.6120000000000001</v>
      </c>
      <c r="BM92">
        <v>32</v>
      </c>
      <c r="BN92">
        <v>-39.200000000000003</v>
      </c>
      <c r="BO92">
        <v>28</v>
      </c>
      <c r="BP92">
        <v>-1.6</v>
      </c>
      <c r="BQ92">
        <v>10</v>
      </c>
      <c r="BR92">
        <v>10.333333333333334</v>
      </c>
      <c r="BS92">
        <v>12</v>
      </c>
      <c r="BT92">
        <v>0.97839999999999971</v>
      </c>
      <c r="BU92">
        <v>14</v>
      </c>
      <c r="BV92">
        <v>4.2</v>
      </c>
      <c r="BW92">
        <v>5</v>
      </c>
      <c r="BX92">
        <v>1.48</v>
      </c>
      <c r="BY92">
        <v>14</v>
      </c>
      <c r="BZ92">
        <v>13.333333333333334</v>
      </c>
      <c r="CA92">
        <v>16</v>
      </c>
      <c r="CB92">
        <v>-0.84000000000000052</v>
      </c>
      <c r="CC92">
        <v>18</v>
      </c>
      <c r="CD92">
        <v>-5.1999999999999975</v>
      </c>
      <c r="CE92">
        <v>6</v>
      </c>
      <c r="CF92">
        <v>1.5199999999999996</v>
      </c>
      <c r="CG92">
        <v>7</v>
      </c>
      <c r="CH92">
        <v>9.6666666666666661</v>
      </c>
      <c r="CI92">
        <v>7</v>
      </c>
      <c r="CJ92">
        <v>2.6920000000000002</v>
      </c>
      <c r="CK92">
        <v>3.3199999999999994</v>
      </c>
      <c r="CL92">
        <v>0.95999999999999974</v>
      </c>
      <c r="CM92">
        <v>12</v>
      </c>
      <c r="CN92">
        <v>13.5</v>
      </c>
      <c r="CO92">
        <v>15</v>
      </c>
      <c r="CP92">
        <v>-4.0000000000000036E-2</v>
      </c>
      <c r="CQ92">
        <v>12</v>
      </c>
      <c r="CR92">
        <v>0.23999999999999994</v>
      </c>
      <c r="CS92">
        <v>1.8800000000000001</v>
      </c>
      <c r="CT92">
        <v>21</v>
      </c>
      <c r="CU92">
        <v>19.75</v>
      </c>
      <c r="CV92">
        <v>26</v>
      </c>
      <c r="CW92">
        <v>-3.5377721825560191E-2</v>
      </c>
      <c r="CX92">
        <v>21</v>
      </c>
      <c r="CY92">
        <v>-2.7822707864564615E-3</v>
      </c>
      <c r="CZ92">
        <v>2</v>
      </c>
      <c r="DA92">
        <v>-0.1568984806043629</v>
      </c>
      <c r="DB92">
        <v>30</v>
      </c>
      <c r="DC92">
        <v>-2.2799999999999998</v>
      </c>
      <c r="DD92">
        <v>0.32000000000000173</v>
      </c>
      <c r="DE92">
        <v>-1.0799999999999996</v>
      </c>
      <c r="DF92">
        <v>-0.91999999999999993</v>
      </c>
      <c r="DG92">
        <v>-36.319999999999993</v>
      </c>
      <c r="DH92">
        <v>-21.680000000000007</v>
      </c>
      <c r="DI92">
        <v>-20.519999999999996</v>
      </c>
      <c r="DJ92">
        <v>4.68</v>
      </c>
      <c r="DK92">
        <v>1.2000000000000004</v>
      </c>
      <c r="DL92">
        <v>7</v>
      </c>
      <c r="DM92">
        <v>7.0568000000000026</v>
      </c>
      <c r="DN92">
        <v>3.3448800000000007</v>
      </c>
      <c r="DO92">
        <v>-1.1600000000000108</v>
      </c>
      <c r="DP92">
        <v>26</v>
      </c>
      <c r="DQ92">
        <v>-0.92970000000000008</v>
      </c>
      <c r="DR92">
        <v>2.5999999999999996</v>
      </c>
      <c r="DS92">
        <v>-1.3545</v>
      </c>
      <c r="DT92">
        <v>-2.1737000000000002</v>
      </c>
      <c r="DU92" t="s">
        <v>304</v>
      </c>
      <c r="DV92" t="s">
        <v>251</v>
      </c>
      <c r="DW92" t="s">
        <v>456</v>
      </c>
      <c r="DX92">
        <v>22</v>
      </c>
      <c r="DY92">
        <v>-2.1703999999999999</v>
      </c>
      <c r="DZ92">
        <v>6</v>
      </c>
      <c r="EA92">
        <v>11.5</v>
      </c>
      <c r="EB92">
        <v>16</v>
      </c>
      <c r="EC92">
        <v>0.24000000000000069</v>
      </c>
      <c r="ED92">
        <v>13</v>
      </c>
      <c r="EE92">
        <v>1.3600000000000003</v>
      </c>
      <c r="EF92">
        <v>13</v>
      </c>
      <c r="EG92">
        <v>4.9200000000000017</v>
      </c>
      <c r="EH92">
        <v>4</v>
      </c>
      <c r="EI92">
        <v>1.3199999999999998</v>
      </c>
      <c r="EJ92">
        <v>7</v>
      </c>
      <c r="EK92">
        <v>11</v>
      </c>
      <c r="EL92">
        <v>17</v>
      </c>
      <c r="EM92">
        <v>-0.12799999999999975</v>
      </c>
      <c r="EN92">
        <v>6</v>
      </c>
      <c r="EO92">
        <v>2.04</v>
      </c>
      <c r="EP92">
        <v>15</v>
      </c>
      <c r="EQ92">
        <v>2.4800000000000026</v>
      </c>
      <c r="ER92">
        <v>6</v>
      </c>
      <c r="ES92">
        <v>0.64</v>
      </c>
      <c r="ET92">
        <v>13</v>
      </c>
      <c r="EU92">
        <v>14.333333333333334</v>
      </c>
      <c r="EV92">
        <v>11</v>
      </c>
      <c r="EW92">
        <v>0.36800000000000044</v>
      </c>
      <c r="EX92">
        <v>20</v>
      </c>
      <c r="EY92">
        <v>-0.67999999999999983</v>
      </c>
      <c r="EZ92">
        <v>12</v>
      </c>
      <c r="FA92">
        <v>2.4399999999999995</v>
      </c>
      <c r="FB92">
        <v>6</v>
      </c>
      <c r="FC92">
        <v>0.67999999999999994</v>
      </c>
      <c r="FD92">
        <v>30</v>
      </c>
      <c r="FE92">
        <v>29</v>
      </c>
      <c r="FF92">
        <v>28</v>
      </c>
      <c r="FG92">
        <v>-5.62</v>
      </c>
      <c r="FH92">
        <v>28</v>
      </c>
      <c r="FI92">
        <v>-21.240000000000002</v>
      </c>
      <c r="FJ92">
        <v>31</v>
      </c>
      <c r="FK92">
        <v>-3.4400000000000004</v>
      </c>
      <c r="FL92">
        <v>31</v>
      </c>
      <c r="FM92">
        <v>30.333333333333332</v>
      </c>
      <c r="FN92">
        <v>30</v>
      </c>
      <c r="FO92">
        <v>-4.7799999999999994</v>
      </c>
      <c r="FP92">
        <v>31</v>
      </c>
      <c r="FQ92">
        <v>-23</v>
      </c>
      <c r="FR92">
        <v>30</v>
      </c>
      <c r="FS92">
        <v>-1.6800000000000002</v>
      </c>
      <c r="FT92">
        <v>24</v>
      </c>
      <c r="FU92">
        <v>21.333333333333332</v>
      </c>
      <c r="FV92">
        <v>18</v>
      </c>
      <c r="FW92">
        <v>-0.62000000000000066</v>
      </c>
      <c r="FX92">
        <v>23</v>
      </c>
      <c r="FY92">
        <v>-4.6000000000000005</v>
      </c>
      <c r="FZ92">
        <v>23</v>
      </c>
      <c r="GA92">
        <v>-0.48000000000000009</v>
      </c>
      <c r="GB92">
        <v>20</v>
      </c>
      <c r="GC92">
        <v>18.333333333333332</v>
      </c>
      <c r="GD92">
        <v>17</v>
      </c>
      <c r="GE92">
        <v>-0.21999999999999975</v>
      </c>
      <c r="GF92">
        <v>7</v>
      </c>
      <c r="GG92">
        <v>6.3599999999999985</v>
      </c>
      <c r="GH92">
        <v>31</v>
      </c>
      <c r="GI92">
        <v>-1.28</v>
      </c>
      <c r="GJ92">
        <v>13</v>
      </c>
      <c r="GK92">
        <v>13.333333333333334</v>
      </c>
      <c r="GL92">
        <v>12</v>
      </c>
      <c r="GM92">
        <v>0.7600000000000019</v>
      </c>
      <c r="GN92">
        <v>13</v>
      </c>
      <c r="GO92">
        <v>6.400000000000003</v>
      </c>
      <c r="GP92">
        <v>15</v>
      </c>
      <c r="GQ92">
        <v>0.15999999999999998</v>
      </c>
      <c r="GR92">
        <v>8</v>
      </c>
      <c r="GS92">
        <v>9.3333333333333339</v>
      </c>
      <c r="GT92">
        <v>6</v>
      </c>
      <c r="GU92">
        <v>3.1879999999999988</v>
      </c>
      <c r="GV92">
        <v>3.9199999999999995</v>
      </c>
      <c r="GW92">
        <v>0.88000000000000023</v>
      </c>
      <c r="GX92">
        <v>14</v>
      </c>
      <c r="GY92">
        <v>15</v>
      </c>
      <c r="GZ92">
        <v>13</v>
      </c>
      <c r="HA92">
        <v>8.0000000000000154E-2</v>
      </c>
      <c r="HB92">
        <v>17</v>
      </c>
      <c r="HC92">
        <v>-0.24</v>
      </c>
      <c r="HD92">
        <v>-1.08</v>
      </c>
      <c r="HE92">
        <v>20</v>
      </c>
      <c r="HF92">
        <v>18.25</v>
      </c>
      <c r="HG92">
        <v>29</v>
      </c>
      <c r="HH92">
        <v>-5.9930515180701048E-2</v>
      </c>
      <c r="HI92">
        <v>9</v>
      </c>
      <c r="HJ92">
        <v>1.1331305407784658E-2</v>
      </c>
      <c r="HK92">
        <v>17</v>
      </c>
      <c r="HL92">
        <v>-5.4623154623154703E-3</v>
      </c>
      <c r="HM92">
        <v>18</v>
      </c>
      <c r="HN92">
        <v>-0.6399999999999999</v>
      </c>
      <c r="HO92">
        <v>0.63999999999999913</v>
      </c>
      <c r="HP92">
        <v>-1.64</v>
      </c>
      <c r="HQ92">
        <v>-0.83999999999999986</v>
      </c>
      <c r="HR92">
        <v>-18.399999999999999</v>
      </c>
      <c r="HS92">
        <v>-15.160000000000007</v>
      </c>
      <c r="HT92">
        <v>7.44</v>
      </c>
      <c r="HU92">
        <v>-5.24</v>
      </c>
      <c r="HV92">
        <v>-5.4399999999999995</v>
      </c>
      <c r="HW92">
        <v>22</v>
      </c>
      <c r="HX92">
        <v>-2.4104000000000005</v>
      </c>
      <c r="HY92">
        <v>-1.0404800000000005</v>
      </c>
      <c r="HZ92">
        <v>-22.600000000000009</v>
      </c>
      <c r="IA92">
        <v>11</v>
      </c>
      <c r="IB92">
        <v>-0.5353</v>
      </c>
      <c r="IC92">
        <v>-2.56</v>
      </c>
    </row>
    <row r="93" spans="1:237" x14ac:dyDescent="0.2">
      <c r="A93" s="19">
        <v>44129</v>
      </c>
      <c r="B93" s="13" t="s">
        <v>250</v>
      </c>
      <c r="C93" s="17" t="s">
        <v>272</v>
      </c>
      <c r="D93" s="14" t="s">
        <v>281</v>
      </c>
      <c r="E93">
        <v>30.74</v>
      </c>
      <c r="F93">
        <v>18.8</v>
      </c>
      <c r="G93">
        <v>15.2</v>
      </c>
      <c r="H93">
        <v>10.199999999999999</v>
      </c>
      <c r="I93">
        <v>4</v>
      </c>
      <c r="J93">
        <v>50</v>
      </c>
      <c r="L93" t="s">
        <v>272</v>
      </c>
      <c r="M93">
        <v>18</v>
      </c>
      <c r="N93">
        <v>-0.81760000000000088</v>
      </c>
      <c r="O93">
        <v>7</v>
      </c>
      <c r="P93">
        <v>9.25</v>
      </c>
      <c r="Q93">
        <v>5</v>
      </c>
      <c r="R93">
        <v>3.2519999999999993</v>
      </c>
      <c r="S93">
        <v>9</v>
      </c>
      <c r="T93">
        <v>2.319999999999999</v>
      </c>
      <c r="U93">
        <v>18</v>
      </c>
      <c r="V93">
        <v>-7.9999999999999183E-2</v>
      </c>
      <c r="W93">
        <v>5</v>
      </c>
      <c r="X93">
        <v>1.6799999999999997</v>
      </c>
      <c r="Y93">
        <v>9</v>
      </c>
      <c r="Z93">
        <v>11.666666666666666</v>
      </c>
      <c r="AA93">
        <v>11</v>
      </c>
      <c r="AB93">
        <v>2.5959999999999992</v>
      </c>
      <c r="AC93">
        <v>3</v>
      </c>
      <c r="AD93">
        <v>4.0799999999999992</v>
      </c>
      <c r="AE93">
        <v>13</v>
      </c>
      <c r="AF93">
        <v>5.080000000000001</v>
      </c>
      <c r="AG93">
        <v>11</v>
      </c>
      <c r="AH93">
        <v>0.83999999999999986</v>
      </c>
      <c r="AI93">
        <v>9</v>
      </c>
      <c r="AJ93">
        <v>12.666666666666666</v>
      </c>
      <c r="AK93">
        <v>11</v>
      </c>
      <c r="AL93">
        <v>0.65600000000000025</v>
      </c>
      <c r="AM93">
        <v>28</v>
      </c>
      <c r="AN93">
        <v>-1.7600000000000002</v>
      </c>
      <c r="AO93">
        <v>22</v>
      </c>
      <c r="AP93">
        <v>-5.16</v>
      </c>
      <c r="AQ93">
        <v>5</v>
      </c>
      <c r="AR93">
        <v>0.83999999999999986</v>
      </c>
      <c r="AS93">
        <v>5</v>
      </c>
      <c r="AT93">
        <v>7</v>
      </c>
      <c r="AU93">
        <v>12</v>
      </c>
      <c r="AV93">
        <v>2.5712000000000015</v>
      </c>
      <c r="AW93">
        <v>8</v>
      </c>
      <c r="AX93">
        <v>24.52</v>
      </c>
      <c r="AY93">
        <v>1</v>
      </c>
      <c r="AZ93">
        <v>5.120000000000001</v>
      </c>
      <c r="BA93">
        <v>11</v>
      </c>
      <c r="BB93">
        <v>11</v>
      </c>
      <c r="BC93">
        <v>19</v>
      </c>
      <c r="BD93">
        <v>-0.10879999999999904</v>
      </c>
      <c r="BE93">
        <v>8</v>
      </c>
      <c r="BF93">
        <v>10.839999999999998</v>
      </c>
      <c r="BG93">
        <v>6</v>
      </c>
      <c r="BH93">
        <v>1.2000000000000002</v>
      </c>
      <c r="BI93">
        <v>13</v>
      </c>
      <c r="BJ93">
        <v>15.333333333333334</v>
      </c>
      <c r="BK93">
        <v>25</v>
      </c>
      <c r="BL93">
        <v>-2.1720000000000006</v>
      </c>
      <c r="BM93">
        <v>18</v>
      </c>
      <c r="BN93">
        <v>-3.5600000000000009</v>
      </c>
      <c r="BO93">
        <v>3</v>
      </c>
      <c r="BP93">
        <v>1.9200000000000004</v>
      </c>
      <c r="BQ93">
        <v>1</v>
      </c>
      <c r="BR93">
        <v>2</v>
      </c>
      <c r="BS93">
        <v>1</v>
      </c>
      <c r="BT93">
        <v>4.8520000000000012</v>
      </c>
      <c r="BU93">
        <v>3</v>
      </c>
      <c r="BV93">
        <v>17.240000000000002</v>
      </c>
      <c r="BW93">
        <v>2</v>
      </c>
      <c r="BX93">
        <v>2</v>
      </c>
      <c r="BY93">
        <v>13</v>
      </c>
      <c r="BZ93">
        <v>12.666666666666666</v>
      </c>
      <c r="CA93">
        <v>18</v>
      </c>
      <c r="CB93">
        <v>-1.3319999999999983</v>
      </c>
      <c r="CC93">
        <v>12</v>
      </c>
      <c r="CD93">
        <v>4.6800000000000015</v>
      </c>
      <c r="CE93">
        <v>8</v>
      </c>
      <c r="CF93">
        <v>1.44</v>
      </c>
      <c r="CG93">
        <v>24</v>
      </c>
      <c r="CH93">
        <v>24.666666666666668</v>
      </c>
      <c r="CI93">
        <v>26</v>
      </c>
      <c r="CJ93">
        <v>-3.2119999999999989</v>
      </c>
      <c r="CK93">
        <v>-11.399999999999999</v>
      </c>
      <c r="CL93">
        <v>-0.96000000000000019</v>
      </c>
      <c r="CM93">
        <v>2</v>
      </c>
      <c r="CN93">
        <v>3.5</v>
      </c>
      <c r="CO93">
        <v>5</v>
      </c>
      <c r="CP93">
        <v>2</v>
      </c>
      <c r="CQ93">
        <v>2</v>
      </c>
      <c r="CR93">
        <v>1.08</v>
      </c>
      <c r="CS93">
        <v>-2.2000000000000002</v>
      </c>
      <c r="CT93">
        <v>7</v>
      </c>
      <c r="CU93">
        <v>11.25</v>
      </c>
      <c r="CV93">
        <v>8</v>
      </c>
      <c r="CW93">
        <v>4.0786849990737332E-2</v>
      </c>
      <c r="CX93">
        <v>3</v>
      </c>
      <c r="CY93">
        <v>2.5142342988967455E-2</v>
      </c>
      <c r="CZ93">
        <v>23</v>
      </c>
      <c r="DA93">
        <v>2.9613386613386659E-2</v>
      </c>
      <c r="DB93">
        <v>11</v>
      </c>
      <c r="DC93">
        <v>0.96000000000000019</v>
      </c>
      <c r="DD93">
        <v>7.2800000000000011</v>
      </c>
      <c r="DE93">
        <v>-1.6400000000000012</v>
      </c>
      <c r="DF93">
        <v>-0.91999999999999993</v>
      </c>
      <c r="DG93">
        <v>6.9600000000000026</v>
      </c>
      <c r="DH93">
        <v>23.319999999999993</v>
      </c>
      <c r="DI93">
        <v>-4.9599999999999964</v>
      </c>
      <c r="DJ93">
        <v>-2.88</v>
      </c>
      <c r="DK93">
        <v>-8.5200000000000014</v>
      </c>
      <c r="DL93">
        <v>23</v>
      </c>
      <c r="DM93">
        <v>-4.0696000000000003</v>
      </c>
      <c r="DN93">
        <v>-1.9176799999999994</v>
      </c>
      <c r="DO93">
        <v>28.27999999999999</v>
      </c>
      <c r="DP93">
        <v>10</v>
      </c>
      <c r="DQ93">
        <v>0.47420000000000007</v>
      </c>
      <c r="DR93">
        <v>4.160000000000001</v>
      </c>
      <c r="DS93">
        <v>1.2544625</v>
      </c>
      <c r="DT93">
        <v>1.8836000000000002</v>
      </c>
      <c r="DU93" t="s">
        <v>281</v>
      </c>
      <c r="DV93" t="s">
        <v>266</v>
      </c>
      <c r="DW93" t="s">
        <v>498</v>
      </c>
      <c r="DX93">
        <v>13</v>
      </c>
      <c r="DY93">
        <v>0.87519999999999809</v>
      </c>
      <c r="DZ93">
        <v>25</v>
      </c>
      <c r="EA93">
        <v>20.5</v>
      </c>
      <c r="EB93">
        <v>15</v>
      </c>
      <c r="EC93">
        <v>0.40399999999999925</v>
      </c>
      <c r="ED93">
        <v>28</v>
      </c>
      <c r="EE93">
        <v>-2.92</v>
      </c>
      <c r="EF93">
        <v>23</v>
      </c>
      <c r="EG93">
        <v>-11.059999999999999</v>
      </c>
      <c r="EH93">
        <v>16</v>
      </c>
      <c r="EI93">
        <v>8.0000000000000016E-2</v>
      </c>
      <c r="EJ93">
        <v>27</v>
      </c>
      <c r="EK93">
        <v>23.5</v>
      </c>
      <c r="EL93">
        <v>20</v>
      </c>
      <c r="EM93">
        <v>-1.1890000000000007</v>
      </c>
      <c r="EN93">
        <v>31</v>
      </c>
      <c r="EO93">
        <v>-2.21</v>
      </c>
      <c r="EP93">
        <v>22</v>
      </c>
      <c r="EQ93">
        <v>-5.7199999999999989</v>
      </c>
      <c r="ER93">
        <v>21</v>
      </c>
      <c r="ES93">
        <v>-0.46999999999999992</v>
      </c>
      <c r="ET93">
        <v>17</v>
      </c>
      <c r="EU93">
        <v>17</v>
      </c>
      <c r="EV93">
        <v>7</v>
      </c>
      <c r="EW93">
        <v>1.593</v>
      </c>
      <c r="EX93">
        <v>21</v>
      </c>
      <c r="EY93">
        <v>-0.71</v>
      </c>
      <c r="EZ93">
        <v>23</v>
      </c>
      <c r="FA93">
        <v>-5.3400000000000007</v>
      </c>
      <c r="FB93">
        <v>7</v>
      </c>
      <c r="FC93">
        <v>0.54999999999999993</v>
      </c>
      <c r="FD93">
        <v>12</v>
      </c>
      <c r="FE93">
        <v>14</v>
      </c>
      <c r="FF93">
        <v>12</v>
      </c>
      <c r="FG93">
        <v>1.9404000000000017</v>
      </c>
      <c r="FH93">
        <v>19</v>
      </c>
      <c r="FI93">
        <v>-3.3900000000000015</v>
      </c>
      <c r="FJ93">
        <v>11</v>
      </c>
      <c r="FK93">
        <v>1.0800000000000003</v>
      </c>
      <c r="FL93">
        <v>8</v>
      </c>
      <c r="FM93">
        <v>8.6666666666666661</v>
      </c>
      <c r="FN93">
        <v>7</v>
      </c>
      <c r="FO93">
        <v>2.7199999999999998</v>
      </c>
      <c r="FP93">
        <v>6</v>
      </c>
      <c r="FQ93">
        <v>12.85</v>
      </c>
      <c r="FR93">
        <v>13</v>
      </c>
      <c r="FS93">
        <v>0.55000000000000038</v>
      </c>
      <c r="FT93">
        <v>11</v>
      </c>
      <c r="FU93">
        <v>13.666666666666666</v>
      </c>
      <c r="FV93">
        <v>6</v>
      </c>
      <c r="FW93">
        <v>2.0600000000000009</v>
      </c>
      <c r="FX93">
        <v>24</v>
      </c>
      <c r="FY93">
        <v>-6.4800000000000013</v>
      </c>
      <c r="FZ93">
        <v>11</v>
      </c>
      <c r="GA93">
        <v>0.41</v>
      </c>
      <c r="GB93">
        <v>26</v>
      </c>
      <c r="GC93">
        <v>24</v>
      </c>
      <c r="GD93">
        <v>31</v>
      </c>
      <c r="GE93">
        <v>-2.8395999999999995</v>
      </c>
      <c r="GF93">
        <v>29</v>
      </c>
      <c r="GG93">
        <v>-9.76</v>
      </c>
      <c r="GH93">
        <v>12</v>
      </c>
      <c r="GI93">
        <v>0.11999999999999993</v>
      </c>
      <c r="GJ93">
        <v>1</v>
      </c>
      <c r="GK93">
        <v>2.3333333333333335</v>
      </c>
      <c r="GL93">
        <v>3</v>
      </c>
      <c r="GM93">
        <v>5.9019999999999992</v>
      </c>
      <c r="GN93">
        <v>3</v>
      </c>
      <c r="GO93">
        <v>20.02</v>
      </c>
      <c r="GP93">
        <v>1</v>
      </c>
      <c r="GQ93">
        <v>3.09</v>
      </c>
      <c r="GR93">
        <v>5</v>
      </c>
      <c r="GS93">
        <v>6.666666666666667</v>
      </c>
      <c r="GT93">
        <v>10</v>
      </c>
      <c r="GU93">
        <v>2.5730000000000013</v>
      </c>
      <c r="GV93">
        <v>7.7700000000000014</v>
      </c>
      <c r="GW93">
        <v>2.6599999999999997</v>
      </c>
      <c r="GX93">
        <v>26</v>
      </c>
      <c r="GY93">
        <v>26</v>
      </c>
      <c r="GZ93">
        <v>23</v>
      </c>
      <c r="HA93">
        <v>-0.78999999999999981</v>
      </c>
      <c r="HB93">
        <v>29</v>
      </c>
      <c r="HC93">
        <v>-0.61</v>
      </c>
      <c r="HD93">
        <v>-1.02</v>
      </c>
      <c r="HE93">
        <v>12</v>
      </c>
      <c r="HF93">
        <v>14.5</v>
      </c>
      <c r="HG93">
        <v>25</v>
      </c>
      <c r="HH93">
        <v>-2.9415754277779104E-2</v>
      </c>
      <c r="HI93">
        <v>19</v>
      </c>
      <c r="HJ93">
        <v>-5.5823316262243695E-3</v>
      </c>
      <c r="HK93">
        <v>1</v>
      </c>
      <c r="HL93">
        <v>-0.17942124542124541</v>
      </c>
      <c r="HM93">
        <v>13</v>
      </c>
      <c r="HN93">
        <v>0.41999999999999993</v>
      </c>
      <c r="HO93">
        <v>0.26999999999999885</v>
      </c>
      <c r="HP93">
        <v>2.6300000000000003</v>
      </c>
      <c r="HQ93">
        <v>1.1499999999999999</v>
      </c>
      <c r="HR93">
        <v>-1.4600000000000022</v>
      </c>
      <c r="HS93">
        <v>11.05</v>
      </c>
      <c r="HT93">
        <v>-13.91</v>
      </c>
      <c r="HU93">
        <v>-0.28999999999999987</v>
      </c>
      <c r="HV93">
        <v>1.6900000000000002</v>
      </c>
      <c r="HW93">
        <v>14</v>
      </c>
      <c r="HX93">
        <v>0.47119999999999884</v>
      </c>
      <c r="HY93">
        <v>0.87572000000000039</v>
      </c>
      <c r="HZ93">
        <v>24.96</v>
      </c>
      <c r="IA93">
        <v>19</v>
      </c>
      <c r="IB93">
        <v>0.62532500000000002</v>
      </c>
      <c r="IC93">
        <v>3.74</v>
      </c>
    </row>
    <row r="94" spans="1:237" x14ac:dyDescent="0.2">
      <c r="A94" s="19">
        <v>44129</v>
      </c>
      <c r="B94" s="13" t="s">
        <v>250</v>
      </c>
      <c r="C94" s="41" t="s">
        <v>281</v>
      </c>
      <c r="D94" s="14" t="s">
        <v>272</v>
      </c>
      <c r="E94">
        <v>10.96</v>
      </c>
      <c r="F94">
        <v>20</v>
      </c>
      <c r="G94">
        <v>14.6</v>
      </c>
      <c r="H94">
        <v>21.6</v>
      </c>
      <c r="I94">
        <v>-4</v>
      </c>
      <c r="J94">
        <v>50</v>
      </c>
      <c r="L94" t="s">
        <v>281</v>
      </c>
      <c r="M94">
        <v>29</v>
      </c>
      <c r="N94">
        <v>-5.1680000000000001</v>
      </c>
      <c r="O94">
        <v>4</v>
      </c>
      <c r="P94">
        <v>7.75</v>
      </c>
      <c r="Q94">
        <v>2</v>
      </c>
      <c r="R94">
        <v>10.562000000000001</v>
      </c>
      <c r="S94">
        <v>1</v>
      </c>
      <c r="T94">
        <v>7.1199999999999992</v>
      </c>
      <c r="U94">
        <v>1</v>
      </c>
      <c r="V94">
        <v>49.59</v>
      </c>
      <c r="W94">
        <v>27</v>
      </c>
      <c r="X94">
        <v>-1.2200000000000002</v>
      </c>
      <c r="Y94">
        <v>7</v>
      </c>
      <c r="Z94">
        <v>11.333333333333334</v>
      </c>
      <c r="AA94">
        <v>4</v>
      </c>
      <c r="AB94">
        <v>4.8620000000000019</v>
      </c>
      <c r="AC94">
        <v>11</v>
      </c>
      <c r="AD94">
        <v>1.3999999999999997</v>
      </c>
      <c r="AE94">
        <v>8</v>
      </c>
      <c r="AF94">
        <v>15.109999999999996</v>
      </c>
      <c r="AG94">
        <v>22</v>
      </c>
      <c r="AH94">
        <v>-0.89</v>
      </c>
      <c r="AI94">
        <v>3</v>
      </c>
      <c r="AJ94">
        <v>7.333333333333333</v>
      </c>
      <c r="AK94">
        <v>1</v>
      </c>
      <c r="AL94">
        <v>5.7</v>
      </c>
      <c r="AM94">
        <v>2</v>
      </c>
      <c r="AN94">
        <v>5.72</v>
      </c>
      <c r="AO94">
        <v>1</v>
      </c>
      <c r="AP94">
        <v>34.480000000000004</v>
      </c>
      <c r="AQ94">
        <v>20</v>
      </c>
      <c r="AR94">
        <v>-0.33000000000000007</v>
      </c>
      <c r="AS94">
        <v>28</v>
      </c>
      <c r="AT94">
        <v>28</v>
      </c>
      <c r="AU94">
        <v>25</v>
      </c>
      <c r="AV94">
        <v>-4.0869999999999997</v>
      </c>
      <c r="AW94">
        <v>28</v>
      </c>
      <c r="AX94">
        <v>-27.82</v>
      </c>
      <c r="AY94">
        <v>31</v>
      </c>
      <c r="AZ94">
        <v>-3.6700000000000004</v>
      </c>
      <c r="BA94">
        <v>28</v>
      </c>
      <c r="BB94">
        <v>25.666666666666668</v>
      </c>
      <c r="BC94">
        <v>23</v>
      </c>
      <c r="BD94">
        <v>-0.88180000000000081</v>
      </c>
      <c r="BE94">
        <v>26</v>
      </c>
      <c r="BF94">
        <v>-10.210000000000001</v>
      </c>
      <c r="BG94">
        <v>28</v>
      </c>
      <c r="BH94">
        <v>-1.19</v>
      </c>
      <c r="BI94">
        <v>21</v>
      </c>
      <c r="BJ94">
        <v>19.333333333333332</v>
      </c>
      <c r="BK94">
        <v>22</v>
      </c>
      <c r="BL94">
        <v>-2.0161999999999995</v>
      </c>
      <c r="BM94">
        <v>21</v>
      </c>
      <c r="BN94">
        <v>-3.87</v>
      </c>
      <c r="BO94">
        <v>15</v>
      </c>
      <c r="BP94">
        <v>6.9999999999999923E-2</v>
      </c>
      <c r="BQ94">
        <v>29</v>
      </c>
      <c r="BR94">
        <v>27.333333333333332</v>
      </c>
      <c r="BS94">
        <v>21</v>
      </c>
      <c r="BT94">
        <v>-1.1889999999999996</v>
      </c>
      <c r="BU94">
        <v>29</v>
      </c>
      <c r="BV94">
        <v>-13.739999999999998</v>
      </c>
      <c r="BW94">
        <v>32</v>
      </c>
      <c r="BX94">
        <v>-2.5500000000000003</v>
      </c>
      <c r="BY94">
        <v>31</v>
      </c>
      <c r="BZ94">
        <v>29.666666666666668</v>
      </c>
      <c r="CA94">
        <v>31</v>
      </c>
      <c r="CB94">
        <v>-5.8439999999999994</v>
      </c>
      <c r="CC94">
        <v>28</v>
      </c>
      <c r="CD94">
        <v>-20.64</v>
      </c>
      <c r="CE94">
        <v>30</v>
      </c>
      <c r="CF94">
        <v>-3.5</v>
      </c>
      <c r="CG94">
        <v>12</v>
      </c>
      <c r="CH94">
        <v>12.666666666666666</v>
      </c>
      <c r="CI94">
        <v>16</v>
      </c>
      <c r="CJ94">
        <v>-0.23900000000000005</v>
      </c>
      <c r="CK94">
        <v>0.80999999999999939</v>
      </c>
      <c r="CL94">
        <v>1.2800000000000002</v>
      </c>
      <c r="CM94">
        <v>19</v>
      </c>
      <c r="CN94">
        <v>20</v>
      </c>
      <c r="CO94">
        <v>14</v>
      </c>
      <c r="CP94">
        <v>0.63000000000000045</v>
      </c>
      <c r="CQ94">
        <v>26</v>
      </c>
      <c r="CR94">
        <v>-0.4</v>
      </c>
      <c r="CS94">
        <v>0.41999999999999993</v>
      </c>
      <c r="CT94">
        <v>24</v>
      </c>
      <c r="CU94">
        <v>20.75</v>
      </c>
      <c r="CV94">
        <v>20</v>
      </c>
      <c r="CW94">
        <v>-1.7586368207202097E-2</v>
      </c>
      <c r="CX94">
        <v>24</v>
      </c>
      <c r="CY94">
        <v>-8.2978309504699744E-3</v>
      </c>
      <c r="CZ94">
        <v>18</v>
      </c>
      <c r="DA94">
        <v>9.0137464874307065E-3</v>
      </c>
      <c r="DB94">
        <v>21</v>
      </c>
      <c r="DC94">
        <v>-1.02</v>
      </c>
      <c r="DD94">
        <v>0.83999999999999919</v>
      </c>
      <c r="DE94">
        <v>4.0999999999999996</v>
      </c>
      <c r="DF94">
        <v>0.52</v>
      </c>
      <c r="DG94">
        <v>6.0100000000000025</v>
      </c>
      <c r="DH94">
        <v>-44.849999999999994</v>
      </c>
      <c r="DI94">
        <v>54.370000000000005</v>
      </c>
      <c r="DJ94">
        <v>8.39</v>
      </c>
      <c r="DK94">
        <v>-11.9</v>
      </c>
      <c r="DL94">
        <v>32</v>
      </c>
      <c r="DM94">
        <v>-15.73</v>
      </c>
      <c r="DN94">
        <v>-7.1798000000000011</v>
      </c>
      <c r="DO94">
        <v>-99.22</v>
      </c>
      <c r="DP94">
        <v>1</v>
      </c>
      <c r="DQ94">
        <v>0.21225000000000027</v>
      </c>
      <c r="DR94">
        <v>-2.39</v>
      </c>
      <c r="DS94">
        <v>1.2544625</v>
      </c>
      <c r="DT94">
        <v>0.62532500000000002</v>
      </c>
      <c r="DU94" t="s">
        <v>272</v>
      </c>
      <c r="DV94" t="s">
        <v>277</v>
      </c>
      <c r="DW94" t="s">
        <v>528</v>
      </c>
      <c r="DX94">
        <v>10</v>
      </c>
      <c r="DY94">
        <v>2.9087999999999998</v>
      </c>
      <c r="DZ94">
        <v>8</v>
      </c>
      <c r="EA94">
        <v>11.75</v>
      </c>
      <c r="EB94">
        <v>11</v>
      </c>
      <c r="EC94">
        <v>1.5720000000000014</v>
      </c>
      <c r="ED94">
        <v>18</v>
      </c>
      <c r="EE94">
        <v>-0.43999999999999995</v>
      </c>
      <c r="EF94">
        <v>7</v>
      </c>
      <c r="EG94">
        <v>15.400000000000004</v>
      </c>
      <c r="EH94">
        <v>11</v>
      </c>
      <c r="EI94">
        <v>0.28000000000000003</v>
      </c>
      <c r="EJ94">
        <v>5</v>
      </c>
      <c r="EK94">
        <v>9.75</v>
      </c>
      <c r="EL94">
        <v>16</v>
      </c>
      <c r="EM94">
        <v>-3.9999999999999147E-2</v>
      </c>
      <c r="EN94">
        <v>8</v>
      </c>
      <c r="EO94">
        <v>1.8399999999999999</v>
      </c>
      <c r="EP94">
        <v>6</v>
      </c>
      <c r="EQ94">
        <v>14.360000000000003</v>
      </c>
      <c r="ER94">
        <v>9</v>
      </c>
      <c r="ES94">
        <v>0.44000000000000006</v>
      </c>
      <c r="ET94">
        <v>15</v>
      </c>
      <c r="EU94">
        <v>16.666666666666668</v>
      </c>
      <c r="EV94">
        <v>6</v>
      </c>
      <c r="EW94">
        <v>1.6120000000000005</v>
      </c>
      <c r="EX94">
        <v>28</v>
      </c>
      <c r="EY94">
        <v>-2.2799999999999998</v>
      </c>
      <c r="EZ94">
        <v>16</v>
      </c>
      <c r="FA94">
        <v>1.0400000000000005</v>
      </c>
      <c r="FB94">
        <v>18</v>
      </c>
      <c r="FC94">
        <v>-0.16</v>
      </c>
      <c r="FD94">
        <v>6</v>
      </c>
      <c r="FE94">
        <v>6</v>
      </c>
      <c r="FF94">
        <v>5</v>
      </c>
      <c r="FG94">
        <v>5.8719999999999999</v>
      </c>
      <c r="FH94">
        <v>3</v>
      </c>
      <c r="FI94">
        <v>21.759999999999998</v>
      </c>
      <c r="FJ94">
        <v>10</v>
      </c>
      <c r="FK94">
        <v>1.1999999999999995</v>
      </c>
      <c r="FL94">
        <v>7</v>
      </c>
      <c r="FM94">
        <v>7.666666666666667</v>
      </c>
      <c r="FN94">
        <v>5</v>
      </c>
      <c r="FO94">
        <v>4.5992000000000006</v>
      </c>
      <c r="FP94">
        <v>11</v>
      </c>
      <c r="FQ94">
        <v>8.4</v>
      </c>
      <c r="FR94">
        <v>7</v>
      </c>
      <c r="FS94">
        <v>0.91999999999999971</v>
      </c>
      <c r="FT94">
        <v>26</v>
      </c>
      <c r="FU94">
        <v>21.666666666666668</v>
      </c>
      <c r="FV94">
        <v>16</v>
      </c>
      <c r="FW94">
        <v>-0.44320000000000076</v>
      </c>
      <c r="FX94">
        <v>21</v>
      </c>
      <c r="FY94">
        <v>-1.7599999999999993</v>
      </c>
      <c r="FZ94">
        <v>28</v>
      </c>
      <c r="GA94">
        <v>-0.60000000000000009</v>
      </c>
      <c r="GB94">
        <v>5</v>
      </c>
      <c r="GC94">
        <v>6</v>
      </c>
      <c r="GD94">
        <v>7</v>
      </c>
      <c r="GE94">
        <v>1.7160000000000004</v>
      </c>
      <c r="GF94">
        <v>5</v>
      </c>
      <c r="GG94">
        <v>15.12</v>
      </c>
      <c r="GH94">
        <v>6</v>
      </c>
      <c r="GI94">
        <v>0.87999999999999989</v>
      </c>
      <c r="GJ94">
        <v>3</v>
      </c>
      <c r="GK94">
        <v>5.333333333333333</v>
      </c>
      <c r="GL94">
        <v>7</v>
      </c>
      <c r="GM94">
        <v>2.984</v>
      </c>
      <c r="GN94">
        <v>5</v>
      </c>
      <c r="GO94">
        <v>13.440000000000001</v>
      </c>
      <c r="GP94">
        <v>4</v>
      </c>
      <c r="GQ94">
        <v>1.8400000000000003</v>
      </c>
      <c r="GR94">
        <v>4</v>
      </c>
      <c r="GS94">
        <v>6</v>
      </c>
      <c r="GT94">
        <v>7</v>
      </c>
      <c r="GU94">
        <v>3.1159999999999997</v>
      </c>
      <c r="GV94">
        <v>9.16</v>
      </c>
      <c r="GW94">
        <v>1.1999999999999997</v>
      </c>
      <c r="GX94">
        <v>10</v>
      </c>
      <c r="GY94">
        <v>10.5</v>
      </c>
      <c r="GZ94">
        <v>10</v>
      </c>
      <c r="HA94">
        <v>1.5999999999999996</v>
      </c>
      <c r="HB94">
        <v>11</v>
      </c>
      <c r="HC94">
        <v>0.27999999999999997</v>
      </c>
      <c r="HD94">
        <v>0.96000000000000019</v>
      </c>
      <c r="HE94">
        <v>31</v>
      </c>
      <c r="HF94">
        <v>27</v>
      </c>
      <c r="HG94">
        <v>27</v>
      </c>
      <c r="HH94">
        <v>-4.6446120457651417E-2</v>
      </c>
      <c r="HI94">
        <v>30</v>
      </c>
      <c r="HJ94">
        <v>-2.6171667229371764E-2</v>
      </c>
      <c r="HK94">
        <v>24</v>
      </c>
      <c r="HL94">
        <v>3.8554445554445552E-2</v>
      </c>
      <c r="HM94">
        <v>27</v>
      </c>
      <c r="HN94">
        <v>-2.2000000000000002</v>
      </c>
      <c r="HO94">
        <v>2.4</v>
      </c>
      <c r="HP94">
        <v>3</v>
      </c>
      <c r="HQ94">
        <v>-1</v>
      </c>
      <c r="HR94">
        <v>45.280000000000008</v>
      </c>
      <c r="HS94">
        <v>40.319999999999993</v>
      </c>
      <c r="HT94">
        <v>10.68</v>
      </c>
      <c r="HU94">
        <v>1.8399999999999992</v>
      </c>
      <c r="HV94">
        <v>-7.5600000000000005</v>
      </c>
      <c r="HW94">
        <v>13</v>
      </c>
      <c r="HX94">
        <v>1.3367999999999984</v>
      </c>
      <c r="HY94">
        <v>1.5933599999999994</v>
      </c>
      <c r="HZ94">
        <v>29.639999999999993</v>
      </c>
      <c r="IA94">
        <v>20</v>
      </c>
      <c r="IB94">
        <v>1.8836000000000002</v>
      </c>
      <c r="IC94">
        <v>2.3999999999999995</v>
      </c>
    </row>
    <row r="95" spans="1:237" x14ac:dyDescent="0.2">
      <c r="A95" s="19">
        <v>44129</v>
      </c>
      <c r="B95" s="13" t="s">
        <v>250</v>
      </c>
      <c r="C95" s="41" t="s">
        <v>291</v>
      </c>
      <c r="D95" s="14" t="s">
        <v>306</v>
      </c>
      <c r="E95">
        <v>15.5</v>
      </c>
      <c r="F95">
        <v>0.1</v>
      </c>
      <c r="G95">
        <v>0</v>
      </c>
      <c r="H95">
        <v>4.2</v>
      </c>
      <c r="I95">
        <v>-1</v>
      </c>
      <c r="J95">
        <v>44.5</v>
      </c>
      <c r="K95" t="s">
        <v>734</v>
      </c>
      <c r="L95" t="s">
        <v>291</v>
      </c>
      <c r="M95">
        <v>3</v>
      </c>
      <c r="N95">
        <v>6.9364000000000008</v>
      </c>
      <c r="O95">
        <v>9</v>
      </c>
      <c r="P95">
        <v>12.25</v>
      </c>
      <c r="Q95">
        <v>12</v>
      </c>
      <c r="R95">
        <v>1.6640000000000006</v>
      </c>
      <c r="S95">
        <v>18</v>
      </c>
      <c r="T95">
        <v>0.14999999999999991</v>
      </c>
      <c r="U95">
        <v>17</v>
      </c>
      <c r="V95">
        <v>0.83000000000000096</v>
      </c>
      <c r="W95">
        <v>2</v>
      </c>
      <c r="X95">
        <v>2.46</v>
      </c>
      <c r="Y95">
        <v>1</v>
      </c>
      <c r="Z95">
        <v>5.666666666666667</v>
      </c>
      <c r="AA95">
        <v>5</v>
      </c>
      <c r="AB95">
        <v>4.8480000000000008</v>
      </c>
      <c r="AC95">
        <v>10</v>
      </c>
      <c r="AD95">
        <v>1.8399999999999999</v>
      </c>
      <c r="AE95">
        <v>11</v>
      </c>
      <c r="AF95">
        <v>6.3800000000000008</v>
      </c>
      <c r="AG95">
        <v>1</v>
      </c>
      <c r="AH95">
        <v>3.11</v>
      </c>
      <c r="AI95">
        <v>29</v>
      </c>
      <c r="AJ95">
        <v>26</v>
      </c>
      <c r="AK95">
        <v>31</v>
      </c>
      <c r="AL95">
        <v>-3.1840000000000002</v>
      </c>
      <c r="AM95">
        <v>27</v>
      </c>
      <c r="AN95">
        <v>-1.69</v>
      </c>
      <c r="AO95">
        <v>23</v>
      </c>
      <c r="AP95">
        <v>-5.55</v>
      </c>
      <c r="AQ95">
        <v>24</v>
      </c>
      <c r="AR95">
        <v>-0.65</v>
      </c>
      <c r="AS95">
        <v>2</v>
      </c>
      <c r="AT95">
        <v>2</v>
      </c>
      <c r="AU95">
        <v>1</v>
      </c>
      <c r="AV95">
        <v>12.5184</v>
      </c>
      <c r="AW95">
        <v>2</v>
      </c>
      <c r="AX95">
        <v>52.48</v>
      </c>
      <c r="AY95">
        <v>3</v>
      </c>
      <c r="AZ95">
        <v>3.2400000000000007</v>
      </c>
      <c r="BA95">
        <v>12</v>
      </c>
      <c r="BB95">
        <v>14.333333333333334</v>
      </c>
      <c r="BC95">
        <v>17</v>
      </c>
      <c r="BD95">
        <v>1.7999999999998552E-2</v>
      </c>
      <c r="BE95">
        <v>17</v>
      </c>
      <c r="BF95">
        <v>-1.3100000000000023</v>
      </c>
      <c r="BG95">
        <v>9</v>
      </c>
      <c r="BH95">
        <v>0.52000000000000024</v>
      </c>
      <c r="BI95">
        <v>1</v>
      </c>
      <c r="BJ95">
        <v>1.3333333333333333</v>
      </c>
      <c r="BK95">
        <v>1</v>
      </c>
      <c r="BL95">
        <v>8.4009999999999998</v>
      </c>
      <c r="BM95">
        <v>1</v>
      </c>
      <c r="BN95">
        <v>40.42</v>
      </c>
      <c r="BO95">
        <v>2</v>
      </c>
      <c r="BP95">
        <v>2.2000000000000002</v>
      </c>
      <c r="BQ95">
        <v>5</v>
      </c>
      <c r="BR95">
        <v>6.333333333333333</v>
      </c>
      <c r="BS95">
        <v>2</v>
      </c>
      <c r="BT95">
        <v>4.0994000000000002</v>
      </c>
      <c r="BU95">
        <v>5</v>
      </c>
      <c r="BV95">
        <v>13.37</v>
      </c>
      <c r="BW95">
        <v>12</v>
      </c>
      <c r="BX95">
        <v>0.52</v>
      </c>
      <c r="BY95">
        <v>1</v>
      </c>
      <c r="BZ95">
        <v>1</v>
      </c>
      <c r="CA95">
        <v>1</v>
      </c>
      <c r="CB95">
        <v>13.089999999999998</v>
      </c>
      <c r="CC95">
        <v>1</v>
      </c>
      <c r="CD95">
        <v>59.8</v>
      </c>
      <c r="CE95">
        <v>1</v>
      </c>
      <c r="CF95">
        <v>6.56</v>
      </c>
      <c r="CG95">
        <v>6</v>
      </c>
      <c r="CH95">
        <v>9.3333333333333339</v>
      </c>
      <c r="CI95">
        <v>11</v>
      </c>
      <c r="CJ95">
        <v>1.6360000000000003</v>
      </c>
      <c r="CK95">
        <v>11.059999999999999</v>
      </c>
      <c r="CL95">
        <v>0.88000000000000012</v>
      </c>
      <c r="CM95">
        <v>16</v>
      </c>
      <c r="CN95">
        <v>18.5</v>
      </c>
      <c r="CO95">
        <v>16</v>
      </c>
      <c r="CP95">
        <v>-7.0000000000000104E-2</v>
      </c>
      <c r="CQ95">
        <v>21</v>
      </c>
      <c r="CR95">
        <v>-0.27</v>
      </c>
      <c r="CS95">
        <v>-4.17</v>
      </c>
      <c r="CT95">
        <v>19</v>
      </c>
      <c r="CU95">
        <v>19</v>
      </c>
      <c r="CV95">
        <v>18</v>
      </c>
      <c r="CW95">
        <v>-5.7529861885932069E-3</v>
      </c>
      <c r="CX95">
        <v>23</v>
      </c>
      <c r="CY95">
        <v>-7.8686701210353462E-3</v>
      </c>
      <c r="CZ95">
        <v>29</v>
      </c>
      <c r="DA95">
        <v>0.12572183372183376</v>
      </c>
      <c r="DB95">
        <v>6</v>
      </c>
      <c r="DC95">
        <v>2.6999999999999997</v>
      </c>
      <c r="DD95">
        <v>8.9100000000000019</v>
      </c>
      <c r="DE95">
        <v>4.9700000000000006</v>
      </c>
      <c r="DF95">
        <v>0.20999999999999996</v>
      </c>
      <c r="DG95">
        <v>87.83</v>
      </c>
      <c r="DH95">
        <v>92.86999999999999</v>
      </c>
      <c r="DI95">
        <v>0.43000000000000116</v>
      </c>
      <c r="DJ95">
        <v>-5.17</v>
      </c>
      <c r="DK95">
        <v>-0.29999999999999982</v>
      </c>
      <c r="DL95">
        <v>8</v>
      </c>
      <c r="DM95">
        <v>5.2724000000000002</v>
      </c>
      <c r="DN95">
        <v>3.3861599999999989</v>
      </c>
      <c r="DO95">
        <v>92.439999999999984</v>
      </c>
      <c r="DP95">
        <v>25</v>
      </c>
      <c r="DQ95">
        <v>2.8355999999999995</v>
      </c>
      <c r="DR95">
        <v>4.120000000000001</v>
      </c>
      <c r="DS95">
        <v>1.381975</v>
      </c>
      <c r="DT95">
        <v>2.5660499999999997</v>
      </c>
      <c r="DU95" t="s">
        <v>306</v>
      </c>
      <c r="DV95" t="s">
        <v>283</v>
      </c>
      <c r="DW95" t="s">
        <v>454</v>
      </c>
      <c r="DX95">
        <v>6</v>
      </c>
      <c r="DY95">
        <v>4.2552000000000003</v>
      </c>
      <c r="DZ95">
        <v>15</v>
      </c>
      <c r="EA95">
        <v>15.75</v>
      </c>
      <c r="EB95">
        <v>14</v>
      </c>
      <c r="EC95">
        <v>0.65599999999999992</v>
      </c>
      <c r="ED95">
        <v>7</v>
      </c>
      <c r="EE95">
        <v>3.1999999999999993</v>
      </c>
      <c r="EF95">
        <v>19</v>
      </c>
      <c r="EG95">
        <v>-0.11999999999999655</v>
      </c>
      <c r="EH95">
        <v>23</v>
      </c>
      <c r="EI95">
        <v>-0.48</v>
      </c>
      <c r="EJ95">
        <v>8</v>
      </c>
      <c r="EK95">
        <v>11.25</v>
      </c>
      <c r="EL95">
        <v>9</v>
      </c>
      <c r="EM95">
        <v>1.6159999999999997</v>
      </c>
      <c r="EN95">
        <v>7</v>
      </c>
      <c r="EO95">
        <v>1.9999999999999996</v>
      </c>
      <c r="EP95">
        <v>14</v>
      </c>
      <c r="EQ95">
        <v>2.7200000000000033</v>
      </c>
      <c r="ER95">
        <v>15</v>
      </c>
      <c r="ES95">
        <v>-8.0000000000000029E-2</v>
      </c>
      <c r="ET95">
        <v>19</v>
      </c>
      <c r="EU95">
        <v>17.333333333333332</v>
      </c>
      <c r="EV95">
        <v>22</v>
      </c>
      <c r="EW95">
        <v>-0.95999999999999974</v>
      </c>
      <c r="EX95">
        <v>9</v>
      </c>
      <c r="EY95">
        <v>1.2</v>
      </c>
      <c r="EZ95">
        <v>21</v>
      </c>
      <c r="FA95">
        <v>-2.84</v>
      </c>
      <c r="FB95">
        <v>23</v>
      </c>
      <c r="FC95">
        <v>-0.39999999999999997</v>
      </c>
      <c r="FD95">
        <v>25</v>
      </c>
      <c r="FE95">
        <v>23.333333333333332</v>
      </c>
      <c r="FF95">
        <v>26</v>
      </c>
      <c r="FG95">
        <v>-4.3799999999999981</v>
      </c>
      <c r="FH95">
        <v>17</v>
      </c>
      <c r="FI95">
        <v>-2.44</v>
      </c>
      <c r="FJ95">
        <v>27</v>
      </c>
      <c r="FK95">
        <v>-1.64</v>
      </c>
      <c r="FL95">
        <v>18</v>
      </c>
      <c r="FM95">
        <v>17.333333333333332</v>
      </c>
      <c r="FN95">
        <v>16</v>
      </c>
      <c r="FO95">
        <v>-7.2799999999998727E-2</v>
      </c>
      <c r="FP95">
        <v>14</v>
      </c>
      <c r="FQ95">
        <v>3.0400000000000005</v>
      </c>
      <c r="FR95">
        <v>22</v>
      </c>
      <c r="FS95">
        <v>-0.84000000000000008</v>
      </c>
      <c r="FT95">
        <v>30</v>
      </c>
      <c r="FU95">
        <v>26.666666666666668</v>
      </c>
      <c r="FV95">
        <v>28</v>
      </c>
      <c r="FW95">
        <v>-3.3671999999999995</v>
      </c>
      <c r="FX95">
        <v>26</v>
      </c>
      <c r="FY95">
        <v>-7.76</v>
      </c>
      <c r="FZ95">
        <v>26</v>
      </c>
      <c r="GA95">
        <v>-0.55999999999999994</v>
      </c>
      <c r="GB95">
        <v>18</v>
      </c>
      <c r="GC95">
        <v>17</v>
      </c>
      <c r="GD95">
        <v>21</v>
      </c>
      <c r="GE95">
        <v>-0.94000000000000017</v>
      </c>
      <c r="GF95">
        <v>10</v>
      </c>
      <c r="GG95">
        <v>2.2799999999999989</v>
      </c>
      <c r="GH95">
        <v>20</v>
      </c>
      <c r="GI95">
        <v>-0.24000000000000005</v>
      </c>
      <c r="GJ95">
        <v>16</v>
      </c>
      <c r="GK95">
        <v>17.666666666666668</v>
      </c>
      <c r="GL95">
        <v>15</v>
      </c>
      <c r="GM95">
        <v>0.10399999999999991</v>
      </c>
      <c r="GN95">
        <v>15</v>
      </c>
      <c r="GO95">
        <v>4.24</v>
      </c>
      <c r="GP95">
        <v>23</v>
      </c>
      <c r="GQ95">
        <v>-1.04</v>
      </c>
      <c r="GR95">
        <v>16</v>
      </c>
      <c r="GS95">
        <v>15.666666666666666</v>
      </c>
      <c r="GT95">
        <v>14</v>
      </c>
      <c r="GU95">
        <v>0.85199999999999965</v>
      </c>
      <c r="GV95">
        <v>8.879999999999999</v>
      </c>
      <c r="GW95">
        <v>-1.1199999999999999</v>
      </c>
      <c r="GX95">
        <v>12</v>
      </c>
      <c r="GY95">
        <v>13</v>
      </c>
      <c r="GZ95">
        <v>12</v>
      </c>
      <c r="HA95">
        <v>0.20000000000000034</v>
      </c>
      <c r="HB95">
        <v>14</v>
      </c>
      <c r="HC95">
        <v>-0.11999999999999993</v>
      </c>
      <c r="HD95">
        <v>2.8</v>
      </c>
      <c r="HE95">
        <v>13</v>
      </c>
      <c r="HF95">
        <v>15</v>
      </c>
      <c r="HG95">
        <v>12</v>
      </c>
      <c r="HH95">
        <v>1.35924097559808E-2</v>
      </c>
      <c r="HI95">
        <v>16</v>
      </c>
      <c r="HJ95">
        <v>-3.1395292693843654E-3</v>
      </c>
      <c r="HK95">
        <v>6</v>
      </c>
      <c r="HL95">
        <v>-7.9095238095238107E-2</v>
      </c>
      <c r="HM95">
        <v>26</v>
      </c>
      <c r="HN95">
        <v>-1.9999999999999996</v>
      </c>
      <c r="HO95">
        <v>-1.0400000000000005</v>
      </c>
      <c r="HP95">
        <v>3.0800000000000005</v>
      </c>
      <c r="HQ95">
        <v>-0.36</v>
      </c>
      <c r="HR95">
        <v>-4.2799999999999958</v>
      </c>
      <c r="HS95">
        <v>-1.1200000000000045</v>
      </c>
      <c r="HT95">
        <v>-2.1599999999999993</v>
      </c>
      <c r="HU95">
        <v>-7.7200000000000006</v>
      </c>
      <c r="HV95">
        <v>6.7200000000000015</v>
      </c>
      <c r="HW95">
        <v>9</v>
      </c>
      <c r="HX95">
        <v>3.5992000000000006</v>
      </c>
      <c r="HY95">
        <v>-0.18255999999999972</v>
      </c>
      <c r="HZ95">
        <v>1.0399999999999947</v>
      </c>
      <c r="IA95">
        <v>24</v>
      </c>
      <c r="IB95">
        <v>0.19790000000000016</v>
      </c>
      <c r="IC95">
        <v>-2.76</v>
      </c>
    </row>
    <row r="96" spans="1:237" x14ac:dyDescent="0.2">
      <c r="A96" s="19">
        <v>44129</v>
      </c>
      <c r="B96" s="13" t="s">
        <v>250</v>
      </c>
      <c r="C96" s="41" t="s">
        <v>278</v>
      </c>
      <c r="D96" s="14" t="s">
        <v>288</v>
      </c>
      <c r="E96">
        <v>4</v>
      </c>
      <c r="F96">
        <v>7.4</v>
      </c>
      <c r="G96">
        <v>5.4</v>
      </c>
      <c r="H96">
        <v>6.8</v>
      </c>
      <c r="I96">
        <v>7</v>
      </c>
      <c r="J96">
        <v>45.5</v>
      </c>
      <c r="K96" t="s">
        <v>735</v>
      </c>
      <c r="L96" t="s">
        <v>278</v>
      </c>
      <c r="M96">
        <v>26</v>
      </c>
      <c r="N96">
        <v>-3.8144999999999998</v>
      </c>
      <c r="O96">
        <v>14</v>
      </c>
      <c r="P96">
        <v>15</v>
      </c>
      <c r="Q96">
        <v>19</v>
      </c>
      <c r="R96">
        <v>9.2500000000000915E-2</v>
      </c>
      <c r="S96">
        <v>4</v>
      </c>
      <c r="T96">
        <v>3.9625000000000004</v>
      </c>
      <c r="U96">
        <v>9</v>
      </c>
      <c r="V96">
        <v>15.887499999999999</v>
      </c>
      <c r="W96">
        <v>28</v>
      </c>
      <c r="X96">
        <v>-1.2250000000000001</v>
      </c>
      <c r="Y96">
        <v>14</v>
      </c>
      <c r="Z96">
        <v>13.333333333333334</v>
      </c>
      <c r="AA96">
        <v>15</v>
      </c>
      <c r="AB96">
        <v>1.4562500000000005</v>
      </c>
      <c r="AC96">
        <v>4</v>
      </c>
      <c r="AD96">
        <v>3.85</v>
      </c>
      <c r="AE96">
        <v>7</v>
      </c>
      <c r="AF96">
        <v>15.9375</v>
      </c>
      <c r="AG96">
        <v>18</v>
      </c>
      <c r="AH96">
        <v>-0.23750000000000004</v>
      </c>
      <c r="AI96">
        <v>23</v>
      </c>
      <c r="AJ96">
        <v>21.666666666666668</v>
      </c>
      <c r="AK96">
        <v>24</v>
      </c>
      <c r="AL96">
        <v>-1.3637499999999996</v>
      </c>
      <c r="AM96">
        <v>12</v>
      </c>
      <c r="AN96">
        <v>0.11250000000000004</v>
      </c>
      <c r="AO96">
        <v>12</v>
      </c>
      <c r="AP96">
        <v>-4.9999999999999822E-2</v>
      </c>
      <c r="AQ96">
        <v>29</v>
      </c>
      <c r="AR96">
        <v>-0.98749999999999993</v>
      </c>
      <c r="AS96">
        <v>18</v>
      </c>
      <c r="AT96">
        <v>18</v>
      </c>
      <c r="AU96">
        <v>22</v>
      </c>
      <c r="AV96">
        <v>-3.1737500000000001</v>
      </c>
      <c r="AW96">
        <v>15</v>
      </c>
      <c r="AX96">
        <v>-0.3500000000000032</v>
      </c>
      <c r="AY96">
        <v>17</v>
      </c>
      <c r="AZ96">
        <v>6.2499999999999778E-2</v>
      </c>
      <c r="BA96">
        <v>31</v>
      </c>
      <c r="BB96">
        <v>30</v>
      </c>
      <c r="BC96">
        <v>29</v>
      </c>
      <c r="BD96">
        <v>-5.2525000000000004</v>
      </c>
      <c r="BE96">
        <v>30</v>
      </c>
      <c r="BF96">
        <v>-16.650000000000002</v>
      </c>
      <c r="BG96">
        <v>31</v>
      </c>
      <c r="BH96">
        <v>-1.6375000000000002</v>
      </c>
      <c r="BI96">
        <v>6</v>
      </c>
      <c r="BJ96">
        <v>6.333333333333333</v>
      </c>
      <c r="BK96">
        <v>5</v>
      </c>
      <c r="BL96">
        <v>4.6887500000000006</v>
      </c>
      <c r="BM96">
        <v>6</v>
      </c>
      <c r="BN96">
        <v>21.512499999999999</v>
      </c>
      <c r="BO96">
        <v>8</v>
      </c>
      <c r="BP96">
        <v>1.1375</v>
      </c>
      <c r="BQ96">
        <v>21</v>
      </c>
      <c r="BR96">
        <v>20</v>
      </c>
      <c r="BS96">
        <v>28</v>
      </c>
      <c r="BT96">
        <v>-2.6100000000000003</v>
      </c>
      <c r="BU96">
        <v>22</v>
      </c>
      <c r="BV96">
        <v>-5.2125000000000004</v>
      </c>
      <c r="BW96">
        <v>10</v>
      </c>
      <c r="BX96">
        <v>0.5625</v>
      </c>
      <c r="BY96">
        <v>29</v>
      </c>
      <c r="BZ96">
        <v>29.333333333333332</v>
      </c>
      <c r="CA96">
        <v>30</v>
      </c>
      <c r="CB96">
        <v>-5.8325000000000014</v>
      </c>
      <c r="CC96">
        <v>31</v>
      </c>
      <c r="CD96">
        <v>-32.825000000000003</v>
      </c>
      <c r="CE96">
        <v>27</v>
      </c>
      <c r="CF96">
        <v>-1.4125000000000001</v>
      </c>
      <c r="CG96">
        <v>5</v>
      </c>
      <c r="CH96">
        <v>7.333333333333333</v>
      </c>
      <c r="CI96">
        <v>8</v>
      </c>
      <c r="CJ96">
        <v>2.2387499999999996</v>
      </c>
      <c r="CK96">
        <v>10.762499999999999</v>
      </c>
      <c r="CL96">
        <v>2.2374999999999998</v>
      </c>
      <c r="CM96">
        <v>1</v>
      </c>
      <c r="CN96">
        <v>1</v>
      </c>
      <c r="CO96">
        <v>1</v>
      </c>
      <c r="CP96">
        <v>5.9375</v>
      </c>
      <c r="CQ96">
        <v>1</v>
      </c>
      <c r="CR96">
        <v>1.4624999999999999</v>
      </c>
      <c r="CS96">
        <v>0.62499999999999978</v>
      </c>
      <c r="CT96">
        <v>3</v>
      </c>
      <c r="CU96">
        <v>7.5</v>
      </c>
      <c r="CV96">
        <v>9</v>
      </c>
      <c r="CW96">
        <v>3.0772902583162398E-2</v>
      </c>
      <c r="CX96">
        <v>10</v>
      </c>
      <c r="CY96">
        <v>7.429968467323177E-3</v>
      </c>
      <c r="CZ96">
        <v>4</v>
      </c>
      <c r="DA96">
        <v>-0.10740905293536873</v>
      </c>
      <c r="DB96">
        <v>7</v>
      </c>
      <c r="DC96">
        <v>2.4750000000000001</v>
      </c>
      <c r="DD96">
        <v>5.8250000000000011</v>
      </c>
      <c r="DE96">
        <v>-0.27499999999999947</v>
      </c>
      <c r="DF96">
        <v>-1.5874999999999999</v>
      </c>
      <c r="DG96">
        <v>-9.0249999999999915</v>
      </c>
      <c r="DH96">
        <v>-15.537500000000001</v>
      </c>
      <c r="DI96">
        <v>9.9624999999999986</v>
      </c>
      <c r="DJ96">
        <v>1.3250000000000002</v>
      </c>
      <c r="DK96">
        <v>-4.7749999999999995</v>
      </c>
      <c r="DL96">
        <v>22</v>
      </c>
      <c r="DM96">
        <v>-3.9070000000000009</v>
      </c>
      <c r="DN96">
        <v>-0.99615000000000054</v>
      </c>
      <c r="DO96">
        <v>-25.5</v>
      </c>
      <c r="DP96">
        <v>11</v>
      </c>
      <c r="DQ96">
        <v>0.16006250000000011</v>
      </c>
      <c r="DR96">
        <v>2.2999999999999998</v>
      </c>
      <c r="DS96">
        <v>-0.35693124999999992</v>
      </c>
      <c r="DT96">
        <v>0.35031249999999997</v>
      </c>
      <c r="DU96" t="s">
        <v>288</v>
      </c>
      <c r="DV96" t="s">
        <v>270</v>
      </c>
      <c r="DW96" t="s">
        <v>508</v>
      </c>
      <c r="DX96">
        <v>28</v>
      </c>
      <c r="DY96">
        <v>-4.1744000000000003</v>
      </c>
      <c r="DZ96">
        <v>11</v>
      </c>
      <c r="EA96">
        <v>12.75</v>
      </c>
      <c r="EB96">
        <v>12</v>
      </c>
      <c r="EC96">
        <v>1.2410000000000005</v>
      </c>
      <c r="ED96">
        <v>3</v>
      </c>
      <c r="EE96">
        <v>3.5399999999999991</v>
      </c>
      <c r="EF96">
        <v>8</v>
      </c>
      <c r="EG96">
        <v>14.270000000000003</v>
      </c>
      <c r="EH96">
        <v>28</v>
      </c>
      <c r="EI96">
        <v>-1.0900000000000001</v>
      </c>
      <c r="EJ96">
        <v>18</v>
      </c>
      <c r="EK96">
        <v>18.25</v>
      </c>
      <c r="EL96">
        <v>18</v>
      </c>
      <c r="EM96">
        <v>-0.29199999999999982</v>
      </c>
      <c r="EN96">
        <v>15</v>
      </c>
      <c r="EO96">
        <v>5.999999999999979E-2</v>
      </c>
      <c r="EP96">
        <v>16</v>
      </c>
      <c r="EQ96">
        <v>2.160000000000001</v>
      </c>
      <c r="ER96">
        <v>24</v>
      </c>
      <c r="ES96">
        <v>-0.64</v>
      </c>
      <c r="ET96">
        <v>1</v>
      </c>
      <c r="EU96">
        <v>4</v>
      </c>
      <c r="EV96">
        <v>8</v>
      </c>
      <c r="EW96">
        <v>1.5330000000000004</v>
      </c>
      <c r="EX96">
        <v>1</v>
      </c>
      <c r="EY96">
        <v>3.4799999999999995</v>
      </c>
      <c r="EZ96">
        <v>3</v>
      </c>
      <c r="FA96">
        <v>12.110000000000001</v>
      </c>
      <c r="FB96">
        <v>24</v>
      </c>
      <c r="FC96">
        <v>-0.45</v>
      </c>
      <c r="FD96">
        <v>29</v>
      </c>
      <c r="FE96">
        <v>27.333333333333332</v>
      </c>
      <c r="FF96">
        <v>23</v>
      </c>
      <c r="FG96">
        <v>-3.3279999999999994</v>
      </c>
      <c r="FH96">
        <v>31</v>
      </c>
      <c r="FI96">
        <v>-29.910000000000004</v>
      </c>
      <c r="FJ96">
        <v>28</v>
      </c>
      <c r="FK96">
        <v>-2.1100000000000003</v>
      </c>
      <c r="FL96">
        <v>26</v>
      </c>
      <c r="FM96">
        <v>25.666666666666668</v>
      </c>
      <c r="FN96">
        <v>23</v>
      </c>
      <c r="FO96">
        <v>-2.0959999999999992</v>
      </c>
      <c r="FP96">
        <v>25</v>
      </c>
      <c r="FQ96">
        <v>-9.51</v>
      </c>
      <c r="FR96">
        <v>29</v>
      </c>
      <c r="FS96">
        <v>-1.59</v>
      </c>
      <c r="FT96">
        <v>24</v>
      </c>
      <c r="FU96">
        <v>21.333333333333332</v>
      </c>
      <c r="FV96">
        <v>17</v>
      </c>
      <c r="FW96">
        <v>-0.49999999999999983</v>
      </c>
      <c r="FX96">
        <v>29</v>
      </c>
      <c r="FY96">
        <v>-13.620000000000001</v>
      </c>
      <c r="FZ96">
        <v>18</v>
      </c>
      <c r="GA96">
        <v>-7.0000000000000021E-2</v>
      </c>
      <c r="GB96">
        <v>25</v>
      </c>
      <c r="GC96">
        <v>23.666666666666668</v>
      </c>
      <c r="GD96">
        <v>20</v>
      </c>
      <c r="GE96">
        <v>-0.73199999999999998</v>
      </c>
      <c r="GF96">
        <v>26</v>
      </c>
      <c r="GG96">
        <v>-6.7800000000000011</v>
      </c>
      <c r="GH96">
        <v>25</v>
      </c>
      <c r="GI96">
        <v>-0.45</v>
      </c>
      <c r="GJ96">
        <v>29</v>
      </c>
      <c r="GK96">
        <v>28.333333333333332</v>
      </c>
      <c r="GL96">
        <v>31</v>
      </c>
      <c r="GM96">
        <v>-6.0109999999999983</v>
      </c>
      <c r="GN96">
        <v>30</v>
      </c>
      <c r="GO96">
        <v>-21.31</v>
      </c>
      <c r="GP96">
        <v>24</v>
      </c>
      <c r="GQ96">
        <v>-1.1000000000000001</v>
      </c>
      <c r="GR96">
        <v>18</v>
      </c>
      <c r="GS96">
        <v>19.333333333333332</v>
      </c>
      <c r="GT96">
        <v>22</v>
      </c>
      <c r="GU96">
        <v>-1.8119999999999998</v>
      </c>
      <c r="GV96">
        <v>-4.42</v>
      </c>
      <c r="GW96">
        <v>0.17999999999999988</v>
      </c>
      <c r="GX96">
        <v>16</v>
      </c>
      <c r="GY96">
        <v>16.5</v>
      </c>
      <c r="GZ96">
        <v>18</v>
      </c>
      <c r="HA96">
        <v>-0.43999999999999984</v>
      </c>
      <c r="HB96">
        <v>15</v>
      </c>
      <c r="HC96">
        <v>-0.12000000000000002</v>
      </c>
      <c r="HD96">
        <v>-1.47</v>
      </c>
      <c r="HE96">
        <v>10</v>
      </c>
      <c r="HF96">
        <v>13.75</v>
      </c>
      <c r="HG96">
        <v>15</v>
      </c>
      <c r="HH96">
        <v>8.7143529525698146E-3</v>
      </c>
      <c r="HI96">
        <v>23</v>
      </c>
      <c r="HJ96">
        <v>-8.6128487663332774E-3</v>
      </c>
      <c r="HK96">
        <v>8</v>
      </c>
      <c r="HL96">
        <v>-3.6349429981782935E-2</v>
      </c>
      <c r="HM96">
        <v>9</v>
      </c>
      <c r="HN96">
        <v>0.86999999999999988</v>
      </c>
      <c r="HO96">
        <v>0.27999999999999969</v>
      </c>
      <c r="HP96">
        <v>-3.8600000000000003</v>
      </c>
      <c r="HQ96">
        <v>-0.49000000000000005</v>
      </c>
      <c r="HR96">
        <v>-22.8</v>
      </c>
      <c r="HS96">
        <v>-43.04</v>
      </c>
      <c r="HT96">
        <v>17.95</v>
      </c>
      <c r="HU96">
        <v>-0.65</v>
      </c>
      <c r="HV96">
        <v>2.94</v>
      </c>
      <c r="HW96">
        <v>26</v>
      </c>
      <c r="HX96">
        <v>-5.4154000000000009</v>
      </c>
      <c r="HY96">
        <v>-2.4833800000000004</v>
      </c>
      <c r="HZ96">
        <v>-60.989999999999995</v>
      </c>
      <c r="IA96">
        <v>7</v>
      </c>
      <c r="IB96">
        <v>-1.0641749999999999</v>
      </c>
      <c r="IC96">
        <v>-1.9300000000000004</v>
      </c>
    </row>
    <row r="97" spans="1:237" x14ac:dyDescent="0.2">
      <c r="A97" s="19">
        <v>44129</v>
      </c>
      <c r="B97" s="13" t="s">
        <v>250</v>
      </c>
      <c r="C97" s="41" t="s">
        <v>299</v>
      </c>
      <c r="D97" s="14" t="s">
        <v>295</v>
      </c>
      <c r="E97">
        <v>20.399999999999999</v>
      </c>
      <c r="F97">
        <v>13</v>
      </c>
      <c r="G97">
        <v>9.1999999999999993</v>
      </c>
      <c r="H97">
        <v>16.899999999999999</v>
      </c>
      <c r="I97">
        <v>1</v>
      </c>
      <c r="J97">
        <v>54.5</v>
      </c>
      <c r="K97" t="s">
        <v>734</v>
      </c>
      <c r="L97" t="s">
        <v>299</v>
      </c>
      <c r="M97">
        <v>20</v>
      </c>
      <c r="N97">
        <v>-2.2469999999999999</v>
      </c>
      <c r="O97">
        <v>25</v>
      </c>
      <c r="P97">
        <v>22</v>
      </c>
      <c r="Q97">
        <v>18</v>
      </c>
      <c r="R97">
        <v>0.13874999999999993</v>
      </c>
      <c r="S97">
        <v>23</v>
      </c>
      <c r="T97">
        <v>-1.9500000000000002</v>
      </c>
      <c r="U97">
        <v>23</v>
      </c>
      <c r="V97">
        <v>-12.612499999999997</v>
      </c>
      <c r="W97">
        <v>24</v>
      </c>
      <c r="X97">
        <v>-0.875</v>
      </c>
      <c r="Y97">
        <v>28</v>
      </c>
      <c r="Z97">
        <v>26.333333333333332</v>
      </c>
      <c r="AA97">
        <v>27</v>
      </c>
      <c r="AB97">
        <v>-4.1675000000000004</v>
      </c>
      <c r="AC97">
        <v>28</v>
      </c>
      <c r="AD97">
        <v>-2.8250000000000002</v>
      </c>
      <c r="AE97">
        <v>24</v>
      </c>
      <c r="AF97">
        <v>-9.7999999999999972</v>
      </c>
      <c r="AG97">
        <v>28</v>
      </c>
      <c r="AH97">
        <v>-1.3625</v>
      </c>
      <c r="AI97">
        <v>7</v>
      </c>
      <c r="AJ97">
        <v>9.6666666666666661</v>
      </c>
      <c r="AK97">
        <v>2</v>
      </c>
      <c r="AL97">
        <v>4.3062500000000004</v>
      </c>
      <c r="AM97">
        <v>10</v>
      </c>
      <c r="AN97">
        <v>0.875</v>
      </c>
      <c r="AO97">
        <v>18</v>
      </c>
      <c r="AP97">
        <v>-2.8125</v>
      </c>
      <c r="AQ97">
        <v>9</v>
      </c>
      <c r="AR97">
        <v>0.48750000000000004</v>
      </c>
      <c r="AS97">
        <v>24</v>
      </c>
      <c r="AT97">
        <v>21.666666666666668</v>
      </c>
      <c r="AU97">
        <v>26</v>
      </c>
      <c r="AV97">
        <v>-4.2550000000000008</v>
      </c>
      <c r="AW97">
        <v>19</v>
      </c>
      <c r="AX97">
        <v>-8.9749999999999979</v>
      </c>
      <c r="AY97">
        <v>20</v>
      </c>
      <c r="AZ97">
        <v>-1.2250000000000001</v>
      </c>
      <c r="BA97">
        <v>12</v>
      </c>
      <c r="BB97">
        <v>14.333333333333334</v>
      </c>
      <c r="BC97">
        <v>14</v>
      </c>
      <c r="BD97">
        <v>0.59750000000000014</v>
      </c>
      <c r="BE97">
        <v>18</v>
      </c>
      <c r="BF97">
        <v>-2.0749999999999993</v>
      </c>
      <c r="BG97">
        <v>11</v>
      </c>
      <c r="BH97">
        <v>0.375</v>
      </c>
      <c r="BI97">
        <v>24</v>
      </c>
      <c r="BJ97">
        <v>25.333333333333332</v>
      </c>
      <c r="BK97">
        <v>29</v>
      </c>
      <c r="BL97">
        <v>-3.5187500000000007</v>
      </c>
      <c r="BM97">
        <v>16</v>
      </c>
      <c r="BN97">
        <v>-3.0625</v>
      </c>
      <c r="BO97">
        <v>31</v>
      </c>
      <c r="BP97">
        <v>-1.9125000000000001</v>
      </c>
      <c r="BQ97">
        <v>18</v>
      </c>
      <c r="BR97">
        <v>18.666666666666668</v>
      </c>
      <c r="BS97">
        <v>22</v>
      </c>
      <c r="BT97">
        <v>-1.3337500000000002</v>
      </c>
      <c r="BU97">
        <v>20</v>
      </c>
      <c r="BV97">
        <v>-3.8374999999999986</v>
      </c>
      <c r="BW97">
        <v>14</v>
      </c>
      <c r="BX97">
        <v>0.3125</v>
      </c>
      <c r="BY97">
        <v>24</v>
      </c>
      <c r="BZ97">
        <v>25</v>
      </c>
      <c r="CA97">
        <v>22</v>
      </c>
      <c r="CB97">
        <v>-2.0525000000000002</v>
      </c>
      <c r="CC97">
        <v>29</v>
      </c>
      <c r="CD97">
        <v>-22.4</v>
      </c>
      <c r="CE97">
        <v>24</v>
      </c>
      <c r="CF97">
        <v>-1.1000000000000001</v>
      </c>
      <c r="CG97">
        <v>21</v>
      </c>
      <c r="CH97">
        <v>20.333333333333332</v>
      </c>
      <c r="CI97">
        <v>20</v>
      </c>
      <c r="CJ97">
        <v>-2.0462500000000001</v>
      </c>
      <c r="CK97">
        <v>-7.8375000000000004</v>
      </c>
      <c r="CL97">
        <v>-0.82499999999999996</v>
      </c>
      <c r="CM97">
        <v>15</v>
      </c>
      <c r="CN97">
        <v>18</v>
      </c>
      <c r="CO97">
        <v>23</v>
      </c>
      <c r="CP97">
        <v>-1.0750000000000002</v>
      </c>
      <c r="CQ97">
        <v>13</v>
      </c>
      <c r="CR97">
        <v>9.9999999999999978E-2</v>
      </c>
      <c r="CS97">
        <v>-1.3125</v>
      </c>
      <c r="CT97">
        <v>8</v>
      </c>
      <c r="CU97">
        <v>11.5</v>
      </c>
      <c r="CV97">
        <v>14</v>
      </c>
      <c r="CW97">
        <v>2.6040680653880571E-3</v>
      </c>
      <c r="CX97">
        <v>4</v>
      </c>
      <c r="CY97">
        <v>2.2599949522189376E-2</v>
      </c>
      <c r="CZ97">
        <v>19</v>
      </c>
      <c r="DA97">
        <v>1.2169566544566607E-2</v>
      </c>
      <c r="DB97">
        <v>9</v>
      </c>
      <c r="DC97">
        <v>1.4125000000000001</v>
      </c>
      <c r="DD97">
        <v>-3.0375000000000014</v>
      </c>
      <c r="DE97">
        <v>0.78749999999999964</v>
      </c>
      <c r="DF97">
        <v>-0.4375</v>
      </c>
      <c r="DG97">
        <v>-26.174999999999997</v>
      </c>
      <c r="DH97">
        <v>-16.049999999999997</v>
      </c>
      <c r="DI97">
        <v>-4.2875000000000014</v>
      </c>
      <c r="DJ97">
        <v>-2.6625000000000001</v>
      </c>
      <c r="DK97">
        <v>-3.1749999999999998</v>
      </c>
      <c r="DL97">
        <v>19</v>
      </c>
      <c r="DM97">
        <v>-2.3857499999999998</v>
      </c>
      <c r="DN97">
        <v>-1.7790250000000003</v>
      </c>
      <c r="DO97">
        <v>-11.762499999999996</v>
      </c>
      <c r="DP97">
        <v>14</v>
      </c>
      <c r="DQ97">
        <v>-1.1855625000000001</v>
      </c>
      <c r="DR97">
        <v>-2.0499999999999998</v>
      </c>
      <c r="DS97">
        <v>1.3569562500000001</v>
      </c>
      <c r="DT97">
        <v>-0.32556249999999998</v>
      </c>
      <c r="DU97" t="s">
        <v>295</v>
      </c>
      <c r="DV97" t="s">
        <v>280</v>
      </c>
      <c r="DW97" t="s">
        <v>489</v>
      </c>
      <c r="DX97">
        <v>1</v>
      </c>
      <c r="DY97">
        <v>12.093399999999999</v>
      </c>
      <c r="DZ97">
        <v>23</v>
      </c>
      <c r="EA97">
        <v>19.75</v>
      </c>
      <c r="EB97">
        <v>24</v>
      </c>
      <c r="EC97">
        <v>-3.258999999999999</v>
      </c>
      <c r="ED97">
        <v>23</v>
      </c>
      <c r="EE97">
        <v>-1.9200000000000004</v>
      </c>
      <c r="EF97">
        <v>25</v>
      </c>
      <c r="EG97">
        <v>-18.990000000000002</v>
      </c>
      <c r="EH97">
        <v>7</v>
      </c>
      <c r="EI97">
        <v>1.03</v>
      </c>
      <c r="EJ97">
        <v>24</v>
      </c>
      <c r="EK97">
        <v>22</v>
      </c>
      <c r="EL97">
        <v>27</v>
      </c>
      <c r="EM97">
        <v>-3.1919999999999993</v>
      </c>
      <c r="EN97">
        <v>19</v>
      </c>
      <c r="EO97">
        <v>-0.31000000000000016</v>
      </c>
      <c r="EP97">
        <v>23</v>
      </c>
      <c r="EQ97">
        <v>-6.2700000000000005</v>
      </c>
      <c r="ER97">
        <v>19</v>
      </c>
      <c r="ES97">
        <v>-0.17999999999999988</v>
      </c>
      <c r="ET97">
        <v>27</v>
      </c>
      <c r="EU97">
        <v>23.666666666666668</v>
      </c>
      <c r="EV97">
        <v>15</v>
      </c>
      <c r="EW97">
        <v>-6.6999999999999907E-2</v>
      </c>
      <c r="EX97">
        <v>25</v>
      </c>
      <c r="EY97">
        <v>-1.61</v>
      </c>
      <c r="EZ97">
        <v>31</v>
      </c>
      <c r="FA97">
        <v>-12.720000000000002</v>
      </c>
      <c r="FB97">
        <v>2</v>
      </c>
      <c r="FC97">
        <v>1.21</v>
      </c>
      <c r="FD97">
        <v>2</v>
      </c>
      <c r="FE97">
        <v>3.6666666666666665</v>
      </c>
      <c r="FF97">
        <v>3</v>
      </c>
      <c r="FG97">
        <v>7.559400000000001</v>
      </c>
      <c r="FH97">
        <v>2</v>
      </c>
      <c r="FI97">
        <v>29.489999999999991</v>
      </c>
      <c r="FJ97">
        <v>6</v>
      </c>
      <c r="FK97">
        <v>1.5100000000000002</v>
      </c>
      <c r="FL97">
        <v>12</v>
      </c>
      <c r="FM97">
        <v>12.333333333333334</v>
      </c>
      <c r="FN97">
        <v>10</v>
      </c>
      <c r="FO97">
        <v>1.5450000000000006</v>
      </c>
      <c r="FP97">
        <v>12</v>
      </c>
      <c r="FQ97">
        <v>8.1899999999999977</v>
      </c>
      <c r="FR97">
        <v>15</v>
      </c>
      <c r="FS97">
        <v>0.33000000000000007</v>
      </c>
      <c r="FT97">
        <v>4</v>
      </c>
      <c r="FU97">
        <v>6.333333333333333</v>
      </c>
      <c r="FV97">
        <v>2</v>
      </c>
      <c r="FW97">
        <v>6.048</v>
      </c>
      <c r="FX97">
        <v>3</v>
      </c>
      <c r="FY97">
        <v>17.859999999999996</v>
      </c>
      <c r="FZ97">
        <v>14</v>
      </c>
      <c r="GA97">
        <v>9.0000000000000038E-2</v>
      </c>
      <c r="GB97">
        <v>7</v>
      </c>
      <c r="GC97">
        <v>9.3333333333333339</v>
      </c>
      <c r="GD97">
        <v>16</v>
      </c>
      <c r="GE97">
        <v>-3.3599999999999589E-2</v>
      </c>
      <c r="GF97">
        <v>9</v>
      </c>
      <c r="GG97">
        <v>3.4399999999999991</v>
      </c>
      <c r="GH97">
        <v>3</v>
      </c>
      <c r="GI97">
        <v>1.0900000000000001</v>
      </c>
      <c r="GJ97">
        <v>7</v>
      </c>
      <c r="GK97">
        <v>7</v>
      </c>
      <c r="GL97">
        <v>4</v>
      </c>
      <c r="GM97">
        <v>4.7169999999999987</v>
      </c>
      <c r="GN97">
        <v>6</v>
      </c>
      <c r="GO97">
        <v>11.569999999999999</v>
      </c>
      <c r="GP97">
        <v>11</v>
      </c>
      <c r="GQ97">
        <v>0.54</v>
      </c>
      <c r="GR97">
        <v>1</v>
      </c>
      <c r="GS97">
        <v>1.3333333333333333</v>
      </c>
      <c r="GT97">
        <v>1</v>
      </c>
      <c r="GU97">
        <v>8.7020000000000017</v>
      </c>
      <c r="GV97">
        <v>26.020000000000003</v>
      </c>
      <c r="GW97">
        <v>1.9</v>
      </c>
      <c r="GX97">
        <v>24</v>
      </c>
      <c r="GY97">
        <v>23</v>
      </c>
      <c r="GZ97">
        <v>22</v>
      </c>
      <c r="HA97">
        <v>-0.78</v>
      </c>
      <c r="HB97">
        <v>24</v>
      </c>
      <c r="HC97">
        <v>-0.39</v>
      </c>
      <c r="HD97">
        <v>-1.95</v>
      </c>
      <c r="HE97">
        <v>32</v>
      </c>
      <c r="HF97">
        <v>27.75</v>
      </c>
      <c r="HG97">
        <v>26</v>
      </c>
      <c r="HH97">
        <v>-4.024662684341436E-2</v>
      </c>
      <c r="HI97">
        <v>31</v>
      </c>
      <c r="HJ97">
        <v>-3.1277801836282954E-2</v>
      </c>
      <c r="HK97">
        <v>23</v>
      </c>
      <c r="HL97">
        <v>3.4123376623376653E-2</v>
      </c>
      <c r="HM97">
        <v>31</v>
      </c>
      <c r="HN97">
        <v>-3.3299999999999996</v>
      </c>
      <c r="HO97">
        <v>0.7000000000000014</v>
      </c>
      <c r="HP97">
        <v>4.4399999999999995</v>
      </c>
      <c r="HQ97">
        <v>-0.63</v>
      </c>
      <c r="HR97">
        <v>54.429999999999986</v>
      </c>
      <c r="HS97">
        <v>67.860000000000014</v>
      </c>
      <c r="HT97">
        <v>-22.119999999999997</v>
      </c>
      <c r="HU97">
        <v>7.06</v>
      </c>
      <c r="HV97">
        <v>1.6300000000000001</v>
      </c>
      <c r="HW97">
        <v>1</v>
      </c>
      <c r="HX97">
        <v>15.352399999999998</v>
      </c>
      <c r="HY97">
        <v>7.3004599999999993</v>
      </c>
      <c r="HZ97">
        <v>89.980000000000018</v>
      </c>
      <c r="IA97">
        <v>32</v>
      </c>
      <c r="IB97">
        <v>3.0394749999999999</v>
      </c>
      <c r="IC97">
        <v>3.41</v>
      </c>
    </row>
    <row r="98" spans="1:237" x14ac:dyDescent="0.2">
      <c r="A98" s="19">
        <v>44129</v>
      </c>
      <c r="B98" s="13" t="s">
        <v>250</v>
      </c>
      <c r="C98" s="41" t="s">
        <v>300</v>
      </c>
      <c r="D98" s="14" t="s">
        <v>311</v>
      </c>
      <c r="E98">
        <v>47.6</v>
      </c>
      <c r="F98">
        <v>0.9</v>
      </c>
      <c r="G98">
        <v>8.6</v>
      </c>
      <c r="H98">
        <v>5.2</v>
      </c>
      <c r="I98">
        <v>-3</v>
      </c>
      <c r="J98">
        <v>55</v>
      </c>
      <c r="L98" t="s">
        <v>300</v>
      </c>
      <c r="M98">
        <v>22</v>
      </c>
      <c r="N98">
        <v>-2.6859999999999999</v>
      </c>
      <c r="O98">
        <v>2</v>
      </c>
      <c r="P98">
        <v>6.75</v>
      </c>
      <c r="Q98">
        <v>3</v>
      </c>
      <c r="R98">
        <v>9.1500000000000021</v>
      </c>
      <c r="S98">
        <v>12</v>
      </c>
      <c r="T98">
        <v>1.0625</v>
      </c>
      <c r="U98">
        <v>4</v>
      </c>
      <c r="V98">
        <v>29.0625</v>
      </c>
      <c r="W98">
        <v>8</v>
      </c>
      <c r="X98">
        <v>1.2124999999999999</v>
      </c>
      <c r="Y98">
        <v>2</v>
      </c>
      <c r="Z98">
        <v>6</v>
      </c>
      <c r="AA98">
        <v>2</v>
      </c>
      <c r="AB98">
        <v>8.182500000000001</v>
      </c>
      <c r="AC98">
        <v>16</v>
      </c>
      <c r="AD98">
        <v>0</v>
      </c>
      <c r="AE98">
        <v>6</v>
      </c>
      <c r="AF98">
        <v>19.137499999999999</v>
      </c>
      <c r="AG98">
        <v>10</v>
      </c>
      <c r="AH98">
        <v>0.89999999999999991</v>
      </c>
      <c r="AI98">
        <v>6</v>
      </c>
      <c r="AJ98">
        <v>9</v>
      </c>
      <c r="AK98">
        <v>9</v>
      </c>
      <c r="AL98">
        <v>0.96750000000000047</v>
      </c>
      <c r="AM98">
        <v>8</v>
      </c>
      <c r="AN98">
        <v>1.0625</v>
      </c>
      <c r="AO98">
        <v>7</v>
      </c>
      <c r="AP98">
        <v>9.9250000000000007</v>
      </c>
      <c r="AQ98">
        <v>11</v>
      </c>
      <c r="AR98">
        <v>0.3125</v>
      </c>
      <c r="AS98">
        <v>32</v>
      </c>
      <c r="AT98">
        <v>32</v>
      </c>
      <c r="AU98">
        <v>32</v>
      </c>
      <c r="AV98">
        <v>-15.248749999999999</v>
      </c>
      <c r="AW98">
        <v>32</v>
      </c>
      <c r="AX98">
        <v>-49.524999999999999</v>
      </c>
      <c r="AY98">
        <v>32</v>
      </c>
      <c r="AZ98">
        <v>-4.4249999999999998</v>
      </c>
      <c r="BA98">
        <v>22</v>
      </c>
      <c r="BB98">
        <v>21.333333333333332</v>
      </c>
      <c r="BC98">
        <v>26</v>
      </c>
      <c r="BD98">
        <v>-2.0924999999999998</v>
      </c>
      <c r="BE98">
        <v>14</v>
      </c>
      <c r="BF98">
        <v>1.2249999999999979</v>
      </c>
      <c r="BG98">
        <v>24</v>
      </c>
      <c r="BH98">
        <v>-1</v>
      </c>
      <c r="BI98">
        <v>31</v>
      </c>
      <c r="BJ98">
        <v>28.666666666666668</v>
      </c>
      <c r="BK98">
        <v>32</v>
      </c>
      <c r="BL98">
        <v>-10.19375</v>
      </c>
      <c r="BM98">
        <v>31</v>
      </c>
      <c r="BN98">
        <v>-38.912500000000001</v>
      </c>
      <c r="BO98">
        <v>23</v>
      </c>
      <c r="BP98">
        <v>-1.0625</v>
      </c>
      <c r="BQ98">
        <v>30</v>
      </c>
      <c r="BR98">
        <v>28.666666666666668</v>
      </c>
      <c r="BS98">
        <v>29</v>
      </c>
      <c r="BT98">
        <v>-2.9625000000000004</v>
      </c>
      <c r="BU98">
        <v>27</v>
      </c>
      <c r="BV98">
        <v>-11.837499999999999</v>
      </c>
      <c r="BW98">
        <v>30</v>
      </c>
      <c r="BX98">
        <v>-2.3624999999999998</v>
      </c>
      <c r="BY98">
        <v>22</v>
      </c>
      <c r="BZ98">
        <v>21.333333333333332</v>
      </c>
      <c r="CA98">
        <v>19</v>
      </c>
      <c r="CB98">
        <v>-1.4749999999999996</v>
      </c>
      <c r="CC98">
        <v>20</v>
      </c>
      <c r="CD98">
        <v>-7</v>
      </c>
      <c r="CE98">
        <v>25</v>
      </c>
      <c r="CF98">
        <v>-1.2125000000000004</v>
      </c>
      <c r="CG98">
        <v>7</v>
      </c>
      <c r="CH98">
        <v>9.6666666666666661</v>
      </c>
      <c r="CI98">
        <v>4</v>
      </c>
      <c r="CJ98">
        <v>4.8674999999999997</v>
      </c>
      <c r="CK98">
        <v>12.924999999999999</v>
      </c>
      <c r="CL98">
        <v>-0.58750000000000013</v>
      </c>
      <c r="CM98">
        <v>8</v>
      </c>
      <c r="CN98">
        <v>7</v>
      </c>
      <c r="CO98">
        <v>3</v>
      </c>
      <c r="CP98">
        <v>2.4624999999999999</v>
      </c>
      <c r="CQ98">
        <v>11</v>
      </c>
      <c r="CR98">
        <v>0.3125</v>
      </c>
      <c r="CS98">
        <v>1.5874999999999999</v>
      </c>
      <c r="CT98">
        <v>24</v>
      </c>
      <c r="CU98">
        <v>20.75</v>
      </c>
      <c r="CV98">
        <v>27</v>
      </c>
      <c r="CW98">
        <v>-4.4979971394914026E-2</v>
      </c>
      <c r="CX98">
        <v>25</v>
      </c>
      <c r="CY98">
        <v>-8.5193707845681241E-3</v>
      </c>
      <c r="CZ98">
        <v>5</v>
      </c>
      <c r="DA98">
        <v>-9.8134296259296233E-2</v>
      </c>
      <c r="DB98">
        <v>26</v>
      </c>
      <c r="DC98">
        <v>-1.7749999999999999</v>
      </c>
      <c r="DD98">
        <v>-2.7874999999999979</v>
      </c>
      <c r="DE98">
        <v>1.9000000000000004</v>
      </c>
      <c r="DF98">
        <v>0.96250000000000002</v>
      </c>
      <c r="DG98">
        <v>6.0625</v>
      </c>
      <c r="DH98">
        <v>-26.650000000000006</v>
      </c>
      <c r="DI98">
        <v>39.924999999999997</v>
      </c>
      <c r="DJ98">
        <v>-5.75</v>
      </c>
      <c r="DK98">
        <v>-1.4624999999999999</v>
      </c>
      <c r="DL98">
        <v>31</v>
      </c>
      <c r="DM98">
        <v>-11.836000000000002</v>
      </c>
      <c r="DN98">
        <v>-7.1884500000000013</v>
      </c>
      <c r="DO98">
        <v>-66.575000000000003</v>
      </c>
      <c r="DP98">
        <v>2</v>
      </c>
      <c r="DQ98">
        <v>-0.18184374999999992</v>
      </c>
      <c r="DR98">
        <v>-5.0125000000000002</v>
      </c>
      <c r="DS98">
        <v>-0.34553125000000018</v>
      </c>
      <c r="DT98">
        <v>-1.6578125000000001</v>
      </c>
      <c r="DU98" t="s">
        <v>311</v>
      </c>
      <c r="DV98" t="s">
        <v>275</v>
      </c>
      <c r="DW98" t="s">
        <v>477</v>
      </c>
      <c r="DX98">
        <v>12</v>
      </c>
      <c r="DY98">
        <v>0.90700000000000036</v>
      </c>
      <c r="DZ98">
        <v>1</v>
      </c>
      <c r="EA98">
        <v>3.75</v>
      </c>
      <c r="EB98">
        <v>1</v>
      </c>
      <c r="EC98">
        <v>8.4979999999999993</v>
      </c>
      <c r="ED98">
        <v>8</v>
      </c>
      <c r="EE98">
        <v>2.6799999999999997</v>
      </c>
      <c r="EF98">
        <v>1</v>
      </c>
      <c r="EG98">
        <v>45.66</v>
      </c>
      <c r="EH98">
        <v>5</v>
      </c>
      <c r="EI98">
        <v>1.19</v>
      </c>
      <c r="EJ98">
        <v>1</v>
      </c>
      <c r="EK98">
        <v>3.5</v>
      </c>
      <c r="EL98">
        <v>1</v>
      </c>
      <c r="EM98">
        <v>6.855999999999999</v>
      </c>
      <c r="EN98">
        <v>9</v>
      </c>
      <c r="EO98">
        <v>1.4299999999999997</v>
      </c>
      <c r="EP98">
        <v>1</v>
      </c>
      <c r="EQ98">
        <v>30.52</v>
      </c>
      <c r="ER98">
        <v>3</v>
      </c>
      <c r="ES98">
        <v>1.45</v>
      </c>
      <c r="ET98">
        <v>3</v>
      </c>
      <c r="EU98">
        <v>4.666666666666667</v>
      </c>
      <c r="EV98">
        <v>5</v>
      </c>
      <c r="EW98">
        <v>1.6420000000000001</v>
      </c>
      <c r="EX98">
        <v>7</v>
      </c>
      <c r="EY98">
        <v>1.25</v>
      </c>
      <c r="EZ98">
        <v>2</v>
      </c>
      <c r="FA98">
        <v>15.14</v>
      </c>
      <c r="FB98">
        <v>20</v>
      </c>
      <c r="FC98">
        <v>-0.26</v>
      </c>
      <c r="FD98">
        <v>24</v>
      </c>
      <c r="FE98">
        <v>22.666666666666668</v>
      </c>
      <c r="FF98">
        <v>21</v>
      </c>
      <c r="FG98">
        <v>-1.0079999999999998</v>
      </c>
      <c r="FH98">
        <v>25</v>
      </c>
      <c r="FI98">
        <v>-7.83</v>
      </c>
      <c r="FJ98">
        <v>22</v>
      </c>
      <c r="FK98">
        <v>-0.77999999999999992</v>
      </c>
      <c r="FL98">
        <v>23</v>
      </c>
      <c r="FM98">
        <v>22.333333333333332</v>
      </c>
      <c r="FN98">
        <v>19</v>
      </c>
      <c r="FO98">
        <v>-0.64499999999999924</v>
      </c>
      <c r="FP98">
        <v>22</v>
      </c>
      <c r="FQ98">
        <v>-7.7200000000000006</v>
      </c>
      <c r="FR98">
        <v>26</v>
      </c>
      <c r="FS98">
        <v>-1.1599999999999999</v>
      </c>
      <c r="FT98">
        <v>9</v>
      </c>
      <c r="FU98">
        <v>11.333333333333334</v>
      </c>
      <c r="FV98">
        <v>14</v>
      </c>
      <c r="FW98">
        <v>-0.41500000000000059</v>
      </c>
      <c r="FX98">
        <v>12</v>
      </c>
      <c r="FY98">
        <v>0.56000000000000016</v>
      </c>
      <c r="FZ98">
        <v>8</v>
      </c>
      <c r="GA98">
        <v>0.56000000000000005</v>
      </c>
      <c r="GB98">
        <v>13</v>
      </c>
      <c r="GC98">
        <v>16</v>
      </c>
      <c r="GD98">
        <v>14</v>
      </c>
      <c r="GE98">
        <v>5.1999999999999956E-2</v>
      </c>
      <c r="GF98">
        <v>15</v>
      </c>
      <c r="GG98">
        <v>-0.6699999999999996</v>
      </c>
      <c r="GH98">
        <v>19</v>
      </c>
      <c r="GI98">
        <v>-0.18000000000000008</v>
      </c>
      <c r="GJ98">
        <v>22</v>
      </c>
      <c r="GK98">
        <v>21</v>
      </c>
      <c r="GL98">
        <v>19</v>
      </c>
      <c r="GM98">
        <v>-0.98999999999999988</v>
      </c>
      <c r="GN98">
        <v>23</v>
      </c>
      <c r="GO98">
        <v>-8</v>
      </c>
      <c r="GP98">
        <v>21</v>
      </c>
      <c r="GQ98">
        <v>-0.77999999999999992</v>
      </c>
      <c r="GR98">
        <v>11</v>
      </c>
      <c r="GS98">
        <v>10.666666666666666</v>
      </c>
      <c r="GT98">
        <v>12</v>
      </c>
      <c r="GU98">
        <v>1.0970000000000002</v>
      </c>
      <c r="GV98">
        <v>8.07</v>
      </c>
      <c r="GW98">
        <v>0.44999999999999984</v>
      </c>
      <c r="GX98">
        <v>18</v>
      </c>
      <c r="GY98">
        <v>17.5</v>
      </c>
      <c r="GZ98">
        <v>27</v>
      </c>
      <c r="HA98">
        <v>-1.7600000000000002</v>
      </c>
      <c r="HB98">
        <v>8</v>
      </c>
      <c r="HC98">
        <v>0.45</v>
      </c>
      <c r="HD98">
        <v>-0.83999999999999986</v>
      </c>
      <c r="HE98">
        <v>15</v>
      </c>
      <c r="HF98">
        <v>15.25</v>
      </c>
      <c r="HG98">
        <v>11</v>
      </c>
      <c r="HH98">
        <v>1.5532956135234088E-2</v>
      </c>
      <c r="HI98">
        <v>4</v>
      </c>
      <c r="HJ98">
        <v>2.19789541558385E-2</v>
      </c>
      <c r="HK98">
        <v>30</v>
      </c>
      <c r="HL98">
        <v>0.10175213675213682</v>
      </c>
      <c r="HM98">
        <v>16</v>
      </c>
      <c r="HN98">
        <v>-0.25</v>
      </c>
      <c r="HO98">
        <v>5.830000000000001</v>
      </c>
      <c r="HP98">
        <v>1.19</v>
      </c>
      <c r="HQ98">
        <v>0.10999999999999996</v>
      </c>
      <c r="HR98">
        <v>65.22</v>
      </c>
      <c r="HS98">
        <v>26.4</v>
      </c>
      <c r="HT98">
        <v>48.17</v>
      </c>
      <c r="HU98">
        <v>-5.01</v>
      </c>
      <c r="HV98">
        <v>-4.34</v>
      </c>
      <c r="HW98">
        <v>31</v>
      </c>
      <c r="HX98">
        <v>-7.5909999999999993</v>
      </c>
      <c r="HY98">
        <v>-4.0497999999999994</v>
      </c>
      <c r="HZ98">
        <v>-21.770000000000003</v>
      </c>
      <c r="IA98">
        <v>2</v>
      </c>
      <c r="IB98">
        <v>0.96674999999999978</v>
      </c>
      <c r="IC98">
        <v>-0.33000000000000007</v>
      </c>
    </row>
    <row r="99" spans="1:237" x14ac:dyDescent="0.2">
      <c r="A99" s="19">
        <v>44129</v>
      </c>
      <c r="B99" s="13" t="s">
        <v>250</v>
      </c>
      <c r="C99" s="41" t="s">
        <v>311</v>
      </c>
      <c r="D99" s="14" t="s">
        <v>300</v>
      </c>
      <c r="E99">
        <v>12.5</v>
      </c>
      <c r="F99">
        <v>13</v>
      </c>
      <c r="G99">
        <v>17.5</v>
      </c>
      <c r="H99">
        <v>0</v>
      </c>
      <c r="I99">
        <v>3</v>
      </c>
      <c r="J99">
        <v>55</v>
      </c>
      <c r="L99" t="s">
        <v>311</v>
      </c>
      <c r="M99">
        <v>10</v>
      </c>
      <c r="N99">
        <v>2.2605999999999988</v>
      </c>
      <c r="O99">
        <v>29</v>
      </c>
      <c r="P99">
        <v>26.75</v>
      </c>
      <c r="Q99">
        <v>30</v>
      </c>
      <c r="R99">
        <v>-8.26</v>
      </c>
      <c r="S99">
        <v>27</v>
      </c>
      <c r="T99">
        <v>-3.37</v>
      </c>
      <c r="U99">
        <v>30</v>
      </c>
      <c r="V99">
        <v>-29.810000000000002</v>
      </c>
      <c r="W99">
        <v>20</v>
      </c>
      <c r="X99">
        <v>-0.51</v>
      </c>
      <c r="Y99">
        <v>29</v>
      </c>
      <c r="Z99">
        <v>26.666666666666668</v>
      </c>
      <c r="AA99">
        <v>31</v>
      </c>
      <c r="AB99">
        <v>-6.5629999999999997</v>
      </c>
      <c r="AC99">
        <v>25</v>
      </c>
      <c r="AD99">
        <v>-2.04</v>
      </c>
      <c r="AE99">
        <v>28</v>
      </c>
      <c r="AF99">
        <v>-22.94</v>
      </c>
      <c r="AG99">
        <v>21</v>
      </c>
      <c r="AH99">
        <v>-0.65</v>
      </c>
      <c r="AI99">
        <v>26</v>
      </c>
      <c r="AJ99">
        <v>22.666666666666668</v>
      </c>
      <c r="AK99">
        <v>27</v>
      </c>
      <c r="AL99">
        <v>-1.6969999999999998</v>
      </c>
      <c r="AM99">
        <v>23</v>
      </c>
      <c r="AN99">
        <v>-1.33</v>
      </c>
      <c r="AO99">
        <v>27</v>
      </c>
      <c r="AP99">
        <v>-6.8699999999999992</v>
      </c>
      <c r="AQ99">
        <v>14</v>
      </c>
      <c r="AR99">
        <v>0.14000000000000004</v>
      </c>
      <c r="AS99">
        <v>9</v>
      </c>
      <c r="AT99">
        <v>9.3333333333333339</v>
      </c>
      <c r="AU99">
        <v>9</v>
      </c>
      <c r="AV99">
        <v>5.447000000000001</v>
      </c>
      <c r="AW99">
        <v>6</v>
      </c>
      <c r="AX99">
        <v>27.360000000000003</v>
      </c>
      <c r="AY99">
        <v>13</v>
      </c>
      <c r="AZ99">
        <v>0.72000000000000008</v>
      </c>
      <c r="BA99">
        <v>20</v>
      </c>
      <c r="BB99">
        <v>20.666666666666668</v>
      </c>
      <c r="BC99">
        <v>15</v>
      </c>
      <c r="BD99">
        <v>0.3549999999999997</v>
      </c>
      <c r="BE99">
        <v>21</v>
      </c>
      <c r="BF99">
        <v>-5.99</v>
      </c>
      <c r="BG99">
        <v>26</v>
      </c>
      <c r="BH99">
        <v>-1.0699999999999998</v>
      </c>
      <c r="BI99">
        <v>3</v>
      </c>
      <c r="BJ99">
        <v>4.666666666666667</v>
      </c>
      <c r="BK99">
        <v>4</v>
      </c>
      <c r="BL99">
        <v>5.3110000000000017</v>
      </c>
      <c r="BM99">
        <v>3</v>
      </c>
      <c r="BN99">
        <v>28.910000000000004</v>
      </c>
      <c r="BO99">
        <v>7</v>
      </c>
      <c r="BP99">
        <v>1.44</v>
      </c>
      <c r="BQ99">
        <v>14</v>
      </c>
      <c r="BR99">
        <v>14</v>
      </c>
      <c r="BS99">
        <v>16</v>
      </c>
      <c r="BT99">
        <v>-0.21900000000000014</v>
      </c>
      <c r="BU99">
        <v>13</v>
      </c>
      <c r="BV99">
        <v>4.4400000000000004</v>
      </c>
      <c r="BW99">
        <v>13</v>
      </c>
      <c r="BX99">
        <v>0.35</v>
      </c>
      <c r="BY99">
        <v>2</v>
      </c>
      <c r="BZ99">
        <v>2</v>
      </c>
      <c r="CA99">
        <v>2</v>
      </c>
      <c r="CB99">
        <v>7.3820000000000006</v>
      </c>
      <c r="CC99">
        <v>2</v>
      </c>
      <c r="CD99">
        <v>51.220000000000006</v>
      </c>
      <c r="CE99">
        <v>2</v>
      </c>
      <c r="CF99">
        <v>2.79</v>
      </c>
      <c r="CG99">
        <v>12</v>
      </c>
      <c r="CH99">
        <v>12.666666666666666</v>
      </c>
      <c r="CI99">
        <v>12</v>
      </c>
      <c r="CJ99">
        <v>1.194</v>
      </c>
      <c r="CK99">
        <v>10.940000000000001</v>
      </c>
      <c r="CL99">
        <v>-0.43000000000000005</v>
      </c>
      <c r="CM99">
        <v>11</v>
      </c>
      <c r="CN99">
        <v>11</v>
      </c>
      <c r="CO99">
        <v>8</v>
      </c>
      <c r="CP99">
        <v>1.48</v>
      </c>
      <c r="CQ99">
        <v>14</v>
      </c>
      <c r="CR99">
        <v>7.0000000000000021E-2</v>
      </c>
      <c r="CS99">
        <v>-0.25</v>
      </c>
      <c r="CT99">
        <v>15</v>
      </c>
      <c r="CU99">
        <v>17.5</v>
      </c>
      <c r="CV99">
        <v>24</v>
      </c>
      <c r="CW99">
        <v>-2.4331035188046791E-2</v>
      </c>
      <c r="CX99">
        <v>12</v>
      </c>
      <c r="CY99">
        <v>2.5094265580226107E-3</v>
      </c>
      <c r="CZ99">
        <v>16</v>
      </c>
      <c r="DA99">
        <v>2.4769499506341664E-3</v>
      </c>
      <c r="DB99">
        <v>18</v>
      </c>
      <c r="DC99">
        <v>-0.83999999999999986</v>
      </c>
      <c r="DD99">
        <v>-5.5299999999999985</v>
      </c>
      <c r="DE99">
        <v>-0.54000000000000059</v>
      </c>
      <c r="DF99">
        <v>0</v>
      </c>
      <c r="DG99">
        <v>-6.3099999999999907</v>
      </c>
      <c r="DH99">
        <v>34.089999999999996</v>
      </c>
      <c r="DI99">
        <v>-32.07</v>
      </c>
      <c r="DJ99">
        <v>-6.9799999999999995</v>
      </c>
      <c r="DK99">
        <v>-1.35</v>
      </c>
      <c r="DL99">
        <v>3</v>
      </c>
      <c r="DM99">
        <v>10.520599999999998</v>
      </c>
      <c r="DN99">
        <v>5.9103200000000005</v>
      </c>
      <c r="DO99">
        <v>66.16</v>
      </c>
      <c r="DP99">
        <v>30</v>
      </c>
      <c r="DQ99">
        <v>0.2652000000000001</v>
      </c>
      <c r="DR99">
        <v>0.29000000000000004</v>
      </c>
      <c r="DS99">
        <v>-0.34553125000000018</v>
      </c>
      <c r="DT99">
        <v>0.96674999999999978</v>
      </c>
      <c r="DU99" t="s">
        <v>300</v>
      </c>
      <c r="DV99" t="s">
        <v>253</v>
      </c>
      <c r="DW99" t="s">
        <v>458</v>
      </c>
      <c r="DX99">
        <v>25</v>
      </c>
      <c r="DY99">
        <v>-3.1087499999999992</v>
      </c>
      <c r="DZ99">
        <v>19</v>
      </c>
      <c r="EA99">
        <v>17.75</v>
      </c>
      <c r="EB99">
        <v>8</v>
      </c>
      <c r="EC99">
        <v>3.9662500000000001</v>
      </c>
      <c r="ED99">
        <v>26</v>
      </c>
      <c r="EE99">
        <v>-2.35</v>
      </c>
      <c r="EF99">
        <v>20</v>
      </c>
      <c r="EG99">
        <v>-9.1500000000000021</v>
      </c>
      <c r="EH99">
        <v>17</v>
      </c>
      <c r="EI99">
        <v>6.2499999999999889E-2</v>
      </c>
      <c r="EJ99">
        <v>16</v>
      </c>
      <c r="EK99">
        <v>15.25</v>
      </c>
      <c r="EL99">
        <v>2</v>
      </c>
      <c r="EM99">
        <v>5.3512500000000003</v>
      </c>
      <c r="EN99">
        <v>27</v>
      </c>
      <c r="EO99">
        <v>-1.75</v>
      </c>
      <c r="EP99">
        <v>25</v>
      </c>
      <c r="EQ99">
        <v>-10.350000000000001</v>
      </c>
      <c r="ER99">
        <v>7</v>
      </c>
      <c r="ES99">
        <v>0.58749999999999991</v>
      </c>
      <c r="ET99">
        <v>21</v>
      </c>
      <c r="EU99">
        <v>20</v>
      </c>
      <c r="EV99">
        <v>28</v>
      </c>
      <c r="EW99">
        <v>-1.3850000000000002</v>
      </c>
      <c r="EX99">
        <v>18</v>
      </c>
      <c r="EY99">
        <v>-0.60000000000000009</v>
      </c>
      <c r="EZ99">
        <v>14</v>
      </c>
      <c r="FA99">
        <v>1.2000000000000002</v>
      </c>
      <c r="FB99">
        <v>25</v>
      </c>
      <c r="FC99">
        <v>-0.52500000000000002</v>
      </c>
      <c r="FD99">
        <v>32</v>
      </c>
      <c r="FE99">
        <v>31.333333333333332</v>
      </c>
      <c r="FF99">
        <v>32</v>
      </c>
      <c r="FG99">
        <v>-12.655000000000001</v>
      </c>
      <c r="FH99">
        <v>32</v>
      </c>
      <c r="FI99">
        <v>-62.349999999999994</v>
      </c>
      <c r="FJ99">
        <v>30</v>
      </c>
      <c r="FK99">
        <v>-3.3875000000000002</v>
      </c>
      <c r="FL99">
        <v>32</v>
      </c>
      <c r="FM99">
        <v>32</v>
      </c>
      <c r="FN99">
        <v>32</v>
      </c>
      <c r="FO99">
        <v>-8.6537500000000005</v>
      </c>
      <c r="FP99">
        <v>32</v>
      </c>
      <c r="FQ99">
        <v>-42.875</v>
      </c>
      <c r="FR99">
        <v>32</v>
      </c>
      <c r="FS99">
        <v>-3.1124999999999998</v>
      </c>
      <c r="FT99">
        <v>20</v>
      </c>
      <c r="FU99">
        <v>20</v>
      </c>
      <c r="FV99">
        <v>29</v>
      </c>
      <c r="FW99">
        <v>-3.6487500000000002</v>
      </c>
      <c r="FX99">
        <v>28</v>
      </c>
      <c r="FY99">
        <v>-13.5875</v>
      </c>
      <c r="FZ99">
        <v>3</v>
      </c>
      <c r="GA99">
        <v>1.2625</v>
      </c>
      <c r="GB99">
        <v>29</v>
      </c>
      <c r="GC99">
        <v>25</v>
      </c>
      <c r="GD99">
        <v>18</v>
      </c>
      <c r="GE99">
        <v>-0.35250000000000004</v>
      </c>
      <c r="GF99">
        <v>25</v>
      </c>
      <c r="GG99">
        <v>-5.8874999999999993</v>
      </c>
      <c r="GH99">
        <v>32</v>
      </c>
      <c r="GI99">
        <v>-1.5375000000000001</v>
      </c>
      <c r="GJ99">
        <v>25</v>
      </c>
      <c r="GK99">
        <v>23</v>
      </c>
      <c r="GL99">
        <v>23</v>
      </c>
      <c r="GM99">
        <v>-1.7875000000000019</v>
      </c>
      <c r="GN99">
        <v>28</v>
      </c>
      <c r="GO99">
        <v>-12.25</v>
      </c>
      <c r="GP99">
        <v>18</v>
      </c>
      <c r="GQ99">
        <v>-0.25</v>
      </c>
      <c r="GR99">
        <v>8</v>
      </c>
      <c r="GS99">
        <v>9.3333333333333339</v>
      </c>
      <c r="GT99">
        <v>13</v>
      </c>
      <c r="GU99">
        <v>0.93499999999999939</v>
      </c>
      <c r="GV99">
        <v>16.975000000000001</v>
      </c>
      <c r="GW99">
        <v>0.39999999999999991</v>
      </c>
      <c r="GX99">
        <v>29</v>
      </c>
      <c r="GY99">
        <v>29</v>
      </c>
      <c r="GZ99">
        <v>28</v>
      </c>
      <c r="HA99">
        <v>-2.4</v>
      </c>
      <c r="HB99">
        <v>30</v>
      </c>
      <c r="HC99">
        <v>-0.6875</v>
      </c>
      <c r="HD99">
        <v>-1.7749999999999999</v>
      </c>
      <c r="HE99">
        <v>13</v>
      </c>
      <c r="HF99">
        <v>15</v>
      </c>
      <c r="HG99">
        <v>30</v>
      </c>
      <c r="HH99">
        <v>-6.0960677253048649E-2</v>
      </c>
      <c r="HI99">
        <v>8</v>
      </c>
      <c r="HJ99">
        <v>1.3546783106408947E-2</v>
      </c>
      <c r="HK99">
        <v>15</v>
      </c>
      <c r="HL99">
        <v>-1.3070436507936503E-2</v>
      </c>
      <c r="HM99">
        <v>7</v>
      </c>
      <c r="HN99">
        <v>1.5874999999999999</v>
      </c>
      <c r="HO99">
        <v>-3.7124999999999986</v>
      </c>
      <c r="HP99">
        <v>-3.9124999999999996</v>
      </c>
      <c r="HQ99">
        <v>1.3</v>
      </c>
      <c r="HR99">
        <v>-26.650000000000006</v>
      </c>
      <c r="HS99">
        <v>-21.125</v>
      </c>
      <c r="HT99">
        <v>-2.4624999999999986</v>
      </c>
      <c r="HU99">
        <v>-2.8250000000000002</v>
      </c>
      <c r="HV99">
        <v>-0.23750000000000004</v>
      </c>
      <c r="HW99">
        <v>28</v>
      </c>
      <c r="HX99">
        <v>-7.0749999999999993</v>
      </c>
      <c r="HY99">
        <v>-4.9488750000000001</v>
      </c>
      <c r="HZ99">
        <v>-18.662500000000001</v>
      </c>
      <c r="IA99">
        <v>5</v>
      </c>
      <c r="IB99">
        <v>-1.6578125000000001</v>
      </c>
      <c r="IC99">
        <v>-2.9875000000000003</v>
      </c>
    </row>
    <row r="100" spans="1:237" x14ac:dyDescent="0.2">
      <c r="A100" s="19">
        <v>44129</v>
      </c>
      <c r="B100" s="13" t="s">
        <v>250</v>
      </c>
      <c r="C100" s="41" t="s">
        <v>297</v>
      </c>
      <c r="D100" s="14" t="s">
        <v>287</v>
      </c>
      <c r="E100">
        <v>3.6</v>
      </c>
      <c r="F100">
        <v>7.4</v>
      </c>
      <c r="G100">
        <v>9.8000000000000007</v>
      </c>
      <c r="H100">
        <v>6.2</v>
      </c>
      <c r="I100">
        <v>7.5</v>
      </c>
      <c r="J100">
        <v>48</v>
      </c>
      <c r="L100" t="s">
        <v>297</v>
      </c>
      <c r="M100">
        <v>16</v>
      </c>
      <c r="N100">
        <v>5.5399999999999491E-2</v>
      </c>
      <c r="O100">
        <v>25</v>
      </c>
      <c r="P100">
        <v>22</v>
      </c>
      <c r="Q100">
        <v>24</v>
      </c>
      <c r="R100">
        <v>-2.4659999999999989</v>
      </c>
      <c r="S100">
        <v>31</v>
      </c>
      <c r="T100">
        <v>-5.9300000000000006</v>
      </c>
      <c r="U100">
        <v>32</v>
      </c>
      <c r="V100">
        <v>-52.25</v>
      </c>
      <c r="W100">
        <v>1</v>
      </c>
      <c r="X100">
        <v>2.54</v>
      </c>
      <c r="Y100">
        <v>21</v>
      </c>
      <c r="Z100">
        <v>18.666666666666668</v>
      </c>
      <c r="AA100">
        <v>19</v>
      </c>
      <c r="AB100">
        <v>-1.1459999999999986</v>
      </c>
      <c r="AC100">
        <v>26</v>
      </c>
      <c r="AD100">
        <v>-2.0700000000000003</v>
      </c>
      <c r="AE100">
        <v>30</v>
      </c>
      <c r="AF100">
        <v>-27.22</v>
      </c>
      <c r="AG100">
        <v>7</v>
      </c>
      <c r="AH100">
        <v>1.19</v>
      </c>
      <c r="AI100">
        <v>21</v>
      </c>
      <c r="AJ100">
        <v>19.333333333333332</v>
      </c>
      <c r="AK100">
        <v>23</v>
      </c>
      <c r="AL100">
        <v>-1.3200000000000003</v>
      </c>
      <c r="AM100">
        <v>32</v>
      </c>
      <c r="AN100">
        <v>-3.8600000000000003</v>
      </c>
      <c r="AO100">
        <v>32</v>
      </c>
      <c r="AP100">
        <v>-25.029999999999998</v>
      </c>
      <c r="AQ100">
        <v>3</v>
      </c>
      <c r="AR100">
        <v>1.35</v>
      </c>
      <c r="AS100">
        <v>11</v>
      </c>
      <c r="AT100">
        <v>12.666666666666666</v>
      </c>
      <c r="AU100">
        <v>17</v>
      </c>
      <c r="AV100">
        <v>-0.83500000000000041</v>
      </c>
      <c r="AW100">
        <v>14</v>
      </c>
      <c r="AX100">
        <v>0.54000000000000203</v>
      </c>
      <c r="AY100">
        <v>7</v>
      </c>
      <c r="AZ100">
        <v>1.9099999999999997</v>
      </c>
      <c r="BA100">
        <v>29</v>
      </c>
      <c r="BB100">
        <v>26.333333333333332</v>
      </c>
      <c r="BC100">
        <v>28</v>
      </c>
      <c r="BD100">
        <v>-3.2190000000000003</v>
      </c>
      <c r="BE100">
        <v>28</v>
      </c>
      <c r="BF100">
        <v>-12.309999999999999</v>
      </c>
      <c r="BG100">
        <v>23</v>
      </c>
      <c r="BH100">
        <v>-0.83000000000000007</v>
      </c>
      <c r="BI100">
        <v>9</v>
      </c>
      <c r="BJ100">
        <v>10.666666666666666</v>
      </c>
      <c r="BK100">
        <v>12</v>
      </c>
      <c r="BL100">
        <v>0.98300000000000021</v>
      </c>
      <c r="BM100">
        <v>10</v>
      </c>
      <c r="BN100">
        <v>11.91</v>
      </c>
      <c r="BO100">
        <v>10</v>
      </c>
      <c r="BP100">
        <v>0.79999999999999982</v>
      </c>
      <c r="BQ100">
        <v>8</v>
      </c>
      <c r="BR100">
        <v>9.6666666666666661</v>
      </c>
      <c r="BS100">
        <v>10</v>
      </c>
      <c r="BT100">
        <v>1.4009999999999998</v>
      </c>
      <c r="BU100">
        <v>16</v>
      </c>
      <c r="BV100">
        <v>0.94000000000000061</v>
      </c>
      <c r="BW100">
        <v>3</v>
      </c>
      <c r="BX100">
        <v>1.94</v>
      </c>
      <c r="BY100">
        <v>5</v>
      </c>
      <c r="BZ100">
        <v>6.666666666666667</v>
      </c>
      <c r="CA100">
        <v>8</v>
      </c>
      <c r="CB100">
        <v>2.5969999999999995</v>
      </c>
      <c r="CC100">
        <v>7</v>
      </c>
      <c r="CD100">
        <v>15.069999999999999</v>
      </c>
      <c r="CE100">
        <v>5</v>
      </c>
      <c r="CF100">
        <v>1.65</v>
      </c>
      <c r="CG100">
        <v>25</v>
      </c>
      <c r="CH100">
        <v>25</v>
      </c>
      <c r="CI100">
        <v>29</v>
      </c>
      <c r="CJ100">
        <v>-3.9260000000000006</v>
      </c>
      <c r="CK100">
        <v>-16.82</v>
      </c>
      <c r="CL100">
        <v>-0.28999999999999987</v>
      </c>
      <c r="CM100">
        <v>18</v>
      </c>
      <c r="CN100">
        <v>19.5</v>
      </c>
      <c r="CO100">
        <v>29</v>
      </c>
      <c r="CP100">
        <v>-1.7700000000000002</v>
      </c>
      <c r="CQ100">
        <v>10</v>
      </c>
      <c r="CR100">
        <v>0.38000000000000006</v>
      </c>
      <c r="CS100">
        <v>-3.16</v>
      </c>
      <c r="CT100">
        <v>9</v>
      </c>
      <c r="CU100">
        <v>11.75</v>
      </c>
      <c r="CV100">
        <v>16</v>
      </c>
      <c r="CW100">
        <v>-2.9063460856067038E-3</v>
      </c>
      <c r="CX100">
        <v>15</v>
      </c>
      <c r="CY100">
        <v>-3.9200775257890176E-5</v>
      </c>
      <c r="CZ100">
        <v>11</v>
      </c>
      <c r="DA100">
        <v>-3.4509546009546012E-2</v>
      </c>
      <c r="DB100">
        <v>5</v>
      </c>
      <c r="DC100">
        <v>2.76</v>
      </c>
      <c r="DD100">
        <v>-0.91999999999999882</v>
      </c>
      <c r="DE100">
        <v>-6.13</v>
      </c>
      <c r="DF100">
        <v>-0.90999999999999992</v>
      </c>
      <c r="DG100">
        <v>-27.429999999999996</v>
      </c>
      <c r="DH100">
        <v>26.51</v>
      </c>
      <c r="DI100">
        <v>-59.58</v>
      </c>
      <c r="DJ100">
        <v>4.26</v>
      </c>
      <c r="DK100">
        <v>1.3799999999999997</v>
      </c>
      <c r="DL100">
        <v>12</v>
      </c>
      <c r="DM100">
        <v>2.5213999999999981</v>
      </c>
      <c r="DN100">
        <v>0.29187999999999914</v>
      </c>
      <c r="DO100">
        <v>86.09</v>
      </c>
      <c r="DP100">
        <v>21</v>
      </c>
      <c r="DQ100">
        <v>-1.1176999999999999</v>
      </c>
      <c r="DR100">
        <v>1.6199999999999999</v>
      </c>
      <c r="DS100">
        <v>0.95682187499999993</v>
      </c>
      <c r="DT100">
        <v>0.6643</v>
      </c>
      <c r="DU100" t="s">
        <v>287</v>
      </c>
      <c r="DV100" t="s">
        <v>267</v>
      </c>
      <c r="DW100" t="s">
        <v>502</v>
      </c>
      <c r="DX100">
        <v>2</v>
      </c>
      <c r="DY100">
        <v>5.7722499999999979</v>
      </c>
      <c r="DZ100">
        <v>26</v>
      </c>
      <c r="EA100">
        <v>22.25</v>
      </c>
      <c r="EB100">
        <v>30</v>
      </c>
      <c r="EC100">
        <v>-5.2837500000000004</v>
      </c>
      <c r="ED100">
        <v>29</v>
      </c>
      <c r="EE100">
        <v>-3.4249999999999998</v>
      </c>
      <c r="EF100">
        <v>28</v>
      </c>
      <c r="EG100">
        <v>-22.837500000000002</v>
      </c>
      <c r="EH100">
        <v>2</v>
      </c>
      <c r="EI100">
        <v>1.8000000000000003</v>
      </c>
      <c r="EJ100">
        <v>23</v>
      </c>
      <c r="EK100">
        <v>21</v>
      </c>
      <c r="EL100">
        <v>28</v>
      </c>
      <c r="EM100">
        <v>-3.4862500000000005</v>
      </c>
      <c r="EN100">
        <v>28</v>
      </c>
      <c r="EO100">
        <v>-1.9624999999999995</v>
      </c>
      <c r="EP100">
        <v>27</v>
      </c>
      <c r="EQ100">
        <v>-15.712500000000002</v>
      </c>
      <c r="ER100">
        <v>1</v>
      </c>
      <c r="ES100">
        <v>2.3375000000000004</v>
      </c>
      <c r="ET100">
        <v>30</v>
      </c>
      <c r="EU100">
        <v>25.666666666666668</v>
      </c>
      <c r="EV100">
        <v>29</v>
      </c>
      <c r="EW100">
        <v>-1.7974999999999999</v>
      </c>
      <c r="EX100">
        <v>24</v>
      </c>
      <c r="EY100">
        <v>-1.4625000000000001</v>
      </c>
      <c r="EZ100">
        <v>24</v>
      </c>
      <c r="FA100">
        <v>-7.125</v>
      </c>
      <c r="FB100">
        <v>26</v>
      </c>
      <c r="FC100">
        <v>-0.53750000000000009</v>
      </c>
      <c r="FD100">
        <v>6</v>
      </c>
      <c r="FE100">
        <v>6</v>
      </c>
      <c r="FF100">
        <v>9</v>
      </c>
      <c r="FG100">
        <v>2.7975000000000003</v>
      </c>
      <c r="FH100">
        <v>4</v>
      </c>
      <c r="FI100">
        <v>20.799999999999997</v>
      </c>
      <c r="FJ100">
        <v>5</v>
      </c>
      <c r="FK100">
        <v>1.7124999999999999</v>
      </c>
      <c r="FL100">
        <v>2</v>
      </c>
      <c r="FM100">
        <v>4</v>
      </c>
      <c r="FN100">
        <v>6</v>
      </c>
      <c r="FO100">
        <v>4.222500000000001</v>
      </c>
      <c r="FP100">
        <v>2</v>
      </c>
      <c r="FQ100">
        <v>24.262499999999999</v>
      </c>
      <c r="FR100">
        <v>4</v>
      </c>
      <c r="FS100">
        <v>2.0749999999999997</v>
      </c>
      <c r="FT100">
        <v>21</v>
      </c>
      <c r="FU100">
        <v>20.666666666666668</v>
      </c>
      <c r="FV100">
        <v>15</v>
      </c>
      <c r="FW100">
        <v>-0.43625000000000003</v>
      </c>
      <c r="FX100">
        <v>18</v>
      </c>
      <c r="FY100">
        <v>-1.0875000000000004</v>
      </c>
      <c r="FZ100">
        <v>29</v>
      </c>
      <c r="GA100">
        <v>-0.7</v>
      </c>
      <c r="GB100">
        <v>16</v>
      </c>
      <c r="GC100">
        <v>16.666666666666668</v>
      </c>
      <c r="GD100">
        <v>22</v>
      </c>
      <c r="GE100">
        <v>-0.98875000000000057</v>
      </c>
      <c r="GF100">
        <v>18</v>
      </c>
      <c r="GG100">
        <v>-2.375</v>
      </c>
      <c r="GH100">
        <v>10</v>
      </c>
      <c r="GI100">
        <v>0.33750000000000002</v>
      </c>
      <c r="GJ100">
        <v>2</v>
      </c>
      <c r="GK100">
        <v>4</v>
      </c>
      <c r="GL100">
        <v>1</v>
      </c>
      <c r="GM100">
        <v>9.1475000000000009</v>
      </c>
      <c r="GN100">
        <v>1</v>
      </c>
      <c r="GO100">
        <v>31.099999999999998</v>
      </c>
      <c r="GP100">
        <v>10</v>
      </c>
      <c r="GQ100">
        <v>1.2000000000000002</v>
      </c>
      <c r="GR100">
        <v>2</v>
      </c>
      <c r="GS100">
        <v>4.666666666666667</v>
      </c>
      <c r="GT100">
        <v>5</v>
      </c>
      <c r="GU100">
        <v>3.2462499999999994</v>
      </c>
      <c r="GV100">
        <v>10.3375</v>
      </c>
      <c r="GW100">
        <v>1.3000000000000003</v>
      </c>
      <c r="GX100">
        <v>2</v>
      </c>
      <c r="GY100">
        <v>2</v>
      </c>
      <c r="GZ100">
        <v>2</v>
      </c>
      <c r="HA100">
        <v>3.4624999999999999</v>
      </c>
      <c r="HB100">
        <v>2</v>
      </c>
      <c r="HC100">
        <v>1.1125</v>
      </c>
      <c r="HD100">
        <v>-0.29999999999999982</v>
      </c>
      <c r="HE100">
        <v>7</v>
      </c>
      <c r="HF100">
        <v>11.75</v>
      </c>
      <c r="HG100">
        <v>6</v>
      </c>
      <c r="HH100">
        <v>2.9528823051633998E-2</v>
      </c>
      <c r="HI100">
        <v>21</v>
      </c>
      <c r="HJ100">
        <v>-5.9668329971730586E-3</v>
      </c>
      <c r="HK100">
        <v>3</v>
      </c>
      <c r="HL100">
        <v>-0.10867153679653678</v>
      </c>
      <c r="HM100">
        <v>17</v>
      </c>
      <c r="HN100">
        <v>-0.35000000000000009</v>
      </c>
      <c r="HO100">
        <v>1.7124999999999986</v>
      </c>
      <c r="HP100">
        <v>1.2124999999999995</v>
      </c>
      <c r="HQ100">
        <v>-0.8</v>
      </c>
      <c r="HR100">
        <v>7.0499999999999972</v>
      </c>
      <c r="HS100">
        <v>24.712500000000006</v>
      </c>
      <c r="HT100">
        <v>-19.512499999999999</v>
      </c>
      <c r="HU100">
        <v>-2.5124999999999997</v>
      </c>
      <c r="HV100">
        <v>4.3624999999999998</v>
      </c>
      <c r="HW100">
        <v>3</v>
      </c>
      <c r="HX100">
        <v>11.055999999999997</v>
      </c>
      <c r="HY100">
        <v>5.0050749999999997</v>
      </c>
      <c r="HZ100">
        <v>44.225000000000009</v>
      </c>
      <c r="IA100">
        <v>30</v>
      </c>
      <c r="IB100">
        <v>1.2493437499999998</v>
      </c>
      <c r="IC100">
        <v>3.0125000000000002</v>
      </c>
    </row>
    <row r="101" spans="1:237" x14ac:dyDescent="0.2">
      <c r="A101" s="19">
        <v>44129</v>
      </c>
      <c r="B101" s="13" t="s">
        <v>250</v>
      </c>
      <c r="C101" s="41" t="s">
        <v>288</v>
      </c>
      <c r="D101" s="14" t="s">
        <v>278</v>
      </c>
      <c r="E101">
        <v>17.5</v>
      </c>
      <c r="F101">
        <v>9</v>
      </c>
      <c r="G101">
        <v>1.4</v>
      </c>
      <c r="H101">
        <v>6.1</v>
      </c>
      <c r="I101">
        <v>-7</v>
      </c>
      <c r="J101">
        <v>45.5</v>
      </c>
      <c r="K101" t="s">
        <v>735</v>
      </c>
      <c r="L101" t="s">
        <v>288</v>
      </c>
      <c r="M101">
        <v>6</v>
      </c>
      <c r="N101">
        <v>5.9039999999999999</v>
      </c>
      <c r="O101">
        <v>22</v>
      </c>
      <c r="P101">
        <v>20</v>
      </c>
      <c r="Q101">
        <v>25</v>
      </c>
      <c r="R101">
        <v>-2.4750000000000023</v>
      </c>
      <c r="S101">
        <v>19</v>
      </c>
      <c r="T101">
        <v>-0.37999999999999967</v>
      </c>
      <c r="U101">
        <v>19</v>
      </c>
      <c r="V101">
        <v>-5.0000000000000018</v>
      </c>
      <c r="W101">
        <v>17</v>
      </c>
      <c r="X101">
        <v>-0.17000000000000004</v>
      </c>
      <c r="Y101">
        <v>20</v>
      </c>
      <c r="Z101">
        <v>18</v>
      </c>
      <c r="AA101">
        <v>24</v>
      </c>
      <c r="AB101">
        <v>-2.3550000000000022</v>
      </c>
      <c r="AC101">
        <v>14</v>
      </c>
      <c r="AD101">
        <v>1.1900000000000002</v>
      </c>
      <c r="AE101">
        <v>14</v>
      </c>
      <c r="AF101">
        <v>4.9699999999999989</v>
      </c>
      <c r="AG101">
        <v>16</v>
      </c>
      <c r="AH101">
        <v>0.05</v>
      </c>
      <c r="AI101">
        <v>23</v>
      </c>
      <c r="AJ101">
        <v>21.666666666666668</v>
      </c>
      <c r="AK101">
        <v>15</v>
      </c>
      <c r="AL101">
        <v>-0.11999999999999993</v>
      </c>
      <c r="AM101">
        <v>26</v>
      </c>
      <c r="AN101">
        <v>-1.5699999999999998</v>
      </c>
      <c r="AO101">
        <v>31</v>
      </c>
      <c r="AP101">
        <v>-9.9700000000000006</v>
      </c>
      <c r="AQ101">
        <v>19</v>
      </c>
      <c r="AR101">
        <v>-0.22000000000000003</v>
      </c>
      <c r="AS101">
        <v>17</v>
      </c>
      <c r="AT101">
        <v>17.666666666666668</v>
      </c>
      <c r="AU101">
        <v>13</v>
      </c>
      <c r="AV101">
        <v>0.84800000000000009</v>
      </c>
      <c r="AW101">
        <v>18</v>
      </c>
      <c r="AX101">
        <v>-7.6100000000000039</v>
      </c>
      <c r="AY101">
        <v>22</v>
      </c>
      <c r="AZ101">
        <v>-1.5699999999999998</v>
      </c>
      <c r="BA101">
        <v>20</v>
      </c>
      <c r="BB101">
        <v>20.666666666666668</v>
      </c>
      <c r="BC101">
        <v>16</v>
      </c>
      <c r="BD101">
        <v>0.3079999999999995</v>
      </c>
      <c r="BE101">
        <v>19</v>
      </c>
      <c r="BF101">
        <v>-3.1200000000000019</v>
      </c>
      <c r="BG101">
        <v>27</v>
      </c>
      <c r="BH101">
        <v>-1.0799999999999998</v>
      </c>
      <c r="BI101">
        <v>19</v>
      </c>
      <c r="BJ101">
        <v>17.333333333333332</v>
      </c>
      <c r="BK101">
        <v>14</v>
      </c>
      <c r="BL101">
        <v>-3.1999999999999321E-2</v>
      </c>
      <c r="BM101">
        <v>20</v>
      </c>
      <c r="BN101">
        <v>-3.6700000000000017</v>
      </c>
      <c r="BO101">
        <v>18</v>
      </c>
      <c r="BP101">
        <v>-0.41</v>
      </c>
      <c r="BQ101">
        <v>16</v>
      </c>
      <c r="BR101">
        <v>16.666666666666668</v>
      </c>
      <c r="BS101">
        <v>15</v>
      </c>
      <c r="BT101">
        <v>0.57199999999999995</v>
      </c>
      <c r="BU101">
        <v>17</v>
      </c>
      <c r="BV101">
        <v>-0.82000000000000028</v>
      </c>
      <c r="BW101">
        <v>18</v>
      </c>
      <c r="BX101">
        <v>-7.9999999999999988E-2</v>
      </c>
      <c r="BY101">
        <v>6</v>
      </c>
      <c r="BZ101">
        <v>8</v>
      </c>
      <c r="CA101">
        <v>6</v>
      </c>
      <c r="CB101">
        <v>4.456999999999999</v>
      </c>
      <c r="CC101">
        <v>5</v>
      </c>
      <c r="CD101">
        <v>15.570000000000002</v>
      </c>
      <c r="CE101">
        <v>13</v>
      </c>
      <c r="CF101">
        <v>0.26000000000000012</v>
      </c>
      <c r="CG101">
        <v>2</v>
      </c>
      <c r="CH101">
        <v>2</v>
      </c>
      <c r="CI101">
        <v>2</v>
      </c>
      <c r="CJ101">
        <v>8.588000000000001</v>
      </c>
      <c r="CK101">
        <v>38.18</v>
      </c>
      <c r="CL101">
        <v>3.29</v>
      </c>
      <c r="CM101">
        <v>25</v>
      </c>
      <c r="CN101">
        <v>22.5</v>
      </c>
      <c r="CO101">
        <v>22</v>
      </c>
      <c r="CP101">
        <v>-1.0399999999999998</v>
      </c>
      <c r="CQ101">
        <v>23</v>
      </c>
      <c r="CR101">
        <v>-0.33999999999999997</v>
      </c>
      <c r="CS101">
        <v>0.86999999999999988</v>
      </c>
      <c r="CT101">
        <v>15</v>
      </c>
      <c r="CU101">
        <v>17.5</v>
      </c>
      <c r="CV101">
        <v>7</v>
      </c>
      <c r="CW101">
        <v>4.407042096704207E-2</v>
      </c>
      <c r="CX101">
        <v>30</v>
      </c>
      <c r="CY101">
        <v>-2.2993206368968247E-2</v>
      </c>
      <c r="CZ101">
        <v>9</v>
      </c>
      <c r="DA101">
        <v>-5.0192099567099559E-2</v>
      </c>
      <c r="DB101">
        <v>24</v>
      </c>
      <c r="DC101">
        <v>-1.47</v>
      </c>
      <c r="DD101">
        <v>3.4700000000000015</v>
      </c>
      <c r="DE101">
        <v>0.8899999999999999</v>
      </c>
      <c r="DF101">
        <v>0.7</v>
      </c>
      <c r="DG101">
        <v>40.720000000000006</v>
      </c>
      <c r="DH101">
        <v>22.25</v>
      </c>
      <c r="DI101">
        <v>0.75</v>
      </c>
      <c r="DJ101">
        <v>4.8</v>
      </c>
      <c r="DK101">
        <v>12.919999999999998</v>
      </c>
      <c r="DL101">
        <v>4</v>
      </c>
      <c r="DM101">
        <v>8.3790000000000013</v>
      </c>
      <c r="DN101">
        <v>4.3055000000000021</v>
      </c>
      <c r="DO101">
        <v>21.5</v>
      </c>
      <c r="DP101">
        <v>29</v>
      </c>
      <c r="DQ101">
        <v>1.4781249999999999</v>
      </c>
      <c r="DR101">
        <v>1.7200000000000002</v>
      </c>
      <c r="DS101">
        <v>-0.35693124999999992</v>
      </c>
      <c r="DT101">
        <v>-1.0641749999999999</v>
      </c>
      <c r="DU101" t="s">
        <v>278</v>
      </c>
      <c r="DV101" t="s">
        <v>240</v>
      </c>
      <c r="DW101" t="s">
        <v>540</v>
      </c>
      <c r="DX101">
        <v>4</v>
      </c>
      <c r="DY101">
        <v>4.7837499999999995</v>
      </c>
      <c r="DZ101">
        <v>31</v>
      </c>
      <c r="EA101">
        <v>27.75</v>
      </c>
      <c r="EB101">
        <v>32</v>
      </c>
      <c r="EC101">
        <v>-6.6262499999999989</v>
      </c>
      <c r="ED101">
        <v>30</v>
      </c>
      <c r="EE101">
        <v>-4.3249999999999993</v>
      </c>
      <c r="EF101">
        <v>31</v>
      </c>
      <c r="EG101">
        <v>-35.362499999999997</v>
      </c>
      <c r="EH101">
        <v>18</v>
      </c>
      <c r="EI101">
        <v>-1.2500000000000067E-2</v>
      </c>
      <c r="EJ101">
        <v>29</v>
      </c>
      <c r="EK101">
        <v>24</v>
      </c>
      <c r="EL101">
        <v>26</v>
      </c>
      <c r="EM101">
        <v>-3.0674999999999999</v>
      </c>
      <c r="EN101">
        <v>29</v>
      </c>
      <c r="EO101">
        <v>-1.9624999999999999</v>
      </c>
      <c r="EP101">
        <v>28</v>
      </c>
      <c r="EQ101">
        <v>-16.412500000000001</v>
      </c>
      <c r="ER101">
        <v>13</v>
      </c>
      <c r="ES101">
        <v>6.25E-2</v>
      </c>
      <c r="ET101">
        <v>32</v>
      </c>
      <c r="EU101">
        <v>31</v>
      </c>
      <c r="EV101">
        <v>32</v>
      </c>
      <c r="EW101">
        <v>-3.5587499999999994</v>
      </c>
      <c r="EX101">
        <v>29</v>
      </c>
      <c r="EY101">
        <v>-2.3624999999999998</v>
      </c>
      <c r="EZ101">
        <v>32</v>
      </c>
      <c r="FA101">
        <v>-18.95</v>
      </c>
      <c r="FB101">
        <v>17</v>
      </c>
      <c r="FC101">
        <v>-7.5000000000000067E-2</v>
      </c>
      <c r="FD101">
        <v>10</v>
      </c>
      <c r="FE101">
        <v>11</v>
      </c>
      <c r="FF101">
        <v>11</v>
      </c>
      <c r="FG101">
        <v>2.0549999999999997</v>
      </c>
      <c r="FH101">
        <v>10</v>
      </c>
      <c r="FI101">
        <v>9.0999999999999979</v>
      </c>
      <c r="FJ101">
        <v>12</v>
      </c>
      <c r="FK101">
        <v>0.76249999999999996</v>
      </c>
      <c r="FL101">
        <v>17</v>
      </c>
      <c r="FM101">
        <v>17</v>
      </c>
      <c r="FN101">
        <v>22</v>
      </c>
      <c r="FO101">
        <v>-2.0750000000000011</v>
      </c>
      <c r="FP101">
        <v>21</v>
      </c>
      <c r="FQ101">
        <v>-5.3500000000000014</v>
      </c>
      <c r="FR101">
        <v>8</v>
      </c>
      <c r="FS101">
        <v>0.875</v>
      </c>
      <c r="FT101">
        <v>13</v>
      </c>
      <c r="FU101">
        <v>15.666666666666666</v>
      </c>
      <c r="FV101">
        <v>10</v>
      </c>
      <c r="FW101">
        <v>1.8150000000000002</v>
      </c>
      <c r="FX101">
        <v>20</v>
      </c>
      <c r="FY101">
        <v>-1.7250000000000014</v>
      </c>
      <c r="FZ101">
        <v>17</v>
      </c>
      <c r="GA101">
        <v>-5.0000000000000044E-2</v>
      </c>
      <c r="GB101">
        <v>6</v>
      </c>
      <c r="GC101">
        <v>7</v>
      </c>
      <c r="GD101">
        <v>4</v>
      </c>
      <c r="GE101">
        <v>2.3150000000000004</v>
      </c>
      <c r="GF101">
        <v>2</v>
      </c>
      <c r="GG101">
        <v>16.175000000000001</v>
      </c>
      <c r="GH101">
        <v>15</v>
      </c>
      <c r="GI101">
        <v>-6.25E-2</v>
      </c>
      <c r="GJ101">
        <v>18</v>
      </c>
      <c r="GK101">
        <v>19.333333333333332</v>
      </c>
      <c r="GL101">
        <v>22</v>
      </c>
      <c r="GM101">
        <v>-1.7599999999999998</v>
      </c>
      <c r="GN101">
        <v>17</v>
      </c>
      <c r="GO101">
        <v>-0.35000000000000142</v>
      </c>
      <c r="GP101">
        <v>19</v>
      </c>
      <c r="GQ101">
        <v>-0.32499999999999973</v>
      </c>
      <c r="GR101">
        <v>15</v>
      </c>
      <c r="GS101">
        <v>14.333333333333334</v>
      </c>
      <c r="GT101">
        <v>17</v>
      </c>
      <c r="GU101">
        <v>0.1900000000000005</v>
      </c>
      <c r="GV101">
        <v>6.4</v>
      </c>
      <c r="GW101">
        <v>0.16249999999999998</v>
      </c>
      <c r="GX101">
        <v>5</v>
      </c>
      <c r="GY101">
        <v>6</v>
      </c>
      <c r="GZ101">
        <v>5</v>
      </c>
      <c r="HA101">
        <v>2.4</v>
      </c>
      <c r="HB101">
        <v>7</v>
      </c>
      <c r="HC101">
        <v>0.73750000000000004</v>
      </c>
      <c r="HD101">
        <v>2.4750000000000001</v>
      </c>
      <c r="HE101">
        <v>4</v>
      </c>
      <c r="HF101">
        <v>8</v>
      </c>
      <c r="HG101">
        <v>8</v>
      </c>
      <c r="HH101">
        <v>2.1927708873742499E-2</v>
      </c>
      <c r="HI101">
        <v>3</v>
      </c>
      <c r="HJ101">
        <v>2.8276342250716714E-2</v>
      </c>
      <c r="HK101">
        <v>9</v>
      </c>
      <c r="HL101">
        <v>-3.5595238095238096E-2</v>
      </c>
      <c r="HM101">
        <v>12</v>
      </c>
      <c r="HN101">
        <v>0.62499999999999978</v>
      </c>
      <c r="HO101">
        <v>-2.3625000000000007</v>
      </c>
      <c r="HP101">
        <v>-1.875</v>
      </c>
      <c r="HQ101">
        <v>0.51249999999999996</v>
      </c>
      <c r="HR101">
        <v>-1.6375000000000028</v>
      </c>
      <c r="HS101">
        <v>22.637500000000003</v>
      </c>
      <c r="HT101">
        <v>-39.537499999999994</v>
      </c>
      <c r="HU101">
        <v>-7.9874999999999998</v>
      </c>
      <c r="HV101">
        <v>23.25</v>
      </c>
      <c r="HW101">
        <v>2</v>
      </c>
      <c r="HX101">
        <v>11.409999999999998</v>
      </c>
      <c r="HY101">
        <v>4.7188749999999988</v>
      </c>
      <c r="HZ101">
        <v>62.174999999999997</v>
      </c>
      <c r="IA101">
        <v>31</v>
      </c>
      <c r="IB101">
        <v>0.35031249999999997</v>
      </c>
      <c r="IC101">
        <v>0.92499999999999993</v>
      </c>
    </row>
    <row r="102" spans="1:237" x14ac:dyDescent="0.2">
      <c r="A102" s="19">
        <v>44129</v>
      </c>
      <c r="B102" s="13" t="s">
        <v>250</v>
      </c>
      <c r="C102" s="41" t="s">
        <v>303</v>
      </c>
      <c r="D102" s="14" t="s">
        <v>284</v>
      </c>
      <c r="E102">
        <v>6.5</v>
      </c>
      <c r="F102">
        <v>24.7</v>
      </c>
      <c r="G102">
        <v>8.1999999999999993</v>
      </c>
      <c r="H102">
        <v>17</v>
      </c>
      <c r="I102">
        <v>4</v>
      </c>
      <c r="J102">
        <v>52.5</v>
      </c>
      <c r="L102" t="s">
        <v>303</v>
      </c>
      <c r="M102">
        <v>11</v>
      </c>
      <c r="N102">
        <v>1.2760000000000016</v>
      </c>
      <c r="O102">
        <v>14</v>
      </c>
      <c r="P102">
        <v>15</v>
      </c>
      <c r="Q102">
        <v>20</v>
      </c>
      <c r="R102">
        <v>-0.49500000000000044</v>
      </c>
      <c r="S102">
        <v>14</v>
      </c>
      <c r="T102">
        <v>0.77500000000000036</v>
      </c>
      <c r="U102">
        <v>14</v>
      </c>
      <c r="V102">
        <v>2.9249999999999989</v>
      </c>
      <c r="W102">
        <v>12</v>
      </c>
      <c r="X102">
        <v>0.52500000000000002</v>
      </c>
      <c r="Y102">
        <v>18</v>
      </c>
      <c r="Z102">
        <v>16.333333333333332</v>
      </c>
      <c r="AA102">
        <v>17</v>
      </c>
      <c r="AB102">
        <v>-0.30750000000000011</v>
      </c>
      <c r="AC102">
        <v>2</v>
      </c>
      <c r="AD102">
        <v>4.1375000000000002</v>
      </c>
      <c r="AE102">
        <v>17</v>
      </c>
      <c r="AF102">
        <v>1.2999999999999989</v>
      </c>
      <c r="AG102">
        <v>15</v>
      </c>
      <c r="AH102">
        <v>8.7500000000000022E-2</v>
      </c>
      <c r="AI102">
        <v>9</v>
      </c>
      <c r="AJ102">
        <v>12.666666666666666</v>
      </c>
      <c r="AK102">
        <v>17</v>
      </c>
      <c r="AL102">
        <v>-0.18750000000000033</v>
      </c>
      <c r="AM102">
        <v>31</v>
      </c>
      <c r="AN102">
        <v>-3.3624999999999998</v>
      </c>
      <c r="AO102">
        <v>11</v>
      </c>
      <c r="AP102">
        <v>1.625</v>
      </c>
      <c r="AQ102">
        <v>10</v>
      </c>
      <c r="AR102">
        <v>0.4375</v>
      </c>
      <c r="AS102">
        <v>22</v>
      </c>
      <c r="AT102">
        <v>20.666666666666668</v>
      </c>
      <c r="AU102">
        <v>20</v>
      </c>
      <c r="AV102">
        <v>-1.7475000000000003</v>
      </c>
      <c r="AW102">
        <v>13</v>
      </c>
      <c r="AX102">
        <v>2.1499999999999968</v>
      </c>
      <c r="AY102">
        <v>29</v>
      </c>
      <c r="AZ102">
        <v>-3.0750000000000002</v>
      </c>
      <c r="BA102">
        <v>16</v>
      </c>
      <c r="BB102">
        <v>18.333333333333332</v>
      </c>
      <c r="BC102">
        <v>22</v>
      </c>
      <c r="BD102">
        <v>-0.69500000000000073</v>
      </c>
      <c r="BE102">
        <v>13</v>
      </c>
      <c r="BF102">
        <v>5.5499999999999972</v>
      </c>
      <c r="BG102">
        <v>20</v>
      </c>
      <c r="BH102">
        <v>-0.66249999999999987</v>
      </c>
      <c r="BI102">
        <v>25</v>
      </c>
      <c r="BJ102">
        <v>25.666666666666668</v>
      </c>
      <c r="BK102">
        <v>21</v>
      </c>
      <c r="BL102">
        <v>-1.7174999999999996</v>
      </c>
      <c r="BM102">
        <v>24</v>
      </c>
      <c r="BN102">
        <v>-12.675000000000001</v>
      </c>
      <c r="BO102">
        <v>32</v>
      </c>
      <c r="BP102">
        <v>-2.6500000000000004</v>
      </c>
      <c r="BQ102">
        <v>12</v>
      </c>
      <c r="BR102">
        <v>13</v>
      </c>
      <c r="BS102">
        <v>14</v>
      </c>
      <c r="BT102">
        <v>0.66500000000000026</v>
      </c>
      <c r="BU102">
        <v>9</v>
      </c>
      <c r="BV102">
        <v>9.2750000000000004</v>
      </c>
      <c r="BW102">
        <v>16</v>
      </c>
      <c r="BX102">
        <v>0.23749999999999993</v>
      </c>
      <c r="BY102">
        <v>26</v>
      </c>
      <c r="BZ102">
        <v>25.666666666666668</v>
      </c>
      <c r="CA102">
        <v>24</v>
      </c>
      <c r="CB102">
        <v>-4.0262500000000001</v>
      </c>
      <c r="CC102">
        <v>25</v>
      </c>
      <c r="CD102">
        <v>-19.137499999999999</v>
      </c>
      <c r="CE102">
        <v>28</v>
      </c>
      <c r="CF102">
        <v>-1.6999999999999997</v>
      </c>
      <c r="CG102">
        <v>4</v>
      </c>
      <c r="CH102">
        <v>4</v>
      </c>
      <c r="CI102">
        <v>5</v>
      </c>
      <c r="CJ102">
        <v>4.3537499999999998</v>
      </c>
      <c r="CK102">
        <v>16.912500000000001</v>
      </c>
      <c r="CL102">
        <v>3.2750000000000004</v>
      </c>
      <c r="CM102">
        <v>6</v>
      </c>
      <c r="CN102">
        <v>6.5</v>
      </c>
      <c r="CO102">
        <v>6</v>
      </c>
      <c r="CP102">
        <v>1.8375000000000001</v>
      </c>
      <c r="CQ102">
        <v>7</v>
      </c>
      <c r="CR102">
        <v>0.53749999999999998</v>
      </c>
      <c r="CS102">
        <v>-2.65</v>
      </c>
      <c r="CT102">
        <v>21</v>
      </c>
      <c r="CU102">
        <v>19.75</v>
      </c>
      <c r="CV102">
        <v>22</v>
      </c>
      <c r="CW102">
        <v>-2.1755232689819839E-2</v>
      </c>
      <c r="CX102">
        <v>20</v>
      </c>
      <c r="CY102">
        <v>-1.9052633599658478E-3</v>
      </c>
      <c r="CZ102">
        <v>27</v>
      </c>
      <c r="DA102">
        <v>8.6178404928404923E-2</v>
      </c>
      <c r="DB102">
        <v>10</v>
      </c>
      <c r="DC102">
        <v>1.2000000000000002</v>
      </c>
      <c r="DD102">
        <v>3.5750000000000028</v>
      </c>
      <c r="DE102">
        <v>3.0125000000000002</v>
      </c>
      <c r="DF102">
        <v>-0.78749999999999998</v>
      </c>
      <c r="DG102">
        <v>43.962500000000006</v>
      </c>
      <c r="DH102">
        <v>52.712499999999999</v>
      </c>
      <c r="DI102">
        <v>7</v>
      </c>
      <c r="DJ102">
        <v>-3.3</v>
      </c>
      <c r="DK102">
        <v>-12.45</v>
      </c>
      <c r="DL102">
        <v>14</v>
      </c>
      <c r="DM102">
        <v>1.7710000000000021</v>
      </c>
      <c r="DN102">
        <v>1.0239500000000006</v>
      </c>
      <c r="DO102">
        <v>45.712499999999999</v>
      </c>
      <c r="DP102">
        <v>19</v>
      </c>
      <c r="DQ102">
        <v>0.65309375000000014</v>
      </c>
      <c r="DR102">
        <v>0.20000000000000018</v>
      </c>
      <c r="DS102">
        <v>-1.0976749999999997</v>
      </c>
      <c r="DT102">
        <v>-0.34924999999999984</v>
      </c>
      <c r="DU102" t="s">
        <v>284</v>
      </c>
      <c r="DV102" t="s">
        <v>243</v>
      </c>
      <c r="DW102" t="s">
        <v>486</v>
      </c>
      <c r="DX102">
        <v>30</v>
      </c>
      <c r="DY102">
        <v>-5.0648</v>
      </c>
      <c r="DZ102">
        <v>30</v>
      </c>
      <c r="EA102">
        <v>26</v>
      </c>
      <c r="EB102">
        <v>31</v>
      </c>
      <c r="EC102">
        <v>-5.5279999999999987</v>
      </c>
      <c r="ED102">
        <v>32</v>
      </c>
      <c r="EE102">
        <v>-7.41</v>
      </c>
      <c r="EF102">
        <v>32</v>
      </c>
      <c r="EG102">
        <v>-48.769999999999996</v>
      </c>
      <c r="EH102">
        <v>9</v>
      </c>
      <c r="EI102">
        <v>0.77</v>
      </c>
      <c r="EJ102">
        <v>32</v>
      </c>
      <c r="EK102">
        <v>28.25</v>
      </c>
      <c r="EL102">
        <v>32</v>
      </c>
      <c r="EM102">
        <v>-5.661999999999999</v>
      </c>
      <c r="EN102">
        <v>32</v>
      </c>
      <c r="EO102">
        <v>-5.25</v>
      </c>
      <c r="EP102">
        <v>32</v>
      </c>
      <c r="EQ102">
        <v>-37.739999999999995</v>
      </c>
      <c r="ER102">
        <v>17</v>
      </c>
      <c r="ES102">
        <v>-0.11999999999999993</v>
      </c>
      <c r="ET102">
        <v>24</v>
      </c>
      <c r="EU102">
        <v>23.333333333333332</v>
      </c>
      <c r="EV102">
        <v>13</v>
      </c>
      <c r="EW102">
        <v>0.13400000000000017</v>
      </c>
      <c r="EX102">
        <v>27</v>
      </c>
      <c r="EY102">
        <v>-2.16</v>
      </c>
      <c r="EZ102">
        <v>30</v>
      </c>
      <c r="FA102">
        <v>-11.030000000000001</v>
      </c>
      <c r="FB102">
        <v>4</v>
      </c>
      <c r="FC102">
        <v>0.8899999999999999</v>
      </c>
      <c r="FD102">
        <v>8</v>
      </c>
      <c r="FE102">
        <v>8.3333333333333339</v>
      </c>
      <c r="FF102">
        <v>10</v>
      </c>
      <c r="FG102">
        <v>2.0679999999999996</v>
      </c>
      <c r="FH102">
        <v>13</v>
      </c>
      <c r="FI102">
        <v>5.3099999999999969</v>
      </c>
      <c r="FJ102">
        <v>2</v>
      </c>
      <c r="FK102">
        <v>2.14</v>
      </c>
      <c r="FL102">
        <v>11</v>
      </c>
      <c r="FM102">
        <v>11.666666666666666</v>
      </c>
      <c r="FN102">
        <v>17</v>
      </c>
      <c r="FO102">
        <v>-0.2000000000000007</v>
      </c>
      <c r="FP102">
        <v>16</v>
      </c>
      <c r="FQ102">
        <v>-0.18000000000000113</v>
      </c>
      <c r="FR102">
        <v>2</v>
      </c>
      <c r="FS102">
        <v>2.46</v>
      </c>
      <c r="FT102">
        <v>10</v>
      </c>
      <c r="FU102">
        <v>11.666666666666666</v>
      </c>
      <c r="FV102">
        <v>11</v>
      </c>
      <c r="FW102">
        <v>1.7170000000000001</v>
      </c>
      <c r="FX102">
        <v>8</v>
      </c>
      <c r="FY102">
        <v>5.5299999999999994</v>
      </c>
      <c r="FZ102">
        <v>16</v>
      </c>
      <c r="GA102">
        <v>-9.9999999999999638E-3</v>
      </c>
      <c r="GB102">
        <v>16</v>
      </c>
      <c r="GC102">
        <v>16.666666666666668</v>
      </c>
      <c r="GD102">
        <v>13</v>
      </c>
      <c r="GE102">
        <v>0.55100000000000038</v>
      </c>
      <c r="GF102">
        <v>14</v>
      </c>
      <c r="GG102">
        <v>-4.000000000000057E-2</v>
      </c>
      <c r="GH102">
        <v>23</v>
      </c>
      <c r="GI102">
        <v>-0.31000000000000005</v>
      </c>
      <c r="GJ102">
        <v>10</v>
      </c>
      <c r="GK102">
        <v>9.6666666666666661</v>
      </c>
      <c r="GL102">
        <v>14</v>
      </c>
      <c r="GM102">
        <v>0.40499999999999969</v>
      </c>
      <c r="GN102">
        <v>9</v>
      </c>
      <c r="GO102">
        <v>10.35</v>
      </c>
      <c r="GP102">
        <v>6</v>
      </c>
      <c r="GQ102">
        <v>1.3700000000000003</v>
      </c>
      <c r="GR102">
        <v>29</v>
      </c>
      <c r="GS102">
        <v>27</v>
      </c>
      <c r="GT102">
        <v>29</v>
      </c>
      <c r="GU102">
        <v>-3.5539999999999994</v>
      </c>
      <c r="GV102">
        <v>-8.24</v>
      </c>
      <c r="GW102">
        <v>-0.63</v>
      </c>
      <c r="GX102">
        <v>31</v>
      </c>
      <c r="GY102">
        <v>30</v>
      </c>
      <c r="GZ102">
        <v>29</v>
      </c>
      <c r="HA102">
        <v>-2.6900000000000004</v>
      </c>
      <c r="HB102">
        <v>31</v>
      </c>
      <c r="HC102">
        <v>-0.9</v>
      </c>
      <c r="HD102">
        <v>-2.2600000000000002</v>
      </c>
      <c r="HE102">
        <v>5</v>
      </c>
      <c r="HF102">
        <v>8.25</v>
      </c>
      <c r="HG102">
        <v>1</v>
      </c>
      <c r="HH102">
        <v>8.7770006152495639E-2</v>
      </c>
      <c r="HI102">
        <v>2</v>
      </c>
      <c r="HJ102">
        <v>3.3965587745336555E-2</v>
      </c>
      <c r="HK102">
        <v>29</v>
      </c>
      <c r="HL102">
        <v>8.7733081074412397E-2</v>
      </c>
      <c r="HM102">
        <v>1</v>
      </c>
      <c r="HN102">
        <v>6.04</v>
      </c>
      <c r="HO102">
        <v>-3.9099999999999993</v>
      </c>
      <c r="HP102">
        <v>-6.4099999999999993</v>
      </c>
      <c r="HQ102">
        <v>0.7</v>
      </c>
      <c r="HR102">
        <v>-51.030000000000008</v>
      </c>
      <c r="HS102">
        <v>-3.369999999999993</v>
      </c>
      <c r="HT102">
        <v>-43.910000000000004</v>
      </c>
      <c r="HU102">
        <v>0.15</v>
      </c>
      <c r="HV102">
        <v>-3.9</v>
      </c>
      <c r="HW102">
        <v>15</v>
      </c>
      <c r="HX102">
        <v>0.46319999999999872</v>
      </c>
      <c r="HY102">
        <v>1.4538399999999994</v>
      </c>
      <c r="HZ102">
        <v>40.540000000000013</v>
      </c>
      <c r="IA102">
        <v>18</v>
      </c>
      <c r="IB102">
        <v>-1.8460999999999999</v>
      </c>
      <c r="IC102">
        <v>1.5100000000000002</v>
      </c>
    </row>
    <row r="103" spans="1:237" x14ac:dyDescent="0.2">
      <c r="A103" s="19">
        <v>44129</v>
      </c>
      <c r="B103" s="13" t="s">
        <v>250</v>
      </c>
      <c r="C103" s="41" t="s">
        <v>287</v>
      </c>
      <c r="D103" s="14" t="s">
        <v>297</v>
      </c>
      <c r="E103">
        <v>25.5</v>
      </c>
      <c r="F103">
        <v>16.399999999999999</v>
      </c>
      <c r="G103">
        <v>1.4</v>
      </c>
      <c r="H103">
        <v>5.3</v>
      </c>
      <c r="I103">
        <v>-7.5</v>
      </c>
      <c r="J103">
        <v>48</v>
      </c>
      <c r="L103" t="s">
        <v>287</v>
      </c>
      <c r="M103">
        <v>5</v>
      </c>
      <c r="N103">
        <v>6.0275000000000007</v>
      </c>
      <c r="O103">
        <v>6</v>
      </c>
      <c r="P103">
        <v>9</v>
      </c>
      <c r="Q103">
        <v>14</v>
      </c>
      <c r="R103">
        <v>1.2900000000000007</v>
      </c>
      <c r="S103">
        <v>3</v>
      </c>
      <c r="T103">
        <v>5.0125000000000011</v>
      </c>
      <c r="U103">
        <v>10</v>
      </c>
      <c r="V103">
        <v>13.925000000000001</v>
      </c>
      <c r="W103">
        <v>9</v>
      </c>
      <c r="X103">
        <v>1.0750000000000002</v>
      </c>
      <c r="Y103">
        <v>12</v>
      </c>
      <c r="Z103">
        <v>13</v>
      </c>
      <c r="AA103">
        <v>14</v>
      </c>
      <c r="AB103">
        <v>1.5037500000000006</v>
      </c>
      <c r="AC103">
        <v>24</v>
      </c>
      <c r="AD103">
        <v>-1.9125000000000001</v>
      </c>
      <c r="AE103">
        <v>16</v>
      </c>
      <c r="AF103">
        <v>3.7499999999999991</v>
      </c>
      <c r="AG103">
        <v>9</v>
      </c>
      <c r="AH103">
        <v>1.1625000000000001</v>
      </c>
      <c r="AI103">
        <v>15</v>
      </c>
      <c r="AJ103">
        <v>13.666666666666666</v>
      </c>
      <c r="AK103">
        <v>18</v>
      </c>
      <c r="AL103">
        <v>-0.21374999999999988</v>
      </c>
      <c r="AM103">
        <v>1</v>
      </c>
      <c r="AN103">
        <v>6.9250000000000007</v>
      </c>
      <c r="AO103">
        <v>6</v>
      </c>
      <c r="AP103">
        <v>10.175000000000001</v>
      </c>
      <c r="AQ103">
        <v>17</v>
      </c>
      <c r="AR103">
        <v>-8.7499999999999911E-2</v>
      </c>
      <c r="AS103">
        <v>6</v>
      </c>
      <c r="AT103">
        <v>8</v>
      </c>
      <c r="AU103">
        <v>4</v>
      </c>
      <c r="AV103">
        <v>8.1424999999999983</v>
      </c>
      <c r="AW103">
        <v>4</v>
      </c>
      <c r="AX103">
        <v>31.424999999999997</v>
      </c>
      <c r="AY103">
        <v>16</v>
      </c>
      <c r="AZ103">
        <v>0.57499999999999973</v>
      </c>
      <c r="BA103">
        <v>4</v>
      </c>
      <c r="BB103">
        <v>6.666666666666667</v>
      </c>
      <c r="BC103">
        <v>6</v>
      </c>
      <c r="BD103">
        <v>2.8512500000000003</v>
      </c>
      <c r="BE103">
        <v>11</v>
      </c>
      <c r="BF103">
        <v>7.1374999999999975</v>
      </c>
      <c r="BG103">
        <v>3</v>
      </c>
      <c r="BH103">
        <v>2.0874999999999999</v>
      </c>
      <c r="BI103">
        <v>10</v>
      </c>
      <c r="BJ103">
        <v>11</v>
      </c>
      <c r="BK103">
        <v>9</v>
      </c>
      <c r="BL103">
        <v>2.8474999999999988</v>
      </c>
      <c r="BM103">
        <v>7</v>
      </c>
      <c r="BN103">
        <v>14.725000000000001</v>
      </c>
      <c r="BO103">
        <v>17</v>
      </c>
      <c r="BP103">
        <v>-0.40000000000000013</v>
      </c>
      <c r="BQ103">
        <v>12</v>
      </c>
      <c r="BR103">
        <v>13</v>
      </c>
      <c r="BS103">
        <v>5</v>
      </c>
      <c r="BT103">
        <v>2.4437500000000001</v>
      </c>
      <c r="BU103">
        <v>8</v>
      </c>
      <c r="BV103">
        <v>9.5625000000000018</v>
      </c>
      <c r="BW103">
        <v>26</v>
      </c>
      <c r="BX103">
        <v>-1.1125</v>
      </c>
      <c r="BY103">
        <v>12</v>
      </c>
      <c r="BZ103">
        <v>12.333333333333334</v>
      </c>
      <c r="CA103">
        <v>7</v>
      </c>
      <c r="CB103">
        <v>4.28125</v>
      </c>
      <c r="CC103">
        <v>11</v>
      </c>
      <c r="CD103">
        <v>9.1875</v>
      </c>
      <c r="CE103">
        <v>19</v>
      </c>
      <c r="CF103">
        <v>-0.61250000000000027</v>
      </c>
      <c r="CG103">
        <v>11</v>
      </c>
      <c r="CH103">
        <v>10.333333333333334</v>
      </c>
      <c r="CI103">
        <v>13</v>
      </c>
      <c r="CJ103">
        <v>1.1312499999999999</v>
      </c>
      <c r="CK103">
        <v>14.8125</v>
      </c>
      <c r="CL103">
        <v>0.53750000000000009</v>
      </c>
      <c r="CM103">
        <v>23</v>
      </c>
      <c r="CN103">
        <v>22</v>
      </c>
      <c r="CO103">
        <v>27</v>
      </c>
      <c r="CP103">
        <v>-1.6624999999999999</v>
      </c>
      <c r="CQ103">
        <v>17</v>
      </c>
      <c r="CR103">
        <v>-7.5000000000000011E-2</v>
      </c>
      <c r="CS103">
        <v>-0.35000000000000009</v>
      </c>
      <c r="CT103">
        <v>12</v>
      </c>
      <c r="CU103">
        <v>14.5</v>
      </c>
      <c r="CV103">
        <v>4</v>
      </c>
      <c r="CW103">
        <v>7.3313165913744163E-2</v>
      </c>
      <c r="CX103">
        <v>13</v>
      </c>
      <c r="CY103">
        <v>1.536372415681754E-3</v>
      </c>
      <c r="CZ103">
        <v>28</v>
      </c>
      <c r="DA103">
        <v>0.1142021377315495</v>
      </c>
      <c r="DB103">
        <v>13</v>
      </c>
      <c r="DC103">
        <v>-0.29999999999999982</v>
      </c>
      <c r="DD103">
        <v>4.3000000000000007</v>
      </c>
      <c r="DE103">
        <v>-0.58749999999999947</v>
      </c>
      <c r="DF103">
        <v>1.0499999999999998</v>
      </c>
      <c r="DG103">
        <v>66.600000000000009</v>
      </c>
      <c r="DH103">
        <v>60.937499999999993</v>
      </c>
      <c r="DI103">
        <v>9.1500000000000021</v>
      </c>
      <c r="DJ103">
        <v>0.11249999999999982</v>
      </c>
      <c r="DK103">
        <v>-3.5999999999999996</v>
      </c>
      <c r="DL103">
        <v>9</v>
      </c>
      <c r="DM103">
        <v>4.7374999999999998</v>
      </c>
      <c r="DN103">
        <v>2.415249999999999</v>
      </c>
      <c r="DO103">
        <v>51.787499999999994</v>
      </c>
      <c r="DP103">
        <v>24</v>
      </c>
      <c r="DQ103">
        <v>1.8660937500000003</v>
      </c>
      <c r="DR103">
        <v>1.1124999999999998</v>
      </c>
      <c r="DS103">
        <v>0.95682187499999993</v>
      </c>
      <c r="DT103">
        <v>1.2493437499999998</v>
      </c>
      <c r="DU103" t="s">
        <v>297</v>
      </c>
      <c r="DV103" t="s">
        <v>474</v>
      </c>
      <c r="DW103" t="s">
        <v>475</v>
      </c>
      <c r="DX103">
        <v>14</v>
      </c>
      <c r="DY103">
        <v>-4.6599999999999399E-2</v>
      </c>
      <c r="DZ103">
        <v>3</v>
      </c>
      <c r="EA103">
        <v>9.25</v>
      </c>
      <c r="EB103">
        <v>7</v>
      </c>
      <c r="EC103">
        <v>4.0820000000000007</v>
      </c>
      <c r="ED103">
        <v>2</v>
      </c>
      <c r="EE103">
        <v>4.18</v>
      </c>
      <c r="EF103">
        <v>3</v>
      </c>
      <c r="EG103">
        <v>29.870000000000005</v>
      </c>
      <c r="EH103">
        <v>25</v>
      </c>
      <c r="EI103">
        <v>-0.95999999999999985</v>
      </c>
      <c r="EJ103">
        <v>2</v>
      </c>
      <c r="EK103">
        <v>4.5</v>
      </c>
      <c r="EL103">
        <v>4</v>
      </c>
      <c r="EM103">
        <v>5.1710000000000012</v>
      </c>
      <c r="EN103">
        <v>1</v>
      </c>
      <c r="EO103">
        <v>3.2900000000000005</v>
      </c>
      <c r="EP103">
        <v>2</v>
      </c>
      <c r="EQ103">
        <v>28.770000000000003</v>
      </c>
      <c r="ER103">
        <v>11</v>
      </c>
      <c r="ES103">
        <v>0.4</v>
      </c>
      <c r="ET103">
        <v>15</v>
      </c>
      <c r="EU103">
        <v>16.666666666666668</v>
      </c>
      <c r="EV103">
        <v>24</v>
      </c>
      <c r="EW103">
        <v>-1.089</v>
      </c>
      <c r="EX103">
        <v>11</v>
      </c>
      <c r="EY103">
        <v>0.88999999999999968</v>
      </c>
      <c r="EZ103">
        <v>15</v>
      </c>
      <c r="FA103">
        <v>1.1000000000000001</v>
      </c>
      <c r="FB103">
        <v>31</v>
      </c>
      <c r="FC103">
        <v>-1.3599999999999999</v>
      </c>
      <c r="FD103">
        <v>20</v>
      </c>
      <c r="FE103">
        <v>20</v>
      </c>
      <c r="FF103">
        <v>16</v>
      </c>
      <c r="FG103">
        <v>-0.41600000000000048</v>
      </c>
      <c r="FH103">
        <v>20</v>
      </c>
      <c r="FI103">
        <v>-3.7199999999999966</v>
      </c>
      <c r="FJ103">
        <v>24</v>
      </c>
      <c r="FK103">
        <v>-1.3</v>
      </c>
      <c r="FL103">
        <v>20</v>
      </c>
      <c r="FM103">
        <v>19</v>
      </c>
      <c r="FN103">
        <v>21</v>
      </c>
      <c r="FO103">
        <v>-1.4180000000000006</v>
      </c>
      <c r="FP103">
        <v>15</v>
      </c>
      <c r="FQ103">
        <v>2.8800000000000026</v>
      </c>
      <c r="FR103">
        <v>21</v>
      </c>
      <c r="FS103">
        <v>-0.78</v>
      </c>
      <c r="FT103">
        <v>21</v>
      </c>
      <c r="FU103">
        <v>20.666666666666668</v>
      </c>
      <c r="FV103">
        <v>13</v>
      </c>
      <c r="FW103">
        <v>0.25499999999999989</v>
      </c>
      <c r="FX103">
        <v>27</v>
      </c>
      <c r="FY103">
        <v>-8.7199999999999989</v>
      </c>
      <c r="FZ103">
        <v>22</v>
      </c>
      <c r="GA103">
        <v>-0.36</v>
      </c>
      <c r="GB103">
        <v>8</v>
      </c>
      <c r="GC103">
        <v>13</v>
      </c>
      <c r="GD103">
        <v>11</v>
      </c>
      <c r="GE103">
        <v>0.74700000000000022</v>
      </c>
      <c r="GF103">
        <v>11</v>
      </c>
      <c r="GG103">
        <v>2.1199999999999997</v>
      </c>
      <c r="GH103">
        <v>17</v>
      </c>
      <c r="GI103">
        <v>-0.15999999999999998</v>
      </c>
      <c r="GJ103">
        <v>12</v>
      </c>
      <c r="GK103">
        <v>11.666666666666666</v>
      </c>
      <c r="GL103">
        <v>2</v>
      </c>
      <c r="GM103">
        <v>6.0520000000000014</v>
      </c>
      <c r="GN103">
        <v>11</v>
      </c>
      <c r="GO103">
        <v>8.2200000000000024</v>
      </c>
      <c r="GP103">
        <v>22</v>
      </c>
      <c r="GQ103">
        <v>-0.95</v>
      </c>
      <c r="GR103">
        <v>24</v>
      </c>
      <c r="GS103">
        <v>23.333333333333332</v>
      </c>
      <c r="GT103">
        <v>18</v>
      </c>
      <c r="GU103">
        <v>-0.12500000000000053</v>
      </c>
      <c r="GV103">
        <v>-7.15</v>
      </c>
      <c r="GW103">
        <v>-1.33</v>
      </c>
      <c r="GX103">
        <v>9</v>
      </c>
      <c r="GY103">
        <v>10</v>
      </c>
      <c r="GZ103">
        <v>8</v>
      </c>
      <c r="HA103">
        <v>1.8199999999999998</v>
      </c>
      <c r="HB103">
        <v>12</v>
      </c>
      <c r="HC103">
        <v>0.18000000000000008</v>
      </c>
      <c r="HD103">
        <v>2.76</v>
      </c>
      <c r="HE103">
        <v>30</v>
      </c>
      <c r="HF103">
        <v>26</v>
      </c>
      <c r="HG103">
        <v>22</v>
      </c>
      <c r="HH103">
        <v>-1.6915585433024051E-2</v>
      </c>
      <c r="HI103">
        <v>32</v>
      </c>
      <c r="HJ103">
        <v>-4.1189659275339074E-2</v>
      </c>
      <c r="HK103">
        <v>21</v>
      </c>
      <c r="HL103">
        <v>1.6022338772338763E-2</v>
      </c>
      <c r="HM103">
        <v>29</v>
      </c>
      <c r="HN103">
        <v>-3.16</v>
      </c>
      <c r="HO103">
        <v>-0.90000000000000147</v>
      </c>
      <c r="HP103">
        <v>3.66</v>
      </c>
      <c r="HQ103">
        <v>0</v>
      </c>
      <c r="HR103">
        <v>23.2</v>
      </c>
      <c r="HS103">
        <v>-19.400000000000013</v>
      </c>
      <c r="HT103">
        <v>27.840000000000003</v>
      </c>
      <c r="HU103">
        <v>9.3099999999999987</v>
      </c>
      <c r="HV103">
        <v>5.4500000000000011</v>
      </c>
      <c r="HW103">
        <v>23</v>
      </c>
      <c r="HX103">
        <v>-4.1286000000000005</v>
      </c>
      <c r="HY103">
        <v>-2.1585200000000002</v>
      </c>
      <c r="HZ103">
        <v>-47.240000000000016</v>
      </c>
      <c r="IA103">
        <v>10</v>
      </c>
      <c r="IB103">
        <v>0.6643</v>
      </c>
      <c r="IC103">
        <v>-2.63</v>
      </c>
    </row>
    <row r="104" spans="1:237" x14ac:dyDescent="0.2">
      <c r="A104" s="19">
        <v>44129</v>
      </c>
      <c r="B104" s="13" t="s">
        <v>250</v>
      </c>
      <c r="C104" s="41" t="s">
        <v>304</v>
      </c>
      <c r="D104" s="14" t="s">
        <v>265</v>
      </c>
      <c r="E104">
        <v>6.5</v>
      </c>
      <c r="F104">
        <v>11.9</v>
      </c>
      <c r="G104">
        <v>15.2</v>
      </c>
      <c r="H104">
        <v>12.8</v>
      </c>
      <c r="I104">
        <v>-6</v>
      </c>
      <c r="J104">
        <v>44.5</v>
      </c>
      <c r="L104" t="s">
        <v>304</v>
      </c>
      <c r="M104">
        <v>19</v>
      </c>
      <c r="N104">
        <v>-0.9088000000000005</v>
      </c>
      <c r="O104">
        <v>16</v>
      </c>
      <c r="P104">
        <v>15.25</v>
      </c>
      <c r="Q104">
        <v>17</v>
      </c>
      <c r="R104">
        <v>0.39999999999999969</v>
      </c>
      <c r="S104">
        <v>16</v>
      </c>
      <c r="T104">
        <v>0.48</v>
      </c>
      <c r="U104">
        <v>7</v>
      </c>
      <c r="V104">
        <v>20.68</v>
      </c>
      <c r="W104">
        <v>21</v>
      </c>
      <c r="X104">
        <v>-0.6</v>
      </c>
      <c r="Y104">
        <v>12</v>
      </c>
      <c r="Z104">
        <v>13</v>
      </c>
      <c r="AA104">
        <v>13</v>
      </c>
      <c r="AB104">
        <v>1.8639999999999997</v>
      </c>
      <c r="AC104">
        <v>19</v>
      </c>
      <c r="AD104">
        <v>-0.83999999999999986</v>
      </c>
      <c r="AE104">
        <v>9</v>
      </c>
      <c r="AF104">
        <v>10.039999999999999</v>
      </c>
      <c r="AG104">
        <v>17</v>
      </c>
      <c r="AH104">
        <v>-7.9999999999999988E-2</v>
      </c>
      <c r="AI104">
        <v>17</v>
      </c>
      <c r="AJ104">
        <v>17</v>
      </c>
      <c r="AK104">
        <v>25</v>
      </c>
      <c r="AL104">
        <v>-1.464</v>
      </c>
      <c r="AM104">
        <v>7</v>
      </c>
      <c r="AN104">
        <v>1.3199999999999998</v>
      </c>
      <c r="AO104">
        <v>5</v>
      </c>
      <c r="AP104">
        <v>10.639999999999999</v>
      </c>
      <c r="AQ104">
        <v>21</v>
      </c>
      <c r="AR104">
        <v>-0.52</v>
      </c>
      <c r="AS104">
        <v>3</v>
      </c>
      <c r="AT104">
        <v>6</v>
      </c>
      <c r="AU104">
        <v>5</v>
      </c>
      <c r="AV104">
        <v>6.1824000000000021</v>
      </c>
      <c r="AW104">
        <v>9</v>
      </c>
      <c r="AX104">
        <v>20.72</v>
      </c>
      <c r="AY104">
        <v>4</v>
      </c>
      <c r="AZ104">
        <v>2.7600000000000002</v>
      </c>
      <c r="BA104">
        <v>22</v>
      </c>
      <c r="BB104">
        <v>21.333333333333332</v>
      </c>
      <c r="BC104">
        <v>18</v>
      </c>
      <c r="BD104">
        <v>-4.3999999999999061E-2</v>
      </c>
      <c r="BE104">
        <v>27</v>
      </c>
      <c r="BF104">
        <v>-11.36</v>
      </c>
      <c r="BG104">
        <v>19</v>
      </c>
      <c r="BH104">
        <v>-0.6</v>
      </c>
      <c r="BI104">
        <v>4</v>
      </c>
      <c r="BJ104">
        <v>5.333333333333333</v>
      </c>
      <c r="BK104">
        <v>6</v>
      </c>
      <c r="BL104">
        <v>4.0320000000000009</v>
      </c>
      <c r="BM104">
        <v>9</v>
      </c>
      <c r="BN104">
        <v>14.399999999999997</v>
      </c>
      <c r="BO104">
        <v>1</v>
      </c>
      <c r="BP104">
        <v>2.2800000000000002</v>
      </c>
      <c r="BQ104">
        <v>3</v>
      </c>
      <c r="BR104">
        <v>5</v>
      </c>
      <c r="BS104">
        <v>7</v>
      </c>
      <c r="BT104">
        <v>2.1944000000000004</v>
      </c>
      <c r="BU104">
        <v>2</v>
      </c>
      <c r="BV104">
        <v>17.68</v>
      </c>
      <c r="BW104">
        <v>6</v>
      </c>
      <c r="BX104">
        <v>1.08</v>
      </c>
      <c r="BY104">
        <v>7</v>
      </c>
      <c r="BZ104">
        <v>9.6666666666666661</v>
      </c>
      <c r="CA104">
        <v>5</v>
      </c>
      <c r="CB104">
        <v>4.4720000000000004</v>
      </c>
      <c r="CC104">
        <v>6</v>
      </c>
      <c r="CD104">
        <v>15.120000000000001</v>
      </c>
      <c r="CE104">
        <v>18</v>
      </c>
      <c r="CF104">
        <v>-0.51999999999999991</v>
      </c>
      <c r="CG104">
        <v>19</v>
      </c>
      <c r="CH104">
        <v>18.333333333333332</v>
      </c>
      <c r="CI104">
        <v>15</v>
      </c>
      <c r="CJ104">
        <v>0.80399999999999905</v>
      </c>
      <c r="CK104">
        <v>3.7200000000000015</v>
      </c>
      <c r="CL104">
        <v>-1.44</v>
      </c>
      <c r="CM104">
        <v>31</v>
      </c>
      <c r="CN104">
        <v>31</v>
      </c>
      <c r="CO104">
        <v>31</v>
      </c>
      <c r="CP104">
        <v>-3.6</v>
      </c>
      <c r="CQ104">
        <v>31</v>
      </c>
      <c r="CR104">
        <v>-0.84000000000000019</v>
      </c>
      <c r="CS104">
        <v>-0.6399999999999999</v>
      </c>
      <c r="CT104">
        <v>24</v>
      </c>
      <c r="CU104">
        <v>20.75</v>
      </c>
      <c r="CV104">
        <v>31</v>
      </c>
      <c r="CW104">
        <v>-8.3052055533158378E-2</v>
      </c>
      <c r="CX104">
        <v>29</v>
      </c>
      <c r="CY104">
        <v>-2.1855348402633933E-2</v>
      </c>
      <c r="CZ104">
        <v>1</v>
      </c>
      <c r="DA104">
        <v>-0.18677777777777779</v>
      </c>
      <c r="DB104">
        <v>22</v>
      </c>
      <c r="DC104">
        <v>-1.08</v>
      </c>
      <c r="DD104">
        <v>-0.99999999999999856</v>
      </c>
      <c r="DE104">
        <v>0.19999999999999929</v>
      </c>
      <c r="DF104">
        <v>-0.83999999999999986</v>
      </c>
      <c r="DG104">
        <v>20.119999999999994</v>
      </c>
      <c r="DH104">
        <v>12.279999999999996</v>
      </c>
      <c r="DI104">
        <v>21.52</v>
      </c>
      <c r="DJ104">
        <v>5.1199999999999992</v>
      </c>
      <c r="DK104">
        <v>-18.8</v>
      </c>
      <c r="DL104">
        <v>17</v>
      </c>
      <c r="DM104">
        <v>-1.3088000000000002</v>
      </c>
      <c r="DN104">
        <v>1.0155200000000004</v>
      </c>
      <c r="DO104">
        <v>-9.2400000000000038</v>
      </c>
      <c r="DP104">
        <v>16</v>
      </c>
      <c r="DQ104">
        <v>0.35970000000000008</v>
      </c>
      <c r="DR104">
        <v>1.3200000000000003</v>
      </c>
      <c r="DS104">
        <v>-1.3545</v>
      </c>
      <c r="DT104">
        <v>-0.5353</v>
      </c>
      <c r="DU104" t="s">
        <v>265</v>
      </c>
      <c r="DV104" t="s">
        <v>236</v>
      </c>
      <c r="DW104" t="s">
        <v>539</v>
      </c>
      <c r="DX104">
        <v>31</v>
      </c>
      <c r="DY104">
        <v>-5.1056000000000008</v>
      </c>
      <c r="DZ104">
        <v>22</v>
      </c>
      <c r="EA104">
        <v>19.5</v>
      </c>
      <c r="EB104">
        <v>21</v>
      </c>
      <c r="EC104">
        <v>-3.1080000000000001</v>
      </c>
      <c r="ED104">
        <v>15</v>
      </c>
      <c r="EE104">
        <v>4.0000000000000036E-2</v>
      </c>
      <c r="EF104">
        <v>18</v>
      </c>
      <c r="EG104">
        <v>1.2799999999999985</v>
      </c>
      <c r="EH104">
        <v>24</v>
      </c>
      <c r="EI104">
        <v>-0.87999999999999989</v>
      </c>
      <c r="EJ104">
        <v>25</v>
      </c>
      <c r="EK104">
        <v>22.75</v>
      </c>
      <c r="EL104">
        <v>25</v>
      </c>
      <c r="EM104">
        <v>-2.9319999999999999</v>
      </c>
      <c r="EN104">
        <v>20</v>
      </c>
      <c r="EO104">
        <v>-0.31999999999999995</v>
      </c>
      <c r="EP104">
        <v>20</v>
      </c>
      <c r="EQ104">
        <v>-2.8400000000000007</v>
      </c>
      <c r="ER104">
        <v>26</v>
      </c>
      <c r="ES104">
        <v>-0.71999999999999986</v>
      </c>
      <c r="ET104">
        <v>12</v>
      </c>
      <c r="EU104">
        <v>14</v>
      </c>
      <c r="EV104">
        <v>16</v>
      </c>
      <c r="EW104">
        <v>-0.17600000000000007</v>
      </c>
      <c r="EX104">
        <v>17</v>
      </c>
      <c r="EY104">
        <v>0.36</v>
      </c>
      <c r="EZ104">
        <v>9</v>
      </c>
      <c r="FA104">
        <v>4.1199999999999992</v>
      </c>
      <c r="FB104">
        <v>18</v>
      </c>
      <c r="FC104">
        <v>-0.16</v>
      </c>
      <c r="FD104">
        <v>27</v>
      </c>
      <c r="FE104">
        <v>25.333333333333332</v>
      </c>
      <c r="FF104">
        <v>31</v>
      </c>
      <c r="FG104">
        <v>-6.8800000000000008</v>
      </c>
      <c r="FH104">
        <v>26</v>
      </c>
      <c r="FI104">
        <v>-12.28</v>
      </c>
      <c r="FJ104">
        <v>19</v>
      </c>
      <c r="FK104">
        <v>-4.0000000000000036E-2</v>
      </c>
      <c r="FL104">
        <v>22</v>
      </c>
      <c r="FM104">
        <v>21.666666666666668</v>
      </c>
      <c r="FN104">
        <v>25</v>
      </c>
      <c r="FO104">
        <v>-2.5880000000000001</v>
      </c>
      <c r="FP104">
        <v>24</v>
      </c>
      <c r="FQ104">
        <v>-9.4</v>
      </c>
      <c r="FR104">
        <v>16</v>
      </c>
      <c r="FS104">
        <v>0.28000000000000008</v>
      </c>
      <c r="FT104">
        <v>23</v>
      </c>
      <c r="FU104">
        <v>21</v>
      </c>
      <c r="FV104">
        <v>27</v>
      </c>
      <c r="FW104">
        <v>-3.036</v>
      </c>
      <c r="FX104">
        <v>17</v>
      </c>
      <c r="FY104">
        <v>-0.83999999999999986</v>
      </c>
      <c r="FZ104">
        <v>19</v>
      </c>
      <c r="GA104">
        <v>-0.15999999999999998</v>
      </c>
      <c r="GB104">
        <v>23</v>
      </c>
      <c r="GC104">
        <v>20</v>
      </c>
      <c r="GD104">
        <v>25</v>
      </c>
      <c r="GE104">
        <v>-1.2560000000000007</v>
      </c>
      <c r="GF104">
        <v>17</v>
      </c>
      <c r="GG104">
        <v>-2.0399999999999991</v>
      </c>
      <c r="GH104">
        <v>18</v>
      </c>
      <c r="GI104">
        <v>-0.16000000000000014</v>
      </c>
      <c r="GJ104">
        <v>30</v>
      </c>
      <c r="GK104">
        <v>29.666666666666668</v>
      </c>
      <c r="GL104">
        <v>30</v>
      </c>
      <c r="GM104">
        <v>-5.4039999999999999</v>
      </c>
      <c r="GN104">
        <v>31</v>
      </c>
      <c r="GO104">
        <v>-21.64</v>
      </c>
      <c r="GP104">
        <v>28</v>
      </c>
      <c r="GQ104">
        <v>-1.3199999999999998</v>
      </c>
      <c r="GR104">
        <v>23</v>
      </c>
      <c r="GS104">
        <v>22.666666666666668</v>
      </c>
      <c r="GT104">
        <v>21</v>
      </c>
      <c r="GU104">
        <v>-1.6960000000000002</v>
      </c>
      <c r="GV104">
        <v>-7.3599999999999977</v>
      </c>
      <c r="GW104">
        <v>-0.6</v>
      </c>
      <c r="GX104">
        <v>11</v>
      </c>
      <c r="GY104">
        <v>12</v>
      </c>
      <c r="GZ104">
        <v>20</v>
      </c>
      <c r="HA104">
        <v>-0.6</v>
      </c>
      <c r="HB104">
        <v>4</v>
      </c>
      <c r="HC104">
        <v>0.8</v>
      </c>
      <c r="HD104">
        <v>-2.2799999999999998</v>
      </c>
      <c r="HE104">
        <v>3</v>
      </c>
      <c r="HF104">
        <v>6.25</v>
      </c>
      <c r="HG104">
        <v>7</v>
      </c>
      <c r="HH104">
        <v>2.5041536432986167E-2</v>
      </c>
      <c r="HI104">
        <v>5</v>
      </c>
      <c r="HJ104">
        <v>2.0722675154759319E-2</v>
      </c>
      <c r="HK104">
        <v>7</v>
      </c>
      <c r="HL104">
        <v>-6.7170274170274172E-2</v>
      </c>
      <c r="HM104">
        <v>6</v>
      </c>
      <c r="HN104">
        <v>1.8800000000000001</v>
      </c>
      <c r="HO104">
        <v>0.7600000000000009</v>
      </c>
      <c r="HP104">
        <v>-4.3199999999999994</v>
      </c>
      <c r="HQ104">
        <v>-1.8399999999999999</v>
      </c>
      <c r="HR104">
        <v>-25.8</v>
      </c>
      <c r="HS104">
        <v>-24.32</v>
      </c>
      <c r="HT104">
        <v>-0.64000000000000057</v>
      </c>
      <c r="HU104">
        <v>-1.4399999999999995</v>
      </c>
      <c r="HV104">
        <v>0.6</v>
      </c>
      <c r="HW104">
        <v>21</v>
      </c>
      <c r="HX104">
        <v>-1.9976000000000007</v>
      </c>
      <c r="HY104">
        <v>-1.18232</v>
      </c>
      <c r="HZ104">
        <v>-23.68</v>
      </c>
      <c r="IA104">
        <v>12</v>
      </c>
      <c r="IB104">
        <v>-2.1737000000000002</v>
      </c>
      <c r="IC104">
        <v>-0.64</v>
      </c>
    </row>
    <row r="105" spans="1:237" x14ac:dyDescent="0.2">
      <c r="A105" s="19">
        <v>44129</v>
      </c>
      <c r="B105" s="13" t="s">
        <v>250</v>
      </c>
      <c r="C105" s="41" t="s">
        <v>302</v>
      </c>
      <c r="D105" s="14" t="s">
        <v>256</v>
      </c>
      <c r="E105">
        <v>2.2999999999999998</v>
      </c>
      <c r="F105">
        <v>10.199999999999999</v>
      </c>
      <c r="G105">
        <v>2.6</v>
      </c>
      <c r="H105">
        <v>1.8</v>
      </c>
      <c r="I105">
        <v>-3</v>
      </c>
      <c r="J105">
        <v>44</v>
      </c>
      <c r="K105" t="s">
        <v>735</v>
      </c>
      <c r="L105" t="s">
        <v>302</v>
      </c>
      <c r="M105">
        <v>23</v>
      </c>
      <c r="N105">
        <v>-3.1302500000000002</v>
      </c>
      <c r="O105">
        <v>12</v>
      </c>
      <c r="P105">
        <v>13.5</v>
      </c>
      <c r="Q105">
        <v>9</v>
      </c>
      <c r="R105">
        <v>2.663749999999999</v>
      </c>
      <c r="S105">
        <v>26</v>
      </c>
      <c r="T105">
        <v>-3.35</v>
      </c>
      <c r="U105">
        <v>13</v>
      </c>
      <c r="V105">
        <v>4.625</v>
      </c>
      <c r="W105">
        <v>6</v>
      </c>
      <c r="X105">
        <v>1.6749999999999998</v>
      </c>
      <c r="Y105">
        <v>19</v>
      </c>
      <c r="Z105">
        <v>17.666666666666668</v>
      </c>
      <c r="AA105">
        <v>21</v>
      </c>
      <c r="AB105">
        <v>-1.5287500000000001</v>
      </c>
      <c r="AC105">
        <v>32</v>
      </c>
      <c r="AD105">
        <v>-6.7625000000000002</v>
      </c>
      <c r="AE105">
        <v>29</v>
      </c>
      <c r="AF105">
        <v>-24.524999999999999</v>
      </c>
      <c r="AG105">
        <v>3</v>
      </c>
      <c r="AH105">
        <v>1.7124999999999999</v>
      </c>
      <c r="AI105">
        <v>2</v>
      </c>
      <c r="AJ105">
        <v>7</v>
      </c>
      <c r="AK105">
        <v>3</v>
      </c>
      <c r="AL105">
        <v>4.192499999999999</v>
      </c>
      <c r="AM105">
        <v>4</v>
      </c>
      <c r="AN105">
        <v>3.4125000000000001</v>
      </c>
      <c r="AO105">
        <v>2</v>
      </c>
      <c r="AP105">
        <v>29.15</v>
      </c>
      <c r="AQ105">
        <v>16</v>
      </c>
      <c r="AR105">
        <v>-3.7499999999999978E-2</v>
      </c>
      <c r="AS105">
        <v>22</v>
      </c>
      <c r="AT105">
        <v>20.666666666666668</v>
      </c>
      <c r="AU105">
        <v>28</v>
      </c>
      <c r="AV105">
        <v>-8.3350000000000009</v>
      </c>
      <c r="AW105">
        <v>24</v>
      </c>
      <c r="AX105">
        <v>-14.449999999999998</v>
      </c>
      <c r="AY105">
        <v>10</v>
      </c>
      <c r="AZ105">
        <v>1.3875000000000002</v>
      </c>
      <c r="BA105">
        <v>30</v>
      </c>
      <c r="BB105">
        <v>29.666666666666668</v>
      </c>
      <c r="BC105">
        <v>31</v>
      </c>
      <c r="BD105">
        <v>-6.1675000000000013</v>
      </c>
      <c r="BE105">
        <v>29</v>
      </c>
      <c r="BF105">
        <v>-16.524999999999999</v>
      </c>
      <c r="BG105">
        <v>29</v>
      </c>
      <c r="BH105">
        <v>-1.2124999999999999</v>
      </c>
      <c r="BI105">
        <v>16</v>
      </c>
      <c r="BJ105">
        <v>16</v>
      </c>
      <c r="BK105">
        <v>18</v>
      </c>
      <c r="BL105">
        <v>-1.2512499999999998</v>
      </c>
      <c r="BM105">
        <v>17</v>
      </c>
      <c r="BN105">
        <v>-3.3250000000000002</v>
      </c>
      <c r="BO105">
        <v>13</v>
      </c>
      <c r="BP105">
        <v>0.52499999999999991</v>
      </c>
      <c r="BQ105">
        <v>11</v>
      </c>
      <c r="BR105">
        <v>10.666666666666666</v>
      </c>
      <c r="BS105">
        <v>20</v>
      </c>
      <c r="BT105">
        <v>-0.91625000000000023</v>
      </c>
      <c r="BU105">
        <v>11</v>
      </c>
      <c r="BV105">
        <v>5.4</v>
      </c>
      <c r="BW105">
        <v>1</v>
      </c>
      <c r="BX105">
        <v>2.0750000000000002</v>
      </c>
      <c r="BY105">
        <v>17</v>
      </c>
      <c r="BZ105">
        <v>16</v>
      </c>
      <c r="CA105">
        <v>20</v>
      </c>
      <c r="CB105">
        <v>-1.5737499999999995</v>
      </c>
      <c r="CC105">
        <v>13</v>
      </c>
      <c r="CD105">
        <v>2.3874999999999993</v>
      </c>
      <c r="CE105">
        <v>15</v>
      </c>
      <c r="CF105">
        <v>0.10000000000000009</v>
      </c>
      <c r="CG105">
        <v>31</v>
      </c>
      <c r="CH105">
        <v>31</v>
      </c>
      <c r="CI105">
        <v>31</v>
      </c>
      <c r="CJ105">
        <v>-5.1937500000000005</v>
      </c>
      <c r="CK105">
        <v>-20.1875</v>
      </c>
      <c r="CL105">
        <v>-2.5874999999999999</v>
      </c>
      <c r="CM105">
        <v>26</v>
      </c>
      <c r="CN105">
        <v>24</v>
      </c>
      <c r="CO105">
        <v>28</v>
      </c>
      <c r="CP105">
        <v>-1.7625</v>
      </c>
      <c r="CQ105">
        <v>20</v>
      </c>
      <c r="CR105">
        <v>-0.13750000000000001</v>
      </c>
      <c r="CS105">
        <v>1.5125</v>
      </c>
      <c r="CT105">
        <v>10</v>
      </c>
      <c r="CU105">
        <v>13.75</v>
      </c>
      <c r="CV105">
        <v>21</v>
      </c>
      <c r="CW105">
        <v>-2.0554430189545926E-2</v>
      </c>
      <c r="CX105">
        <v>6</v>
      </c>
      <c r="CY105">
        <v>1.4614498673567761E-2</v>
      </c>
      <c r="CZ105">
        <v>26</v>
      </c>
      <c r="DA105">
        <v>4.2383658008658009E-2</v>
      </c>
      <c r="DB105">
        <v>2</v>
      </c>
      <c r="DC105">
        <v>4.3</v>
      </c>
      <c r="DD105">
        <v>0.22500000000000142</v>
      </c>
      <c r="DE105">
        <v>-5.3125</v>
      </c>
      <c r="DF105">
        <v>1.5874999999999999</v>
      </c>
      <c r="DG105">
        <v>-16.362499999999997</v>
      </c>
      <c r="DH105">
        <v>-48.475000000000001</v>
      </c>
      <c r="DI105">
        <v>19.412500000000001</v>
      </c>
      <c r="DJ105">
        <v>1.1375</v>
      </c>
      <c r="DK105">
        <v>11.5625</v>
      </c>
      <c r="DL105">
        <v>25</v>
      </c>
      <c r="DM105">
        <v>-5.7939999999999987</v>
      </c>
      <c r="DN105">
        <v>-4.6636749999999996</v>
      </c>
      <c r="DO105">
        <v>-67.887500000000003</v>
      </c>
      <c r="DP105">
        <v>8</v>
      </c>
      <c r="DQ105">
        <v>-1.9697187500000002</v>
      </c>
      <c r="DR105">
        <v>-1.1999999999999997</v>
      </c>
      <c r="DS105">
        <v>-1.2971218749999998</v>
      </c>
      <c r="DT105">
        <v>-2.0018437499999999</v>
      </c>
      <c r="DU105" t="s">
        <v>256</v>
      </c>
      <c r="DV105" t="s">
        <v>257</v>
      </c>
      <c r="DW105" t="s">
        <v>547</v>
      </c>
      <c r="DX105">
        <v>15</v>
      </c>
      <c r="DY105">
        <v>-0.27520000000000022</v>
      </c>
      <c r="DZ105">
        <v>29</v>
      </c>
      <c r="EA105">
        <v>23.75</v>
      </c>
      <c r="EB105">
        <v>27</v>
      </c>
      <c r="EC105">
        <v>-4.2919999999999998</v>
      </c>
      <c r="ED105">
        <v>22</v>
      </c>
      <c r="EE105">
        <v>-1.6799999999999997</v>
      </c>
      <c r="EF105">
        <v>24</v>
      </c>
      <c r="EG105">
        <v>-17.52</v>
      </c>
      <c r="EH105">
        <v>22</v>
      </c>
      <c r="EI105">
        <v>-0.47999999999999982</v>
      </c>
      <c r="EJ105">
        <v>30</v>
      </c>
      <c r="EK105">
        <v>26</v>
      </c>
      <c r="EL105">
        <v>29</v>
      </c>
      <c r="EM105">
        <v>-3.8560000000000003</v>
      </c>
      <c r="EN105">
        <v>22</v>
      </c>
      <c r="EO105">
        <v>-0.75999999999999979</v>
      </c>
      <c r="EP105">
        <v>24</v>
      </c>
      <c r="EQ105">
        <v>-10.079999999999998</v>
      </c>
      <c r="ER105">
        <v>29</v>
      </c>
      <c r="ES105">
        <v>-0.91999999999999993</v>
      </c>
      <c r="ET105">
        <v>23</v>
      </c>
      <c r="EU105">
        <v>22</v>
      </c>
      <c r="EV105">
        <v>18</v>
      </c>
      <c r="EW105">
        <v>-0.43599999999999967</v>
      </c>
      <c r="EX105">
        <v>23</v>
      </c>
      <c r="EY105">
        <v>-0.91999999999999993</v>
      </c>
      <c r="EZ105">
        <v>25</v>
      </c>
      <c r="FA105">
        <v>-7.44</v>
      </c>
      <c r="FB105">
        <v>9</v>
      </c>
      <c r="FC105">
        <v>0.44000000000000011</v>
      </c>
      <c r="FD105">
        <v>22</v>
      </c>
      <c r="FE105">
        <v>22</v>
      </c>
      <c r="FF105">
        <v>19</v>
      </c>
      <c r="FG105">
        <v>-0.63999999999999946</v>
      </c>
      <c r="FH105">
        <v>24</v>
      </c>
      <c r="FI105">
        <v>-7.5600000000000023</v>
      </c>
      <c r="FJ105">
        <v>23</v>
      </c>
      <c r="FK105">
        <v>-0.91999999999999993</v>
      </c>
      <c r="FL105">
        <v>29</v>
      </c>
      <c r="FM105">
        <v>27.333333333333332</v>
      </c>
      <c r="FN105">
        <v>28</v>
      </c>
      <c r="FO105">
        <v>-3.6759999999999993</v>
      </c>
      <c r="FP105">
        <v>29</v>
      </c>
      <c r="FQ105">
        <v>-19.240000000000002</v>
      </c>
      <c r="FR105">
        <v>25</v>
      </c>
      <c r="FS105">
        <v>-1.1200000000000001</v>
      </c>
      <c r="FT105">
        <v>6</v>
      </c>
      <c r="FU105">
        <v>7.333333333333333</v>
      </c>
      <c r="FV105">
        <v>8</v>
      </c>
      <c r="FW105">
        <v>1.9319999999999999</v>
      </c>
      <c r="FX105">
        <v>5</v>
      </c>
      <c r="FY105">
        <v>10</v>
      </c>
      <c r="FZ105">
        <v>9</v>
      </c>
      <c r="GA105">
        <v>0.48000000000000009</v>
      </c>
      <c r="GB105">
        <v>10</v>
      </c>
      <c r="GC105">
        <v>14.333333333333334</v>
      </c>
      <c r="GD105">
        <v>9</v>
      </c>
      <c r="GE105">
        <v>1.1039999999999999</v>
      </c>
      <c r="GF105">
        <v>12</v>
      </c>
      <c r="GG105">
        <v>1.6799999999999993</v>
      </c>
      <c r="GH105">
        <v>22</v>
      </c>
      <c r="GI105">
        <v>-0.27999999999999992</v>
      </c>
      <c r="GJ105">
        <v>19</v>
      </c>
      <c r="GK105">
        <v>19.666666666666668</v>
      </c>
      <c r="GL105">
        <v>13</v>
      </c>
      <c r="GM105">
        <v>0.65999999999999948</v>
      </c>
      <c r="GN105">
        <v>21</v>
      </c>
      <c r="GO105">
        <v>-5.8</v>
      </c>
      <c r="GP105">
        <v>25</v>
      </c>
      <c r="GQ105">
        <v>-1.1599999999999999</v>
      </c>
      <c r="GR105">
        <v>19</v>
      </c>
      <c r="GS105">
        <v>20.333333333333332</v>
      </c>
      <c r="GT105">
        <v>23</v>
      </c>
      <c r="GU105">
        <v>-1.9319999999999999</v>
      </c>
      <c r="GV105">
        <v>1.9999999999999989</v>
      </c>
      <c r="GW105">
        <v>-0.35999999999999988</v>
      </c>
      <c r="GX105">
        <v>8</v>
      </c>
      <c r="GY105">
        <v>7.5</v>
      </c>
      <c r="GZ105">
        <v>5</v>
      </c>
      <c r="HA105">
        <v>2.4</v>
      </c>
      <c r="HB105">
        <v>10</v>
      </c>
      <c r="HC105">
        <v>0.31999999999999995</v>
      </c>
      <c r="HD105">
        <v>-0.11999999999999993</v>
      </c>
      <c r="HE105">
        <v>21</v>
      </c>
      <c r="HF105">
        <v>19.25</v>
      </c>
      <c r="HG105">
        <v>14</v>
      </c>
      <c r="HH105">
        <v>9.0727545423678006E-3</v>
      </c>
      <c r="HI105">
        <v>24</v>
      </c>
      <c r="HJ105">
        <v>-1.1631407178454491E-2</v>
      </c>
      <c r="HK105">
        <v>14</v>
      </c>
      <c r="HL105">
        <v>-1.5256854256854292E-2</v>
      </c>
      <c r="HM105">
        <v>25</v>
      </c>
      <c r="HN105">
        <v>-1.8</v>
      </c>
      <c r="HO105">
        <v>-5.0400000000000009</v>
      </c>
      <c r="HP105">
        <v>-1.5099999999999993</v>
      </c>
      <c r="HQ105">
        <v>0.27999999999999997</v>
      </c>
      <c r="HR105">
        <v>-33.879999999999995</v>
      </c>
      <c r="HS105">
        <v>-8.8000000000000114</v>
      </c>
      <c r="HT105">
        <v>-22.279999999999998</v>
      </c>
      <c r="HU105">
        <v>-2.5199999999999996</v>
      </c>
      <c r="HV105">
        <v>-0.27999999999999969</v>
      </c>
      <c r="HW105">
        <v>8</v>
      </c>
      <c r="HX105">
        <v>4.0167999999999999</v>
      </c>
      <c r="HY105">
        <v>1.57656</v>
      </c>
      <c r="HZ105">
        <v>13.479999999999986</v>
      </c>
      <c r="IA105">
        <v>25</v>
      </c>
      <c r="IB105">
        <v>-0.59239999999999982</v>
      </c>
      <c r="IC105">
        <v>-1.2799999999999998</v>
      </c>
    </row>
    <row r="106" spans="1:237" x14ac:dyDescent="0.2">
      <c r="A106" s="19">
        <v>44129</v>
      </c>
      <c r="B106" s="13" t="s">
        <v>250</v>
      </c>
      <c r="C106" s="41" t="s">
        <v>307</v>
      </c>
      <c r="D106" s="14" t="s">
        <v>301</v>
      </c>
      <c r="E106">
        <v>9.4</v>
      </c>
      <c r="F106">
        <v>15.5</v>
      </c>
      <c r="G106">
        <v>14.6</v>
      </c>
      <c r="H106">
        <v>12.2</v>
      </c>
      <c r="I106">
        <v>-7</v>
      </c>
      <c r="J106">
        <v>49.5</v>
      </c>
      <c r="K106" t="s">
        <v>735</v>
      </c>
      <c r="L106" t="s">
        <v>307</v>
      </c>
      <c r="M106">
        <v>12</v>
      </c>
      <c r="N106">
        <v>0.99749999999999783</v>
      </c>
      <c r="O106">
        <v>1</v>
      </c>
      <c r="P106">
        <v>5.25</v>
      </c>
      <c r="Q106">
        <v>1</v>
      </c>
      <c r="R106">
        <v>11.549999999999997</v>
      </c>
      <c r="S106">
        <v>6</v>
      </c>
      <c r="T106">
        <v>3</v>
      </c>
      <c r="U106">
        <v>11</v>
      </c>
      <c r="V106">
        <v>13.75</v>
      </c>
      <c r="W106">
        <v>3</v>
      </c>
      <c r="X106">
        <v>2.375</v>
      </c>
      <c r="Y106">
        <v>5</v>
      </c>
      <c r="Z106">
        <v>7.333333333333333</v>
      </c>
      <c r="AA106">
        <v>1</v>
      </c>
      <c r="AB106">
        <v>8.6249999999999964</v>
      </c>
      <c r="AC106">
        <v>23</v>
      </c>
      <c r="AD106">
        <v>-1.5625</v>
      </c>
      <c r="AE106">
        <v>19</v>
      </c>
      <c r="AF106">
        <v>-1</v>
      </c>
      <c r="AG106">
        <v>2</v>
      </c>
      <c r="AH106">
        <v>2.5</v>
      </c>
      <c r="AI106">
        <v>4</v>
      </c>
      <c r="AJ106">
        <v>8.3333333333333339</v>
      </c>
      <c r="AK106">
        <v>4</v>
      </c>
      <c r="AL106">
        <v>2.9250000000000007</v>
      </c>
      <c r="AM106">
        <v>3</v>
      </c>
      <c r="AN106">
        <v>4.5625</v>
      </c>
      <c r="AO106">
        <v>3</v>
      </c>
      <c r="AP106">
        <v>14.75</v>
      </c>
      <c r="AQ106">
        <v>18</v>
      </c>
      <c r="AR106">
        <v>-0.125</v>
      </c>
      <c r="AS106">
        <v>14</v>
      </c>
      <c r="AT106">
        <v>15</v>
      </c>
      <c r="AU106">
        <v>14</v>
      </c>
      <c r="AV106">
        <v>0.78124999999999956</v>
      </c>
      <c r="AW106">
        <v>17</v>
      </c>
      <c r="AX106">
        <v>-6.9375</v>
      </c>
      <c r="AY106">
        <v>14</v>
      </c>
      <c r="AZ106">
        <v>0.6875</v>
      </c>
      <c r="BA106">
        <v>10</v>
      </c>
      <c r="BB106">
        <v>9.3333333333333339</v>
      </c>
      <c r="BC106">
        <v>4</v>
      </c>
      <c r="BD106">
        <v>3.9187500000000002</v>
      </c>
      <c r="BE106">
        <v>12</v>
      </c>
      <c r="BF106">
        <v>5.5625</v>
      </c>
      <c r="BG106">
        <v>12</v>
      </c>
      <c r="BH106">
        <v>0.25</v>
      </c>
      <c r="BI106">
        <v>14</v>
      </c>
      <c r="BJ106">
        <v>15.666666666666666</v>
      </c>
      <c r="BK106">
        <v>20</v>
      </c>
      <c r="BL106">
        <v>-1.5625000000000007</v>
      </c>
      <c r="BM106">
        <v>15</v>
      </c>
      <c r="BN106">
        <v>-2.0625</v>
      </c>
      <c r="BO106">
        <v>12</v>
      </c>
      <c r="BP106">
        <v>0.5625</v>
      </c>
      <c r="BQ106">
        <v>24</v>
      </c>
      <c r="BR106">
        <v>23</v>
      </c>
      <c r="BS106">
        <v>25</v>
      </c>
      <c r="BT106">
        <v>-1.5749999999999997</v>
      </c>
      <c r="BU106">
        <v>25</v>
      </c>
      <c r="BV106">
        <v>-10.4375</v>
      </c>
      <c r="BW106">
        <v>19</v>
      </c>
      <c r="BX106">
        <v>-0.125</v>
      </c>
      <c r="BY106">
        <v>21</v>
      </c>
      <c r="BZ106">
        <v>19.666666666666668</v>
      </c>
      <c r="CA106">
        <v>26</v>
      </c>
      <c r="CB106">
        <v>-4.1312499999999996</v>
      </c>
      <c r="CC106">
        <v>21</v>
      </c>
      <c r="CD106">
        <v>-8.1875</v>
      </c>
      <c r="CE106">
        <v>12</v>
      </c>
      <c r="CF106">
        <v>0.375</v>
      </c>
      <c r="CG106">
        <v>26</v>
      </c>
      <c r="CH106">
        <v>25.333333333333332</v>
      </c>
      <c r="CI106">
        <v>22</v>
      </c>
      <c r="CJ106">
        <v>-2.3187500000000001</v>
      </c>
      <c r="CK106">
        <v>-13.8125</v>
      </c>
      <c r="CL106">
        <v>-1.5625</v>
      </c>
      <c r="CM106">
        <v>14</v>
      </c>
      <c r="CN106">
        <v>14.5</v>
      </c>
      <c r="CO106">
        <v>10</v>
      </c>
      <c r="CP106">
        <v>1.3125</v>
      </c>
      <c r="CQ106">
        <v>19</v>
      </c>
      <c r="CR106">
        <v>-0.125</v>
      </c>
      <c r="CS106">
        <v>-3.1875</v>
      </c>
      <c r="CT106">
        <v>27</v>
      </c>
      <c r="CU106">
        <v>21.75</v>
      </c>
      <c r="CV106">
        <v>15</v>
      </c>
      <c r="CW106">
        <v>-1.4867682652031852E-3</v>
      </c>
      <c r="CX106">
        <v>17</v>
      </c>
      <c r="CY106">
        <v>-6.2127603354593559E-4</v>
      </c>
      <c r="CZ106">
        <v>32</v>
      </c>
      <c r="DA106">
        <v>0.22931261446886453</v>
      </c>
      <c r="DB106">
        <v>23</v>
      </c>
      <c r="DC106">
        <v>-1.25</v>
      </c>
      <c r="DD106">
        <v>0.6875</v>
      </c>
      <c r="DE106">
        <v>2.625</v>
      </c>
      <c r="DF106">
        <v>-1.3125</v>
      </c>
      <c r="DG106">
        <v>24.875</v>
      </c>
      <c r="DH106">
        <v>23.0625</v>
      </c>
      <c r="DI106">
        <v>6.375</v>
      </c>
      <c r="DJ106">
        <v>0.875</v>
      </c>
      <c r="DK106">
        <v>-5.4375</v>
      </c>
      <c r="DL106">
        <v>29</v>
      </c>
      <c r="DM106">
        <v>-10.552499999999998</v>
      </c>
      <c r="DN106">
        <v>-5.8829999999999991</v>
      </c>
      <c r="DO106">
        <v>16.6875</v>
      </c>
      <c r="DP106">
        <v>4</v>
      </c>
      <c r="DQ106">
        <v>1.5403124999999995</v>
      </c>
      <c r="DR106">
        <v>-0.875</v>
      </c>
      <c r="DS106">
        <v>-0.40395625000000002</v>
      </c>
      <c r="DT106">
        <v>0.42406250000000006</v>
      </c>
      <c r="DU106" t="s">
        <v>301</v>
      </c>
      <c r="DV106" t="s">
        <v>279</v>
      </c>
      <c r="DW106" t="s">
        <v>484</v>
      </c>
      <c r="DX106">
        <v>32</v>
      </c>
      <c r="DY106">
        <v>-6.1417999999999999</v>
      </c>
      <c r="DZ106">
        <v>5</v>
      </c>
      <c r="EA106">
        <v>10</v>
      </c>
      <c r="EB106">
        <v>2</v>
      </c>
      <c r="EC106">
        <v>6.2430000000000003</v>
      </c>
      <c r="ED106">
        <v>24</v>
      </c>
      <c r="EE106">
        <v>-2.0000000000000004</v>
      </c>
      <c r="EF106">
        <v>11</v>
      </c>
      <c r="EG106">
        <v>6.02</v>
      </c>
      <c r="EH106">
        <v>3</v>
      </c>
      <c r="EI106">
        <v>1.3800000000000001</v>
      </c>
      <c r="EJ106">
        <v>9</v>
      </c>
      <c r="EK106">
        <v>11.5</v>
      </c>
      <c r="EL106">
        <v>5</v>
      </c>
      <c r="EM106">
        <v>4.9749999999999996</v>
      </c>
      <c r="EN106">
        <v>25</v>
      </c>
      <c r="EO106">
        <v>-1.3700000000000003</v>
      </c>
      <c r="EP106">
        <v>12</v>
      </c>
      <c r="EQ106">
        <v>3.0099999999999993</v>
      </c>
      <c r="ER106">
        <v>4</v>
      </c>
      <c r="ES106">
        <v>1.3800000000000001</v>
      </c>
      <c r="ET106">
        <v>10</v>
      </c>
      <c r="EU106">
        <v>13</v>
      </c>
      <c r="EV106">
        <v>9</v>
      </c>
      <c r="EW106">
        <v>1.2680000000000002</v>
      </c>
      <c r="EX106">
        <v>19</v>
      </c>
      <c r="EY106">
        <v>-0.63000000000000012</v>
      </c>
      <c r="EZ106">
        <v>11</v>
      </c>
      <c r="FA106">
        <v>3.0100000000000007</v>
      </c>
      <c r="FB106">
        <v>16</v>
      </c>
      <c r="FC106">
        <v>0</v>
      </c>
      <c r="FD106">
        <v>26</v>
      </c>
      <c r="FE106">
        <v>25</v>
      </c>
      <c r="FF106">
        <v>30</v>
      </c>
      <c r="FG106">
        <v>-6.4320000000000004</v>
      </c>
      <c r="FH106">
        <v>29</v>
      </c>
      <c r="FI106">
        <v>-24.14</v>
      </c>
      <c r="FJ106">
        <v>16</v>
      </c>
      <c r="FK106">
        <v>0.2999999999999996</v>
      </c>
      <c r="FL106">
        <v>4</v>
      </c>
      <c r="FM106">
        <v>6</v>
      </c>
      <c r="FN106">
        <v>8</v>
      </c>
      <c r="FO106">
        <v>2.6969999999999996</v>
      </c>
      <c r="FP106">
        <v>7</v>
      </c>
      <c r="FQ106">
        <v>11.65</v>
      </c>
      <c r="FR106">
        <v>3</v>
      </c>
      <c r="FS106">
        <v>2.13</v>
      </c>
      <c r="FT106">
        <v>31</v>
      </c>
      <c r="FU106">
        <v>31</v>
      </c>
      <c r="FV106">
        <v>32</v>
      </c>
      <c r="FW106">
        <v>-5.4279999999999999</v>
      </c>
      <c r="FX106">
        <v>31</v>
      </c>
      <c r="FY106">
        <v>-18.740000000000002</v>
      </c>
      <c r="FZ106">
        <v>30</v>
      </c>
      <c r="GA106">
        <v>-0.88000000000000012</v>
      </c>
      <c r="GB106">
        <v>32</v>
      </c>
      <c r="GC106">
        <v>31</v>
      </c>
      <c r="GD106">
        <v>32</v>
      </c>
      <c r="GE106">
        <v>-3.7009999999999996</v>
      </c>
      <c r="GF106">
        <v>32</v>
      </c>
      <c r="GG106">
        <v>-17.05</v>
      </c>
      <c r="GH106">
        <v>29</v>
      </c>
      <c r="GI106">
        <v>-0.95000000000000018</v>
      </c>
      <c r="GJ106">
        <v>14</v>
      </c>
      <c r="GK106">
        <v>16.333333333333332</v>
      </c>
      <c r="GL106">
        <v>20</v>
      </c>
      <c r="GM106">
        <v>-1.3200000000000007</v>
      </c>
      <c r="GN106">
        <v>20</v>
      </c>
      <c r="GO106">
        <v>-5.6</v>
      </c>
      <c r="GP106">
        <v>9</v>
      </c>
      <c r="GQ106">
        <v>1.2100000000000002</v>
      </c>
      <c r="GR106">
        <v>26</v>
      </c>
      <c r="GS106">
        <v>23.666666666666668</v>
      </c>
      <c r="GT106">
        <v>28</v>
      </c>
      <c r="GU106">
        <v>-3.2049999999999996</v>
      </c>
      <c r="GV106">
        <v>-10.15</v>
      </c>
      <c r="GW106">
        <v>0.33999999999999986</v>
      </c>
      <c r="GX106">
        <v>21</v>
      </c>
      <c r="GY106">
        <v>20</v>
      </c>
      <c r="GZ106">
        <v>17</v>
      </c>
      <c r="HA106">
        <v>-0.31999999999999973</v>
      </c>
      <c r="HB106">
        <v>23</v>
      </c>
      <c r="HC106">
        <v>-0.38</v>
      </c>
      <c r="HD106">
        <v>-0.65999999999999992</v>
      </c>
      <c r="HE106">
        <v>18</v>
      </c>
      <c r="HF106">
        <v>17.5</v>
      </c>
      <c r="HG106">
        <v>13</v>
      </c>
      <c r="HH106">
        <v>9.2857200416039502E-3</v>
      </c>
      <c r="HI106">
        <v>28</v>
      </c>
      <c r="HJ106">
        <v>-2.0876834133487846E-2</v>
      </c>
      <c r="HK106">
        <v>19</v>
      </c>
      <c r="HL106">
        <v>1.2726889123947949E-2</v>
      </c>
      <c r="HM106">
        <v>10</v>
      </c>
      <c r="HN106">
        <v>0.79</v>
      </c>
      <c r="HO106">
        <v>-2.0399999999999978</v>
      </c>
      <c r="HP106">
        <v>-3.9499999999999993</v>
      </c>
      <c r="HQ106">
        <v>-0.71</v>
      </c>
      <c r="HR106">
        <v>-42.400000000000013</v>
      </c>
      <c r="HS106">
        <v>-44.87</v>
      </c>
      <c r="HT106">
        <v>3.7700000000000018</v>
      </c>
      <c r="HU106">
        <v>-2.95</v>
      </c>
      <c r="HV106">
        <v>1.6500000000000004</v>
      </c>
      <c r="HW106">
        <v>32</v>
      </c>
      <c r="HX106">
        <v>-12.3848</v>
      </c>
      <c r="HY106">
        <v>-6.2772600000000001</v>
      </c>
      <c r="HZ106">
        <v>-48.64</v>
      </c>
      <c r="IA106">
        <v>1</v>
      </c>
      <c r="IB106">
        <v>-1.231975</v>
      </c>
      <c r="IC106">
        <v>0.63999999999999946</v>
      </c>
    </row>
    <row r="107" spans="1:237" x14ac:dyDescent="0.2">
      <c r="A107" s="19">
        <v>44129</v>
      </c>
      <c r="B107" s="13" t="s">
        <v>250</v>
      </c>
      <c r="C107" s="41" t="s">
        <v>296</v>
      </c>
      <c r="D107" s="14" t="s">
        <v>294</v>
      </c>
      <c r="E107">
        <v>4.3</v>
      </c>
      <c r="F107">
        <v>17.899999999999999</v>
      </c>
      <c r="G107">
        <v>10.9</v>
      </c>
      <c r="H107">
        <v>10.9</v>
      </c>
      <c r="I107">
        <v>5</v>
      </c>
      <c r="J107">
        <v>44.5</v>
      </c>
      <c r="L107" t="s">
        <v>296</v>
      </c>
      <c r="M107">
        <v>31</v>
      </c>
      <c r="N107">
        <v>-7.4927999999999999</v>
      </c>
      <c r="O107">
        <v>29</v>
      </c>
      <c r="P107">
        <v>26.75</v>
      </c>
      <c r="Q107">
        <v>27</v>
      </c>
      <c r="R107">
        <v>-5.5159999999999991</v>
      </c>
      <c r="S107">
        <v>30</v>
      </c>
      <c r="T107">
        <v>-5.0400000000000009</v>
      </c>
      <c r="U107">
        <v>31</v>
      </c>
      <c r="V107">
        <v>-32.680000000000007</v>
      </c>
      <c r="W107">
        <v>19</v>
      </c>
      <c r="X107">
        <v>-0.24</v>
      </c>
      <c r="Y107">
        <v>25</v>
      </c>
      <c r="Z107">
        <v>22.666666666666668</v>
      </c>
      <c r="AA107">
        <v>25</v>
      </c>
      <c r="AB107">
        <v>-3.5279999999999987</v>
      </c>
      <c r="AC107">
        <v>30</v>
      </c>
      <c r="AD107">
        <v>-3.6400000000000006</v>
      </c>
      <c r="AE107">
        <v>31</v>
      </c>
      <c r="AF107">
        <v>-29.920000000000005</v>
      </c>
      <c r="AG107">
        <v>12</v>
      </c>
      <c r="AH107">
        <v>0.56000000000000005</v>
      </c>
      <c r="AI107">
        <v>28</v>
      </c>
      <c r="AJ107">
        <v>23.666666666666668</v>
      </c>
      <c r="AK107">
        <v>28</v>
      </c>
      <c r="AL107">
        <v>-1.9880000000000002</v>
      </c>
      <c r="AM107">
        <v>24</v>
      </c>
      <c r="AN107">
        <v>-1.4</v>
      </c>
      <c r="AO107">
        <v>17</v>
      </c>
      <c r="AP107">
        <v>-2.7600000000000007</v>
      </c>
      <c r="AQ107">
        <v>26</v>
      </c>
      <c r="AR107">
        <v>-0.8</v>
      </c>
      <c r="AS107">
        <v>27</v>
      </c>
      <c r="AT107">
        <v>25.333333333333332</v>
      </c>
      <c r="AU107">
        <v>29</v>
      </c>
      <c r="AV107">
        <v>-9.4271999999999991</v>
      </c>
      <c r="AW107">
        <v>26</v>
      </c>
      <c r="AX107">
        <v>-26.280000000000005</v>
      </c>
      <c r="AY107">
        <v>21</v>
      </c>
      <c r="AZ107">
        <v>-1.48</v>
      </c>
      <c r="BA107">
        <v>19</v>
      </c>
      <c r="BB107">
        <v>20</v>
      </c>
      <c r="BC107">
        <v>27</v>
      </c>
      <c r="BD107">
        <v>-3.2039999999999997</v>
      </c>
      <c r="BE107">
        <v>15</v>
      </c>
      <c r="BF107">
        <v>0.23999999999999916</v>
      </c>
      <c r="BG107">
        <v>18</v>
      </c>
      <c r="BH107">
        <v>-0.32000000000000012</v>
      </c>
      <c r="BI107">
        <v>29</v>
      </c>
      <c r="BJ107">
        <v>27.333333333333332</v>
      </c>
      <c r="BK107">
        <v>30</v>
      </c>
      <c r="BL107">
        <v>-4.4432</v>
      </c>
      <c r="BM107">
        <v>30</v>
      </c>
      <c r="BN107">
        <v>-19.440000000000001</v>
      </c>
      <c r="BO107">
        <v>22</v>
      </c>
      <c r="BP107">
        <v>-0.68</v>
      </c>
      <c r="BQ107">
        <v>25</v>
      </c>
      <c r="BR107">
        <v>23.333333333333332</v>
      </c>
      <c r="BS107">
        <v>26</v>
      </c>
      <c r="BT107">
        <v>-1.78</v>
      </c>
      <c r="BU107">
        <v>23</v>
      </c>
      <c r="BV107">
        <v>-7.080000000000001</v>
      </c>
      <c r="BW107">
        <v>21</v>
      </c>
      <c r="BX107">
        <v>-0.47999999999999987</v>
      </c>
      <c r="BY107">
        <v>28</v>
      </c>
      <c r="BZ107">
        <v>27.333333333333332</v>
      </c>
      <c r="CA107">
        <v>29</v>
      </c>
      <c r="CB107">
        <v>-5.7919999999999998</v>
      </c>
      <c r="CC107">
        <v>27</v>
      </c>
      <c r="CD107">
        <v>-19.52</v>
      </c>
      <c r="CE107">
        <v>26</v>
      </c>
      <c r="CF107">
        <v>-1.2799999999999998</v>
      </c>
      <c r="CG107">
        <v>17</v>
      </c>
      <c r="CH107">
        <v>16</v>
      </c>
      <c r="CI107">
        <v>19</v>
      </c>
      <c r="CJ107">
        <v>-1.3719999999999999</v>
      </c>
      <c r="CK107">
        <v>-5.3999999999999986</v>
      </c>
      <c r="CL107">
        <v>0.72</v>
      </c>
      <c r="CM107">
        <v>4</v>
      </c>
      <c r="CN107">
        <v>6</v>
      </c>
      <c r="CO107">
        <v>9</v>
      </c>
      <c r="CP107">
        <v>1.4400000000000006</v>
      </c>
      <c r="CQ107">
        <v>3</v>
      </c>
      <c r="CR107">
        <v>0.71999999999999986</v>
      </c>
      <c r="CS107">
        <v>0.24000000000000005</v>
      </c>
      <c r="CT107">
        <v>1</v>
      </c>
      <c r="CU107">
        <v>6</v>
      </c>
      <c r="CV107">
        <v>2</v>
      </c>
      <c r="CW107">
        <v>9.8796755448153417E-2</v>
      </c>
      <c r="CX107">
        <v>9</v>
      </c>
      <c r="CY107">
        <v>1.0748725366387111E-2</v>
      </c>
      <c r="CZ107">
        <v>12</v>
      </c>
      <c r="DA107">
        <v>-1.5078144078144073E-2</v>
      </c>
      <c r="DB107">
        <v>1</v>
      </c>
      <c r="DC107">
        <v>5.12</v>
      </c>
      <c r="DD107">
        <v>-5.6400000000000023</v>
      </c>
      <c r="DE107">
        <v>-10.44</v>
      </c>
      <c r="DF107">
        <v>1.8800000000000001</v>
      </c>
      <c r="DG107">
        <v>-60.000000000000014</v>
      </c>
      <c r="DH107">
        <v>-34.32</v>
      </c>
      <c r="DI107">
        <v>-37.28</v>
      </c>
      <c r="DJ107">
        <v>-1.5599999999999998</v>
      </c>
      <c r="DK107">
        <v>13.16</v>
      </c>
      <c r="DL107">
        <v>18</v>
      </c>
      <c r="DM107">
        <v>-1.976800000000001</v>
      </c>
      <c r="DN107">
        <v>-0.90040000000000076</v>
      </c>
      <c r="DO107">
        <v>2.9600000000000009</v>
      </c>
      <c r="DP107">
        <v>15</v>
      </c>
      <c r="DQ107">
        <v>-2.7959999999999998</v>
      </c>
      <c r="DR107">
        <v>-0.76</v>
      </c>
      <c r="DS107">
        <v>0.21796249999999995</v>
      </c>
      <c r="DT107">
        <v>-1.0523000000000002</v>
      </c>
      <c r="DU107" t="s">
        <v>294</v>
      </c>
      <c r="DV107" t="s">
        <v>290</v>
      </c>
      <c r="DW107" t="s">
        <v>469</v>
      </c>
      <c r="DX107">
        <v>5</v>
      </c>
      <c r="DY107">
        <v>4.6047999999999991</v>
      </c>
      <c r="DZ107">
        <v>21</v>
      </c>
      <c r="EA107">
        <v>19.25</v>
      </c>
      <c r="EB107">
        <v>20</v>
      </c>
      <c r="EC107">
        <v>-2.8639999999999999</v>
      </c>
      <c r="ED107">
        <v>16</v>
      </c>
      <c r="EE107">
        <v>0</v>
      </c>
      <c r="EF107">
        <v>26</v>
      </c>
      <c r="EG107">
        <v>-19.299999999999997</v>
      </c>
      <c r="EH107">
        <v>15</v>
      </c>
      <c r="EI107">
        <v>0.12000000000000005</v>
      </c>
      <c r="EJ107">
        <v>21</v>
      </c>
      <c r="EK107">
        <v>19.75</v>
      </c>
      <c r="EL107">
        <v>21</v>
      </c>
      <c r="EM107">
        <v>-1.5289999999999999</v>
      </c>
      <c r="EN107">
        <v>21</v>
      </c>
      <c r="EO107">
        <v>-0.37000000000000027</v>
      </c>
      <c r="EP107">
        <v>29</v>
      </c>
      <c r="EQ107">
        <v>-17.519999999999996</v>
      </c>
      <c r="ER107">
        <v>8</v>
      </c>
      <c r="ES107">
        <v>0.49000000000000005</v>
      </c>
      <c r="ET107">
        <v>22</v>
      </c>
      <c r="EU107">
        <v>21</v>
      </c>
      <c r="EV107">
        <v>27</v>
      </c>
      <c r="EW107">
        <v>-1.3349999999999997</v>
      </c>
      <c r="EX107">
        <v>16</v>
      </c>
      <c r="EY107">
        <v>0.36999999999999994</v>
      </c>
      <c r="EZ107">
        <v>20</v>
      </c>
      <c r="FA107">
        <v>-1.7799999999999998</v>
      </c>
      <c r="FB107">
        <v>21</v>
      </c>
      <c r="FC107">
        <v>-0.37</v>
      </c>
      <c r="FD107">
        <v>15</v>
      </c>
      <c r="FE107">
        <v>15.666666666666666</v>
      </c>
      <c r="FF107">
        <v>6</v>
      </c>
      <c r="FG107">
        <v>4.3300000000000018</v>
      </c>
      <c r="FH107">
        <v>21</v>
      </c>
      <c r="FI107">
        <v>-3.9499999999999984</v>
      </c>
      <c r="FJ107">
        <v>20</v>
      </c>
      <c r="FK107">
        <v>-0.43999999999999984</v>
      </c>
      <c r="FL107">
        <v>9</v>
      </c>
      <c r="FM107">
        <v>10.333333333333334</v>
      </c>
      <c r="FN107">
        <v>4</v>
      </c>
      <c r="FO107">
        <v>4.7440000000000015</v>
      </c>
      <c r="FP107">
        <v>13</v>
      </c>
      <c r="FQ107">
        <v>3.2100000000000009</v>
      </c>
      <c r="FR107">
        <v>14</v>
      </c>
      <c r="FS107">
        <v>0.51</v>
      </c>
      <c r="FT107">
        <v>27</v>
      </c>
      <c r="FU107">
        <v>24</v>
      </c>
      <c r="FV107">
        <v>22</v>
      </c>
      <c r="FW107">
        <v>-1.4239999999999999</v>
      </c>
      <c r="FX107">
        <v>19</v>
      </c>
      <c r="FY107">
        <v>-1.3999999999999992</v>
      </c>
      <c r="FZ107">
        <v>31</v>
      </c>
      <c r="GA107">
        <v>-1.39</v>
      </c>
      <c r="GB107">
        <v>9</v>
      </c>
      <c r="GC107">
        <v>14</v>
      </c>
      <c r="GD107">
        <v>10</v>
      </c>
      <c r="GE107">
        <v>1.0100000000000002</v>
      </c>
      <c r="GF107">
        <v>24</v>
      </c>
      <c r="GG107">
        <v>-5.76</v>
      </c>
      <c r="GH107">
        <v>8</v>
      </c>
      <c r="GI107">
        <v>0.44000000000000006</v>
      </c>
      <c r="GJ107">
        <v>23</v>
      </c>
      <c r="GK107">
        <v>21.666666666666668</v>
      </c>
      <c r="GL107">
        <v>21</v>
      </c>
      <c r="GM107">
        <v>-1.3979999999999986</v>
      </c>
      <c r="GN107">
        <v>24</v>
      </c>
      <c r="GO107">
        <v>-8.9799999999999986</v>
      </c>
      <c r="GP107">
        <v>20</v>
      </c>
      <c r="GQ107">
        <v>-0.71000000000000019</v>
      </c>
      <c r="GR107">
        <v>3</v>
      </c>
      <c r="GS107">
        <v>5.333333333333333</v>
      </c>
      <c r="GT107">
        <v>2</v>
      </c>
      <c r="GU107">
        <v>4.8650000000000002</v>
      </c>
      <c r="GV107">
        <v>12.57</v>
      </c>
      <c r="GW107">
        <v>0.58000000000000007</v>
      </c>
      <c r="GX107">
        <v>13</v>
      </c>
      <c r="GY107">
        <v>14.5</v>
      </c>
      <c r="GZ107">
        <v>11</v>
      </c>
      <c r="HA107">
        <v>0.97000000000000031</v>
      </c>
      <c r="HB107">
        <v>18</v>
      </c>
      <c r="HC107">
        <v>-0.24999999999999994</v>
      </c>
      <c r="HD107">
        <v>-0.97999999999999987</v>
      </c>
      <c r="HE107">
        <v>9</v>
      </c>
      <c r="HF107">
        <v>12.75</v>
      </c>
      <c r="HG107">
        <v>2</v>
      </c>
      <c r="HH107">
        <v>8.5754308694401565E-2</v>
      </c>
      <c r="HI107">
        <v>7</v>
      </c>
      <c r="HJ107">
        <v>1.6504972684694051E-2</v>
      </c>
      <c r="HK107">
        <v>31</v>
      </c>
      <c r="HL107">
        <v>0.13786324786324783</v>
      </c>
      <c r="HM107">
        <v>11</v>
      </c>
      <c r="HN107">
        <v>0.73999999999999977</v>
      </c>
      <c r="HO107">
        <v>2.1899999999999977</v>
      </c>
      <c r="HP107">
        <v>3.71</v>
      </c>
      <c r="HQ107">
        <v>-1.29</v>
      </c>
      <c r="HR107">
        <v>24.46</v>
      </c>
      <c r="HS107">
        <v>24.769999999999992</v>
      </c>
      <c r="HT107">
        <v>-25.870000000000005</v>
      </c>
      <c r="HU107">
        <v>16.669999999999998</v>
      </c>
      <c r="HV107">
        <v>8.89</v>
      </c>
      <c r="HW107">
        <v>5</v>
      </c>
      <c r="HX107">
        <v>7.468799999999999</v>
      </c>
      <c r="HY107">
        <v>4.1919599999999999</v>
      </c>
      <c r="HZ107">
        <v>50.64</v>
      </c>
      <c r="IA107">
        <v>28</v>
      </c>
      <c r="IB107">
        <v>1.4882250000000001</v>
      </c>
      <c r="IC107">
        <v>0.14000000000000024</v>
      </c>
    </row>
    <row r="108" spans="1:237" x14ac:dyDescent="0.2">
      <c r="A108" s="19">
        <v>44129</v>
      </c>
      <c r="B108" s="13" t="s">
        <v>250</v>
      </c>
      <c r="C108" s="41" t="s">
        <v>298</v>
      </c>
      <c r="D108" s="14" t="s">
        <v>276</v>
      </c>
      <c r="E108">
        <v>4.7</v>
      </c>
      <c r="F108">
        <v>7.5</v>
      </c>
      <c r="G108">
        <v>8.1999999999999993</v>
      </c>
      <c r="H108">
        <v>0</v>
      </c>
      <c r="I108">
        <v>9</v>
      </c>
      <c r="J108">
        <v>47</v>
      </c>
      <c r="L108" t="s">
        <v>298</v>
      </c>
      <c r="M108">
        <v>27</v>
      </c>
      <c r="N108">
        <v>-4.4635999999999987</v>
      </c>
      <c r="O108">
        <v>27</v>
      </c>
      <c r="P108">
        <v>23</v>
      </c>
      <c r="Q108">
        <v>28</v>
      </c>
      <c r="R108">
        <v>-6.1050000000000004</v>
      </c>
      <c r="S108">
        <v>17</v>
      </c>
      <c r="T108">
        <v>0.20999999999999974</v>
      </c>
      <c r="U108">
        <v>22</v>
      </c>
      <c r="V108">
        <v>-8.9499999999999993</v>
      </c>
      <c r="W108">
        <v>25</v>
      </c>
      <c r="X108">
        <v>-1.01</v>
      </c>
      <c r="Y108">
        <v>29</v>
      </c>
      <c r="Z108">
        <v>26.666666666666668</v>
      </c>
      <c r="AA108">
        <v>29</v>
      </c>
      <c r="AB108">
        <v>-6.1470000000000002</v>
      </c>
      <c r="AC108">
        <v>13</v>
      </c>
      <c r="AD108">
        <v>1.22</v>
      </c>
      <c r="AE108">
        <v>21</v>
      </c>
      <c r="AF108">
        <v>-5.3699999999999992</v>
      </c>
      <c r="AG108">
        <v>30</v>
      </c>
      <c r="AH108">
        <v>-1.65</v>
      </c>
      <c r="AI108">
        <v>13</v>
      </c>
      <c r="AJ108">
        <v>13</v>
      </c>
      <c r="AK108">
        <v>13</v>
      </c>
      <c r="AL108">
        <v>4.1999999999999552E-2</v>
      </c>
      <c r="AM108">
        <v>19</v>
      </c>
      <c r="AN108">
        <v>-1.0100000000000002</v>
      </c>
      <c r="AO108">
        <v>20</v>
      </c>
      <c r="AP108">
        <v>-3.5800000000000005</v>
      </c>
      <c r="AQ108">
        <v>6</v>
      </c>
      <c r="AR108">
        <v>0.6399999999999999</v>
      </c>
      <c r="AS108">
        <v>15</v>
      </c>
      <c r="AT108">
        <v>15.333333333333334</v>
      </c>
      <c r="AU108">
        <v>19</v>
      </c>
      <c r="AV108">
        <v>-1.5517999999999996</v>
      </c>
      <c r="AW108">
        <v>21</v>
      </c>
      <c r="AX108">
        <v>-11.389999999999999</v>
      </c>
      <c r="AY108">
        <v>6</v>
      </c>
      <c r="AZ108">
        <v>2.5000000000000004</v>
      </c>
      <c r="BA108">
        <v>3</v>
      </c>
      <c r="BB108">
        <v>6.333333333333333</v>
      </c>
      <c r="BC108">
        <v>5</v>
      </c>
      <c r="BD108">
        <v>3.3892000000000002</v>
      </c>
      <c r="BE108">
        <v>6</v>
      </c>
      <c r="BF108">
        <v>12.6</v>
      </c>
      <c r="BG108">
        <v>8</v>
      </c>
      <c r="BH108">
        <v>0.65</v>
      </c>
      <c r="BI108">
        <v>12</v>
      </c>
      <c r="BJ108">
        <v>12.666666666666666</v>
      </c>
      <c r="BK108">
        <v>19</v>
      </c>
      <c r="BL108">
        <v>-1.2829999999999999</v>
      </c>
      <c r="BM108">
        <v>13</v>
      </c>
      <c r="BN108">
        <v>-5.0000000000001418E-2</v>
      </c>
      <c r="BO108">
        <v>6</v>
      </c>
      <c r="BP108">
        <v>1.59</v>
      </c>
      <c r="BQ108">
        <v>28</v>
      </c>
      <c r="BR108">
        <v>26</v>
      </c>
      <c r="BS108">
        <v>31</v>
      </c>
      <c r="BT108">
        <v>-3.6579999999999999</v>
      </c>
      <c r="BU108">
        <v>32</v>
      </c>
      <c r="BV108">
        <v>-23.939999999999998</v>
      </c>
      <c r="BW108">
        <v>15</v>
      </c>
      <c r="BX108">
        <v>0.26000000000000006</v>
      </c>
      <c r="BY108">
        <v>8</v>
      </c>
      <c r="BZ108">
        <v>10.333333333333334</v>
      </c>
      <c r="CA108">
        <v>12</v>
      </c>
      <c r="CB108">
        <v>0.79000000000000026</v>
      </c>
      <c r="CC108">
        <v>10</v>
      </c>
      <c r="CD108">
        <v>10.199999999999999</v>
      </c>
      <c r="CE108">
        <v>9</v>
      </c>
      <c r="CF108">
        <v>1.27</v>
      </c>
      <c r="CG108">
        <v>27</v>
      </c>
      <c r="CH108">
        <v>25.666666666666668</v>
      </c>
      <c r="CI108">
        <v>23</v>
      </c>
      <c r="CJ108">
        <v>-2.8600000000000003</v>
      </c>
      <c r="CK108">
        <v>-15.64</v>
      </c>
      <c r="CL108">
        <v>-1.26</v>
      </c>
      <c r="CM108">
        <v>16</v>
      </c>
      <c r="CN108">
        <v>18.5</v>
      </c>
      <c r="CO108">
        <v>21</v>
      </c>
      <c r="CP108">
        <v>-1</v>
      </c>
      <c r="CQ108">
        <v>16</v>
      </c>
      <c r="CR108">
        <v>-6.0000000000000012E-2</v>
      </c>
      <c r="CS108">
        <v>-1.4600000000000002</v>
      </c>
      <c r="CT108">
        <v>5</v>
      </c>
      <c r="CU108">
        <v>10</v>
      </c>
      <c r="CV108">
        <v>3</v>
      </c>
      <c r="CW108">
        <v>9.2547016034524268E-2</v>
      </c>
      <c r="CX108">
        <v>14</v>
      </c>
      <c r="CY108">
        <v>4.1669825547457906E-4</v>
      </c>
      <c r="CZ108">
        <v>20</v>
      </c>
      <c r="DA108">
        <v>1.2842712842712855E-2</v>
      </c>
      <c r="DB108">
        <v>3</v>
      </c>
      <c r="DC108">
        <v>3.63</v>
      </c>
      <c r="DD108">
        <v>4.5699999999999985</v>
      </c>
      <c r="DE108">
        <v>-8.4299999999999979</v>
      </c>
      <c r="DF108">
        <v>0.21000000000000005</v>
      </c>
      <c r="DG108">
        <v>-35.1</v>
      </c>
      <c r="DH108">
        <v>-48.79</v>
      </c>
      <c r="DI108">
        <v>3.7500000000000013</v>
      </c>
      <c r="DJ108">
        <v>2.7199999999999998</v>
      </c>
      <c r="DK108">
        <v>7.2200000000000006</v>
      </c>
      <c r="DL108">
        <v>15</v>
      </c>
      <c r="DM108">
        <v>1.641400000000002</v>
      </c>
      <c r="DN108">
        <v>1.2774200000000004</v>
      </c>
      <c r="DO108">
        <v>-52.54</v>
      </c>
      <c r="DP108">
        <v>18</v>
      </c>
      <c r="DQ108">
        <v>-1.9975499999999995</v>
      </c>
      <c r="DR108">
        <v>1.2400000000000004</v>
      </c>
      <c r="DS108">
        <v>0.35889999999999989</v>
      </c>
      <c r="DT108">
        <v>0.4472000000000001</v>
      </c>
      <c r="DU108" t="s">
        <v>276</v>
      </c>
      <c r="DV108" t="s">
        <v>261</v>
      </c>
      <c r="DW108" t="s">
        <v>455</v>
      </c>
      <c r="DX108">
        <v>16</v>
      </c>
      <c r="DY108">
        <v>-0.33020000000000066</v>
      </c>
      <c r="DZ108">
        <v>14</v>
      </c>
      <c r="EA108">
        <v>15.25</v>
      </c>
      <c r="EB108">
        <v>13</v>
      </c>
      <c r="EC108">
        <v>0.77699999999999891</v>
      </c>
      <c r="ED108">
        <v>14</v>
      </c>
      <c r="EE108">
        <v>1.1200000000000001</v>
      </c>
      <c r="EF108">
        <v>15</v>
      </c>
      <c r="EG108">
        <v>3.5200000000000005</v>
      </c>
      <c r="EH108">
        <v>19</v>
      </c>
      <c r="EI108">
        <v>-2.9999999999999985E-2</v>
      </c>
      <c r="EJ108">
        <v>12</v>
      </c>
      <c r="EK108">
        <v>14</v>
      </c>
      <c r="EL108">
        <v>13</v>
      </c>
      <c r="EM108">
        <v>0.54699999999999882</v>
      </c>
      <c r="EN108">
        <v>18</v>
      </c>
      <c r="EO108">
        <v>-0.24999999999999964</v>
      </c>
      <c r="EP108">
        <v>9</v>
      </c>
      <c r="EQ108">
        <v>6.4</v>
      </c>
      <c r="ER108">
        <v>16</v>
      </c>
      <c r="ES108">
        <v>-0.1</v>
      </c>
      <c r="ET108">
        <v>10</v>
      </c>
      <c r="EU108">
        <v>13</v>
      </c>
      <c r="EV108">
        <v>12</v>
      </c>
      <c r="EW108">
        <v>0.23000000000000007</v>
      </c>
      <c r="EX108">
        <v>5</v>
      </c>
      <c r="EY108">
        <v>1.3699999999999997</v>
      </c>
      <c r="EZ108">
        <v>22</v>
      </c>
      <c r="FA108">
        <v>-2.88</v>
      </c>
      <c r="FB108">
        <v>14</v>
      </c>
      <c r="FC108">
        <v>7.0000000000000021E-2</v>
      </c>
      <c r="FD108">
        <v>11</v>
      </c>
      <c r="FE108">
        <v>13</v>
      </c>
      <c r="FF108">
        <v>15</v>
      </c>
      <c r="FG108">
        <v>-0.10000000000000031</v>
      </c>
      <c r="FH108">
        <v>16</v>
      </c>
      <c r="FI108">
        <v>0.56000000000000139</v>
      </c>
      <c r="FJ108">
        <v>8</v>
      </c>
      <c r="FK108">
        <v>1.3600000000000003</v>
      </c>
      <c r="FL108">
        <v>19</v>
      </c>
      <c r="FM108">
        <v>18</v>
      </c>
      <c r="FN108">
        <v>18</v>
      </c>
      <c r="FO108">
        <v>-0.30600000000000022</v>
      </c>
      <c r="FP108">
        <v>19</v>
      </c>
      <c r="FQ108">
        <v>-2.919999999999999</v>
      </c>
      <c r="FR108">
        <v>17</v>
      </c>
      <c r="FS108">
        <v>0.25999999999999995</v>
      </c>
      <c r="FT108">
        <v>3</v>
      </c>
      <c r="FU108">
        <v>5</v>
      </c>
      <c r="FV108">
        <v>7</v>
      </c>
      <c r="FW108">
        <v>2.0209999999999999</v>
      </c>
      <c r="FX108">
        <v>4</v>
      </c>
      <c r="FY108">
        <v>10.260000000000002</v>
      </c>
      <c r="FZ108">
        <v>4</v>
      </c>
      <c r="GA108">
        <v>1.1300000000000001</v>
      </c>
      <c r="GB108">
        <v>24</v>
      </c>
      <c r="GC108">
        <v>22.666666666666668</v>
      </c>
      <c r="GD108">
        <v>28</v>
      </c>
      <c r="GE108">
        <v>-1.8149999999999999</v>
      </c>
      <c r="GF108">
        <v>26</v>
      </c>
      <c r="GG108">
        <v>-6.7800000000000011</v>
      </c>
      <c r="GH108">
        <v>14</v>
      </c>
      <c r="GI108">
        <v>-2.9999999999999895E-2</v>
      </c>
      <c r="GJ108">
        <v>7</v>
      </c>
      <c r="GK108">
        <v>7</v>
      </c>
      <c r="GL108">
        <v>10</v>
      </c>
      <c r="GM108">
        <v>1.9149999999999998</v>
      </c>
      <c r="GN108">
        <v>8</v>
      </c>
      <c r="GO108">
        <v>10.45</v>
      </c>
      <c r="GP108">
        <v>3</v>
      </c>
      <c r="GQ108">
        <v>2.09</v>
      </c>
      <c r="GR108">
        <v>10</v>
      </c>
      <c r="GS108">
        <v>10.333333333333334</v>
      </c>
      <c r="GT108">
        <v>9</v>
      </c>
      <c r="GU108">
        <v>2.8180000000000001</v>
      </c>
      <c r="GV108">
        <v>5.8799999999999981</v>
      </c>
      <c r="GW108">
        <v>0.76000000000000012</v>
      </c>
      <c r="GX108">
        <v>23</v>
      </c>
      <c r="GY108">
        <v>22.5</v>
      </c>
      <c r="GZ108">
        <v>24</v>
      </c>
      <c r="HA108">
        <v>-1</v>
      </c>
      <c r="HB108">
        <v>21</v>
      </c>
      <c r="HC108">
        <v>-0.35999999999999993</v>
      </c>
      <c r="HD108">
        <v>-2.4300000000000002</v>
      </c>
      <c r="HE108">
        <v>23</v>
      </c>
      <c r="HF108">
        <v>20</v>
      </c>
      <c r="HG108">
        <v>19</v>
      </c>
      <c r="HH108">
        <v>-1.2175516842715506E-2</v>
      </c>
      <c r="HI108">
        <v>14</v>
      </c>
      <c r="HJ108">
        <v>-9.1437165228425436E-4</v>
      </c>
      <c r="HK108">
        <v>27</v>
      </c>
      <c r="HL108">
        <v>7.208658008658006E-2</v>
      </c>
      <c r="HM108">
        <v>20</v>
      </c>
      <c r="HN108">
        <v>-0.95000000000000018</v>
      </c>
      <c r="HO108">
        <v>0.91999999999999882</v>
      </c>
      <c r="HP108">
        <v>0.35</v>
      </c>
      <c r="HQ108">
        <v>-0.27999999999999997</v>
      </c>
      <c r="HR108">
        <v>10.010000000000002</v>
      </c>
      <c r="HS108">
        <v>-5.6400000000000095</v>
      </c>
      <c r="HT108">
        <v>9.7800000000000011</v>
      </c>
      <c r="HU108">
        <v>0.15999999999999998</v>
      </c>
      <c r="HV108">
        <v>5.7100000000000009</v>
      </c>
      <c r="HW108">
        <v>18</v>
      </c>
      <c r="HX108">
        <v>-1.1071999999999995</v>
      </c>
      <c r="HY108">
        <v>8.9060000000000361E-2</v>
      </c>
      <c r="HZ108">
        <v>-15.420000000000011</v>
      </c>
      <c r="IA108">
        <v>15</v>
      </c>
      <c r="IB108">
        <v>0.27059999999999973</v>
      </c>
      <c r="IC108">
        <v>2.1200000000000006</v>
      </c>
    </row>
    <row r="109" spans="1:237" x14ac:dyDescent="0.2">
      <c r="A109" s="19">
        <v>44129</v>
      </c>
      <c r="B109" s="13" t="s">
        <v>250</v>
      </c>
      <c r="C109" s="41" t="s">
        <v>294</v>
      </c>
      <c r="D109" s="14" t="s">
        <v>296</v>
      </c>
      <c r="E109">
        <v>12.3</v>
      </c>
      <c r="F109">
        <v>15.2</v>
      </c>
      <c r="G109">
        <v>7.6</v>
      </c>
      <c r="H109">
        <v>14.5</v>
      </c>
      <c r="I109">
        <v>-5</v>
      </c>
      <c r="J109">
        <v>44.5</v>
      </c>
      <c r="L109" t="s">
        <v>294</v>
      </c>
      <c r="M109">
        <v>9</v>
      </c>
      <c r="N109">
        <v>2.9288000000000012</v>
      </c>
      <c r="O109">
        <v>13</v>
      </c>
      <c r="P109">
        <v>13.75</v>
      </c>
      <c r="Q109">
        <v>16</v>
      </c>
      <c r="R109">
        <v>0.4139999999999997</v>
      </c>
      <c r="S109">
        <v>20</v>
      </c>
      <c r="T109">
        <v>-0.64000000000000012</v>
      </c>
      <c r="U109">
        <v>8</v>
      </c>
      <c r="V109">
        <v>18.350000000000001</v>
      </c>
      <c r="W109">
        <v>11</v>
      </c>
      <c r="X109">
        <v>0.53999999999999992</v>
      </c>
      <c r="Y109">
        <v>4</v>
      </c>
      <c r="Z109">
        <v>6.333333333333333</v>
      </c>
      <c r="AA109">
        <v>10</v>
      </c>
      <c r="AB109">
        <v>2.9259999999999997</v>
      </c>
      <c r="AC109">
        <v>18</v>
      </c>
      <c r="AD109">
        <v>-0.36000000000000015</v>
      </c>
      <c r="AE109">
        <v>2</v>
      </c>
      <c r="AF109">
        <v>25.07</v>
      </c>
      <c r="AG109">
        <v>7</v>
      </c>
      <c r="AH109">
        <v>1.19</v>
      </c>
      <c r="AI109">
        <v>30</v>
      </c>
      <c r="AJ109">
        <v>26.333333333333332</v>
      </c>
      <c r="AK109">
        <v>29</v>
      </c>
      <c r="AL109">
        <v>-2.512</v>
      </c>
      <c r="AM109">
        <v>16</v>
      </c>
      <c r="AN109">
        <v>-0.27999999999999997</v>
      </c>
      <c r="AO109">
        <v>26</v>
      </c>
      <c r="AP109">
        <v>-6.7200000000000006</v>
      </c>
      <c r="AQ109">
        <v>24</v>
      </c>
      <c r="AR109">
        <v>-0.65</v>
      </c>
      <c r="AS109">
        <v>16</v>
      </c>
      <c r="AT109">
        <v>16</v>
      </c>
      <c r="AU109">
        <v>16</v>
      </c>
      <c r="AV109">
        <v>0.18900000000000006</v>
      </c>
      <c r="AW109">
        <v>20</v>
      </c>
      <c r="AX109">
        <v>-9.8599999999999959</v>
      </c>
      <c r="AY109">
        <v>12</v>
      </c>
      <c r="AZ109">
        <v>0.77000000000000024</v>
      </c>
      <c r="BA109">
        <v>2</v>
      </c>
      <c r="BB109">
        <v>2</v>
      </c>
      <c r="BC109">
        <v>3</v>
      </c>
      <c r="BD109">
        <v>4.3630000000000004</v>
      </c>
      <c r="BE109">
        <v>2</v>
      </c>
      <c r="BF109">
        <v>19.630000000000003</v>
      </c>
      <c r="BG109">
        <v>1</v>
      </c>
      <c r="BH109">
        <v>2.5300000000000002</v>
      </c>
      <c r="BI109">
        <v>25</v>
      </c>
      <c r="BJ109">
        <v>25.666666666666668</v>
      </c>
      <c r="BK109">
        <v>23</v>
      </c>
      <c r="BL109">
        <v>-2.1170000000000009</v>
      </c>
      <c r="BM109">
        <v>28</v>
      </c>
      <c r="BN109">
        <v>-17.79</v>
      </c>
      <c r="BO109">
        <v>26</v>
      </c>
      <c r="BP109">
        <v>-1.21</v>
      </c>
      <c r="BQ109">
        <v>27</v>
      </c>
      <c r="BR109">
        <v>25.333333333333332</v>
      </c>
      <c r="BS109">
        <v>27</v>
      </c>
      <c r="BT109">
        <v>-2.0569999999999995</v>
      </c>
      <c r="BU109">
        <v>26</v>
      </c>
      <c r="BV109">
        <v>-11.7</v>
      </c>
      <c r="BW109">
        <v>23</v>
      </c>
      <c r="BX109">
        <v>-0.55000000000000004</v>
      </c>
      <c r="BY109">
        <v>19</v>
      </c>
      <c r="BZ109">
        <v>18</v>
      </c>
      <c r="CA109">
        <v>21</v>
      </c>
      <c r="CB109">
        <v>-1.9480000000000004</v>
      </c>
      <c r="CC109">
        <v>23</v>
      </c>
      <c r="CD109">
        <v>-15.280000000000001</v>
      </c>
      <c r="CE109">
        <v>10</v>
      </c>
      <c r="CF109">
        <v>1.22</v>
      </c>
      <c r="CG109">
        <v>16</v>
      </c>
      <c r="CH109">
        <v>14.666666666666666</v>
      </c>
      <c r="CI109">
        <v>21</v>
      </c>
      <c r="CJ109">
        <v>-2.0789999999999997</v>
      </c>
      <c r="CK109">
        <v>-4.1899999999999995</v>
      </c>
      <c r="CL109">
        <v>1.64</v>
      </c>
      <c r="CM109">
        <v>21</v>
      </c>
      <c r="CN109">
        <v>21.5</v>
      </c>
      <c r="CO109">
        <v>25</v>
      </c>
      <c r="CP109">
        <v>-1.4099999999999997</v>
      </c>
      <c r="CQ109">
        <v>18</v>
      </c>
      <c r="CR109">
        <v>-0.11999999999999993</v>
      </c>
      <c r="CS109">
        <v>0.73999999999999977</v>
      </c>
      <c r="CT109">
        <v>17</v>
      </c>
      <c r="CU109">
        <v>17.75</v>
      </c>
      <c r="CV109">
        <v>11</v>
      </c>
      <c r="CW109">
        <v>8.9748751067835145E-3</v>
      </c>
      <c r="CX109">
        <v>16</v>
      </c>
      <c r="CY109">
        <v>-1.7540470112133166E-4</v>
      </c>
      <c r="CZ109">
        <v>25</v>
      </c>
      <c r="DA109">
        <v>3.4799960273644473E-2</v>
      </c>
      <c r="DB109">
        <v>19</v>
      </c>
      <c r="DC109">
        <v>-0.97999999999999987</v>
      </c>
      <c r="DD109">
        <v>4.8800000000000008</v>
      </c>
      <c r="DE109">
        <v>2.38</v>
      </c>
      <c r="DF109">
        <v>0.83999999999999986</v>
      </c>
      <c r="DG109">
        <v>14.689999999999998</v>
      </c>
      <c r="DH109">
        <v>-16.73</v>
      </c>
      <c r="DI109">
        <v>12.490000000000002</v>
      </c>
      <c r="DJ109">
        <v>-5.41</v>
      </c>
      <c r="DK109">
        <v>24.34</v>
      </c>
      <c r="DL109">
        <v>13</v>
      </c>
      <c r="DM109">
        <v>2.5148000000000015</v>
      </c>
      <c r="DN109">
        <v>7.6000000000053802E-4</v>
      </c>
      <c r="DO109">
        <v>-29.220000000000002</v>
      </c>
      <c r="DP109">
        <v>20</v>
      </c>
      <c r="DQ109">
        <v>5.3500000000002434E-3</v>
      </c>
      <c r="DR109">
        <v>2.41</v>
      </c>
      <c r="DS109">
        <v>0.21796249999999995</v>
      </c>
      <c r="DT109">
        <v>1.4882250000000001</v>
      </c>
      <c r="DU109" t="s">
        <v>296</v>
      </c>
      <c r="DV109" t="s">
        <v>245</v>
      </c>
      <c r="DW109" t="s">
        <v>472</v>
      </c>
      <c r="DX109">
        <v>24</v>
      </c>
      <c r="DY109">
        <v>-2.6208000000000022</v>
      </c>
      <c r="DZ109">
        <v>13</v>
      </c>
      <c r="EA109">
        <v>13.25</v>
      </c>
      <c r="EB109">
        <v>6</v>
      </c>
      <c r="EC109">
        <v>4.3039999999999994</v>
      </c>
      <c r="ED109">
        <v>9</v>
      </c>
      <c r="EE109">
        <v>2.5999999999999996</v>
      </c>
      <c r="EF109">
        <v>17</v>
      </c>
      <c r="EG109">
        <v>2.5200000000000005</v>
      </c>
      <c r="EH109">
        <v>21</v>
      </c>
      <c r="EI109">
        <v>-0.4</v>
      </c>
      <c r="EJ109">
        <v>22</v>
      </c>
      <c r="EK109">
        <v>20</v>
      </c>
      <c r="EL109">
        <v>15</v>
      </c>
      <c r="EM109">
        <v>0.1039999999999992</v>
      </c>
      <c r="EN109">
        <v>17</v>
      </c>
      <c r="EO109">
        <v>-8.0000000000000432E-2</v>
      </c>
      <c r="EP109">
        <v>21</v>
      </c>
      <c r="EQ109">
        <v>-2.8799999999999981</v>
      </c>
      <c r="ER109">
        <v>27</v>
      </c>
      <c r="ES109">
        <v>-0.76</v>
      </c>
      <c r="ET109">
        <v>1</v>
      </c>
      <c r="EU109">
        <v>4</v>
      </c>
      <c r="EV109">
        <v>1</v>
      </c>
      <c r="EW109">
        <v>4.2</v>
      </c>
      <c r="EX109">
        <v>3</v>
      </c>
      <c r="EY109">
        <v>2.68</v>
      </c>
      <c r="EZ109">
        <v>8</v>
      </c>
      <c r="FA109">
        <v>5.3999999999999986</v>
      </c>
      <c r="FB109">
        <v>11</v>
      </c>
      <c r="FC109">
        <v>0.36</v>
      </c>
      <c r="FD109">
        <v>28</v>
      </c>
      <c r="FE109">
        <v>26.666666666666668</v>
      </c>
      <c r="FF109">
        <v>27</v>
      </c>
      <c r="FG109">
        <v>-5.2775999999999996</v>
      </c>
      <c r="FH109">
        <v>27</v>
      </c>
      <c r="FI109">
        <v>-19.960000000000008</v>
      </c>
      <c r="FJ109">
        <v>26</v>
      </c>
      <c r="FK109">
        <v>-1.6</v>
      </c>
      <c r="FL109">
        <v>30</v>
      </c>
      <c r="FM109">
        <v>28</v>
      </c>
      <c r="FN109">
        <v>31</v>
      </c>
      <c r="FO109">
        <v>-5.6</v>
      </c>
      <c r="FP109">
        <v>30</v>
      </c>
      <c r="FQ109">
        <v>-21.440000000000005</v>
      </c>
      <c r="FR109">
        <v>23</v>
      </c>
      <c r="FS109">
        <v>-0.95999999999999974</v>
      </c>
      <c r="FT109">
        <v>8</v>
      </c>
      <c r="FU109">
        <v>9.3333333333333339</v>
      </c>
      <c r="FV109">
        <v>12</v>
      </c>
      <c r="FW109">
        <v>0.28400000000000014</v>
      </c>
      <c r="FX109">
        <v>6</v>
      </c>
      <c r="FY109">
        <v>9.1199999999999974</v>
      </c>
      <c r="FZ109">
        <v>10</v>
      </c>
      <c r="GA109">
        <v>0.43999999999999984</v>
      </c>
      <c r="GB109">
        <v>27</v>
      </c>
      <c r="GC109">
        <v>24.333333333333332</v>
      </c>
      <c r="GD109">
        <v>15</v>
      </c>
      <c r="GE109">
        <v>3.8400000000000566E-2</v>
      </c>
      <c r="GF109">
        <v>28</v>
      </c>
      <c r="GG109">
        <v>-7.6400000000000006</v>
      </c>
      <c r="GH109">
        <v>30</v>
      </c>
      <c r="GI109">
        <v>-1.08</v>
      </c>
      <c r="GJ109">
        <v>32</v>
      </c>
      <c r="GK109">
        <v>32</v>
      </c>
      <c r="GL109">
        <v>32</v>
      </c>
      <c r="GM109">
        <v>-8.3240000000000016</v>
      </c>
      <c r="GN109">
        <v>32</v>
      </c>
      <c r="GO109">
        <v>-29.639999999999997</v>
      </c>
      <c r="GP109">
        <v>32</v>
      </c>
      <c r="GQ109">
        <v>-2.96</v>
      </c>
      <c r="GR109">
        <v>31</v>
      </c>
      <c r="GS109">
        <v>31.333333333333332</v>
      </c>
      <c r="GT109">
        <v>31</v>
      </c>
      <c r="GU109">
        <v>-7.1039999999999992</v>
      </c>
      <c r="GV109">
        <v>-26.32</v>
      </c>
      <c r="GW109">
        <v>-2.6399999999999997</v>
      </c>
      <c r="GX109">
        <v>3</v>
      </c>
      <c r="GY109">
        <v>5</v>
      </c>
      <c r="GZ109">
        <v>7</v>
      </c>
      <c r="HA109">
        <v>2.2800000000000002</v>
      </c>
      <c r="HB109">
        <v>3</v>
      </c>
      <c r="HC109">
        <v>1.08</v>
      </c>
      <c r="HD109">
        <v>5.12</v>
      </c>
      <c r="HE109">
        <v>10</v>
      </c>
      <c r="HF109">
        <v>13.75</v>
      </c>
      <c r="HG109">
        <v>9</v>
      </c>
      <c r="HH109">
        <v>1.9372975642845451E-2</v>
      </c>
      <c r="HI109">
        <v>10</v>
      </c>
      <c r="HJ109">
        <v>1.035739215837566E-2</v>
      </c>
      <c r="HK109">
        <v>22</v>
      </c>
      <c r="HL109">
        <v>2.8000000000000025E-2</v>
      </c>
      <c r="HM109">
        <v>14</v>
      </c>
      <c r="HN109">
        <v>0.24000000000000005</v>
      </c>
      <c r="HO109">
        <v>-1.2</v>
      </c>
      <c r="HP109">
        <v>0.16000000000000014</v>
      </c>
      <c r="HQ109">
        <v>1.1199999999999999</v>
      </c>
      <c r="HR109">
        <v>-23.600000000000012</v>
      </c>
      <c r="HS109">
        <v>-19.32</v>
      </c>
      <c r="HT109">
        <v>-2.9199999999999959</v>
      </c>
      <c r="HU109">
        <v>0.4799999999999997</v>
      </c>
      <c r="HV109">
        <v>-1.8399999999999999</v>
      </c>
      <c r="HW109">
        <v>27</v>
      </c>
      <c r="HX109">
        <v>-6.9248000000000012</v>
      </c>
      <c r="HY109">
        <v>-5.1524800000000006</v>
      </c>
      <c r="HZ109">
        <v>-16.400000000000006</v>
      </c>
      <c r="IA109">
        <v>6</v>
      </c>
      <c r="IB109">
        <v>-1.0523000000000002</v>
      </c>
      <c r="IC109">
        <v>-4.24</v>
      </c>
    </row>
    <row r="110" spans="1:237" x14ac:dyDescent="0.2">
      <c r="A110" s="19">
        <v>44129</v>
      </c>
      <c r="B110" s="13" t="s">
        <v>250</v>
      </c>
      <c r="C110" s="41" t="s">
        <v>309</v>
      </c>
      <c r="D110" s="14" t="s">
        <v>310</v>
      </c>
      <c r="E110">
        <v>29</v>
      </c>
      <c r="F110">
        <v>17.5</v>
      </c>
      <c r="G110">
        <v>0.8</v>
      </c>
      <c r="H110">
        <v>11</v>
      </c>
      <c r="I110">
        <v>1</v>
      </c>
      <c r="J110">
        <v>51</v>
      </c>
      <c r="L110" t="s">
        <v>309</v>
      </c>
      <c r="M110">
        <v>25</v>
      </c>
      <c r="N110">
        <v>-3.4935</v>
      </c>
      <c r="O110">
        <v>11</v>
      </c>
      <c r="P110">
        <v>12.5</v>
      </c>
      <c r="Q110">
        <v>7</v>
      </c>
      <c r="R110">
        <v>2.7287500000000002</v>
      </c>
      <c r="S110">
        <v>7</v>
      </c>
      <c r="T110">
        <v>2.9124999999999996</v>
      </c>
      <c r="U110">
        <v>6</v>
      </c>
      <c r="V110">
        <v>21.862500000000001</v>
      </c>
      <c r="W110">
        <v>30</v>
      </c>
      <c r="X110">
        <v>-2.2125000000000004</v>
      </c>
      <c r="Y110">
        <v>11</v>
      </c>
      <c r="Z110">
        <v>12.666666666666666</v>
      </c>
      <c r="AA110">
        <v>7</v>
      </c>
      <c r="AB110">
        <v>3.9262500000000005</v>
      </c>
      <c r="AC110">
        <v>6</v>
      </c>
      <c r="AD110">
        <v>2.8749999999999996</v>
      </c>
      <c r="AE110">
        <v>4</v>
      </c>
      <c r="AF110">
        <v>21.9375</v>
      </c>
      <c r="AG110">
        <v>27</v>
      </c>
      <c r="AH110">
        <v>-1.2625000000000002</v>
      </c>
      <c r="AI110">
        <v>22</v>
      </c>
      <c r="AJ110">
        <v>21</v>
      </c>
      <c r="AK110">
        <v>22</v>
      </c>
      <c r="AL110">
        <v>-1.1975000000000002</v>
      </c>
      <c r="AM110">
        <v>13</v>
      </c>
      <c r="AN110">
        <v>3.7499999999999978E-2</v>
      </c>
      <c r="AO110">
        <v>13</v>
      </c>
      <c r="AP110">
        <v>-7.5000000000000178E-2</v>
      </c>
      <c r="AQ110">
        <v>28</v>
      </c>
      <c r="AR110">
        <v>-0.95000000000000007</v>
      </c>
      <c r="AS110">
        <v>12</v>
      </c>
      <c r="AT110">
        <v>13</v>
      </c>
      <c r="AU110">
        <v>8</v>
      </c>
      <c r="AV110">
        <v>5.4912500000000035</v>
      </c>
      <c r="AW110">
        <v>12</v>
      </c>
      <c r="AX110">
        <v>5.0624999999999982</v>
      </c>
      <c r="AY110">
        <v>19</v>
      </c>
      <c r="AZ110">
        <v>-0.32499999999999996</v>
      </c>
      <c r="BA110">
        <v>9</v>
      </c>
      <c r="BB110">
        <v>7.666666666666667</v>
      </c>
      <c r="BC110">
        <v>2</v>
      </c>
      <c r="BD110">
        <v>7.3175000000000026</v>
      </c>
      <c r="BE110">
        <v>7</v>
      </c>
      <c r="BF110">
        <v>11.549999999999999</v>
      </c>
      <c r="BG110">
        <v>14</v>
      </c>
      <c r="BH110">
        <v>0.16250000000000009</v>
      </c>
      <c r="BI110">
        <v>14</v>
      </c>
      <c r="BJ110">
        <v>15.666666666666666</v>
      </c>
      <c r="BK110">
        <v>17</v>
      </c>
      <c r="BL110">
        <v>-1.0037499999999995</v>
      </c>
      <c r="BM110">
        <v>19</v>
      </c>
      <c r="BN110">
        <v>-3.5625</v>
      </c>
      <c r="BO110">
        <v>11</v>
      </c>
      <c r="BP110">
        <v>0.73750000000000004</v>
      </c>
      <c r="BQ110">
        <v>22</v>
      </c>
      <c r="BR110">
        <v>21.666666666666668</v>
      </c>
      <c r="BS110">
        <v>19</v>
      </c>
      <c r="BT110">
        <v>-0.82249999999999979</v>
      </c>
      <c r="BU110">
        <v>19</v>
      </c>
      <c r="BV110">
        <v>-2.9250000000000007</v>
      </c>
      <c r="BW110">
        <v>27</v>
      </c>
      <c r="BX110">
        <v>-1.2250000000000001</v>
      </c>
      <c r="BY110">
        <v>32</v>
      </c>
      <c r="BZ110">
        <v>30.333333333333332</v>
      </c>
      <c r="CA110">
        <v>28</v>
      </c>
      <c r="CB110">
        <v>-5.0324999999999998</v>
      </c>
      <c r="CC110">
        <v>32</v>
      </c>
      <c r="CD110">
        <v>-36.950000000000003</v>
      </c>
      <c r="CE110">
        <v>31</v>
      </c>
      <c r="CF110">
        <v>-3.6125000000000003</v>
      </c>
      <c r="CG110">
        <v>22</v>
      </c>
      <c r="CH110">
        <v>22.666666666666668</v>
      </c>
      <c r="CI110">
        <v>24</v>
      </c>
      <c r="CJ110">
        <v>-3.145</v>
      </c>
      <c r="CK110">
        <v>-10.549999999999999</v>
      </c>
      <c r="CL110">
        <v>-0.625</v>
      </c>
      <c r="CM110">
        <v>26</v>
      </c>
      <c r="CN110">
        <v>24</v>
      </c>
      <c r="CO110">
        <v>18</v>
      </c>
      <c r="CP110">
        <v>-0.44999999999999996</v>
      </c>
      <c r="CQ110">
        <v>30</v>
      </c>
      <c r="CR110">
        <v>-0.72499999999999998</v>
      </c>
      <c r="CS110">
        <v>4.1749999999999998</v>
      </c>
      <c r="CT110">
        <v>32</v>
      </c>
      <c r="CU110">
        <v>26.25</v>
      </c>
      <c r="CV110">
        <v>32</v>
      </c>
      <c r="CW110">
        <v>-0.1038318902790057</v>
      </c>
      <c r="CX110">
        <v>31</v>
      </c>
      <c r="CY110">
        <v>-2.6467940427175533E-2</v>
      </c>
      <c r="CZ110">
        <v>10</v>
      </c>
      <c r="DA110">
        <v>-4.3067765567765565E-2</v>
      </c>
      <c r="DB110">
        <v>32</v>
      </c>
      <c r="DC110">
        <v>-4.5625</v>
      </c>
      <c r="DD110">
        <v>-0.58749999999999858</v>
      </c>
      <c r="DE110">
        <v>3.8624999999999998</v>
      </c>
      <c r="DF110">
        <v>0.51250000000000007</v>
      </c>
      <c r="DG110">
        <v>-24.075000000000003</v>
      </c>
      <c r="DH110">
        <v>-32.637500000000017</v>
      </c>
      <c r="DI110">
        <v>20.487500000000004</v>
      </c>
      <c r="DJ110">
        <v>10.500000000000002</v>
      </c>
      <c r="DK110">
        <v>-22.425000000000001</v>
      </c>
      <c r="DL110">
        <v>26</v>
      </c>
      <c r="DM110">
        <v>-6.2222500000000007</v>
      </c>
      <c r="DN110">
        <v>-1.5938249999999994</v>
      </c>
      <c r="DO110">
        <v>-53.125000000000021</v>
      </c>
      <c r="DP110">
        <v>7</v>
      </c>
      <c r="DQ110">
        <v>0.14143750000000052</v>
      </c>
      <c r="DR110">
        <v>-0.95</v>
      </c>
      <c r="DS110">
        <v>0.34243749999999973</v>
      </c>
      <c r="DT110">
        <v>-1.5783750000000003</v>
      </c>
      <c r="DU110" t="s">
        <v>310</v>
      </c>
      <c r="DV110" t="s">
        <v>286</v>
      </c>
      <c r="DW110" t="s">
        <v>479</v>
      </c>
      <c r="DX110">
        <v>8</v>
      </c>
      <c r="DY110">
        <v>3.3860000000000019</v>
      </c>
      <c r="DZ110">
        <v>2</v>
      </c>
      <c r="EA110">
        <v>7.5</v>
      </c>
      <c r="EB110">
        <v>3</v>
      </c>
      <c r="EC110">
        <v>5.2099999999999991</v>
      </c>
      <c r="ED110">
        <v>5</v>
      </c>
      <c r="EE110">
        <v>3.4</v>
      </c>
      <c r="EF110">
        <v>2</v>
      </c>
      <c r="EG110">
        <v>34</v>
      </c>
      <c r="EH110">
        <v>20</v>
      </c>
      <c r="EI110">
        <v>-0.20000000000000007</v>
      </c>
      <c r="EJ110">
        <v>6</v>
      </c>
      <c r="EK110">
        <v>10</v>
      </c>
      <c r="EL110">
        <v>8</v>
      </c>
      <c r="EM110">
        <v>2.5499999999999989</v>
      </c>
      <c r="EN110">
        <v>4</v>
      </c>
      <c r="EO110">
        <v>2.15</v>
      </c>
      <c r="EP110">
        <v>3</v>
      </c>
      <c r="EQ110">
        <v>27.4</v>
      </c>
      <c r="ER110">
        <v>25</v>
      </c>
      <c r="ES110">
        <v>-0.70000000000000007</v>
      </c>
      <c r="ET110">
        <v>3</v>
      </c>
      <c r="EU110">
        <v>4.666666666666667</v>
      </c>
      <c r="EV110">
        <v>2</v>
      </c>
      <c r="EW110">
        <v>2.6599999999999997</v>
      </c>
      <c r="EX110">
        <v>7</v>
      </c>
      <c r="EY110">
        <v>1.25</v>
      </c>
      <c r="EZ110">
        <v>5</v>
      </c>
      <c r="FA110">
        <v>6.6000000000000005</v>
      </c>
      <c r="FB110">
        <v>8</v>
      </c>
      <c r="FC110">
        <v>0.5</v>
      </c>
      <c r="FD110">
        <v>3</v>
      </c>
      <c r="FE110">
        <v>4.666666666666667</v>
      </c>
      <c r="FF110">
        <v>4</v>
      </c>
      <c r="FG110">
        <v>6.339999999999999</v>
      </c>
      <c r="FH110">
        <v>7</v>
      </c>
      <c r="FI110">
        <v>15.549999999999999</v>
      </c>
      <c r="FJ110">
        <v>3</v>
      </c>
      <c r="FK110">
        <v>1.9500000000000002</v>
      </c>
      <c r="FL110">
        <v>6</v>
      </c>
      <c r="FM110">
        <v>6.666666666666667</v>
      </c>
      <c r="FN110">
        <v>11</v>
      </c>
      <c r="FO110">
        <v>1.4200000000000004</v>
      </c>
      <c r="FP110">
        <v>3</v>
      </c>
      <c r="FQ110">
        <v>16</v>
      </c>
      <c r="FR110">
        <v>6</v>
      </c>
      <c r="FS110">
        <v>1.0500000000000003</v>
      </c>
      <c r="FT110">
        <v>5</v>
      </c>
      <c r="FU110">
        <v>6.666666666666667</v>
      </c>
      <c r="FV110">
        <v>5</v>
      </c>
      <c r="FW110">
        <v>3.2649999999999988</v>
      </c>
      <c r="FX110">
        <v>10</v>
      </c>
      <c r="FY110">
        <v>3.5</v>
      </c>
      <c r="FZ110">
        <v>5</v>
      </c>
      <c r="GA110">
        <v>0.89999999999999991</v>
      </c>
      <c r="GB110">
        <v>10</v>
      </c>
      <c r="GC110">
        <v>14.333333333333334</v>
      </c>
      <c r="GD110">
        <v>8</v>
      </c>
      <c r="GE110">
        <v>1.655</v>
      </c>
      <c r="GF110">
        <v>22</v>
      </c>
      <c r="GG110">
        <v>-3.9500000000000011</v>
      </c>
      <c r="GH110">
        <v>13</v>
      </c>
      <c r="GI110">
        <v>0</v>
      </c>
      <c r="GJ110">
        <v>6</v>
      </c>
      <c r="GK110">
        <v>6.333333333333333</v>
      </c>
      <c r="GL110">
        <v>5</v>
      </c>
      <c r="GM110">
        <v>3.7600000000000011</v>
      </c>
      <c r="GN110">
        <v>7</v>
      </c>
      <c r="GO110">
        <v>11.100000000000005</v>
      </c>
      <c r="GP110">
        <v>7</v>
      </c>
      <c r="GQ110">
        <v>1.3499999999999999</v>
      </c>
      <c r="GR110">
        <v>6</v>
      </c>
      <c r="GS110">
        <v>7.333333333333333</v>
      </c>
      <c r="GT110">
        <v>4</v>
      </c>
      <c r="GU110">
        <v>3.7199999999999998</v>
      </c>
      <c r="GV110">
        <v>6.1999999999999993</v>
      </c>
      <c r="GW110">
        <v>0.94999999999999973</v>
      </c>
      <c r="GX110">
        <v>20</v>
      </c>
      <c r="GY110">
        <v>19.5</v>
      </c>
      <c r="GZ110">
        <v>19</v>
      </c>
      <c r="HA110">
        <v>-0.55000000000000004</v>
      </c>
      <c r="HB110">
        <v>20</v>
      </c>
      <c r="HC110">
        <v>-0.35</v>
      </c>
      <c r="HD110">
        <v>-2.1</v>
      </c>
      <c r="HE110">
        <v>25</v>
      </c>
      <c r="HF110">
        <v>21</v>
      </c>
      <c r="HG110">
        <v>18</v>
      </c>
      <c r="HH110">
        <v>-2.7696330308184941E-3</v>
      </c>
      <c r="HI110">
        <v>26</v>
      </c>
      <c r="HJ110">
        <v>-1.6056418797537879E-2</v>
      </c>
      <c r="HK110">
        <v>16</v>
      </c>
      <c r="HL110">
        <v>-5.5932955932955775E-3</v>
      </c>
      <c r="HM110">
        <v>24</v>
      </c>
      <c r="HN110">
        <v>-1.55</v>
      </c>
      <c r="HO110">
        <v>4.4500000000000011</v>
      </c>
      <c r="HP110">
        <v>4.3</v>
      </c>
      <c r="HQ110">
        <v>0</v>
      </c>
      <c r="HR110">
        <v>63.149999999999991</v>
      </c>
      <c r="HS110">
        <v>18.549999999999997</v>
      </c>
      <c r="HT110">
        <v>32.300000000000004</v>
      </c>
      <c r="HU110">
        <v>6.6000000000000005</v>
      </c>
      <c r="HV110">
        <v>5.7000000000000011</v>
      </c>
      <c r="HW110">
        <v>20</v>
      </c>
      <c r="HX110">
        <v>-1.8239999999999972</v>
      </c>
      <c r="HY110">
        <v>8.4200000000000941E-2</v>
      </c>
      <c r="HZ110">
        <v>-13.750000000000007</v>
      </c>
      <c r="IA110">
        <v>13</v>
      </c>
      <c r="IB110">
        <v>2.2632499999999998</v>
      </c>
      <c r="IC110">
        <v>2.9</v>
      </c>
    </row>
    <row r="111" spans="1:237" x14ac:dyDescent="0.2">
      <c r="A111" s="19">
        <v>44129</v>
      </c>
      <c r="B111" s="14" t="s">
        <v>250</v>
      </c>
      <c r="C111" s="40" t="s">
        <v>256</v>
      </c>
      <c r="D111" s="13" t="s">
        <v>302</v>
      </c>
      <c r="E111">
        <v>12.2</v>
      </c>
      <c r="F111">
        <v>20.5</v>
      </c>
      <c r="G111">
        <v>0</v>
      </c>
      <c r="H111">
        <v>10.5</v>
      </c>
      <c r="I111">
        <v>3</v>
      </c>
      <c r="J111">
        <v>44</v>
      </c>
      <c r="K111" t="s">
        <v>735</v>
      </c>
      <c r="L111" t="s">
        <v>256</v>
      </c>
      <c r="M111">
        <v>30</v>
      </c>
      <c r="N111">
        <v>-5.8304</v>
      </c>
      <c r="O111">
        <v>17</v>
      </c>
      <c r="P111">
        <v>16</v>
      </c>
      <c r="Q111">
        <v>15</v>
      </c>
      <c r="R111">
        <v>0.98399999999999999</v>
      </c>
      <c r="S111">
        <v>15</v>
      </c>
      <c r="T111">
        <v>0.72</v>
      </c>
      <c r="U111">
        <v>16</v>
      </c>
      <c r="V111">
        <v>0.91999999999999904</v>
      </c>
      <c r="W111">
        <v>18</v>
      </c>
      <c r="X111">
        <v>-0.23999999999999982</v>
      </c>
      <c r="Y111">
        <v>16</v>
      </c>
      <c r="Z111">
        <v>14</v>
      </c>
      <c r="AA111">
        <v>16</v>
      </c>
      <c r="AB111">
        <v>0.30400000000000027</v>
      </c>
      <c r="AC111">
        <v>22</v>
      </c>
      <c r="AD111">
        <v>-1.2000000000000004</v>
      </c>
      <c r="AE111">
        <v>12</v>
      </c>
      <c r="AF111">
        <v>5.8</v>
      </c>
      <c r="AG111">
        <v>14</v>
      </c>
      <c r="AH111">
        <v>0.32000000000000012</v>
      </c>
      <c r="AI111">
        <v>18</v>
      </c>
      <c r="AJ111">
        <v>17.666666666666668</v>
      </c>
      <c r="AK111">
        <v>10</v>
      </c>
      <c r="AL111">
        <v>0.67999999999999972</v>
      </c>
      <c r="AM111">
        <v>6</v>
      </c>
      <c r="AN111">
        <v>1.9200000000000004</v>
      </c>
      <c r="AO111">
        <v>21</v>
      </c>
      <c r="AP111">
        <v>-4.8800000000000008</v>
      </c>
      <c r="AQ111">
        <v>22</v>
      </c>
      <c r="AR111">
        <v>-0.55999999999999994</v>
      </c>
      <c r="AS111">
        <v>28</v>
      </c>
      <c r="AT111">
        <v>28</v>
      </c>
      <c r="AU111">
        <v>27</v>
      </c>
      <c r="AV111">
        <v>-4.8616000000000001</v>
      </c>
      <c r="AW111">
        <v>29</v>
      </c>
      <c r="AX111">
        <v>-31.040000000000003</v>
      </c>
      <c r="AY111">
        <v>28</v>
      </c>
      <c r="AZ111">
        <v>-2.8400000000000003</v>
      </c>
      <c r="BA111">
        <v>26</v>
      </c>
      <c r="BB111">
        <v>23.333333333333332</v>
      </c>
      <c r="BC111">
        <v>20</v>
      </c>
      <c r="BD111">
        <v>-0.48799999999999955</v>
      </c>
      <c r="BE111">
        <v>25</v>
      </c>
      <c r="BF111">
        <v>-10</v>
      </c>
      <c r="BG111">
        <v>25</v>
      </c>
      <c r="BH111">
        <v>-1.0400000000000003</v>
      </c>
      <c r="BI111">
        <v>27</v>
      </c>
      <c r="BJ111">
        <v>26</v>
      </c>
      <c r="BK111">
        <v>27</v>
      </c>
      <c r="BL111">
        <v>-2.992</v>
      </c>
      <c r="BM111">
        <v>27</v>
      </c>
      <c r="BN111">
        <v>-16.040000000000003</v>
      </c>
      <c r="BO111">
        <v>24</v>
      </c>
      <c r="BP111">
        <v>-1.08</v>
      </c>
      <c r="BQ111">
        <v>23</v>
      </c>
      <c r="BR111">
        <v>22.666666666666668</v>
      </c>
      <c r="BS111">
        <v>23</v>
      </c>
      <c r="BT111">
        <v>-1.3816000000000004</v>
      </c>
      <c r="BU111">
        <v>21</v>
      </c>
      <c r="BV111">
        <v>-5</v>
      </c>
      <c r="BW111">
        <v>24</v>
      </c>
      <c r="BX111">
        <v>-0.72000000000000008</v>
      </c>
      <c r="BY111">
        <v>4</v>
      </c>
      <c r="BZ111">
        <v>5.666666666666667</v>
      </c>
      <c r="CA111">
        <v>3</v>
      </c>
      <c r="CB111">
        <v>6.9759999999999991</v>
      </c>
      <c r="CC111">
        <v>3</v>
      </c>
      <c r="CD111">
        <v>26.560000000000002</v>
      </c>
      <c r="CE111">
        <v>11</v>
      </c>
      <c r="CF111">
        <v>1.1600000000000001</v>
      </c>
      <c r="CG111">
        <v>1</v>
      </c>
      <c r="CH111">
        <v>1</v>
      </c>
      <c r="CI111">
        <v>1</v>
      </c>
      <c r="CJ111">
        <v>10.5</v>
      </c>
      <c r="CK111">
        <v>42.12</v>
      </c>
      <c r="CL111">
        <v>4.32</v>
      </c>
      <c r="CM111">
        <v>20</v>
      </c>
      <c r="CN111">
        <v>21</v>
      </c>
      <c r="CO111">
        <v>20</v>
      </c>
      <c r="CP111">
        <v>-0.79999999999999982</v>
      </c>
      <c r="CQ111">
        <v>22</v>
      </c>
      <c r="CR111">
        <v>-0.28000000000000003</v>
      </c>
      <c r="CS111">
        <v>-1.8</v>
      </c>
      <c r="CT111">
        <v>13</v>
      </c>
      <c r="CU111">
        <v>15.25</v>
      </c>
      <c r="CV111">
        <v>17</v>
      </c>
      <c r="CW111">
        <v>-3.1018302782164276E-3</v>
      </c>
      <c r="CX111">
        <v>11</v>
      </c>
      <c r="CY111">
        <v>6.3502269814248143E-3</v>
      </c>
      <c r="CZ111">
        <v>21</v>
      </c>
      <c r="DA111">
        <v>1.6082029082029093E-2</v>
      </c>
      <c r="DB111">
        <v>12</v>
      </c>
      <c r="DC111">
        <v>-0.11999999999999993</v>
      </c>
      <c r="DD111">
        <v>2.3600000000000008</v>
      </c>
      <c r="DE111">
        <v>1.6800000000000004</v>
      </c>
      <c r="DF111">
        <v>-0.91999999999999993</v>
      </c>
      <c r="DG111">
        <v>20.399999999999999</v>
      </c>
      <c r="DH111">
        <v>7.8</v>
      </c>
      <c r="DI111">
        <v>16.96</v>
      </c>
      <c r="DJ111">
        <v>6.6400000000000006</v>
      </c>
      <c r="DK111">
        <v>-11</v>
      </c>
      <c r="DL111">
        <v>27</v>
      </c>
      <c r="DM111">
        <v>-6.8144</v>
      </c>
      <c r="DN111">
        <v>-0.53039999999999998</v>
      </c>
      <c r="DO111">
        <v>-9.16</v>
      </c>
      <c r="DP111">
        <v>6</v>
      </c>
      <c r="DQ111">
        <v>-1.0000000000000009E-3</v>
      </c>
      <c r="DR111">
        <v>1.48</v>
      </c>
      <c r="DS111">
        <v>-1.2971218749999998</v>
      </c>
      <c r="DT111">
        <v>-0.59239999999999982</v>
      </c>
      <c r="DU111" t="s">
        <v>302</v>
      </c>
      <c r="DV111" t="s">
        <v>292</v>
      </c>
      <c r="DW111" t="s">
        <v>464</v>
      </c>
      <c r="DX111">
        <v>29</v>
      </c>
      <c r="DY111">
        <v>-4.8834999999999988</v>
      </c>
      <c r="DZ111">
        <v>24</v>
      </c>
      <c r="EA111">
        <v>20</v>
      </c>
      <c r="EB111">
        <v>26</v>
      </c>
      <c r="EC111">
        <v>-3.6149999999999993</v>
      </c>
      <c r="ED111">
        <v>12</v>
      </c>
      <c r="EE111">
        <v>1.4500000000000004</v>
      </c>
      <c r="EF111">
        <v>12</v>
      </c>
      <c r="EG111">
        <v>5.9874999999999989</v>
      </c>
      <c r="EH111">
        <v>30</v>
      </c>
      <c r="EI111">
        <v>-1.5874999999999999</v>
      </c>
      <c r="EJ111">
        <v>20</v>
      </c>
      <c r="EK111">
        <v>19</v>
      </c>
      <c r="EL111">
        <v>22</v>
      </c>
      <c r="EM111">
        <v>-2.4699999999999993</v>
      </c>
      <c r="EN111">
        <v>12</v>
      </c>
      <c r="EO111">
        <v>0.83750000000000036</v>
      </c>
      <c r="EP111">
        <v>10</v>
      </c>
      <c r="EQ111">
        <v>5.1499999999999986</v>
      </c>
      <c r="ER111">
        <v>32</v>
      </c>
      <c r="ES111">
        <v>-1.6375</v>
      </c>
      <c r="ET111">
        <v>20</v>
      </c>
      <c r="EU111">
        <v>18.333333333333332</v>
      </c>
      <c r="EV111">
        <v>25</v>
      </c>
      <c r="EW111">
        <v>-1.1449999999999998</v>
      </c>
      <c r="EX111">
        <v>13</v>
      </c>
      <c r="EY111">
        <v>0.61250000000000004</v>
      </c>
      <c r="EZ111">
        <v>17</v>
      </c>
      <c r="FA111">
        <v>0.83749999999999991</v>
      </c>
      <c r="FB111">
        <v>15</v>
      </c>
      <c r="FC111">
        <v>4.9999999999999989E-2</v>
      </c>
      <c r="FD111">
        <v>17</v>
      </c>
      <c r="FE111">
        <v>17.333333333333332</v>
      </c>
      <c r="FF111">
        <v>17</v>
      </c>
      <c r="FG111">
        <v>-0.46625000000000183</v>
      </c>
      <c r="FH111">
        <v>22</v>
      </c>
      <c r="FI111">
        <v>-4.9999999999999982</v>
      </c>
      <c r="FJ111">
        <v>13</v>
      </c>
      <c r="FK111">
        <v>0.6875</v>
      </c>
      <c r="FL111">
        <v>13</v>
      </c>
      <c r="FM111">
        <v>14</v>
      </c>
      <c r="FN111">
        <v>13</v>
      </c>
      <c r="FO111">
        <v>0.72124999999999928</v>
      </c>
      <c r="FP111">
        <v>17</v>
      </c>
      <c r="FQ111">
        <v>-0.58749999999999858</v>
      </c>
      <c r="FR111">
        <v>12</v>
      </c>
      <c r="FS111">
        <v>0.58749999999999991</v>
      </c>
      <c r="FT111">
        <v>13</v>
      </c>
      <c r="FU111">
        <v>15.666666666666666</v>
      </c>
      <c r="FV111">
        <v>26</v>
      </c>
      <c r="FW111">
        <v>-2.912500000000001</v>
      </c>
      <c r="FX111">
        <v>15</v>
      </c>
      <c r="FY111">
        <v>-0.22499999999999964</v>
      </c>
      <c r="FZ111">
        <v>6</v>
      </c>
      <c r="GA111">
        <v>0.61250000000000004</v>
      </c>
      <c r="GB111">
        <v>20</v>
      </c>
      <c r="GC111">
        <v>18.333333333333332</v>
      </c>
      <c r="GD111">
        <v>6</v>
      </c>
      <c r="GE111">
        <v>1.7250000000000001</v>
      </c>
      <c r="GF111">
        <v>23</v>
      </c>
      <c r="GG111">
        <v>-4.1875</v>
      </c>
      <c r="GH111">
        <v>26</v>
      </c>
      <c r="GI111">
        <v>-0.51249999999999996</v>
      </c>
      <c r="GJ111">
        <v>3</v>
      </c>
      <c r="GK111">
        <v>5.333333333333333</v>
      </c>
      <c r="GL111">
        <v>6</v>
      </c>
      <c r="GM111">
        <v>3.3824999999999998</v>
      </c>
      <c r="GN111">
        <v>2</v>
      </c>
      <c r="GO111">
        <v>21.324999999999999</v>
      </c>
      <c r="GP111">
        <v>8</v>
      </c>
      <c r="GQ111">
        <v>1.2749999999999999</v>
      </c>
      <c r="GR111">
        <v>32</v>
      </c>
      <c r="GS111">
        <v>31.666666666666668</v>
      </c>
      <c r="GT111">
        <v>32</v>
      </c>
      <c r="GU111">
        <v>-8.7125000000000004</v>
      </c>
      <c r="GV111">
        <v>-24.25</v>
      </c>
      <c r="GW111">
        <v>-3.1124999999999998</v>
      </c>
      <c r="GX111">
        <v>7</v>
      </c>
      <c r="GY111">
        <v>6.5</v>
      </c>
      <c r="GZ111">
        <v>9</v>
      </c>
      <c r="HA111">
        <v>1.6625000000000001</v>
      </c>
      <c r="HB111">
        <v>4</v>
      </c>
      <c r="HC111">
        <v>0.8</v>
      </c>
      <c r="HD111">
        <v>4.3</v>
      </c>
      <c r="HE111">
        <v>24</v>
      </c>
      <c r="HF111">
        <v>20.5</v>
      </c>
      <c r="HG111">
        <v>28</v>
      </c>
      <c r="HH111">
        <v>-5.2069023391685051E-2</v>
      </c>
      <c r="HI111">
        <v>18</v>
      </c>
      <c r="HJ111">
        <v>-5.4924810918416701E-3</v>
      </c>
      <c r="HK111">
        <v>28</v>
      </c>
      <c r="HL111">
        <v>8.3023135490240763E-2</v>
      </c>
      <c r="HM111">
        <v>8</v>
      </c>
      <c r="HN111">
        <v>1.5125</v>
      </c>
      <c r="HO111">
        <v>-6.6625000000000014</v>
      </c>
      <c r="HP111">
        <v>-4.45</v>
      </c>
      <c r="HQ111">
        <v>1.2749999999999999</v>
      </c>
      <c r="HR111">
        <v>-46.862499999999997</v>
      </c>
      <c r="HS111">
        <v>-38.337500000000006</v>
      </c>
      <c r="HT111">
        <v>-6.4250000000000007</v>
      </c>
      <c r="HU111">
        <v>-1.6</v>
      </c>
      <c r="HV111">
        <v>-0.5</v>
      </c>
      <c r="HW111">
        <v>19</v>
      </c>
      <c r="HX111">
        <v>-1.2684999999999995</v>
      </c>
      <c r="HY111">
        <v>-1.0049500000000005</v>
      </c>
      <c r="HZ111">
        <v>-31.912500000000005</v>
      </c>
      <c r="IA111">
        <v>14</v>
      </c>
      <c r="IB111">
        <v>-2.0018437499999999</v>
      </c>
      <c r="IC111">
        <v>-2.4249999999999998</v>
      </c>
    </row>
    <row r="112" spans="1:237" x14ac:dyDescent="0.2">
      <c r="A112" s="19">
        <v>44129</v>
      </c>
      <c r="B112" s="13" t="s">
        <v>250</v>
      </c>
      <c r="C112" s="41" t="s">
        <v>308</v>
      </c>
      <c r="D112" s="14" t="s">
        <v>285</v>
      </c>
      <c r="E112">
        <v>56</v>
      </c>
      <c r="F112">
        <v>4.3</v>
      </c>
      <c r="G112">
        <v>8.8000000000000007</v>
      </c>
      <c r="H112">
        <v>3.8</v>
      </c>
      <c r="I112">
        <v>-3.5</v>
      </c>
      <c r="J112">
        <v>55</v>
      </c>
      <c r="K112" t="s">
        <v>734</v>
      </c>
      <c r="L112" t="s">
        <v>308</v>
      </c>
      <c r="M112">
        <v>1</v>
      </c>
      <c r="N112">
        <v>10.1965</v>
      </c>
      <c r="O112">
        <v>21</v>
      </c>
      <c r="P112">
        <v>19</v>
      </c>
      <c r="Q112">
        <v>11</v>
      </c>
      <c r="R112">
        <v>1.9200000000000019</v>
      </c>
      <c r="S112">
        <v>29</v>
      </c>
      <c r="T112">
        <v>-3.6875000000000004</v>
      </c>
      <c r="U112">
        <v>26</v>
      </c>
      <c r="V112">
        <v>-17.650000000000002</v>
      </c>
      <c r="W112">
        <v>10</v>
      </c>
      <c r="X112">
        <v>0.64999999999999991</v>
      </c>
      <c r="Y112">
        <v>15</v>
      </c>
      <c r="Z112">
        <v>13.666666666666666</v>
      </c>
      <c r="AA112">
        <v>12</v>
      </c>
      <c r="AB112">
        <v>1.9637500000000023</v>
      </c>
      <c r="AC112">
        <v>27</v>
      </c>
      <c r="AD112">
        <v>-2.6500000000000004</v>
      </c>
      <c r="AE112">
        <v>23</v>
      </c>
      <c r="AF112">
        <v>-8.2500000000000018</v>
      </c>
      <c r="AG112">
        <v>6</v>
      </c>
      <c r="AH112">
        <v>1.2749999999999999</v>
      </c>
      <c r="AI112">
        <v>25</v>
      </c>
      <c r="AJ112">
        <v>22</v>
      </c>
      <c r="AK112">
        <v>14</v>
      </c>
      <c r="AL112">
        <v>-4.37500000000004E-2</v>
      </c>
      <c r="AM112">
        <v>21</v>
      </c>
      <c r="AN112">
        <v>-1.0375000000000001</v>
      </c>
      <c r="AO112">
        <v>29</v>
      </c>
      <c r="AP112">
        <v>-9.4</v>
      </c>
      <c r="AQ112">
        <v>23</v>
      </c>
      <c r="AR112">
        <v>-0.625</v>
      </c>
      <c r="AS112">
        <v>8</v>
      </c>
      <c r="AT112">
        <v>8.6666666666666661</v>
      </c>
      <c r="AU112">
        <v>3</v>
      </c>
      <c r="AV112">
        <v>8.6010000000000009</v>
      </c>
      <c r="AW112">
        <v>5</v>
      </c>
      <c r="AX112">
        <v>28.475000000000001</v>
      </c>
      <c r="AY112">
        <v>18</v>
      </c>
      <c r="AZ112">
        <v>0</v>
      </c>
      <c r="BA112">
        <v>15</v>
      </c>
      <c r="BB112">
        <v>16.666666666666668</v>
      </c>
      <c r="BC112">
        <v>11</v>
      </c>
      <c r="BD112">
        <v>1.2837499999999995</v>
      </c>
      <c r="BE112">
        <v>22</v>
      </c>
      <c r="BF112">
        <v>-7.1875000000000018</v>
      </c>
      <c r="BG112">
        <v>17</v>
      </c>
      <c r="BH112">
        <v>-0.30000000000000027</v>
      </c>
      <c r="BI112">
        <v>2</v>
      </c>
      <c r="BJ112">
        <v>3</v>
      </c>
      <c r="BK112">
        <v>2</v>
      </c>
      <c r="BL112">
        <v>6.2160000000000011</v>
      </c>
      <c r="BM112">
        <v>2</v>
      </c>
      <c r="BN112">
        <v>30.4</v>
      </c>
      <c r="BO112">
        <v>5</v>
      </c>
      <c r="BP112">
        <v>1.5999999999999999</v>
      </c>
      <c r="BQ112">
        <v>17</v>
      </c>
      <c r="BR112">
        <v>17</v>
      </c>
      <c r="BS112">
        <v>11</v>
      </c>
      <c r="BT112">
        <v>1.1012499999999996</v>
      </c>
      <c r="BU112">
        <v>12</v>
      </c>
      <c r="BV112">
        <v>5.2625000000000011</v>
      </c>
      <c r="BW112">
        <v>28</v>
      </c>
      <c r="BX112">
        <v>-1.3</v>
      </c>
      <c r="BY112">
        <v>10</v>
      </c>
      <c r="BZ112">
        <v>11</v>
      </c>
      <c r="CA112">
        <v>11</v>
      </c>
      <c r="CB112">
        <v>1.5274999999999999</v>
      </c>
      <c r="CC112">
        <v>8</v>
      </c>
      <c r="CD112">
        <v>11.024999999999999</v>
      </c>
      <c r="CE112">
        <v>14</v>
      </c>
      <c r="CF112">
        <v>0.16250000000000053</v>
      </c>
      <c r="CG112">
        <v>20</v>
      </c>
      <c r="CH112">
        <v>20</v>
      </c>
      <c r="CI112">
        <v>17</v>
      </c>
      <c r="CJ112">
        <v>-1.2875000000000001</v>
      </c>
      <c r="CK112">
        <v>-10.049999999999999</v>
      </c>
      <c r="CL112">
        <v>-0.8125</v>
      </c>
      <c r="CM112">
        <v>32</v>
      </c>
      <c r="CN112">
        <v>32</v>
      </c>
      <c r="CO112">
        <v>32</v>
      </c>
      <c r="CP112">
        <v>-5.3999999999999995</v>
      </c>
      <c r="CQ112">
        <v>32</v>
      </c>
      <c r="CR112">
        <v>-2.0375000000000001</v>
      </c>
      <c r="CS112">
        <v>-0.7</v>
      </c>
      <c r="CT112">
        <v>11</v>
      </c>
      <c r="CU112">
        <v>14</v>
      </c>
      <c r="CV112">
        <v>5</v>
      </c>
      <c r="CW112">
        <v>4.7225842528311218E-2</v>
      </c>
      <c r="CX112">
        <v>7</v>
      </c>
      <c r="CY112">
        <v>1.4290764183269192E-2</v>
      </c>
      <c r="CZ112">
        <v>24</v>
      </c>
      <c r="DA112">
        <v>3.3295454545454517E-2</v>
      </c>
      <c r="DB112">
        <v>20</v>
      </c>
      <c r="DC112">
        <v>-1.0000000000000002</v>
      </c>
      <c r="DD112">
        <v>-2.625</v>
      </c>
      <c r="DE112">
        <v>5.1000000000000014</v>
      </c>
      <c r="DF112">
        <v>-0.38750000000000001</v>
      </c>
      <c r="DG112">
        <v>8.9625000000000057</v>
      </c>
      <c r="DH112">
        <v>34.475000000000001</v>
      </c>
      <c r="DI112">
        <v>-34.1</v>
      </c>
      <c r="DJ112">
        <v>-5.4624999999999995</v>
      </c>
      <c r="DK112">
        <v>14.05</v>
      </c>
      <c r="DL112">
        <v>5</v>
      </c>
      <c r="DM112">
        <v>8.2764999999999986</v>
      </c>
      <c r="DN112">
        <v>2.5419999999999989</v>
      </c>
      <c r="DO112">
        <v>68.575000000000003</v>
      </c>
      <c r="DP112">
        <v>28</v>
      </c>
      <c r="DQ112">
        <v>1.7537500000000001</v>
      </c>
      <c r="DR112">
        <v>-0.81250000000000044</v>
      </c>
      <c r="DS112">
        <v>0.56882812500000024</v>
      </c>
      <c r="DT112">
        <v>1.9287812500000003</v>
      </c>
      <c r="DU112" t="s">
        <v>285</v>
      </c>
      <c r="DV112" t="s">
        <v>249</v>
      </c>
      <c r="DW112" t="s">
        <v>452</v>
      </c>
      <c r="DX112">
        <v>19</v>
      </c>
      <c r="DY112">
        <v>-1.942400000000001</v>
      </c>
      <c r="DZ112">
        <v>15</v>
      </c>
      <c r="EA112">
        <v>15.75</v>
      </c>
      <c r="EB112">
        <v>25</v>
      </c>
      <c r="EC112">
        <v>-3.5079999999999991</v>
      </c>
      <c r="ED112">
        <v>1</v>
      </c>
      <c r="EE112">
        <v>4.34</v>
      </c>
      <c r="EF112">
        <v>5</v>
      </c>
      <c r="EG112">
        <v>25.15</v>
      </c>
      <c r="EH112">
        <v>32</v>
      </c>
      <c r="EI112">
        <v>-2.0700000000000003</v>
      </c>
      <c r="EJ112">
        <v>17</v>
      </c>
      <c r="EK112">
        <v>16.25</v>
      </c>
      <c r="EL112">
        <v>23</v>
      </c>
      <c r="EM112">
        <v>-2.5419999999999994</v>
      </c>
      <c r="EN112">
        <v>11</v>
      </c>
      <c r="EO112">
        <v>0.93</v>
      </c>
      <c r="EP112">
        <v>8</v>
      </c>
      <c r="EQ112">
        <v>7.25</v>
      </c>
      <c r="ER112">
        <v>23</v>
      </c>
      <c r="ES112">
        <v>-0.6399999999999999</v>
      </c>
      <c r="ET112">
        <v>7</v>
      </c>
      <c r="EU112">
        <v>8.6666666666666661</v>
      </c>
      <c r="EV112">
        <v>23</v>
      </c>
      <c r="EW112">
        <v>-0.96599999999999986</v>
      </c>
      <c r="EX112">
        <v>2</v>
      </c>
      <c r="EY112">
        <v>3.41</v>
      </c>
      <c r="EZ112">
        <v>1</v>
      </c>
      <c r="FA112">
        <v>17.899999999999999</v>
      </c>
      <c r="FB112">
        <v>32</v>
      </c>
      <c r="FC112">
        <v>-1.4300000000000002</v>
      </c>
      <c r="FD112">
        <v>17</v>
      </c>
      <c r="FE112">
        <v>17.333333333333332</v>
      </c>
      <c r="FF112">
        <v>20</v>
      </c>
      <c r="FG112">
        <v>-0.67959999999999887</v>
      </c>
      <c r="FH112">
        <v>18</v>
      </c>
      <c r="FI112">
        <v>-2.4800000000000066</v>
      </c>
      <c r="FJ112">
        <v>14</v>
      </c>
      <c r="FK112">
        <v>0.6</v>
      </c>
      <c r="FL112">
        <v>4</v>
      </c>
      <c r="FM112">
        <v>6</v>
      </c>
      <c r="FN112">
        <v>3</v>
      </c>
      <c r="FO112">
        <v>4.9949999999999992</v>
      </c>
      <c r="FP112">
        <v>4</v>
      </c>
      <c r="FQ112">
        <v>15.209999999999997</v>
      </c>
      <c r="FR112">
        <v>11</v>
      </c>
      <c r="FS112">
        <v>0.6100000000000001</v>
      </c>
      <c r="FT112">
        <v>27</v>
      </c>
      <c r="FU112">
        <v>24</v>
      </c>
      <c r="FV112">
        <v>30</v>
      </c>
      <c r="FW112">
        <v>-3.7779999999999987</v>
      </c>
      <c r="FX112">
        <v>30</v>
      </c>
      <c r="FY112">
        <v>-14.840000000000003</v>
      </c>
      <c r="FZ112">
        <v>12</v>
      </c>
      <c r="GA112">
        <v>0.36999999999999994</v>
      </c>
      <c r="GB112">
        <v>27</v>
      </c>
      <c r="GC112">
        <v>24.333333333333332</v>
      </c>
      <c r="GD112">
        <v>29</v>
      </c>
      <c r="GE112">
        <v>-1.8965999999999994</v>
      </c>
      <c r="GF112">
        <v>20</v>
      </c>
      <c r="GG112">
        <v>-2.8500000000000005</v>
      </c>
      <c r="GH112">
        <v>24</v>
      </c>
      <c r="GI112">
        <v>-0.38</v>
      </c>
      <c r="GJ112">
        <v>9</v>
      </c>
      <c r="GK112">
        <v>7.666666666666667</v>
      </c>
      <c r="GL112">
        <v>8</v>
      </c>
      <c r="GM112">
        <v>2.6760000000000006</v>
      </c>
      <c r="GN112">
        <v>10</v>
      </c>
      <c r="GO112">
        <v>9.9599999999999973</v>
      </c>
      <c r="GP112">
        <v>5</v>
      </c>
      <c r="GQ112">
        <v>1.56</v>
      </c>
      <c r="GR112">
        <v>12</v>
      </c>
      <c r="GS112">
        <v>11.333333333333334</v>
      </c>
      <c r="GT112">
        <v>15</v>
      </c>
      <c r="GU112">
        <v>0.57100000000000029</v>
      </c>
      <c r="GV112">
        <v>3.1100000000000008</v>
      </c>
      <c r="GW112">
        <v>1.3599999999999999</v>
      </c>
      <c r="GX112">
        <v>17</v>
      </c>
      <c r="GY112">
        <v>17</v>
      </c>
      <c r="GZ112">
        <v>21</v>
      </c>
      <c r="HA112">
        <v>-0.7699999999999998</v>
      </c>
      <c r="HB112">
        <v>13</v>
      </c>
      <c r="HC112">
        <v>3.9999999999999994E-2</v>
      </c>
      <c r="HD112">
        <v>-0.37999999999999989</v>
      </c>
      <c r="HE112">
        <v>26</v>
      </c>
      <c r="HF112">
        <v>21.75</v>
      </c>
      <c r="HG112">
        <v>24</v>
      </c>
      <c r="HH112">
        <v>-2.0005437026180184E-2</v>
      </c>
      <c r="HI112">
        <v>15</v>
      </c>
      <c r="HJ112">
        <v>-2.7280392043340556E-3</v>
      </c>
      <c r="HK112">
        <v>26</v>
      </c>
      <c r="HL112">
        <v>6.2317821067821119E-2</v>
      </c>
      <c r="HM112">
        <v>22</v>
      </c>
      <c r="HN112">
        <v>-1.4100000000000001</v>
      </c>
      <c r="HO112">
        <v>1.5799999999999996</v>
      </c>
      <c r="HP112">
        <v>-3.1700000000000004</v>
      </c>
      <c r="HQ112">
        <v>-0.55999999999999994</v>
      </c>
      <c r="HR112">
        <v>-6.7200000000000157</v>
      </c>
      <c r="HS112">
        <v>-21.149999999999995</v>
      </c>
      <c r="HT112">
        <v>20.200000000000003</v>
      </c>
      <c r="HU112">
        <v>-3.29</v>
      </c>
      <c r="HV112">
        <v>-2.4799999999999995</v>
      </c>
      <c r="HW112">
        <v>12</v>
      </c>
      <c r="HX112">
        <v>1.5655999999999981</v>
      </c>
      <c r="HY112">
        <v>1.3437999999999997</v>
      </c>
      <c r="HZ112">
        <v>-41.349999999999994</v>
      </c>
      <c r="IA112">
        <v>21</v>
      </c>
      <c r="IB112">
        <v>-0.79112499999999986</v>
      </c>
      <c r="IC112">
        <v>1.96</v>
      </c>
    </row>
    <row r="113" spans="1:237" x14ac:dyDescent="0.2">
      <c r="A113" s="19">
        <v>44129</v>
      </c>
      <c r="B113" s="13" t="s">
        <v>250</v>
      </c>
      <c r="C113" s="41" t="s">
        <v>284</v>
      </c>
      <c r="D113" s="14" t="s">
        <v>303</v>
      </c>
      <c r="E113">
        <v>23.8</v>
      </c>
      <c r="F113">
        <v>5.7</v>
      </c>
      <c r="G113">
        <v>25.9</v>
      </c>
      <c r="H113">
        <v>17.2</v>
      </c>
      <c r="I113">
        <v>-4</v>
      </c>
      <c r="J113">
        <v>52.5</v>
      </c>
      <c r="L113" t="s">
        <v>284</v>
      </c>
      <c r="M113">
        <v>14</v>
      </c>
      <c r="N113">
        <v>0.49580000000000091</v>
      </c>
      <c r="O113">
        <v>3</v>
      </c>
      <c r="P113">
        <v>7.5</v>
      </c>
      <c r="Q113">
        <v>6</v>
      </c>
      <c r="R113">
        <v>3.2030000000000007</v>
      </c>
      <c r="S113">
        <v>5</v>
      </c>
      <c r="T113">
        <v>3.41</v>
      </c>
      <c r="U113">
        <v>3</v>
      </c>
      <c r="V113">
        <v>31.200000000000003</v>
      </c>
      <c r="W113">
        <v>16</v>
      </c>
      <c r="X113">
        <v>-0.15000000000000008</v>
      </c>
      <c r="Y113">
        <v>6</v>
      </c>
      <c r="Z113">
        <v>10</v>
      </c>
      <c r="AA113">
        <v>9</v>
      </c>
      <c r="AB113">
        <v>2.9780000000000006</v>
      </c>
      <c r="AC113">
        <v>5</v>
      </c>
      <c r="AD113">
        <v>3.5100000000000002</v>
      </c>
      <c r="AE113">
        <v>1</v>
      </c>
      <c r="AF113">
        <v>34.270000000000003</v>
      </c>
      <c r="AG113">
        <v>20</v>
      </c>
      <c r="AH113">
        <v>-0.43000000000000005</v>
      </c>
      <c r="AI113">
        <v>16</v>
      </c>
      <c r="AJ113">
        <v>14.333333333333334</v>
      </c>
      <c r="AK113">
        <v>12</v>
      </c>
      <c r="AL113">
        <v>0.22499999999999992</v>
      </c>
      <c r="AM113">
        <v>15</v>
      </c>
      <c r="AN113">
        <v>-0.1</v>
      </c>
      <c r="AO113">
        <v>19</v>
      </c>
      <c r="AP113">
        <v>-3.0699999999999994</v>
      </c>
      <c r="AQ113">
        <v>12</v>
      </c>
      <c r="AR113">
        <v>0.27999999999999997</v>
      </c>
      <c r="AS113">
        <v>13</v>
      </c>
      <c r="AT113">
        <v>13.666666666666666</v>
      </c>
      <c r="AU113">
        <v>7</v>
      </c>
      <c r="AV113">
        <v>5.6039999999999992</v>
      </c>
      <c r="AW113">
        <v>11</v>
      </c>
      <c r="AX113">
        <v>9.3099999999999987</v>
      </c>
      <c r="AY113">
        <v>23</v>
      </c>
      <c r="AZ113">
        <v>-1.8400000000000003</v>
      </c>
      <c r="BA113">
        <v>16</v>
      </c>
      <c r="BB113">
        <v>18.333333333333332</v>
      </c>
      <c r="BC113">
        <v>9</v>
      </c>
      <c r="BD113">
        <v>1.7019999999999993</v>
      </c>
      <c r="BE113">
        <v>16</v>
      </c>
      <c r="BF113">
        <v>0.20999999999999944</v>
      </c>
      <c r="BG113">
        <v>30</v>
      </c>
      <c r="BH113">
        <v>-1.3</v>
      </c>
      <c r="BI113">
        <v>18</v>
      </c>
      <c r="BJ113">
        <v>16.666666666666668</v>
      </c>
      <c r="BK113">
        <v>11</v>
      </c>
      <c r="BL113">
        <v>1.7230000000000001</v>
      </c>
      <c r="BM113">
        <v>14</v>
      </c>
      <c r="BN113">
        <v>-1.9199999999999995</v>
      </c>
      <c r="BO113">
        <v>25</v>
      </c>
      <c r="BP113">
        <v>-1.1400000000000001</v>
      </c>
      <c r="BQ113">
        <v>7</v>
      </c>
      <c r="BR113">
        <v>8</v>
      </c>
      <c r="BS113">
        <v>8</v>
      </c>
      <c r="BT113">
        <v>2.1789999999999994</v>
      </c>
      <c r="BU113">
        <v>7</v>
      </c>
      <c r="BV113">
        <v>11.02</v>
      </c>
      <c r="BW113">
        <v>9</v>
      </c>
      <c r="BX113">
        <v>0.6</v>
      </c>
      <c r="BY113">
        <v>15</v>
      </c>
      <c r="BZ113">
        <v>13.666666666666666</v>
      </c>
      <c r="CA113">
        <v>10</v>
      </c>
      <c r="CB113">
        <v>2.2849999999999997</v>
      </c>
      <c r="CC113">
        <v>9</v>
      </c>
      <c r="CD113">
        <v>10.450000000000001</v>
      </c>
      <c r="CE113">
        <v>22</v>
      </c>
      <c r="CF113">
        <v>-0.80000000000000016</v>
      </c>
      <c r="CG113">
        <v>9</v>
      </c>
      <c r="CH113">
        <v>10</v>
      </c>
      <c r="CI113">
        <v>10</v>
      </c>
      <c r="CJ113">
        <v>1.9469999999999998</v>
      </c>
      <c r="CK113">
        <v>8.870000000000001</v>
      </c>
      <c r="CL113">
        <v>0.88000000000000012</v>
      </c>
      <c r="CM113">
        <v>23</v>
      </c>
      <c r="CN113">
        <v>22</v>
      </c>
      <c r="CO113">
        <v>17</v>
      </c>
      <c r="CP113">
        <v>-0.2299999999999997</v>
      </c>
      <c r="CQ113">
        <v>27</v>
      </c>
      <c r="CR113">
        <v>-0.49000000000000005</v>
      </c>
      <c r="CS113">
        <v>6.04</v>
      </c>
      <c r="CT113">
        <v>30</v>
      </c>
      <c r="CU113">
        <v>23.25</v>
      </c>
      <c r="CV113">
        <v>29</v>
      </c>
      <c r="CW113">
        <v>-7.4770732601855308E-2</v>
      </c>
      <c r="CX113">
        <v>32</v>
      </c>
      <c r="CY113">
        <v>-2.8767549255843784E-2</v>
      </c>
      <c r="CZ113">
        <v>3</v>
      </c>
      <c r="DA113">
        <v>-0.11177672735760966</v>
      </c>
      <c r="DB113">
        <v>29</v>
      </c>
      <c r="DC113">
        <v>-2.2600000000000002</v>
      </c>
      <c r="DD113">
        <v>1.5299999999999983</v>
      </c>
      <c r="DE113">
        <v>6.35</v>
      </c>
      <c r="DF113">
        <v>0.9</v>
      </c>
      <c r="DG113">
        <v>13.329999999999995</v>
      </c>
      <c r="DH113">
        <v>9.4699999999999989</v>
      </c>
      <c r="DI113">
        <v>24.560000000000002</v>
      </c>
      <c r="DJ113">
        <v>-1.25</v>
      </c>
      <c r="DK113">
        <v>-19.45</v>
      </c>
      <c r="DL113">
        <v>21</v>
      </c>
      <c r="DM113">
        <v>-2.7071999999999998</v>
      </c>
      <c r="DN113">
        <v>7.859999999999534E-3</v>
      </c>
      <c r="DO113">
        <v>-15.090000000000003</v>
      </c>
      <c r="DP113">
        <v>12</v>
      </c>
      <c r="DQ113">
        <v>1.377475</v>
      </c>
      <c r="DR113">
        <v>-0.96000000000000019</v>
      </c>
      <c r="DS113">
        <v>-1.0976749999999997</v>
      </c>
      <c r="DT113">
        <v>-1.8460999999999999</v>
      </c>
      <c r="DU113" t="s">
        <v>303</v>
      </c>
      <c r="DV113" t="s">
        <v>247</v>
      </c>
      <c r="DW113" t="s">
        <v>510</v>
      </c>
      <c r="DX113">
        <v>23</v>
      </c>
      <c r="DY113">
        <v>-2.4639999999999995</v>
      </c>
      <c r="DZ113">
        <v>6</v>
      </c>
      <c r="EA113">
        <v>11.5</v>
      </c>
      <c r="EB113">
        <v>4</v>
      </c>
      <c r="EC113">
        <v>4.7350000000000003</v>
      </c>
      <c r="ED113">
        <v>27</v>
      </c>
      <c r="EE113">
        <v>-2.7999999999999994</v>
      </c>
      <c r="EF113">
        <v>14</v>
      </c>
      <c r="EG113">
        <v>3.625</v>
      </c>
      <c r="EH113">
        <v>1</v>
      </c>
      <c r="EI113">
        <v>2.7375000000000003</v>
      </c>
      <c r="EJ113">
        <v>3</v>
      </c>
      <c r="EK113">
        <v>7.75</v>
      </c>
      <c r="EL113">
        <v>3</v>
      </c>
      <c r="EM113">
        <v>5.2124999999999995</v>
      </c>
      <c r="EN113">
        <v>13</v>
      </c>
      <c r="EO113">
        <v>0.23750000000000027</v>
      </c>
      <c r="EP113">
        <v>13</v>
      </c>
      <c r="EQ113">
        <v>2.8249999999999993</v>
      </c>
      <c r="ER113">
        <v>2</v>
      </c>
      <c r="ES113">
        <v>1.8875000000000002</v>
      </c>
      <c r="ET113">
        <v>24</v>
      </c>
      <c r="EU113">
        <v>23.333333333333332</v>
      </c>
      <c r="EV113">
        <v>20</v>
      </c>
      <c r="EW113">
        <v>-0.47749999999999937</v>
      </c>
      <c r="EX113">
        <v>32</v>
      </c>
      <c r="EY113">
        <v>-3.0374999999999996</v>
      </c>
      <c r="EZ113">
        <v>18</v>
      </c>
      <c r="FA113">
        <v>0.80000000000000071</v>
      </c>
      <c r="FB113">
        <v>5</v>
      </c>
      <c r="FC113">
        <v>0.85000000000000009</v>
      </c>
      <c r="FD113">
        <v>31</v>
      </c>
      <c r="FE113">
        <v>30.333333333333332</v>
      </c>
      <c r="FF113">
        <v>29</v>
      </c>
      <c r="FG113">
        <v>-6.375</v>
      </c>
      <c r="FH113">
        <v>30</v>
      </c>
      <c r="FI113">
        <v>-27.162500000000001</v>
      </c>
      <c r="FJ113">
        <v>32</v>
      </c>
      <c r="FK113">
        <v>-4.375</v>
      </c>
      <c r="FL113">
        <v>25</v>
      </c>
      <c r="FM113">
        <v>24.333333333333332</v>
      </c>
      <c r="FN113">
        <v>26</v>
      </c>
      <c r="FO113">
        <v>-3.0124999999999993</v>
      </c>
      <c r="FP113">
        <v>20</v>
      </c>
      <c r="FQ113">
        <v>-5.0999999999999979</v>
      </c>
      <c r="FR113">
        <v>27</v>
      </c>
      <c r="FS113">
        <v>-1.2875000000000001</v>
      </c>
      <c r="FT113">
        <v>32</v>
      </c>
      <c r="FU113">
        <v>31.666666666666668</v>
      </c>
      <c r="FV113">
        <v>31</v>
      </c>
      <c r="FW113">
        <v>-4.0662500000000001</v>
      </c>
      <c r="FX113">
        <v>32</v>
      </c>
      <c r="FY113">
        <v>-22.262500000000003</v>
      </c>
      <c r="FZ113">
        <v>32</v>
      </c>
      <c r="GA113">
        <v>-2.5625</v>
      </c>
      <c r="GB113">
        <v>19</v>
      </c>
      <c r="GC113">
        <v>17.333333333333332</v>
      </c>
      <c r="GD113">
        <v>12</v>
      </c>
      <c r="GE113">
        <v>0.70374999999999976</v>
      </c>
      <c r="GF113">
        <v>13</v>
      </c>
      <c r="GG113">
        <v>0.19999999999999929</v>
      </c>
      <c r="GH113">
        <v>27</v>
      </c>
      <c r="GI113">
        <v>-0.52499999999999991</v>
      </c>
      <c r="GJ113">
        <v>28</v>
      </c>
      <c r="GK113">
        <v>26.666666666666668</v>
      </c>
      <c r="GL113">
        <v>26</v>
      </c>
      <c r="GM113">
        <v>-2.1449999999999996</v>
      </c>
      <c r="GN113">
        <v>25</v>
      </c>
      <c r="GO113">
        <v>-9.8249999999999993</v>
      </c>
      <c r="GP113">
        <v>29</v>
      </c>
      <c r="GQ113">
        <v>-1.4875000000000003</v>
      </c>
      <c r="GR113">
        <v>13</v>
      </c>
      <c r="GS113">
        <v>12.333333333333334</v>
      </c>
      <c r="GT113">
        <v>11</v>
      </c>
      <c r="GU113">
        <v>1.3600000000000003</v>
      </c>
      <c r="GV113">
        <v>-1.0250000000000004</v>
      </c>
      <c r="GW113">
        <v>0.83750000000000013</v>
      </c>
      <c r="GX113">
        <v>14</v>
      </c>
      <c r="GY113">
        <v>15</v>
      </c>
      <c r="GZ113">
        <v>14</v>
      </c>
      <c r="HA113">
        <v>-4.9999999999999822E-2</v>
      </c>
      <c r="HB113">
        <v>16</v>
      </c>
      <c r="HC113">
        <v>-0.13750000000000001</v>
      </c>
      <c r="HD113">
        <v>1.2000000000000002</v>
      </c>
      <c r="HE113">
        <v>22</v>
      </c>
      <c r="HF113">
        <v>19.5</v>
      </c>
      <c r="HG113">
        <v>21</v>
      </c>
      <c r="HH113">
        <v>-1.4053749122725091E-2</v>
      </c>
      <c r="HI113">
        <v>17</v>
      </c>
      <c r="HJ113">
        <v>-4.5876361474709399E-3</v>
      </c>
      <c r="HK113">
        <v>12</v>
      </c>
      <c r="HL113">
        <v>-2.5894938394938366E-2</v>
      </c>
      <c r="HM113">
        <v>28</v>
      </c>
      <c r="HN113">
        <v>-2.65</v>
      </c>
      <c r="HO113">
        <v>-2.0375000000000014</v>
      </c>
      <c r="HP113">
        <v>3.5374999999999996</v>
      </c>
      <c r="HQ113">
        <v>0.52500000000000002</v>
      </c>
      <c r="HR113">
        <v>0.13750000000000284</v>
      </c>
      <c r="HS113">
        <v>0.23749999999999716</v>
      </c>
      <c r="HT113">
        <v>4.8374999999999986</v>
      </c>
      <c r="HU113">
        <v>5.8624999999999998</v>
      </c>
      <c r="HV113">
        <v>-10.8</v>
      </c>
      <c r="HW113">
        <v>29</v>
      </c>
      <c r="HX113">
        <v>-7.1989999999999998</v>
      </c>
      <c r="HY113">
        <v>-3.8632999999999997</v>
      </c>
      <c r="HZ113">
        <v>-4.6000000000000014</v>
      </c>
      <c r="IA113">
        <v>4</v>
      </c>
      <c r="IB113">
        <v>-0.34924999999999984</v>
      </c>
      <c r="IC113">
        <v>-3.5374999999999996</v>
      </c>
    </row>
    <row r="114" spans="1:237" x14ac:dyDescent="0.2">
      <c r="A114" s="19">
        <v>44129</v>
      </c>
      <c r="B114" s="13" t="s">
        <v>250</v>
      </c>
      <c r="C114" s="41" t="s">
        <v>310</v>
      </c>
      <c r="D114" s="14" t="s">
        <v>309</v>
      </c>
      <c r="E114">
        <v>30.3</v>
      </c>
      <c r="F114">
        <v>15.5</v>
      </c>
      <c r="G114">
        <v>2.9</v>
      </c>
      <c r="H114">
        <v>1.9</v>
      </c>
      <c r="I114">
        <v>-1</v>
      </c>
      <c r="J114">
        <v>51</v>
      </c>
      <c r="L114" t="s">
        <v>310</v>
      </c>
      <c r="M114">
        <v>7</v>
      </c>
      <c r="N114">
        <v>3.8059999999999992</v>
      </c>
      <c r="O114">
        <v>9</v>
      </c>
      <c r="P114">
        <v>12.25</v>
      </c>
      <c r="Q114">
        <v>10</v>
      </c>
      <c r="R114">
        <v>2.4249999999999998</v>
      </c>
      <c r="S114">
        <v>8</v>
      </c>
      <c r="T114">
        <v>2.75</v>
      </c>
      <c r="U114">
        <v>5</v>
      </c>
      <c r="V114">
        <v>23.45</v>
      </c>
      <c r="W114">
        <v>26</v>
      </c>
      <c r="X114">
        <v>-1.1000000000000001</v>
      </c>
      <c r="Y114">
        <v>7</v>
      </c>
      <c r="Z114">
        <v>11.333333333333334</v>
      </c>
      <c r="AA114">
        <v>6</v>
      </c>
      <c r="AB114">
        <v>4.09</v>
      </c>
      <c r="AC114">
        <v>1</v>
      </c>
      <c r="AD114">
        <v>4.25</v>
      </c>
      <c r="AE114">
        <v>3</v>
      </c>
      <c r="AF114">
        <v>24.25</v>
      </c>
      <c r="AG114">
        <v>25</v>
      </c>
      <c r="AH114">
        <v>-1.1000000000000001</v>
      </c>
      <c r="AI114">
        <v>19</v>
      </c>
      <c r="AJ114">
        <v>18.333333333333332</v>
      </c>
      <c r="AK114">
        <v>26</v>
      </c>
      <c r="AL114">
        <v>-1.665</v>
      </c>
      <c r="AM114">
        <v>25</v>
      </c>
      <c r="AN114">
        <v>-1.5</v>
      </c>
      <c r="AO114">
        <v>14</v>
      </c>
      <c r="AP114">
        <v>-0.80000000000000027</v>
      </c>
      <c r="AQ114">
        <v>15</v>
      </c>
      <c r="AR114">
        <v>-2.7755575615628914E-17</v>
      </c>
      <c r="AS114">
        <v>19</v>
      </c>
      <c r="AT114">
        <v>18.333333333333332</v>
      </c>
      <c r="AU114">
        <v>15</v>
      </c>
      <c r="AV114">
        <v>0.21000000000000041</v>
      </c>
      <c r="AW114">
        <v>16</v>
      </c>
      <c r="AX114">
        <v>-2.5500000000000007</v>
      </c>
      <c r="AY114">
        <v>24</v>
      </c>
      <c r="AZ114">
        <v>-1.9500000000000002</v>
      </c>
      <c r="BA114">
        <v>14</v>
      </c>
      <c r="BB114">
        <v>15</v>
      </c>
      <c r="BC114">
        <v>12</v>
      </c>
      <c r="BD114">
        <v>1.1250000000000004</v>
      </c>
      <c r="BE114">
        <v>20</v>
      </c>
      <c r="BF114">
        <v>-3.4000000000000004</v>
      </c>
      <c r="BG114">
        <v>13</v>
      </c>
      <c r="BH114">
        <v>0.19999999999999996</v>
      </c>
      <c r="BI114">
        <v>20</v>
      </c>
      <c r="BJ114">
        <v>18.666666666666668</v>
      </c>
      <c r="BK114">
        <v>16</v>
      </c>
      <c r="BL114">
        <v>-0.51000000000000023</v>
      </c>
      <c r="BM114">
        <v>11</v>
      </c>
      <c r="BN114">
        <v>2.8999999999999986</v>
      </c>
      <c r="BO114">
        <v>29</v>
      </c>
      <c r="BP114">
        <v>-1.6500000000000001</v>
      </c>
      <c r="BQ114">
        <v>19</v>
      </c>
      <c r="BR114">
        <v>19</v>
      </c>
      <c r="BS114">
        <v>17</v>
      </c>
      <c r="BT114">
        <v>-0.4049999999999998</v>
      </c>
      <c r="BU114">
        <v>18</v>
      </c>
      <c r="BV114">
        <v>-2.0499999999999989</v>
      </c>
      <c r="BW114">
        <v>22</v>
      </c>
      <c r="BX114">
        <v>-0.50000000000000011</v>
      </c>
      <c r="BY114">
        <v>9</v>
      </c>
      <c r="BZ114">
        <v>10.666666666666666</v>
      </c>
      <c r="CA114">
        <v>13</v>
      </c>
      <c r="CB114">
        <v>0.68000000000000105</v>
      </c>
      <c r="CC114">
        <v>15</v>
      </c>
      <c r="CD114">
        <v>-0.19999999999999574</v>
      </c>
      <c r="CE114">
        <v>4</v>
      </c>
      <c r="CF114">
        <v>1.9000000000000004</v>
      </c>
      <c r="CG114">
        <v>3</v>
      </c>
      <c r="CH114">
        <v>3.6666666666666665</v>
      </c>
      <c r="CI114">
        <v>3</v>
      </c>
      <c r="CJ114">
        <v>7.08</v>
      </c>
      <c r="CK114">
        <v>18.8</v>
      </c>
      <c r="CL114">
        <v>1.8</v>
      </c>
      <c r="CM114">
        <v>13</v>
      </c>
      <c r="CN114">
        <v>14</v>
      </c>
      <c r="CO114">
        <v>13</v>
      </c>
      <c r="CP114">
        <v>0.75</v>
      </c>
      <c r="CQ114">
        <v>15</v>
      </c>
      <c r="CR114">
        <v>-5.0000000000000044E-2</v>
      </c>
      <c r="CS114">
        <v>-1.55</v>
      </c>
      <c r="CT114">
        <v>31</v>
      </c>
      <c r="CU114">
        <v>23.5</v>
      </c>
      <c r="CV114">
        <v>25</v>
      </c>
      <c r="CW114">
        <v>-2.9923482846336419E-2</v>
      </c>
      <c r="CX114">
        <v>28</v>
      </c>
      <c r="CY114">
        <v>-2.1355283651253526E-2</v>
      </c>
      <c r="CZ114">
        <v>13</v>
      </c>
      <c r="DA114">
        <v>-1.2083333333333335E-2</v>
      </c>
      <c r="DB114">
        <v>28</v>
      </c>
      <c r="DC114">
        <v>-2.1</v>
      </c>
      <c r="DD114">
        <v>-0.24999999999999645</v>
      </c>
      <c r="DE114">
        <v>7</v>
      </c>
      <c r="DF114">
        <v>-0.35</v>
      </c>
      <c r="DG114">
        <v>21.700000000000017</v>
      </c>
      <c r="DH114">
        <v>7.6499999999999915</v>
      </c>
      <c r="DI114">
        <v>21.6</v>
      </c>
      <c r="DJ114">
        <v>-4.5500000000000007</v>
      </c>
      <c r="DK114">
        <v>-3</v>
      </c>
      <c r="DL114">
        <v>16</v>
      </c>
      <c r="DM114">
        <v>1.3809999999999993</v>
      </c>
      <c r="DN114">
        <v>1.0066999999999999</v>
      </c>
      <c r="DO114">
        <v>-13.95000000000001</v>
      </c>
      <c r="DP114">
        <v>17</v>
      </c>
      <c r="DQ114">
        <v>1.7838750000000001</v>
      </c>
      <c r="DR114">
        <v>-0.15000000000000013</v>
      </c>
      <c r="DS114">
        <v>0.34243749999999973</v>
      </c>
      <c r="DT114">
        <v>2.2632499999999998</v>
      </c>
      <c r="DU114" t="s">
        <v>309</v>
      </c>
      <c r="DV114" t="s">
        <v>271</v>
      </c>
      <c r="DW114" t="s">
        <v>521</v>
      </c>
      <c r="DX114">
        <v>20</v>
      </c>
      <c r="DY114">
        <v>-1.9544999999999995</v>
      </c>
      <c r="DZ114">
        <v>32</v>
      </c>
      <c r="EA114">
        <v>29</v>
      </c>
      <c r="EB114">
        <v>28</v>
      </c>
      <c r="EC114">
        <v>-4.4049999999999994</v>
      </c>
      <c r="ED114">
        <v>31</v>
      </c>
      <c r="EE114">
        <v>-4.9124999999999996</v>
      </c>
      <c r="EF114">
        <v>30</v>
      </c>
      <c r="EG114">
        <v>-30.650000000000002</v>
      </c>
      <c r="EH114">
        <v>27</v>
      </c>
      <c r="EI114">
        <v>-1.0499999999999998</v>
      </c>
      <c r="EJ114">
        <v>27</v>
      </c>
      <c r="EK114">
        <v>23.5</v>
      </c>
      <c r="EL114">
        <v>19</v>
      </c>
      <c r="EM114">
        <v>-1.1262500000000002</v>
      </c>
      <c r="EN114">
        <v>30</v>
      </c>
      <c r="EO114">
        <v>-2.1624999999999996</v>
      </c>
      <c r="EP114">
        <v>31</v>
      </c>
      <c r="EQ114">
        <v>-21.85</v>
      </c>
      <c r="ER114">
        <v>14</v>
      </c>
      <c r="ES114">
        <v>-5.5511151231257827E-17</v>
      </c>
      <c r="ET114">
        <v>31</v>
      </c>
      <c r="EU114">
        <v>30</v>
      </c>
      <c r="EV114">
        <v>31</v>
      </c>
      <c r="EW114">
        <v>-3.2787499999999996</v>
      </c>
      <c r="EX114">
        <v>31</v>
      </c>
      <c r="EY114">
        <v>-2.75</v>
      </c>
      <c r="EZ114">
        <v>28</v>
      </c>
      <c r="FA114">
        <v>-8.8000000000000007</v>
      </c>
      <c r="FB114">
        <v>30</v>
      </c>
      <c r="FC114">
        <v>-1.0499999999999998</v>
      </c>
      <c r="FD114">
        <v>13</v>
      </c>
      <c r="FE114">
        <v>14.666666666666666</v>
      </c>
      <c r="FF114">
        <v>13</v>
      </c>
      <c r="FG114">
        <v>0.94374999999999831</v>
      </c>
      <c r="FH114">
        <v>14</v>
      </c>
      <c r="FI114">
        <v>4.8000000000000007</v>
      </c>
      <c r="FJ114">
        <v>17</v>
      </c>
      <c r="FK114">
        <v>0.26249999999999951</v>
      </c>
      <c r="FL114">
        <v>15</v>
      </c>
      <c r="FM114">
        <v>14.333333333333334</v>
      </c>
      <c r="FN114">
        <v>14</v>
      </c>
      <c r="FO114">
        <v>0.4415</v>
      </c>
      <c r="FP114">
        <v>10</v>
      </c>
      <c r="FQ114">
        <v>8.8250000000000011</v>
      </c>
      <c r="FR114">
        <v>19</v>
      </c>
      <c r="FS114">
        <v>-0.35000000000000031</v>
      </c>
      <c r="FT114">
        <v>29</v>
      </c>
      <c r="FU114">
        <v>25.333333333333332</v>
      </c>
      <c r="FV114">
        <v>24</v>
      </c>
      <c r="FW114">
        <v>-1.6427500000000022</v>
      </c>
      <c r="FX114">
        <v>25</v>
      </c>
      <c r="FY114">
        <v>-7.6874999999999991</v>
      </c>
      <c r="FZ114">
        <v>27</v>
      </c>
      <c r="GA114">
        <v>-0.57500000000000018</v>
      </c>
      <c r="GB114">
        <v>4</v>
      </c>
      <c r="GC114">
        <v>5</v>
      </c>
      <c r="GD114">
        <v>5</v>
      </c>
      <c r="GE114">
        <v>2.1450000000000005</v>
      </c>
      <c r="GF114">
        <v>8</v>
      </c>
      <c r="GG114">
        <v>3.6624999999999988</v>
      </c>
      <c r="GH114">
        <v>2</v>
      </c>
      <c r="GI114">
        <v>1.1875</v>
      </c>
      <c r="GJ114">
        <v>11</v>
      </c>
      <c r="GK114">
        <v>11.333333333333334</v>
      </c>
      <c r="GL114">
        <v>9</v>
      </c>
      <c r="GM114">
        <v>2.5750000000000006</v>
      </c>
      <c r="GN114">
        <v>12</v>
      </c>
      <c r="GO114">
        <v>6.6250000000000036</v>
      </c>
      <c r="GP114">
        <v>13</v>
      </c>
      <c r="GQ114">
        <v>0.47500000000000009</v>
      </c>
      <c r="GR114">
        <v>27</v>
      </c>
      <c r="GS114">
        <v>24</v>
      </c>
      <c r="GT114">
        <v>20</v>
      </c>
      <c r="GU114">
        <v>-1.2237499999999999</v>
      </c>
      <c r="GV114">
        <v>-8.0375000000000014</v>
      </c>
      <c r="GW114">
        <v>-1.2375</v>
      </c>
      <c r="GX114">
        <v>32</v>
      </c>
      <c r="GY114">
        <v>32</v>
      </c>
      <c r="GZ114">
        <v>32</v>
      </c>
      <c r="HA114">
        <v>-5.9875000000000007</v>
      </c>
      <c r="HB114">
        <v>32</v>
      </c>
      <c r="HC114">
        <v>-1.0625</v>
      </c>
      <c r="HD114">
        <v>-4.5625</v>
      </c>
      <c r="HE114">
        <v>1</v>
      </c>
      <c r="HF114">
        <v>3.25</v>
      </c>
      <c r="HG114">
        <v>3</v>
      </c>
      <c r="HH114">
        <v>7.8318388084618273E-2</v>
      </c>
      <c r="HI114">
        <v>1</v>
      </c>
      <c r="HJ114">
        <v>6.2076486370942929E-2</v>
      </c>
      <c r="HK114">
        <v>5</v>
      </c>
      <c r="HL114">
        <v>-8.217727082858664E-2</v>
      </c>
      <c r="HM114">
        <v>4</v>
      </c>
      <c r="HN114">
        <v>4.1749999999999998</v>
      </c>
      <c r="HO114">
        <v>-5.6625000000000014</v>
      </c>
      <c r="HP114">
        <v>-5.4249999999999998</v>
      </c>
      <c r="HQ114">
        <v>-0.8</v>
      </c>
      <c r="HR114">
        <v>-41.724999999999994</v>
      </c>
      <c r="HS114">
        <v>5.0499999999999901</v>
      </c>
      <c r="HT114">
        <v>-33.25</v>
      </c>
      <c r="HU114">
        <v>-2.2000000000000002</v>
      </c>
      <c r="HV114">
        <v>-11.324999999999999</v>
      </c>
      <c r="HW114">
        <v>10</v>
      </c>
      <c r="HX114">
        <v>2.4504999999999999</v>
      </c>
      <c r="HY114">
        <v>1.7555999999999994</v>
      </c>
      <c r="HZ114">
        <v>38.29999999999999</v>
      </c>
      <c r="IA114">
        <v>23</v>
      </c>
      <c r="IB114">
        <v>-1.5783750000000003</v>
      </c>
      <c r="IC114">
        <v>-0.97500000000000053</v>
      </c>
    </row>
    <row r="115" spans="1:237" x14ac:dyDescent="0.2">
      <c r="A115" s="19">
        <v>44129</v>
      </c>
      <c r="B115" s="13" t="s">
        <v>250</v>
      </c>
      <c r="C115" s="41" t="s">
        <v>306</v>
      </c>
      <c r="D115" s="14" t="s">
        <v>291</v>
      </c>
      <c r="E115">
        <v>22</v>
      </c>
      <c r="F115">
        <v>3.2</v>
      </c>
      <c r="G115">
        <v>0</v>
      </c>
      <c r="H115">
        <v>16</v>
      </c>
      <c r="I115">
        <v>1</v>
      </c>
      <c r="J115">
        <v>44.5</v>
      </c>
      <c r="K115" t="s">
        <v>734</v>
      </c>
      <c r="L115" t="s">
        <v>306</v>
      </c>
      <c r="M115">
        <v>24</v>
      </c>
      <c r="N115">
        <v>-3.1983999999999999</v>
      </c>
      <c r="O115">
        <v>18</v>
      </c>
      <c r="P115">
        <v>17.25</v>
      </c>
      <c r="Q115">
        <v>13</v>
      </c>
      <c r="R115">
        <v>1.4880000000000004</v>
      </c>
      <c r="S115">
        <v>28</v>
      </c>
      <c r="T115">
        <v>-3.5200000000000005</v>
      </c>
      <c r="U115">
        <v>24</v>
      </c>
      <c r="V115">
        <v>-14.799999999999999</v>
      </c>
      <c r="W115">
        <v>4</v>
      </c>
      <c r="X115">
        <v>2.2000000000000002</v>
      </c>
      <c r="Y115">
        <v>23</v>
      </c>
      <c r="Z115">
        <v>22</v>
      </c>
      <c r="AA115">
        <v>20</v>
      </c>
      <c r="AB115">
        <v>-1.3879999999999999</v>
      </c>
      <c r="AC115">
        <v>29</v>
      </c>
      <c r="AD115">
        <v>-3.4400000000000004</v>
      </c>
      <c r="AE115">
        <v>27</v>
      </c>
      <c r="AF115">
        <v>-19.399999999999999</v>
      </c>
      <c r="AG115">
        <v>19</v>
      </c>
      <c r="AH115">
        <v>-0.27999999999999992</v>
      </c>
      <c r="AI115">
        <v>1</v>
      </c>
      <c r="AJ115">
        <v>4.666666666666667</v>
      </c>
      <c r="AK115">
        <v>5</v>
      </c>
      <c r="AL115">
        <v>2.8760000000000003</v>
      </c>
      <c r="AM115">
        <v>14</v>
      </c>
      <c r="AN115">
        <v>-7.9999999999999988E-2</v>
      </c>
      <c r="AO115">
        <v>8</v>
      </c>
      <c r="AP115">
        <v>4.5999999999999996</v>
      </c>
      <c r="AQ115">
        <v>1</v>
      </c>
      <c r="AR115">
        <v>2.48</v>
      </c>
      <c r="AS115">
        <v>20</v>
      </c>
      <c r="AT115">
        <v>19.333333333333332</v>
      </c>
      <c r="AU115">
        <v>21</v>
      </c>
      <c r="AV115">
        <v>-1.9176000000000002</v>
      </c>
      <c r="AW115">
        <v>22</v>
      </c>
      <c r="AX115">
        <v>-12.360000000000007</v>
      </c>
      <c r="AY115">
        <v>15</v>
      </c>
      <c r="AZ115">
        <v>0.64000000000000068</v>
      </c>
      <c r="BA115">
        <v>5</v>
      </c>
      <c r="BB115">
        <v>7</v>
      </c>
      <c r="BC115">
        <v>13</v>
      </c>
      <c r="BD115">
        <v>1.0279999999999998</v>
      </c>
      <c r="BE115">
        <v>4</v>
      </c>
      <c r="BF115">
        <v>16.079999999999995</v>
      </c>
      <c r="BG115">
        <v>4</v>
      </c>
      <c r="BH115">
        <v>1.9200000000000004</v>
      </c>
      <c r="BI115">
        <v>28</v>
      </c>
      <c r="BJ115">
        <v>26.333333333333332</v>
      </c>
      <c r="BK115">
        <v>24</v>
      </c>
      <c r="BL115">
        <v>-2.1719999999999997</v>
      </c>
      <c r="BM115">
        <v>25</v>
      </c>
      <c r="BN115">
        <v>-15.680000000000001</v>
      </c>
      <c r="BO115">
        <v>30</v>
      </c>
      <c r="BP115">
        <v>-1.8399999999999999</v>
      </c>
      <c r="BQ115">
        <v>19</v>
      </c>
      <c r="BR115">
        <v>19</v>
      </c>
      <c r="BS115">
        <v>18</v>
      </c>
      <c r="BT115">
        <v>-0.77360000000000029</v>
      </c>
      <c r="BU115">
        <v>28</v>
      </c>
      <c r="BV115">
        <v>-12.76</v>
      </c>
      <c r="BW115">
        <v>11</v>
      </c>
      <c r="BX115">
        <v>0.56000000000000016</v>
      </c>
      <c r="BY115">
        <v>27</v>
      </c>
      <c r="BZ115">
        <v>26.666666666666668</v>
      </c>
      <c r="CA115">
        <v>27</v>
      </c>
      <c r="CB115">
        <v>-4.3239999999999998</v>
      </c>
      <c r="CC115">
        <v>30</v>
      </c>
      <c r="CD115">
        <v>-26.439999999999998</v>
      </c>
      <c r="CE115">
        <v>23</v>
      </c>
      <c r="CF115">
        <v>-1.08</v>
      </c>
      <c r="CG115">
        <v>23</v>
      </c>
      <c r="CH115">
        <v>23.333333333333332</v>
      </c>
      <c r="CI115">
        <v>25</v>
      </c>
      <c r="CJ115">
        <v>-3.1960000000000002</v>
      </c>
      <c r="CK115">
        <v>-13.959999999999997</v>
      </c>
      <c r="CL115">
        <v>-0.52000000000000013</v>
      </c>
      <c r="CM115">
        <v>30</v>
      </c>
      <c r="CN115">
        <v>29.5</v>
      </c>
      <c r="CO115">
        <v>30</v>
      </c>
      <c r="CP115">
        <v>-2.96</v>
      </c>
      <c r="CQ115">
        <v>29</v>
      </c>
      <c r="CR115">
        <v>-0.55999999999999994</v>
      </c>
      <c r="CS115">
        <v>-1.9999999999999996</v>
      </c>
      <c r="CT115">
        <v>4</v>
      </c>
      <c r="CU115">
        <v>8.75</v>
      </c>
      <c r="CV115">
        <v>23</v>
      </c>
      <c r="CW115">
        <v>-2.3432329623482701E-2</v>
      </c>
      <c r="CX115">
        <v>2</v>
      </c>
      <c r="CY115">
        <v>2.749897390257236E-2</v>
      </c>
      <c r="CZ115">
        <v>6</v>
      </c>
      <c r="DA115">
        <v>-9.0434232434232403E-2</v>
      </c>
      <c r="DB115">
        <v>4</v>
      </c>
      <c r="DC115">
        <v>2.8</v>
      </c>
      <c r="DD115">
        <v>-3.6799999999999984</v>
      </c>
      <c r="DE115">
        <v>-5.4399999999999995</v>
      </c>
      <c r="DF115">
        <v>-0.83999999999999986</v>
      </c>
      <c r="DG115">
        <v>-49.04</v>
      </c>
      <c r="DH115">
        <v>-28.200000000000006</v>
      </c>
      <c r="DI115">
        <v>-15.559999999999999</v>
      </c>
      <c r="DJ115">
        <v>2.0000000000000004</v>
      </c>
      <c r="DK115">
        <v>-7.2799999999999985</v>
      </c>
      <c r="DL115">
        <v>24</v>
      </c>
      <c r="DM115">
        <v>-4.6864000000000008</v>
      </c>
      <c r="DN115">
        <v>-2.4064000000000001</v>
      </c>
      <c r="DO115">
        <v>-12.640000000000008</v>
      </c>
      <c r="DP115">
        <v>9</v>
      </c>
      <c r="DQ115">
        <v>-1.2229999999999999</v>
      </c>
      <c r="DR115">
        <v>0.12000000000000055</v>
      </c>
      <c r="DS115">
        <v>1.381975</v>
      </c>
      <c r="DT115">
        <v>0.19790000000000016</v>
      </c>
      <c r="DU115" t="s">
        <v>291</v>
      </c>
      <c r="DV115" t="s">
        <v>282</v>
      </c>
      <c r="DW115" t="s">
        <v>453</v>
      </c>
      <c r="DX115">
        <v>7</v>
      </c>
      <c r="DY115">
        <v>3.3923999999999994</v>
      </c>
      <c r="DZ115">
        <v>17</v>
      </c>
      <c r="EA115">
        <v>16</v>
      </c>
      <c r="EB115">
        <v>19</v>
      </c>
      <c r="EC115">
        <v>-1.0709999999999997</v>
      </c>
      <c r="ED115">
        <v>10</v>
      </c>
      <c r="EE115">
        <v>1.69</v>
      </c>
      <c r="EF115">
        <v>6</v>
      </c>
      <c r="EG115">
        <v>21.590000000000003</v>
      </c>
      <c r="EH115">
        <v>29</v>
      </c>
      <c r="EI115">
        <v>-1.5699999999999998</v>
      </c>
      <c r="EJ115">
        <v>12</v>
      </c>
      <c r="EK115">
        <v>14</v>
      </c>
      <c r="EL115">
        <v>11</v>
      </c>
      <c r="EM115">
        <v>1.0549999999999997</v>
      </c>
      <c r="EN115">
        <v>10</v>
      </c>
      <c r="EO115">
        <v>1.2099999999999997</v>
      </c>
      <c r="EP115">
        <v>4</v>
      </c>
      <c r="EQ115">
        <v>15.680000000000001</v>
      </c>
      <c r="ER115">
        <v>31</v>
      </c>
      <c r="ES115">
        <v>-1.01</v>
      </c>
      <c r="ET115">
        <v>17</v>
      </c>
      <c r="EU115">
        <v>17</v>
      </c>
      <c r="EV115">
        <v>30</v>
      </c>
      <c r="EW115">
        <v>-2.1259999999999994</v>
      </c>
      <c r="EX115">
        <v>15</v>
      </c>
      <c r="EY115">
        <v>0.48000000000000009</v>
      </c>
      <c r="EZ115">
        <v>6</v>
      </c>
      <c r="FA115">
        <v>5.910000000000001</v>
      </c>
      <c r="FB115">
        <v>27</v>
      </c>
      <c r="FC115">
        <v>-0.55999999999999994</v>
      </c>
      <c r="FD115">
        <v>3</v>
      </c>
      <c r="FE115">
        <v>4.666666666666667</v>
      </c>
      <c r="FF115">
        <v>2</v>
      </c>
      <c r="FG115">
        <v>12.061999999999996</v>
      </c>
      <c r="FH115">
        <v>5</v>
      </c>
      <c r="FI115">
        <v>19.239999999999998</v>
      </c>
      <c r="FJ115">
        <v>7</v>
      </c>
      <c r="FK115">
        <v>1.48</v>
      </c>
      <c r="FL115">
        <v>3</v>
      </c>
      <c r="FM115">
        <v>5.333333333333333</v>
      </c>
      <c r="FN115">
        <v>2</v>
      </c>
      <c r="FO115">
        <v>6.4071999999999987</v>
      </c>
      <c r="FP115">
        <v>9</v>
      </c>
      <c r="FQ115">
        <v>9.3000000000000025</v>
      </c>
      <c r="FR115">
        <v>5</v>
      </c>
      <c r="FS115">
        <v>1.1800000000000002</v>
      </c>
      <c r="FT115">
        <v>2</v>
      </c>
      <c r="FU115">
        <v>3.3333333333333335</v>
      </c>
      <c r="FV115">
        <v>1</v>
      </c>
      <c r="FW115">
        <v>7.1097999999999981</v>
      </c>
      <c r="FX115">
        <v>2</v>
      </c>
      <c r="FY115">
        <v>22.709999999999997</v>
      </c>
      <c r="FZ115">
        <v>7</v>
      </c>
      <c r="GA115">
        <v>0.56999999999999995</v>
      </c>
      <c r="GB115">
        <v>30</v>
      </c>
      <c r="GC115">
        <v>26</v>
      </c>
      <c r="GD115">
        <v>27</v>
      </c>
      <c r="GE115">
        <v>-1.4549999999999996</v>
      </c>
      <c r="GF115">
        <v>30</v>
      </c>
      <c r="GG115">
        <v>-12.77</v>
      </c>
      <c r="GH115">
        <v>21</v>
      </c>
      <c r="GI115">
        <v>-0.27000000000000013</v>
      </c>
      <c r="GJ115">
        <v>16</v>
      </c>
      <c r="GK115">
        <v>17.666666666666668</v>
      </c>
      <c r="GL115">
        <v>18</v>
      </c>
      <c r="GM115">
        <v>-0.84499999999999953</v>
      </c>
      <c r="GN115">
        <v>19</v>
      </c>
      <c r="GO115">
        <v>-3.15</v>
      </c>
      <c r="GP115">
        <v>16</v>
      </c>
      <c r="GQ115">
        <v>-0.11999999999999993</v>
      </c>
      <c r="GR115">
        <v>14</v>
      </c>
      <c r="GS115">
        <v>12.666666666666666</v>
      </c>
      <c r="GT115">
        <v>8</v>
      </c>
      <c r="GU115">
        <v>2.9949999999999997</v>
      </c>
      <c r="GV115">
        <v>4.6099999999999994</v>
      </c>
      <c r="GW115">
        <v>9.0000000000000038E-2</v>
      </c>
      <c r="GX115">
        <v>5</v>
      </c>
      <c r="GY115">
        <v>6</v>
      </c>
      <c r="GZ115">
        <v>3</v>
      </c>
      <c r="HA115">
        <v>3.1500000000000004</v>
      </c>
      <c r="HB115">
        <v>9</v>
      </c>
      <c r="HC115">
        <v>0.39</v>
      </c>
      <c r="HD115">
        <v>2.6999999999999997</v>
      </c>
      <c r="HE115">
        <v>28</v>
      </c>
      <c r="HF115">
        <v>25</v>
      </c>
      <c r="HG115">
        <v>16</v>
      </c>
      <c r="HH115">
        <v>6.8039815316587203E-3</v>
      </c>
      <c r="HI115">
        <v>20</v>
      </c>
      <c r="HJ115">
        <v>-5.9638545692727142E-3</v>
      </c>
      <c r="HK115">
        <v>32</v>
      </c>
      <c r="HL115">
        <v>0.16831746031746034</v>
      </c>
      <c r="HM115">
        <v>32</v>
      </c>
      <c r="HN115">
        <v>-4.17</v>
      </c>
      <c r="HO115">
        <v>4.2800000000000011</v>
      </c>
      <c r="HP115">
        <v>11.43</v>
      </c>
      <c r="HQ115">
        <v>0.78</v>
      </c>
      <c r="HR115">
        <v>38.239999999999995</v>
      </c>
      <c r="HS115">
        <v>-8.2400000000000091</v>
      </c>
      <c r="HT115">
        <v>39.160000000000004</v>
      </c>
      <c r="HU115">
        <v>12.399999999999999</v>
      </c>
      <c r="HV115">
        <v>-5.08</v>
      </c>
      <c r="HW115">
        <v>7</v>
      </c>
      <c r="HX115">
        <v>4.4633999999999991</v>
      </c>
      <c r="HY115">
        <v>4.2253799999999995</v>
      </c>
      <c r="HZ115">
        <v>-47.400000000000013</v>
      </c>
      <c r="IA115">
        <v>26</v>
      </c>
      <c r="IB115">
        <v>2.5660499999999997</v>
      </c>
      <c r="IC115">
        <v>1.57</v>
      </c>
    </row>
  </sheetData>
  <conditionalFormatting sqref="C21:C27">
    <cfRule type="cellIs" dxfId="143" priority="17" operator="between">
      <formula>21</formula>
      <formula>26</formula>
    </cfRule>
    <cfRule type="cellIs" dxfId="142" priority="18" operator="between">
      <formula>27</formula>
      <formula>32</formula>
    </cfRule>
    <cfRule type="cellIs" dxfId="141" priority="19" operator="between">
      <formula>7</formula>
      <formula>12</formula>
    </cfRule>
    <cfRule type="cellIs" dxfId="140" priority="20" operator="between">
      <formula>1</formula>
      <formula>6</formula>
    </cfRule>
  </conditionalFormatting>
  <conditionalFormatting sqref="C72:C78">
    <cfRule type="cellIs" dxfId="139" priority="13" operator="between">
      <formula>21</formula>
      <formula>26</formula>
    </cfRule>
    <cfRule type="cellIs" dxfId="138" priority="14" operator="between">
      <formula>27</formula>
      <formula>32</formula>
    </cfRule>
    <cfRule type="cellIs" dxfId="137" priority="15" operator="between">
      <formula>7</formula>
      <formula>12</formula>
    </cfRule>
    <cfRule type="cellIs" dxfId="136" priority="16" operator="between">
      <formula>1</formula>
      <formula>6</formula>
    </cfRule>
  </conditionalFormatting>
  <conditionalFormatting sqref="C85:C90">
    <cfRule type="cellIs" dxfId="135" priority="9" operator="between">
      <formula>21</formula>
      <formula>26</formula>
    </cfRule>
    <cfRule type="cellIs" dxfId="134" priority="10" operator="between">
      <formula>27</formula>
      <formula>32</formula>
    </cfRule>
    <cfRule type="cellIs" dxfId="133" priority="11" operator="between">
      <formula>7</formula>
      <formula>12</formula>
    </cfRule>
    <cfRule type="cellIs" dxfId="132" priority="12" operator="between">
      <formula>1</formula>
      <formula>6</formula>
    </cfRule>
  </conditionalFormatting>
  <conditionalFormatting sqref="C91:C96">
    <cfRule type="cellIs" dxfId="131" priority="5" operator="between">
      <formula>21</formula>
      <formula>26</formula>
    </cfRule>
    <cfRule type="cellIs" dxfId="130" priority="6" operator="between">
      <formula>27</formula>
      <formula>32</formula>
    </cfRule>
    <cfRule type="cellIs" dxfId="129" priority="7" operator="between">
      <formula>7</formula>
      <formula>12</formula>
    </cfRule>
    <cfRule type="cellIs" dxfId="128" priority="8" operator="between">
      <formula>1</formula>
      <formula>6</formula>
    </cfRule>
  </conditionalFormatting>
  <conditionalFormatting sqref="C97:C102">
    <cfRule type="cellIs" dxfId="127" priority="1" operator="between">
      <formula>21</formula>
      <formula>26</formula>
    </cfRule>
    <cfRule type="cellIs" dxfId="126" priority="2" operator="between">
      <formula>27</formula>
      <formula>32</formula>
    </cfRule>
    <cfRule type="cellIs" dxfId="125" priority="3" operator="between">
      <formula>7</formula>
      <formula>12</formula>
    </cfRule>
    <cfRule type="cellIs" dxfId="124" priority="4" operator="between">
      <formula>1</formula>
      <formula>6</formula>
    </cfRule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4D23D-9FF8-3C4A-9C75-4DA29E4B5B87}">
  <sheetPr codeName="Sheet18"/>
  <dimension ref="A1:IG211"/>
  <sheetViews>
    <sheetView workbookViewId="0">
      <pane ySplit="1" topLeftCell="A2" activePane="bottomLeft" state="frozen"/>
      <selection pane="bottomLeft"/>
    </sheetView>
  </sheetViews>
  <sheetFormatPr baseColWidth="10" defaultRowHeight="16" x14ac:dyDescent="0.2"/>
  <cols>
    <col min="3" max="3" width="17.5" bestFit="1" customWidth="1"/>
    <col min="4" max="4" width="19" bestFit="1" customWidth="1"/>
  </cols>
  <sheetData>
    <row r="1" spans="1:241" x14ac:dyDescent="0.2">
      <c r="A1" t="s">
        <v>226</v>
      </c>
      <c r="B1" t="s">
        <v>255</v>
      </c>
      <c r="C1" t="s">
        <v>254</v>
      </c>
      <c r="D1" t="s">
        <v>227</v>
      </c>
      <c r="E1" t="s">
        <v>191</v>
      </c>
      <c r="F1" t="s">
        <v>192</v>
      </c>
      <c r="G1" t="s">
        <v>395</v>
      </c>
      <c r="H1" t="s">
        <v>193</v>
      </c>
      <c r="I1" t="s">
        <v>9</v>
      </c>
      <c r="J1" t="s">
        <v>13</v>
      </c>
      <c r="K1" t="s">
        <v>108</v>
      </c>
      <c r="L1" t="s">
        <v>254</v>
      </c>
      <c r="M1" t="s">
        <v>736</v>
      </c>
      <c r="N1" t="s">
        <v>228</v>
      </c>
      <c r="O1" t="s">
        <v>816</v>
      </c>
      <c r="P1" t="s">
        <v>817</v>
      </c>
      <c r="Q1" t="s">
        <v>818</v>
      </c>
      <c r="R1" t="s">
        <v>229</v>
      </c>
      <c r="S1" t="s">
        <v>819</v>
      </c>
      <c r="T1" t="s">
        <v>406</v>
      </c>
      <c r="U1" t="s">
        <v>820</v>
      </c>
      <c r="V1" t="s">
        <v>821</v>
      </c>
      <c r="W1" t="s">
        <v>822</v>
      </c>
      <c r="X1" t="s">
        <v>787</v>
      </c>
      <c r="Y1" t="s">
        <v>737</v>
      </c>
      <c r="Z1" t="s">
        <v>738</v>
      </c>
      <c r="AA1" t="s">
        <v>739</v>
      </c>
      <c r="AB1" t="s">
        <v>385</v>
      </c>
      <c r="AC1" t="s">
        <v>823</v>
      </c>
      <c r="AD1" t="s">
        <v>440</v>
      </c>
      <c r="AE1" t="s">
        <v>740</v>
      </c>
      <c r="AF1" t="s">
        <v>386</v>
      </c>
      <c r="AG1" t="s">
        <v>824</v>
      </c>
      <c r="AH1" t="s">
        <v>387</v>
      </c>
      <c r="AI1" t="s">
        <v>741</v>
      </c>
      <c r="AJ1" t="s">
        <v>742</v>
      </c>
      <c r="AK1" t="s">
        <v>743</v>
      </c>
      <c r="AL1" t="s">
        <v>388</v>
      </c>
      <c r="AM1" s="35" t="s">
        <v>825</v>
      </c>
      <c r="AN1" t="s">
        <v>441</v>
      </c>
      <c r="AO1" t="s">
        <v>744</v>
      </c>
      <c r="AP1" t="s">
        <v>389</v>
      </c>
      <c r="AQ1" t="s">
        <v>826</v>
      </c>
      <c r="AR1" t="s">
        <v>390</v>
      </c>
      <c r="AS1" t="s">
        <v>827</v>
      </c>
      <c r="AT1" t="s">
        <v>828</v>
      </c>
      <c r="AU1" t="s">
        <v>829</v>
      </c>
      <c r="AV1" t="s">
        <v>830</v>
      </c>
      <c r="AW1" t="s">
        <v>831</v>
      </c>
      <c r="AX1" t="s">
        <v>832</v>
      </c>
      <c r="AY1" t="s">
        <v>833</v>
      </c>
      <c r="AZ1" t="s">
        <v>834</v>
      </c>
      <c r="BA1" t="s">
        <v>745</v>
      </c>
      <c r="BB1" t="s">
        <v>746</v>
      </c>
      <c r="BC1" t="s">
        <v>747</v>
      </c>
      <c r="BD1" t="s">
        <v>191</v>
      </c>
      <c r="BE1" t="s">
        <v>748</v>
      </c>
      <c r="BF1" t="s">
        <v>391</v>
      </c>
      <c r="BG1" t="s">
        <v>835</v>
      </c>
      <c r="BH1" t="s">
        <v>392</v>
      </c>
      <c r="BI1" t="s">
        <v>749</v>
      </c>
      <c r="BJ1" t="s">
        <v>750</v>
      </c>
      <c r="BK1" t="s">
        <v>751</v>
      </c>
      <c r="BL1" t="s">
        <v>192</v>
      </c>
      <c r="BM1" t="s">
        <v>752</v>
      </c>
      <c r="BN1" t="s">
        <v>393</v>
      </c>
      <c r="BO1" t="s">
        <v>836</v>
      </c>
      <c r="BP1" t="s">
        <v>394</v>
      </c>
      <c r="BQ1" t="s">
        <v>753</v>
      </c>
      <c r="BR1" t="s">
        <v>754</v>
      </c>
      <c r="BS1" t="s">
        <v>755</v>
      </c>
      <c r="BT1" t="s">
        <v>395</v>
      </c>
      <c r="BU1" t="s">
        <v>756</v>
      </c>
      <c r="BV1" t="s">
        <v>396</v>
      </c>
      <c r="BW1" t="s">
        <v>837</v>
      </c>
      <c r="BX1" t="s">
        <v>397</v>
      </c>
      <c r="BY1" t="s">
        <v>757</v>
      </c>
      <c r="BZ1" t="s">
        <v>758</v>
      </c>
      <c r="CA1" t="s">
        <v>759</v>
      </c>
      <c r="CB1" t="s">
        <v>230</v>
      </c>
      <c r="CC1" t="s">
        <v>760</v>
      </c>
      <c r="CD1" t="s">
        <v>398</v>
      </c>
      <c r="CE1" t="s">
        <v>838</v>
      </c>
      <c r="CF1" t="s">
        <v>761</v>
      </c>
      <c r="CG1" t="s">
        <v>762</v>
      </c>
      <c r="CH1" t="s">
        <v>763</v>
      </c>
      <c r="CI1" t="s">
        <v>764</v>
      </c>
      <c r="CJ1" t="s">
        <v>193</v>
      </c>
      <c r="CK1" t="s">
        <v>765</v>
      </c>
      <c r="CL1" t="s">
        <v>400</v>
      </c>
      <c r="CM1" t="s">
        <v>839</v>
      </c>
      <c r="CN1" t="s">
        <v>401</v>
      </c>
      <c r="CO1" t="s">
        <v>766</v>
      </c>
      <c r="CP1" t="s">
        <v>767</v>
      </c>
      <c r="CQ1" t="s">
        <v>768</v>
      </c>
      <c r="CR1" t="s">
        <v>231</v>
      </c>
      <c r="CS1" t="s">
        <v>769</v>
      </c>
      <c r="CT1" t="s">
        <v>402</v>
      </c>
      <c r="CU1" t="s">
        <v>232</v>
      </c>
      <c r="CV1" t="s">
        <v>770</v>
      </c>
      <c r="CW1" t="s">
        <v>771</v>
      </c>
      <c r="CX1" t="s">
        <v>772</v>
      </c>
      <c r="CY1" t="s">
        <v>233</v>
      </c>
      <c r="CZ1" t="s">
        <v>773</v>
      </c>
      <c r="DA1" t="s">
        <v>234</v>
      </c>
      <c r="DB1" t="s">
        <v>774</v>
      </c>
      <c r="DC1" t="s">
        <v>403</v>
      </c>
      <c r="DD1" t="s">
        <v>775</v>
      </c>
      <c r="DE1" t="s">
        <v>404</v>
      </c>
      <c r="DF1" t="s">
        <v>408</v>
      </c>
      <c r="DG1" t="s">
        <v>409</v>
      </c>
      <c r="DH1" t="s">
        <v>410</v>
      </c>
      <c r="DI1" t="s">
        <v>411</v>
      </c>
      <c r="DJ1" t="s">
        <v>412</v>
      </c>
      <c r="DK1" t="s">
        <v>413</v>
      </c>
      <c r="DL1" t="s">
        <v>414</v>
      </c>
      <c r="DM1" t="s">
        <v>415</v>
      </c>
      <c r="DN1" t="s">
        <v>840</v>
      </c>
      <c r="DO1" t="s">
        <v>777</v>
      </c>
      <c r="DP1" t="s">
        <v>778</v>
      </c>
      <c r="DQ1" t="s">
        <v>814</v>
      </c>
      <c r="DR1" t="s">
        <v>841</v>
      </c>
      <c r="DS1" t="s">
        <v>781</v>
      </c>
      <c r="DT1" t="s">
        <v>786</v>
      </c>
      <c r="DU1" t="s">
        <v>788</v>
      </c>
      <c r="DV1" t="s">
        <v>789</v>
      </c>
      <c r="DW1" s="1" t="s">
        <v>227</v>
      </c>
      <c r="DX1" t="s">
        <v>842</v>
      </c>
      <c r="DY1" t="s">
        <v>843</v>
      </c>
      <c r="DZ1" t="s">
        <v>844</v>
      </c>
      <c r="EA1" t="s">
        <v>228</v>
      </c>
      <c r="EB1" t="s">
        <v>845</v>
      </c>
      <c r="EC1" t="s">
        <v>846</v>
      </c>
      <c r="ED1" t="s">
        <v>846</v>
      </c>
      <c r="EE1" t="s">
        <v>784</v>
      </c>
      <c r="EF1" t="s">
        <v>847</v>
      </c>
      <c r="EG1" t="s">
        <v>848</v>
      </c>
      <c r="EH1" t="s">
        <v>849</v>
      </c>
      <c r="EI1" t="s">
        <v>785</v>
      </c>
      <c r="EJ1" t="s">
        <v>822</v>
      </c>
      <c r="EK1" t="s">
        <v>787</v>
      </c>
      <c r="EL1" t="s">
        <v>850</v>
      </c>
      <c r="EM1" t="s">
        <v>739</v>
      </c>
      <c r="EN1" t="s">
        <v>739</v>
      </c>
      <c r="EO1" t="s">
        <v>385</v>
      </c>
      <c r="EP1" t="s">
        <v>823</v>
      </c>
      <c r="EQ1" t="s">
        <v>440</v>
      </c>
      <c r="ER1" t="s">
        <v>740</v>
      </c>
      <c r="ES1" t="s">
        <v>386</v>
      </c>
      <c r="ET1" t="s">
        <v>851</v>
      </c>
      <c r="EU1" t="s">
        <v>387</v>
      </c>
      <c r="EV1" t="s">
        <v>741</v>
      </c>
      <c r="EW1" t="s">
        <v>742</v>
      </c>
      <c r="EX1" t="s">
        <v>743</v>
      </c>
      <c r="EY1" t="s">
        <v>388</v>
      </c>
      <c r="EZ1" s="35" t="s">
        <v>825</v>
      </c>
      <c r="FA1" t="s">
        <v>441</v>
      </c>
      <c r="FB1" t="s">
        <v>744</v>
      </c>
      <c r="FC1" t="s">
        <v>389</v>
      </c>
      <c r="FD1" t="s">
        <v>852</v>
      </c>
      <c r="FE1" t="s">
        <v>390</v>
      </c>
      <c r="FF1" t="s">
        <v>853</v>
      </c>
      <c r="FG1" t="s">
        <v>829</v>
      </c>
      <c r="FH1" t="s">
        <v>829</v>
      </c>
      <c r="FI1" t="s">
        <v>782</v>
      </c>
      <c r="FJ1" t="s">
        <v>854</v>
      </c>
      <c r="FK1" t="s">
        <v>783</v>
      </c>
      <c r="FL1" t="s">
        <v>855</v>
      </c>
      <c r="FM1" t="s">
        <v>856</v>
      </c>
      <c r="FN1" t="s">
        <v>857</v>
      </c>
      <c r="FO1" t="s">
        <v>747</v>
      </c>
      <c r="FP1" t="s">
        <v>747</v>
      </c>
      <c r="FQ1" t="s">
        <v>191</v>
      </c>
      <c r="FR1" t="s">
        <v>748</v>
      </c>
      <c r="FS1" t="s">
        <v>391</v>
      </c>
      <c r="FT1" t="s">
        <v>835</v>
      </c>
      <c r="FU1" t="s">
        <v>392</v>
      </c>
      <c r="FV1" t="s">
        <v>858</v>
      </c>
      <c r="FW1" t="s">
        <v>751</v>
      </c>
      <c r="FX1" t="s">
        <v>751</v>
      </c>
      <c r="FY1" t="s">
        <v>192</v>
      </c>
      <c r="FZ1" t="s">
        <v>752</v>
      </c>
      <c r="GA1" t="s">
        <v>393</v>
      </c>
      <c r="GB1" t="s">
        <v>836</v>
      </c>
      <c r="GC1" t="s">
        <v>394</v>
      </c>
      <c r="GD1" t="s">
        <v>859</v>
      </c>
      <c r="GE1" t="s">
        <v>755</v>
      </c>
      <c r="GF1" t="s">
        <v>755</v>
      </c>
      <c r="GG1" t="s">
        <v>395</v>
      </c>
      <c r="GH1" t="s">
        <v>756</v>
      </c>
      <c r="GI1" t="s">
        <v>396</v>
      </c>
      <c r="GJ1" t="s">
        <v>397</v>
      </c>
      <c r="GK1" t="s">
        <v>397</v>
      </c>
      <c r="GL1" t="s">
        <v>804</v>
      </c>
      <c r="GM1" t="s">
        <v>860</v>
      </c>
      <c r="GN1" t="s">
        <v>759</v>
      </c>
      <c r="GO1" t="s">
        <v>230</v>
      </c>
      <c r="GP1" t="s">
        <v>760</v>
      </c>
      <c r="GQ1" t="s">
        <v>398</v>
      </c>
      <c r="GR1" t="s">
        <v>838</v>
      </c>
      <c r="GS1" t="s">
        <v>761</v>
      </c>
      <c r="GT1" t="s">
        <v>808</v>
      </c>
      <c r="GU1" t="s">
        <v>764</v>
      </c>
      <c r="GV1" t="s">
        <v>764</v>
      </c>
      <c r="GW1" t="s">
        <v>193</v>
      </c>
      <c r="GX1" t="s">
        <v>765</v>
      </c>
      <c r="GY1" t="s">
        <v>400</v>
      </c>
      <c r="GZ1" t="s">
        <v>839</v>
      </c>
      <c r="HA1" t="s">
        <v>401</v>
      </c>
      <c r="HB1" t="s">
        <v>861</v>
      </c>
      <c r="HC1" t="s">
        <v>767</v>
      </c>
      <c r="HD1" t="s">
        <v>768</v>
      </c>
      <c r="HE1" t="s">
        <v>231</v>
      </c>
      <c r="HF1" t="s">
        <v>769</v>
      </c>
      <c r="HG1" t="s">
        <v>402</v>
      </c>
      <c r="HH1" t="s">
        <v>232</v>
      </c>
      <c r="HI1" t="s">
        <v>770</v>
      </c>
      <c r="HJ1" t="s">
        <v>771</v>
      </c>
      <c r="HK1" t="s">
        <v>772</v>
      </c>
      <c r="HL1" t="s">
        <v>233</v>
      </c>
      <c r="HM1" t="s">
        <v>773</v>
      </c>
      <c r="HN1" t="s">
        <v>234</v>
      </c>
      <c r="HO1" t="s">
        <v>774</v>
      </c>
      <c r="HP1" t="s">
        <v>403</v>
      </c>
      <c r="HQ1" t="s">
        <v>775</v>
      </c>
      <c r="HR1" t="s">
        <v>404</v>
      </c>
      <c r="HS1" t="s">
        <v>408</v>
      </c>
      <c r="HT1" t="s">
        <v>409</v>
      </c>
      <c r="HU1" t="s">
        <v>410</v>
      </c>
      <c r="HV1" t="s">
        <v>411</v>
      </c>
      <c r="HW1" t="s">
        <v>412</v>
      </c>
      <c r="HX1" t="s">
        <v>413</v>
      </c>
      <c r="HY1" t="s">
        <v>414</v>
      </c>
      <c r="HZ1" t="s">
        <v>415</v>
      </c>
      <c r="IA1" t="s">
        <v>776</v>
      </c>
      <c r="IB1" t="s">
        <v>777</v>
      </c>
      <c r="IC1" t="s">
        <v>862</v>
      </c>
      <c r="ID1" t="s">
        <v>814</v>
      </c>
      <c r="IE1" t="s">
        <v>841</v>
      </c>
      <c r="IF1" t="s">
        <v>789</v>
      </c>
      <c r="IG1" t="s">
        <v>786</v>
      </c>
    </row>
    <row r="2" spans="1:241" x14ac:dyDescent="0.2">
      <c r="A2" s="19">
        <v>44087</v>
      </c>
      <c r="B2" s="13" t="s">
        <v>384</v>
      </c>
      <c r="C2" s="41" t="s">
        <v>285</v>
      </c>
      <c r="D2" s="14" t="s">
        <v>256</v>
      </c>
      <c r="E2">
        <v>32.1</v>
      </c>
      <c r="F2">
        <v>7.4</v>
      </c>
      <c r="G2">
        <v>1</v>
      </c>
      <c r="H2" s="14">
        <v>4.0999999999999996</v>
      </c>
    </row>
    <row r="3" spans="1:241" x14ac:dyDescent="0.2">
      <c r="A3" s="19">
        <v>44087</v>
      </c>
      <c r="B3" s="13" t="s">
        <v>384</v>
      </c>
      <c r="C3" s="41" t="s">
        <v>295</v>
      </c>
      <c r="D3" s="14" t="s">
        <v>308</v>
      </c>
      <c r="E3">
        <v>27.7</v>
      </c>
      <c r="F3">
        <v>36.9</v>
      </c>
      <c r="G3">
        <v>23.4</v>
      </c>
      <c r="H3" s="14">
        <v>6.8</v>
      </c>
    </row>
    <row r="4" spans="1:241" x14ac:dyDescent="0.2">
      <c r="A4" s="19">
        <v>44087</v>
      </c>
      <c r="B4" s="13" t="s">
        <v>384</v>
      </c>
      <c r="C4" s="41" t="s">
        <v>305</v>
      </c>
      <c r="D4" s="14" t="s">
        <v>281</v>
      </c>
      <c r="E4">
        <v>18.100000000000001</v>
      </c>
      <c r="F4">
        <v>16.399999999999999</v>
      </c>
      <c r="G4">
        <v>6.7</v>
      </c>
      <c r="H4" s="14">
        <v>22.8</v>
      </c>
    </row>
    <row r="5" spans="1:241" x14ac:dyDescent="0.2">
      <c r="A5" s="19">
        <v>44087</v>
      </c>
      <c r="B5" s="13" t="s">
        <v>384</v>
      </c>
      <c r="C5" s="41" t="s">
        <v>276</v>
      </c>
      <c r="D5" s="14" t="s">
        <v>298</v>
      </c>
      <c r="E5">
        <v>19</v>
      </c>
      <c r="F5">
        <v>16.600000000000001</v>
      </c>
      <c r="G5">
        <v>9.8000000000000007</v>
      </c>
      <c r="H5" s="14">
        <v>4.5999999999999996</v>
      </c>
    </row>
    <row r="6" spans="1:241" x14ac:dyDescent="0.2">
      <c r="A6" s="19">
        <v>44087</v>
      </c>
      <c r="B6" s="13" t="s">
        <v>384</v>
      </c>
      <c r="C6" s="41" t="s">
        <v>301</v>
      </c>
      <c r="D6" s="14" t="s">
        <v>303</v>
      </c>
      <c r="E6">
        <v>28.4</v>
      </c>
      <c r="F6">
        <v>9.4</v>
      </c>
      <c r="G6">
        <v>9.3000000000000007</v>
      </c>
      <c r="H6" s="14">
        <v>3.6</v>
      </c>
    </row>
    <row r="7" spans="1:241" x14ac:dyDescent="0.2">
      <c r="A7" s="19">
        <v>44087</v>
      </c>
      <c r="B7" s="13" t="s">
        <v>384</v>
      </c>
      <c r="C7" s="41" t="s">
        <v>265</v>
      </c>
      <c r="D7" t="s">
        <v>299</v>
      </c>
      <c r="E7">
        <v>12.3</v>
      </c>
      <c r="F7">
        <v>17.600000000000001</v>
      </c>
      <c r="G7">
        <v>7.1</v>
      </c>
      <c r="H7" s="14">
        <v>11.5</v>
      </c>
    </row>
    <row r="8" spans="1:241" x14ac:dyDescent="0.2">
      <c r="A8" s="19">
        <v>44087</v>
      </c>
      <c r="B8" s="13" t="s">
        <v>384</v>
      </c>
      <c r="C8" s="17" t="s">
        <v>272</v>
      </c>
      <c r="D8" s="14" t="s">
        <v>287</v>
      </c>
      <c r="E8">
        <v>7.3</v>
      </c>
      <c r="F8">
        <v>10.1</v>
      </c>
      <c r="G8">
        <v>3.7</v>
      </c>
      <c r="H8" s="14">
        <v>8.5</v>
      </c>
    </row>
    <row r="9" spans="1:241" x14ac:dyDescent="0.2">
      <c r="A9" s="19">
        <v>44087</v>
      </c>
      <c r="B9" s="13" t="s">
        <v>384</v>
      </c>
      <c r="C9" s="41" t="s">
        <v>281</v>
      </c>
      <c r="D9" s="14" t="s">
        <v>305</v>
      </c>
      <c r="E9">
        <v>5.2</v>
      </c>
      <c r="F9">
        <v>11.1</v>
      </c>
      <c r="G9">
        <v>2.2000000000000002</v>
      </c>
      <c r="H9" s="14">
        <v>14</v>
      </c>
    </row>
    <row r="10" spans="1:241" x14ac:dyDescent="0.2">
      <c r="A10" s="19">
        <v>44087</v>
      </c>
      <c r="B10" s="13" t="s">
        <v>384</v>
      </c>
      <c r="C10" s="41" t="s">
        <v>291</v>
      </c>
      <c r="D10" s="14" t="s">
        <v>304</v>
      </c>
      <c r="E10">
        <v>18.100000000000001</v>
      </c>
      <c r="F10">
        <v>10.9</v>
      </c>
      <c r="G10">
        <v>8</v>
      </c>
      <c r="H10" s="14">
        <v>2.1</v>
      </c>
    </row>
    <row r="11" spans="1:241" x14ac:dyDescent="0.2">
      <c r="A11" s="19">
        <v>44087</v>
      </c>
      <c r="B11" s="13" t="s">
        <v>384</v>
      </c>
      <c r="C11" s="41" t="s">
        <v>278</v>
      </c>
      <c r="D11" s="14" t="s">
        <v>310</v>
      </c>
      <c r="E11">
        <v>9.6</v>
      </c>
      <c r="F11">
        <v>6.9</v>
      </c>
      <c r="G11">
        <v>2.8</v>
      </c>
      <c r="H11">
        <v>19.100000000000001</v>
      </c>
    </row>
    <row r="12" spans="1:241" x14ac:dyDescent="0.2">
      <c r="A12" s="19">
        <v>44087</v>
      </c>
      <c r="B12" s="13" t="s">
        <v>384</v>
      </c>
      <c r="C12" s="41" t="s">
        <v>299</v>
      </c>
      <c r="D12" s="14" t="s">
        <v>265</v>
      </c>
      <c r="E12">
        <v>9.5</v>
      </c>
      <c r="F12">
        <v>13.1</v>
      </c>
      <c r="G12">
        <v>7.3</v>
      </c>
      <c r="H12" s="14">
        <v>16.600000000000001</v>
      </c>
    </row>
    <row r="13" spans="1:241" x14ac:dyDescent="0.2">
      <c r="A13" s="19">
        <v>44087</v>
      </c>
      <c r="B13" s="13" t="s">
        <v>384</v>
      </c>
      <c r="C13" s="41" t="s">
        <v>300</v>
      </c>
      <c r="D13" s="14" t="s">
        <v>312</v>
      </c>
      <c r="E13">
        <v>44.6</v>
      </c>
      <c r="F13">
        <v>19.600000000000001</v>
      </c>
      <c r="G13">
        <v>18.2</v>
      </c>
      <c r="H13" s="14">
        <v>2.2000000000000002</v>
      </c>
    </row>
    <row r="14" spans="1:241" x14ac:dyDescent="0.2">
      <c r="A14" s="19">
        <v>44087</v>
      </c>
      <c r="B14" s="13" t="s">
        <v>384</v>
      </c>
      <c r="C14" s="41" t="s">
        <v>311</v>
      </c>
      <c r="D14" s="14" t="s">
        <v>288</v>
      </c>
      <c r="E14">
        <v>22.2</v>
      </c>
      <c r="F14">
        <v>4</v>
      </c>
      <c r="G14">
        <v>4.3</v>
      </c>
      <c r="H14" s="14">
        <v>11.9</v>
      </c>
    </row>
    <row r="15" spans="1:241" x14ac:dyDescent="0.2">
      <c r="A15" s="19">
        <v>44087</v>
      </c>
      <c r="B15" s="13" t="s">
        <v>384</v>
      </c>
      <c r="C15" s="41" t="s">
        <v>289</v>
      </c>
      <c r="D15" s="14" t="s">
        <v>297</v>
      </c>
      <c r="E15">
        <v>9.3000000000000007</v>
      </c>
      <c r="F15">
        <v>14</v>
      </c>
      <c r="G15">
        <v>3.8</v>
      </c>
      <c r="H15" s="14">
        <v>7.9</v>
      </c>
    </row>
    <row r="16" spans="1:241" x14ac:dyDescent="0.2">
      <c r="A16" s="19">
        <v>44087</v>
      </c>
      <c r="B16" s="13" t="s">
        <v>384</v>
      </c>
      <c r="C16" s="41" t="s">
        <v>297</v>
      </c>
      <c r="D16" s="14" t="s">
        <v>289</v>
      </c>
      <c r="E16">
        <v>11.5</v>
      </c>
      <c r="F16">
        <v>13.7</v>
      </c>
      <c r="G16">
        <v>15.7</v>
      </c>
      <c r="H16" s="14">
        <v>1.8</v>
      </c>
    </row>
    <row r="17" spans="1:8" x14ac:dyDescent="0.2">
      <c r="A17" s="19">
        <v>44087</v>
      </c>
      <c r="B17" s="13" t="s">
        <v>384</v>
      </c>
      <c r="C17" s="41" t="s">
        <v>288</v>
      </c>
      <c r="D17" s="14" t="s">
        <v>311</v>
      </c>
      <c r="E17">
        <v>15.6</v>
      </c>
      <c r="F17">
        <v>21.5</v>
      </c>
      <c r="G17">
        <v>5</v>
      </c>
      <c r="H17" s="14">
        <v>17</v>
      </c>
    </row>
    <row r="18" spans="1:8" x14ac:dyDescent="0.2">
      <c r="A18" s="19">
        <v>44087</v>
      </c>
      <c r="B18" s="13" t="s">
        <v>384</v>
      </c>
      <c r="C18" s="41" t="s">
        <v>303</v>
      </c>
      <c r="D18" s="14" t="s">
        <v>301</v>
      </c>
      <c r="E18">
        <v>9.6</v>
      </c>
      <c r="F18">
        <v>9.3000000000000007</v>
      </c>
      <c r="G18">
        <v>4.0999999999999996</v>
      </c>
      <c r="H18" s="14">
        <v>10.5</v>
      </c>
    </row>
    <row r="19" spans="1:8" x14ac:dyDescent="0.2">
      <c r="A19" s="19">
        <v>44087</v>
      </c>
      <c r="B19" s="13" t="s">
        <v>384</v>
      </c>
      <c r="C19" s="41" t="s">
        <v>287</v>
      </c>
      <c r="D19" s="14" t="s">
        <v>272</v>
      </c>
      <c r="E19">
        <v>7.7</v>
      </c>
      <c r="F19">
        <v>10.9</v>
      </c>
      <c r="G19">
        <v>2.6</v>
      </c>
      <c r="H19" s="14">
        <v>12.3</v>
      </c>
    </row>
    <row r="20" spans="1:8" x14ac:dyDescent="0.2">
      <c r="A20" s="19">
        <v>44087</v>
      </c>
      <c r="B20" s="13" t="s">
        <v>384</v>
      </c>
      <c r="C20" s="41" t="s">
        <v>304</v>
      </c>
      <c r="D20" s="14" t="s">
        <v>291</v>
      </c>
      <c r="E20">
        <v>20.9</v>
      </c>
      <c r="F20">
        <v>8</v>
      </c>
      <c r="G20">
        <v>4.0999999999999996</v>
      </c>
      <c r="H20" s="14">
        <v>7</v>
      </c>
    </row>
    <row r="21" spans="1:8" x14ac:dyDescent="0.2">
      <c r="A21" s="19">
        <v>44087</v>
      </c>
      <c r="B21" s="13" t="s">
        <v>384</v>
      </c>
      <c r="C21" s="41" t="s">
        <v>293</v>
      </c>
      <c r="D21" s="14" t="s">
        <v>302</v>
      </c>
      <c r="E21">
        <v>8.6999999999999993</v>
      </c>
      <c r="F21">
        <v>6.1</v>
      </c>
      <c r="G21">
        <v>5.5</v>
      </c>
      <c r="H21" s="14">
        <v>6</v>
      </c>
    </row>
    <row r="22" spans="1:8" x14ac:dyDescent="0.2">
      <c r="A22" s="19">
        <v>44087</v>
      </c>
      <c r="B22" s="13" t="s">
        <v>384</v>
      </c>
      <c r="C22" s="41" t="s">
        <v>312</v>
      </c>
      <c r="D22" s="14" t="s">
        <v>300</v>
      </c>
      <c r="E22">
        <v>34</v>
      </c>
      <c r="F22">
        <v>4.5999999999999996</v>
      </c>
      <c r="G22">
        <v>8.6</v>
      </c>
      <c r="H22" s="14">
        <v>4.8</v>
      </c>
    </row>
    <row r="23" spans="1:8" x14ac:dyDescent="0.2">
      <c r="A23" s="19">
        <v>44087</v>
      </c>
      <c r="B23" s="13" t="s">
        <v>384</v>
      </c>
      <c r="C23" s="41" t="s">
        <v>302</v>
      </c>
      <c r="D23" s="14" t="s">
        <v>293</v>
      </c>
      <c r="E23">
        <v>13</v>
      </c>
      <c r="F23">
        <v>7.9</v>
      </c>
      <c r="G23">
        <v>0</v>
      </c>
      <c r="H23" s="14">
        <v>3.5</v>
      </c>
    </row>
    <row r="24" spans="1:8" x14ac:dyDescent="0.2">
      <c r="A24" s="19">
        <v>44087</v>
      </c>
      <c r="B24" s="13" t="s">
        <v>384</v>
      </c>
      <c r="C24" s="41" t="s">
        <v>307</v>
      </c>
      <c r="D24" s="14" t="s">
        <v>284</v>
      </c>
      <c r="E24">
        <v>4.7</v>
      </c>
      <c r="F24">
        <v>10.5</v>
      </c>
      <c r="G24">
        <v>3.6</v>
      </c>
      <c r="H24" s="14">
        <v>13</v>
      </c>
    </row>
    <row r="25" spans="1:8" x14ac:dyDescent="0.2">
      <c r="A25" s="19">
        <v>44087</v>
      </c>
      <c r="B25" s="13" t="s">
        <v>384</v>
      </c>
      <c r="C25" s="41" t="s">
        <v>296</v>
      </c>
      <c r="D25" s="14" t="s">
        <v>309</v>
      </c>
      <c r="E25">
        <v>31.2</v>
      </c>
      <c r="F25">
        <v>10.7</v>
      </c>
      <c r="G25">
        <v>3.7</v>
      </c>
      <c r="H25" s="14">
        <v>2.9</v>
      </c>
    </row>
    <row r="26" spans="1:8" x14ac:dyDescent="0.2">
      <c r="A26" s="19">
        <v>44087</v>
      </c>
      <c r="B26" s="13" t="s">
        <v>384</v>
      </c>
      <c r="C26" s="41" t="s">
        <v>298</v>
      </c>
      <c r="D26" s="14" t="s">
        <v>276</v>
      </c>
      <c r="E26">
        <v>27.5</v>
      </c>
      <c r="F26">
        <v>4.7</v>
      </c>
      <c r="G26">
        <v>1</v>
      </c>
      <c r="H26" s="14">
        <v>8.6999999999999993</v>
      </c>
    </row>
    <row r="27" spans="1:8" x14ac:dyDescent="0.2">
      <c r="A27" s="19">
        <v>44087</v>
      </c>
      <c r="B27" s="13" t="s">
        <v>384</v>
      </c>
      <c r="C27" s="41" t="s">
        <v>294</v>
      </c>
      <c r="D27" s="14" t="s">
        <v>306</v>
      </c>
      <c r="E27">
        <v>6.6</v>
      </c>
      <c r="F27">
        <v>8.1</v>
      </c>
      <c r="G27">
        <v>6.5</v>
      </c>
      <c r="H27" s="14">
        <v>27.1</v>
      </c>
    </row>
    <row r="28" spans="1:8" x14ac:dyDescent="0.2">
      <c r="A28" s="19">
        <v>44087</v>
      </c>
      <c r="B28" s="13" t="s">
        <v>384</v>
      </c>
      <c r="C28" s="41" t="s">
        <v>309</v>
      </c>
      <c r="D28" s="14" t="s">
        <v>296</v>
      </c>
      <c r="E28">
        <v>24.9</v>
      </c>
      <c r="F28">
        <v>10.7</v>
      </c>
      <c r="G28">
        <v>11.4</v>
      </c>
      <c r="H28" s="14">
        <v>2.8</v>
      </c>
    </row>
    <row r="29" spans="1:8" x14ac:dyDescent="0.2">
      <c r="A29" s="19">
        <v>44087</v>
      </c>
      <c r="B29" s="14" t="s">
        <v>384</v>
      </c>
      <c r="C29" s="40" t="s">
        <v>256</v>
      </c>
      <c r="D29" t="s">
        <v>285</v>
      </c>
      <c r="E29">
        <v>5.4</v>
      </c>
      <c r="F29">
        <v>2.7</v>
      </c>
      <c r="G29">
        <v>0</v>
      </c>
      <c r="H29" s="14">
        <v>9.3000000000000007</v>
      </c>
    </row>
    <row r="30" spans="1:8" x14ac:dyDescent="0.2">
      <c r="A30" s="19">
        <v>44087</v>
      </c>
      <c r="B30" s="13" t="s">
        <v>384</v>
      </c>
      <c r="C30" s="41" t="s">
        <v>308</v>
      </c>
      <c r="D30" s="14" t="s">
        <v>295</v>
      </c>
      <c r="E30">
        <v>17.2</v>
      </c>
      <c r="F30">
        <v>19.5</v>
      </c>
      <c r="G30">
        <v>7</v>
      </c>
      <c r="H30" s="14">
        <v>12.4</v>
      </c>
    </row>
    <row r="31" spans="1:8" x14ac:dyDescent="0.2">
      <c r="A31" s="19">
        <v>44087</v>
      </c>
      <c r="B31" s="13" t="s">
        <v>384</v>
      </c>
      <c r="C31" s="41" t="s">
        <v>284</v>
      </c>
      <c r="D31" s="14" t="s">
        <v>307</v>
      </c>
      <c r="E31">
        <v>13.9</v>
      </c>
      <c r="F31">
        <v>7.2</v>
      </c>
      <c r="G31">
        <v>12.9</v>
      </c>
      <c r="H31" s="14">
        <v>13.6</v>
      </c>
    </row>
    <row r="32" spans="1:8" x14ac:dyDescent="0.2">
      <c r="A32" s="19">
        <v>44087</v>
      </c>
      <c r="B32" s="13" t="s">
        <v>384</v>
      </c>
      <c r="C32" s="41" t="s">
        <v>310</v>
      </c>
      <c r="D32" s="14" t="s">
        <v>278</v>
      </c>
      <c r="E32">
        <v>20.100000000000001</v>
      </c>
      <c r="F32">
        <v>8.9</v>
      </c>
      <c r="G32">
        <v>10.7</v>
      </c>
      <c r="H32" s="14">
        <v>13.6</v>
      </c>
    </row>
    <row r="33" spans="1:8" x14ac:dyDescent="0.2">
      <c r="A33" s="19">
        <v>44087</v>
      </c>
      <c r="B33" s="13" t="s">
        <v>384</v>
      </c>
      <c r="C33" s="41" t="s">
        <v>306</v>
      </c>
      <c r="D33" s="14" t="s">
        <v>294</v>
      </c>
      <c r="E33">
        <v>11.1</v>
      </c>
      <c r="F33">
        <v>8</v>
      </c>
      <c r="G33">
        <v>4.0999999999999996</v>
      </c>
      <c r="H33" s="14">
        <v>13.7</v>
      </c>
    </row>
    <row r="34" spans="1:8" x14ac:dyDescent="0.2">
      <c r="A34" s="19">
        <v>44094</v>
      </c>
      <c r="B34" s="13" t="s">
        <v>383</v>
      </c>
      <c r="C34" s="41" t="s">
        <v>285</v>
      </c>
      <c r="D34" s="14" t="s">
        <v>306</v>
      </c>
      <c r="E34">
        <v>20.8</v>
      </c>
      <c r="F34">
        <v>12</v>
      </c>
      <c r="G34">
        <v>8</v>
      </c>
      <c r="H34" s="14">
        <v>4.5999999999999996</v>
      </c>
    </row>
    <row r="35" spans="1:8" x14ac:dyDescent="0.2">
      <c r="A35" s="19">
        <v>44094</v>
      </c>
      <c r="B35" s="13" t="s">
        <v>383</v>
      </c>
      <c r="C35" s="41" t="s">
        <v>295</v>
      </c>
      <c r="D35" s="14" t="s">
        <v>291</v>
      </c>
      <c r="E35">
        <v>4.4000000000000004</v>
      </c>
      <c r="F35">
        <v>32.9</v>
      </c>
      <c r="G35">
        <v>16.600000000000001</v>
      </c>
      <c r="H35" s="14">
        <v>18.2</v>
      </c>
    </row>
    <row r="36" spans="1:8" x14ac:dyDescent="0.2">
      <c r="A36" s="19">
        <v>44094</v>
      </c>
      <c r="B36" s="13" t="s">
        <v>383</v>
      </c>
      <c r="C36" s="41" t="s">
        <v>305</v>
      </c>
      <c r="D36" s="14" t="s">
        <v>311</v>
      </c>
      <c r="E36">
        <v>9.1999999999999993</v>
      </c>
      <c r="F36">
        <v>7.8</v>
      </c>
      <c r="G36">
        <v>4.9000000000000004</v>
      </c>
      <c r="H36" s="14">
        <v>3.9</v>
      </c>
    </row>
    <row r="37" spans="1:8" x14ac:dyDescent="0.2">
      <c r="A37" s="19">
        <v>44094</v>
      </c>
      <c r="B37" s="13" t="s">
        <v>383</v>
      </c>
      <c r="C37" s="41" t="s">
        <v>276</v>
      </c>
      <c r="D37" s="14" t="s">
        <v>293</v>
      </c>
      <c r="E37">
        <v>32.299999999999997</v>
      </c>
      <c r="F37">
        <v>18.2</v>
      </c>
      <c r="G37">
        <v>12</v>
      </c>
      <c r="H37" s="14">
        <v>3.6</v>
      </c>
    </row>
    <row r="38" spans="1:8" x14ac:dyDescent="0.2">
      <c r="A38" s="19">
        <v>44094</v>
      </c>
      <c r="B38" s="13" t="s">
        <v>383</v>
      </c>
      <c r="C38" s="41" t="s">
        <v>301</v>
      </c>
      <c r="D38" s="14" t="s">
        <v>284</v>
      </c>
      <c r="E38">
        <v>21.9</v>
      </c>
      <c r="F38">
        <v>23</v>
      </c>
      <c r="G38">
        <v>5.9</v>
      </c>
      <c r="H38" s="14">
        <v>0</v>
      </c>
    </row>
    <row r="39" spans="1:8" x14ac:dyDescent="0.2">
      <c r="A39" s="19">
        <v>44094</v>
      </c>
      <c r="B39" s="13" t="s">
        <v>383</v>
      </c>
      <c r="C39" s="41" t="s">
        <v>265</v>
      </c>
      <c r="D39" t="s">
        <v>296</v>
      </c>
      <c r="E39">
        <v>6.3</v>
      </c>
      <c r="F39">
        <v>0</v>
      </c>
      <c r="G39">
        <v>12.6</v>
      </c>
      <c r="H39" s="14">
        <v>2.8</v>
      </c>
    </row>
    <row r="40" spans="1:8" x14ac:dyDescent="0.2">
      <c r="A40" s="19">
        <v>44094</v>
      </c>
      <c r="B40" s="13" t="s">
        <v>383</v>
      </c>
      <c r="C40" s="17" t="s">
        <v>272</v>
      </c>
      <c r="D40" s="14" t="s">
        <v>281</v>
      </c>
      <c r="E40">
        <v>20.2</v>
      </c>
      <c r="F40">
        <v>5.9</v>
      </c>
      <c r="G40">
        <v>6.5</v>
      </c>
      <c r="H40" s="14">
        <v>25.7</v>
      </c>
    </row>
    <row r="41" spans="1:8" x14ac:dyDescent="0.2">
      <c r="A41" s="19">
        <v>44094</v>
      </c>
      <c r="B41" s="13" t="s">
        <v>383</v>
      </c>
      <c r="C41" s="41" t="s">
        <v>281</v>
      </c>
      <c r="D41" s="14" t="s">
        <v>272</v>
      </c>
      <c r="E41">
        <v>17.399999999999999</v>
      </c>
      <c r="F41">
        <v>7.6</v>
      </c>
      <c r="G41">
        <v>5.9</v>
      </c>
      <c r="H41" s="14">
        <v>4.2</v>
      </c>
    </row>
    <row r="42" spans="1:8" x14ac:dyDescent="0.2">
      <c r="A42" s="19">
        <v>44094</v>
      </c>
      <c r="B42" s="13" t="s">
        <v>383</v>
      </c>
      <c r="C42" s="41" t="s">
        <v>291</v>
      </c>
      <c r="D42" s="14" t="s">
        <v>295</v>
      </c>
      <c r="E42">
        <v>19</v>
      </c>
      <c r="F42">
        <v>20.5</v>
      </c>
      <c r="G42">
        <v>7.8</v>
      </c>
      <c r="H42" s="14">
        <v>22.8</v>
      </c>
    </row>
    <row r="43" spans="1:8" x14ac:dyDescent="0.2">
      <c r="A43" s="19">
        <v>44094</v>
      </c>
      <c r="B43" s="13" t="s">
        <v>383</v>
      </c>
      <c r="C43" s="41" t="s">
        <v>278</v>
      </c>
      <c r="D43" s="14" t="s">
        <v>309</v>
      </c>
      <c r="E43">
        <v>9.6</v>
      </c>
      <c r="F43">
        <v>10.199999999999999</v>
      </c>
      <c r="G43">
        <v>8.6999999999999993</v>
      </c>
      <c r="H43" s="14">
        <v>17.7</v>
      </c>
    </row>
    <row r="44" spans="1:8" x14ac:dyDescent="0.2">
      <c r="A44" s="19">
        <v>44094</v>
      </c>
      <c r="B44" s="13" t="s">
        <v>383</v>
      </c>
      <c r="C44" s="41" t="s">
        <v>299</v>
      </c>
      <c r="D44" s="14" t="s">
        <v>300</v>
      </c>
      <c r="E44">
        <v>12.3</v>
      </c>
      <c r="F44">
        <v>4.0999999999999996</v>
      </c>
      <c r="G44">
        <v>8.4</v>
      </c>
      <c r="H44" s="14">
        <v>10.199999999999999</v>
      </c>
    </row>
    <row r="45" spans="1:8" x14ac:dyDescent="0.2">
      <c r="A45" s="19">
        <v>44094</v>
      </c>
      <c r="B45" s="13" t="s">
        <v>383</v>
      </c>
      <c r="C45" s="41" t="s">
        <v>300</v>
      </c>
      <c r="D45" s="14" t="s">
        <v>299</v>
      </c>
      <c r="E45">
        <v>7.5</v>
      </c>
      <c r="F45">
        <v>9.4</v>
      </c>
      <c r="G45">
        <v>0</v>
      </c>
      <c r="H45" s="14">
        <v>10.5</v>
      </c>
    </row>
    <row r="46" spans="1:8" x14ac:dyDescent="0.2">
      <c r="A46" s="19">
        <v>44094</v>
      </c>
      <c r="B46" s="13" t="s">
        <v>383</v>
      </c>
      <c r="C46" s="41" t="s">
        <v>311</v>
      </c>
      <c r="D46" s="14" t="s">
        <v>305</v>
      </c>
      <c r="E46">
        <v>0</v>
      </c>
      <c r="F46">
        <v>14.5</v>
      </c>
      <c r="G46">
        <v>0.9</v>
      </c>
      <c r="H46" s="14">
        <v>12.5</v>
      </c>
    </row>
    <row r="47" spans="1:8" x14ac:dyDescent="0.2">
      <c r="A47" s="19">
        <v>44094</v>
      </c>
      <c r="B47" s="13" t="s">
        <v>383</v>
      </c>
      <c r="C47" s="41" t="s">
        <v>289</v>
      </c>
      <c r="D47" s="14" t="s">
        <v>312</v>
      </c>
      <c r="E47">
        <v>5.8</v>
      </c>
      <c r="F47">
        <v>10.9</v>
      </c>
      <c r="G47">
        <v>7.7</v>
      </c>
      <c r="H47" s="14">
        <v>19.100000000000001</v>
      </c>
    </row>
    <row r="48" spans="1:8" x14ac:dyDescent="0.2">
      <c r="A48" s="19">
        <v>44094</v>
      </c>
      <c r="B48" s="13" t="s">
        <v>383</v>
      </c>
      <c r="C48" s="41" t="s">
        <v>297</v>
      </c>
      <c r="D48" s="14" t="s">
        <v>310</v>
      </c>
      <c r="E48">
        <v>12.4</v>
      </c>
      <c r="F48">
        <v>17.8</v>
      </c>
      <c r="G48">
        <v>10.199999999999999</v>
      </c>
      <c r="H48" s="14">
        <v>12.6</v>
      </c>
    </row>
    <row r="49" spans="1:8" x14ac:dyDescent="0.2">
      <c r="A49" s="19">
        <v>44094</v>
      </c>
      <c r="B49" s="13" t="s">
        <v>383</v>
      </c>
      <c r="C49" s="41" t="s">
        <v>288</v>
      </c>
      <c r="D49" s="14" t="s">
        <v>287</v>
      </c>
      <c r="E49">
        <v>21.8</v>
      </c>
      <c r="F49">
        <v>7.3</v>
      </c>
      <c r="G49">
        <v>2.1</v>
      </c>
      <c r="H49" s="14">
        <v>24</v>
      </c>
    </row>
    <row r="50" spans="1:8" x14ac:dyDescent="0.2">
      <c r="A50" s="19">
        <v>44094</v>
      </c>
      <c r="B50" s="13" t="s">
        <v>383</v>
      </c>
      <c r="C50" s="41" t="s">
        <v>303</v>
      </c>
      <c r="D50" s="14" t="s">
        <v>307</v>
      </c>
      <c r="E50">
        <v>1.4</v>
      </c>
      <c r="F50">
        <v>8.5</v>
      </c>
      <c r="G50">
        <v>6.7</v>
      </c>
      <c r="H50" s="14">
        <v>31.5</v>
      </c>
    </row>
    <row r="51" spans="1:8" x14ac:dyDescent="0.2">
      <c r="A51" s="19">
        <v>44094</v>
      </c>
      <c r="B51" s="13" t="s">
        <v>383</v>
      </c>
      <c r="C51" s="41" t="s">
        <v>287</v>
      </c>
      <c r="D51" s="14" t="s">
        <v>288</v>
      </c>
      <c r="E51">
        <v>16.600000000000001</v>
      </c>
      <c r="F51">
        <v>3.4</v>
      </c>
      <c r="G51">
        <v>8.4</v>
      </c>
      <c r="H51" s="14">
        <v>14.3</v>
      </c>
    </row>
    <row r="52" spans="1:8" x14ac:dyDescent="0.2">
      <c r="A52" s="19">
        <v>44094</v>
      </c>
      <c r="B52" s="13" t="s">
        <v>383</v>
      </c>
      <c r="C52" s="41" t="s">
        <v>304</v>
      </c>
      <c r="D52" s="14" t="s">
        <v>294</v>
      </c>
      <c r="E52">
        <v>11.3</v>
      </c>
      <c r="F52">
        <v>14</v>
      </c>
      <c r="G52">
        <v>8.4</v>
      </c>
      <c r="H52" s="14">
        <v>28.4</v>
      </c>
    </row>
    <row r="53" spans="1:8" x14ac:dyDescent="0.2">
      <c r="A53" s="19">
        <v>44094</v>
      </c>
      <c r="B53" s="13" t="s">
        <v>383</v>
      </c>
      <c r="C53" s="41" t="s">
        <v>293</v>
      </c>
      <c r="D53" s="14" t="s">
        <v>276</v>
      </c>
      <c r="E53">
        <v>16.3</v>
      </c>
      <c r="F53">
        <v>14.6</v>
      </c>
      <c r="G53">
        <v>5.6</v>
      </c>
      <c r="H53" s="14">
        <v>30</v>
      </c>
    </row>
    <row r="54" spans="1:8" x14ac:dyDescent="0.2">
      <c r="A54" s="19">
        <v>44094</v>
      </c>
      <c r="B54" s="13" t="s">
        <v>383</v>
      </c>
      <c r="C54" s="41" t="s">
        <v>312</v>
      </c>
      <c r="D54" s="14" t="s">
        <v>289</v>
      </c>
      <c r="E54">
        <v>6.1</v>
      </c>
      <c r="F54">
        <v>7.4</v>
      </c>
      <c r="G54">
        <v>3.4</v>
      </c>
      <c r="H54" s="14">
        <v>0</v>
      </c>
    </row>
    <row r="55" spans="1:8" x14ac:dyDescent="0.2">
      <c r="A55" s="19">
        <v>44094</v>
      </c>
      <c r="B55" s="13" t="s">
        <v>383</v>
      </c>
      <c r="C55" s="41" t="s">
        <v>302</v>
      </c>
      <c r="D55" s="14" t="s">
        <v>308</v>
      </c>
      <c r="E55">
        <v>28.9</v>
      </c>
      <c r="F55">
        <v>15.2</v>
      </c>
      <c r="G55">
        <v>13.2</v>
      </c>
      <c r="H55" s="14">
        <v>3.9</v>
      </c>
    </row>
    <row r="56" spans="1:8" x14ac:dyDescent="0.2">
      <c r="A56" s="19">
        <v>44094</v>
      </c>
      <c r="B56" s="13" t="s">
        <v>383</v>
      </c>
      <c r="C56" s="41" t="s">
        <v>307</v>
      </c>
      <c r="D56" s="14" t="s">
        <v>303</v>
      </c>
      <c r="E56">
        <v>13.6</v>
      </c>
      <c r="F56">
        <v>2.8</v>
      </c>
      <c r="G56">
        <v>6.4</v>
      </c>
      <c r="H56">
        <v>9.3000000000000007</v>
      </c>
    </row>
    <row r="57" spans="1:8" x14ac:dyDescent="0.2">
      <c r="A57" s="19">
        <v>44094</v>
      </c>
      <c r="B57" s="13" t="s">
        <v>383</v>
      </c>
      <c r="C57" s="41" t="s">
        <v>296</v>
      </c>
      <c r="D57" s="14" t="s">
        <v>265</v>
      </c>
      <c r="E57">
        <v>6.3</v>
      </c>
      <c r="F57">
        <v>9.6999999999999993</v>
      </c>
      <c r="G57">
        <v>5.5</v>
      </c>
      <c r="H57" s="14">
        <v>12.5</v>
      </c>
    </row>
    <row r="58" spans="1:8" x14ac:dyDescent="0.2">
      <c r="A58" s="19">
        <v>44094</v>
      </c>
      <c r="B58" s="13" t="s">
        <v>383</v>
      </c>
      <c r="C58" s="41" t="s">
        <v>298</v>
      </c>
      <c r="D58" s="14" t="s">
        <v>256</v>
      </c>
      <c r="E58">
        <v>17.899999999999999</v>
      </c>
      <c r="F58">
        <v>13.5</v>
      </c>
      <c r="G58">
        <v>6.8</v>
      </c>
      <c r="H58" s="14">
        <v>1.5</v>
      </c>
    </row>
    <row r="59" spans="1:8" x14ac:dyDescent="0.2">
      <c r="A59" s="19">
        <v>44094</v>
      </c>
      <c r="B59" s="13" t="s">
        <v>383</v>
      </c>
      <c r="C59" s="41" t="s">
        <v>294</v>
      </c>
      <c r="D59" s="14" t="s">
        <v>304</v>
      </c>
      <c r="E59">
        <v>12.4</v>
      </c>
      <c r="F59">
        <v>8.1</v>
      </c>
      <c r="G59">
        <v>1.5</v>
      </c>
      <c r="H59" s="14">
        <v>9.1999999999999993</v>
      </c>
    </row>
    <row r="60" spans="1:8" x14ac:dyDescent="0.2">
      <c r="A60" s="19">
        <v>44094</v>
      </c>
      <c r="B60" s="13" t="s">
        <v>383</v>
      </c>
      <c r="C60" s="41" t="s">
        <v>309</v>
      </c>
      <c r="D60" s="14" t="s">
        <v>278</v>
      </c>
      <c r="E60">
        <v>23.2</v>
      </c>
      <c r="F60">
        <v>11.8</v>
      </c>
      <c r="G60">
        <v>17.8</v>
      </c>
      <c r="H60" s="14">
        <v>7.3</v>
      </c>
    </row>
    <row r="61" spans="1:8" x14ac:dyDescent="0.2">
      <c r="A61" s="19">
        <v>44094</v>
      </c>
      <c r="B61" s="14" t="s">
        <v>383</v>
      </c>
      <c r="C61" s="40" t="s">
        <v>256</v>
      </c>
      <c r="D61" t="s">
        <v>298</v>
      </c>
      <c r="E61">
        <v>10.7</v>
      </c>
      <c r="F61">
        <v>4.0999999999999996</v>
      </c>
      <c r="G61">
        <v>3</v>
      </c>
      <c r="H61">
        <v>24</v>
      </c>
    </row>
    <row r="62" spans="1:8" x14ac:dyDescent="0.2">
      <c r="A62" s="19">
        <v>44094</v>
      </c>
      <c r="B62" s="13" t="s">
        <v>383</v>
      </c>
      <c r="C62" s="41" t="s">
        <v>308</v>
      </c>
      <c r="D62" s="14" t="s">
        <v>302</v>
      </c>
      <c r="E62">
        <v>19.7</v>
      </c>
      <c r="F62">
        <v>19.2</v>
      </c>
      <c r="G62">
        <v>13.8</v>
      </c>
      <c r="H62" s="14">
        <v>0</v>
      </c>
    </row>
    <row r="63" spans="1:8" x14ac:dyDescent="0.2">
      <c r="A63" s="19">
        <v>44094</v>
      </c>
      <c r="B63" s="13" t="s">
        <v>383</v>
      </c>
      <c r="C63" s="41" t="s">
        <v>284</v>
      </c>
      <c r="D63" s="14" t="s">
        <v>301</v>
      </c>
      <c r="E63">
        <v>26.4</v>
      </c>
      <c r="F63">
        <v>6.8</v>
      </c>
      <c r="G63">
        <v>3.2</v>
      </c>
      <c r="H63">
        <v>2.1</v>
      </c>
    </row>
    <row r="64" spans="1:8" x14ac:dyDescent="0.2">
      <c r="A64" s="19">
        <v>44094</v>
      </c>
      <c r="B64" s="13" t="s">
        <v>383</v>
      </c>
      <c r="C64" s="41" t="s">
        <v>310</v>
      </c>
      <c r="D64" s="14" t="s">
        <v>297</v>
      </c>
      <c r="E64">
        <v>12.6</v>
      </c>
      <c r="F64">
        <v>15.8</v>
      </c>
      <c r="G64">
        <v>5.7</v>
      </c>
      <c r="H64" s="14">
        <v>24.4</v>
      </c>
    </row>
    <row r="65" spans="1:8" x14ac:dyDescent="0.2">
      <c r="A65" s="19">
        <v>44094</v>
      </c>
      <c r="B65" s="13" t="s">
        <v>383</v>
      </c>
      <c r="C65" s="41" t="s">
        <v>306</v>
      </c>
      <c r="D65" s="14" t="s">
        <v>285</v>
      </c>
      <c r="E65">
        <v>28.5</v>
      </c>
      <c r="F65">
        <v>7.3</v>
      </c>
      <c r="G65">
        <v>3.7</v>
      </c>
      <c r="H65" s="14">
        <v>6.6</v>
      </c>
    </row>
    <row r="66" spans="1:8" x14ac:dyDescent="0.2">
      <c r="A66" s="19">
        <v>44101</v>
      </c>
      <c r="B66" s="13" t="s">
        <v>382</v>
      </c>
      <c r="C66" s="41" t="s">
        <v>285</v>
      </c>
      <c r="D66" s="14" t="s">
        <v>299</v>
      </c>
      <c r="E66">
        <v>26.7</v>
      </c>
      <c r="F66">
        <v>20.100000000000001</v>
      </c>
      <c r="G66">
        <v>1</v>
      </c>
      <c r="H66">
        <v>2.1</v>
      </c>
    </row>
    <row r="67" spans="1:8" x14ac:dyDescent="0.2">
      <c r="A67" s="19">
        <v>44101</v>
      </c>
      <c r="B67" s="13" t="s">
        <v>382</v>
      </c>
      <c r="C67" s="41" t="s">
        <v>295</v>
      </c>
      <c r="D67" s="14" t="s">
        <v>265</v>
      </c>
      <c r="E67">
        <v>19.7</v>
      </c>
      <c r="F67">
        <v>4.5999999999999996</v>
      </c>
      <c r="G67">
        <v>8.1</v>
      </c>
      <c r="H67">
        <v>7.1</v>
      </c>
    </row>
    <row r="68" spans="1:8" x14ac:dyDescent="0.2">
      <c r="A68" s="19">
        <v>44101</v>
      </c>
      <c r="B68" s="13" t="s">
        <v>382</v>
      </c>
      <c r="C68" s="41" t="s">
        <v>305</v>
      </c>
      <c r="D68" s="14" t="s">
        <v>288</v>
      </c>
      <c r="E68">
        <v>3.3</v>
      </c>
      <c r="F68">
        <v>8.6999999999999993</v>
      </c>
      <c r="G68">
        <v>2.4</v>
      </c>
      <c r="H68">
        <v>5.2</v>
      </c>
    </row>
    <row r="69" spans="1:8" x14ac:dyDescent="0.2">
      <c r="A69" s="19">
        <v>44101</v>
      </c>
      <c r="B69" s="13" t="s">
        <v>382</v>
      </c>
      <c r="C69" s="41" t="s">
        <v>276</v>
      </c>
      <c r="D69" s="14" t="s">
        <v>304</v>
      </c>
      <c r="E69">
        <v>14.9</v>
      </c>
      <c r="F69">
        <v>19</v>
      </c>
      <c r="G69">
        <v>12.1</v>
      </c>
      <c r="H69">
        <v>18.399999999999999</v>
      </c>
    </row>
    <row r="70" spans="1:8" x14ac:dyDescent="0.2">
      <c r="A70" s="19">
        <v>44101</v>
      </c>
      <c r="B70" s="13" t="s">
        <v>382</v>
      </c>
      <c r="C70" s="41" t="s">
        <v>301</v>
      </c>
      <c r="D70" s="14" t="s">
        <v>287</v>
      </c>
      <c r="E70">
        <v>10.5</v>
      </c>
      <c r="F70">
        <v>8.5</v>
      </c>
      <c r="G70">
        <v>9.1999999999999993</v>
      </c>
      <c r="H70">
        <v>1.9</v>
      </c>
    </row>
    <row r="71" spans="1:8" x14ac:dyDescent="0.2">
      <c r="A71" s="19">
        <v>44101</v>
      </c>
      <c r="B71" s="13" t="s">
        <v>382</v>
      </c>
      <c r="C71" s="41" t="s">
        <v>265</v>
      </c>
      <c r="D71" t="s">
        <v>295</v>
      </c>
      <c r="E71">
        <v>31.3</v>
      </c>
      <c r="F71">
        <v>13</v>
      </c>
      <c r="G71">
        <v>3.9</v>
      </c>
      <c r="H71">
        <v>24</v>
      </c>
    </row>
    <row r="72" spans="1:8" x14ac:dyDescent="0.2">
      <c r="A72" s="19">
        <v>44101</v>
      </c>
      <c r="B72" s="13" t="s">
        <v>382</v>
      </c>
      <c r="C72" s="17" t="s">
        <v>272</v>
      </c>
      <c r="D72" s="14" t="s">
        <v>294</v>
      </c>
      <c r="E72">
        <v>25.5</v>
      </c>
      <c r="F72">
        <v>8.6</v>
      </c>
      <c r="G72">
        <v>21</v>
      </c>
      <c r="H72">
        <v>1.1000000000000001</v>
      </c>
    </row>
    <row r="73" spans="1:8" x14ac:dyDescent="0.2">
      <c r="A73" s="19">
        <v>44101</v>
      </c>
      <c r="B73" s="13" t="s">
        <v>382</v>
      </c>
      <c r="C73" s="41" t="s">
        <v>281</v>
      </c>
      <c r="D73" s="14" t="s">
        <v>306</v>
      </c>
      <c r="E73">
        <v>9.9</v>
      </c>
      <c r="F73">
        <v>7.6</v>
      </c>
      <c r="G73">
        <v>0</v>
      </c>
      <c r="H73">
        <v>5.5</v>
      </c>
    </row>
    <row r="74" spans="1:8" x14ac:dyDescent="0.2">
      <c r="A74" s="19">
        <v>44101</v>
      </c>
      <c r="B74" s="13" t="s">
        <v>382</v>
      </c>
      <c r="C74" s="41" t="s">
        <v>291</v>
      </c>
      <c r="D74" s="14" t="s">
        <v>308</v>
      </c>
      <c r="E74">
        <v>17.600000000000001</v>
      </c>
      <c r="F74">
        <v>28.8</v>
      </c>
      <c r="G74">
        <v>30.7</v>
      </c>
      <c r="H74">
        <v>8.8000000000000007</v>
      </c>
    </row>
    <row r="75" spans="1:8" x14ac:dyDescent="0.2">
      <c r="A75" s="19">
        <v>44101</v>
      </c>
      <c r="B75" s="13" t="s">
        <v>382</v>
      </c>
      <c r="C75" s="41" t="s">
        <v>278</v>
      </c>
      <c r="D75" s="14" t="s">
        <v>284</v>
      </c>
      <c r="E75">
        <v>10.5</v>
      </c>
      <c r="F75">
        <v>14.3</v>
      </c>
      <c r="G75">
        <v>5.8</v>
      </c>
      <c r="H75">
        <v>9.6</v>
      </c>
    </row>
    <row r="76" spans="1:8" x14ac:dyDescent="0.2">
      <c r="A76" s="19">
        <v>44101</v>
      </c>
      <c r="B76" s="13" t="s">
        <v>382</v>
      </c>
      <c r="C76" s="41" t="s">
        <v>299</v>
      </c>
      <c r="D76" s="14" t="s">
        <v>285</v>
      </c>
      <c r="E76">
        <v>17.7</v>
      </c>
      <c r="F76">
        <v>8.1</v>
      </c>
      <c r="G76">
        <v>2.8</v>
      </c>
      <c r="H76">
        <v>9.3000000000000007</v>
      </c>
    </row>
    <row r="77" spans="1:8" x14ac:dyDescent="0.2">
      <c r="A77" s="19">
        <v>44101</v>
      </c>
      <c r="B77" s="13" t="s">
        <v>382</v>
      </c>
      <c r="C77" s="41" t="s">
        <v>300</v>
      </c>
      <c r="D77" s="14" t="s">
        <v>307</v>
      </c>
      <c r="E77">
        <v>29.4</v>
      </c>
      <c r="F77">
        <v>1.5</v>
      </c>
      <c r="G77">
        <v>0</v>
      </c>
      <c r="H77">
        <v>16</v>
      </c>
    </row>
    <row r="78" spans="1:8" x14ac:dyDescent="0.2">
      <c r="A78" s="19">
        <v>44101</v>
      </c>
      <c r="B78" s="13" t="s">
        <v>382</v>
      </c>
      <c r="C78" s="41" t="s">
        <v>311</v>
      </c>
      <c r="D78" s="14" t="s">
        <v>309</v>
      </c>
      <c r="E78">
        <v>15.4</v>
      </c>
      <c r="F78">
        <v>19.5</v>
      </c>
      <c r="G78">
        <v>6.5</v>
      </c>
      <c r="H78">
        <v>4.8</v>
      </c>
    </row>
    <row r="79" spans="1:8" x14ac:dyDescent="0.2">
      <c r="A79" s="19">
        <v>44101</v>
      </c>
      <c r="B79" s="13" t="s">
        <v>382</v>
      </c>
      <c r="C79" s="41" t="s">
        <v>289</v>
      </c>
      <c r="D79" s="14" t="s">
        <v>298</v>
      </c>
      <c r="E79">
        <v>8.1999999999999993</v>
      </c>
      <c r="F79">
        <v>5.6</v>
      </c>
      <c r="G79">
        <v>5.4</v>
      </c>
      <c r="H79">
        <v>14</v>
      </c>
    </row>
    <row r="80" spans="1:8" x14ac:dyDescent="0.2">
      <c r="A80" s="19">
        <v>44101</v>
      </c>
      <c r="B80" s="13" t="s">
        <v>382</v>
      </c>
      <c r="C80" s="41" t="s">
        <v>297</v>
      </c>
      <c r="D80" s="14" t="s">
        <v>293</v>
      </c>
      <c r="E80">
        <v>8.4</v>
      </c>
      <c r="F80">
        <v>8.3000000000000007</v>
      </c>
      <c r="G80">
        <v>6.4</v>
      </c>
      <c r="H80">
        <v>3.1</v>
      </c>
    </row>
    <row r="81" spans="1:8" x14ac:dyDescent="0.2">
      <c r="A81" s="19">
        <v>44101</v>
      </c>
      <c r="B81" s="13" t="s">
        <v>382</v>
      </c>
      <c r="C81" s="41" t="s">
        <v>288</v>
      </c>
      <c r="D81" s="14" t="s">
        <v>305</v>
      </c>
      <c r="E81">
        <v>21.2</v>
      </c>
      <c r="F81">
        <v>18.100000000000001</v>
      </c>
      <c r="G81">
        <v>13.2</v>
      </c>
      <c r="H81">
        <v>14.7</v>
      </c>
    </row>
    <row r="82" spans="1:8" x14ac:dyDescent="0.2">
      <c r="A82" s="19">
        <v>44101</v>
      </c>
      <c r="B82" s="13" t="s">
        <v>382</v>
      </c>
      <c r="C82" s="41" t="s">
        <v>303</v>
      </c>
      <c r="D82" s="14" t="s">
        <v>302</v>
      </c>
      <c r="E82">
        <v>20.399999999999999</v>
      </c>
      <c r="F82">
        <v>5.2</v>
      </c>
      <c r="G82">
        <v>6.2</v>
      </c>
      <c r="H82">
        <v>2.9</v>
      </c>
    </row>
    <row r="83" spans="1:8" x14ac:dyDescent="0.2">
      <c r="A83" s="19">
        <v>44101</v>
      </c>
      <c r="B83" s="13" t="s">
        <v>382</v>
      </c>
      <c r="C83" s="41" t="s">
        <v>287</v>
      </c>
      <c r="D83" s="14" t="s">
        <v>301</v>
      </c>
      <c r="E83">
        <v>34.200000000000003</v>
      </c>
      <c r="F83">
        <v>4.3</v>
      </c>
      <c r="G83">
        <v>2.7</v>
      </c>
      <c r="H83">
        <v>10</v>
      </c>
    </row>
    <row r="84" spans="1:8" x14ac:dyDescent="0.2">
      <c r="A84" s="19">
        <v>44101</v>
      </c>
      <c r="B84" s="13" t="s">
        <v>382</v>
      </c>
      <c r="C84" s="41" t="s">
        <v>304</v>
      </c>
      <c r="D84" s="14" t="s">
        <v>276</v>
      </c>
      <c r="E84">
        <v>21.4</v>
      </c>
      <c r="F84">
        <v>28.7</v>
      </c>
      <c r="G84">
        <v>9</v>
      </c>
      <c r="H84">
        <v>8</v>
      </c>
    </row>
    <row r="85" spans="1:8" x14ac:dyDescent="0.2">
      <c r="A85" s="19">
        <v>44101</v>
      </c>
      <c r="B85" s="13" t="s">
        <v>382</v>
      </c>
      <c r="C85" s="41" t="s">
        <v>293</v>
      </c>
      <c r="D85" s="14" t="s">
        <v>297</v>
      </c>
      <c r="E85">
        <v>11.9</v>
      </c>
      <c r="F85">
        <v>8.6999999999999993</v>
      </c>
      <c r="G85">
        <v>5.8</v>
      </c>
      <c r="H85">
        <v>8.5</v>
      </c>
    </row>
    <row r="86" spans="1:8" x14ac:dyDescent="0.2">
      <c r="A86" s="19">
        <v>44101</v>
      </c>
      <c r="B86" s="13" t="s">
        <v>382</v>
      </c>
      <c r="C86" s="41" t="s">
        <v>312</v>
      </c>
      <c r="D86" s="14" t="s">
        <v>310</v>
      </c>
      <c r="E86">
        <v>12.3</v>
      </c>
      <c r="F86">
        <v>33.5</v>
      </c>
      <c r="G86">
        <v>1.7</v>
      </c>
      <c r="H86">
        <v>9.1</v>
      </c>
    </row>
    <row r="87" spans="1:8" x14ac:dyDescent="0.2">
      <c r="A87" s="19">
        <v>44101</v>
      </c>
      <c r="B87" s="13" t="s">
        <v>382</v>
      </c>
      <c r="C87" s="41" t="s">
        <v>302</v>
      </c>
      <c r="D87" s="14" t="s">
        <v>303</v>
      </c>
      <c r="E87">
        <v>4.2</v>
      </c>
      <c r="F87">
        <v>5.7</v>
      </c>
      <c r="G87">
        <v>5.6</v>
      </c>
      <c r="H87">
        <v>0</v>
      </c>
    </row>
    <row r="88" spans="1:8" x14ac:dyDescent="0.2">
      <c r="A88" s="19">
        <v>44101</v>
      </c>
      <c r="B88" s="13" t="s">
        <v>382</v>
      </c>
      <c r="C88" s="41" t="s">
        <v>307</v>
      </c>
      <c r="D88" s="14" t="s">
        <v>300</v>
      </c>
      <c r="E88">
        <v>15.6</v>
      </c>
      <c r="F88">
        <v>8.1999999999999993</v>
      </c>
      <c r="G88">
        <v>2.5</v>
      </c>
      <c r="H88">
        <v>4.0999999999999996</v>
      </c>
    </row>
    <row r="89" spans="1:8" x14ac:dyDescent="0.2">
      <c r="A89" s="19">
        <v>44101</v>
      </c>
      <c r="B89" s="13" t="s">
        <v>382</v>
      </c>
      <c r="C89" s="41" t="s">
        <v>296</v>
      </c>
      <c r="D89" s="14" t="s">
        <v>256</v>
      </c>
      <c r="E89">
        <v>7.3</v>
      </c>
      <c r="F89">
        <v>8.6</v>
      </c>
      <c r="G89">
        <v>3.9</v>
      </c>
      <c r="H89">
        <v>5.2</v>
      </c>
    </row>
    <row r="90" spans="1:8" x14ac:dyDescent="0.2">
      <c r="A90" s="19">
        <v>44101</v>
      </c>
      <c r="B90" s="13" t="s">
        <v>382</v>
      </c>
      <c r="C90" s="41" t="s">
        <v>298</v>
      </c>
      <c r="D90" s="14" t="s">
        <v>289</v>
      </c>
      <c r="E90">
        <v>16.399999999999999</v>
      </c>
      <c r="F90">
        <v>5.5</v>
      </c>
      <c r="G90">
        <v>0</v>
      </c>
      <c r="H90">
        <v>5.0999999999999996</v>
      </c>
    </row>
    <row r="91" spans="1:8" x14ac:dyDescent="0.2">
      <c r="A91" s="19">
        <v>44101</v>
      </c>
      <c r="B91" s="13" t="s">
        <v>382</v>
      </c>
      <c r="C91" s="41" t="s">
        <v>294</v>
      </c>
      <c r="D91" s="14" t="s">
        <v>272</v>
      </c>
      <c r="E91">
        <v>20.6</v>
      </c>
      <c r="F91">
        <v>3.1</v>
      </c>
      <c r="G91">
        <v>4.9000000000000004</v>
      </c>
      <c r="H91">
        <v>14</v>
      </c>
    </row>
    <row r="92" spans="1:8" x14ac:dyDescent="0.2">
      <c r="A92" s="19">
        <v>44101</v>
      </c>
      <c r="B92" s="13" t="s">
        <v>382</v>
      </c>
      <c r="C92" s="41" t="s">
        <v>309</v>
      </c>
      <c r="D92" s="14" t="s">
        <v>311</v>
      </c>
      <c r="E92">
        <v>16.3</v>
      </c>
      <c r="F92">
        <v>8.6</v>
      </c>
      <c r="G92">
        <v>3.4</v>
      </c>
      <c r="H92">
        <v>16.2</v>
      </c>
    </row>
    <row r="93" spans="1:8" x14ac:dyDescent="0.2">
      <c r="A93" s="19">
        <v>44101</v>
      </c>
      <c r="B93" s="14" t="s">
        <v>382</v>
      </c>
      <c r="C93" s="40" t="s">
        <v>256</v>
      </c>
      <c r="D93" t="s">
        <v>296</v>
      </c>
      <c r="E93">
        <v>21.1</v>
      </c>
      <c r="F93">
        <v>10.3</v>
      </c>
      <c r="G93">
        <v>3</v>
      </c>
      <c r="H93">
        <v>4.3</v>
      </c>
    </row>
    <row r="94" spans="1:8" x14ac:dyDescent="0.2">
      <c r="A94" s="19">
        <v>44101</v>
      </c>
      <c r="B94" s="13" t="s">
        <v>382</v>
      </c>
      <c r="C94" s="41" t="s">
        <v>308</v>
      </c>
      <c r="D94" s="14" t="s">
        <v>291</v>
      </c>
      <c r="E94">
        <v>40</v>
      </c>
      <c r="F94">
        <v>23</v>
      </c>
      <c r="G94">
        <v>1.2</v>
      </c>
      <c r="H94">
        <v>11.1</v>
      </c>
    </row>
    <row r="95" spans="1:8" x14ac:dyDescent="0.2">
      <c r="A95" s="19">
        <v>44101</v>
      </c>
      <c r="B95" s="13" t="s">
        <v>382</v>
      </c>
      <c r="C95" s="41" t="s">
        <v>284</v>
      </c>
      <c r="D95" s="14" t="s">
        <v>278</v>
      </c>
      <c r="E95">
        <v>17.399999999999999</v>
      </c>
      <c r="F95">
        <v>14.2</v>
      </c>
      <c r="G95">
        <v>11.3</v>
      </c>
      <c r="H95">
        <v>10.8</v>
      </c>
    </row>
    <row r="96" spans="1:8" x14ac:dyDescent="0.2">
      <c r="A96" s="19">
        <v>44101</v>
      </c>
      <c r="B96" s="13" t="s">
        <v>382</v>
      </c>
      <c r="C96" s="41" t="s">
        <v>310</v>
      </c>
      <c r="D96" s="14" t="s">
        <v>312</v>
      </c>
      <c r="E96">
        <v>11.9</v>
      </c>
      <c r="F96">
        <v>17.5</v>
      </c>
      <c r="G96">
        <v>8.1</v>
      </c>
      <c r="H96">
        <v>11.1</v>
      </c>
    </row>
    <row r="97" spans="1:241" x14ac:dyDescent="0.2">
      <c r="A97" s="19">
        <v>44101</v>
      </c>
      <c r="B97" s="13" t="s">
        <v>382</v>
      </c>
      <c r="C97" s="41" t="s">
        <v>306</v>
      </c>
      <c r="D97" s="14" t="s">
        <v>281</v>
      </c>
      <c r="E97">
        <v>12.6</v>
      </c>
      <c r="F97">
        <v>18.8</v>
      </c>
      <c r="G97">
        <v>7</v>
      </c>
      <c r="H97">
        <v>7.1</v>
      </c>
    </row>
    <row r="98" spans="1:241" x14ac:dyDescent="0.2">
      <c r="A98" s="19">
        <v>44108</v>
      </c>
      <c r="B98" s="13" t="s">
        <v>417</v>
      </c>
      <c r="C98" s="41" t="s">
        <v>285</v>
      </c>
      <c r="D98" s="14" t="s">
        <v>301</v>
      </c>
      <c r="E98">
        <v>11.1</v>
      </c>
      <c r="F98">
        <v>10.9</v>
      </c>
      <c r="G98">
        <v>2.4</v>
      </c>
      <c r="H98">
        <v>7.9</v>
      </c>
      <c r="I98">
        <v>-3</v>
      </c>
      <c r="J98">
        <v>52</v>
      </c>
      <c r="K98" t="s">
        <v>109</v>
      </c>
      <c r="L98" t="s">
        <v>285</v>
      </c>
      <c r="M98">
        <v>3</v>
      </c>
      <c r="N98">
        <v>8.948888888888888</v>
      </c>
      <c r="O98">
        <v>19</v>
      </c>
      <c r="P98">
        <v>17.5</v>
      </c>
      <c r="Q98">
        <v>22</v>
      </c>
      <c r="R98">
        <v>-2.6777777777777785</v>
      </c>
      <c r="S98">
        <v>12</v>
      </c>
      <c r="T98">
        <v>1.0000000000000004</v>
      </c>
      <c r="U98">
        <v>22</v>
      </c>
      <c r="V98">
        <v>-10.555555555555555</v>
      </c>
      <c r="W98">
        <v>14</v>
      </c>
      <c r="X98">
        <v>0.11111111111111072</v>
      </c>
      <c r="Y98">
        <v>23</v>
      </c>
      <c r="Z98">
        <v>20</v>
      </c>
      <c r="AA98">
        <v>22</v>
      </c>
      <c r="AB98">
        <v>-3.3222222222222229</v>
      </c>
      <c r="AC98">
        <v>7</v>
      </c>
      <c r="AD98">
        <v>3.0000000000000004</v>
      </c>
      <c r="AE98">
        <v>14</v>
      </c>
      <c r="AF98">
        <v>0</v>
      </c>
      <c r="AG98">
        <v>24</v>
      </c>
      <c r="AH98">
        <v>-1.0000000000000002</v>
      </c>
      <c r="AI98">
        <v>13</v>
      </c>
      <c r="AJ98">
        <v>15</v>
      </c>
      <c r="AK98">
        <v>14</v>
      </c>
      <c r="AL98">
        <v>0.64444444444444449</v>
      </c>
      <c r="AM98">
        <v>24</v>
      </c>
      <c r="AN98">
        <v>-2</v>
      </c>
      <c r="AO98">
        <v>25</v>
      </c>
      <c r="AP98">
        <v>-10.555555555555555</v>
      </c>
      <c r="AQ98">
        <v>6</v>
      </c>
      <c r="AR98">
        <v>1.1111111111111109</v>
      </c>
      <c r="AS98">
        <v>3</v>
      </c>
      <c r="AT98">
        <v>3.3333333333333335</v>
      </c>
      <c r="AU98">
        <v>4</v>
      </c>
      <c r="AV98">
        <v>11.955555555555554</v>
      </c>
      <c r="AW98">
        <v>3</v>
      </c>
      <c r="AX98">
        <v>37</v>
      </c>
      <c r="AY98">
        <v>3</v>
      </c>
      <c r="AZ98">
        <v>3.7777777777777777</v>
      </c>
      <c r="BA98">
        <v>1</v>
      </c>
      <c r="BB98">
        <v>1</v>
      </c>
      <c r="BC98">
        <v>1</v>
      </c>
      <c r="BD98">
        <v>10.855555555555554</v>
      </c>
      <c r="BE98">
        <v>1</v>
      </c>
      <c r="BF98">
        <v>41.777777777777779</v>
      </c>
      <c r="BG98">
        <v>1</v>
      </c>
      <c r="BH98">
        <v>3.5555555555555558</v>
      </c>
      <c r="BI98">
        <v>17</v>
      </c>
      <c r="BJ98">
        <v>17</v>
      </c>
      <c r="BK98">
        <v>7</v>
      </c>
      <c r="BL98">
        <v>1.5777777777777775</v>
      </c>
      <c r="BM98">
        <v>19</v>
      </c>
      <c r="BN98">
        <v>-6.2222222222222241</v>
      </c>
      <c r="BO98">
        <v>25</v>
      </c>
      <c r="BP98">
        <v>-0.77777777777777801</v>
      </c>
      <c r="BQ98">
        <v>12</v>
      </c>
      <c r="BR98">
        <v>13</v>
      </c>
      <c r="BS98">
        <v>16</v>
      </c>
      <c r="BT98">
        <v>-0.47777777777777758</v>
      </c>
      <c r="BU98">
        <v>13</v>
      </c>
      <c r="BV98">
        <v>1.444444444444444</v>
      </c>
      <c r="BW98">
        <v>10</v>
      </c>
      <c r="BX98">
        <v>1</v>
      </c>
      <c r="BY98">
        <v>25</v>
      </c>
      <c r="BZ98">
        <v>23.666666666666668</v>
      </c>
      <c r="CA98">
        <v>24</v>
      </c>
      <c r="CB98">
        <v>-2.3888888888888906</v>
      </c>
      <c r="CC98">
        <v>28</v>
      </c>
      <c r="CD98">
        <v>-17.222222222222225</v>
      </c>
      <c r="CE98">
        <v>19</v>
      </c>
      <c r="CF98">
        <v>-0.33333333333333276</v>
      </c>
      <c r="CG98">
        <v>27</v>
      </c>
      <c r="CH98">
        <v>26.666666666666668</v>
      </c>
      <c r="CI98">
        <v>30</v>
      </c>
      <c r="CJ98">
        <v>-4.4111111111111114</v>
      </c>
      <c r="CK98">
        <v>23</v>
      </c>
      <c r="CL98">
        <v>-9.6666666666666661</v>
      </c>
      <c r="CM98">
        <v>27</v>
      </c>
      <c r="CN98">
        <v>-1.7777777777777779</v>
      </c>
      <c r="CO98">
        <v>19</v>
      </c>
      <c r="CP98">
        <v>18</v>
      </c>
      <c r="CQ98">
        <v>19</v>
      </c>
      <c r="CR98">
        <v>-0.44444444444444464</v>
      </c>
      <c r="CS98">
        <v>17</v>
      </c>
      <c r="CT98">
        <v>0.11111111111111109</v>
      </c>
      <c r="CU98">
        <v>0.44444444444444481</v>
      </c>
      <c r="CV98">
        <v>26</v>
      </c>
      <c r="CW98">
        <v>21</v>
      </c>
      <c r="CX98">
        <v>26</v>
      </c>
      <c r="CY98">
        <v>-4.1748828581933906E-2</v>
      </c>
      <c r="CZ98">
        <v>27</v>
      </c>
      <c r="DA98">
        <v>-1.6219567225039182E-2</v>
      </c>
      <c r="DB98">
        <v>12</v>
      </c>
      <c r="DC98">
        <v>-3.3008658008657966E-2</v>
      </c>
      <c r="DD98">
        <v>19</v>
      </c>
      <c r="DE98">
        <v>-0.11111111111111131</v>
      </c>
      <c r="DF98">
        <v>6.333333333333333</v>
      </c>
      <c r="DG98">
        <v>2.1111111111111112</v>
      </c>
      <c r="DH98">
        <v>-0.77777777777777779</v>
      </c>
      <c r="DI98">
        <v>45.666666666666664</v>
      </c>
      <c r="DJ98">
        <v>34</v>
      </c>
      <c r="DK98">
        <v>-15.555555555555559</v>
      </c>
      <c r="DL98">
        <v>-4.333333333333333</v>
      </c>
      <c r="DM98">
        <v>31.555555555555557</v>
      </c>
      <c r="DN98">
        <v>2</v>
      </c>
      <c r="DO98">
        <v>11.626666666666667</v>
      </c>
      <c r="DP98">
        <v>4.6375555555555552</v>
      </c>
      <c r="DQ98">
        <v>49.555555555555557</v>
      </c>
      <c r="DR98">
        <v>31</v>
      </c>
      <c r="DS98">
        <v>1.6713888888888884</v>
      </c>
      <c r="DT98">
        <v>1.9999999999999998</v>
      </c>
      <c r="DU98">
        <v>0.24041666666666661</v>
      </c>
      <c r="DV98">
        <v>-0.58972222222222204</v>
      </c>
      <c r="DW98" t="s">
        <v>301</v>
      </c>
      <c r="DX98" t="s">
        <v>279</v>
      </c>
      <c r="DY98" t="s">
        <v>484</v>
      </c>
      <c r="DZ98">
        <v>27</v>
      </c>
      <c r="EA98">
        <v>-3.7577777777777772</v>
      </c>
      <c r="EB98">
        <v>4</v>
      </c>
      <c r="EC98">
        <v>9.75</v>
      </c>
      <c r="ED98">
        <v>1</v>
      </c>
      <c r="EE98">
        <v>14.2</v>
      </c>
      <c r="EF98">
        <v>27</v>
      </c>
      <c r="EG98">
        <v>-2.4444444444444446</v>
      </c>
      <c r="EH98">
        <v>10</v>
      </c>
      <c r="EI98">
        <v>6.7777777777777768</v>
      </c>
      <c r="EJ98">
        <v>1</v>
      </c>
      <c r="EK98">
        <v>3.4444444444444446</v>
      </c>
      <c r="EL98">
        <v>4</v>
      </c>
      <c r="EM98">
        <v>8.25</v>
      </c>
      <c r="EN98">
        <v>1</v>
      </c>
      <c r="EO98">
        <v>13.755555555555555</v>
      </c>
      <c r="EP98">
        <v>22</v>
      </c>
      <c r="EQ98">
        <v>-1.1111111111111114</v>
      </c>
      <c r="ER98">
        <v>9</v>
      </c>
      <c r="ES98">
        <v>6.1111111111111098</v>
      </c>
      <c r="ET98">
        <v>1</v>
      </c>
      <c r="EU98">
        <v>2.7777777777777781</v>
      </c>
      <c r="EV98">
        <v>18</v>
      </c>
      <c r="EW98">
        <v>17.333333333333332</v>
      </c>
      <c r="EX98">
        <v>14</v>
      </c>
      <c r="EY98">
        <v>0.44444444444444436</v>
      </c>
      <c r="EZ98">
        <v>25</v>
      </c>
      <c r="FA98">
        <v>-1.3333333333333333</v>
      </c>
      <c r="FB98">
        <v>13</v>
      </c>
      <c r="FC98">
        <v>0.6666666666666673</v>
      </c>
      <c r="FD98">
        <v>5</v>
      </c>
      <c r="FE98">
        <v>0.66666666666666663</v>
      </c>
      <c r="FF98">
        <v>7</v>
      </c>
      <c r="FG98">
        <v>9.6666666666666661</v>
      </c>
      <c r="FH98">
        <v>10</v>
      </c>
      <c r="FI98">
        <v>2.9222222222222221</v>
      </c>
      <c r="FJ98">
        <v>9</v>
      </c>
      <c r="FK98">
        <v>12.777777777777786</v>
      </c>
      <c r="FL98">
        <v>10</v>
      </c>
      <c r="FM98">
        <v>0.6666666666666663</v>
      </c>
      <c r="FN98">
        <v>1</v>
      </c>
      <c r="FO98">
        <v>1.6666666666666667</v>
      </c>
      <c r="FP98">
        <v>2</v>
      </c>
      <c r="FQ98">
        <v>7</v>
      </c>
      <c r="FR98">
        <v>2</v>
      </c>
      <c r="FS98">
        <v>24.222222222222229</v>
      </c>
      <c r="FT98">
        <v>1</v>
      </c>
      <c r="FU98">
        <v>2.7777777777777772</v>
      </c>
      <c r="FV98">
        <v>19</v>
      </c>
      <c r="FW98">
        <v>17.666666666666668</v>
      </c>
      <c r="FX98">
        <v>18</v>
      </c>
      <c r="FY98">
        <v>-0.95555555555555571</v>
      </c>
      <c r="FZ98">
        <v>9</v>
      </c>
      <c r="GA98">
        <v>6</v>
      </c>
      <c r="GB98">
        <v>26</v>
      </c>
      <c r="GC98">
        <v>-1.2222222222222221</v>
      </c>
      <c r="GD98">
        <v>28</v>
      </c>
      <c r="GE98">
        <v>27.333333333333332</v>
      </c>
      <c r="GF98">
        <v>28</v>
      </c>
      <c r="GG98">
        <v>-3.1222222222222222</v>
      </c>
      <c r="GH98">
        <v>30</v>
      </c>
      <c r="GI98">
        <v>-17.444444444444443</v>
      </c>
      <c r="GJ98">
        <v>24</v>
      </c>
      <c r="GK98">
        <v>-0.88888888888888884</v>
      </c>
      <c r="GL98">
        <v>7</v>
      </c>
      <c r="GM98">
        <v>7.333333333333333</v>
      </c>
      <c r="GN98">
        <v>7</v>
      </c>
      <c r="GO98">
        <v>3.0444444444444447</v>
      </c>
      <c r="GP98">
        <v>6</v>
      </c>
      <c r="GQ98">
        <v>12.666666666666671</v>
      </c>
      <c r="GR98">
        <v>9</v>
      </c>
      <c r="GS98">
        <v>0.55555555555555569</v>
      </c>
      <c r="GT98">
        <v>30</v>
      </c>
      <c r="GU98">
        <v>29</v>
      </c>
      <c r="GV98">
        <v>30</v>
      </c>
      <c r="GW98">
        <v>-4.4666666666666677</v>
      </c>
      <c r="GX98">
        <v>29</v>
      </c>
      <c r="GY98">
        <v>-15.77777777777778</v>
      </c>
      <c r="GZ98">
        <v>28</v>
      </c>
      <c r="HA98">
        <v>-1.4444444444444446</v>
      </c>
      <c r="HB98">
        <v>22</v>
      </c>
      <c r="HC98">
        <v>23</v>
      </c>
      <c r="HD98">
        <v>17</v>
      </c>
      <c r="HE98">
        <v>-0.33333333333333365</v>
      </c>
      <c r="HF98">
        <v>29</v>
      </c>
      <c r="HG98">
        <v>-0.77777777777777779</v>
      </c>
      <c r="HH98">
        <v>-0.11111111111111094</v>
      </c>
      <c r="HI98">
        <v>28</v>
      </c>
      <c r="HJ98">
        <v>22.75</v>
      </c>
      <c r="HK98">
        <v>30</v>
      </c>
      <c r="HL98">
        <v>-5.6087108307932676E-2</v>
      </c>
      <c r="HM98">
        <v>30</v>
      </c>
      <c r="HN98">
        <v>-2.8389665781818368E-2</v>
      </c>
      <c r="HO98">
        <v>3</v>
      </c>
      <c r="HP98">
        <v>-0.18879551820728294</v>
      </c>
      <c r="HQ98">
        <v>28</v>
      </c>
      <c r="HR98">
        <v>-2.4444444444444442</v>
      </c>
      <c r="HS98">
        <v>-0.44444444444444525</v>
      </c>
      <c r="HT98">
        <v>2.5555555555555558</v>
      </c>
      <c r="HU98">
        <v>-0.22222222222222221</v>
      </c>
      <c r="HV98">
        <v>-2.2222222222222285</v>
      </c>
      <c r="HW98">
        <v>-3.1111111111111049</v>
      </c>
      <c r="HX98">
        <v>1.6666666666666714</v>
      </c>
      <c r="HY98">
        <v>1.1111111111111114</v>
      </c>
      <c r="HZ98">
        <v>-1.8888888888888891</v>
      </c>
      <c r="IA98">
        <v>32</v>
      </c>
      <c r="IB98">
        <v>-17.957777777777778</v>
      </c>
      <c r="IC98">
        <v>-8.1604444444444439</v>
      </c>
      <c r="ID98">
        <v>-4.7777777777777768</v>
      </c>
      <c r="IE98">
        <v>1</v>
      </c>
      <c r="IF98">
        <v>1.0705555555555553</v>
      </c>
      <c r="IG98">
        <v>-0.77777777777777835</v>
      </c>
    </row>
    <row r="99" spans="1:241" x14ac:dyDescent="0.2">
      <c r="A99" s="19">
        <v>44108</v>
      </c>
      <c r="B99" s="13" t="s">
        <v>417</v>
      </c>
      <c r="C99" s="41" t="s">
        <v>295</v>
      </c>
      <c r="D99" s="14" t="s">
        <v>300</v>
      </c>
      <c r="E99">
        <v>7.2</v>
      </c>
      <c r="F99">
        <v>0</v>
      </c>
      <c r="G99">
        <v>4</v>
      </c>
      <c r="H99">
        <v>9.1</v>
      </c>
      <c r="I99">
        <v>4.5</v>
      </c>
      <c r="J99">
        <v>56</v>
      </c>
      <c r="L99" t="s">
        <v>295</v>
      </c>
      <c r="M99">
        <v>20</v>
      </c>
      <c r="N99">
        <v>-1.400000000000001</v>
      </c>
      <c r="O99">
        <v>14</v>
      </c>
      <c r="P99">
        <v>14.25</v>
      </c>
      <c r="Q99">
        <v>15</v>
      </c>
      <c r="R99">
        <v>-0.15555555555555589</v>
      </c>
      <c r="S99">
        <v>9</v>
      </c>
      <c r="T99">
        <v>2.2222222222222223</v>
      </c>
      <c r="U99">
        <v>4</v>
      </c>
      <c r="V99">
        <v>18.222222222222221</v>
      </c>
      <c r="W99">
        <v>29</v>
      </c>
      <c r="X99">
        <v>-1.4444444444444446</v>
      </c>
      <c r="Y99">
        <v>23</v>
      </c>
      <c r="Z99">
        <v>20</v>
      </c>
      <c r="AA99">
        <v>20</v>
      </c>
      <c r="AB99">
        <v>-1.8111111111111111</v>
      </c>
      <c r="AC99">
        <v>8</v>
      </c>
      <c r="AD99">
        <v>2.3333333333333335</v>
      </c>
      <c r="AE99">
        <v>11</v>
      </c>
      <c r="AF99">
        <v>9.4444444444444446</v>
      </c>
      <c r="AG99">
        <v>29</v>
      </c>
      <c r="AH99">
        <v>-1.4444444444444446</v>
      </c>
      <c r="AI99">
        <v>5</v>
      </c>
      <c r="AJ99">
        <v>9.6666666666666661</v>
      </c>
      <c r="AK99">
        <v>7</v>
      </c>
      <c r="AL99">
        <v>1.6555555555555552</v>
      </c>
      <c r="AM99">
        <v>15</v>
      </c>
      <c r="AN99">
        <v>-0.11111111111111101</v>
      </c>
      <c r="AO99">
        <v>7</v>
      </c>
      <c r="AP99">
        <v>8.7777777777777768</v>
      </c>
      <c r="AQ99">
        <v>15</v>
      </c>
      <c r="AR99">
        <v>7.4014868308343765E-17</v>
      </c>
      <c r="AS99">
        <v>5</v>
      </c>
      <c r="AT99">
        <v>7</v>
      </c>
      <c r="AU99">
        <v>6</v>
      </c>
      <c r="AV99">
        <v>7.2888888888888843</v>
      </c>
      <c r="AW99">
        <v>8</v>
      </c>
      <c r="AX99">
        <v>20.333333333333336</v>
      </c>
      <c r="AY99">
        <v>7</v>
      </c>
      <c r="AZ99">
        <v>2.6666666666666661</v>
      </c>
      <c r="BA99">
        <v>16</v>
      </c>
      <c r="BB99">
        <v>17</v>
      </c>
      <c r="BC99">
        <v>20</v>
      </c>
      <c r="BD99">
        <v>-2.1777777777777789</v>
      </c>
      <c r="BE99">
        <v>13</v>
      </c>
      <c r="BF99">
        <v>2.6666666666666714</v>
      </c>
      <c r="BG99">
        <v>18</v>
      </c>
      <c r="BH99">
        <v>0</v>
      </c>
      <c r="BI99">
        <v>6</v>
      </c>
      <c r="BJ99">
        <v>8.3333333333333339</v>
      </c>
      <c r="BK99">
        <v>2</v>
      </c>
      <c r="BL99">
        <v>5.6666666666666643</v>
      </c>
      <c r="BM99">
        <v>13</v>
      </c>
      <c r="BN99">
        <v>4.5555555555555545</v>
      </c>
      <c r="BO99">
        <v>10</v>
      </c>
      <c r="BP99">
        <v>0.44444444444444436</v>
      </c>
      <c r="BQ99">
        <v>1</v>
      </c>
      <c r="BR99">
        <v>2.6666666666666665</v>
      </c>
      <c r="BS99">
        <v>3</v>
      </c>
      <c r="BT99">
        <v>3.7999999999999994</v>
      </c>
      <c r="BU99">
        <v>4</v>
      </c>
      <c r="BV99">
        <v>13.111111111111109</v>
      </c>
      <c r="BW99">
        <v>1</v>
      </c>
      <c r="BX99">
        <v>2.2222222222222219</v>
      </c>
      <c r="BY99">
        <v>29</v>
      </c>
      <c r="BZ99">
        <v>27</v>
      </c>
      <c r="CA99">
        <v>28</v>
      </c>
      <c r="CB99">
        <v>-3.8666666666666671</v>
      </c>
      <c r="CC99">
        <v>27</v>
      </c>
      <c r="CD99">
        <v>-16.444444444444446</v>
      </c>
      <c r="CE99">
        <v>26</v>
      </c>
      <c r="CF99">
        <v>-1.3333333333333339</v>
      </c>
      <c r="CG99">
        <v>16</v>
      </c>
      <c r="CH99">
        <v>16.333333333333332</v>
      </c>
      <c r="CI99">
        <v>13</v>
      </c>
      <c r="CJ99">
        <v>0.47777777777777697</v>
      </c>
      <c r="CK99">
        <v>20</v>
      </c>
      <c r="CL99">
        <v>-7.4444444444444429</v>
      </c>
      <c r="CM99">
        <v>16</v>
      </c>
      <c r="CN99">
        <v>0.11111111111111131</v>
      </c>
      <c r="CO99">
        <v>4</v>
      </c>
      <c r="CP99">
        <v>5.5</v>
      </c>
      <c r="CQ99">
        <v>2</v>
      </c>
      <c r="CR99">
        <v>2.6666666666666665</v>
      </c>
      <c r="CS99">
        <v>9</v>
      </c>
      <c r="CT99">
        <v>0.44444444444444436</v>
      </c>
      <c r="CU99">
        <v>-2.1111111111111112</v>
      </c>
      <c r="CV99">
        <v>26</v>
      </c>
      <c r="CW99">
        <v>21</v>
      </c>
      <c r="CX99">
        <v>13</v>
      </c>
      <c r="CY99">
        <v>1.100646245667955E-2</v>
      </c>
      <c r="CZ99">
        <v>23</v>
      </c>
      <c r="DA99">
        <v>-5.8281864211089272E-3</v>
      </c>
      <c r="DB99">
        <v>21</v>
      </c>
      <c r="DC99">
        <v>5.7231040564373892E-2</v>
      </c>
      <c r="DD99">
        <v>27</v>
      </c>
      <c r="DE99">
        <v>-2.3333333333333335</v>
      </c>
      <c r="DF99">
        <v>0.22222222222222379</v>
      </c>
      <c r="DG99">
        <v>3.7777777777777772</v>
      </c>
      <c r="DH99">
        <v>-1</v>
      </c>
      <c r="DI99">
        <v>-3.555555555555562</v>
      </c>
      <c r="DJ99">
        <v>-8.3333333333333517</v>
      </c>
      <c r="DK99">
        <v>19.777777777777782</v>
      </c>
      <c r="DL99">
        <v>-1</v>
      </c>
      <c r="DM99">
        <v>-14</v>
      </c>
      <c r="DN99">
        <v>19</v>
      </c>
      <c r="DO99">
        <v>-1.2444444444444451</v>
      </c>
      <c r="DP99">
        <v>1.35111111111111</v>
      </c>
      <c r="DQ99">
        <v>-28.111111111111136</v>
      </c>
      <c r="DR99">
        <v>14</v>
      </c>
      <c r="DS99">
        <v>1.1097222222222214</v>
      </c>
      <c r="DT99">
        <v>2.7777777777777772</v>
      </c>
      <c r="DU99">
        <v>1.8165277777777775</v>
      </c>
      <c r="DV99">
        <v>2.3349999999999995</v>
      </c>
      <c r="DW99" t="s">
        <v>300</v>
      </c>
      <c r="DX99" t="s">
        <v>253</v>
      </c>
      <c r="DY99" t="s">
        <v>458</v>
      </c>
      <c r="DZ99">
        <v>6</v>
      </c>
      <c r="EA99">
        <v>3.9288888888888889</v>
      </c>
      <c r="EB99">
        <v>13</v>
      </c>
      <c r="EC99">
        <v>14.75</v>
      </c>
      <c r="ED99">
        <v>3</v>
      </c>
      <c r="EE99">
        <v>6.344444444444445</v>
      </c>
      <c r="EF99">
        <v>29</v>
      </c>
      <c r="EG99">
        <v>-3.7777777777777777</v>
      </c>
      <c r="EH99">
        <v>23</v>
      </c>
      <c r="EI99">
        <v>-12.555555555555559</v>
      </c>
      <c r="EJ99">
        <v>4</v>
      </c>
      <c r="EK99">
        <v>1.6666666666666665</v>
      </c>
      <c r="EL99">
        <v>19</v>
      </c>
      <c r="EM99">
        <v>18.75</v>
      </c>
      <c r="EN99">
        <v>8</v>
      </c>
      <c r="EO99">
        <v>2.7111111111111117</v>
      </c>
      <c r="EP99">
        <v>32</v>
      </c>
      <c r="EQ99">
        <v>-5</v>
      </c>
      <c r="ER99">
        <v>32</v>
      </c>
      <c r="ES99">
        <v>-25.222222222222225</v>
      </c>
      <c r="ET99">
        <v>3</v>
      </c>
      <c r="EU99">
        <v>1.5555555555555554</v>
      </c>
      <c r="EV99">
        <v>2</v>
      </c>
      <c r="EW99">
        <v>5</v>
      </c>
      <c r="EX99">
        <v>1</v>
      </c>
      <c r="EY99">
        <v>3.6333333333333329</v>
      </c>
      <c r="EZ99">
        <v>9</v>
      </c>
      <c r="FA99">
        <v>1.2222222222222221</v>
      </c>
      <c r="FB99">
        <v>5</v>
      </c>
      <c r="FC99">
        <v>12.666666666666666</v>
      </c>
      <c r="FD99">
        <v>14</v>
      </c>
      <c r="FE99">
        <v>0.11111111111111109</v>
      </c>
      <c r="FF99">
        <v>14</v>
      </c>
      <c r="FG99">
        <v>13</v>
      </c>
      <c r="FH99">
        <v>7</v>
      </c>
      <c r="FI99">
        <v>3.5666666666666664</v>
      </c>
      <c r="FJ99">
        <v>14</v>
      </c>
      <c r="FK99">
        <v>2.4444444444444429</v>
      </c>
      <c r="FL99">
        <v>18</v>
      </c>
      <c r="FM99">
        <v>-0.44444444444444475</v>
      </c>
      <c r="FN99">
        <v>7</v>
      </c>
      <c r="FO99">
        <v>9</v>
      </c>
      <c r="FP99">
        <v>3</v>
      </c>
      <c r="FQ99">
        <v>6.6555555555555559</v>
      </c>
      <c r="FR99">
        <v>6</v>
      </c>
      <c r="FS99">
        <v>14.444444444444445</v>
      </c>
      <c r="FT99">
        <v>18</v>
      </c>
      <c r="FU99">
        <v>-0.22222222222222232</v>
      </c>
      <c r="FV99">
        <v>26</v>
      </c>
      <c r="FW99">
        <v>25.666666666666668</v>
      </c>
      <c r="FX99">
        <v>31</v>
      </c>
      <c r="FY99">
        <v>-4.6222222222222227</v>
      </c>
      <c r="FZ99">
        <v>30</v>
      </c>
      <c r="GA99">
        <v>-22.888888888888889</v>
      </c>
      <c r="GB99">
        <v>16</v>
      </c>
      <c r="GC99">
        <v>0.22222222222222202</v>
      </c>
      <c r="GD99">
        <v>9</v>
      </c>
      <c r="GE99">
        <v>11.333333333333334</v>
      </c>
      <c r="GF99">
        <v>8</v>
      </c>
      <c r="GG99">
        <v>1.5333333333333332</v>
      </c>
      <c r="GH99">
        <v>6</v>
      </c>
      <c r="GI99">
        <v>10.888888888888888</v>
      </c>
      <c r="GJ99">
        <v>20</v>
      </c>
      <c r="GK99">
        <v>-0.44444444444444448</v>
      </c>
      <c r="GL99">
        <v>17</v>
      </c>
      <c r="GM99">
        <v>17</v>
      </c>
      <c r="GN99">
        <v>14</v>
      </c>
      <c r="GO99">
        <v>-1.1111111111111072E-2</v>
      </c>
      <c r="GP99">
        <v>21</v>
      </c>
      <c r="GQ99">
        <v>-6.7777777777777759</v>
      </c>
      <c r="GR99">
        <v>16</v>
      </c>
      <c r="GS99">
        <v>0.11111111111111101</v>
      </c>
      <c r="GT99">
        <v>23</v>
      </c>
      <c r="GU99">
        <v>20.333333333333332</v>
      </c>
      <c r="GV99">
        <v>23</v>
      </c>
      <c r="GW99">
        <v>-2.1222222222222222</v>
      </c>
      <c r="GX99">
        <v>14</v>
      </c>
      <c r="GY99">
        <v>1</v>
      </c>
      <c r="GZ99">
        <v>24</v>
      </c>
      <c r="HA99">
        <v>-1.1111111111111109</v>
      </c>
      <c r="HB99">
        <v>24</v>
      </c>
      <c r="HC99">
        <v>24</v>
      </c>
      <c r="HD99">
        <v>23</v>
      </c>
      <c r="HE99">
        <v>-1.333333333333333</v>
      </c>
      <c r="HF99">
        <v>25</v>
      </c>
      <c r="HG99">
        <v>-0.44444444444444442</v>
      </c>
      <c r="HH99">
        <v>-6.2222222222222223</v>
      </c>
      <c r="HI99">
        <v>20</v>
      </c>
      <c r="HJ99">
        <v>17.5</v>
      </c>
      <c r="HK99">
        <v>31</v>
      </c>
      <c r="HL99">
        <v>-8.0954013391946814E-2</v>
      </c>
      <c r="HM99">
        <v>12</v>
      </c>
      <c r="HN99">
        <v>5.3594875867227732E-3</v>
      </c>
      <c r="HO99">
        <v>19</v>
      </c>
      <c r="HP99">
        <v>2.9629629629629634E-2</v>
      </c>
      <c r="HQ99">
        <v>8</v>
      </c>
      <c r="HR99">
        <v>1</v>
      </c>
      <c r="HS99">
        <v>-4</v>
      </c>
      <c r="HT99">
        <v>3.2222222222222228</v>
      </c>
      <c r="HU99">
        <v>-0.77777777777777779</v>
      </c>
      <c r="HV99">
        <v>11.444444444444457</v>
      </c>
      <c r="HW99">
        <v>15.666666666666677</v>
      </c>
      <c r="HX99">
        <v>-5.0000000000000044</v>
      </c>
      <c r="HY99">
        <v>-2.8888888888888893</v>
      </c>
      <c r="HZ99">
        <v>3.6666666666666665</v>
      </c>
      <c r="IA99">
        <v>25</v>
      </c>
      <c r="IB99">
        <v>-2.4155555555555561</v>
      </c>
      <c r="IC99">
        <v>-2.0975555555555561</v>
      </c>
      <c r="ID99">
        <v>20.666666666666682</v>
      </c>
      <c r="IE99">
        <v>8</v>
      </c>
      <c r="IF99">
        <v>1.2980555555555555</v>
      </c>
      <c r="IG99">
        <v>-1.5555555555555558</v>
      </c>
    </row>
    <row r="100" spans="1:241" x14ac:dyDescent="0.2">
      <c r="A100" s="19">
        <v>44108</v>
      </c>
      <c r="B100" s="13" t="s">
        <v>417</v>
      </c>
      <c r="C100" s="41" t="s">
        <v>305</v>
      </c>
      <c r="D100" s="14" t="s">
        <v>306</v>
      </c>
      <c r="E100">
        <v>12.6</v>
      </c>
      <c r="F100">
        <v>4.8</v>
      </c>
      <c r="G100">
        <v>4</v>
      </c>
      <c r="H100">
        <v>20.7</v>
      </c>
      <c r="I100">
        <v>-14</v>
      </c>
      <c r="J100">
        <v>44.5</v>
      </c>
      <c r="K100" t="s">
        <v>110</v>
      </c>
      <c r="L100" t="s">
        <v>305</v>
      </c>
      <c r="M100">
        <v>17</v>
      </c>
      <c r="N100">
        <v>-0.98888888888888948</v>
      </c>
      <c r="O100">
        <v>32</v>
      </c>
      <c r="P100">
        <v>30.25</v>
      </c>
      <c r="Q100">
        <v>27</v>
      </c>
      <c r="R100">
        <v>-6.0333333333333314</v>
      </c>
      <c r="S100">
        <v>32</v>
      </c>
      <c r="T100">
        <v>-6</v>
      </c>
      <c r="U100">
        <v>30</v>
      </c>
      <c r="V100">
        <v>-27.000000000000007</v>
      </c>
      <c r="W100">
        <v>32</v>
      </c>
      <c r="X100">
        <v>-2.8888888888888888</v>
      </c>
      <c r="Y100">
        <v>32</v>
      </c>
      <c r="Z100">
        <v>31</v>
      </c>
      <c r="AA100">
        <v>32</v>
      </c>
      <c r="AB100">
        <v>-8.0888888888888868</v>
      </c>
      <c r="AC100">
        <v>30</v>
      </c>
      <c r="AD100">
        <v>-4.7777777777777777</v>
      </c>
      <c r="AE100">
        <v>31</v>
      </c>
      <c r="AF100">
        <v>-31.555555555555561</v>
      </c>
      <c r="AG100">
        <v>30</v>
      </c>
      <c r="AH100">
        <v>-1.7777777777777779</v>
      </c>
      <c r="AI100">
        <v>13</v>
      </c>
      <c r="AJ100">
        <v>15</v>
      </c>
      <c r="AK100">
        <v>5</v>
      </c>
      <c r="AL100">
        <v>2.0555555555555554</v>
      </c>
      <c r="AM100">
        <v>19</v>
      </c>
      <c r="AN100">
        <v>-1.2222222222222221</v>
      </c>
      <c r="AO100">
        <v>12</v>
      </c>
      <c r="AP100">
        <v>4.5555555555555554</v>
      </c>
      <c r="AQ100">
        <v>28</v>
      </c>
      <c r="AR100">
        <v>-1.1111111111111109</v>
      </c>
      <c r="AS100">
        <v>25</v>
      </c>
      <c r="AT100">
        <v>25</v>
      </c>
      <c r="AU100">
        <v>23</v>
      </c>
      <c r="AV100">
        <v>-5.033333333333335</v>
      </c>
      <c r="AW100">
        <v>20</v>
      </c>
      <c r="AX100">
        <v>-15.666666666666664</v>
      </c>
      <c r="AY100">
        <v>32</v>
      </c>
      <c r="AZ100">
        <v>-5</v>
      </c>
      <c r="BA100">
        <v>29</v>
      </c>
      <c r="BB100">
        <v>27.333333333333332</v>
      </c>
      <c r="BC100">
        <v>29</v>
      </c>
      <c r="BD100">
        <v>-4.7</v>
      </c>
      <c r="BE100">
        <v>28</v>
      </c>
      <c r="BF100">
        <v>-15.555555555555555</v>
      </c>
      <c r="BG100">
        <v>25</v>
      </c>
      <c r="BH100">
        <v>-1.5555555555555554</v>
      </c>
      <c r="BI100">
        <v>22</v>
      </c>
      <c r="BJ100">
        <v>21</v>
      </c>
      <c r="BK100">
        <v>15</v>
      </c>
      <c r="BL100">
        <v>0.39999999999999886</v>
      </c>
      <c r="BM100">
        <v>16</v>
      </c>
      <c r="BN100">
        <v>-0.11111111111110954</v>
      </c>
      <c r="BO100">
        <v>32</v>
      </c>
      <c r="BP100">
        <v>-2.2222222222222223</v>
      </c>
      <c r="BQ100">
        <v>21</v>
      </c>
      <c r="BR100">
        <v>20.333333333333332</v>
      </c>
      <c r="BS100">
        <v>19</v>
      </c>
      <c r="BT100">
        <v>-0.7333333333333335</v>
      </c>
      <c r="BU100">
        <v>16</v>
      </c>
      <c r="BV100">
        <v>5.9211894646675012E-16</v>
      </c>
      <c r="BW100">
        <v>26</v>
      </c>
      <c r="BX100">
        <v>-1.2222222222222221</v>
      </c>
      <c r="BY100">
        <v>21</v>
      </c>
      <c r="BZ100">
        <v>21.333333333333332</v>
      </c>
      <c r="CA100">
        <v>23</v>
      </c>
      <c r="CB100">
        <v>-2.3555555555555547</v>
      </c>
      <c r="CC100">
        <v>16</v>
      </c>
      <c r="CD100">
        <v>-2.4444444444444478</v>
      </c>
      <c r="CE100">
        <v>25</v>
      </c>
      <c r="CF100">
        <v>-1.3333333333333333</v>
      </c>
      <c r="CG100">
        <v>25</v>
      </c>
      <c r="CH100">
        <v>24.333333333333332</v>
      </c>
      <c r="CI100">
        <v>25</v>
      </c>
      <c r="CJ100">
        <v>-3.1555555555555537</v>
      </c>
      <c r="CK100">
        <v>26</v>
      </c>
      <c r="CL100">
        <v>-13.777777777777777</v>
      </c>
      <c r="CM100">
        <v>22</v>
      </c>
      <c r="CN100">
        <v>-1.2222222222222223</v>
      </c>
      <c r="CO100">
        <v>3</v>
      </c>
      <c r="CP100">
        <v>4</v>
      </c>
      <c r="CQ100">
        <v>1</v>
      </c>
      <c r="CR100">
        <v>2.7777777777777772</v>
      </c>
      <c r="CS100">
        <v>7</v>
      </c>
      <c r="CT100">
        <v>0.44444444444444448</v>
      </c>
      <c r="CU100">
        <v>6.4444444444444438</v>
      </c>
      <c r="CV100">
        <v>11</v>
      </c>
      <c r="CW100">
        <v>13</v>
      </c>
      <c r="CX100">
        <v>4</v>
      </c>
      <c r="CY100">
        <v>7.7372709702086054E-2</v>
      </c>
      <c r="CZ100">
        <v>1</v>
      </c>
      <c r="DA100">
        <v>2.9444158195066295E-2</v>
      </c>
      <c r="DB100">
        <v>25</v>
      </c>
      <c r="DC100">
        <v>8.5819427486094169E-2</v>
      </c>
      <c r="DD100">
        <v>22</v>
      </c>
      <c r="DE100">
        <v>-1</v>
      </c>
      <c r="DF100">
        <v>-8.6666666666666643</v>
      </c>
      <c r="DG100">
        <v>0.22222222222222263</v>
      </c>
      <c r="DH100">
        <v>3.1111111111111107</v>
      </c>
      <c r="DI100">
        <v>-21</v>
      </c>
      <c r="DJ100">
        <v>-42.444444444444457</v>
      </c>
      <c r="DK100">
        <v>-6.3333333333333384</v>
      </c>
      <c r="DL100">
        <v>-5.4444444444444438</v>
      </c>
      <c r="DM100">
        <v>33.222222222222221</v>
      </c>
      <c r="DN100">
        <v>7</v>
      </c>
      <c r="DO100">
        <v>5.0444444444444416</v>
      </c>
      <c r="DP100">
        <v>1.1811111111111099</v>
      </c>
      <c r="DQ100">
        <v>-36.111111111111121</v>
      </c>
      <c r="DR100">
        <v>26</v>
      </c>
      <c r="DS100">
        <v>-1.5541666666666667</v>
      </c>
      <c r="DT100">
        <v>-6.2222222222222223</v>
      </c>
      <c r="DU100">
        <v>-0.4904166666666665</v>
      </c>
      <c r="DV100">
        <v>-0.98861111111111122</v>
      </c>
      <c r="DW100" t="s">
        <v>306</v>
      </c>
      <c r="DX100" t="s">
        <v>283</v>
      </c>
      <c r="DY100" t="s">
        <v>454</v>
      </c>
      <c r="DZ100">
        <v>14</v>
      </c>
      <c r="EA100">
        <v>0.77333333333333343</v>
      </c>
      <c r="EB100">
        <v>27</v>
      </c>
      <c r="EC100">
        <v>22.75</v>
      </c>
      <c r="ED100">
        <v>22</v>
      </c>
      <c r="EE100">
        <v>-2.3222222222222211</v>
      </c>
      <c r="EF100">
        <v>14</v>
      </c>
      <c r="EG100">
        <v>0.33333333333333359</v>
      </c>
      <c r="EH100">
        <v>27</v>
      </c>
      <c r="EI100">
        <v>-15</v>
      </c>
      <c r="EJ100">
        <v>28</v>
      </c>
      <c r="EK100">
        <v>-1.1111111111111114</v>
      </c>
      <c r="EL100">
        <v>25</v>
      </c>
      <c r="EM100">
        <v>22</v>
      </c>
      <c r="EN100">
        <v>17</v>
      </c>
      <c r="EO100">
        <v>-0.36666666666666536</v>
      </c>
      <c r="EP100">
        <v>20</v>
      </c>
      <c r="EQ100">
        <v>-0.88888888888888873</v>
      </c>
      <c r="ER100">
        <v>21</v>
      </c>
      <c r="ES100">
        <v>-5.4444444444444429</v>
      </c>
      <c r="ET100">
        <v>30</v>
      </c>
      <c r="EU100">
        <v>-1.1111111111111114</v>
      </c>
      <c r="EV100">
        <v>25</v>
      </c>
      <c r="EW100">
        <v>21.666666666666668</v>
      </c>
      <c r="EX100">
        <v>28</v>
      </c>
      <c r="EY100">
        <v>-1.9555555555555557</v>
      </c>
      <c r="EZ100">
        <v>8</v>
      </c>
      <c r="FA100">
        <v>1.2222222222222223</v>
      </c>
      <c r="FB100">
        <v>29</v>
      </c>
      <c r="FC100">
        <v>-9.5555555555555571</v>
      </c>
      <c r="FD100">
        <v>15</v>
      </c>
      <c r="FE100">
        <v>7.4014868308343765E-17</v>
      </c>
      <c r="FF100">
        <v>19</v>
      </c>
      <c r="FG100">
        <v>20.666666666666668</v>
      </c>
      <c r="FH100">
        <v>21</v>
      </c>
      <c r="FI100">
        <v>-3.2555555555555546</v>
      </c>
      <c r="FJ100">
        <v>16</v>
      </c>
      <c r="FK100">
        <v>-3.4444444444444393</v>
      </c>
      <c r="FL100">
        <v>25</v>
      </c>
      <c r="FM100">
        <v>-1.1111111111111109</v>
      </c>
      <c r="FN100">
        <v>29</v>
      </c>
      <c r="FO100">
        <v>29.333333333333332</v>
      </c>
      <c r="FP100">
        <v>28</v>
      </c>
      <c r="FQ100">
        <v>-4.4222222222222216</v>
      </c>
      <c r="FR100">
        <v>29</v>
      </c>
      <c r="FS100">
        <v>-19.333333333333332</v>
      </c>
      <c r="FT100">
        <v>31</v>
      </c>
      <c r="FU100">
        <v>-2.2222222222222223</v>
      </c>
      <c r="FV100">
        <v>14</v>
      </c>
      <c r="FW100">
        <v>13.333333333333334</v>
      </c>
      <c r="FX100">
        <v>16</v>
      </c>
      <c r="FY100">
        <v>-0.22222222222222174</v>
      </c>
      <c r="FZ100">
        <v>18</v>
      </c>
      <c r="GA100">
        <v>-0.66666666666666552</v>
      </c>
      <c r="GB100">
        <v>6</v>
      </c>
      <c r="GC100">
        <v>1.1111111111111114</v>
      </c>
      <c r="GD100">
        <v>8</v>
      </c>
      <c r="GE100">
        <v>10.333333333333334</v>
      </c>
      <c r="GF100">
        <v>9</v>
      </c>
      <c r="GG100">
        <v>1.3888888888888886</v>
      </c>
      <c r="GH100">
        <v>4</v>
      </c>
      <c r="GI100">
        <v>16.555555555555557</v>
      </c>
      <c r="GJ100">
        <v>18</v>
      </c>
      <c r="GK100">
        <v>0</v>
      </c>
      <c r="GL100">
        <v>15</v>
      </c>
      <c r="GM100">
        <v>14.666666666666666</v>
      </c>
      <c r="GN100">
        <v>13</v>
      </c>
      <c r="GO100">
        <v>1.0555555555555547</v>
      </c>
      <c r="GP100">
        <v>17</v>
      </c>
      <c r="GQ100">
        <v>-4.9999999999999956</v>
      </c>
      <c r="GR100">
        <v>14</v>
      </c>
      <c r="GS100">
        <v>0.22222222222222232</v>
      </c>
      <c r="GT100">
        <v>7</v>
      </c>
      <c r="GU100">
        <v>8</v>
      </c>
      <c r="GV100">
        <v>6</v>
      </c>
      <c r="GW100">
        <v>2.9777777777777792</v>
      </c>
      <c r="GX100">
        <v>8</v>
      </c>
      <c r="GY100">
        <v>9.7777777777777768</v>
      </c>
      <c r="GZ100">
        <v>10</v>
      </c>
      <c r="HA100">
        <v>0.66666666666666696</v>
      </c>
      <c r="HB100">
        <v>6</v>
      </c>
      <c r="HC100">
        <v>6.5</v>
      </c>
      <c r="HD100">
        <v>6</v>
      </c>
      <c r="HE100">
        <v>1.8888888888888886</v>
      </c>
      <c r="HF100">
        <v>7</v>
      </c>
      <c r="HG100">
        <v>0.55555555555555547</v>
      </c>
      <c r="HH100">
        <v>3.2222222222222228</v>
      </c>
      <c r="HI100">
        <v>4</v>
      </c>
      <c r="HJ100">
        <v>10</v>
      </c>
      <c r="HK100">
        <v>2</v>
      </c>
      <c r="HL100">
        <v>8.9574505682576813E-2</v>
      </c>
      <c r="HM100">
        <v>1</v>
      </c>
      <c r="HN100">
        <v>5.1728410134702883E-2</v>
      </c>
      <c r="HO100">
        <v>26</v>
      </c>
      <c r="HP100">
        <v>0.11178451178451176</v>
      </c>
      <c r="HQ100">
        <v>11</v>
      </c>
      <c r="HR100">
        <v>0.22222222222222232</v>
      </c>
      <c r="HS100">
        <v>-1.9999999999999976</v>
      </c>
      <c r="HT100">
        <v>3.5555555555555549</v>
      </c>
      <c r="HU100">
        <v>0</v>
      </c>
      <c r="HV100">
        <v>-15.666666666666666</v>
      </c>
      <c r="HW100">
        <v>5.4444444444444473</v>
      </c>
      <c r="HX100">
        <v>-15.888888888888886</v>
      </c>
      <c r="HY100">
        <v>2.6666666666666665</v>
      </c>
      <c r="HZ100">
        <v>-7.8888888888888893</v>
      </c>
      <c r="IA100">
        <v>9</v>
      </c>
      <c r="IB100">
        <v>3.0955555555555545</v>
      </c>
      <c r="IC100">
        <v>1.2602222222222221</v>
      </c>
      <c r="ID100">
        <v>21.333333333333332</v>
      </c>
      <c r="IE100">
        <v>24</v>
      </c>
      <c r="IF100">
        <v>7.7777777777781887E-3</v>
      </c>
      <c r="IG100">
        <v>-0.44444444444444398</v>
      </c>
    </row>
    <row r="101" spans="1:241" x14ac:dyDescent="0.2">
      <c r="A101" s="19">
        <v>44108</v>
      </c>
      <c r="B101" s="13" t="s">
        <v>417</v>
      </c>
      <c r="C101" s="41" t="s">
        <v>276</v>
      </c>
      <c r="D101" s="14" t="s">
        <v>303</v>
      </c>
      <c r="E101">
        <v>20.5</v>
      </c>
      <c r="F101">
        <v>8.1999999999999993</v>
      </c>
      <c r="G101">
        <v>12.2</v>
      </c>
      <c r="H101">
        <v>3.6</v>
      </c>
      <c r="I101">
        <v>-3</v>
      </c>
      <c r="J101">
        <v>53</v>
      </c>
      <c r="L101" t="s">
        <v>276</v>
      </c>
      <c r="M101">
        <v>1</v>
      </c>
      <c r="N101">
        <v>13.040000000000001</v>
      </c>
      <c r="O101">
        <v>24</v>
      </c>
      <c r="P101">
        <v>22</v>
      </c>
      <c r="Q101">
        <v>28</v>
      </c>
      <c r="R101">
        <v>-6.7222222222222232</v>
      </c>
      <c r="S101">
        <v>20</v>
      </c>
      <c r="T101">
        <v>-1.5555555555555554</v>
      </c>
      <c r="U101">
        <v>21</v>
      </c>
      <c r="V101">
        <v>-7.3333333333333348</v>
      </c>
      <c r="W101">
        <v>19</v>
      </c>
      <c r="X101">
        <v>-0.4444444444444442</v>
      </c>
      <c r="Y101">
        <v>25</v>
      </c>
      <c r="Z101">
        <v>20.333333333333332</v>
      </c>
      <c r="AA101">
        <v>28</v>
      </c>
      <c r="AB101">
        <v>-5.4777777777777787</v>
      </c>
      <c r="AC101">
        <v>25</v>
      </c>
      <c r="AD101">
        <v>-2.2222222222222219</v>
      </c>
      <c r="AE101">
        <v>27</v>
      </c>
      <c r="AF101">
        <v>-12.333333333333334</v>
      </c>
      <c r="AG101">
        <v>6</v>
      </c>
      <c r="AH101">
        <v>1.1111111111111112</v>
      </c>
      <c r="AI101">
        <v>22</v>
      </c>
      <c r="AJ101">
        <v>20.666666666666668</v>
      </c>
      <c r="AK101">
        <v>20</v>
      </c>
      <c r="AL101">
        <v>-1.2444444444444447</v>
      </c>
      <c r="AM101">
        <v>11</v>
      </c>
      <c r="AN101">
        <v>0.66666666666666663</v>
      </c>
      <c r="AO101">
        <v>11</v>
      </c>
      <c r="AP101">
        <v>4.9999999999999991</v>
      </c>
      <c r="AQ101">
        <v>31</v>
      </c>
      <c r="AR101">
        <v>-1.5555555555555554</v>
      </c>
      <c r="AS101">
        <v>1</v>
      </c>
      <c r="AT101">
        <v>1.3333333333333333</v>
      </c>
      <c r="AU101">
        <v>1</v>
      </c>
      <c r="AV101">
        <v>18.644444444444442</v>
      </c>
      <c r="AW101">
        <v>1</v>
      </c>
      <c r="AX101">
        <v>87.555555555555543</v>
      </c>
      <c r="AY101">
        <v>2</v>
      </c>
      <c r="AZ101">
        <v>4.666666666666667</v>
      </c>
      <c r="BA101">
        <v>4</v>
      </c>
      <c r="BB101">
        <v>4.666666666666667</v>
      </c>
      <c r="BC101">
        <v>4</v>
      </c>
      <c r="BD101">
        <v>6.8444444444444441</v>
      </c>
      <c r="BE101">
        <v>5</v>
      </c>
      <c r="BF101">
        <v>21.111111111111111</v>
      </c>
      <c r="BG101">
        <v>5</v>
      </c>
      <c r="BH101">
        <v>1.555555555555556</v>
      </c>
      <c r="BI101">
        <v>1</v>
      </c>
      <c r="BJ101">
        <v>1.6666666666666667</v>
      </c>
      <c r="BK101">
        <v>1</v>
      </c>
      <c r="BL101">
        <v>6.9666666666666659</v>
      </c>
      <c r="BM101">
        <v>1</v>
      </c>
      <c r="BN101">
        <v>34.111111111111107</v>
      </c>
      <c r="BO101">
        <v>3</v>
      </c>
      <c r="BP101">
        <v>1.6666666666666667</v>
      </c>
      <c r="BQ101">
        <v>1</v>
      </c>
      <c r="BR101">
        <v>2.6666666666666665</v>
      </c>
      <c r="BS101">
        <v>2</v>
      </c>
      <c r="BT101">
        <v>4.833333333333333</v>
      </c>
      <c r="BU101">
        <v>1</v>
      </c>
      <c r="BV101">
        <v>32.333333333333336</v>
      </c>
      <c r="BW101">
        <v>5</v>
      </c>
      <c r="BX101">
        <v>1.444444444444444</v>
      </c>
      <c r="BY101">
        <v>2</v>
      </c>
      <c r="BZ101">
        <v>3.3333333333333335</v>
      </c>
      <c r="CA101">
        <v>6</v>
      </c>
      <c r="CB101">
        <v>4.344444444444445</v>
      </c>
      <c r="CC101">
        <v>2</v>
      </c>
      <c r="CD101">
        <v>30.111111111111111</v>
      </c>
      <c r="CE101">
        <v>2</v>
      </c>
      <c r="CF101">
        <v>2.5555555555555554</v>
      </c>
      <c r="CG101">
        <v>18</v>
      </c>
      <c r="CH101">
        <v>18</v>
      </c>
      <c r="CI101">
        <v>16</v>
      </c>
      <c r="CJ101">
        <v>-0.30000000000000071</v>
      </c>
      <c r="CK101">
        <v>17</v>
      </c>
      <c r="CL101">
        <v>-1.8888888888888893</v>
      </c>
      <c r="CM101">
        <v>21</v>
      </c>
      <c r="CN101">
        <v>-0.55555555555555547</v>
      </c>
      <c r="CO101">
        <v>12</v>
      </c>
      <c r="CP101">
        <v>13.5</v>
      </c>
      <c r="CQ101">
        <v>13</v>
      </c>
      <c r="CR101">
        <v>0.5555555555555558</v>
      </c>
      <c r="CS101">
        <v>14</v>
      </c>
      <c r="CT101">
        <v>0.1111111111111112</v>
      </c>
      <c r="CU101">
        <v>-1.8888888888888886</v>
      </c>
      <c r="CV101">
        <v>14</v>
      </c>
      <c r="CW101">
        <v>15</v>
      </c>
      <c r="CX101">
        <v>8</v>
      </c>
      <c r="CY101">
        <v>3.7599247419552916E-2</v>
      </c>
      <c r="CZ101">
        <v>17</v>
      </c>
      <c r="DA101">
        <v>7.2595086072175152E-4</v>
      </c>
      <c r="DB101">
        <v>15</v>
      </c>
      <c r="DC101">
        <v>3.1598031598030949E-3</v>
      </c>
      <c r="DD101">
        <v>20</v>
      </c>
      <c r="DE101">
        <v>-0.55555555555555547</v>
      </c>
      <c r="DF101">
        <v>1.8888888888888928</v>
      </c>
      <c r="DG101">
        <v>7.2222222222222214</v>
      </c>
      <c r="DH101">
        <v>-1.7777777777777777</v>
      </c>
      <c r="DI101">
        <v>51.888888888888893</v>
      </c>
      <c r="DJ101">
        <v>77.999999999999986</v>
      </c>
      <c r="DK101">
        <v>-28.333333333333332</v>
      </c>
      <c r="DL101">
        <v>-1.7777777777777777</v>
      </c>
      <c r="DM101">
        <v>4.0000000000000027</v>
      </c>
      <c r="DN101">
        <v>1</v>
      </c>
      <c r="DO101">
        <v>19.762222222222224</v>
      </c>
      <c r="DP101">
        <v>9.6379999999999999</v>
      </c>
      <c r="DQ101">
        <v>106.33333333333331</v>
      </c>
      <c r="DR101">
        <v>32</v>
      </c>
      <c r="DS101">
        <v>3.152222222222222</v>
      </c>
      <c r="DT101">
        <v>4.1111111111111116</v>
      </c>
      <c r="DU101">
        <v>1.1199999999999999</v>
      </c>
      <c r="DV101">
        <v>2.2224999999999997</v>
      </c>
      <c r="DW101" t="s">
        <v>303</v>
      </c>
      <c r="DX101" t="s">
        <v>247</v>
      </c>
      <c r="DY101" t="s">
        <v>510</v>
      </c>
      <c r="DZ101">
        <v>26</v>
      </c>
      <c r="EA101">
        <v>-3.4933333333333336</v>
      </c>
      <c r="EB101">
        <v>6</v>
      </c>
      <c r="EC101">
        <v>10</v>
      </c>
      <c r="ED101">
        <v>5</v>
      </c>
      <c r="EE101">
        <v>6.0888888888888877</v>
      </c>
      <c r="EF101">
        <v>13</v>
      </c>
      <c r="EG101">
        <v>0.55555555555555514</v>
      </c>
      <c r="EH101">
        <v>4</v>
      </c>
      <c r="EI101">
        <v>36.888888888888886</v>
      </c>
      <c r="EJ101">
        <v>18</v>
      </c>
      <c r="EK101">
        <v>-0.2222222222222221</v>
      </c>
      <c r="EL101">
        <v>1</v>
      </c>
      <c r="EM101">
        <v>5.5</v>
      </c>
      <c r="EN101">
        <v>3</v>
      </c>
      <c r="EO101">
        <v>5.8333333333333321</v>
      </c>
      <c r="EP101">
        <v>10</v>
      </c>
      <c r="EQ101">
        <v>1.9999999999999998</v>
      </c>
      <c r="ER101">
        <v>3</v>
      </c>
      <c r="ES101">
        <v>23.888888888888889</v>
      </c>
      <c r="ET101">
        <v>6</v>
      </c>
      <c r="EU101">
        <v>1</v>
      </c>
      <c r="EV101">
        <v>15</v>
      </c>
      <c r="EW101">
        <v>15.666666666666666</v>
      </c>
      <c r="EX101">
        <v>15</v>
      </c>
      <c r="EY101">
        <v>0.25555555555555554</v>
      </c>
      <c r="EZ101">
        <v>28</v>
      </c>
      <c r="FA101">
        <v>-1.4444444444444446</v>
      </c>
      <c r="FB101">
        <v>4</v>
      </c>
      <c r="FC101">
        <v>13</v>
      </c>
      <c r="FD101">
        <v>30</v>
      </c>
      <c r="FE101">
        <v>-1.2222222222222221</v>
      </c>
      <c r="FF101">
        <v>19</v>
      </c>
      <c r="FG101">
        <v>20.666666666666668</v>
      </c>
      <c r="FH101">
        <v>22</v>
      </c>
      <c r="FI101">
        <v>-3.4999999999999987</v>
      </c>
      <c r="FJ101">
        <v>24</v>
      </c>
      <c r="FK101">
        <v>-22.000000000000004</v>
      </c>
      <c r="FL101">
        <v>16</v>
      </c>
      <c r="FM101">
        <v>-0.22222222222222232</v>
      </c>
      <c r="FN101">
        <v>19</v>
      </c>
      <c r="FO101">
        <v>18.666666666666668</v>
      </c>
      <c r="FP101">
        <v>17</v>
      </c>
      <c r="FQ101">
        <v>-0.24444444444444477</v>
      </c>
      <c r="FR101">
        <v>23</v>
      </c>
      <c r="FS101">
        <v>-9</v>
      </c>
      <c r="FT101">
        <v>16</v>
      </c>
      <c r="FU101">
        <v>-0.11111111111111131</v>
      </c>
      <c r="FV101">
        <v>30</v>
      </c>
      <c r="FW101">
        <v>28.666666666666668</v>
      </c>
      <c r="FX101">
        <v>29</v>
      </c>
      <c r="FY101">
        <v>-4.1666666666666661</v>
      </c>
      <c r="FZ101">
        <v>28</v>
      </c>
      <c r="GA101">
        <v>-17.222222222222225</v>
      </c>
      <c r="GB101">
        <v>29</v>
      </c>
      <c r="GC101">
        <v>-1.7777777777777777</v>
      </c>
      <c r="GD101">
        <v>6</v>
      </c>
      <c r="GE101">
        <v>8.3333333333333339</v>
      </c>
      <c r="GF101">
        <v>11</v>
      </c>
      <c r="GG101">
        <v>0.91111111111111176</v>
      </c>
      <c r="GH101">
        <v>11</v>
      </c>
      <c r="GI101">
        <v>4.2222222222222214</v>
      </c>
      <c r="GJ101">
        <v>3</v>
      </c>
      <c r="GK101">
        <v>1.6666666666666667</v>
      </c>
      <c r="GL101">
        <v>30</v>
      </c>
      <c r="GM101">
        <v>28</v>
      </c>
      <c r="GN101">
        <v>31</v>
      </c>
      <c r="GO101">
        <v>-6.5888888888888886</v>
      </c>
      <c r="GP101">
        <v>30</v>
      </c>
      <c r="GQ101">
        <v>-32.55555555555555</v>
      </c>
      <c r="GR101">
        <v>23</v>
      </c>
      <c r="GS101">
        <v>-1.1111111111111114</v>
      </c>
      <c r="GT101">
        <v>19</v>
      </c>
      <c r="GU101">
        <v>18.333333333333332</v>
      </c>
      <c r="GV101">
        <v>13</v>
      </c>
      <c r="GW101">
        <v>-6.6666666666666055E-2</v>
      </c>
      <c r="GX101">
        <v>26</v>
      </c>
      <c r="GY101">
        <v>-10.666666666666666</v>
      </c>
      <c r="GZ101">
        <v>16</v>
      </c>
      <c r="HA101">
        <v>0</v>
      </c>
      <c r="HB101">
        <v>14</v>
      </c>
      <c r="HC101">
        <v>13.5</v>
      </c>
      <c r="HD101">
        <v>10</v>
      </c>
      <c r="HE101">
        <v>1.1111111111111116</v>
      </c>
      <c r="HF101">
        <v>17</v>
      </c>
      <c r="HG101">
        <v>0</v>
      </c>
      <c r="HH101">
        <v>-0.99999999999999967</v>
      </c>
      <c r="HI101">
        <v>21</v>
      </c>
      <c r="HJ101">
        <v>18.5</v>
      </c>
      <c r="HK101">
        <v>7</v>
      </c>
      <c r="HL101">
        <v>2.0625268521089063E-2</v>
      </c>
      <c r="HM101">
        <v>29</v>
      </c>
      <c r="HN101">
        <v>-2.736790610214733E-2</v>
      </c>
      <c r="HO101">
        <v>12</v>
      </c>
      <c r="HP101">
        <v>-4.2712842712842668E-2</v>
      </c>
      <c r="HQ101">
        <v>26</v>
      </c>
      <c r="HR101">
        <v>-2</v>
      </c>
      <c r="HS101">
        <v>0.11111111111110954</v>
      </c>
      <c r="HT101">
        <v>3</v>
      </c>
      <c r="HU101">
        <v>-1.4802973661668753E-16</v>
      </c>
      <c r="HV101">
        <v>19.222222222222229</v>
      </c>
      <c r="HW101">
        <v>-17.111111111111104</v>
      </c>
      <c r="HX101">
        <v>40.333333333333336</v>
      </c>
      <c r="HY101">
        <v>-0.55555555555555569</v>
      </c>
      <c r="HZ101">
        <v>-3.4444444444444433</v>
      </c>
      <c r="IA101">
        <v>28</v>
      </c>
      <c r="IB101">
        <v>-9.5822222222222209</v>
      </c>
      <c r="IC101">
        <v>-4.4564444444444433</v>
      </c>
      <c r="ID101">
        <v>-57.444444444444443</v>
      </c>
      <c r="IE101">
        <v>5</v>
      </c>
      <c r="IF101">
        <v>1.7500000000000043E-2</v>
      </c>
      <c r="IG101">
        <v>-0.22222222222222232</v>
      </c>
    </row>
    <row r="102" spans="1:241" x14ac:dyDescent="0.2">
      <c r="A102" s="19">
        <v>44108</v>
      </c>
      <c r="B102" s="13" t="s">
        <v>417</v>
      </c>
      <c r="C102" s="41" t="s">
        <v>301</v>
      </c>
      <c r="D102" s="14" t="s">
        <v>285</v>
      </c>
      <c r="E102">
        <v>17.899999999999999</v>
      </c>
      <c r="F102">
        <v>8.9</v>
      </c>
      <c r="G102">
        <v>7.8</v>
      </c>
      <c r="H102">
        <v>8.5</v>
      </c>
      <c r="I102">
        <v>3</v>
      </c>
      <c r="J102">
        <v>52</v>
      </c>
      <c r="K102" t="s">
        <v>109</v>
      </c>
      <c r="L102" t="s">
        <v>301</v>
      </c>
      <c r="M102">
        <v>16</v>
      </c>
      <c r="N102">
        <v>-0.90444444444444494</v>
      </c>
      <c r="O102">
        <v>12</v>
      </c>
      <c r="P102">
        <v>13</v>
      </c>
      <c r="Q102">
        <v>9</v>
      </c>
      <c r="R102">
        <v>3.2</v>
      </c>
      <c r="S102">
        <v>9</v>
      </c>
      <c r="T102">
        <v>2.2222222222222223</v>
      </c>
      <c r="U102">
        <v>16</v>
      </c>
      <c r="V102">
        <v>-2.9999999999999982</v>
      </c>
      <c r="W102">
        <v>18</v>
      </c>
      <c r="X102">
        <v>-0.44444444444444414</v>
      </c>
      <c r="Y102">
        <v>9</v>
      </c>
      <c r="Z102">
        <v>12</v>
      </c>
      <c r="AA102">
        <v>8</v>
      </c>
      <c r="AB102">
        <v>4.2222222222222232</v>
      </c>
      <c r="AC102">
        <v>4</v>
      </c>
      <c r="AD102">
        <v>4.4444444444444446</v>
      </c>
      <c r="AE102">
        <v>7</v>
      </c>
      <c r="AF102">
        <v>14.111111111111112</v>
      </c>
      <c r="AG102">
        <v>21</v>
      </c>
      <c r="AH102">
        <v>-0.77777777777777768</v>
      </c>
      <c r="AI102">
        <v>21</v>
      </c>
      <c r="AJ102">
        <v>20.333333333333332</v>
      </c>
      <c r="AK102">
        <v>19</v>
      </c>
      <c r="AL102">
        <v>-1.0222222222222228</v>
      </c>
      <c r="AM102">
        <v>25</v>
      </c>
      <c r="AN102">
        <v>-2.2222222222222223</v>
      </c>
      <c r="AO102">
        <v>30</v>
      </c>
      <c r="AP102">
        <v>-17.111111111111111</v>
      </c>
      <c r="AQ102">
        <v>12</v>
      </c>
      <c r="AR102">
        <v>0.33333333333333354</v>
      </c>
      <c r="AS102">
        <v>2</v>
      </c>
      <c r="AT102">
        <v>3</v>
      </c>
      <c r="AU102">
        <v>3</v>
      </c>
      <c r="AV102">
        <v>12.466666666666669</v>
      </c>
      <c r="AW102">
        <v>2</v>
      </c>
      <c r="AX102">
        <v>69.333333333333329</v>
      </c>
      <c r="AY102">
        <v>4</v>
      </c>
      <c r="AZ102">
        <v>3.666666666666667</v>
      </c>
      <c r="BA102">
        <v>6</v>
      </c>
      <c r="BB102">
        <v>7.333333333333333</v>
      </c>
      <c r="BC102">
        <v>5</v>
      </c>
      <c r="BD102">
        <v>6.6111111111111107</v>
      </c>
      <c r="BE102">
        <v>3</v>
      </c>
      <c r="BF102">
        <v>30</v>
      </c>
      <c r="BG102">
        <v>14</v>
      </c>
      <c r="BH102">
        <v>0.33333333333333331</v>
      </c>
      <c r="BI102">
        <v>2</v>
      </c>
      <c r="BJ102">
        <v>3.3333333333333335</v>
      </c>
      <c r="BK102">
        <v>6</v>
      </c>
      <c r="BL102">
        <v>3.455555555555557</v>
      </c>
      <c r="BM102">
        <v>2</v>
      </c>
      <c r="BN102">
        <v>32.666666666666664</v>
      </c>
      <c r="BO102">
        <v>2</v>
      </c>
      <c r="BP102">
        <v>2.7777777777777781</v>
      </c>
      <c r="BQ102">
        <v>8</v>
      </c>
      <c r="BR102">
        <v>9.3333333333333339</v>
      </c>
      <c r="BS102">
        <v>6</v>
      </c>
      <c r="BT102">
        <v>2.4</v>
      </c>
      <c r="BU102">
        <v>10</v>
      </c>
      <c r="BV102">
        <v>6.666666666666667</v>
      </c>
      <c r="BW102">
        <v>12</v>
      </c>
      <c r="BX102">
        <v>0.55555555555555547</v>
      </c>
      <c r="BY102">
        <v>5</v>
      </c>
      <c r="BZ102">
        <v>5</v>
      </c>
      <c r="CA102">
        <v>7</v>
      </c>
      <c r="CB102">
        <v>4.1555555555555541</v>
      </c>
      <c r="CC102">
        <v>3</v>
      </c>
      <c r="CD102">
        <v>29.333333333333332</v>
      </c>
      <c r="CE102">
        <v>5</v>
      </c>
      <c r="CF102">
        <v>2.2222222222222228</v>
      </c>
      <c r="CG102">
        <v>32</v>
      </c>
      <c r="CH102">
        <v>32</v>
      </c>
      <c r="CI102">
        <v>32</v>
      </c>
      <c r="CJ102">
        <v>-5.9333333333333336</v>
      </c>
      <c r="CK102">
        <v>32</v>
      </c>
      <c r="CL102">
        <v>-24.888888888888889</v>
      </c>
      <c r="CM102">
        <v>32</v>
      </c>
      <c r="CN102">
        <v>-3.7777777777777781</v>
      </c>
      <c r="CO102">
        <v>6</v>
      </c>
      <c r="CP102">
        <v>6.5</v>
      </c>
      <c r="CQ102">
        <v>10</v>
      </c>
      <c r="CR102">
        <v>0.88888888888888873</v>
      </c>
      <c r="CS102">
        <v>3</v>
      </c>
      <c r="CT102">
        <v>0.55555555555555558</v>
      </c>
      <c r="CU102">
        <v>-2.4444444444444442</v>
      </c>
      <c r="CV102">
        <v>18</v>
      </c>
      <c r="CW102">
        <v>16.75</v>
      </c>
      <c r="CX102">
        <v>21</v>
      </c>
      <c r="CY102">
        <v>-2.5983116189901744E-2</v>
      </c>
      <c r="CZ102">
        <v>16</v>
      </c>
      <c r="DA102">
        <v>2.5883484092894572E-3</v>
      </c>
      <c r="DB102">
        <v>14</v>
      </c>
      <c r="DC102">
        <v>2.819865319865352E-3</v>
      </c>
      <c r="DD102">
        <v>16</v>
      </c>
      <c r="DE102">
        <v>-0.11111111111111094</v>
      </c>
      <c r="DF102">
        <v>-1.8888888888888904</v>
      </c>
      <c r="DG102">
        <v>1.1111111111111107</v>
      </c>
      <c r="DH102">
        <v>-1.5555555555555556</v>
      </c>
      <c r="DI102">
        <v>22.777777777777771</v>
      </c>
      <c r="DJ102">
        <v>38.444444444444436</v>
      </c>
      <c r="DK102">
        <v>-9.6666666666666714</v>
      </c>
      <c r="DL102">
        <v>3.5555555555555558</v>
      </c>
      <c r="DM102">
        <v>-9.5555555555555554</v>
      </c>
      <c r="DN102">
        <v>24</v>
      </c>
      <c r="DO102">
        <v>-4.1044444444444448</v>
      </c>
      <c r="DP102">
        <v>-0.4742222222222221</v>
      </c>
      <c r="DQ102">
        <v>48.111111111111107</v>
      </c>
      <c r="DR102">
        <v>9</v>
      </c>
      <c r="DS102">
        <v>1.2147222222222225</v>
      </c>
      <c r="DT102">
        <v>-0.11111111111111116</v>
      </c>
      <c r="DU102">
        <v>0.24041666666666661</v>
      </c>
      <c r="DV102">
        <v>1.0705555555555553</v>
      </c>
      <c r="DW102" t="s">
        <v>285</v>
      </c>
      <c r="DX102" t="s">
        <v>249</v>
      </c>
      <c r="DY102" t="s">
        <v>452</v>
      </c>
      <c r="DZ102">
        <v>15</v>
      </c>
      <c r="EA102">
        <v>0.56000000000000105</v>
      </c>
      <c r="EB102">
        <v>16</v>
      </c>
      <c r="EC102">
        <v>15.5</v>
      </c>
      <c r="ED102">
        <v>21</v>
      </c>
      <c r="EE102">
        <v>-1.6555555555555554</v>
      </c>
      <c r="EF102">
        <v>11</v>
      </c>
      <c r="EG102">
        <v>1.1111111111111116</v>
      </c>
      <c r="EH102">
        <v>8</v>
      </c>
      <c r="EI102">
        <v>14.111111111111111</v>
      </c>
      <c r="EJ102">
        <v>22</v>
      </c>
      <c r="EK102">
        <v>-0.66666666666666674</v>
      </c>
      <c r="EL102">
        <v>8</v>
      </c>
      <c r="EM102">
        <v>10.75</v>
      </c>
      <c r="EN102">
        <v>13</v>
      </c>
      <c r="EO102">
        <v>0.63333333333333286</v>
      </c>
      <c r="EP102">
        <v>3</v>
      </c>
      <c r="EQ102">
        <v>3.3333333333333335</v>
      </c>
      <c r="ER102">
        <v>11</v>
      </c>
      <c r="ES102">
        <v>4.3333333333333313</v>
      </c>
      <c r="ET102">
        <v>16</v>
      </c>
      <c r="EU102">
        <v>-0.11111111111111109</v>
      </c>
      <c r="EV102">
        <v>27</v>
      </c>
      <c r="EW102">
        <v>22.333333333333332</v>
      </c>
      <c r="EX102">
        <v>30</v>
      </c>
      <c r="EY102">
        <v>-2.2888888888888883</v>
      </c>
      <c r="EZ102">
        <v>31</v>
      </c>
      <c r="FA102">
        <v>-2.2222222222222219</v>
      </c>
      <c r="FB102">
        <v>6</v>
      </c>
      <c r="FC102">
        <v>9.7777777777777786</v>
      </c>
      <c r="FD102">
        <v>25</v>
      </c>
      <c r="FE102">
        <v>-0.55555555555555569</v>
      </c>
      <c r="FF102">
        <v>21</v>
      </c>
      <c r="FG102">
        <v>21.333333333333332</v>
      </c>
      <c r="FH102">
        <v>19</v>
      </c>
      <c r="FI102">
        <v>-1.7888888888888892</v>
      </c>
      <c r="FJ102">
        <v>19</v>
      </c>
      <c r="FK102">
        <v>-8.7777777777777821</v>
      </c>
      <c r="FL102">
        <v>26</v>
      </c>
      <c r="FM102">
        <v>-1.5555555555555558</v>
      </c>
      <c r="FN102">
        <v>9</v>
      </c>
      <c r="FO102">
        <v>10</v>
      </c>
      <c r="FP102">
        <v>7</v>
      </c>
      <c r="FQ102">
        <v>2.8777777777777769</v>
      </c>
      <c r="FR102">
        <v>10</v>
      </c>
      <c r="FS102">
        <v>8.3333333333333304</v>
      </c>
      <c r="FT102">
        <v>13</v>
      </c>
      <c r="FU102">
        <v>0.22222222222222202</v>
      </c>
      <c r="FV102">
        <v>23</v>
      </c>
      <c r="FW102">
        <v>22.333333333333332</v>
      </c>
      <c r="FX102">
        <v>23</v>
      </c>
      <c r="FY102">
        <v>-2.4666666666666663</v>
      </c>
      <c r="FZ102">
        <v>21</v>
      </c>
      <c r="GA102">
        <v>-5.7777777777777777</v>
      </c>
      <c r="GB102">
        <v>23</v>
      </c>
      <c r="GC102">
        <v>-0.88888888888888895</v>
      </c>
      <c r="GD102">
        <v>24</v>
      </c>
      <c r="GE102">
        <v>25.333333333333332</v>
      </c>
      <c r="GF102">
        <v>24</v>
      </c>
      <c r="GG102">
        <v>-2.1999999999999997</v>
      </c>
      <c r="GH102">
        <v>26</v>
      </c>
      <c r="GI102">
        <v>-11.333333333333334</v>
      </c>
      <c r="GJ102">
        <v>26</v>
      </c>
      <c r="GK102">
        <v>-0.88888888888888895</v>
      </c>
      <c r="GL102">
        <v>26</v>
      </c>
      <c r="GM102">
        <v>25.333333333333332</v>
      </c>
      <c r="GN102">
        <v>18</v>
      </c>
      <c r="GO102">
        <v>-1.7555555555555564</v>
      </c>
      <c r="GP102">
        <v>28</v>
      </c>
      <c r="GQ102">
        <v>-23.111111111111111</v>
      </c>
      <c r="GR102">
        <v>30</v>
      </c>
      <c r="GS102">
        <v>-2.4444444444444446</v>
      </c>
      <c r="GT102">
        <v>21</v>
      </c>
      <c r="GU102">
        <v>19.666666666666668</v>
      </c>
      <c r="GV102">
        <v>28</v>
      </c>
      <c r="GW102">
        <v>-2.8333333333333326</v>
      </c>
      <c r="GX102">
        <v>18</v>
      </c>
      <c r="GY102">
        <v>-1.444444444444444</v>
      </c>
      <c r="GZ102">
        <v>13</v>
      </c>
      <c r="HA102">
        <v>0.44444444444444464</v>
      </c>
      <c r="HB102">
        <v>12</v>
      </c>
      <c r="HC102">
        <v>13</v>
      </c>
      <c r="HD102">
        <v>11</v>
      </c>
      <c r="HE102">
        <v>0.99999999999999967</v>
      </c>
      <c r="HF102">
        <v>15</v>
      </c>
      <c r="HG102">
        <v>0.11111111111111109</v>
      </c>
      <c r="HH102">
        <v>-0.11111111111111131</v>
      </c>
      <c r="HI102">
        <v>12</v>
      </c>
      <c r="HJ102">
        <v>14.25</v>
      </c>
      <c r="HK102">
        <v>24</v>
      </c>
      <c r="HL102">
        <v>-2.5451124545253261E-2</v>
      </c>
      <c r="HM102">
        <v>6</v>
      </c>
      <c r="HN102">
        <v>1.8398278766180876E-2</v>
      </c>
      <c r="HO102">
        <v>18</v>
      </c>
      <c r="HP102">
        <v>2.5925925925925946E-2</v>
      </c>
      <c r="HQ102">
        <v>9</v>
      </c>
      <c r="HR102">
        <v>0.44444444444444481</v>
      </c>
      <c r="HS102">
        <v>-3.3333333333333335</v>
      </c>
      <c r="HT102">
        <v>-4</v>
      </c>
      <c r="HU102">
        <v>0</v>
      </c>
      <c r="HV102">
        <v>-2.7777777777777906</v>
      </c>
      <c r="HW102">
        <v>1.777777777777781</v>
      </c>
      <c r="HX102">
        <v>3.4444444444444429</v>
      </c>
      <c r="HY102">
        <v>-6.2222222222222214</v>
      </c>
      <c r="HZ102">
        <v>-1.7777777777777779</v>
      </c>
      <c r="IA102">
        <v>14</v>
      </c>
      <c r="IB102">
        <v>2.2155555555555564</v>
      </c>
      <c r="IC102">
        <v>1.5333333333333421E-2</v>
      </c>
      <c r="ID102">
        <v>-1.6666666666666619</v>
      </c>
      <c r="IE102">
        <v>19</v>
      </c>
      <c r="IF102">
        <v>-0.58972222222222204</v>
      </c>
      <c r="IG102">
        <v>-1.1111111111111112</v>
      </c>
    </row>
    <row r="103" spans="1:241" x14ac:dyDescent="0.2">
      <c r="A103" s="19">
        <v>44108</v>
      </c>
      <c r="B103" s="13" t="s">
        <v>417</v>
      </c>
      <c r="C103" s="41" t="s">
        <v>265</v>
      </c>
      <c r="D103" s="14" t="s">
        <v>289</v>
      </c>
      <c r="E103">
        <v>26.1</v>
      </c>
      <c r="F103">
        <v>4.5999999999999996</v>
      </c>
      <c r="G103">
        <v>9.9</v>
      </c>
      <c r="H103">
        <v>7.3</v>
      </c>
      <c r="I103">
        <v>3</v>
      </c>
      <c r="J103">
        <v>43.5</v>
      </c>
      <c r="K103" t="s">
        <v>110</v>
      </c>
      <c r="L103" t="s">
        <v>265</v>
      </c>
      <c r="M103">
        <v>23</v>
      </c>
      <c r="N103">
        <v>-2.1799999999999997</v>
      </c>
      <c r="O103">
        <v>26</v>
      </c>
      <c r="P103">
        <v>23.75</v>
      </c>
      <c r="Q103">
        <v>32</v>
      </c>
      <c r="R103">
        <v>-8.6222222222222236</v>
      </c>
      <c r="S103">
        <v>25</v>
      </c>
      <c r="T103">
        <v>-2.333333333333333</v>
      </c>
      <c r="U103">
        <v>23</v>
      </c>
      <c r="V103">
        <v>-11.222222222222225</v>
      </c>
      <c r="W103">
        <v>15</v>
      </c>
      <c r="X103">
        <v>-0.11111111111111094</v>
      </c>
      <c r="Y103">
        <v>30</v>
      </c>
      <c r="Z103">
        <v>27</v>
      </c>
      <c r="AA103">
        <v>29</v>
      </c>
      <c r="AB103">
        <v>-7.011111111111112</v>
      </c>
      <c r="AC103">
        <v>17</v>
      </c>
      <c r="AD103">
        <v>-1.2222222222222214</v>
      </c>
      <c r="AE103">
        <v>29</v>
      </c>
      <c r="AF103">
        <v>-13.333333333333336</v>
      </c>
      <c r="AG103">
        <v>23</v>
      </c>
      <c r="AH103">
        <v>-0.99999999999999989</v>
      </c>
      <c r="AI103">
        <v>12</v>
      </c>
      <c r="AJ103">
        <v>14.666666666666666</v>
      </c>
      <c r="AK103">
        <v>23</v>
      </c>
      <c r="AL103">
        <v>-1.6111111111111109</v>
      </c>
      <c r="AM103">
        <v>18</v>
      </c>
      <c r="AN103">
        <v>-1.1111111111111114</v>
      </c>
      <c r="AO103">
        <v>14</v>
      </c>
      <c r="AP103">
        <v>2.1111111111111107</v>
      </c>
      <c r="AQ103">
        <v>7</v>
      </c>
      <c r="AR103">
        <v>0.88888888888888895</v>
      </c>
      <c r="AS103">
        <v>21</v>
      </c>
      <c r="AT103">
        <v>20</v>
      </c>
      <c r="AU103">
        <v>20</v>
      </c>
      <c r="AV103">
        <v>-3.2111111111111112</v>
      </c>
      <c r="AW103">
        <v>26</v>
      </c>
      <c r="AX103">
        <v>-31</v>
      </c>
      <c r="AY103">
        <v>14</v>
      </c>
      <c r="AZ103">
        <v>0.33333333333333348</v>
      </c>
      <c r="BA103">
        <v>14</v>
      </c>
      <c r="BB103">
        <v>14.666666666666666</v>
      </c>
      <c r="BC103">
        <v>18</v>
      </c>
      <c r="BD103">
        <v>-1.8444444444444439</v>
      </c>
      <c r="BE103">
        <v>20</v>
      </c>
      <c r="BF103">
        <v>-5.8888888888888884</v>
      </c>
      <c r="BG103">
        <v>6</v>
      </c>
      <c r="BH103">
        <v>1.5555555555555556</v>
      </c>
      <c r="BI103">
        <v>31</v>
      </c>
      <c r="BJ103">
        <v>29.666666666666668</v>
      </c>
      <c r="BK103">
        <v>28</v>
      </c>
      <c r="BL103">
        <v>-3.255555555555556</v>
      </c>
      <c r="BM103">
        <v>31</v>
      </c>
      <c r="BN103">
        <v>-22</v>
      </c>
      <c r="BO103">
        <v>30</v>
      </c>
      <c r="BP103">
        <v>-1.7777777777777777</v>
      </c>
      <c r="BQ103">
        <v>11</v>
      </c>
      <c r="BR103">
        <v>12.666666666666666</v>
      </c>
      <c r="BS103">
        <v>8</v>
      </c>
      <c r="BT103">
        <v>1.8888888888888886</v>
      </c>
      <c r="BU103">
        <v>19</v>
      </c>
      <c r="BV103">
        <v>-3.1111111111111112</v>
      </c>
      <c r="BW103">
        <v>11</v>
      </c>
      <c r="BX103">
        <v>0.55555555555555558</v>
      </c>
      <c r="BY103">
        <v>12</v>
      </c>
      <c r="BZ103">
        <v>13.666666666666666</v>
      </c>
      <c r="CA103">
        <v>21</v>
      </c>
      <c r="CB103">
        <v>-2.0777777777777775</v>
      </c>
      <c r="CC103">
        <v>12</v>
      </c>
      <c r="CD103">
        <v>-0.7777777777777809</v>
      </c>
      <c r="CE103">
        <v>8</v>
      </c>
      <c r="CF103">
        <v>1.2222222222222225</v>
      </c>
      <c r="CG103">
        <v>13</v>
      </c>
      <c r="CH103">
        <v>12.666666666666666</v>
      </c>
      <c r="CI103">
        <v>11</v>
      </c>
      <c r="CJ103">
        <v>2.4111111111111119</v>
      </c>
      <c r="CK103">
        <v>15</v>
      </c>
      <c r="CL103">
        <v>1.8888888888888882</v>
      </c>
      <c r="CM103">
        <v>12</v>
      </c>
      <c r="CN103">
        <v>1</v>
      </c>
      <c r="CO103">
        <v>24</v>
      </c>
      <c r="CP103">
        <v>24.5</v>
      </c>
      <c r="CQ103">
        <v>30</v>
      </c>
      <c r="CR103">
        <v>-2.6666666666666665</v>
      </c>
      <c r="CS103">
        <v>19</v>
      </c>
      <c r="CT103">
        <v>0</v>
      </c>
      <c r="CU103">
        <v>-0.11111111111111087</v>
      </c>
      <c r="CV103">
        <v>3</v>
      </c>
      <c r="CW103">
        <v>9</v>
      </c>
      <c r="CX103">
        <v>20</v>
      </c>
      <c r="CY103">
        <v>-2.3932601476461118E-2</v>
      </c>
      <c r="CZ103">
        <v>7</v>
      </c>
      <c r="DA103">
        <v>1.1562005304695365E-2</v>
      </c>
      <c r="DB103">
        <v>2</v>
      </c>
      <c r="DC103">
        <v>-0.24629629629629632</v>
      </c>
      <c r="DD103">
        <v>7</v>
      </c>
      <c r="DE103">
        <v>2.4444444444444442</v>
      </c>
      <c r="DF103">
        <v>1</v>
      </c>
      <c r="DG103">
        <v>-5.5555555555555545</v>
      </c>
      <c r="DH103">
        <v>-0.77777777777777779</v>
      </c>
      <c r="DI103">
        <v>-36</v>
      </c>
      <c r="DJ103">
        <v>-39.777777777777779</v>
      </c>
      <c r="DK103">
        <v>-13.111111111111114</v>
      </c>
      <c r="DL103">
        <v>8.8888888888888893</v>
      </c>
      <c r="DM103">
        <v>8</v>
      </c>
      <c r="DN103">
        <v>5</v>
      </c>
      <c r="DO103">
        <v>6.442222222222223</v>
      </c>
      <c r="DP103">
        <v>3.7151111111111117</v>
      </c>
      <c r="DQ103">
        <v>-26.666666666666664</v>
      </c>
      <c r="DR103">
        <v>28</v>
      </c>
      <c r="DS103">
        <v>-1.783611111111111</v>
      </c>
      <c r="DT103">
        <v>1.3333333333333335</v>
      </c>
      <c r="DU103">
        <v>-1.8702777777777779</v>
      </c>
      <c r="DV103">
        <v>-0.86277777777777798</v>
      </c>
      <c r="DW103" t="s">
        <v>289</v>
      </c>
      <c r="DX103" t="s">
        <v>274</v>
      </c>
      <c r="DY103" t="s">
        <v>488</v>
      </c>
      <c r="DZ103">
        <v>30</v>
      </c>
      <c r="EA103">
        <v>-4.8666666666666663</v>
      </c>
      <c r="EB103">
        <v>32</v>
      </c>
      <c r="EC103">
        <v>27.25</v>
      </c>
      <c r="ED103">
        <v>30</v>
      </c>
      <c r="EE103">
        <v>-7.6888888888888891</v>
      </c>
      <c r="EF103">
        <v>22</v>
      </c>
      <c r="EG103">
        <v>-1.0000000000000002</v>
      </c>
      <c r="EH103">
        <v>28</v>
      </c>
      <c r="EI103">
        <v>-16.666666666666664</v>
      </c>
      <c r="EJ103">
        <v>29</v>
      </c>
      <c r="EK103">
        <v>-1.4444444444444444</v>
      </c>
      <c r="EL103">
        <v>29</v>
      </c>
      <c r="EM103">
        <v>24</v>
      </c>
      <c r="EN103">
        <v>29</v>
      </c>
      <c r="EO103">
        <v>-5.6555555555555559</v>
      </c>
      <c r="EP103">
        <v>13</v>
      </c>
      <c r="EQ103">
        <v>0.22222222222222202</v>
      </c>
      <c r="ER103">
        <v>23</v>
      </c>
      <c r="ES103">
        <v>-10.222222222222221</v>
      </c>
      <c r="ET103">
        <v>31</v>
      </c>
      <c r="EU103">
        <v>-1.4444444444444444</v>
      </c>
      <c r="EV103">
        <v>30</v>
      </c>
      <c r="EW103">
        <v>26</v>
      </c>
      <c r="EX103">
        <v>29</v>
      </c>
      <c r="EY103">
        <v>-2.0333333333333332</v>
      </c>
      <c r="EZ103">
        <v>24</v>
      </c>
      <c r="FA103">
        <v>-1.2222222222222223</v>
      </c>
      <c r="FB103">
        <v>25</v>
      </c>
      <c r="FC103">
        <v>-6.4444444444444438</v>
      </c>
      <c r="FD103">
        <v>18</v>
      </c>
      <c r="FE103">
        <v>0</v>
      </c>
      <c r="FF103">
        <v>31</v>
      </c>
      <c r="FG103">
        <v>30.333333333333332</v>
      </c>
      <c r="FH103">
        <v>28</v>
      </c>
      <c r="FI103">
        <v>-7.7999999999999972</v>
      </c>
      <c r="FJ103">
        <v>32</v>
      </c>
      <c r="FK103">
        <v>-39.777777777777779</v>
      </c>
      <c r="FL103">
        <v>31</v>
      </c>
      <c r="FM103">
        <v>-3.8888888888888888</v>
      </c>
      <c r="FN103">
        <v>29</v>
      </c>
      <c r="FO103">
        <v>29.333333333333332</v>
      </c>
      <c r="FP103">
        <v>29</v>
      </c>
      <c r="FQ103">
        <v>-4.9444444444444438</v>
      </c>
      <c r="FR103">
        <v>31</v>
      </c>
      <c r="FS103">
        <v>-21.111111111111111</v>
      </c>
      <c r="FT103">
        <v>28</v>
      </c>
      <c r="FU103">
        <v>-1.5555555555555556</v>
      </c>
      <c r="FV103">
        <v>28</v>
      </c>
      <c r="FW103">
        <v>28.333333333333332</v>
      </c>
      <c r="FX103">
        <v>26</v>
      </c>
      <c r="FY103">
        <v>-3.2444444444444436</v>
      </c>
      <c r="FZ103">
        <v>29</v>
      </c>
      <c r="GA103">
        <v>-18.000000000000004</v>
      </c>
      <c r="GB103">
        <v>30</v>
      </c>
      <c r="GC103">
        <v>-1.7777777777777779</v>
      </c>
      <c r="GD103">
        <v>19</v>
      </c>
      <c r="GE103">
        <v>17.666666666666668</v>
      </c>
      <c r="GF103">
        <v>15</v>
      </c>
      <c r="GG103">
        <v>0.38888888888888901</v>
      </c>
      <c r="GH103">
        <v>16</v>
      </c>
      <c r="GI103">
        <v>-0.66666666666666552</v>
      </c>
      <c r="GJ103">
        <v>22</v>
      </c>
      <c r="GK103">
        <v>-0.55555555555555547</v>
      </c>
      <c r="GL103">
        <v>32</v>
      </c>
      <c r="GM103">
        <v>30.666666666666668</v>
      </c>
      <c r="GN103">
        <v>32</v>
      </c>
      <c r="GO103">
        <v>-7.2333333333333343</v>
      </c>
      <c r="GP103">
        <v>32</v>
      </c>
      <c r="GQ103">
        <v>-33.444444444444443</v>
      </c>
      <c r="GR103">
        <v>28</v>
      </c>
      <c r="GS103">
        <v>-1.9999999999999998</v>
      </c>
      <c r="GT103">
        <v>28</v>
      </c>
      <c r="GU103">
        <v>26</v>
      </c>
      <c r="GV103">
        <v>29</v>
      </c>
      <c r="GW103">
        <v>-2.8888888888888888</v>
      </c>
      <c r="GX103">
        <v>23</v>
      </c>
      <c r="GY103">
        <v>-7.7777777777777777</v>
      </c>
      <c r="GZ103">
        <v>26</v>
      </c>
      <c r="HA103">
        <v>-1.2222222222222221</v>
      </c>
      <c r="HB103">
        <v>17</v>
      </c>
      <c r="HC103">
        <v>17</v>
      </c>
      <c r="HD103">
        <v>15</v>
      </c>
      <c r="HE103">
        <v>0.22222222222222232</v>
      </c>
      <c r="HF103">
        <v>19</v>
      </c>
      <c r="HG103">
        <v>-0.11111111111111109</v>
      </c>
      <c r="HH103">
        <v>1.1111111111111112</v>
      </c>
      <c r="HI103">
        <v>13</v>
      </c>
      <c r="HJ103">
        <v>14.75</v>
      </c>
      <c r="HK103">
        <v>32</v>
      </c>
      <c r="HL103">
        <v>-0.10212576742602325</v>
      </c>
      <c r="HM103">
        <v>22</v>
      </c>
      <c r="HN103">
        <v>-1.1328772676052411E-2</v>
      </c>
      <c r="HO103">
        <v>2</v>
      </c>
      <c r="HP103">
        <v>-0.21111111111111114</v>
      </c>
      <c r="HQ103">
        <v>3</v>
      </c>
      <c r="HR103">
        <v>5.333333333333333</v>
      </c>
      <c r="HS103">
        <v>0</v>
      </c>
      <c r="HT103">
        <v>-5.2222222222222223</v>
      </c>
      <c r="HU103">
        <v>0</v>
      </c>
      <c r="HV103">
        <v>-89.222222222222229</v>
      </c>
      <c r="HW103">
        <v>-67.777777777777771</v>
      </c>
      <c r="HX103">
        <v>-15</v>
      </c>
      <c r="HY103">
        <v>-3.7777777777777772</v>
      </c>
      <c r="HZ103">
        <v>-2.6666666666666665</v>
      </c>
      <c r="IA103">
        <v>11</v>
      </c>
      <c r="IB103">
        <v>2.8222222222222229</v>
      </c>
      <c r="IC103">
        <v>0.73333333333333384</v>
      </c>
      <c r="ID103">
        <v>-52.777777777777771</v>
      </c>
      <c r="IE103">
        <v>22</v>
      </c>
      <c r="IF103">
        <v>-2.8777777777777778</v>
      </c>
      <c r="IG103">
        <v>-5.1111111111111107</v>
      </c>
    </row>
    <row r="104" spans="1:241" x14ac:dyDescent="0.2">
      <c r="A104" s="19">
        <v>44108</v>
      </c>
      <c r="B104" s="13" t="s">
        <v>417</v>
      </c>
      <c r="C104" s="17" t="s">
        <v>272</v>
      </c>
      <c r="D104" s="14" t="s">
        <v>297</v>
      </c>
      <c r="E104">
        <v>16.399999999999999</v>
      </c>
      <c r="F104">
        <v>1.3</v>
      </c>
      <c r="G104">
        <v>13</v>
      </c>
      <c r="H104">
        <v>7.7</v>
      </c>
      <c r="I104">
        <v>-1</v>
      </c>
      <c r="J104">
        <v>50</v>
      </c>
      <c r="L104" t="s">
        <v>272</v>
      </c>
      <c r="M104">
        <v>6</v>
      </c>
      <c r="N104">
        <v>1.7711111111111109</v>
      </c>
      <c r="O104">
        <v>15</v>
      </c>
      <c r="P104">
        <v>14.5</v>
      </c>
      <c r="Q104">
        <v>21</v>
      </c>
      <c r="R104">
        <v>-2.5888888888888895</v>
      </c>
      <c r="S104">
        <v>14</v>
      </c>
      <c r="T104">
        <v>0.33333333333333304</v>
      </c>
      <c r="U104">
        <v>19</v>
      </c>
      <c r="V104">
        <v>-6.6666666666666661</v>
      </c>
      <c r="W104">
        <v>4</v>
      </c>
      <c r="X104">
        <v>2.0000000000000004</v>
      </c>
      <c r="Y104">
        <v>19</v>
      </c>
      <c r="Z104">
        <v>18</v>
      </c>
      <c r="AA104">
        <v>23</v>
      </c>
      <c r="AB104">
        <v>-3.5111111111111115</v>
      </c>
      <c r="AC104">
        <v>5</v>
      </c>
      <c r="AD104">
        <v>3.6666666666666665</v>
      </c>
      <c r="AE104">
        <v>13</v>
      </c>
      <c r="AF104">
        <v>6.2222222222222214</v>
      </c>
      <c r="AG104">
        <v>18</v>
      </c>
      <c r="AH104">
        <v>-0.55555555555555547</v>
      </c>
      <c r="AI104">
        <v>11</v>
      </c>
      <c r="AJ104">
        <v>13.333333333333334</v>
      </c>
      <c r="AK104">
        <v>12</v>
      </c>
      <c r="AL104">
        <v>0.92222222222222194</v>
      </c>
      <c r="AM104">
        <v>30</v>
      </c>
      <c r="AN104">
        <v>-3.3333333333333335</v>
      </c>
      <c r="AO104">
        <v>27</v>
      </c>
      <c r="AP104">
        <v>-12.888888888888888</v>
      </c>
      <c r="AQ104">
        <v>1</v>
      </c>
      <c r="AR104">
        <v>2.5555555555555558</v>
      </c>
      <c r="AS104">
        <v>11</v>
      </c>
      <c r="AT104">
        <v>10</v>
      </c>
      <c r="AU104">
        <v>11</v>
      </c>
      <c r="AV104">
        <v>2.4111111111111119</v>
      </c>
      <c r="AW104">
        <v>18</v>
      </c>
      <c r="AX104">
        <v>-5.3333333333333321</v>
      </c>
      <c r="AY104">
        <v>1</v>
      </c>
      <c r="AZ104">
        <v>5.8888888888888893</v>
      </c>
      <c r="BA104">
        <v>9</v>
      </c>
      <c r="BB104">
        <v>10</v>
      </c>
      <c r="BC104">
        <v>10</v>
      </c>
      <c r="BD104">
        <v>2.2888888888888901</v>
      </c>
      <c r="BE104">
        <v>10</v>
      </c>
      <c r="BF104">
        <v>5.2222222222222214</v>
      </c>
      <c r="BG104">
        <v>10</v>
      </c>
      <c r="BH104">
        <v>1.1111111111111109</v>
      </c>
      <c r="BI104">
        <v>16</v>
      </c>
      <c r="BJ104">
        <v>16.666666666666668</v>
      </c>
      <c r="BK104">
        <v>26</v>
      </c>
      <c r="BL104">
        <v>-2.6444444444444453</v>
      </c>
      <c r="BM104">
        <v>23</v>
      </c>
      <c r="BN104">
        <v>-10.666666666666664</v>
      </c>
      <c r="BO104">
        <v>1</v>
      </c>
      <c r="BP104">
        <v>3.3333333333333335</v>
      </c>
      <c r="BQ104">
        <v>5</v>
      </c>
      <c r="BR104">
        <v>8</v>
      </c>
      <c r="BS104">
        <v>5</v>
      </c>
      <c r="BT104">
        <v>2.7666666666666671</v>
      </c>
      <c r="BU104">
        <v>15</v>
      </c>
      <c r="BV104">
        <v>0.11111111111111072</v>
      </c>
      <c r="BW104">
        <v>4</v>
      </c>
      <c r="BX104">
        <v>1.4444444444444446</v>
      </c>
      <c r="BY104">
        <v>23</v>
      </c>
      <c r="BZ104">
        <v>22.333333333333332</v>
      </c>
      <c r="CA104">
        <v>27</v>
      </c>
      <c r="CB104">
        <v>-3.433333333333334</v>
      </c>
      <c r="CC104">
        <v>29</v>
      </c>
      <c r="CD104">
        <v>-18.777777777777779</v>
      </c>
      <c r="CE104">
        <v>11</v>
      </c>
      <c r="CF104">
        <v>1</v>
      </c>
      <c r="CG104">
        <v>20</v>
      </c>
      <c r="CH104">
        <v>19.333333333333332</v>
      </c>
      <c r="CI104">
        <v>24</v>
      </c>
      <c r="CJ104">
        <v>-3.0333333333333332</v>
      </c>
      <c r="CK104">
        <v>16</v>
      </c>
      <c r="CL104">
        <v>-1.444444444444444</v>
      </c>
      <c r="CM104">
        <v>18</v>
      </c>
      <c r="CN104">
        <v>-2.9605947323337506E-16</v>
      </c>
      <c r="CO104">
        <v>5</v>
      </c>
      <c r="CP104">
        <v>6</v>
      </c>
      <c r="CQ104">
        <v>8</v>
      </c>
      <c r="CR104">
        <v>1.444444444444444</v>
      </c>
      <c r="CS104">
        <v>4</v>
      </c>
      <c r="CT104">
        <v>0.55555555555555547</v>
      </c>
      <c r="CU104">
        <v>-4.2222222222222214</v>
      </c>
      <c r="CV104">
        <v>8</v>
      </c>
      <c r="CW104">
        <v>11.5</v>
      </c>
      <c r="CX104">
        <v>10</v>
      </c>
      <c r="CY104">
        <v>1.8064963049994331E-2</v>
      </c>
      <c r="CZ104">
        <v>5</v>
      </c>
      <c r="DA104">
        <v>2.1161519445272392E-2</v>
      </c>
      <c r="DB104">
        <v>23</v>
      </c>
      <c r="DC104">
        <v>6.2951092117758803E-2</v>
      </c>
      <c r="DD104">
        <v>8</v>
      </c>
      <c r="DE104">
        <v>2.3333333333333335</v>
      </c>
      <c r="DF104">
        <v>8.0000000000000018</v>
      </c>
      <c r="DG104">
        <v>-3.7777777777777772</v>
      </c>
      <c r="DH104">
        <v>0</v>
      </c>
      <c r="DI104">
        <v>-6.7777777777777901</v>
      </c>
      <c r="DJ104">
        <v>16.888888888888875</v>
      </c>
      <c r="DK104">
        <v>-12.666666666666666</v>
      </c>
      <c r="DL104">
        <v>-9.4444444444444446</v>
      </c>
      <c r="DM104">
        <v>-1.5555555555555565</v>
      </c>
      <c r="DN104">
        <v>9</v>
      </c>
      <c r="DO104">
        <v>4.3600000000000003</v>
      </c>
      <c r="DP104">
        <v>1.5242222222222226</v>
      </c>
      <c r="DQ104">
        <v>29.555555555555543</v>
      </c>
      <c r="DR104">
        <v>24</v>
      </c>
      <c r="DS104">
        <v>5.5555555555550362E-4</v>
      </c>
      <c r="DT104">
        <v>5.8888888888888893</v>
      </c>
      <c r="DU104">
        <v>0.33055555555555582</v>
      </c>
      <c r="DV104">
        <v>0.321388888888889</v>
      </c>
      <c r="DW104" t="s">
        <v>297</v>
      </c>
      <c r="DX104" t="s">
        <v>474</v>
      </c>
      <c r="DY104" t="s">
        <v>475</v>
      </c>
      <c r="DZ104">
        <v>3</v>
      </c>
      <c r="EA104">
        <v>5.2400000000000011</v>
      </c>
      <c r="EB104">
        <v>14</v>
      </c>
      <c r="EC104">
        <v>15.25</v>
      </c>
      <c r="ED104">
        <v>15</v>
      </c>
      <c r="EE104">
        <v>0.76666666666666772</v>
      </c>
      <c r="EF104">
        <v>19</v>
      </c>
      <c r="EG104">
        <v>-0.55555555555555514</v>
      </c>
      <c r="EH104">
        <v>25</v>
      </c>
      <c r="EI104">
        <v>-14.777777777777775</v>
      </c>
      <c r="EJ104">
        <v>2</v>
      </c>
      <c r="EK104">
        <v>1.666666666666667</v>
      </c>
      <c r="EL104">
        <v>15</v>
      </c>
      <c r="EM104">
        <v>17</v>
      </c>
      <c r="EN104">
        <v>20</v>
      </c>
      <c r="EO104">
        <v>-0.74444444444444358</v>
      </c>
      <c r="EP104">
        <v>16</v>
      </c>
      <c r="EQ104">
        <v>-0.44444444444444403</v>
      </c>
      <c r="ER104">
        <v>27</v>
      </c>
      <c r="ES104">
        <v>-13.888888888888886</v>
      </c>
      <c r="ET104">
        <v>5</v>
      </c>
      <c r="EU104">
        <v>1.1111111111111114</v>
      </c>
      <c r="EV104">
        <v>12</v>
      </c>
      <c r="EW104">
        <v>13.666666666666666</v>
      </c>
      <c r="EX104">
        <v>7</v>
      </c>
      <c r="EY104">
        <v>1.5111111111111113</v>
      </c>
      <c r="EZ104">
        <v>18</v>
      </c>
      <c r="FA104">
        <v>-0.11111111111111116</v>
      </c>
      <c r="FB104">
        <v>16</v>
      </c>
      <c r="FC104">
        <v>-0.88888888888888928</v>
      </c>
      <c r="FD104">
        <v>9</v>
      </c>
      <c r="FE104">
        <v>0.55555555555555569</v>
      </c>
      <c r="FF104">
        <v>24</v>
      </c>
      <c r="FG104">
        <v>22.333333333333332</v>
      </c>
      <c r="FH104">
        <v>15</v>
      </c>
      <c r="FI104">
        <v>-0.26666666666666594</v>
      </c>
      <c r="FJ104">
        <v>25</v>
      </c>
      <c r="FK104">
        <v>-22.777777777777779</v>
      </c>
      <c r="FL104">
        <v>27</v>
      </c>
      <c r="FM104">
        <v>-1.8888888888888888</v>
      </c>
      <c r="FN104">
        <v>17</v>
      </c>
      <c r="FO104">
        <v>17</v>
      </c>
      <c r="FP104">
        <v>18</v>
      </c>
      <c r="FQ104">
        <v>-0.37777777777777849</v>
      </c>
      <c r="FR104">
        <v>21</v>
      </c>
      <c r="FS104">
        <v>-6.0000000000000027</v>
      </c>
      <c r="FT104">
        <v>12</v>
      </c>
      <c r="FU104">
        <v>0.44444444444444436</v>
      </c>
      <c r="FV104">
        <v>18</v>
      </c>
      <c r="FW104">
        <v>17.333333333333332</v>
      </c>
      <c r="FX104">
        <v>10</v>
      </c>
      <c r="FY104">
        <v>1.48888888888889</v>
      </c>
      <c r="FZ104">
        <v>23</v>
      </c>
      <c r="GA104">
        <v>-7.4444444444444429</v>
      </c>
      <c r="GB104">
        <v>19</v>
      </c>
      <c r="GC104">
        <v>-0.11111111111111131</v>
      </c>
      <c r="GD104">
        <v>24</v>
      </c>
      <c r="GE104">
        <v>25.333333333333332</v>
      </c>
      <c r="GF104">
        <v>21</v>
      </c>
      <c r="GG104">
        <v>-1.3777777777777775</v>
      </c>
      <c r="GH104">
        <v>23</v>
      </c>
      <c r="GI104">
        <v>-9.3333333333333339</v>
      </c>
      <c r="GJ104">
        <v>32</v>
      </c>
      <c r="GK104">
        <v>-2.2222222222222219</v>
      </c>
      <c r="GL104">
        <v>5</v>
      </c>
      <c r="GM104">
        <v>6</v>
      </c>
      <c r="GN104">
        <v>3</v>
      </c>
      <c r="GO104">
        <v>7.7444444444444445</v>
      </c>
      <c r="GP104">
        <v>8</v>
      </c>
      <c r="GQ104">
        <v>11.888888888888886</v>
      </c>
      <c r="GR104">
        <v>7</v>
      </c>
      <c r="GS104">
        <v>0.77777777777777801</v>
      </c>
      <c r="GT104">
        <v>27</v>
      </c>
      <c r="GU104">
        <v>25.666666666666668</v>
      </c>
      <c r="GV104">
        <v>19</v>
      </c>
      <c r="GW104">
        <v>-1.3555555555555561</v>
      </c>
      <c r="GX104">
        <v>28</v>
      </c>
      <c r="GY104">
        <v>-13.555555555555557</v>
      </c>
      <c r="GZ104">
        <v>30</v>
      </c>
      <c r="HA104">
        <v>-1.7777777777777777</v>
      </c>
      <c r="HB104">
        <v>31</v>
      </c>
      <c r="HC104">
        <v>28.5</v>
      </c>
      <c r="HD104">
        <v>27</v>
      </c>
      <c r="HE104">
        <v>-1.6666666666666663</v>
      </c>
      <c r="HF104">
        <v>30</v>
      </c>
      <c r="HG104">
        <v>-0.88888888888888884</v>
      </c>
      <c r="HH104">
        <v>-1.6666666666666667</v>
      </c>
      <c r="HI104">
        <v>24</v>
      </c>
      <c r="HJ104">
        <v>20</v>
      </c>
      <c r="HK104">
        <v>13</v>
      </c>
      <c r="HL104">
        <v>-4.3277030761386297E-3</v>
      </c>
      <c r="HM104">
        <v>18</v>
      </c>
      <c r="HN104">
        <v>-6.1074800290486569E-3</v>
      </c>
      <c r="HO104">
        <v>28</v>
      </c>
      <c r="HP104">
        <v>0.11878306878306881</v>
      </c>
      <c r="HQ104">
        <v>21</v>
      </c>
      <c r="HR104">
        <v>-1.3333333333333333</v>
      </c>
      <c r="HS104">
        <v>-3.7777777777777786</v>
      </c>
      <c r="HT104">
        <v>4</v>
      </c>
      <c r="HU104">
        <v>-1.7777777777777777</v>
      </c>
      <c r="HV104">
        <v>-3.8888888888888951</v>
      </c>
      <c r="HW104">
        <v>-1.4444444444444475</v>
      </c>
      <c r="HX104">
        <v>-18.444444444444446</v>
      </c>
      <c r="HY104">
        <v>10.444444444444446</v>
      </c>
      <c r="HZ104">
        <v>5.5555555555555545</v>
      </c>
      <c r="IA104">
        <v>7</v>
      </c>
      <c r="IB104">
        <v>4.4733333333333336</v>
      </c>
      <c r="IC104">
        <v>0.34022222222222198</v>
      </c>
      <c r="ID104">
        <v>17</v>
      </c>
      <c r="IE104">
        <v>26</v>
      </c>
      <c r="IF104">
        <v>0.33972222222222259</v>
      </c>
      <c r="IG104">
        <v>-3.6666666666666665</v>
      </c>
    </row>
    <row r="105" spans="1:241" x14ac:dyDescent="0.2">
      <c r="A105" s="19">
        <v>44108</v>
      </c>
      <c r="B105" s="13" t="s">
        <v>417</v>
      </c>
      <c r="C105" s="41" t="s">
        <v>281</v>
      </c>
      <c r="D105" s="14" t="s">
        <v>291</v>
      </c>
      <c r="E105">
        <v>38.4</v>
      </c>
      <c r="F105">
        <v>15.28</v>
      </c>
      <c r="G105">
        <v>0</v>
      </c>
      <c r="H105">
        <v>14.4</v>
      </c>
      <c r="I105">
        <v>3</v>
      </c>
      <c r="J105">
        <v>56</v>
      </c>
      <c r="K105" t="s">
        <v>110</v>
      </c>
      <c r="L105" t="s">
        <v>281</v>
      </c>
      <c r="M105">
        <v>30</v>
      </c>
      <c r="N105">
        <v>-6.3822222222222225</v>
      </c>
      <c r="O105">
        <v>1</v>
      </c>
      <c r="P105">
        <v>5.25</v>
      </c>
      <c r="Q105">
        <v>1</v>
      </c>
      <c r="R105">
        <v>14.4</v>
      </c>
      <c r="S105">
        <v>2</v>
      </c>
      <c r="T105">
        <v>6.4444444444444438</v>
      </c>
      <c r="U105">
        <v>1</v>
      </c>
      <c r="V105">
        <v>55.888888888888886</v>
      </c>
      <c r="W105">
        <v>17</v>
      </c>
      <c r="X105">
        <v>-0.22222222222222188</v>
      </c>
      <c r="Y105">
        <v>10</v>
      </c>
      <c r="Z105">
        <v>13.333333333333334</v>
      </c>
      <c r="AA105">
        <v>4</v>
      </c>
      <c r="AB105">
        <v>6.344444444444445</v>
      </c>
      <c r="AC105">
        <v>13</v>
      </c>
      <c r="AD105">
        <v>0.55555555555555536</v>
      </c>
      <c r="AE105">
        <v>4</v>
      </c>
      <c r="AF105">
        <v>20.666666666666668</v>
      </c>
      <c r="AG105">
        <v>32</v>
      </c>
      <c r="AH105">
        <v>-1.8888888888888886</v>
      </c>
      <c r="AI105">
        <v>1</v>
      </c>
      <c r="AJ105">
        <v>1.3333333333333333</v>
      </c>
      <c r="AK105">
        <v>1</v>
      </c>
      <c r="AL105">
        <v>8.0555555555555554</v>
      </c>
      <c r="AM105">
        <v>2</v>
      </c>
      <c r="AN105">
        <v>5.8888888888888884</v>
      </c>
      <c r="AO105">
        <v>1</v>
      </c>
      <c r="AP105">
        <v>35.222222222222221</v>
      </c>
      <c r="AQ105">
        <v>2</v>
      </c>
      <c r="AR105">
        <v>1.6666666666666667</v>
      </c>
      <c r="AS105">
        <v>24</v>
      </c>
      <c r="AT105">
        <v>24</v>
      </c>
      <c r="AU105">
        <v>24</v>
      </c>
      <c r="AV105">
        <v>-5.1000000000000014</v>
      </c>
      <c r="AW105">
        <v>22</v>
      </c>
      <c r="AX105">
        <v>-23</v>
      </c>
      <c r="AY105">
        <v>26</v>
      </c>
      <c r="AZ105">
        <v>-3</v>
      </c>
      <c r="BA105">
        <v>14</v>
      </c>
      <c r="BB105">
        <v>14.666666666666666</v>
      </c>
      <c r="BC105">
        <v>16</v>
      </c>
      <c r="BD105">
        <v>-1.3222222222222231</v>
      </c>
      <c r="BE105">
        <v>14</v>
      </c>
      <c r="BF105">
        <v>1.1111111111111118</v>
      </c>
      <c r="BG105">
        <v>14</v>
      </c>
      <c r="BH105">
        <v>0.33333333333333331</v>
      </c>
      <c r="BI105">
        <v>25</v>
      </c>
      <c r="BJ105">
        <v>23</v>
      </c>
      <c r="BK105">
        <v>22</v>
      </c>
      <c r="BL105">
        <v>-1.566666666666668</v>
      </c>
      <c r="BM105">
        <v>18</v>
      </c>
      <c r="BN105">
        <v>-5.666666666666667</v>
      </c>
      <c r="BO105">
        <v>29</v>
      </c>
      <c r="BP105">
        <v>-1.6666666666666667</v>
      </c>
      <c r="BQ105">
        <v>30</v>
      </c>
      <c r="BR105">
        <v>29.333333333333332</v>
      </c>
      <c r="BS105">
        <v>29</v>
      </c>
      <c r="BT105">
        <v>-2.2111111111111108</v>
      </c>
      <c r="BU105">
        <v>31</v>
      </c>
      <c r="BV105">
        <v>-18.444444444444446</v>
      </c>
      <c r="BW105">
        <v>28</v>
      </c>
      <c r="BX105">
        <v>-1.6666666666666667</v>
      </c>
      <c r="BY105">
        <v>30</v>
      </c>
      <c r="BZ105">
        <v>27.666666666666668</v>
      </c>
      <c r="CA105">
        <v>29</v>
      </c>
      <c r="CB105">
        <v>-5.2444444444444445</v>
      </c>
      <c r="CC105">
        <v>22</v>
      </c>
      <c r="CD105">
        <v>-10.222222222222223</v>
      </c>
      <c r="CE105">
        <v>32</v>
      </c>
      <c r="CF105">
        <v>-4.4444444444444438</v>
      </c>
      <c r="CG105">
        <v>31</v>
      </c>
      <c r="CH105">
        <v>30</v>
      </c>
      <c r="CI105">
        <v>29</v>
      </c>
      <c r="CJ105">
        <v>-4.2</v>
      </c>
      <c r="CK105">
        <v>31</v>
      </c>
      <c r="CL105">
        <v>-24.222222222222218</v>
      </c>
      <c r="CM105">
        <v>30</v>
      </c>
      <c r="CN105">
        <v>-2.5555555555555558</v>
      </c>
      <c r="CO105">
        <v>32</v>
      </c>
      <c r="CP105">
        <v>30.5</v>
      </c>
      <c r="CQ105">
        <v>30</v>
      </c>
      <c r="CR105">
        <v>-2.6666666666666665</v>
      </c>
      <c r="CS105">
        <v>31</v>
      </c>
      <c r="CT105">
        <v>-1.3333333333333333</v>
      </c>
      <c r="CU105">
        <v>-0.66666666666666652</v>
      </c>
      <c r="CV105">
        <v>24</v>
      </c>
      <c r="CW105">
        <v>20.5</v>
      </c>
      <c r="CX105">
        <v>16</v>
      </c>
      <c r="CY105">
        <v>1.2956247395213654E-3</v>
      </c>
      <c r="CZ105">
        <v>28</v>
      </c>
      <c r="DA105">
        <v>-1.6735878643628598E-2</v>
      </c>
      <c r="DB105">
        <v>9</v>
      </c>
      <c r="DC105">
        <v>-6.1087061087061099E-2</v>
      </c>
      <c r="DD105">
        <v>29</v>
      </c>
      <c r="DE105">
        <v>-2.5555555555555554</v>
      </c>
      <c r="DF105">
        <v>-5.666666666666667</v>
      </c>
      <c r="DG105">
        <v>1.5555555555555547</v>
      </c>
      <c r="DH105">
        <v>0</v>
      </c>
      <c r="DI105">
        <v>-25</v>
      </c>
      <c r="DJ105">
        <v>-57.888888888888893</v>
      </c>
      <c r="DK105">
        <v>54</v>
      </c>
      <c r="DL105">
        <v>-1.7777777777777779</v>
      </c>
      <c r="DM105">
        <v>-19.333333333333332</v>
      </c>
      <c r="DN105">
        <v>32</v>
      </c>
      <c r="DO105">
        <v>-20.782222222222224</v>
      </c>
      <c r="DP105">
        <v>-10.336444444444444</v>
      </c>
      <c r="DQ105">
        <v>-111.88888888888889</v>
      </c>
      <c r="DR105">
        <v>1</v>
      </c>
      <c r="DS105">
        <v>-0.49361111111111144</v>
      </c>
      <c r="DT105">
        <v>-5.5555555555555554</v>
      </c>
      <c r="DU105">
        <v>0.98416666666666641</v>
      </c>
      <c r="DV105">
        <v>2.298888888888889</v>
      </c>
      <c r="DW105" t="s">
        <v>291</v>
      </c>
      <c r="DX105" t="s">
        <v>282</v>
      </c>
      <c r="DY105" t="s">
        <v>453</v>
      </c>
      <c r="DZ105">
        <v>16</v>
      </c>
      <c r="EA105">
        <v>0.54444444444444196</v>
      </c>
      <c r="EB105">
        <v>19</v>
      </c>
      <c r="EC105">
        <v>18.25</v>
      </c>
      <c r="ED105">
        <v>27</v>
      </c>
      <c r="EE105">
        <v>-5.0222222222222221</v>
      </c>
      <c r="EF105">
        <v>5</v>
      </c>
      <c r="EG105">
        <v>2.5555555555555558</v>
      </c>
      <c r="EH105">
        <v>16</v>
      </c>
      <c r="EI105">
        <v>-7.4444444444444455</v>
      </c>
      <c r="EJ105">
        <v>25</v>
      </c>
      <c r="EK105">
        <v>-1</v>
      </c>
      <c r="EL105">
        <v>20</v>
      </c>
      <c r="EM105">
        <v>19</v>
      </c>
      <c r="EN105">
        <v>25</v>
      </c>
      <c r="EO105">
        <v>-3.5333333333333332</v>
      </c>
      <c r="EP105">
        <v>7</v>
      </c>
      <c r="EQ105">
        <v>2.5555555555555554</v>
      </c>
      <c r="ER105">
        <v>16</v>
      </c>
      <c r="ES105">
        <v>-1.7777777777777786</v>
      </c>
      <c r="ET105">
        <v>28</v>
      </c>
      <c r="EU105">
        <v>-0.88888888888888895</v>
      </c>
      <c r="EV105">
        <v>25</v>
      </c>
      <c r="EW105">
        <v>21.666666666666668</v>
      </c>
      <c r="EX105">
        <v>25</v>
      </c>
      <c r="EY105">
        <v>-1.4888888888888889</v>
      </c>
      <c r="EZ105">
        <v>16</v>
      </c>
      <c r="FA105">
        <v>2.9605947323337506E-16</v>
      </c>
      <c r="FB105">
        <v>24</v>
      </c>
      <c r="FC105">
        <v>-5.666666666666667</v>
      </c>
      <c r="FD105">
        <v>20</v>
      </c>
      <c r="FE105">
        <v>-0.11111111111111116</v>
      </c>
      <c r="FF105">
        <v>22</v>
      </c>
      <c r="FG105">
        <v>22</v>
      </c>
      <c r="FH105">
        <v>16</v>
      </c>
      <c r="FI105">
        <v>-0.82222222222222463</v>
      </c>
      <c r="FJ105">
        <v>26</v>
      </c>
      <c r="FK105">
        <v>-27.444444444444439</v>
      </c>
      <c r="FL105">
        <v>24</v>
      </c>
      <c r="FM105">
        <v>-0.99999999999999956</v>
      </c>
      <c r="FN105">
        <v>17</v>
      </c>
      <c r="FO105">
        <v>17</v>
      </c>
      <c r="FP105">
        <v>12</v>
      </c>
      <c r="FQ105">
        <v>1.51111111111111</v>
      </c>
      <c r="FR105">
        <v>22</v>
      </c>
      <c r="FS105">
        <v>-6.2222222222222188</v>
      </c>
      <c r="FT105">
        <v>17</v>
      </c>
      <c r="FU105">
        <v>-0.22222222222222174</v>
      </c>
      <c r="FV105">
        <v>15</v>
      </c>
      <c r="FW105">
        <v>16</v>
      </c>
      <c r="FX105">
        <v>12</v>
      </c>
      <c r="FY105">
        <v>0.54444444444444307</v>
      </c>
      <c r="FZ105">
        <v>19</v>
      </c>
      <c r="GA105">
        <v>-1.4444444444444429</v>
      </c>
      <c r="GB105">
        <v>17</v>
      </c>
      <c r="GC105">
        <v>0.11111111111111101</v>
      </c>
      <c r="GD105">
        <v>26</v>
      </c>
      <c r="GE105">
        <v>27</v>
      </c>
      <c r="GF105">
        <v>25</v>
      </c>
      <c r="GG105">
        <v>-2.8777777777777778</v>
      </c>
      <c r="GH105">
        <v>32</v>
      </c>
      <c r="GI105">
        <v>-19.777777777777779</v>
      </c>
      <c r="GJ105">
        <v>24</v>
      </c>
      <c r="GK105">
        <v>-0.88888888888888884</v>
      </c>
      <c r="GL105">
        <v>14</v>
      </c>
      <c r="GM105">
        <v>13.333333333333334</v>
      </c>
      <c r="GN105">
        <v>15</v>
      </c>
      <c r="GO105">
        <v>-0.7444444444444448</v>
      </c>
      <c r="GP105">
        <v>18</v>
      </c>
      <c r="GQ105">
        <v>-5.2222222222222188</v>
      </c>
      <c r="GR105">
        <v>7</v>
      </c>
      <c r="GS105">
        <v>0.77777777777777801</v>
      </c>
      <c r="GT105">
        <v>5</v>
      </c>
      <c r="GU105">
        <v>6.333333333333333</v>
      </c>
      <c r="GV105">
        <v>11</v>
      </c>
      <c r="GW105">
        <v>1.1000000000000008</v>
      </c>
      <c r="GX105">
        <v>4</v>
      </c>
      <c r="GY105">
        <v>21.000000000000004</v>
      </c>
      <c r="GZ105">
        <v>4</v>
      </c>
      <c r="HA105">
        <v>1.7777777777777779</v>
      </c>
      <c r="HB105">
        <v>7</v>
      </c>
      <c r="HC105">
        <v>7.5</v>
      </c>
      <c r="HD105">
        <v>9</v>
      </c>
      <c r="HE105">
        <v>1.5555555555555556</v>
      </c>
      <c r="HF105">
        <v>6</v>
      </c>
      <c r="HG105">
        <v>0.55555555555555558</v>
      </c>
      <c r="HH105">
        <v>1.3333333333333333</v>
      </c>
      <c r="HI105">
        <v>21</v>
      </c>
      <c r="HJ105">
        <v>18.5</v>
      </c>
      <c r="HK105">
        <v>26</v>
      </c>
      <c r="HL105">
        <v>-3.7169487348827357E-2</v>
      </c>
      <c r="HM105">
        <v>15</v>
      </c>
      <c r="HN105">
        <v>-3.9984140414556528E-3</v>
      </c>
      <c r="HO105">
        <v>10</v>
      </c>
      <c r="HP105">
        <v>-6.8430335097001804E-2</v>
      </c>
      <c r="HQ105">
        <v>23</v>
      </c>
      <c r="HR105">
        <v>-1.6666666666666672</v>
      </c>
      <c r="HS105">
        <v>3.8888888888888928</v>
      </c>
      <c r="HT105">
        <v>-0.33333333333333454</v>
      </c>
      <c r="HU105">
        <v>0.44444444444444448</v>
      </c>
      <c r="HV105">
        <v>-12.666666666666666</v>
      </c>
      <c r="HW105">
        <v>-17.777777777777771</v>
      </c>
      <c r="HX105">
        <v>8.8888888888888928</v>
      </c>
      <c r="HY105">
        <v>-6.333333333333333</v>
      </c>
      <c r="HZ105">
        <v>2.5555555555555554</v>
      </c>
      <c r="IA105">
        <v>4</v>
      </c>
      <c r="IB105">
        <v>5.5666666666666638</v>
      </c>
      <c r="IC105">
        <v>2.6755555555555546</v>
      </c>
      <c r="ID105">
        <v>-26.666666666666664</v>
      </c>
      <c r="IE105">
        <v>29</v>
      </c>
      <c r="IF105">
        <v>-0.33055555555555605</v>
      </c>
      <c r="IG105">
        <v>0.77777777777777835</v>
      </c>
    </row>
    <row r="106" spans="1:241" x14ac:dyDescent="0.2">
      <c r="A106" s="19">
        <v>44108</v>
      </c>
      <c r="B106" s="13" t="s">
        <v>417</v>
      </c>
      <c r="C106" s="41" t="s">
        <v>291</v>
      </c>
      <c r="D106" s="14" t="s">
        <v>281</v>
      </c>
      <c r="E106">
        <v>36.4</v>
      </c>
      <c r="F106">
        <v>25.2</v>
      </c>
      <c r="G106">
        <v>4.9000000000000004</v>
      </c>
      <c r="H106">
        <v>17.2</v>
      </c>
      <c r="I106">
        <v>-3</v>
      </c>
      <c r="J106">
        <v>56</v>
      </c>
      <c r="K106" t="s">
        <v>110</v>
      </c>
      <c r="L106" t="s">
        <v>291</v>
      </c>
      <c r="M106">
        <v>13</v>
      </c>
      <c r="N106">
        <v>0.34666666666666518</v>
      </c>
      <c r="O106">
        <v>5</v>
      </c>
      <c r="P106">
        <v>8.75</v>
      </c>
      <c r="Q106">
        <v>10</v>
      </c>
      <c r="R106">
        <v>3.1777777777777763</v>
      </c>
      <c r="S106">
        <v>7</v>
      </c>
      <c r="T106">
        <v>2.7777777777777786</v>
      </c>
      <c r="U106">
        <v>10</v>
      </c>
      <c r="V106">
        <v>7.5555555555555571</v>
      </c>
      <c r="W106">
        <v>8</v>
      </c>
      <c r="X106">
        <v>1.1111111111111112</v>
      </c>
      <c r="Y106">
        <v>3</v>
      </c>
      <c r="Z106">
        <v>5.333333333333333</v>
      </c>
      <c r="AA106">
        <v>5</v>
      </c>
      <c r="AB106">
        <v>5.644444444444443</v>
      </c>
      <c r="AC106">
        <v>3</v>
      </c>
      <c r="AD106">
        <v>4.666666666666667</v>
      </c>
      <c r="AE106">
        <v>6</v>
      </c>
      <c r="AF106">
        <v>14.555555555555557</v>
      </c>
      <c r="AG106">
        <v>5</v>
      </c>
      <c r="AH106">
        <v>1.8888888888888891</v>
      </c>
      <c r="AI106">
        <v>28</v>
      </c>
      <c r="AJ106">
        <v>24</v>
      </c>
      <c r="AK106">
        <v>27</v>
      </c>
      <c r="AL106">
        <v>-2.4666666666666668</v>
      </c>
      <c r="AM106">
        <v>22</v>
      </c>
      <c r="AN106">
        <v>-1.8888888888888886</v>
      </c>
      <c r="AO106">
        <v>22</v>
      </c>
      <c r="AP106">
        <v>-7</v>
      </c>
      <c r="AQ106">
        <v>23</v>
      </c>
      <c r="AR106">
        <v>-0.77777777777777779</v>
      </c>
      <c r="AS106">
        <v>12</v>
      </c>
      <c r="AT106">
        <v>12.666666666666666</v>
      </c>
      <c r="AU106">
        <v>14</v>
      </c>
      <c r="AV106">
        <v>1.9555555555555553</v>
      </c>
      <c r="AW106">
        <v>12</v>
      </c>
      <c r="AX106">
        <v>11.888888888888884</v>
      </c>
      <c r="AY106">
        <v>12</v>
      </c>
      <c r="AZ106">
        <v>1.2222222222222223</v>
      </c>
      <c r="BA106">
        <v>18</v>
      </c>
      <c r="BB106">
        <v>19</v>
      </c>
      <c r="BC106">
        <v>22</v>
      </c>
      <c r="BD106">
        <v>-2.5555555555555554</v>
      </c>
      <c r="BE106">
        <v>27</v>
      </c>
      <c r="BF106">
        <v>-14.444444444444443</v>
      </c>
      <c r="BG106">
        <v>8</v>
      </c>
      <c r="BH106">
        <v>1.2222222222222225</v>
      </c>
      <c r="BI106">
        <v>11</v>
      </c>
      <c r="BJ106">
        <v>12</v>
      </c>
      <c r="BK106">
        <v>13</v>
      </c>
      <c r="BL106">
        <v>0.96666666666666623</v>
      </c>
      <c r="BM106">
        <v>7</v>
      </c>
      <c r="BN106">
        <v>14.333333333333329</v>
      </c>
      <c r="BO106">
        <v>16</v>
      </c>
      <c r="BP106">
        <v>0</v>
      </c>
      <c r="BQ106">
        <v>8</v>
      </c>
      <c r="BR106">
        <v>9.3333333333333339</v>
      </c>
      <c r="BS106">
        <v>4</v>
      </c>
      <c r="BT106">
        <v>3.5444444444444443</v>
      </c>
      <c r="BU106">
        <v>6</v>
      </c>
      <c r="BV106">
        <v>11.999999999999998</v>
      </c>
      <c r="BW106">
        <v>18</v>
      </c>
      <c r="BX106">
        <v>-1.4802973661668753E-16</v>
      </c>
      <c r="BY106">
        <v>14</v>
      </c>
      <c r="BZ106">
        <v>16</v>
      </c>
      <c r="CA106">
        <v>13</v>
      </c>
      <c r="CB106">
        <v>0.97777777777777786</v>
      </c>
      <c r="CC106">
        <v>20</v>
      </c>
      <c r="CD106">
        <v>-8.0000000000000053</v>
      </c>
      <c r="CE106">
        <v>15</v>
      </c>
      <c r="CF106">
        <v>0.44444444444444403</v>
      </c>
      <c r="CG106">
        <v>14</v>
      </c>
      <c r="CH106">
        <v>13.666666666666666</v>
      </c>
      <c r="CI106">
        <v>18</v>
      </c>
      <c r="CJ106">
        <v>-0.81111111111111001</v>
      </c>
      <c r="CK106">
        <v>9</v>
      </c>
      <c r="CL106">
        <v>9.6666666666666661</v>
      </c>
      <c r="CM106">
        <v>14</v>
      </c>
      <c r="CN106">
        <v>0.77777777777777801</v>
      </c>
      <c r="CO106">
        <v>9</v>
      </c>
      <c r="CP106">
        <v>10</v>
      </c>
      <c r="CQ106">
        <v>10</v>
      </c>
      <c r="CR106">
        <v>0.88888888888888873</v>
      </c>
      <c r="CS106">
        <v>10</v>
      </c>
      <c r="CT106">
        <v>0.33333333333333331</v>
      </c>
      <c r="CU106">
        <v>-1.6666666666666672</v>
      </c>
      <c r="CV106">
        <v>12</v>
      </c>
      <c r="CW106">
        <v>14</v>
      </c>
      <c r="CX106">
        <v>14</v>
      </c>
      <c r="CY106">
        <v>1.0660175815746612E-2</v>
      </c>
      <c r="CZ106">
        <v>22</v>
      </c>
      <c r="DA106">
        <v>-4.5788490179552504E-3</v>
      </c>
      <c r="DB106">
        <v>10</v>
      </c>
      <c r="DC106">
        <v>-5.3744403744403778E-2</v>
      </c>
      <c r="DD106">
        <v>10</v>
      </c>
      <c r="DE106">
        <v>1.3333333333333333</v>
      </c>
      <c r="DF106">
        <v>5.5555555555555571</v>
      </c>
      <c r="DG106">
        <v>0.66666666666666663</v>
      </c>
      <c r="DH106">
        <v>-0.77777777777777779</v>
      </c>
      <c r="DI106">
        <v>46.777777777777771</v>
      </c>
      <c r="DJ106">
        <v>37.555555555555543</v>
      </c>
      <c r="DK106">
        <v>9.5555555555555571</v>
      </c>
      <c r="DL106">
        <v>-2.1111111111111112</v>
      </c>
      <c r="DM106">
        <v>1.7777777777777775</v>
      </c>
      <c r="DN106">
        <v>22</v>
      </c>
      <c r="DO106">
        <v>-2.8311111111111114</v>
      </c>
      <c r="DP106">
        <v>-1.290666666666666</v>
      </c>
      <c r="DQ106">
        <v>27.999999999999986</v>
      </c>
      <c r="DR106">
        <v>11</v>
      </c>
      <c r="DS106">
        <v>0.69472222222222191</v>
      </c>
      <c r="DT106">
        <v>2.0000000000000004</v>
      </c>
      <c r="DU106">
        <v>0.98416666666666641</v>
      </c>
      <c r="DV106">
        <v>-0.33055555555555605</v>
      </c>
      <c r="DW106" t="s">
        <v>281</v>
      </c>
      <c r="DX106" t="s">
        <v>266</v>
      </c>
      <c r="DY106" t="s">
        <v>498</v>
      </c>
      <c r="DZ106">
        <v>4</v>
      </c>
      <c r="EA106">
        <v>4.38</v>
      </c>
      <c r="EB106">
        <v>18</v>
      </c>
      <c r="EC106">
        <v>17</v>
      </c>
      <c r="ED106">
        <v>10</v>
      </c>
      <c r="EE106">
        <v>1.6333333333333326</v>
      </c>
      <c r="EF106">
        <v>26</v>
      </c>
      <c r="EG106">
        <v>-1.6666666666666661</v>
      </c>
      <c r="EH106">
        <v>26</v>
      </c>
      <c r="EI106">
        <v>-14.888888888888886</v>
      </c>
      <c r="EJ106">
        <v>6</v>
      </c>
      <c r="EK106">
        <v>1.3333333333333333</v>
      </c>
      <c r="EL106">
        <v>16</v>
      </c>
      <c r="EM106">
        <v>17.5</v>
      </c>
      <c r="EN106">
        <v>16</v>
      </c>
      <c r="EO106">
        <v>-0.26666666666666689</v>
      </c>
      <c r="EP106">
        <v>23</v>
      </c>
      <c r="EQ106">
        <v>-1.3333333333333328</v>
      </c>
      <c r="ER106">
        <v>19</v>
      </c>
      <c r="ES106">
        <v>-4.333333333333333</v>
      </c>
      <c r="ET106">
        <v>12</v>
      </c>
      <c r="EU106">
        <v>0.44444444444444436</v>
      </c>
      <c r="EV106">
        <v>20</v>
      </c>
      <c r="EW106">
        <v>18.333333333333332</v>
      </c>
      <c r="EX106">
        <v>5</v>
      </c>
      <c r="EY106">
        <v>1.8999999999999995</v>
      </c>
      <c r="EZ106">
        <v>19</v>
      </c>
      <c r="FA106">
        <v>-0.3333333333333332</v>
      </c>
      <c r="FB106">
        <v>31</v>
      </c>
      <c r="FC106">
        <v>-10.555555555555554</v>
      </c>
      <c r="FD106">
        <v>3</v>
      </c>
      <c r="FE106">
        <v>0.88888888888888895</v>
      </c>
      <c r="FF106">
        <v>5</v>
      </c>
      <c r="FG106">
        <v>6</v>
      </c>
      <c r="FH106">
        <v>6</v>
      </c>
      <c r="FI106">
        <v>5.466666666666665</v>
      </c>
      <c r="FJ106">
        <v>6</v>
      </c>
      <c r="FK106">
        <v>22.666666666666664</v>
      </c>
      <c r="FL106">
        <v>6</v>
      </c>
      <c r="FM106">
        <v>1.8888888888888888</v>
      </c>
      <c r="FN106">
        <v>12</v>
      </c>
      <c r="FO106">
        <v>12</v>
      </c>
      <c r="FP106">
        <v>9</v>
      </c>
      <c r="FQ106">
        <v>1.8777777777777764</v>
      </c>
      <c r="FR106">
        <v>8</v>
      </c>
      <c r="FS106">
        <v>12.555555555555552</v>
      </c>
      <c r="FT106">
        <v>19</v>
      </c>
      <c r="FU106">
        <v>-0.33333333333333331</v>
      </c>
      <c r="FV106">
        <v>6</v>
      </c>
      <c r="FW106">
        <v>7</v>
      </c>
      <c r="FX106">
        <v>7</v>
      </c>
      <c r="FY106">
        <v>3.5222222222222217</v>
      </c>
      <c r="FZ106">
        <v>12</v>
      </c>
      <c r="GA106">
        <v>3</v>
      </c>
      <c r="GB106">
        <v>2</v>
      </c>
      <c r="GC106">
        <v>1.7777777777777777</v>
      </c>
      <c r="GD106">
        <v>11</v>
      </c>
      <c r="GE106">
        <v>12</v>
      </c>
      <c r="GF106">
        <v>16</v>
      </c>
      <c r="GG106">
        <v>6.6666666666666721E-2</v>
      </c>
      <c r="GH106">
        <v>8</v>
      </c>
      <c r="GI106">
        <v>7.1111111111111107</v>
      </c>
      <c r="GJ106">
        <v>12</v>
      </c>
      <c r="GK106">
        <v>0.44444444444444448</v>
      </c>
      <c r="GL106">
        <v>2</v>
      </c>
      <c r="GM106">
        <v>1.6666666666666667</v>
      </c>
      <c r="GN106">
        <v>1</v>
      </c>
      <c r="GO106">
        <v>13.511111111111111</v>
      </c>
      <c r="GP106">
        <v>2</v>
      </c>
      <c r="GQ106">
        <v>54</v>
      </c>
      <c r="GR106">
        <v>2</v>
      </c>
      <c r="GS106">
        <v>4.1111111111111107</v>
      </c>
      <c r="GT106">
        <v>2</v>
      </c>
      <c r="GU106">
        <v>3</v>
      </c>
      <c r="GV106">
        <v>3</v>
      </c>
      <c r="GW106">
        <v>8.0222222222222239</v>
      </c>
      <c r="GX106">
        <v>3</v>
      </c>
      <c r="GY106">
        <v>21.333333333333332</v>
      </c>
      <c r="GZ106">
        <v>3</v>
      </c>
      <c r="HA106">
        <v>2.4444444444444442</v>
      </c>
      <c r="HB106">
        <v>26</v>
      </c>
      <c r="HC106">
        <v>26</v>
      </c>
      <c r="HD106">
        <v>21</v>
      </c>
      <c r="HE106">
        <v>-1.1111111111111116</v>
      </c>
      <c r="HF106">
        <v>31</v>
      </c>
      <c r="HG106">
        <v>-0.88888888888888895</v>
      </c>
      <c r="HH106">
        <v>-2.5555555555555554</v>
      </c>
      <c r="HI106">
        <v>27</v>
      </c>
      <c r="HJ106">
        <v>22</v>
      </c>
      <c r="HK106">
        <v>18</v>
      </c>
      <c r="HL106">
        <v>-1.9003883375279741E-2</v>
      </c>
      <c r="HM106">
        <v>31</v>
      </c>
      <c r="HN106">
        <v>-3.0822487280746286E-2</v>
      </c>
      <c r="HO106">
        <v>20</v>
      </c>
      <c r="HP106">
        <v>3.1271197937864571E-2</v>
      </c>
      <c r="HQ106">
        <v>19</v>
      </c>
      <c r="HR106">
        <v>-0.66666666666666652</v>
      </c>
      <c r="HS106">
        <v>3.4444444444444451</v>
      </c>
      <c r="HT106">
        <v>6.5555555555555545</v>
      </c>
      <c r="HU106">
        <v>-1.5555555555555556</v>
      </c>
      <c r="HV106">
        <v>27.333333333333332</v>
      </c>
      <c r="HW106">
        <v>48.999999999999993</v>
      </c>
      <c r="HX106">
        <v>-19.555555555555557</v>
      </c>
      <c r="HY106">
        <v>6.4444444444444455</v>
      </c>
      <c r="HZ106">
        <v>-8.5555555555555554</v>
      </c>
      <c r="IA106">
        <v>12</v>
      </c>
      <c r="IB106">
        <v>2.746666666666667</v>
      </c>
      <c r="IC106">
        <v>2.7571111111111115</v>
      </c>
      <c r="ID106">
        <v>68.555555555555543</v>
      </c>
      <c r="IE106">
        <v>21</v>
      </c>
      <c r="IF106">
        <v>2.298888888888889</v>
      </c>
      <c r="IG106">
        <v>4.333333333333333</v>
      </c>
    </row>
    <row r="107" spans="1:241" x14ac:dyDescent="0.2">
      <c r="A107" s="19">
        <v>44108</v>
      </c>
      <c r="B107" s="13" t="s">
        <v>417</v>
      </c>
      <c r="C107" s="41" t="s">
        <v>278</v>
      </c>
      <c r="D107" s="14" t="s">
        <v>298</v>
      </c>
      <c r="E107">
        <v>14.1</v>
      </c>
      <c r="F107">
        <v>26.3</v>
      </c>
      <c r="G107">
        <v>1.9</v>
      </c>
      <c r="H107">
        <v>8.5</v>
      </c>
      <c r="I107">
        <v>1.5</v>
      </c>
      <c r="J107">
        <v>41</v>
      </c>
      <c r="L107" t="s">
        <v>278</v>
      </c>
      <c r="M107">
        <v>26</v>
      </c>
      <c r="N107">
        <v>-2.8355555555555565</v>
      </c>
      <c r="O107">
        <v>26</v>
      </c>
      <c r="P107">
        <v>23.75</v>
      </c>
      <c r="Q107">
        <v>29</v>
      </c>
      <c r="R107">
        <v>-6.7444444444444436</v>
      </c>
      <c r="S107">
        <v>21</v>
      </c>
      <c r="T107">
        <v>-1.5555555555555556</v>
      </c>
      <c r="U107">
        <v>15</v>
      </c>
      <c r="V107">
        <v>-2.8888888888888875</v>
      </c>
      <c r="W107">
        <v>30</v>
      </c>
      <c r="X107">
        <v>-2.1111111111111107</v>
      </c>
      <c r="Y107">
        <v>26</v>
      </c>
      <c r="Z107">
        <v>22.666666666666668</v>
      </c>
      <c r="AA107">
        <v>27</v>
      </c>
      <c r="AB107">
        <v>-5.1111111111111107</v>
      </c>
      <c r="AC107">
        <v>18</v>
      </c>
      <c r="AD107">
        <v>-1.3333333333333333</v>
      </c>
      <c r="AE107">
        <v>16</v>
      </c>
      <c r="AF107">
        <v>-4.3333333333333313</v>
      </c>
      <c r="AG107">
        <v>25</v>
      </c>
      <c r="AH107">
        <v>-1.1111111111111109</v>
      </c>
      <c r="AI107">
        <v>25</v>
      </c>
      <c r="AJ107">
        <v>21.666666666666668</v>
      </c>
      <c r="AK107">
        <v>24</v>
      </c>
      <c r="AL107">
        <v>-1.6333333333333331</v>
      </c>
      <c r="AM107">
        <v>16</v>
      </c>
      <c r="AN107">
        <v>-0.22222222222222232</v>
      </c>
      <c r="AO107">
        <v>15</v>
      </c>
      <c r="AP107">
        <v>1.444444444444444</v>
      </c>
      <c r="AQ107">
        <v>26</v>
      </c>
      <c r="AR107">
        <v>-1</v>
      </c>
      <c r="AS107">
        <v>22</v>
      </c>
      <c r="AT107">
        <v>21.333333333333332</v>
      </c>
      <c r="AU107">
        <v>30</v>
      </c>
      <c r="AV107">
        <v>-9.7444444444444454</v>
      </c>
      <c r="AW107">
        <v>23</v>
      </c>
      <c r="AX107">
        <v>-23.888888888888889</v>
      </c>
      <c r="AY107">
        <v>11</v>
      </c>
      <c r="AZ107">
        <v>1.3333333333333335</v>
      </c>
      <c r="BA107">
        <v>18</v>
      </c>
      <c r="BB107">
        <v>19</v>
      </c>
      <c r="BC107">
        <v>28</v>
      </c>
      <c r="BD107">
        <v>-4.2777777777777795</v>
      </c>
      <c r="BE107">
        <v>18</v>
      </c>
      <c r="BF107">
        <v>-4.5555555555555571</v>
      </c>
      <c r="BG107">
        <v>11</v>
      </c>
      <c r="BH107">
        <v>0.88888888888888873</v>
      </c>
      <c r="BI107">
        <v>32</v>
      </c>
      <c r="BJ107">
        <v>30.666666666666668</v>
      </c>
      <c r="BK107">
        <v>32</v>
      </c>
      <c r="BL107">
        <v>-5.8</v>
      </c>
      <c r="BM107">
        <v>32</v>
      </c>
      <c r="BN107">
        <v>-26.888888888888886</v>
      </c>
      <c r="BO107">
        <v>28</v>
      </c>
      <c r="BP107">
        <v>-1.3333333333333333</v>
      </c>
      <c r="BQ107">
        <v>5</v>
      </c>
      <c r="BR107">
        <v>8</v>
      </c>
      <c r="BS107">
        <v>12</v>
      </c>
      <c r="BT107">
        <v>0.33333333333333331</v>
      </c>
      <c r="BU107">
        <v>9</v>
      </c>
      <c r="BV107">
        <v>7.5555555555555545</v>
      </c>
      <c r="BW107">
        <v>3</v>
      </c>
      <c r="BX107">
        <v>1.7777777777777779</v>
      </c>
      <c r="BY107">
        <v>28</v>
      </c>
      <c r="BZ107">
        <v>26.666666666666668</v>
      </c>
      <c r="CA107">
        <v>31</v>
      </c>
      <c r="CB107">
        <v>-6.1222222222222236</v>
      </c>
      <c r="CC107">
        <v>31</v>
      </c>
      <c r="CD107">
        <v>-29</v>
      </c>
      <c r="CE107">
        <v>18</v>
      </c>
      <c r="CF107">
        <v>-0.11111111111111072</v>
      </c>
      <c r="CG107">
        <v>3</v>
      </c>
      <c r="CH107">
        <v>3.6666666666666665</v>
      </c>
      <c r="CI107">
        <v>3</v>
      </c>
      <c r="CJ107">
        <v>5.5999999999999988</v>
      </c>
      <c r="CK107">
        <v>3</v>
      </c>
      <c r="CL107">
        <v>22.666666666666668</v>
      </c>
      <c r="CM107">
        <v>5</v>
      </c>
      <c r="CN107">
        <v>1.7777777777777777</v>
      </c>
      <c r="CO107">
        <v>17</v>
      </c>
      <c r="CP107">
        <v>17</v>
      </c>
      <c r="CQ107">
        <v>19</v>
      </c>
      <c r="CR107">
        <v>-0.44444444444444464</v>
      </c>
      <c r="CS107">
        <v>15</v>
      </c>
      <c r="CT107">
        <v>0.11111111111111116</v>
      </c>
      <c r="CU107">
        <v>-0.22222222222222232</v>
      </c>
      <c r="CV107">
        <v>1</v>
      </c>
      <c r="CW107">
        <v>7.75</v>
      </c>
      <c r="CX107">
        <v>11</v>
      </c>
      <c r="CY107">
        <v>1.7361411360159822E-2</v>
      </c>
      <c r="CZ107">
        <v>11</v>
      </c>
      <c r="DA107">
        <v>3.9130668385987458E-3</v>
      </c>
      <c r="DB107">
        <v>3</v>
      </c>
      <c r="DC107">
        <v>-0.18724082934609246</v>
      </c>
      <c r="DD107">
        <v>6</v>
      </c>
      <c r="DE107">
        <v>3</v>
      </c>
      <c r="DF107">
        <v>1.6666666666666643</v>
      </c>
      <c r="DG107">
        <v>-5.666666666666667</v>
      </c>
      <c r="DH107">
        <v>-0.77777777777777779</v>
      </c>
      <c r="DI107">
        <v>-40.888888888888893</v>
      </c>
      <c r="DJ107">
        <v>-28.444444444444457</v>
      </c>
      <c r="DK107">
        <v>-2.7777777777777737</v>
      </c>
      <c r="DL107">
        <v>-6.8888888888888884</v>
      </c>
      <c r="DM107">
        <v>-2.7777777777777772</v>
      </c>
      <c r="DN107">
        <v>10</v>
      </c>
      <c r="DO107">
        <v>3.9088888888888871</v>
      </c>
      <c r="DP107">
        <v>1.9762222222222212</v>
      </c>
      <c r="DQ107">
        <v>-25.666666666666682</v>
      </c>
      <c r="DR107">
        <v>23</v>
      </c>
      <c r="DS107">
        <v>-1.771111111111112</v>
      </c>
      <c r="DT107">
        <v>3.1111111111111112</v>
      </c>
      <c r="DU107">
        <v>-0.58013888888888898</v>
      </c>
      <c r="DV107">
        <v>-4.1944444444444451E-2</v>
      </c>
      <c r="DW107" t="s">
        <v>298</v>
      </c>
      <c r="DX107" t="s">
        <v>262</v>
      </c>
      <c r="DY107" t="s">
        <v>473</v>
      </c>
      <c r="DZ107">
        <v>22</v>
      </c>
      <c r="EA107">
        <v>-2.6577777777777798</v>
      </c>
      <c r="EB107">
        <v>20</v>
      </c>
      <c r="EC107">
        <v>19</v>
      </c>
      <c r="ED107">
        <v>25</v>
      </c>
      <c r="EE107">
        <v>-4.0555555555555554</v>
      </c>
      <c r="EF107">
        <v>23</v>
      </c>
      <c r="EG107">
        <v>-1.0000000000000004</v>
      </c>
      <c r="EH107">
        <v>14</v>
      </c>
      <c r="EI107">
        <v>-6.2222222222222232</v>
      </c>
      <c r="EJ107">
        <v>14</v>
      </c>
      <c r="EK107">
        <v>0.11111111111111127</v>
      </c>
      <c r="EL107">
        <v>27</v>
      </c>
      <c r="EM107">
        <v>23.25</v>
      </c>
      <c r="EN107">
        <v>26</v>
      </c>
      <c r="EO107">
        <v>-3.6</v>
      </c>
      <c r="EP107">
        <v>29</v>
      </c>
      <c r="EQ107">
        <v>-2.7777777777777781</v>
      </c>
      <c r="ER107">
        <v>12</v>
      </c>
      <c r="ES107">
        <v>1.3333333333333333</v>
      </c>
      <c r="ET107">
        <v>26</v>
      </c>
      <c r="EU107">
        <v>-0.77777777777777768</v>
      </c>
      <c r="EV107">
        <v>16</v>
      </c>
      <c r="EW107">
        <v>16.666666666666668</v>
      </c>
      <c r="EX107">
        <v>19</v>
      </c>
      <c r="EY107">
        <v>-0.45555555555555544</v>
      </c>
      <c r="EZ107">
        <v>4</v>
      </c>
      <c r="FA107">
        <v>1.7777777777777777</v>
      </c>
      <c r="FB107">
        <v>27</v>
      </c>
      <c r="FC107">
        <v>-7.5555555555555562</v>
      </c>
      <c r="FD107">
        <v>3</v>
      </c>
      <c r="FE107">
        <v>0.88888888888888895</v>
      </c>
      <c r="FF107">
        <v>25</v>
      </c>
      <c r="FG107">
        <v>22.666666666666668</v>
      </c>
      <c r="FH107">
        <v>25</v>
      </c>
      <c r="FI107">
        <v>-4.1888888888888882</v>
      </c>
      <c r="FJ107">
        <v>20</v>
      </c>
      <c r="FK107">
        <v>-12.333333333333336</v>
      </c>
      <c r="FL107">
        <v>23</v>
      </c>
      <c r="FM107">
        <v>-0.88888888888888884</v>
      </c>
      <c r="FN107">
        <v>24</v>
      </c>
      <c r="FO107">
        <v>20.333333333333332</v>
      </c>
      <c r="FP107">
        <v>20</v>
      </c>
      <c r="FQ107">
        <v>-1.4444444444444438</v>
      </c>
      <c r="FR107">
        <v>16</v>
      </c>
      <c r="FS107">
        <v>-1.1111111111111143</v>
      </c>
      <c r="FT107">
        <v>25</v>
      </c>
      <c r="FU107">
        <v>-1.1111111111111109</v>
      </c>
      <c r="FV107">
        <v>24</v>
      </c>
      <c r="FW107">
        <v>22.666666666666668</v>
      </c>
      <c r="FX107">
        <v>24</v>
      </c>
      <c r="FY107">
        <v>-2.4999999999999996</v>
      </c>
      <c r="FZ107">
        <v>24</v>
      </c>
      <c r="GA107">
        <v>-8.4444444444444411</v>
      </c>
      <c r="GB107">
        <v>20</v>
      </c>
      <c r="GC107">
        <v>-0.55555555555555569</v>
      </c>
      <c r="GD107">
        <v>16</v>
      </c>
      <c r="GE107">
        <v>14.666666666666666</v>
      </c>
      <c r="GF107">
        <v>18</v>
      </c>
      <c r="GG107">
        <v>-0.24444444444444505</v>
      </c>
      <c r="GH107">
        <v>18</v>
      </c>
      <c r="GI107">
        <v>-2.7777777777777799</v>
      </c>
      <c r="GJ107">
        <v>8</v>
      </c>
      <c r="GK107">
        <v>0.77777777777777768</v>
      </c>
      <c r="GL107">
        <v>13</v>
      </c>
      <c r="GM107">
        <v>13</v>
      </c>
      <c r="GN107">
        <v>11</v>
      </c>
      <c r="GO107">
        <v>1.8444444444444457</v>
      </c>
      <c r="GP107">
        <v>13</v>
      </c>
      <c r="GQ107">
        <v>1.7777777777777761</v>
      </c>
      <c r="GR107">
        <v>15</v>
      </c>
      <c r="GS107">
        <v>0.22222222222222202</v>
      </c>
      <c r="GT107">
        <v>13</v>
      </c>
      <c r="GU107">
        <v>15.333333333333334</v>
      </c>
      <c r="GV107">
        <v>8</v>
      </c>
      <c r="GW107">
        <v>2.5111111111111111</v>
      </c>
      <c r="GX107">
        <v>20</v>
      </c>
      <c r="GY107">
        <v>-3.8888888888888893</v>
      </c>
      <c r="GZ107">
        <v>18</v>
      </c>
      <c r="HA107">
        <v>-0.11111111111111087</v>
      </c>
      <c r="HB107">
        <v>16</v>
      </c>
      <c r="HC107">
        <v>16.5</v>
      </c>
      <c r="HD107">
        <v>19</v>
      </c>
      <c r="HE107">
        <v>-0.55555555555555569</v>
      </c>
      <c r="HF107">
        <v>14</v>
      </c>
      <c r="HG107">
        <v>0.22222222222222202</v>
      </c>
      <c r="HH107">
        <v>4</v>
      </c>
      <c r="HI107">
        <v>7</v>
      </c>
      <c r="HJ107">
        <v>12</v>
      </c>
      <c r="HK107">
        <v>10</v>
      </c>
      <c r="HL107">
        <v>1.7326893450012676E-2</v>
      </c>
      <c r="HM107">
        <v>20</v>
      </c>
      <c r="HN107">
        <v>-7.494463458272353E-3</v>
      </c>
      <c r="HO107">
        <v>7</v>
      </c>
      <c r="HP107">
        <v>-0.108987308987309</v>
      </c>
      <c r="HQ107">
        <v>11</v>
      </c>
      <c r="HR107">
        <v>0.22222222222222232</v>
      </c>
      <c r="HS107">
        <v>0.66666666666666663</v>
      </c>
      <c r="HT107">
        <v>-1.3333333333333333</v>
      </c>
      <c r="HU107">
        <v>3.5555555555555558</v>
      </c>
      <c r="HV107">
        <v>-30.000000000000018</v>
      </c>
      <c r="HW107">
        <v>-45.444444444444436</v>
      </c>
      <c r="HX107">
        <v>13.555555555555557</v>
      </c>
      <c r="HY107">
        <v>-5.666666666666667</v>
      </c>
      <c r="HZ107">
        <v>7.5555555555555545</v>
      </c>
      <c r="IA107">
        <v>16</v>
      </c>
      <c r="IB107">
        <v>1.3977777777777756</v>
      </c>
      <c r="IC107">
        <v>1.1606666666666661</v>
      </c>
      <c r="ID107">
        <v>-58.999999999999993</v>
      </c>
      <c r="IE107">
        <v>17</v>
      </c>
      <c r="IF107">
        <v>-1.1183333333333336</v>
      </c>
      <c r="IG107">
        <v>-0.99999999999999967</v>
      </c>
    </row>
    <row r="108" spans="1:241" x14ac:dyDescent="0.2">
      <c r="A108" s="19">
        <v>44108</v>
      </c>
      <c r="B108" s="13" t="s">
        <v>417</v>
      </c>
      <c r="C108" s="41" t="s">
        <v>299</v>
      </c>
      <c r="D108" s="14" t="s">
        <v>307</v>
      </c>
      <c r="E108">
        <v>16.2</v>
      </c>
      <c r="F108">
        <v>7.7</v>
      </c>
      <c r="G108">
        <v>1.9</v>
      </c>
      <c r="H108">
        <v>10.9</v>
      </c>
      <c r="I108">
        <v>3</v>
      </c>
      <c r="J108">
        <v>51.5</v>
      </c>
      <c r="L108" t="s">
        <v>299</v>
      </c>
      <c r="M108">
        <v>11</v>
      </c>
      <c r="N108">
        <v>0.58444444444444399</v>
      </c>
      <c r="O108">
        <v>30</v>
      </c>
      <c r="P108">
        <v>25</v>
      </c>
      <c r="Q108">
        <v>31</v>
      </c>
      <c r="R108">
        <v>-8.0444444444444443</v>
      </c>
      <c r="S108">
        <v>17</v>
      </c>
      <c r="T108">
        <v>-0.22222222222222232</v>
      </c>
      <c r="U108">
        <v>26</v>
      </c>
      <c r="V108">
        <v>-13.111111111111109</v>
      </c>
      <c r="W108">
        <v>26</v>
      </c>
      <c r="X108">
        <v>-1.2222222222222221</v>
      </c>
      <c r="Y108">
        <v>28</v>
      </c>
      <c r="Z108">
        <v>23.666666666666668</v>
      </c>
      <c r="AA108">
        <v>31</v>
      </c>
      <c r="AB108">
        <v>-7.9333333333333327</v>
      </c>
      <c r="AC108">
        <v>10</v>
      </c>
      <c r="AD108">
        <v>2</v>
      </c>
      <c r="AE108">
        <v>12</v>
      </c>
      <c r="AF108">
        <v>9.0000000000000018</v>
      </c>
      <c r="AG108">
        <v>28</v>
      </c>
      <c r="AH108">
        <v>-1.3333333333333333</v>
      </c>
      <c r="AI108">
        <v>23</v>
      </c>
      <c r="AJ108">
        <v>21</v>
      </c>
      <c r="AK108">
        <v>17</v>
      </c>
      <c r="AL108">
        <v>-0.1111111111111116</v>
      </c>
      <c r="AM108">
        <v>25</v>
      </c>
      <c r="AN108">
        <v>-2.2222222222222223</v>
      </c>
      <c r="AO108">
        <v>32</v>
      </c>
      <c r="AP108">
        <v>-22.111111111111111</v>
      </c>
      <c r="AQ108">
        <v>14</v>
      </c>
      <c r="AR108">
        <v>0.11111111111111116</v>
      </c>
      <c r="AS108">
        <v>13</v>
      </c>
      <c r="AT108">
        <v>13.666666666666666</v>
      </c>
      <c r="AU108">
        <v>16</v>
      </c>
      <c r="AV108">
        <v>-0.93333333333333279</v>
      </c>
      <c r="AW108">
        <v>17</v>
      </c>
      <c r="AX108">
        <v>-1.3333333333333321</v>
      </c>
      <c r="AY108">
        <v>8</v>
      </c>
      <c r="AZ108">
        <v>1.5555555555555558</v>
      </c>
      <c r="BA108">
        <v>26</v>
      </c>
      <c r="BB108">
        <v>25</v>
      </c>
      <c r="BC108">
        <v>25</v>
      </c>
      <c r="BD108">
        <v>-3.3888888888888888</v>
      </c>
      <c r="BE108">
        <v>31</v>
      </c>
      <c r="BF108">
        <v>-22.111111111111111</v>
      </c>
      <c r="BG108">
        <v>19</v>
      </c>
      <c r="BH108">
        <v>-0.55555555555555536</v>
      </c>
      <c r="BI108">
        <v>4</v>
      </c>
      <c r="BJ108">
        <v>8</v>
      </c>
      <c r="BK108">
        <v>9</v>
      </c>
      <c r="BL108">
        <v>1.5000000000000002</v>
      </c>
      <c r="BM108">
        <v>8</v>
      </c>
      <c r="BN108">
        <v>11.666666666666666</v>
      </c>
      <c r="BO108">
        <v>7</v>
      </c>
      <c r="BP108">
        <v>0.88888888888888895</v>
      </c>
      <c r="BQ108">
        <v>5</v>
      </c>
      <c r="BR108">
        <v>8</v>
      </c>
      <c r="BS108">
        <v>11</v>
      </c>
      <c r="BT108">
        <v>0.95555555555555582</v>
      </c>
      <c r="BU108">
        <v>7</v>
      </c>
      <c r="BV108">
        <v>9.1111111111111125</v>
      </c>
      <c r="BW108">
        <v>6</v>
      </c>
      <c r="BX108">
        <v>1.2222222222222221</v>
      </c>
      <c r="BY108">
        <v>3</v>
      </c>
      <c r="BZ108">
        <v>4</v>
      </c>
      <c r="CA108">
        <v>4</v>
      </c>
      <c r="CB108">
        <v>5.322222222222222</v>
      </c>
      <c r="CC108">
        <v>6</v>
      </c>
      <c r="CD108">
        <v>18.777777777777775</v>
      </c>
      <c r="CE108">
        <v>2</v>
      </c>
      <c r="CF108">
        <v>2.5555555555555554</v>
      </c>
      <c r="CG108">
        <v>9</v>
      </c>
      <c r="CH108">
        <v>9.6666666666666661</v>
      </c>
      <c r="CI108">
        <v>8</v>
      </c>
      <c r="CJ108">
        <v>3.0888888888888886</v>
      </c>
      <c r="CK108">
        <v>6</v>
      </c>
      <c r="CL108">
        <v>17.444444444444446</v>
      </c>
      <c r="CM108">
        <v>15</v>
      </c>
      <c r="CN108">
        <v>0.22222222222222232</v>
      </c>
      <c r="CO108">
        <v>6</v>
      </c>
      <c r="CP108">
        <v>6.5</v>
      </c>
      <c r="CQ108">
        <v>9</v>
      </c>
      <c r="CR108">
        <v>1.2222222222222223</v>
      </c>
      <c r="CS108">
        <v>4</v>
      </c>
      <c r="CT108">
        <v>0.55555555555555547</v>
      </c>
      <c r="CU108">
        <v>-0.55555555555555547</v>
      </c>
      <c r="CV108">
        <v>17</v>
      </c>
      <c r="CW108">
        <v>16.5</v>
      </c>
      <c r="CX108">
        <v>12</v>
      </c>
      <c r="CY108">
        <v>1.5913012960840134E-2</v>
      </c>
      <c r="CZ108">
        <v>10</v>
      </c>
      <c r="DA108">
        <v>4.7836228795662414E-3</v>
      </c>
      <c r="DB108">
        <v>27</v>
      </c>
      <c r="DC108">
        <v>0.11913580246913576</v>
      </c>
      <c r="DD108">
        <v>17</v>
      </c>
      <c r="DE108">
        <v>-0.11111111111111101</v>
      </c>
      <c r="DF108">
        <v>3.3333333333333357</v>
      </c>
      <c r="DG108">
        <v>0.22222222222222263</v>
      </c>
      <c r="DH108">
        <v>0</v>
      </c>
      <c r="DI108">
        <v>4.6666666666666474</v>
      </c>
      <c r="DJ108">
        <v>12.666666666666657</v>
      </c>
      <c r="DK108">
        <v>-3.7777777777777763</v>
      </c>
      <c r="DL108">
        <v>-0.99999999999999989</v>
      </c>
      <c r="DM108">
        <v>-3.2222222222222219</v>
      </c>
      <c r="DN108">
        <v>3</v>
      </c>
      <c r="DO108">
        <v>8.6288888888888877</v>
      </c>
      <c r="DP108">
        <v>4.5702222222222222</v>
      </c>
      <c r="DQ108">
        <v>16.444444444444432</v>
      </c>
      <c r="DR108">
        <v>30</v>
      </c>
      <c r="DS108">
        <v>-0.51027777777777772</v>
      </c>
      <c r="DT108">
        <v>1.7777777777777781</v>
      </c>
      <c r="DU108">
        <v>-0.669027777777778</v>
      </c>
      <c r="DV108">
        <v>-0.68055555555555547</v>
      </c>
      <c r="DW108" t="s">
        <v>307</v>
      </c>
      <c r="DX108" t="s">
        <v>269</v>
      </c>
      <c r="DY108" t="s">
        <v>457</v>
      </c>
      <c r="DZ108">
        <v>9</v>
      </c>
      <c r="EA108">
        <v>2.3066666666666671</v>
      </c>
      <c r="EB108">
        <v>31</v>
      </c>
      <c r="EC108">
        <v>27</v>
      </c>
      <c r="ED108">
        <v>32</v>
      </c>
      <c r="EE108">
        <v>-9.6555555555555586</v>
      </c>
      <c r="EF108">
        <v>15</v>
      </c>
      <c r="EG108">
        <v>0.22222222222222165</v>
      </c>
      <c r="EH108">
        <v>29</v>
      </c>
      <c r="EI108">
        <v>-22.333333333333336</v>
      </c>
      <c r="EJ108">
        <v>32</v>
      </c>
      <c r="EK108">
        <v>-2.3333333333333335</v>
      </c>
      <c r="EL108">
        <v>30</v>
      </c>
      <c r="EM108">
        <v>24.5</v>
      </c>
      <c r="EN108">
        <v>32</v>
      </c>
      <c r="EO108">
        <v>-7.9666666666666694</v>
      </c>
      <c r="EP108">
        <v>9</v>
      </c>
      <c r="EQ108">
        <v>2.2222222222222214</v>
      </c>
      <c r="ER108">
        <v>26</v>
      </c>
      <c r="ES108">
        <v>-12</v>
      </c>
      <c r="ET108">
        <v>31</v>
      </c>
      <c r="EU108">
        <v>-1.4444444444444444</v>
      </c>
      <c r="EV108">
        <v>31</v>
      </c>
      <c r="EW108">
        <v>29</v>
      </c>
      <c r="EX108">
        <v>27</v>
      </c>
      <c r="EY108">
        <v>-1.6888888888888889</v>
      </c>
      <c r="EZ108">
        <v>30</v>
      </c>
      <c r="FA108">
        <v>-1.9999999999999998</v>
      </c>
      <c r="FB108">
        <v>30</v>
      </c>
      <c r="FC108">
        <v>-10.333333333333334</v>
      </c>
      <c r="FD108">
        <v>27</v>
      </c>
      <c r="FE108">
        <v>-0.88888888888888895</v>
      </c>
      <c r="FF108">
        <v>29</v>
      </c>
      <c r="FG108">
        <v>28.333333333333332</v>
      </c>
      <c r="FH108">
        <v>29</v>
      </c>
      <c r="FI108">
        <v>-7.822222222222222</v>
      </c>
      <c r="FJ108">
        <v>28</v>
      </c>
      <c r="FK108">
        <v>-28.999999999999996</v>
      </c>
      <c r="FL108">
        <v>28</v>
      </c>
      <c r="FM108">
        <v>-2.1111111111111116</v>
      </c>
      <c r="FN108">
        <v>26</v>
      </c>
      <c r="FO108">
        <v>25.333333333333332</v>
      </c>
      <c r="FP108">
        <v>27</v>
      </c>
      <c r="FQ108">
        <v>-4.0555555555555554</v>
      </c>
      <c r="FR108">
        <v>19</v>
      </c>
      <c r="FS108">
        <v>-5.5555555555555545</v>
      </c>
      <c r="FT108">
        <v>30</v>
      </c>
      <c r="FU108">
        <v>-1.7777777777777779</v>
      </c>
      <c r="FV108">
        <v>27</v>
      </c>
      <c r="FW108">
        <v>26.666666666666668</v>
      </c>
      <c r="FX108">
        <v>27</v>
      </c>
      <c r="FY108">
        <v>-3.3444444444444446</v>
      </c>
      <c r="FZ108">
        <v>31</v>
      </c>
      <c r="GA108">
        <v>-24.555555555555554</v>
      </c>
      <c r="GB108">
        <v>22</v>
      </c>
      <c r="GC108">
        <v>-0.66666666666666685</v>
      </c>
      <c r="GD108">
        <v>18</v>
      </c>
      <c r="GE108">
        <v>16.333333333333332</v>
      </c>
      <c r="GF108">
        <v>19</v>
      </c>
      <c r="GG108">
        <v>-0.42222222222222189</v>
      </c>
      <c r="GH108">
        <v>15</v>
      </c>
      <c r="GI108">
        <v>1.1111111111111118</v>
      </c>
      <c r="GJ108">
        <v>15</v>
      </c>
      <c r="GK108">
        <v>0.33333333333333326</v>
      </c>
      <c r="GL108">
        <v>19</v>
      </c>
      <c r="GM108">
        <v>19.333333333333332</v>
      </c>
      <c r="GN108">
        <v>22</v>
      </c>
      <c r="GO108">
        <v>-2.8222222222222224</v>
      </c>
      <c r="GP108">
        <v>26</v>
      </c>
      <c r="GQ108">
        <v>-18.222222222222218</v>
      </c>
      <c r="GR108">
        <v>10</v>
      </c>
      <c r="GS108">
        <v>0.33333333333333365</v>
      </c>
      <c r="GT108">
        <v>1</v>
      </c>
      <c r="GU108">
        <v>1.3333333333333333</v>
      </c>
      <c r="GV108">
        <v>1</v>
      </c>
      <c r="GW108">
        <v>9.2444444444444436</v>
      </c>
      <c r="GX108">
        <v>2</v>
      </c>
      <c r="GY108">
        <v>25.777777777777775</v>
      </c>
      <c r="GZ108">
        <v>1</v>
      </c>
      <c r="HA108">
        <v>3</v>
      </c>
      <c r="HB108">
        <v>12</v>
      </c>
      <c r="HC108">
        <v>13</v>
      </c>
      <c r="HD108">
        <v>13</v>
      </c>
      <c r="HE108">
        <v>0.66666666666666641</v>
      </c>
      <c r="HF108">
        <v>13</v>
      </c>
      <c r="HG108">
        <v>0.2222222222222221</v>
      </c>
      <c r="HH108">
        <v>-4.666666666666667</v>
      </c>
      <c r="HI108">
        <v>1</v>
      </c>
      <c r="HJ108">
        <v>9</v>
      </c>
      <c r="HK108">
        <v>3</v>
      </c>
      <c r="HL108">
        <v>8.7559029524596266E-2</v>
      </c>
      <c r="HM108">
        <v>4</v>
      </c>
      <c r="HN108">
        <v>2.3709229113341976E-2</v>
      </c>
      <c r="HO108">
        <v>23</v>
      </c>
      <c r="HP108">
        <v>7.9365079365079347E-2</v>
      </c>
      <c r="HQ108">
        <v>6</v>
      </c>
      <c r="HR108">
        <v>2.4444444444444446</v>
      </c>
      <c r="HS108">
        <v>-0.5555555555555548</v>
      </c>
      <c r="HT108">
        <v>0.1111111111111119</v>
      </c>
      <c r="HU108">
        <v>-1.2222222222222221</v>
      </c>
      <c r="HV108">
        <v>-30.111111111111104</v>
      </c>
      <c r="HW108">
        <v>-0.66666666666666663</v>
      </c>
      <c r="HX108">
        <v>-29.888888888888889</v>
      </c>
      <c r="HY108">
        <v>-2.5555555555555558</v>
      </c>
      <c r="HZ108">
        <v>3</v>
      </c>
      <c r="IA108">
        <v>2</v>
      </c>
      <c r="IB108">
        <v>11.962222222222225</v>
      </c>
      <c r="IC108">
        <v>5.5735555555555569</v>
      </c>
      <c r="ID108">
        <v>29.222222222222221</v>
      </c>
      <c r="IE108">
        <v>31</v>
      </c>
      <c r="IF108">
        <v>-0.65750000000000064</v>
      </c>
      <c r="IG108">
        <v>0.8888888888888884</v>
      </c>
    </row>
    <row r="109" spans="1:241" x14ac:dyDescent="0.2">
      <c r="A109" s="19">
        <v>44108</v>
      </c>
      <c r="B109" s="13" t="s">
        <v>417</v>
      </c>
      <c r="C109" s="41" t="s">
        <v>300</v>
      </c>
      <c r="D109" s="14" t="s">
        <v>295</v>
      </c>
      <c r="E109">
        <v>8.5</v>
      </c>
      <c r="F109">
        <v>4.0999999999999996</v>
      </c>
      <c r="G109">
        <v>3</v>
      </c>
      <c r="H109">
        <v>33.799999999999997</v>
      </c>
      <c r="I109">
        <v>-4.5</v>
      </c>
      <c r="J109">
        <v>56</v>
      </c>
      <c r="L109" t="s">
        <v>300</v>
      </c>
      <c r="M109">
        <v>5</v>
      </c>
      <c r="N109">
        <v>3.2511111111111091</v>
      </c>
      <c r="O109">
        <v>4</v>
      </c>
      <c r="P109">
        <v>8.5</v>
      </c>
      <c r="Q109">
        <v>3</v>
      </c>
      <c r="R109">
        <v>9.2333333333333343</v>
      </c>
      <c r="S109">
        <v>25</v>
      </c>
      <c r="T109">
        <v>-2.333333333333333</v>
      </c>
      <c r="U109">
        <v>5</v>
      </c>
      <c r="V109">
        <v>16.444444444444446</v>
      </c>
      <c r="W109">
        <v>1</v>
      </c>
      <c r="X109">
        <v>3</v>
      </c>
      <c r="Y109">
        <v>1</v>
      </c>
      <c r="Z109">
        <v>4.666666666666667</v>
      </c>
      <c r="AA109">
        <v>3</v>
      </c>
      <c r="AB109">
        <v>8.0666666666666682</v>
      </c>
      <c r="AC109">
        <v>28</v>
      </c>
      <c r="AD109">
        <v>-3</v>
      </c>
      <c r="AE109">
        <v>9</v>
      </c>
      <c r="AF109">
        <v>10.555555555555557</v>
      </c>
      <c r="AG109">
        <v>2</v>
      </c>
      <c r="AH109">
        <v>2.3333333333333335</v>
      </c>
      <c r="AI109">
        <v>4</v>
      </c>
      <c r="AJ109">
        <v>9.3333333333333339</v>
      </c>
      <c r="AK109">
        <v>9</v>
      </c>
      <c r="AL109">
        <v>1.1666666666666667</v>
      </c>
      <c r="AM109">
        <v>10</v>
      </c>
      <c r="AN109">
        <v>0.66666666666666685</v>
      </c>
      <c r="AO109">
        <v>10</v>
      </c>
      <c r="AP109">
        <v>5.8888888888888893</v>
      </c>
      <c r="AQ109">
        <v>9</v>
      </c>
      <c r="AR109">
        <v>0.66666666666666663</v>
      </c>
      <c r="AS109">
        <v>6</v>
      </c>
      <c r="AT109">
        <v>7.333333333333333</v>
      </c>
      <c r="AU109">
        <v>7</v>
      </c>
      <c r="AV109">
        <v>7.0111111111111111</v>
      </c>
      <c r="AW109">
        <v>5</v>
      </c>
      <c r="AX109">
        <v>32.555555555555557</v>
      </c>
      <c r="AY109">
        <v>10</v>
      </c>
      <c r="AZ109">
        <v>1.444444444444444</v>
      </c>
      <c r="BA109">
        <v>2</v>
      </c>
      <c r="BB109">
        <v>2.6666666666666665</v>
      </c>
      <c r="BC109">
        <v>2</v>
      </c>
      <c r="BD109">
        <v>10.111111111111112</v>
      </c>
      <c r="BE109">
        <v>2</v>
      </c>
      <c r="BF109">
        <v>33.666666666666671</v>
      </c>
      <c r="BG109">
        <v>4</v>
      </c>
      <c r="BH109">
        <v>2</v>
      </c>
      <c r="BI109">
        <v>14</v>
      </c>
      <c r="BJ109">
        <v>14</v>
      </c>
      <c r="BK109">
        <v>24</v>
      </c>
      <c r="BL109">
        <v>-2.3111111111111113</v>
      </c>
      <c r="BM109">
        <v>12</v>
      </c>
      <c r="BN109">
        <v>5.8888888888888866</v>
      </c>
      <c r="BO109">
        <v>6</v>
      </c>
      <c r="BP109">
        <v>1.3333333333333333</v>
      </c>
      <c r="BQ109">
        <v>27</v>
      </c>
      <c r="BR109">
        <v>25</v>
      </c>
      <c r="BS109">
        <v>20</v>
      </c>
      <c r="BT109">
        <v>-0.78888888888888964</v>
      </c>
      <c r="BU109">
        <v>25</v>
      </c>
      <c r="BV109">
        <v>-7</v>
      </c>
      <c r="BW109">
        <v>30</v>
      </c>
      <c r="BX109">
        <v>-1.8888888888888891</v>
      </c>
      <c r="BY109">
        <v>10</v>
      </c>
      <c r="BZ109">
        <v>11</v>
      </c>
      <c r="CA109">
        <v>8</v>
      </c>
      <c r="CB109">
        <v>3.7333333333333321</v>
      </c>
      <c r="CC109">
        <v>4</v>
      </c>
      <c r="CD109">
        <v>28.444444444444443</v>
      </c>
      <c r="CE109">
        <v>21</v>
      </c>
      <c r="CF109">
        <v>-0.66666666666666607</v>
      </c>
      <c r="CG109">
        <v>30</v>
      </c>
      <c r="CH109">
        <v>29</v>
      </c>
      <c r="CI109">
        <v>26</v>
      </c>
      <c r="CJ109">
        <v>-3.5000000000000004</v>
      </c>
      <c r="CK109">
        <v>30</v>
      </c>
      <c r="CL109">
        <v>-19.444444444444443</v>
      </c>
      <c r="CM109">
        <v>31</v>
      </c>
      <c r="CN109">
        <v>-2.7777777777777772</v>
      </c>
      <c r="CO109">
        <v>20</v>
      </c>
      <c r="CP109">
        <v>18.5</v>
      </c>
      <c r="CQ109">
        <v>12</v>
      </c>
      <c r="CR109">
        <v>0.6666666666666673</v>
      </c>
      <c r="CS109">
        <v>25</v>
      </c>
      <c r="CT109">
        <v>-0.33333333333333343</v>
      </c>
      <c r="CU109">
        <v>1</v>
      </c>
      <c r="CV109">
        <v>30</v>
      </c>
      <c r="CW109">
        <v>23.25</v>
      </c>
      <c r="CX109">
        <v>24</v>
      </c>
      <c r="CY109">
        <v>-3.3845078532628338E-2</v>
      </c>
      <c r="CZ109">
        <v>29</v>
      </c>
      <c r="DA109">
        <v>-1.9656871095576654E-2</v>
      </c>
      <c r="DB109">
        <v>8</v>
      </c>
      <c r="DC109">
        <v>-6.7857142857142838E-2</v>
      </c>
      <c r="DD109">
        <v>32</v>
      </c>
      <c r="DE109">
        <v>-6.2222222222222223</v>
      </c>
      <c r="DF109">
        <v>0.11111111111110954</v>
      </c>
      <c r="DG109">
        <v>6.8888888888888902</v>
      </c>
      <c r="DH109">
        <v>2</v>
      </c>
      <c r="DI109">
        <v>54.333333333333336</v>
      </c>
      <c r="DJ109">
        <v>22.666666666666657</v>
      </c>
      <c r="DK109">
        <v>33.999999999999993</v>
      </c>
      <c r="DL109">
        <v>1.333333333333333</v>
      </c>
      <c r="DM109">
        <v>-3.6666666666666665</v>
      </c>
      <c r="DN109">
        <v>26</v>
      </c>
      <c r="DO109">
        <v>-5.9822222222222257</v>
      </c>
      <c r="DP109">
        <v>-3.264222222222223</v>
      </c>
      <c r="DQ109">
        <v>-11.333333333333336</v>
      </c>
      <c r="DR109">
        <v>7</v>
      </c>
      <c r="DS109">
        <v>2.0827777777777778</v>
      </c>
      <c r="DT109">
        <v>-1.3333333333333333</v>
      </c>
      <c r="DU109">
        <v>1.8165277777777775</v>
      </c>
      <c r="DV109">
        <v>1.2980555555555555</v>
      </c>
      <c r="DW109" t="s">
        <v>295</v>
      </c>
      <c r="DX109" t="s">
        <v>280</v>
      </c>
      <c r="DY109" t="s">
        <v>489</v>
      </c>
      <c r="DZ109">
        <v>1</v>
      </c>
      <c r="EA109">
        <v>6.8911111111111092</v>
      </c>
      <c r="EB109">
        <v>14</v>
      </c>
      <c r="EC109">
        <v>15.25</v>
      </c>
      <c r="ED109">
        <v>9</v>
      </c>
      <c r="EE109">
        <v>1.9444444444444433</v>
      </c>
      <c r="EF109">
        <v>24</v>
      </c>
      <c r="EG109">
        <v>-1.4444444444444442</v>
      </c>
      <c r="EH109">
        <v>21</v>
      </c>
      <c r="EI109">
        <v>-11</v>
      </c>
      <c r="EJ109">
        <v>7</v>
      </c>
      <c r="EK109">
        <v>1</v>
      </c>
      <c r="EL109">
        <v>14</v>
      </c>
      <c r="EM109">
        <v>16.75</v>
      </c>
      <c r="EN109">
        <v>11</v>
      </c>
      <c r="EO109">
        <v>0.88888888888888751</v>
      </c>
      <c r="EP109">
        <v>24</v>
      </c>
      <c r="EQ109">
        <v>-1.3333333333333333</v>
      </c>
      <c r="ER109">
        <v>25</v>
      </c>
      <c r="ES109">
        <v>-11.333333333333334</v>
      </c>
      <c r="ET109">
        <v>7</v>
      </c>
      <c r="EU109">
        <v>0.55555555555555569</v>
      </c>
      <c r="EV109">
        <v>11</v>
      </c>
      <c r="EW109">
        <v>13</v>
      </c>
      <c r="EX109">
        <v>8</v>
      </c>
      <c r="EY109">
        <v>1.0555555555555558</v>
      </c>
      <c r="EZ109">
        <v>17</v>
      </c>
      <c r="FA109">
        <v>-0.11111111111111101</v>
      </c>
      <c r="FB109">
        <v>14</v>
      </c>
      <c r="FC109">
        <v>0.33333333333333304</v>
      </c>
      <c r="FD109">
        <v>13</v>
      </c>
      <c r="FE109">
        <v>0.44444444444444436</v>
      </c>
      <c r="FF109">
        <v>9</v>
      </c>
      <c r="FG109">
        <v>11.333333333333334</v>
      </c>
      <c r="FH109">
        <v>17</v>
      </c>
      <c r="FI109">
        <v>-0.94444444444444731</v>
      </c>
      <c r="FJ109">
        <v>8</v>
      </c>
      <c r="FK109">
        <v>18.111111111111111</v>
      </c>
      <c r="FL109">
        <v>9</v>
      </c>
      <c r="FM109">
        <v>0.66666666666666663</v>
      </c>
      <c r="FN109">
        <v>10</v>
      </c>
      <c r="FO109">
        <v>11</v>
      </c>
      <c r="FP109">
        <v>8</v>
      </c>
      <c r="FQ109">
        <v>2.3333333333333308</v>
      </c>
      <c r="FR109">
        <v>3</v>
      </c>
      <c r="FS109">
        <v>21</v>
      </c>
      <c r="FT109">
        <v>22</v>
      </c>
      <c r="FU109">
        <v>-0.55555555555555536</v>
      </c>
      <c r="FV109">
        <v>12</v>
      </c>
      <c r="FW109">
        <v>12.666666666666666</v>
      </c>
      <c r="FX109">
        <v>11</v>
      </c>
      <c r="FY109">
        <v>0.72222222222222199</v>
      </c>
      <c r="FZ109">
        <v>16</v>
      </c>
      <c r="GA109">
        <v>0.8888888888888905</v>
      </c>
      <c r="GB109">
        <v>11</v>
      </c>
      <c r="GC109">
        <v>0.66666666666666663</v>
      </c>
      <c r="GD109">
        <v>21</v>
      </c>
      <c r="GE109">
        <v>20.666666666666668</v>
      </c>
      <c r="GF109">
        <v>32</v>
      </c>
      <c r="GG109">
        <v>-4</v>
      </c>
      <c r="GH109">
        <v>19</v>
      </c>
      <c r="GI109">
        <v>-3.7777777777777799</v>
      </c>
      <c r="GJ109">
        <v>11</v>
      </c>
      <c r="GK109">
        <v>0.55555555555555536</v>
      </c>
      <c r="GL109">
        <v>4</v>
      </c>
      <c r="GM109">
        <v>5</v>
      </c>
      <c r="GN109">
        <v>5</v>
      </c>
      <c r="GO109">
        <v>4.5777777777777793</v>
      </c>
      <c r="GP109">
        <v>5</v>
      </c>
      <c r="GQ109">
        <v>19.111111111111111</v>
      </c>
      <c r="GR109">
        <v>5</v>
      </c>
      <c r="GS109">
        <v>1.6666666666666667</v>
      </c>
      <c r="GT109">
        <v>2</v>
      </c>
      <c r="GU109">
        <v>3</v>
      </c>
      <c r="GV109">
        <v>2</v>
      </c>
      <c r="GW109">
        <v>9.1222222222222218</v>
      </c>
      <c r="GX109">
        <v>5</v>
      </c>
      <c r="GY109">
        <v>20.111111111111111</v>
      </c>
      <c r="GZ109">
        <v>2</v>
      </c>
      <c r="HA109">
        <v>2.5555555555555554</v>
      </c>
      <c r="HB109">
        <v>10</v>
      </c>
      <c r="HC109">
        <v>9</v>
      </c>
      <c r="HD109">
        <v>8</v>
      </c>
      <c r="HE109">
        <v>1.6666666666666667</v>
      </c>
      <c r="HF109">
        <v>10</v>
      </c>
      <c r="HG109">
        <v>0.22222222222222224</v>
      </c>
      <c r="HH109">
        <v>-2.3333333333333335</v>
      </c>
      <c r="HI109">
        <v>31</v>
      </c>
      <c r="HJ109">
        <v>24.5</v>
      </c>
      <c r="HK109">
        <v>17</v>
      </c>
      <c r="HL109">
        <v>-1.1595476407304387E-2</v>
      </c>
      <c r="HM109">
        <v>25</v>
      </c>
      <c r="HN109">
        <v>-1.3076979438986608E-2</v>
      </c>
      <c r="HO109">
        <v>29</v>
      </c>
      <c r="HP109">
        <v>0.12195767195767195</v>
      </c>
      <c r="HQ109">
        <v>27</v>
      </c>
      <c r="HR109">
        <v>-2.1111111111111112</v>
      </c>
      <c r="HS109">
        <v>2.888888888888888</v>
      </c>
      <c r="HT109">
        <v>5.8888888888888884</v>
      </c>
      <c r="HU109">
        <v>-0.22222222222222221</v>
      </c>
      <c r="HV109">
        <v>45.222222222222207</v>
      </c>
      <c r="HW109">
        <v>44.777777777777779</v>
      </c>
      <c r="HX109">
        <v>-6.7777777777777786</v>
      </c>
      <c r="HY109">
        <v>5.1111111111111116</v>
      </c>
      <c r="HZ109">
        <v>2.1111111111111107</v>
      </c>
      <c r="IA109">
        <v>5</v>
      </c>
      <c r="IB109">
        <v>4.9466666666666654</v>
      </c>
      <c r="IC109">
        <v>2.0415555555555551</v>
      </c>
      <c r="ID109">
        <v>51.555555555555557</v>
      </c>
      <c r="IE109">
        <v>28</v>
      </c>
      <c r="IF109">
        <v>2.3349999999999995</v>
      </c>
      <c r="IG109">
        <v>3.2222222222222219</v>
      </c>
    </row>
    <row r="110" spans="1:241" x14ac:dyDescent="0.2">
      <c r="A110" s="19">
        <v>44108</v>
      </c>
      <c r="B110" s="13" t="s">
        <v>417</v>
      </c>
      <c r="C110" s="41" t="s">
        <v>311</v>
      </c>
      <c r="D110" s="14" t="s">
        <v>312</v>
      </c>
      <c r="E110">
        <v>25.8</v>
      </c>
      <c r="F110">
        <v>11.9</v>
      </c>
      <c r="G110">
        <v>5.6</v>
      </c>
      <c r="H110">
        <v>7.6</v>
      </c>
      <c r="I110">
        <v>-3</v>
      </c>
      <c r="J110">
        <v>53</v>
      </c>
      <c r="K110" t="s">
        <v>109</v>
      </c>
      <c r="L110" t="s">
        <v>311</v>
      </c>
      <c r="M110">
        <v>25</v>
      </c>
      <c r="N110">
        <v>-2.5800000000000005</v>
      </c>
      <c r="O110">
        <v>31</v>
      </c>
      <c r="P110">
        <v>27.5</v>
      </c>
      <c r="Q110">
        <v>25</v>
      </c>
      <c r="R110">
        <v>-4.0555555555555562</v>
      </c>
      <c r="S110">
        <v>30</v>
      </c>
      <c r="T110">
        <v>-5.333333333333333</v>
      </c>
      <c r="U110">
        <v>29</v>
      </c>
      <c r="V110">
        <v>-21.000000000000004</v>
      </c>
      <c r="W110">
        <v>26</v>
      </c>
      <c r="X110">
        <v>-1.2222222222222221</v>
      </c>
      <c r="Y110">
        <v>17</v>
      </c>
      <c r="Z110">
        <v>16.333333333333332</v>
      </c>
      <c r="AA110">
        <v>15</v>
      </c>
      <c r="AB110">
        <v>0.3555555555555549</v>
      </c>
      <c r="AC110">
        <v>23</v>
      </c>
      <c r="AD110">
        <v>-1.8888888888888886</v>
      </c>
      <c r="AE110">
        <v>20</v>
      </c>
      <c r="AF110">
        <v>-6.1111111111111116</v>
      </c>
      <c r="AG110">
        <v>14</v>
      </c>
      <c r="AH110">
        <v>-0.11111111111111101</v>
      </c>
      <c r="AI110">
        <v>32</v>
      </c>
      <c r="AJ110">
        <v>30</v>
      </c>
      <c r="AK110">
        <v>32</v>
      </c>
      <c r="AL110">
        <v>-4.4111111111111114</v>
      </c>
      <c r="AM110">
        <v>31</v>
      </c>
      <c r="AN110">
        <v>-3.4444444444444442</v>
      </c>
      <c r="AO110">
        <v>29</v>
      </c>
      <c r="AP110">
        <v>-14.888888888888891</v>
      </c>
      <c r="AQ110">
        <v>29</v>
      </c>
      <c r="AR110">
        <v>-1.1111111111111112</v>
      </c>
      <c r="AS110">
        <v>17</v>
      </c>
      <c r="AT110">
        <v>16.333333333333332</v>
      </c>
      <c r="AU110">
        <v>17</v>
      </c>
      <c r="AV110">
        <v>-1.4777777777777787</v>
      </c>
      <c r="AW110">
        <v>9</v>
      </c>
      <c r="AX110">
        <v>20.111111111111114</v>
      </c>
      <c r="AY110">
        <v>23</v>
      </c>
      <c r="AZ110">
        <v>-1.4444444444444444</v>
      </c>
      <c r="BA110">
        <v>20</v>
      </c>
      <c r="BB110">
        <v>20.666666666666668</v>
      </c>
      <c r="BC110">
        <v>15</v>
      </c>
      <c r="BD110">
        <v>-1.3222222222222222</v>
      </c>
      <c r="BE110">
        <v>19</v>
      </c>
      <c r="BF110">
        <v>-4.8888888888888902</v>
      </c>
      <c r="BG110">
        <v>28</v>
      </c>
      <c r="BH110">
        <v>-1.8888888888888886</v>
      </c>
      <c r="BI110">
        <v>6</v>
      </c>
      <c r="BJ110">
        <v>8.3333333333333339</v>
      </c>
      <c r="BK110">
        <v>8</v>
      </c>
      <c r="BL110">
        <v>1.5333333333333325</v>
      </c>
      <c r="BM110">
        <v>6</v>
      </c>
      <c r="BN110">
        <v>16.444444444444446</v>
      </c>
      <c r="BO110">
        <v>11</v>
      </c>
      <c r="BP110">
        <v>0.22222222222222202</v>
      </c>
      <c r="BQ110">
        <v>15</v>
      </c>
      <c r="BR110">
        <v>15.333333333333334</v>
      </c>
      <c r="BS110">
        <v>24</v>
      </c>
      <c r="BT110">
        <v>-1.6888888888888891</v>
      </c>
      <c r="BU110">
        <v>8</v>
      </c>
      <c r="BV110">
        <v>8.5555555555555554</v>
      </c>
      <c r="BW110">
        <v>14</v>
      </c>
      <c r="BX110">
        <v>0.22222222222222218</v>
      </c>
      <c r="BY110">
        <v>1</v>
      </c>
      <c r="BZ110">
        <v>2</v>
      </c>
      <c r="CA110">
        <v>1</v>
      </c>
      <c r="CB110">
        <v>11.088888888888889</v>
      </c>
      <c r="CC110">
        <v>1</v>
      </c>
      <c r="CD110">
        <v>57.55555555555555</v>
      </c>
      <c r="CE110">
        <v>4</v>
      </c>
      <c r="CF110">
        <v>2.3333333333333339</v>
      </c>
      <c r="CG110">
        <v>21</v>
      </c>
      <c r="CH110">
        <v>21</v>
      </c>
      <c r="CI110">
        <v>19</v>
      </c>
      <c r="CJ110">
        <v>-1.1555555555555559</v>
      </c>
      <c r="CK110">
        <v>19</v>
      </c>
      <c r="CL110">
        <v>-7.1111111111111107</v>
      </c>
      <c r="CM110">
        <v>25</v>
      </c>
      <c r="CN110">
        <v>-1.5555555555555556</v>
      </c>
      <c r="CO110">
        <v>21</v>
      </c>
      <c r="CP110">
        <v>19</v>
      </c>
      <c r="CQ110">
        <v>18</v>
      </c>
      <c r="CR110">
        <v>0</v>
      </c>
      <c r="CS110">
        <v>20</v>
      </c>
      <c r="CT110">
        <v>-0.11111111111111109</v>
      </c>
      <c r="CU110">
        <v>-1.7777777777777779</v>
      </c>
      <c r="CV110">
        <v>2</v>
      </c>
      <c r="CW110">
        <v>8.75</v>
      </c>
      <c r="CX110">
        <v>15</v>
      </c>
      <c r="CY110">
        <v>1.9482644744342286E-3</v>
      </c>
      <c r="CZ110">
        <v>2</v>
      </c>
      <c r="DA110">
        <v>2.788564838262975E-2</v>
      </c>
      <c r="DB110">
        <v>6</v>
      </c>
      <c r="DC110">
        <v>-8.3680370961072725E-2</v>
      </c>
      <c r="DD110">
        <v>12</v>
      </c>
      <c r="DE110">
        <v>0.33333333333333304</v>
      </c>
      <c r="DF110">
        <v>-9.4444444444444446</v>
      </c>
      <c r="DG110">
        <v>0.44444444444444403</v>
      </c>
      <c r="DH110">
        <v>-0.77777777777777779</v>
      </c>
      <c r="DI110">
        <v>-33.777777777777771</v>
      </c>
      <c r="DJ110">
        <v>5.2222222222222188</v>
      </c>
      <c r="DK110">
        <v>-27.777777777777775</v>
      </c>
      <c r="DL110">
        <v>-4.666666666666667</v>
      </c>
      <c r="DM110">
        <v>-6.5555555555555545</v>
      </c>
      <c r="DN110">
        <v>16</v>
      </c>
      <c r="DO110">
        <v>1.4755555555555562</v>
      </c>
      <c r="DP110">
        <v>0.98511111111111105</v>
      </c>
      <c r="DQ110">
        <v>32.999999999999993</v>
      </c>
      <c r="DR110">
        <v>17</v>
      </c>
      <c r="DS110">
        <v>-1.1586111111111115</v>
      </c>
      <c r="DT110">
        <v>-3</v>
      </c>
      <c r="DU110">
        <v>0.79708333333333337</v>
      </c>
      <c r="DV110">
        <v>-0.37638888888888916</v>
      </c>
      <c r="DW110" t="s">
        <v>312</v>
      </c>
      <c r="DX110" t="s">
        <v>260</v>
      </c>
      <c r="DY110" t="s">
        <v>476</v>
      </c>
      <c r="DZ110">
        <v>17</v>
      </c>
      <c r="EA110">
        <v>0.26444444444444376</v>
      </c>
      <c r="EB110">
        <v>11</v>
      </c>
      <c r="EC110">
        <v>14.25</v>
      </c>
      <c r="ED110">
        <v>19</v>
      </c>
      <c r="EE110">
        <v>-0.62222222222222345</v>
      </c>
      <c r="EF110">
        <v>3</v>
      </c>
      <c r="EG110">
        <v>3.4444444444444442</v>
      </c>
      <c r="EH110">
        <v>11</v>
      </c>
      <c r="EI110">
        <v>5.5555555555555571</v>
      </c>
      <c r="EJ110">
        <v>24</v>
      </c>
      <c r="EK110">
        <v>-0.88888888888888873</v>
      </c>
      <c r="EL110">
        <v>9</v>
      </c>
      <c r="EM110">
        <v>11.25</v>
      </c>
      <c r="EN110">
        <v>12</v>
      </c>
      <c r="EO110">
        <v>0.66666666666666552</v>
      </c>
      <c r="EP110">
        <v>5</v>
      </c>
      <c r="EQ110">
        <v>2.8888888888888888</v>
      </c>
      <c r="ER110">
        <v>10</v>
      </c>
      <c r="ES110">
        <v>5.3333333333333357</v>
      </c>
      <c r="ET110">
        <v>18</v>
      </c>
      <c r="EU110">
        <v>-0.44444444444444436</v>
      </c>
      <c r="EV110">
        <v>17</v>
      </c>
      <c r="EW110">
        <v>17</v>
      </c>
      <c r="EX110">
        <v>24</v>
      </c>
      <c r="EY110">
        <v>-1.288888888888889</v>
      </c>
      <c r="EZ110">
        <v>12</v>
      </c>
      <c r="FA110">
        <v>0.55555555555555547</v>
      </c>
      <c r="FB110">
        <v>15</v>
      </c>
      <c r="FC110">
        <v>0.22222222222222143</v>
      </c>
      <c r="FD110">
        <v>23</v>
      </c>
      <c r="FE110">
        <v>-0.44444444444444436</v>
      </c>
      <c r="FF110">
        <v>2</v>
      </c>
      <c r="FG110">
        <v>3</v>
      </c>
      <c r="FH110">
        <v>2</v>
      </c>
      <c r="FI110">
        <v>13.411111111111115</v>
      </c>
      <c r="FJ110">
        <v>2</v>
      </c>
      <c r="FK110">
        <v>49.222222222222214</v>
      </c>
      <c r="FL110">
        <v>5</v>
      </c>
      <c r="FM110">
        <v>2.5555555555555554</v>
      </c>
      <c r="FN110">
        <v>4</v>
      </c>
      <c r="FO110">
        <v>6.666666666666667</v>
      </c>
      <c r="FP110">
        <v>6</v>
      </c>
      <c r="FQ110">
        <v>4.166666666666667</v>
      </c>
      <c r="FR110">
        <v>11</v>
      </c>
      <c r="FS110">
        <v>8.1111111111111072</v>
      </c>
      <c r="FT110">
        <v>3</v>
      </c>
      <c r="FU110">
        <v>2</v>
      </c>
      <c r="FV110">
        <v>9</v>
      </c>
      <c r="FW110">
        <v>11.333333333333334</v>
      </c>
      <c r="FX110">
        <v>4</v>
      </c>
      <c r="FY110">
        <v>4.533333333333335</v>
      </c>
      <c r="FZ110">
        <v>3</v>
      </c>
      <c r="GA110">
        <v>23.666666666666668</v>
      </c>
      <c r="GB110">
        <v>27</v>
      </c>
      <c r="GC110">
        <v>-1.3333333333333337</v>
      </c>
      <c r="GD110">
        <v>2</v>
      </c>
      <c r="GE110">
        <v>2.3333333333333335</v>
      </c>
      <c r="GF110">
        <v>2</v>
      </c>
      <c r="GG110">
        <v>4.7111111111111112</v>
      </c>
      <c r="GH110">
        <v>3</v>
      </c>
      <c r="GI110">
        <v>17.444444444444443</v>
      </c>
      <c r="GJ110">
        <v>2</v>
      </c>
      <c r="GK110">
        <v>1.8888888888888891</v>
      </c>
      <c r="GL110">
        <v>10</v>
      </c>
      <c r="GM110">
        <v>11.333333333333334</v>
      </c>
      <c r="GN110">
        <v>12</v>
      </c>
      <c r="GO110">
        <v>1.555555555555556</v>
      </c>
      <c r="GP110">
        <v>16</v>
      </c>
      <c r="GQ110">
        <v>-4.4444444444444473</v>
      </c>
      <c r="GR110">
        <v>6</v>
      </c>
      <c r="GS110">
        <v>1.1111111111111114</v>
      </c>
      <c r="GT110">
        <v>15</v>
      </c>
      <c r="GU110">
        <v>16</v>
      </c>
      <c r="GV110">
        <v>27</v>
      </c>
      <c r="GW110">
        <v>-2.3999999999999995</v>
      </c>
      <c r="GX110">
        <v>9</v>
      </c>
      <c r="GY110">
        <v>8.2222222222222214</v>
      </c>
      <c r="GZ110">
        <v>12</v>
      </c>
      <c r="HA110">
        <v>0.55555555555555547</v>
      </c>
      <c r="HB110">
        <v>1</v>
      </c>
      <c r="HC110">
        <v>1.5</v>
      </c>
      <c r="HD110">
        <v>1</v>
      </c>
      <c r="HE110">
        <v>5.1111111111111116</v>
      </c>
      <c r="HF110">
        <v>2</v>
      </c>
      <c r="HG110">
        <v>0.77777777777777768</v>
      </c>
      <c r="HH110">
        <v>0.11111111111111101</v>
      </c>
      <c r="HI110">
        <v>8</v>
      </c>
      <c r="HJ110">
        <v>13.25</v>
      </c>
      <c r="HK110">
        <v>15</v>
      </c>
      <c r="HL110">
        <v>-9.6054757214540289E-3</v>
      </c>
      <c r="HM110">
        <v>10</v>
      </c>
      <c r="HN110">
        <v>8.9395716846697223E-3</v>
      </c>
      <c r="HO110">
        <v>15</v>
      </c>
      <c r="HP110">
        <v>-1.8253968253968227E-2</v>
      </c>
      <c r="HQ110">
        <v>13</v>
      </c>
      <c r="HR110">
        <v>0.22222222222222218</v>
      </c>
      <c r="HS110">
        <v>5</v>
      </c>
      <c r="HT110">
        <v>3.8888888888888893</v>
      </c>
      <c r="HU110">
        <v>-2.1111111111111112</v>
      </c>
      <c r="HV110">
        <v>28.777777777777771</v>
      </c>
      <c r="HW110">
        <v>21.111111111111104</v>
      </c>
      <c r="HX110">
        <v>7.6666666666666616</v>
      </c>
      <c r="HY110">
        <v>3.1111111111111107</v>
      </c>
      <c r="HZ110">
        <v>-3.1111111111111107</v>
      </c>
      <c r="IA110">
        <v>18</v>
      </c>
      <c r="IB110">
        <v>0.88666666666666716</v>
      </c>
      <c r="IC110">
        <v>2.5662222222222235</v>
      </c>
      <c r="ID110">
        <v>13.444444444444443</v>
      </c>
      <c r="IE110">
        <v>15</v>
      </c>
      <c r="IF110">
        <v>1.9705555555555558</v>
      </c>
      <c r="IG110">
        <v>3.1111111111111107</v>
      </c>
    </row>
    <row r="111" spans="1:241" x14ac:dyDescent="0.2">
      <c r="A111" s="19">
        <v>44108</v>
      </c>
      <c r="B111" s="13" t="s">
        <v>417</v>
      </c>
      <c r="C111" s="41" t="s">
        <v>289</v>
      </c>
      <c r="D111" s="14" t="s">
        <v>265</v>
      </c>
      <c r="E111">
        <v>5.9</v>
      </c>
      <c r="F111">
        <v>8.8000000000000007</v>
      </c>
      <c r="G111">
        <v>3.7</v>
      </c>
      <c r="H111">
        <v>8.3000000000000007</v>
      </c>
      <c r="I111">
        <v>-3</v>
      </c>
      <c r="J111">
        <v>43.5</v>
      </c>
      <c r="K111" t="s">
        <v>110</v>
      </c>
      <c r="L111" t="s">
        <v>289</v>
      </c>
      <c r="M111">
        <v>31</v>
      </c>
      <c r="N111">
        <v>-6.8666666666666663</v>
      </c>
      <c r="O111">
        <v>9</v>
      </c>
      <c r="P111">
        <v>11.25</v>
      </c>
      <c r="Q111">
        <v>7</v>
      </c>
      <c r="R111">
        <v>5.3444444444444441</v>
      </c>
      <c r="S111">
        <v>16</v>
      </c>
      <c r="T111">
        <v>0.11111111111111072</v>
      </c>
      <c r="U111">
        <v>13</v>
      </c>
      <c r="V111">
        <v>3.4444444444444446</v>
      </c>
      <c r="W111">
        <v>9</v>
      </c>
      <c r="X111">
        <v>0.88888888888888906</v>
      </c>
      <c r="Y111">
        <v>18</v>
      </c>
      <c r="Z111">
        <v>17</v>
      </c>
      <c r="AA111">
        <v>11</v>
      </c>
      <c r="AB111">
        <v>2.7222222222222219</v>
      </c>
      <c r="AC111">
        <v>20</v>
      </c>
      <c r="AD111">
        <v>-1.555555555555556</v>
      </c>
      <c r="AE111">
        <v>25</v>
      </c>
      <c r="AF111">
        <v>-9</v>
      </c>
      <c r="AG111">
        <v>15</v>
      </c>
      <c r="AH111">
        <v>-0.33333333333333331</v>
      </c>
      <c r="AI111">
        <v>3</v>
      </c>
      <c r="AJ111">
        <v>4.333333333333333</v>
      </c>
      <c r="AK111">
        <v>4</v>
      </c>
      <c r="AL111">
        <v>2.6222222222222222</v>
      </c>
      <c r="AM111">
        <v>9</v>
      </c>
      <c r="AN111">
        <v>1.6666666666666667</v>
      </c>
      <c r="AO111">
        <v>5</v>
      </c>
      <c r="AP111">
        <v>12.444444444444445</v>
      </c>
      <c r="AQ111">
        <v>4</v>
      </c>
      <c r="AR111">
        <v>1.2222222222222223</v>
      </c>
      <c r="AS111">
        <v>28</v>
      </c>
      <c r="AT111">
        <v>27.666666666666668</v>
      </c>
      <c r="AU111">
        <v>31</v>
      </c>
      <c r="AV111">
        <v>-11.355555555555554</v>
      </c>
      <c r="AW111">
        <v>30</v>
      </c>
      <c r="AX111">
        <v>-41.555555555555557</v>
      </c>
      <c r="AY111">
        <v>22</v>
      </c>
      <c r="AZ111">
        <v>-0.7777777777777779</v>
      </c>
      <c r="BA111">
        <v>31</v>
      </c>
      <c r="BB111">
        <v>29</v>
      </c>
      <c r="BC111">
        <v>31</v>
      </c>
      <c r="BD111">
        <v>-7.1222222222222209</v>
      </c>
      <c r="BE111">
        <v>30</v>
      </c>
      <c r="BF111">
        <v>-21.222222222222221</v>
      </c>
      <c r="BG111">
        <v>26</v>
      </c>
      <c r="BH111">
        <v>-1.5555555555555556</v>
      </c>
      <c r="BI111">
        <v>21</v>
      </c>
      <c r="BJ111">
        <v>20.333333333333332</v>
      </c>
      <c r="BK111">
        <v>25</v>
      </c>
      <c r="BL111">
        <v>-2.3666666666666671</v>
      </c>
      <c r="BM111">
        <v>28</v>
      </c>
      <c r="BN111">
        <v>-16</v>
      </c>
      <c r="BO111">
        <v>8</v>
      </c>
      <c r="BP111">
        <v>0.55555555555555569</v>
      </c>
      <c r="BQ111">
        <v>23</v>
      </c>
      <c r="BR111">
        <v>21</v>
      </c>
      <c r="BS111">
        <v>27</v>
      </c>
      <c r="BT111">
        <v>-1.8666666666666671</v>
      </c>
      <c r="BU111">
        <v>21</v>
      </c>
      <c r="BV111">
        <v>-4.333333333333333</v>
      </c>
      <c r="BW111">
        <v>15</v>
      </c>
      <c r="BX111">
        <v>0.22222222222222202</v>
      </c>
      <c r="BY111">
        <v>32</v>
      </c>
      <c r="BZ111">
        <v>30.333333333333332</v>
      </c>
      <c r="CA111">
        <v>32</v>
      </c>
      <c r="CB111">
        <v>-8.6666666666666679</v>
      </c>
      <c r="CC111">
        <v>30</v>
      </c>
      <c r="CD111">
        <v>-21.111111111111111</v>
      </c>
      <c r="CE111">
        <v>29</v>
      </c>
      <c r="CF111">
        <v>-2</v>
      </c>
      <c r="CG111">
        <v>11</v>
      </c>
      <c r="CH111">
        <v>12.333333333333334</v>
      </c>
      <c r="CI111">
        <v>12</v>
      </c>
      <c r="CJ111">
        <v>0.79999999999999949</v>
      </c>
      <c r="CK111">
        <v>5</v>
      </c>
      <c r="CL111">
        <v>19.111111111111111</v>
      </c>
      <c r="CM111">
        <v>20</v>
      </c>
      <c r="CN111">
        <v>-0.33333333333333331</v>
      </c>
      <c r="CO111">
        <v>13</v>
      </c>
      <c r="CP111">
        <v>14</v>
      </c>
      <c r="CQ111">
        <v>21</v>
      </c>
      <c r="CR111">
        <v>-0.5555555555555548</v>
      </c>
      <c r="CS111">
        <v>7</v>
      </c>
      <c r="CT111">
        <v>0.44444444444444448</v>
      </c>
      <c r="CU111">
        <v>5.333333333333333</v>
      </c>
      <c r="CV111">
        <v>25</v>
      </c>
      <c r="CW111">
        <v>20.75</v>
      </c>
      <c r="CX111">
        <v>28</v>
      </c>
      <c r="CY111">
        <v>-5.4923555066737191E-2</v>
      </c>
      <c r="CZ111">
        <v>24</v>
      </c>
      <c r="DA111">
        <v>-1.0251751509613145E-2</v>
      </c>
      <c r="DB111">
        <v>20</v>
      </c>
      <c r="DC111">
        <v>4.4444444444444418E-2</v>
      </c>
      <c r="DD111">
        <v>11</v>
      </c>
      <c r="DE111">
        <v>1.1111111111111112</v>
      </c>
      <c r="DF111">
        <v>-2.3333333333333308</v>
      </c>
      <c r="DG111">
        <v>-6.8888888888888884</v>
      </c>
      <c r="DH111">
        <v>3.3333333333333339</v>
      </c>
      <c r="DI111">
        <v>-10.333333333333314</v>
      </c>
      <c r="DJ111">
        <v>2.6666666666666572</v>
      </c>
      <c r="DK111">
        <v>1</v>
      </c>
      <c r="DL111">
        <v>-2.6666666666666665</v>
      </c>
      <c r="DM111">
        <v>-11.333333333333334</v>
      </c>
      <c r="DN111">
        <v>31</v>
      </c>
      <c r="DO111">
        <v>-12.21111111111111</v>
      </c>
      <c r="DP111">
        <v>-6.1566666666666663</v>
      </c>
      <c r="DQ111">
        <v>1.6666666666666572</v>
      </c>
      <c r="DR111">
        <v>2</v>
      </c>
      <c r="DS111">
        <v>-1.5791666666666666</v>
      </c>
      <c r="DT111">
        <v>-1.1111111111111112</v>
      </c>
      <c r="DU111">
        <v>-1.8702777777777779</v>
      </c>
      <c r="DV111">
        <v>-2.8777777777777778</v>
      </c>
      <c r="DW111" t="s">
        <v>265</v>
      </c>
      <c r="DX111" t="s">
        <v>236</v>
      </c>
      <c r="DY111" t="s">
        <v>539</v>
      </c>
      <c r="DZ111">
        <v>29</v>
      </c>
      <c r="EA111">
        <v>-4.7577777777777781</v>
      </c>
      <c r="EB111">
        <v>2</v>
      </c>
      <c r="EC111">
        <v>7.75</v>
      </c>
      <c r="ED111">
        <v>2</v>
      </c>
      <c r="EE111">
        <v>7.2222222222222214</v>
      </c>
      <c r="EF111">
        <v>12</v>
      </c>
      <c r="EG111">
        <v>1.0000000000000013</v>
      </c>
      <c r="EH111">
        <v>5</v>
      </c>
      <c r="EI111">
        <v>31.444444444444443</v>
      </c>
      <c r="EJ111">
        <v>12</v>
      </c>
      <c r="EK111">
        <v>0.33333333333333315</v>
      </c>
      <c r="EL111">
        <v>10</v>
      </c>
      <c r="EM111">
        <v>11.5</v>
      </c>
      <c r="EN111">
        <v>6</v>
      </c>
      <c r="EO111">
        <v>4.1444444444444439</v>
      </c>
      <c r="EP111">
        <v>17</v>
      </c>
      <c r="EQ111">
        <v>-0.5555555555555548</v>
      </c>
      <c r="ER111">
        <v>6</v>
      </c>
      <c r="ES111">
        <v>17.333333333333332</v>
      </c>
      <c r="ET111">
        <v>17</v>
      </c>
      <c r="EU111">
        <v>-0.33333333333333348</v>
      </c>
      <c r="EV111">
        <v>1</v>
      </c>
      <c r="EW111">
        <v>3.6666666666666665</v>
      </c>
      <c r="EX111">
        <v>3</v>
      </c>
      <c r="EY111">
        <v>3.0777777777777779</v>
      </c>
      <c r="EZ111">
        <v>5</v>
      </c>
      <c r="FA111">
        <v>1.555555555555556</v>
      </c>
      <c r="FB111">
        <v>3</v>
      </c>
      <c r="FC111">
        <v>14.111111111111112</v>
      </c>
      <c r="FD111">
        <v>5</v>
      </c>
      <c r="FE111">
        <v>0.66666666666666663</v>
      </c>
      <c r="FF111">
        <v>22</v>
      </c>
      <c r="FG111">
        <v>22</v>
      </c>
      <c r="FH111">
        <v>31</v>
      </c>
      <c r="FI111">
        <v>-10.344444444444445</v>
      </c>
      <c r="FJ111">
        <v>22</v>
      </c>
      <c r="FK111">
        <v>-17.555555555555557</v>
      </c>
      <c r="FL111">
        <v>13</v>
      </c>
      <c r="FM111">
        <v>0.2222222222222221</v>
      </c>
      <c r="FN111">
        <v>16</v>
      </c>
      <c r="FO111">
        <v>16.333333333333332</v>
      </c>
      <c r="FP111">
        <v>25</v>
      </c>
      <c r="FQ111">
        <v>-3.2888888888888883</v>
      </c>
      <c r="FR111">
        <v>17</v>
      </c>
      <c r="FS111">
        <v>-2.2222222222222214</v>
      </c>
      <c r="FT111">
        <v>7</v>
      </c>
      <c r="FU111">
        <v>1.0000000000000002</v>
      </c>
      <c r="FV111">
        <v>28</v>
      </c>
      <c r="FW111">
        <v>28.333333333333332</v>
      </c>
      <c r="FX111">
        <v>32</v>
      </c>
      <c r="FY111">
        <v>-5.1666666666666679</v>
      </c>
      <c r="FZ111">
        <v>25</v>
      </c>
      <c r="GA111">
        <v>-9.5555555555555554</v>
      </c>
      <c r="GB111">
        <v>28</v>
      </c>
      <c r="GC111">
        <v>-1.666666666666667</v>
      </c>
      <c r="GD111">
        <v>17</v>
      </c>
      <c r="GE111">
        <v>16</v>
      </c>
      <c r="GF111">
        <v>22</v>
      </c>
      <c r="GG111">
        <v>-1.8888888888888899</v>
      </c>
      <c r="GH111">
        <v>20</v>
      </c>
      <c r="GI111">
        <v>-5.7777777777777786</v>
      </c>
      <c r="GJ111">
        <v>6</v>
      </c>
      <c r="GK111">
        <v>0.88888888888888884</v>
      </c>
      <c r="GL111">
        <v>21</v>
      </c>
      <c r="GM111">
        <v>23</v>
      </c>
      <c r="GN111">
        <v>25</v>
      </c>
      <c r="GO111">
        <v>-3.5666666666666664</v>
      </c>
      <c r="GP111">
        <v>19</v>
      </c>
      <c r="GQ111">
        <v>-5.6666666666666643</v>
      </c>
      <c r="GR111">
        <v>25</v>
      </c>
      <c r="GS111">
        <v>-1.3333333333333333</v>
      </c>
      <c r="GT111">
        <v>14</v>
      </c>
      <c r="GU111">
        <v>15.666666666666666</v>
      </c>
      <c r="GV111">
        <v>9</v>
      </c>
      <c r="GW111">
        <v>2.2000000000000015</v>
      </c>
      <c r="GX111">
        <v>17</v>
      </c>
      <c r="GY111">
        <v>-1.3333333333333333</v>
      </c>
      <c r="GZ111">
        <v>21</v>
      </c>
      <c r="HA111">
        <v>-0.44444444444444436</v>
      </c>
      <c r="HB111">
        <v>15</v>
      </c>
      <c r="HC111">
        <v>14.5</v>
      </c>
      <c r="HD111">
        <v>22</v>
      </c>
      <c r="HE111">
        <v>-1.2222222222222223</v>
      </c>
      <c r="HF111">
        <v>7</v>
      </c>
      <c r="HG111">
        <v>0.55555555555555547</v>
      </c>
      <c r="HH111">
        <v>2.4444444444444442</v>
      </c>
      <c r="HI111">
        <v>16</v>
      </c>
      <c r="HJ111">
        <v>16</v>
      </c>
      <c r="HK111">
        <v>23</v>
      </c>
      <c r="HL111">
        <v>-2.4512182838460388E-2</v>
      </c>
      <c r="HM111">
        <v>21</v>
      </c>
      <c r="HN111">
        <v>-9.614477943691609E-3</v>
      </c>
      <c r="HO111">
        <v>5</v>
      </c>
      <c r="HP111">
        <v>-0.15030864197530869</v>
      </c>
      <c r="HQ111">
        <v>15</v>
      </c>
      <c r="HR111">
        <v>-0.11111111111111087</v>
      </c>
      <c r="HS111">
        <v>1.7777777777777786</v>
      </c>
      <c r="HT111">
        <v>-1.3333333333333328</v>
      </c>
      <c r="HU111">
        <v>0</v>
      </c>
      <c r="HV111">
        <v>12.555555555555562</v>
      </c>
      <c r="HW111">
        <v>-15.888888888888877</v>
      </c>
      <c r="HX111">
        <v>25.777777777777782</v>
      </c>
      <c r="HY111">
        <v>2.7777777777777781</v>
      </c>
      <c r="HZ111">
        <v>-0.1111111111111119</v>
      </c>
      <c r="IA111">
        <v>31</v>
      </c>
      <c r="IB111">
        <v>-11.98</v>
      </c>
      <c r="IC111">
        <v>-6.1915555555555555</v>
      </c>
      <c r="ID111">
        <v>-41.666666666666657</v>
      </c>
      <c r="IE111">
        <v>2</v>
      </c>
      <c r="IF111">
        <v>-0.86277777777777798</v>
      </c>
      <c r="IG111">
        <v>-0.22222222222222227</v>
      </c>
    </row>
    <row r="112" spans="1:241" x14ac:dyDescent="0.2">
      <c r="A112" s="19">
        <v>44108</v>
      </c>
      <c r="B112" s="13" t="s">
        <v>417</v>
      </c>
      <c r="C112" s="41" t="s">
        <v>297</v>
      </c>
      <c r="D112" s="14" t="s">
        <v>272</v>
      </c>
      <c r="E112">
        <v>29.5</v>
      </c>
      <c r="F112">
        <v>14.1</v>
      </c>
      <c r="G112">
        <v>8.6</v>
      </c>
      <c r="H112">
        <v>4.2</v>
      </c>
      <c r="I112">
        <v>1</v>
      </c>
      <c r="J112">
        <v>50</v>
      </c>
      <c r="L112" t="s">
        <v>297</v>
      </c>
      <c r="M112">
        <v>8</v>
      </c>
      <c r="N112">
        <v>1.3266666666666656</v>
      </c>
      <c r="O112">
        <v>16</v>
      </c>
      <c r="P112">
        <v>16</v>
      </c>
      <c r="Q112">
        <v>6</v>
      </c>
      <c r="R112">
        <v>6</v>
      </c>
      <c r="S112">
        <v>28</v>
      </c>
      <c r="T112">
        <v>-2.7777777777777786</v>
      </c>
      <c r="U112">
        <v>28</v>
      </c>
      <c r="V112">
        <v>-18.111111111111111</v>
      </c>
      <c r="W112">
        <v>2</v>
      </c>
      <c r="X112">
        <v>2.3333333333333335</v>
      </c>
      <c r="Y112">
        <v>7</v>
      </c>
      <c r="Z112">
        <v>11.333333333333334</v>
      </c>
      <c r="AA112">
        <v>7</v>
      </c>
      <c r="AB112">
        <v>4.4111111111111105</v>
      </c>
      <c r="AC112">
        <v>14</v>
      </c>
      <c r="AD112">
        <v>-5.9211894646675012E-16</v>
      </c>
      <c r="AE112">
        <v>19</v>
      </c>
      <c r="AF112">
        <v>-5.7777777777777759</v>
      </c>
      <c r="AG112">
        <v>8</v>
      </c>
      <c r="AH112">
        <v>0.88888888888888895</v>
      </c>
      <c r="AI112">
        <v>9</v>
      </c>
      <c r="AJ112">
        <v>12.333333333333334</v>
      </c>
      <c r="AK112">
        <v>8</v>
      </c>
      <c r="AL112">
        <v>1.5888888888888892</v>
      </c>
      <c r="AM112">
        <v>29</v>
      </c>
      <c r="AN112">
        <v>-2.7777777777777781</v>
      </c>
      <c r="AO112">
        <v>26</v>
      </c>
      <c r="AP112">
        <v>-12.333333333333334</v>
      </c>
      <c r="AQ112">
        <v>3</v>
      </c>
      <c r="AR112">
        <v>1.4444444444444444</v>
      </c>
      <c r="AS112">
        <v>15</v>
      </c>
      <c r="AT112">
        <v>15.666666666666666</v>
      </c>
      <c r="AU112">
        <v>12</v>
      </c>
      <c r="AV112">
        <v>2.1999999999999993</v>
      </c>
      <c r="AW112">
        <v>19</v>
      </c>
      <c r="AX112">
        <v>-13.444444444444443</v>
      </c>
      <c r="AY112">
        <v>16</v>
      </c>
      <c r="AZ112">
        <v>0</v>
      </c>
      <c r="BA112">
        <v>27</v>
      </c>
      <c r="BB112">
        <v>25.666666666666668</v>
      </c>
      <c r="BC112">
        <v>23</v>
      </c>
      <c r="BD112">
        <v>-2.7888888888888892</v>
      </c>
      <c r="BE112">
        <v>24</v>
      </c>
      <c r="BF112">
        <v>-11.777777777777779</v>
      </c>
      <c r="BG112">
        <v>30</v>
      </c>
      <c r="BH112">
        <v>-2.1111111111111112</v>
      </c>
      <c r="BI112">
        <v>20</v>
      </c>
      <c r="BJ112">
        <v>18.666666666666668</v>
      </c>
      <c r="BK112">
        <v>17</v>
      </c>
      <c r="BL112">
        <v>2.2222222222222737E-2</v>
      </c>
      <c r="BM112">
        <v>26</v>
      </c>
      <c r="BN112">
        <v>-14.22222222222222</v>
      </c>
      <c r="BO112">
        <v>13</v>
      </c>
      <c r="BP112">
        <v>0.11111111111111116</v>
      </c>
      <c r="BQ112">
        <v>1</v>
      </c>
      <c r="BR112">
        <v>2.6666666666666665</v>
      </c>
      <c r="BS112">
        <v>1</v>
      </c>
      <c r="BT112">
        <v>4.9666666666666659</v>
      </c>
      <c r="BU112">
        <v>5</v>
      </c>
      <c r="BV112">
        <v>12.555555555555557</v>
      </c>
      <c r="BW112">
        <v>2</v>
      </c>
      <c r="BX112">
        <v>2</v>
      </c>
      <c r="BY112">
        <v>7</v>
      </c>
      <c r="BZ112">
        <v>7.333333333333333</v>
      </c>
      <c r="CA112">
        <v>9</v>
      </c>
      <c r="CB112">
        <v>3.2666666666666657</v>
      </c>
      <c r="CC112">
        <v>7</v>
      </c>
      <c r="CD112">
        <v>12.666666666666666</v>
      </c>
      <c r="CE112">
        <v>6</v>
      </c>
      <c r="CF112">
        <v>1.6666666666666667</v>
      </c>
      <c r="CG112">
        <v>17</v>
      </c>
      <c r="CH112">
        <v>17.333333333333332</v>
      </c>
      <c r="CI112">
        <v>17</v>
      </c>
      <c r="CJ112">
        <v>-0.59999999999999987</v>
      </c>
      <c r="CK112">
        <v>18</v>
      </c>
      <c r="CL112">
        <v>-7.1111111111111098</v>
      </c>
      <c r="CM112">
        <v>17</v>
      </c>
      <c r="CN112">
        <v>0</v>
      </c>
      <c r="CO112">
        <v>11</v>
      </c>
      <c r="CP112">
        <v>11</v>
      </c>
      <c r="CQ112">
        <v>6</v>
      </c>
      <c r="CR112">
        <v>1.8888888888888886</v>
      </c>
      <c r="CS112">
        <v>16</v>
      </c>
      <c r="CT112">
        <v>0.11111111111111112</v>
      </c>
      <c r="CU112">
        <v>-1.3333333333333333</v>
      </c>
      <c r="CV112">
        <v>29</v>
      </c>
      <c r="CW112">
        <v>21.5</v>
      </c>
      <c r="CX112">
        <v>32</v>
      </c>
      <c r="CY112">
        <v>-0.1062608991054852</v>
      </c>
      <c r="CZ112">
        <v>25</v>
      </c>
      <c r="DA112">
        <v>-1.114903443310669E-2</v>
      </c>
      <c r="DB112">
        <v>4</v>
      </c>
      <c r="DC112">
        <v>-0.15872615039281704</v>
      </c>
      <c r="DD112">
        <v>25</v>
      </c>
      <c r="DE112">
        <v>-1.6666666666666667</v>
      </c>
      <c r="DF112">
        <v>-0.22222222222222143</v>
      </c>
      <c r="DG112">
        <v>2.888888888888888</v>
      </c>
      <c r="DH112">
        <v>0</v>
      </c>
      <c r="DI112">
        <v>6.7777777777777812</v>
      </c>
      <c r="DJ112">
        <v>28.444444444444429</v>
      </c>
      <c r="DK112">
        <v>-27.888888888888886</v>
      </c>
      <c r="DL112">
        <v>7.666666666666667</v>
      </c>
      <c r="DM112">
        <v>-1.4444444444444435</v>
      </c>
      <c r="DN112">
        <v>25</v>
      </c>
      <c r="DO112">
        <v>-4.6733333333333347</v>
      </c>
      <c r="DP112">
        <v>-2.4146666666666672</v>
      </c>
      <c r="DQ112">
        <v>56.333333333333314</v>
      </c>
      <c r="DR112">
        <v>8</v>
      </c>
      <c r="DS112">
        <v>1.3519444444444444</v>
      </c>
      <c r="DT112">
        <v>0</v>
      </c>
      <c r="DU112">
        <v>0.33055555555555582</v>
      </c>
      <c r="DV112">
        <v>0.33972222222222259</v>
      </c>
      <c r="DW112" t="s">
        <v>272</v>
      </c>
      <c r="DX112" t="s">
        <v>277</v>
      </c>
      <c r="DY112" t="s">
        <v>528</v>
      </c>
      <c r="DZ112">
        <v>18</v>
      </c>
      <c r="EA112">
        <v>-0.43999999999999889</v>
      </c>
      <c r="EB112">
        <v>12</v>
      </c>
      <c r="EC112">
        <v>14.5</v>
      </c>
      <c r="ED112">
        <v>12</v>
      </c>
      <c r="EE112">
        <v>1.2888888888888901</v>
      </c>
      <c r="EF112">
        <v>9</v>
      </c>
      <c r="EG112">
        <v>1.3333333333333335</v>
      </c>
      <c r="EH112">
        <v>6</v>
      </c>
      <c r="EI112">
        <v>22.333333333333332</v>
      </c>
      <c r="EJ112">
        <v>31</v>
      </c>
      <c r="EK112">
        <v>-2.2222222222222219</v>
      </c>
      <c r="EL112">
        <v>11</v>
      </c>
      <c r="EM112">
        <v>12</v>
      </c>
      <c r="EN112">
        <v>18</v>
      </c>
      <c r="EO112">
        <v>-0.53333333333333266</v>
      </c>
      <c r="EP112">
        <v>2</v>
      </c>
      <c r="EQ112">
        <v>3.5555555555555558</v>
      </c>
      <c r="ER112">
        <v>6</v>
      </c>
      <c r="ES112">
        <v>17.333333333333332</v>
      </c>
      <c r="ET112">
        <v>22</v>
      </c>
      <c r="EU112">
        <v>-0.66666666666666663</v>
      </c>
      <c r="EV112">
        <v>14</v>
      </c>
      <c r="EW112">
        <v>15</v>
      </c>
      <c r="EX112">
        <v>6</v>
      </c>
      <c r="EY112">
        <v>1.8222222222222226</v>
      </c>
      <c r="EZ112">
        <v>32</v>
      </c>
      <c r="FA112">
        <v>-2.2222222222222223</v>
      </c>
      <c r="FB112">
        <v>7</v>
      </c>
      <c r="FC112">
        <v>5.0000000000000009</v>
      </c>
      <c r="FD112">
        <v>31</v>
      </c>
      <c r="FE112">
        <v>-1.5555555555555554</v>
      </c>
      <c r="FF112">
        <v>15</v>
      </c>
      <c r="FG112">
        <v>14.666666666666666</v>
      </c>
      <c r="FH112">
        <v>11</v>
      </c>
      <c r="FI112">
        <v>1.3999999999999986</v>
      </c>
      <c r="FJ112">
        <v>13</v>
      </c>
      <c r="FK112">
        <v>4.2222222222222259</v>
      </c>
      <c r="FL112">
        <v>20</v>
      </c>
      <c r="FM112">
        <v>-0.55555555555555547</v>
      </c>
      <c r="FN112">
        <v>21</v>
      </c>
      <c r="FO112">
        <v>19.666666666666668</v>
      </c>
      <c r="FP112">
        <v>13</v>
      </c>
      <c r="FQ112">
        <v>0.72222222222222021</v>
      </c>
      <c r="FR112">
        <v>20</v>
      </c>
      <c r="FS112">
        <v>-5.8888888888888857</v>
      </c>
      <c r="FT112">
        <v>26</v>
      </c>
      <c r="FU112">
        <v>-1.2222222222222223</v>
      </c>
      <c r="FV112">
        <v>12</v>
      </c>
      <c r="FW112">
        <v>12.666666666666666</v>
      </c>
      <c r="FX112">
        <v>15</v>
      </c>
      <c r="FY112">
        <v>6.6666666666667318E-2</v>
      </c>
      <c r="FZ112">
        <v>11</v>
      </c>
      <c r="GA112">
        <v>5.1111111111111107</v>
      </c>
      <c r="GB112">
        <v>12</v>
      </c>
      <c r="GC112">
        <v>0.44444444444444464</v>
      </c>
      <c r="GD112">
        <v>14</v>
      </c>
      <c r="GE112">
        <v>12.666666666666666</v>
      </c>
      <c r="GF112">
        <v>13</v>
      </c>
      <c r="GG112">
        <v>0.61111111111111105</v>
      </c>
      <c r="GH112">
        <v>9</v>
      </c>
      <c r="GI112">
        <v>5.0000000000000009</v>
      </c>
      <c r="GJ112">
        <v>16</v>
      </c>
      <c r="GK112">
        <v>0.22222222222222224</v>
      </c>
      <c r="GL112">
        <v>25</v>
      </c>
      <c r="GM112">
        <v>24.333333333333332</v>
      </c>
      <c r="GN112">
        <v>27</v>
      </c>
      <c r="GO112">
        <v>-4.711111111111113</v>
      </c>
      <c r="GP112">
        <v>24</v>
      </c>
      <c r="GQ112">
        <v>-15.999999999999995</v>
      </c>
      <c r="GR112">
        <v>22</v>
      </c>
      <c r="GS112">
        <v>-1.1111111111111109</v>
      </c>
      <c r="GT112">
        <v>16</v>
      </c>
      <c r="GU112">
        <v>17.333333333333332</v>
      </c>
      <c r="GV112">
        <v>22</v>
      </c>
      <c r="GW112">
        <v>-2.1222222222222218</v>
      </c>
      <c r="GX112">
        <v>19</v>
      </c>
      <c r="GY112">
        <v>-2.3333333333333357</v>
      </c>
      <c r="GZ112">
        <v>11</v>
      </c>
      <c r="HA112">
        <v>0.66666666666666685</v>
      </c>
      <c r="HB112">
        <v>5</v>
      </c>
      <c r="HC112">
        <v>4.5</v>
      </c>
      <c r="HD112">
        <v>2</v>
      </c>
      <c r="HE112">
        <v>2.4444444444444442</v>
      </c>
      <c r="HF112">
        <v>7</v>
      </c>
      <c r="HG112">
        <v>0.55555555555555547</v>
      </c>
      <c r="HH112">
        <v>2.3333333333333335</v>
      </c>
      <c r="HI112">
        <v>32</v>
      </c>
      <c r="HJ112">
        <v>26.5</v>
      </c>
      <c r="HK112">
        <v>25</v>
      </c>
      <c r="HL112">
        <v>-2.8229280352652042E-2</v>
      </c>
      <c r="HM112">
        <v>28</v>
      </c>
      <c r="HN112">
        <v>-2.3215907332386099E-2</v>
      </c>
      <c r="HO112">
        <v>21</v>
      </c>
      <c r="HP112">
        <v>5.6098095803978176E-2</v>
      </c>
      <c r="HQ112">
        <v>32</v>
      </c>
      <c r="HR112">
        <v>-4.2222222222222214</v>
      </c>
      <c r="HS112">
        <v>1.2222222222222214</v>
      </c>
      <c r="HT112">
        <v>4</v>
      </c>
      <c r="HU112">
        <v>0</v>
      </c>
      <c r="HV112">
        <v>13.333333333333334</v>
      </c>
      <c r="HW112">
        <v>-21.555555555555554</v>
      </c>
      <c r="HX112">
        <v>23.666666666666671</v>
      </c>
      <c r="HY112">
        <v>-2.5555555555555554</v>
      </c>
      <c r="HZ112">
        <v>13.777777777777779</v>
      </c>
      <c r="IA112">
        <v>23</v>
      </c>
      <c r="IB112">
        <v>-1.7288888888888889</v>
      </c>
      <c r="IC112">
        <v>-0.8768888888888895</v>
      </c>
      <c r="ID112">
        <v>-45.222222222222229</v>
      </c>
      <c r="IE112">
        <v>10</v>
      </c>
      <c r="IF112">
        <v>0.321388888888889</v>
      </c>
      <c r="IG112">
        <v>0.11111111111111138</v>
      </c>
    </row>
    <row r="113" spans="1:241" x14ac:dyDescent="0.2">
      <c r="A113" s="19">
        <v>44108</v>
      </c>
      <c r="B113" s="13" t="s">
        <v>417</v>
      </c>
      <c r="C113" s="41" t="s">
        <v>288</v>
      </c>
      <c r="D113" s="14" t="s">
        <v>302</v>
      </c>
      <c r="E113">
        <v>16.399999999999999</v>
      </c>
      <c r="F113">
        <v>7.3</v>
      </c>
      <c r="G113">
        <v>12.7</v>
      </c>
      <c r="H113">
        <v>10</v>
      </c>
      <c r="I113">
        <v>-11</v>
      </c>
      <c r="J113">
        <v>49</v>
      </c>
      <c r="L113" t="s">
        <v>288</v>
      </c>
      <c r="M113">
        <v>2</v>
      </c>
      <c r="N113">
        <v>10.291111111111112</v>
      </c>
      <c r="O113">
        <v>11</v>
      </c>
      <c r="P113">
        <v>12.75</v>
      </c>
      <c r="Q113">
        <v>11</v>
      </c>
      <c r="R113">
        <v>1.8555555555555565</v>
      </c>
      <c r="S113">
        <v>11</v>
      </c>
      <c r="T113">
        <v>1.555555555555556</v>
      </c>
      <c r="U113">
        <v>17</v>
      </c>
      <c r="V113">
        <v>-6.3333333333333375</v>
      </c>
      <c r="W113">
        <v>12</v>
      </c>
      <c r="X113">
        <v>0.33333333333333326</v>
      </c>
      <c r="Y113">
        <v>5</v>
      </c>
      <c r="Z113">
        <v>10</v>
      </c>
      <c r="AA113">
        <v>13</v>
      </c>
      <c r="AB113">
        <v>2.3333333333333344</v>
      </c>
      <c r="AC113">
        <v>6</v>
      </c>
      <c r="AD113">
        <v>3.3333333333333339</v>
      </c>
      <c r="AE113">
        <v>8</v>
      </c>
      <c r="AF113">
        <v>11.888888888888888</v>
      </c>
      <c r="AG113">
        <v>9</v>
      </c>
      <c r="AH113">
        <v>0.88888888888888884</v>
      </c>
      <c r="AI113">
        <v>26</v>
      </c>
      <c r="AJ113">
        <v>23.666666666666668</v>
      </c>
      <c r="AK113">
        <v>18</v>
      </c>
      <c r="AL113">
        <v>-0.47777777777777786</v>
      </c>
      <c r="AM113">
        <v>21</v>
      </c>
      <c r="AN113">
        <v>-1.7777777777777779</v>
      </c>
      <c r="AO113">
        <v>31</v>
      </c>
      <c r="AP113">
        <v>-18.222222222222225</v>
      </c>
      <c r="AQ113">
        <v>22</v>
      </c>
      <c r="AR113">
        <v>-0.55555555555555558</v>
      </c>
      <c r="AS113">
        <v>4</v>
      </c>
      <c r="AT113">
        <v>4.666666666666667</v>
      </c>
      <c r="AU113">
        <v>2</v>
      </c>
      <c r="AV113">
        <v>13.133333333333333</v>
      </c>
      <c r="AW113">
        <v>6</v>
      </c>
      <c r="AX113">
        <v>32.111111111111114</v>
      </c>
      <c r="AY113">
        <v>6</v>
      </c>
      <c r="AZ113">
        <v>3.1111111111111107</v>
      </c>
      <c r="BA113">
        <v>3</v>
      </c>
      <c r="BB113">
        <v>3.3333333333333335</v>
      </c>
      <c r="BC113">
        <v>3</v>
      </c>
      <c r="BD113">
        <v>7.6333333333333337</v>
      </c>
      <c r="BE113">
        <v>4</v>
      </c>
      <c r="BF113">
        <v>27.666666666666668</v>
      </c>
      <c r="BG113">
        <v>3</v>
      </c>
      <c r="BH113">
        <v>2.3333333333333335</v>
      </c>
      <c r="BI113">
        <v>13</v>
      </c>
      <c r="BJ113">
        <v>12.333333333333334</v>
      </c>
      <c r="BK113">
        <v>5</v>
      </c>
      <c r="BL113">
        <v>3.6888888888888887</v>
      </c>
      <c r="BM113">
        <v>14</v>
      </c>
      <c r="BN113">
        <v>4.4444444444444455</v>
      </c>
      <c r="BO113">
        <v>18</v>
      </c>
      <c r="BP113">
        <v>-0.33333333333333331</v>
      </c>
      <c r="BQ113">
        <v>10</v>
      </c>
      <c r="BR113">
        <v>11.333333333333334</v>
      </c>
      <c r="BS113">
        <v>9</v>
      </c>
      <c r="BT113">
        <v>1.8111111111111107</v>
      </c>
      <c r="BU113">
        <v>17</v>
      </c>
      <c r="BV113">
        <v>0</v>
      </c>
      <c r="BW113">
        <v>8</v>
      </c>
      <c r="BX113">
        <v>1.1111111111111109</v>
      </c>
      <c r="BY113">
        <v>8</v>
      </c>
      <c r="BZ113">
        <v>9</v>
      </c>
      <c r="CA113">
        <v>5</v>
      </c>
      <c r="CB113">
        <v>4.7888888888888888</v>
      </c>
      <c r="CC113">
        <v>11</v>
      </c>
      <c r="CD113">
        <v>7.8888888888888902</v>
      </c>
      <c r="CE113">
        <v>11</v>
      </c>
      <c r="CF113">
        <v>1</v>
      </c>
      <c r="CG113">
        <v>1</v>
      </c>
      <c r="CH113">
        <v>1.6666666666666667</v>
      </c>
      <c r="CI113">
        <v>1</v>
      </c>
      <c r="CJ113">
        <v>6.0444444444444443</v>
      </c>
      <c r="CK113">
        <v>2</v>
      </c>
      <c r="CL113">
        <v>23.777777777777782</v>
      </c>
      <c r="CM113">
        <v>2</v>
      </c>
      <c r="CN113">
        <v>3</v>
      </c>
      <c r="CO113">
        <v>26</v>
      </c>
      <c r="CP113">
        <v>25.5</v>
      </c>
      <c r="CQ113">
        <v>24</v>
      </c>
      <c r="CR113">
        <v>-0.88888888888888928</v>
      </c>
      <c r="CS113">
        <v>27</v>
      </c>
      <c r="CT113">
        <v>-0.55555555555555547</v>
      </c>
      <c r="CU113">
        <v>-0.22222222222222188</v>
      </c>
      <c r="CV113">
        <v>31</v>
      </c>
      <c r="CW113">
        <v>28</v>
      </c>
      <c r="CX113">
        <v>18</v>
      </c>
      <c r="CY113">
        <v>-1.7615145772483836E-2</v>
      </c>
      <c r="CZ113">
        <v>32</v>
      </c>
      <c r="DA113">
        <v>-3.8434718912356433E-2</v>
      </c>
      <c r="DB113">
        <v>32</v>
      </c>
      <c r="DC113">
        <v>0.15337902837902842</v>
      </c>
      <c r="DD113">
        <v>30</v>
      </c>
      <c r="DE113">
        <v>-3.3333333333333335</v>
      </c>
      <c r="DF113">
        <v>4.0000000000000027</v>
      </c>
      <c r="DG113">
        <v>8</v>
      </c>
      <c r="DH113">
        <v>-0.77777777777777779</v>
      </c>
      <c r="DI113">
        <v>57.333333333333314</v>
      </c>
      <c r="DJ113">
        <v>51.444444444444436</v>
      </c>
      <c r="DK113">
        <v>-4.6666666666666714</v>
      </c>
      <c r="DL113">
        <v>7.1111111111111107</v>
      </c>
      <c r="DM113">
        <v>3.4444444444444429</v>
      </c>
      <c r="DN113">
        <v>4</v>
      </c>
      <c r="DO113">
        <v>8.4355555555555561</v>
      </c>
      <c r="DP113">
        <v>4.9660000000000002</v>
      </c>
      <c r="DQ113">
        <v>56.111111111111107</v>
      </c>
      <c r="DR113">
        <v>29</v>
      </c>
      <c r="DS113">
        <v>3.8044444444444445</v>
      </c>
      <c r="DT113">
        <v>6.1111111111111107</v>
      </c>
      <c r="DU113">
        <v>-1.5366666666666668</v>
      </c>
      <c r="DV113">
        <v>-0.3911111111111113</v>
      </c>
      <c r="DW113" t="s">
        <v>302</v>
      </c>
      <c r="DX113" t="s">
        <v>292</v>
      </c>
      <c r="DY113" t="s">
        <v>464</v>
      </c>
      <c r="DZ113">
        <v>28</v>
      </c>
      <c r="EA113">
        <v>-4.7466666666666653</v>
      </c>
      <c r="EB113">
        <v>25</v>
      </c>
      <c r="EC113">
        <v>20.5</v>
      </c>
      <c r="ED113">
        <v>26</v>
      </c>
      <c r="EE113">
        <v>-4.4888888888888889</v>
      </c>
      <c r="EF113">
        <v>25</v>
      </c>
      <c r="EG113">
        <v>-1.5555555555555558</v>
      </c>
      <c r="EH113">
        <v>13</v>
      </c>
      <c r="EI113">
        <v>-2.333333333333333</v>
      </c>
      <c r="EJ113">
        <v>18</v>
      </c>
      <c r="EK113">
        <v>-0.2222222222222221</v>
      </c>
      <c r="EL113">
        <v>28</v>
      </c>
      <c r="EM113">
        <v>23.75</v>
      </c>
      <c r="EN113">
        <v>27</v>
      </c>
      <c r="EO113">
        <v>-3.8555555555555556</v>
      </c>
      <c r="EP113">
        <v>26</v>
      </c>
      <c r="EQ113">
        <v>-1.8888888888888893</v>
      </c>
      <c r="ER113">
        <v>15</v>
      </c>
      <c r="ES113">
        <v>-1.3333333333333333</v>
      </c>
      <c r="ET113">
        <v>27</v>
      </c>
      <c r="EU113">
        <v>-0.88888888888888873</v>
      </c>
      <c r="EV113">
        <v>18</v>
      </c>
      <c r="EW113">
        <v>17.333333333333332</v>
      </c>
      <c r="EX113">
        <v>21</v>
      </c>
      <c r="EY113">
        <v>-0.63333333333333286</v>
      </c>
      <c r="EZ113">
        <v>14</v>
      </c>
      <c r="FA113">
        <v>0.33333333333333348</v>
      </c>
      <c r="FB113">
        <v>17</v>
      </c>
      <c r="FC113">
        <v>-1</v>
      </c>
      <c r="FD113">
        <v>5</v>
      </c>
      <c r="FE113">
        <v>0.66666666666666663</v>
      </c>
      <c r="FF113">
        <v>8</v>
      </c>
      <c r="FG113">
        <v>10.666666666666666</v>
      </c>
      <c r="FH113">
        <v>14</v>
      </c>
      <c r="FI113">
        <v>-8.8888888888891238E-2</v>
      </c>
      <c r="FJ113">
        <v>10</v>
      </c>
      <c r="FK113">
        <v>12.666666666666668</v>
      </c>
      <c r="FL113">
        <v>8</v>
      </c>
      <c r="FM113">
        <v>0.66666666666666674</v>
      </c>
      <c r="FN113">
        <v>13</v>
      </c>
      <c r="FO113">
        <v>14</v>
      </c>
      <c r="FP113">
        <v>15</v>
      </c>
      <c r="FQ113">
        <v>0.1333333333333305</v>
      </c>
      <c r="FR113">
        <v>13</v>
      </c>
      <c r="FS113">
        <v>3.6666666666666692</v>
      </c>
      <c r="FT113">
        <v>14</v>
      </c>
      <c r="FU113">
        <v>0</v>
      </c>
      <c r="FV113">
        <v>20</v>
      </c>
      <c r="FW113">
        <v>19</v>
      </c>
      <c r="FX113">
        <v>25</v>
      </c>
      <c r="FY113">
        <v>-2.5111111111111111</v>
      </c>
      <c r="FZ113">
        <v>17</v>
      </c>
      <c r="GA113">
        <v>0.44444444444444403</v>
      </c>
      <c r="GB113">
        <v>15</v>
      </c>
      <c r="GC113">
        <v>0.33333333333333343</v>
      </c>
      <c r="GD113">
        <v>7</v>
      </c>
      <c r="GE113">
        <v>8.6666666666666661</v>
      </c>
      <c r="GF113">
        <v>5</v>
      </c>
      <c r="GG113">
        <v>2.2888888888888892</v>
      </c>
      <c r="GH113">
        <v>7</v>
      </c>
      <c r="GI113">
        <v>8.5555555555555554</v>
      </c>
      <c r="GJ113">
        <v>14</v>
      </c>
      <c r="GK113">
        <v>0.33333333333333331</v>
      </c>
      <c r="GL113">
        <v>19</v>
      </c>
      <c r="GM113">
        <v>19.333333333333332</v>
      </c>
      <c r="GN113">
        <v>24</v>
      </c>
      <c r="GO113">
        <v>-3.5444444444444461</v>
      </c>
      <c r="GP113">
        <v>15</v>
      </c>
      <c r="GQ113">
        <v>-3.2222222222222192</v>
      </c>
      <c r="GR113">
        <v>19</v>
      </c>
      <c r="GS113">
        <v>-0.66666666666666641</v>
      </c>
      <c r="GT113">
        <v>32</v>
      </c>
      <c r="GU113">
        <v>32</v>
      </c>
      <c r="GV113">
        <v>32</v>
      </c>
      <c r="GW113">
        <v>-9.5777777777777775</v>
      </c>
      <c r="GX113">
        <v>32</v>
      </c>
      <c r="GY113">
        <v>-33.55555555555555</v>
      </c>
      <c r="GZ113">
        <v>32</v>
      </c>
      <c r="HA113">
        <v>-3.1111111111111107</v>
      </c>
      <c r="HB113">
        <v>24</v>
      </c>
      <c r="HC113">
        <v>24</v>
      </c>
      <c r="HD113">
        <v>30</v>
      </c>
      <c r="HE113">
        <v>-2.5555555555555558</v>
      </c>
      <c r="HF113">
        <v>18</v>
      </c>
      <c r="HG113">
        <v>-1.8503717077085941E-17</v>
      </c>
      <c r="HH113">
        <v>-1.4444444444444446</v>
      </c>
      <c r="HI113">
        <v>8</v>
      </c>
      <c r="HJ113">
        <v>13.25</v>
      </c>
      <c r="HK113">
        <v>9</v>
      </c>
      <c r="HL113">
        <v>1.9341916253680952E-2</v>
      </c>
      <c r="HM113">
        <v>16</v>
      </c>
      <c r="HN113">
        <v>-5.0174371742999239E-3</v>
      </c>
      <c r="HO113">
        <v>27</v>
      </c>
      <c r="HP113">
        <v>0.11402116402116402</v>
      </c>
      <c r="HQ113">
        <v>1</v>
      </c>
      <c r="HR113">
        <v>6.4444444444444438</v>
      </c>
      <c r="HS113">
        <v>-0.44444444444444287</v>
      </c>
      <c r="HT113">
        <v>-7.666666666666667</v>
      </c>
      <c r="HU113">
        <v>-0.22222222222222221</v>
      </c>
      <c r="HV113">
        <v>-33.444444444444436</v>
      </c>
      <c r="HW113">
        <v>-18.666666666666657</v>
      </c>
      <c r="HX113">
        <v>-12.333333333333336</v>
      </c>
      <c r="HY113">
        <v>-5.7777777777777777</v>
      </c>
      <c r="HZ113">
        <v>3.3333333333333335</v>
      </c>
      <c r="IA113">
        <v>20</v>
      </c>
      <c r="IB113">
        <v>-0.25777777777777633</v>
      </c>
      <c r="IC113">
        <v>-0.63822222222222225</v>
      </c>
      <c r="ID113">
        <v>-6.3333333333333215</v>
      </c>
      <c r="IE113">
        <v>13</v>
      </c>
      <c r="IF113">
        <v>-2.6822222222222223</v>
      </c>
      <c r="IG113">
        <v>-2.4444444444444438</v>
      </c>
    </row>
    <row r="114" spans="1:241" x14ac:dyDescent="0.2">
      <c r="A114" s="19">
        <v>44108</v>
      </c>
      <c r="B114" s="13" t="s">
        <v>417</v>
      </c>
      <c r="C114" s="41" t="s">
        <v>303</v>
      </c>
      <c r="D114" s="14" t="s">
        <v>276</v>
      </c>
      <c r="E114">
        <v>10.7</v>
      </c>
      <c r="F114">
        <v>14.4</v>
      </c>
      <c r="G114">
        <v>7.2</v>
      </c>
      <c r="H114">
        <v>16.8</v>
      </c>
      <c r="I114">
        <v>3</v>
      </c>
      <c r="J114">
        <v>53</v>
      </c>
      <c r="L114" t="s">
        <v>303</v>
      </c>
      <c r="M114">
        <v>21</v>
      </c>
      <c r="N114">
        <v>-1.4333333333333325</v>
      </c>
      <c r="O114">
        <v>7</v>
      </c>
      <c r="P114">
        <v>10.25</v>
      </c>
      <c r="Q114">
        <v>13</v>
      </c>
      <c r="R114">
        <v>0.9777777777777773</v>
      </c>
      <c r="S114">
        <v>4</v>
      </c>
      <c r="T114">
        <v>3.666666666666667</v>
      </c>
      <c r="U114">
        <v>8</v>
      </c>
      <c r="V114">
        <v>14.222222222222223</v>
      </c>
      <c r="W114">
        <v>16</v>
      </c>
      <c r="X114">
        <v>-0.1111111111111111</v>
      </c>
      <c r="Y114">
        <v>12</v>
      </c>
      <c r="Z114">
        <v>14</v>
      </c>
      <c r="AA114">
        <v>16</v>
      </c>
      <c r="AB114">
        <v>3.3333333333332625E-2</v>
      </c>
      <c r="AC114">
        <v>2</v>
      </c>
      <c r="AD114">
        <v>5.8888888888888893</v>
      </c>
      <c r="AE114">
        <v>9</v>
      </c>
      <c r="AF114">
        <v>10.555555555555557</v>
      </c>
      <c r="AG114">
        <v>17</v>
      </c>
      <c r="AH114">
        <v>-0.44444444444444436</v>
      </c>
      <c r="AI114">
        <v>9</v>
      </c>
      <c r="AJ114">
        <v>12.333333333333334</v>
      </c>
      <c r="AK114">
        <v>11</v>
      </c>
      <c r="AL114">
        <v>0.94444444444444464</v>
      </c>
      <c r="AM114">
        <v>25</v>
      </c>
      <c r="AN114">
        <v>-2.2222222222222223</v>
      </c>
      <c r="AO114">
        <v>13</v>
      </c>
      <c r="AP114">
        <v>3.6666666666666661</v>
      </c>
      <c r="AQ114">
        <v>13</v>
      </c>
      <c r="AR114">
        <v>0.33333333333333326</v>
      </c>
      <c r="AS114">
        <v>30</v>
      </c>
      <c r="AT114">
        <v>29</v>
      </c>
      <c r="AU114">
        <v>27</v>
      </c>
      <c r="AV114">
        <v>-8.0777777777777775</v>
      </c>
      <c r="AW114">
        <v>29</v>
      </c>
      <c r="AX114">
        <v>-39.333333333333329</v>
      </c>
      <c r="AY114">
        <v>31</v>
      </c>
      <c r="AZ114">
        <v>-4.4444444444444446</v>
      </c>
      <c r="BA114">
        <v>32</v>
      </c>
      <c r="BB114">
        <v>32</v>
      </c>
      <c r="BC114">
        <v>32</v>
      </c>
      <c r="BD114">
        <v>-7.7222222222222223</v>
      </c>
      <c r="BE114">
        <v>32</v>
      </c>
      <c r="BF114">
        <v>-32.111111111111107</v>
      </c>
      <c r="BG114">
        <v>32</v>
      </c>
      <c r="BH114">
        <v>-2.4444444444444446</v>
      </c>
      <c r="BI114">
        <v>24</v>
      </c>
      <c r="BJ114">
        <v>22.333333333333332</v>
      </c>
      <c r="BK114">
        <v>16</v>
      </c>
      <c r="BL114">
        <v>0.10000000000000053</v>
      </c>
      <c r="BM114">
        <v>20</v>
      </c>
      <c r="BN114">
        <v>-7.8888888888888884</v>
      </c>
      <c r="BO114">
        <v>31</v>
      </c>
      <c r="BP114">
        <v>-1.8888888888888886</v>
      </c>
      <c r="BQ114">
        <v>16</v>
      </c>
      <c r="BR114">
        <v>16</v>
      </c>
      <c r="BS114">
        <v>15</v>
      </c>
      <c r="BT114">
        <v>-0.45555555555555588</v>
      </c>
      <c r="BU114">
        <v>14</v>
      </c>
      <c r="BV114">
        <v>0.66666666666666785</v>
      </c>
      <c r="BW114">
        <v>19</v>
      </c>
      <c r="BX114">
        <v>-0.11111111111111116</v>
      </c>
      <c r="BY114">
        <v>27</v>
      </c>
      <c r="BZ114">
        <v>26.333333333333332</v>
      </c>
      <c r="CA114">
        <v>25</v>
      </c>
      <c r="CB114">
        <v>-2.6333333333333346</v>
      </c>
      <c r="CC114">
        <v>26</v>
      </c>
      <c r="CD114">
        <v>-15.22222222222222</v>
      </c>
      <c r="CE114">
        <v>28</v>
      </c>
      <c r="CF114">
        <v>-1.9999999999999993</v>
      </c>
      <c r="CG114">
        <v>4</v>
      </c>
      <c r="CH114">
        <v>4.333333333333333</v>
      </c>
      <c r="CI114">
        <v>5</v>
      </c>
      <c r="CJ114">
        <v>4.6777777777777771</v>
      </c>
      <c r="CK114">
        <v>7</v>
      </c>
      <c r="CL114">
        <v>15.666666666666666</v>
      </c>
      <c r="CM114">
        <v>1</v>
      </c>
      <c r="CN114">
        <v>3.2222222222222219</v>
      </c>
      <c r="CO114">
        <v>1</v>
      </c>
      <c r="CP114">
        <v>2.5</v>
      </c>
      <c r="CQ114">
        <v>3</v>
      </c>
      <c r="CR114">
        <v>2.3333333333333335</v>
      </c>
      <c r="CS114">
        <v>2</v>
      </c>
      <c r="CT114">
        <v>0.66666666666666663</v>
      </c>
      <c r="CU114">
        <v>-2</v>
      </c>
      <c r="CV114">
        <v>19</v>
      </c>
      <c r="CW114">
        <v>18</v>
      </c>
      <c r="CX114">
        <v>25</v>
      </c>
      <c r="CY114">
        <v>-3.8681544100996751E-2</v>
      </c>
      <c r="CZ114">
        <v>15</v>
      </c>
      <c r="DA114">
        <v>3.0105874055234749E-3</v>
      </c>
      <c r="DB114">
        <v>11</v>
      </c>
      <c r="DC114">
        <v>-4.9120759414877056E-2</v>
      </c>
      <c r="DD114">
        <v>21</v>
      </c>
      <c r="DE114">
        <v>-0.99999999999999967</v>
      </c>
      <c r="DF114">
        <v>-0.1111111111111119</v>
      </c>
      <c r="DG114">
        <v>2.5555555555555558</v>
      </c>
      <c r="DH114">
        <v>0</v>
      </c>
      <c r="DI114">
        <v>21.888888888888875</v>
      </c>
      <c r="DJ114">
        <v>2.2222222222222192</v>
      </c>
      <c r="DK114">
        <v>25.222222222222218</v>
      </c>
      <c r="DL114">
        <v>1.8888888888888891</v>
      </c>
      <c r="DM114">
        <v>-7.4444444444444438</v>
      </c>
      <c r="DN114">
        <v>21</v>
      </c>
      <c r="DO114">
        <v>-2.4111111111111097</v>
      </c>
      <c r="DP114">
        <v>-1.455555555555555</v>
      </c>
      <c r="DQ114">
        <v>-23</v>
      </c>
      <c r="DR114">
        <v>12</v>
      </c>
      <c r="DS114">
        <v>-0.1902777777777776</v>
      </c>
      <c r="DT114">
        <v>-1.2222222222222228</v>
      </c>
      <c r="DU114">
        <v>1.1199999999999999</v>
      </c>
      <c r="DV114">
        <v>1.7500000000000043E-2</v>
      </c>
      <c r="DW114" t="s">
        <v>276</v>
      </c>
      <c r="DX114" t="s">
        <v>261</v>
      </c>
      <c r="DY114" t="s">
        <v>455</v>
      </c>
      <c r="DZ114">
        <v>8</v>
      </c>
      <c r="EA114">
        <v>3.4244444444444451</v>
      </c>
      <c r="EB114">
        <v>21</v>
      </c>
      <c r="EC114">
        <v>19.25</v>
      </c>
      <c r="ED114">
        <v>16</v>
      </c>
      <c r="EE114">
        <v>2.2222222222222442E-2</v>
      </c>
      <c r="EF114">
        <v>32</v>
      </c>
      <c r="EG114">
        <v>-4.666666666666667</v>
      </c>
      <c r="EH114">
        <v>19</v>
      </c>
      <c r="EI114">
        <v>-9.2222222222222179</v>
      </c>
      <c r="EJ114">
        <v>10</v>
      </c>
      <c r="EK114">
        <v>0.55555555555555558</v>
      </c>
      <c r="EL114">
        <v>18</v>
      </c>
      <c r="EM114">
        <v>17.75</v>
      </c>
      <c r="EN114">
        <v>15</v>
      </c>
      <c r="EO114">
        <v>-1.1111111111110775E-2</v>
      </c>
      <c r="EP114">
        <v>30</v>
      </c>
      <c r="EQ114">
        <v>-3.4444444444444446</v>
      </c>
      <c r="ER114">
        <v>18</v>
      </c>
      <c r="ES114">
        <v>-4.2222222222222188</v>
      </c>
      <c r="ET114">
        <v>8</v>
      </c>
      <c r="EU114">
        <v>0.55555555555555558</v>
      </c>
      <c r="EV114">
        <v>24</v>
      </c>
      <c r="EW114">
        <v>21</v>
      </c>
      <c r="EX114">
        <v>17</v>
      </c>
      <c r="EY114">
        <v>3.3333333333333215E-2</v>
      </c>
      <c r="EZ114">
        <v>23</v>
      </c>
      <c r="FA114">
        <v>-1.2222222222222221</v>
      </c>
      <c r="FB114">
        <v>23</v>
      </c>
      <c r="FC114">
        <v>-5</v>
      </c>
      <c r="FD114">
        <v>18</v>
      </c>
      <c r="FE114">
        <v>0</v>
      </c>
      <c r="FF114">
        <v>2</v>
      </c>
      <c r="FG114">
        <v>3</v>
      </c>
      <c r="FH114">
        <v>4</v>
      </c>
      <c r="FI114">
        <v>9.3444444444444432</v>
      </c>
      <c r="FJ114">
        <v>3</v>
      </c>
      <c r="FK114">
        <v>32.555555555555557</v>
      </c>
      <c r="FL114">
        <v>2</v>
      </c>
      <c r="FM114">
        <v>4.7777777777777777</v>
      </c>
      <c r="FN114">
        <v>3</v>
      </c>
      <c r="FO114">
        <v>3.6666666666666665</v>
      </c>
      <c r="FP114">
        <v>5</v>
      </c>
      <c r="FQ114">
        <v>4.8111111111111109</v>
      </c>
      <c r="FR114">
        <v>4</v>
      </c>
      <c r="FS114">
        <v>15.111111111111114</v>
      </c>
      <c r="FT114">
        <v>2</v>
      </c>
      <c r="FU114">
        <v>2.2222222222222219</v>
      </c>
      <c r="FV114">
        <v>3</v>
      </c>
      <c r="FW114">
        <v>5</v>
      </c>
      <c r="FX114">
        <v>6</v>
      </c>
      <c r="FY114">
        <v>4.4666666666666659</v>
      </c>
      <c r="FZ114">
        <v>7</v>
      </c>
      <c r="GA114">
        <v>13.444444444444441</v>
      </c>
      <c r="GB114">
        <v>2</v>
      </c>
      <c r="GC114">
        <v>1.7777777777777777</v>
      </c>
      <c r="GD114">
        <v>11</v>
      </c>
      <c r="GE114">
        <v>12</v>
      </c>
      <c r="GF114">
        <v>17</v>
      </c>
      <c r="GG114">
        <v>6.6666666666666582E-2</v>
      </c>
      <c r="GH114">
        <v>12</v>
      </c>
      <c r="GI114">
        <v>4</v>
      </c>
      <c r="GJ114">
        <v>7</v>
      </c>
      <c r="GK114">
        <v>0.77777777777777801</v>
      </c>
      <c r="GL114">
        <v>3</v>
      </c>
      <c r="GM114">
        <v>3.3333333333333335</v>
      </c>
      <c r="GN114">
        <v>4</v>
      </c>
      <c r="GO114">
        <v>6.3666666666666645</v>
      </c>
      <c r="GP114">
        <v>3</v>
      </c>
      <c r="GQ114">
        <v>42.555555555555557</v>
      </c>
      <c r="GR114">
        <v>3</v>
      </c>
      <c r="GS114">
        <v>4.0000000000000009</v>
      </c>
      <c r="GT114">
        <v>4</v>
      </c>
      <c r="GU114">
        <v>3.6666666666666665</v>
      </c>
      <c r="GV114">
        <v>5</v>
      </c>
      <c r="GW114">
        <v>4.0999999999999996</v>
      </c>
      <c r="GX114">
        <v>1</v>
      </c>
      <c r="GY114">
        <v>27.666666666666668</v>
      </c>
      <c r="GZ114">
        <v>5</v>
      </c>
      <c r="HA114">
        <v>1.555555555555556</v>
      </c>
      <c r="HB114">
        <v>11</v>
      </c>
      <c r="HC114">
        <v>11</v>
      </c>
      <c r="HD114">
        <v>12</v>
      </c>
      <c r="HE114">
        <v>0.88888888888888895</v>
      </c>
      <c r="HF114">
        <v>10</v>
      </c>
      <c r="HG114">
        <v>0.22222222222222224</v>
      </c>
      <c r="HH114">
        <v>-0.55555555555555547</v>
      </c>
      <c r="HI114">
        <v>15</v>
      </c>
      <c r="HJ114">
        <v>15.5</v>
      </c>
      <c r="HK114">
        <v>16</v>
      </c>
      <c r="HL114">
        <v>-1.1472304021323635E-2</v>
      </c>
      <c r="HM114">
        <v>5</v>
      </c>
      <c r="HN114">
        <v>1.8488033389994173E-2</v>
      </c>
      <c r="HO114">
        <v>16</v>
      </c>
      <c r="HP114">
        <v>-2.6455026455026362E-3</v>
      </c>
      <c r="HQ114">
        <v>25</v>
      </c>
      <c r="HR114">
        <v>-1.8888888888888886</v>
      </c>
      <c r="HS114">
        <v>-5.5555555555555545</v>
      </c>
      <c r="HT114">
        <v>3.8888888888888888</v>
      </c>
      <c r="HU114">
        <v>0</v>
      </c>
      <c r="HV114">
        <v>38</v>
      </c>
      <c r="HW114">
        <v>54.222222222222207</v>
      </c>
      <c r="HX114">
        <v>-5.2222222222222188</v>
      </c>
      <c r="HY114">
        <v>-3.5555555555555554</v>
      </c>
      <c r="HZ114">
        <v>-7.4444444444444455</v>
      </c>
      <c r="IA114">
        <v>8</v>
      </c>
      <c r="IB114">
        <v>3.4022222222222225</v>
      </c>
      <c r="IC114">
        <v>3.3626666666666667</v>
      </c>
      <c r="ID114">
        <v>59.444444444444429</v>
      </c>
      <c r="IE114">
        <v>25</v>
      </c>
      <c r="IF114">
        <v>2.2224999999999997</v>
      </c>
      <c r="IG114">
        <v>6.3333333333333339</v>
      </c>
    </row>
    <row r="115" spans="1:241" x14ac:dyDescent="0.2">
      <c r="A115" s="19">
        <v>44108</v>
      </c>
      <c r="B115" s="13" t="s">
        <v>417</v>
      </c>
      <c r="C115" s="41" t="s">
        <v>287</v>
      </c>
      <c r="D115" s="14" t="s">
        <v>284</v>
      </c>
      <c r="E115">
        <v>14.2</v>
      </c>
      <c r="F115">
        <v>14.2</v>
      </c>
      <c r="G115">
        <v>12.3</v>
      </c>
      <c r="H115">
        <v>5.9</v>
      </c>
      <c r="I115">
        <v>7</v>
      </c>
      <c r="J115">
        <v>42</v>
      </c>
      <c r="L115" t="s">
        <v>287</v>
      </c>
      <c r="M115">
        <v>10</v>
      </c>
      <c r="N115">
        <v>0.99111111111110917</v>
      </c>
      <c r="O115">
        <v>6</v>
      </c>
      <c r="P115">
        <v>9.75</v>
      </c>
      <c r="Q115">
        <v>16</v>
      </c>
      <c r="R115">
        <v>-0.48888888888889004</v>
      </c>
      <c r="S115">
        <v>3</v>
      </c>
      <c r="T115">
        <v>6.1111111111111098</v>
      </c>
      <c r="U115">
        <v>9</v>
      </c>
      <c r="V115">
        <v>13.111111111111107</v>
      </c>
      <c r="W115">
        <v>11</v>
      </c>
      <c r="X115">
        <v>0.44444444444444436</v>
      </c>
      <c r="Y115">
        <v>14</v>
      </c>
      <c r="Z115">
        <v>15</v>
      </c>
      <c r="AA115">
        <v>18</v>
      </c>
      <c r="AB115">
        <v>-1.5333333333333343</v>
      </c>
      <c r="AC115">
        <v>15</v>
      </c>
      <c r="AD115">
        <v>-0.11111111111111131</v>
      </c>
      <c r="AE115">
        <v>18</v>
      </c>
      <c r="AF115">
        <v>-5.5555555555555571</v>
      </c>
      <c r="AG115">
        <v>9</v>
      </c>
      <c r="AH115">
        <v>0.88888888888888884</v>
      </c>
      <c r="AI115">
        <v>7</v>
      </c>
      <c r="AJ115">
        <v>11.333333333333334</v>
      </c>
      <c r="AK115">
        <v>10</v>
      </c>
      <c r="AL115">
        <v>1.0444444444444443</v>
      </c>
      <c r="AM115">
        <v>1</v>
      </c>
      <c r="AN115">
        <v>6.2222222222222214</v>
      </c>
      <c r="AO115">
        <v>3</v>
      </c>
      <c r="AP115">
        <v>18.666666666666664</v>
      </c>
      <c r="AQ115">
        <v>21</v>
      </c>
      <c r="AR115">
        <v>-0.44444444444444448</v>
      </c>
      <c r="AS115">
        <v>10</v>
      </c>
      <c r="AT115">
        <v>9.6666666666666661</v>
      </c>
      <c r="AU115">
        <v>13</v>
      </c>
      <c r="AV115">
        <v>1.9777777777777781</v>
      </c>
      <c r="AW115">
        <v>11</v>
      </c>
      <c r="AX115">
        <v>14.888888888888888</v>
      </c>
      <c r="AY115">
        <v>5</v>
      </c>
      <c r="AZ115">
        <v>3.4444444444444451</v>
      </c>
      <c r="BA115">
        <v>5</v>
      </c>
      <c r="BB115">
        <v>6.666666666666667</v>
      </c>
      <c r="BC115">
        <v>11</v>
      </c>
      <c r="BD115">
        <v>1.9444444444444449</v>
      </c>
      <c r="BE115">
        <v>7</v>
      </c>
      <c r="BF115">
        <v>11.111111111111109</v>
      </c>
      <c r="BG115">
        <v>2</v>
      </c>
      <c r="BH115">
        <v>2.8888888888888888</v>
      </c>
      <c r="BI115">
        <v>10</v>
      </c>
      <c r="BJ115">
        <v>11.666666666666666</v>
      </c>
      <c r="BK115">
        <v>19</v>
      </c>
      <c r="BL115">
        <v>-0.25555555555555554</v>
      </c>
      <c r="BM115">
        <v>11</v>
      </c>
      <c r="BN115">
        <v>6.333333333333333</v>
      </c>
      <c r="BO115">
        <v>5</v>
      </c>
      <c r="BP115">
        <v>1.4444444444444446</v>
      </c>
      <c r="BQ115">
        <v>17</v>
      </c>
      <c r="BR115">
        <v>18.333333333333332</v>
      </c>
      <c r="BS115">
        <v>13</v>
      </c>
      <c r="BT115">
        <v>0.28888888888888875</v>
      </c>
      <c r="BU115">
        <v>18</v>
      </c>
      <c r="BV115">
        <v>-2.5555555555555554</v>
      </c>
      <c r="BW115">
        <v>24</v>
      </c>
      <c r="BX115">
        <v>-0.88888888888888895</v>
      </c>
      <c r="BY115">
        <v>15</v>
      </c>
      <c r="BZ115">
        <v>17.333333333333332</v>
      </c>
      <c r="CA115">
        <v>16</v>
      </c>
      <c r="CB115">
        <v>-0.72222222222222177</v>
      </c>
      <c r="CC115">
        <v>14</v>
      </c>
      <c r="CD115">
        <v>-1.6666666666666667</v>
      </c>
      <c r="CE115">
        <v>22</v>
      </c>
      <c r="CF115">
        <v>-0.77777777777777735</v>
      </c>
      <c r="CG115">
        <v>7</v>
      </c>
      <c r="CH115">
        <v>7.333333333333333</v>
      </c>
      <c r="CI115">
        <v>9</v>
      </c>
      <c r="CJ115">
        <v>2.8111111111111113</v>
      </c>
      <c r="CK115">
        <v>4</v>
      </c>
      <c r="CL115">
        <v>22.555555555555554</v>
      </c>
      <c r="CM115">
        <v>9</v>
      </c>
      <c r="CN115">
        <v>1.2222222222222223</v>
      </c>
      <c r="CO115">
        <v>10</v>
      </c>
      <c r="CP115">
        <v>10.5</v>
      </c>
      <c r="CQ115">
        <v>17</v>
      </c>
      <c r="CR115">
        <v>2.9605947323337506E-16</v>
      </c>
      <c r="CS115">
        <v>4</v>
      </c>
      <c r="CT115">
        <v>0.55555555555555547</v>
      </c>
      <c r="CU115">
        <v>0.3333333333333332</v>
      </c>
      <c r="CV115">
        <v>15</v>
      </c>
      <c r="CW115">
        <v>15.5</v>
      </c>
      <c r="CX115">
        <v>5</v>
      </c>
      <c r="CY115">
        <v>7.6537664607937428E-2</v>
      </c>
      <c r="CZ115">
        <v>20</v>
      </c>
      <c r="DA115">
        <v>-3.1443063819370787E-3</v>
      </c>
      <c r="DB115">
        <v>28</v>
      </c>
      <c r="DC115">
        <v>0.13236850295673822</v>
      </c>
      <c r="DD115">
        <v>9</v>
      </c>
      <c r="DE115">
        <v>1.8888888888888893</v>
      </c>
      <c r="DF115">
        <v>7.4444444444444402</v>
      </c>
      <c r="DG115">
        <v>-5.7777777777777786</v>
      </c>
      <c r="DH115">
        <v>-0.77777777777777779</v>
      </c>
      <c r="DI115">
        <v>48.666666666666664</v>
      </c>
      <c r="DJ115">
        <v>49.777777777777771</v>
      </c>
      <c r="DK115">
        <v>9.7777777777777715</v>
      </c>
      <c r="DL115">
        <v>1.1111111111111114</v>
      </c>
      <c r="DM115">
        <v>-12</v>
      </c>
      <c r="DN115">
        <v>15</v>
      </c>
      <c r="DO115">
        <v>1.4799999999999991</v>
      </c>
      <c r="DP115">
        <v>1.4004444444444446</v>
      </c>
      <c r="DQ115">
        <v>40</v>
      </c>
      <c r="DR115">
        <v>18</v>
      </c>
      <c r="DS115">
        <v>0.66138888888888858</v>
      </c>
      <c r="DT115">
        <v>4.6666666666666679</v>
      </c>
      <c r="DU115">
        <v>-1.5177777777777779</v>
      </c>
      <c r="DV115">
        <v>-2.3638888888888894</v>
      </c>
      <c r="DW115" t="s">
        <v>284</v>
      </c>
      <c r="DX115" t="s">
        <v>243</v>
      </c>
      <c r="DY115" t="s">
        <v>486</v>
      </c>
      <c r="DZ115">
        <v>24</v>
      </c>
      <c r="EA115">
        <v>-2.8400000000000012</v>
      </c>
      <c r="EB115">
        <v>22</v>
      </c>
      <c r="EC115">
        <v>19.75</v>
      </c>
      <c r="ED115">
        <v>23</v>
      </c>
      <c r="EE115">
        <v>-3.0555555555555567</v>
      </c>
      <c r="EF115">
        <v>20</v>
      </c>
      <c r="EG115">
        <v>-0.66666666666666696</v>
      </c>
      <c r="EH115">
        <v>31</v>
      </c>
      <c r="EI115">
        <v>-28.111111111111111</v>
      </c>
      <c r="EJ115">
        <v>5</v>
      </c>
      <c r="EK115">
        <v>1.5555555555555558</v>
      </c>
      <c r="EL115">
        <v>32</v>
      </c>
      <c r="EM115">
        <v>26.5</v>
      </c>
      <c r="EN115">
        <v>30</v>
      </c>
      <c r="EO115">
        <v>-6.4555555555555566</v>
      </c>
      <c r="EP115">
        <v>25</v>
      </c>
      <c r="EQ115">
        <v>-1.4444444444444446</v>
      </c>
      <c r="ER115">
        <v>31</v>
      </c>
      <c r="ES115">
        <v>-25.111111111111111</v>
      </c>
      <c r="ET115">
        <v>20</v>
      </c>
      <c r="EU115">
        <v>-0.44444444444444464</v>
      </c>
      <c r="EV115">
        <v>7</v>
      </c>
      <c r="EW115">
        <v>10.666666666666666</v>
      </c>
      <c r="EX115">
        <v>2</v>
      </c>
      <c r="EY115">
        <v>3.4</v>
      </c>
      <c r="EZ115">
        <v>11</v>
      </c>
      <c r="FA115">
        <v>0.77777777777777768</v>
      </c>
      <c r="FB115">
        <v>19</v>
      </c>
      <c r="FC115">
        <v>-3</v>
      </c>
      <c r="FD115">
        <v>1</v>
      </c>
      <c r="FE115">
        <v>2.0000000000000004</v>
      </c>
      <c r="FF115">
        <v>9</v>
      </c>
      <c r="FG115">
        <v>11.333333333333334</v>
      </c>
      <c r="FH115">
        <v>8</v>
      </c>
      <c r="FI115">
        <v>3.1333333333333342</v>
      </c>
      <c r="FJ115">
        <v>15</v>
      </c>
      <c r="FK115">
        <v>-1.6666666666666679</v>
      </c>
      <c r="FL115">
        <v>11</v>
      </c>
      <c r="FM115">
        <v>0.55555555555555558</v>
      </c>
      <c r="FN115">
        <v>15</v>
      </c>
      <c r="FO115">
        <v>15.666666666666666</v>
      </c>
      <c r="FP115">
        <v>21</v>
      </c>
      <c r="FQ115">
        <v>-1.4555555555555555</v>
      </c>
      <c r="FR115">
        <v>18</v>
      </c>
      <c r="FS115">
        <v>-4.8888888888888902</v>
      </c>
      <c r="FT115">
        <v>8</v>
      </c>
      <c r="FU115">
        <v>0.99999999999999967</v>
      </c>
      <c r="FV115">
        <v>4</v>
      </c>
      <c r="FW115">
        <v>5.666666666666667</v>
      </c>
      <c r="FX115">
        <v>3</v>
      </c>
      <c r="FY115">
        <v>5.511111111111112</v>
      </c>
      <c r="FZ115">
        <v>8</v>
      </c>
      <c r="GA115">
        <v>9.5555555555555554</v>
      </c>
      <c r="GB115">
        <v>6</v>
      </c>
      <c r="GC115">
        <v>1.1111111111111114</v>
      </c>
      <c r="GD115">
        <v>23</v>
      </c>
      <c r="GE115">
        <v>23.333333333333332</v>
      </c>
      <c r="GF115">
        <v>20</v>
      </c>
      <c r="GG115">
        <v>-0.92222222222222205</v>
      </c>
      <c r="GH115">
        <v>21</v>
      </c>
      <c r="GI115">
        <v>-6.333333333333333</v>
      </c>
      <c r="GJ115">
        <v>29</v>
      </c>
      <c r="GK115">
        <v>-1.5555555555555556</v>
      </c>
      <c r="GL115">
        <v>9</v>
      </c>
      <c r="GM115">
        <v>11</v>
      </c>
      <c r="GN115">
        <v>10</v>
      </c>
      <c r="GO115">
        <v>2.3222222222222215</v>
      </c>
      <c r="GP115">
        <v>11</v>
      </c>
      <c r="GQ115">
        <v>5.4444444444444473</v>
      </c>
      <c r="GR115">
        <v>12</v>
      </c>
      <c r="GS115">
        <v>0.33333333333333331</v>
      </c>
      <c r="GT115">
        <v>10</v>
      </c>
      <c r="GU115">
        <v>11.333333333333334</v>
      </c>
      <c r="GV115">
        <v>18</v>
      </c>
      <c r="GW115">
        <v>-1.1666666666666663</v>
      </c>
      <c r="GX115">
        <v>10</v>
      </c>
      <c r="GY115">
        <v>6.1111111111111098</v>
      </c>
      <c r="GZ115">
        <v>6</v>
      </c>
      <c r="HA115">
        <v>1.2222222222222223</v>
      </c>
      <c r="HB115">
        <v>29</v>
      </c>
      <c r="HC115">
        <v>26.5</v>
      </c>
      <c r="HD115">
        <v>25</v>
      </c>
      <c r="HE115">
        <v>-1.444444444444444</v>
      </c>
      <c r="HF115">
        <v>28</v>
      </c>
      <c r="HG115">
        <v>-0.77777777777777768</v>
      </c>
      <c r="HH115">
        <v>3.1111111111111112</v>
      </c>
      <c r="HI115">
        <v>1</v>
      </c>
      <c r="HJ115">
        <v>9</v>
      </c>
      <c r="HK115">
        <v>8</v>
      </c>
      <c r="HL115">
        <v>2.0100992649445603E-2</v>
      </c>
      <c r="HM115">
        <v>2</v>
      </c>
      <c r="HN115">
        <v>3.9797598263082504E-2</v>
      </c>
      <c r="HO115">
        <v>22</v>
      </c>
      <c r="HP115">
        <v>7.2857227243192199E-2</v>
      </c>
      <c r="HQ115">
        <v>4</v>
      </c>
      <c r="HR115">
        <v>4.333333333333333</v>
      </c>
      <c r="HS115">
        <v>4.2222222222222188</v>
      </c>
      <c r="HT115">
        <v>-3.5555555555555558</v>
      </c>
      <c r="HU115">
        <v>1.5555555555555554</v>
      </c>
      <c r="HV115">
        <v>-27</v>
      </c>
      <c r="HW115">
        <v>-0.88888888888888573</v>
      </c>
      <c r="HX115">
        <v>-29</v>
      </c>
      <c r="HY115">
        <v>3.7777777777777772</v>
      </c>
      <c r="HZ115">
        <v>-0.88888888888888873</v>
      </c>
      <c r="IA115">
        <v>19</v>
      </c>
      <c r="IB115">
        <v>0.2155555555555555</v>
      </c>
      <c r="IC115">
        <v>1.3531111111111118</v>
      </c>
      <c r="ID115">
        <v>28.111111111111114</v>
      </c>
      <c r="IE115">
        <v>14</v>
      </c>
      <c r="IF115">
        <v>-0.67166666666666663</v>
      </c>
      <c r="IG115">
        <v>1.7777777777777779</v>
      </c>
    </row>
    <row r="116" spans="1:241" x14ac:dyDescent="0.2">
      <c r="A116" s="19">
        <v>44108</v>
      </c>
      <c r="B116" s="13" t="s">
        <v>417</v>
      </c>
      <c r="C116" s="41" t="s">
        <v>304</v>
      </c>
      <c r="D116" s="14" t="s">
        <v>296</v>
      </c>
      <c r="E116">
        <v>9.6999999999999993</v>
      </c>
      <c r="F116">
        <v>17.7</v>
      </c>
      <c r="G116">
        <v>5.5</v>
      </c>
      <c r="H116">
        <v>5.0999999999999996</v>
      </c>
      <c r="I116">
        <v>-13.5</v>
      </c>
      <c r="J116">
        <v>50.5</v>
      </c>
      <c r="L116" t="s">
        <v>304</v>
      </c>
      <c r="M116">
        <v>28</v>
      </c>
      <c r="N116">
        <v>-3.4</v>
      </c>
      <c r="O116">
        <v>1</v>
      </c>
      <c r="P116">
        <v>5.25</v>
      </c>
      <c r="Q116">
        <v>5</v>
      </c>
      <c r="R116">
        <v>6.6444444444444448</v>
      </c>
      <c r="S116">
        <v>1</v>
      </c>
      <c r="T116">
        <v>6.5555555555555545</v>
      </c>
      <c r="U116">
        <v>2</v>
      </c>
      <c r="V116">
        <v>46.777777777777779</v>
      </c>
      <c r="W116">
        <v>13</v>
      </c>
      <c r="X116">
        <v>0.11111111111111105</v>
      </c>
      <c r="Y116">
        <v>2</v>
      </c>
      <c r="Z116">
        <v>5</v>
      </c>
      <c r="AA116">
        <v>2</v>
      </c>
      <c r="AB116">
        <v>8.3666666666666671</v>
      </c>
      <c r="AC116">
        <v>11</v>
      </c>
      <c r="AD116">
        <v>1.9999999999999993</v>
      </c>
      <c r="AE116">
        <v>1</v>
      </c>
      <c r="AF116">
        <v>31.666666666666668</v>
      </c>
      <c r="AG116">
        <v>12</v>
      </c>
      <c r="AH116">
        <v>0.55555555555555547</v>
      </c>
      <c r="AI116">
        <v>17</v>
      </c>
      <c r="AJ116">
        <v>16</v>
      </c>
      <c r="AK116">
        <v>25</v>
      </c>
      <c r="AL116">
        <v>-1.7222222222222225</v>
      </c>
      <c r="AM116">
        <v>3</v>
      </c>
      <c r="AN116">
        <v>4.5555555555555554</v>
      </c>
      <c r="AO116">
        <v>4</v>
      </c>
      <c r="AP116">
        <v>15.111111111111109</v>
      </c>
      <c r="AQ116">
        <v>19</v>
      </c>
      <c r="AR116">
        <v>-0.44444444444444442</v>
      </c>
      <c r="AS116">
        <v>18</v>
      </c>
      <c r="AT116">
        <v>18.666666666666668</v>
      </c>
      <c r="AU116">
        <v>18</v>
      </c>
      <c r="AV116">
        <v>-1.611111111111112</v>
      </c>
      <c r="AW116">
        <v>13</v>
      </c>
      <c r="AX116">
        <v>11.444444444444443</v>
      </c>
      <c r="AY116">
        <v>25</v>
      </c>
      <c r="AZ116">
        <v>-2.8888888888888893</v>
      </c>
      <c r="BA116">
        <v>25</v>
      </c>
      <c r="BB116">
        <v>24.333333333333332</v>
      </c>
      <c r="BC116">
        <v>19</v>
      </c>
      <c r="BD116">
        <v>-1.9555555555555564</v>
      </c>
      <c r="BE116">
        <v>23</v>
      </c>
      <c r="BF116">
        <v>-10.222222222222223</v>
      </c>
      <c r="BG116">
        <v>31</v>
      </c>
      <c r="BH116">
        <v>-2.2222222222222228</v>
      </c>
      <c r="BI116">
        <v>11</v>
      </c>
      <c r="BJ116">
        <v>12</v>
      </c>
      <c r="BK116">
        <v>12</v>
      </c>
      <c r="BL116">
        <v>1.0666666666666664</v>
      </c>
      <c r="BM116">
        <v>10</v>
      </c>
      <c r="BN116">
        <v>6.4444444444444429</v>
      </c>
      <c r="BO116">
        <v>14</v>
      </c>
      <c r="BP116">
        <v>0.11111111111111101</v>
      </c>
      <c r="BQ116">
        <v>14</v>
      </c>
      <c r="BR116">
        <v>14.333333333333334</v>
      </c>
      <c r="BS116">
        <v>18</v>
      </c>
      <c r="BT116">
        <v>-0.72222222222222199</v>
      </c>
      <c r="BU116">
        <v>2</v>
      </c>
      <c r="BV116">
        <v>15.222222222222223</v>
      </c>
      <c r="BW116">
        <v>23</v>
      </c>
      <c r="BX116">
        <v>-0.77777777777777768</v>
      </c>
      <c r="BY116">
        <v>24</v>
      </c>
      <c r="BZ116">
        <v>22.666666666666668</v>
      </c>
      <c r="CA116">
        <v>19</v>
      </c>
      <c r="CB116">
        <v>-2.0222222222222204</v>
      </c>
      <c r="CC116">
        <v>19</v>
      </c>
      <c r="CD116">
        <v>-6.8888888888888831</v>
      </c>
      <c r="CE116">
        <v>30</v>
      </c>
      <c r="CF116">
        <v>-3.4444444444444446</v>
      </c>
      <c r="CG116">
        <v>21</v>
      </c>
      <c r="CH116">
        <v>21</v>
      </c>
      <c r="CI116">
        <v>14</v>
      </c>
      <c r="CJ116">
        <v>0.44444444444444348</v>
      </c>
      <c r="CK116">
        <v>21</v>
      </c>
      <c r="CL116">
        <v>-7.7777777777777777</v>
      </c>
      <c r="CM116">
        <v>28</v>
      </c>
      <c r="CN116">
        <v>-2.1111111111111112</v>
      </c>
      <c r="CO116">
        <v>25</v>
      </c>
      <c r="CP116">
        <v>25</v>
      </c>
      <c r="CQ116">
        <v>28</v>
      </c>
      <c r="CR116">
        <v>-2.2222222222222228</v>
      </c>
      <c r="CS116">
        <v>22</v>
      </c>
      <c r="CT116">
        <v>-0.11111111111111123</v>
      </c>
      <c r="CU116">
        <v>-1.6666666666666663</v>
      </c>
      <c r="CV116">
        <v>21</v>
      </c>
      <c r="CW116">
        <v>19.5</v>
      </c>
      <c r="CX116">
        <v>27</v>
      </c>
      <c r="CY116">
        <v>-4.9790925681647835E-2</v>
      </c>
      <c r="CZ116">
        <v>31</v>
      </c>
      <c r="DA116">
        <v>-2.6638059851833169E-2</v>
      </c>
      <c r="DB116">
        <v>5</v>
      </c>
      <c r="DC116">
        <v>-0.1406084656084656</v>
      </c>
      <c r="DD116">
        <v>15</v>
      </c>
      <c r="DE116">
        <v>0</v>
      </c>
      <c r="DF116">
        <v>1.8888888888888904</v>
      </c>
      <c r="DG116">
        <v>0.88888888888888806</v>
      </c>
      <c r="DH116">
        <v>-0.22222222222222221</v>
      </c>
      <c r="DI116">
        <v>68.666666666666671</v>
      </c>
      <c r="DJ116">
        <v>11.666666666666657</v>
      </c>
      <c r="DK116">
        <v>39.888888888888893</v>
      </c>
      <c r="DL116">
        <v>18</v>
      </c>
      <c r="DM116">
        <v>-0.88888888888888895</v>
      </c>
      <c r="DN116">
        <v>30</v>
      </c>
      <c r="DO116">
        <v>-10.044444444444444</v>
      </c>
      <c r="DP116">
        <v>-4.235555555555556</v>
      </c>
      <c r="DQ116">
        <v>-28.222222222222236</v>
      </c>
      <c r="DR116">
        <v>3</v>
      </c>
      <c r="DS116">
        <v>-1.805555555555588E-2</v>
      </c>
      <c r="DT116">
        <v>-5</v>
      </c>
      <c r="DU116">
        <v>-1.2205555555555561</v>
      </c>
      <c r="DV116">
        <v>-1.5533333333333337</v>
      </c>
      <c r="DW116" t="s">
        <v>296</v>
      </c>
      <c r="DX116" t="s">
        <v>245</v>
      </c>
      <c r="DY116" t="s">
        <v>472</v>
      </c>
      <c r="DZ116">
        <v>20</v>
      </c>
      <c r="EA116">
        <v>-2.0800000000000018</v>
      </c>
      <c r="EB116">
        <v>10</v>
      </c>
      <c r="EC116">
        <v>13.75</v>
      </c>
      <c r="ED116">
        <v>11</v>
      </c>
      <c r="EE116">
        <v>1.4333333333333331</v>
      </c>
      <c r="EF116">
        <v>4</v>
      </c>
      <c r="EG116">
        <v>3.1111111111111103</v>
      </c>
      <c r="EH116">
        <v>17</v>
      </c>
      <c r="EI116">
        <v>-8.2222222222222214</v>
      </c>
      <c r="EJ116">
        <v>23</v>
      </c>
      <c r="EK116">
        <v>-0.77777777777777768</v>
      </c>
      <c r="EL116">
        <v>12</v>
      </c>
      <c r="EM116">
        <v>15.25</v>
      </c>
      <c r="EN116">
        <v>19</v>
      </c>
      <c r="EO116">
        <v>-0.57777777777777806</v>
      </c>
      <c r="EP116">
        <v>11</v>
      </c>
      <c r="EQ116">
        <v>1.5555555555555547</v>
      </c>
      <c r="ER116">
        <v>13</v>
      </c>
      <c r="ES116">
        <v>-0.6666666666666643</v>
      </c>
      <c r="ET116">
        <v>18</v>
      </c>
      <c r="EU116">
        <v>-0.44444444444444436</v>
      </c>
      <c r="EV116">
        <v>10</v>
      </c>
      <c r="EW116">
        <v>12.333333333333334</v>
      </c>
      <c r="EX116">
        <v>4</v>
      </c>
      <c r="EY116">
        <v>2.0111111111111111</v>
      </c>
      <c r="EZ116">
        <v>6</v>
      </c>
      <c r="FA116">
        <v>1.5555555555555556</v>
      </c>
      <c r="FB116">
        <v>27</v>
      </c>
      <c r="FC116">
        <v>-7.5555555555555562</v>
      </c>
      <c r="FD116">
        <v>21</v>
      </c>
      <c r="FE116">
        <v>-0.33333333333333331</v>
      </c>
      <c r="FF116">
        <v>16</v>
      </c>
      <c r="FG116">
        <v>16</v>
      </c>
      <c r="FH116">
        <v>12</v>
      </c>
      <c r="FI116">
        <v>0.93333333333333135</v>
      </c>
      <c r="FJ116">
        <v>17</v>
      </c>
      <c r="FK116">
        <v>-4.5555555555555562</v>
      </c>
      <c r="FL116">
        <v>19</v>
      </c>
      <c r="FM116">
        <v>-0.4444444444444452</v>
      </c>
      <c r="FN116">
        <v>21</v>
      </c>
      <c r="FO116">
        <v>19.666666666666668</v>
      </c>
      <c r="FP116">
        <v>14</v>
      </c>
      <c r="FQ116">
        <v>0.59999999999999842</v>
      </c>
      <c r="FR116">
        <v>24</v>
      </c>
      <c r="FS116">
        <v>-10.000000000000002</v>
      </c>
      <c r="FT116">
        <v>21</v>
      </c>
      <c r="FU116">
        <v>-0.44444444444444464</v>
      </c>
      <c r="FV116">
        <v>15</v>
      </c>
      <c r="FW116">
        <v>16</v>
      </c>
      <c r="FX116">
        <v>19</v>
      </c>
      <c r="FY116">
        <v>-1.7555555555555555</v>
      </c>
      <c r="FZ116">
        <v>15</v>
      </c>
      <c r="GA116">
        <v>1.2222222222222239</v>
      </c>
      <c r="GB116">
        <v>14</v>
      </c>
      <c r="GC116">
        <v>0.44444444444444403</v>
      </c>
      <c r="GD116">
        <v>13</v>
      </c>
      <c r="GE116">
        <v>12.333333333333334</v>
      </c>
      <c r="GF116">
        <v>6</v>
      </c>
      <c r="GG116">
        <v>2.0888888888888886</v>
      </c>
      <c r="GH116">
        <v>10</v>
      </c>
      <c r="GI116">
        <v>4.2222222222222223</v>
      </c>
      <c r="GJ116">
        <v>21</v>
      </c>
      <c r="GK116">
        <v>-0.44444444444444459</v>
      </c>
      <c r="GL116">
        <v>28</v>
      </c>
      <c r="GM116">
        <v>26.666666666666668</v>
      </c>
      <c r="GN116">
        <v>26</v>
      </c>
      <c r="GO116">
        <v>-3.9999999999999987</v>
      </c>
      <c r="GP116">
        <v>25</v>
      </c>
      <c r="GQ116">
        <v>-16.666666666666668</v>
      </c>
      <c r="GR116">
        <v>29</v>
      </c>
      <c r="GS116">
        <v>-2.1111111111111112</v>
      </c>
      <c r="GT116">
        <v>31</v>
      </c>
      <c r="GU116">
        <v>30.666666666666668</v>
      </c>
      <c r="GV116">
        <v>31</v>
      </c>
      <c r="GW116">
        <v>-8.0555555555555554</v>
      </c>
      <c r="GX116">
        <v>30</v>
      </c>
      <c r="GY116">
        <v>-17.333333333333332</v>
      </c>
      <c r="GZ116">
        <v>31</v>
      </c>
      <c r="HA116">
        <v>-2.6666666666666665</v>
      </c>
      <c r="HB116">
        <v>9</v>
      </c>
      <c r="HC116">
        <v>8.5</v>
      </c>
      <c r="HD116">
        <v>13</v>
      </c>
      <c r="HE116">
        <v>0.66666666666666641</v>
      </c>
      <c r="HF116">
        <v>4</v>
      </c>
      <c r="HG116">
        <v>0.66666666666666663</v>
      </c>
      <c r="HH116">
        <v>3.1111111111111112</v>
      </c>
      <c r="HI116">
        <v>4</v>
      </c>
      <c r="HJ116">
        <v>10</v>
      </c>
      <c r="HK116">
        <v>14</v>
      </c>
      <c r="HL116">
        <v>-4.3580942703749974E-3</v>
      </c>
      <c r="HM116">
        <v>8</v>
      </c>
      <c r="HN116">
        <v>1.5620979802266351E-2</v>
      </c>
      <c r="HO116">
        <v>4</v>
      </c>
      <c r="HP116">
        <v>-0.17460317460317457</v>
      </c>
      <c r="HQ116">
        <v>14</v>
      </c>
      <c r="HR116">
        <v>1.4802973661668753E-16</v>
      </c>
      <c r="HS116">
        <v>0</v>
      </c>
      <c r="HT116">
        <v>-0.22222222222222263</v>
      </c>
      <c r="HU116">
        <v>-0.22222222222222221</v>
      </c>
      <c r="HV116">
        <v>-20</v>
      </c>
      <c r="HW116">
        <v>-4.7777777777777812</v>
      </c>
      <c r="HX116">
        <v>-21.555555555555557</v>
      </c>
      <c r="HY116">
        <v>8.5555555555555554</v>
      </c>
      <c r="HZ116">
        <v>-2.2222222222222223</v>
      </c>
      <c r="IA116">
        <v>26</v>
      </c>
      <c r="IB116">
        <v>-3.513333333333335</v>
      </c>
      <c r="IC116">
        <v>-2.5571111111111113</v>
      </c>
      <c r="ID116">
        <v>16.777777777777775</v>
      </c>
      <c r="IE116">
        <v>7</v>
      </c>
      <c r="IF116">
        <v>-0.88777777777777833</v>
      </c>
      <c r="IG116">
        <v>-3.1111111111111116</v>
      </c>
    </row>
    <row r="117" spans="1:241" x14ac:dyDescent="0.2">
      <c r="A117" s="19">
        <v>44108</v>
      </c>
      <c r="B117" s="13" t="s">
        <v>417</v>
      </c>
      <c r="C117" s="41" t="s">
        <v>293</v>
      </c>
      <c r="D117" s="14" t="s">
        <v>308</v>
      </c>
      <c r="E117">
        <v>24</v>
      </c>
      <c r="F117">
        <v>8.8000000000000007</v>
      </c>
      <c r="G117">
        <v>4.5</v>
      </c>
      <c r="H117">
        <v>2.5</v>
      </c>
      <c r="I117">
        <v>4</v>
      </c>
      <c r="J117">
        <v>55</v>
      </c>
      <c r="L117" t="s">
        <v>293</v>
      </c>
      <c r="M117">
        <v>18</v>
      </c>
      <c r="N117">
        <v>-1.1066666666666662</v>
      </c>
      <c r="O117">
        <v>23</v>
      </c>
      <c r="P117">
        <v>21.5</v>
      </c>
      <c r="Q117">
        <v>18</v>
      </c>
      <c r="R117">
        <v>-1.5777777777777788</v>
      </c>
      <c r="S117">
        <v>19</v>
      </c>
      <c r="T117">
        <v>-1.0000000000000004</v>
      </c>
      <c r="U117">
        <v>27</v>
      </c>
      <c r="V117">
        <v>-16.555555555555557</v>
      </c>
      <c r="W117">
        <v>22</v>
      </c>
      <c r="X117">
        <v>-0.55555555555555558</v>
      </c>
      <c r="Y117">
        <v>16</v>
      </c>
      <c r="Z117">
        <v>16</v>
      </c>
      <c r="AA117">
        <v>18</v>
      </c>
      <c r="AB117">
        <v>-1.5333333333333343</v>
      </c>
      <c r="AC117">
        <v>22</v>
      </c>
      <c r="AD117">
        <v>-1.6666666666666667</v>
      </c>
      <c r="AE117">
        <v>24</v>
      </c>
      <c r="AF117">
        <v>-8.7777777777777786</v>
      </c>
      <c r="AG117">
        <v>6</v>
      </c>
      <c r="AH117">
        <v>1.1111111111111112</v>
      </c>
      <c r="AI117">
        <v>26</v>
      </c>
      <c r="AJ117">
        <v>23.666666666666668</v>
      </c>
      <c r="AK117">
        <v>16</v>
      </c>
      <c r="AL117">
        <v>-4.4444444444444585E-2</v>
      </c>
      <c r="AM117">
        <v>12</v>
      </c>
      <c r="AN117">
        <v>0.66666666666666641</v>
      </c>
      <c r="AO117">
        <v>23</v>
      </c>
      <c r="AP117">
        <v>-7.7777777777777786</v>
      </c>
      <c r="AQ117">
        <v>32</v>
      </c>
      <c r="AR117">
        <v>-1.6666666666666667</v>
      </c>
      <c r="AS117">
        <v>25</v>
      </c>
      <c r="AT117">
        <v>25</v>
      </c>
      <c r="AU117">
        <v>26</v>
      </c>
      <c r="AV117">
        <v>-7.9555555555555566</v>
      </c>
      <c r="AW117">
        <v>25</v>
      </c>
      <c r="AX117">
        <v>-30.444444444444446</v>
      </c>
      <c r="AY117">
        <v>24</v>
      </c>
      <c r="AZ117">
        <v>-2.3333333333333335</v>
      </c>
      <c r="BA117">
        <v>28</v>
      </c>
      <c r="BB117">
        <v>26.333333333333332</v>
      </c>
      <c r="BC117">
        <v>27</v>
      </c>
      <c r="BD117">
        <v>-4.1222222222222218</v>
      </c>
      <c r="BE117">
        <v>25</v>
      </c>
      <c r="BF117">
        <v>-12.333333333333336</v>
      </c>
      <c r="BG117">
        <v>27</v>
      </c>
      <c r="BH117">
        <v>-1.7777777777777777</v>
      </c>
      <c r="BI117">
        <v>26</v>
      </c>
      <c r="BJ117">
        <v>23.333333333333332</v>
      </c>
      <c r="BK117">
        <v>27</v>
      </c>
      <c r="BL117">
        <v>-3.2000000000000006</v>
      </c>
      <c r="BM117">
        <v>25</v>
      </c>
      <c r="BN117">
        <v>-13.222222222222223</v>
      </c>
      <c r="BO117">
        <v>18</v>
      </c>
      <c r="BP117">
        <v>-0.33333333333333331</v>
      </c>
      <c r="BQ117">
        <v>19</v>
      </c>
      <c r="BR117">
        <v>19.666666666666668</v>
      </c>
      <c r="BS117">
        <v>17</v>
      </c>
      <c r="BT117">
        <v>-0.63333333333333375</v>
      </c>
      <c r="BU117">
        <v>22</v>
      </c>
      <c r="BV117">
        <v>-4.8888888888888893</v>
      </c>
      <c r="BW117">
        <v>20</v>
      </c>
      <c r="BX117">
        <v>-0.22222222222222232</v>
      </c>
      <c r="BY117">
        <v>15</v>
      </c>
      <c r="BZ117">
        <v>17.333333333333332</v>
      </c>
      <c r="CA117">
        <v>15</v>
      </c>
      <c r="CB117">
        <v>-0.38888888888888867</v>
      </c>
      <c r="CC117">
        <v>24</v>
      </c>
      <c r="CD117">
        <v>-12.777777777777771</v>
      </c>
      <c r="CE117">
        <v>13</v>
      </c>
      <c r="CF117">
        <v>0.66666666666666663</v>
      </c>
      <c r="CG117">
        <v>5</v>
      </c>
      <c r="CH117">
        <v>6.666666666666667</v>
      </c>
      <c r="CI117">
        <v>6</v>
      </c>
      <c r="CJ117">
        <v>4.1222222222222218</v>
      </c>
      <c r="CK117">
        <v>8</v>
      </c>
      <c r="CL117">
        <v>14.555555555555555</v>
      </c>
      <c r="CM117">
        <v>6</v>
      </c>
      <c r="CN117">
        <v>1.6666666666666667</v>
      </c>
      <c r="CO117">
        <v>22</v>
      </c>
      <c r="CP117">
        <v>19.5</v>
      </c>
      <c r="CQ117">
        <v>15</v>
      </c>
      <c r="CR117">
        <v>0.33333333333333365</v>
      </c>
      <c r="CS117">
        <v>24</v>
      </c>
      <c r="CT117">
        <v>-0.33333333333333331</v>
      </c>
      <c r="CU117">
        <v>1.1111111111111112</v>
      </c>
      <c r="CV117">
        <v>22</v>
      </c>
      <c r="CW117">
        <v>19.75</v>
      </c>
      <c r="CX117">
        <v>17</v>
      </c>
      <c r="CY117">
        <v>-1.6666408011144485E-2</v>
      </c>
      <c r="CZ117">
        <v>21</v>
      </c>
      <c r="DA117">
        <v>-3.288137667222637E-3</v>
      </c>
      <c r="DB117">
        <v>17</v>
      </c>
      <c r="DC117">
        <v>3.2804232804232801E-2</v>
      </c>
      <c r="DD117">
        <v>24</v>
      </c>
      <c r="DE117">
        <v>-1.5555555555555554</v>
      </c>
      <c r="DF117">
        <v>1.2222222222222239</v>
      </c>
      <c r="DG117">
        <v>-1.8888888888888893</v>
      </c>
      <c r="DH117">
        <v>0</v>
      </c>
      <c r="DI117">
        <v>-33.444444444444436</v>
      </c>
      <c r="DJ117">
        <v>-36.55555555555555</v>
      </c>
      <c r="DK117">
        <v>-4.666666666666667</v>
      </c>
      <c r="DL117">
        <v>0.88888888888888928</v>
      </c>
      <c r="DM117">
        <v>6.8888888888888893</v>
      </c>
      <c r="DN117">
        <v>18</v>
      </c>
      <c r="DO117">
        <v>0.47111111111111265</v>
      </c>
      <c r="DP117">
        <v>-0.19911111111111046</v>
      </c>
      <c r="DQ117">
        <v>-31.888888888888882</v>
      </c>
      <c r="DR117">
        <v>15</v>
      </c>
      <c r="DS117">
        <v>-0.77305555555555561</v>
      </c>
      <c r="DT117">
        <v>-0.66666666666666674</v>
      </c>
      <c r="DU117">
        <v>0.74166666666666625</v>
      </c>
      <c r="DV117">
        <v>-1.4175000000000004</v>
      </c>
      <c r="DW117" t="s">
        <v>308</v>
      </c>
      <c r="DX117" t="s">
        <v>238</v>
      </c>
      <c r="DY117" t="s">
        <v>451</v>
      </c>
      <c r="DZ117">
        <v>2</v>
      </c>
      <c r="EA117">
        <v>6.6288888888888868</v>
      </c>
      <c r="EB117">
        <v>29</v>
      </c>
      <c r="EC117">
        <v>23.5</v>
      </c>
      <c r="ED117">
        <v>29</v>
      </c>
      <c r="EE117">
        <v>-7.4333333333333318</v>
      </c>
      <c r="EF117">
        <v>30</v>
      </c>
      <c r="EG117">
        <v>-4.1111111111111107</v>
      </c>
      <c r="EH117">
        <v>32</v>
      </c>
      <c r="EI117">
        <v>-43.666666666666671</v>
      </c>
      <c r="EJ117">
        <v>3</v>
      </c>
      <c r="EK117">
        <v>1.6666666666666667</v>
      </c>
      <c r="EL117">
        <v>26</v>
      </c>
      <c r="EM117">
        <v>22.5</v>
      </c>
      <c r="EN117">
        <v>28</v>
      </c>
      <c r="EO117">
        <v>-4.4333333333333336</v>
      </c>
      <c r="EP117">
        <v>28</v>
      </c>
      <c r="EQ117">
        <v>-2.7777777777777772</v>
      </c>
      <c r="ER117">
        <v>30</v>
      </c>
      <c r="ES117">
        <v>-21.555555555555557</v>
      </c>
      <c r="ET117">
        <v>4</v>
      </c>
      <c r="EU117">
        <v>1.2222222222222223</v>
      </c>
      <c r="EV117">
        <v>32</v>
      </c>
      <c r="EW117">
        <v>29.666666666666668</v>
      </c>
      <c r="EX117">
        <v>32</v>
      </c>
      <c r="EY117">
        <v>-2.9999999999999987</v>
      </c>
      <c r="EZ117">
        <v>25</v>
      </c>
      <c r="FA117">
        <v>-1.3333333333333333</v>
      </c>
      <c r="FB117">
        <v>32</v>
      </c>
      <c r="FC117">
        <v>-22.111111111111114</v>
      </c>
      <c r="FD117">
        <v>11</v>
      </c>
      <c r="FE117">
        <v>0.44444444444444442</v>
      </c>
      <c r="FF117">
        <v>1</v>
      </c>
      <c r="FG117">
        <v>1</v>
      </c>
      <c r="FH117">
        <v>1</v>
      </c>
      <c r="FI117">
        <v>26.422222222222221</v>
      </c>
      <c r="FJ117">
        <v>1</v>
      </c>
      <c r="FK117">
        <v>124.66666666666666</v>
      </c>
      <c r="FL117">
        <v>1</v>
      </c>
      <c r="FM117">
        <v>8.1111111111111107</v>
      </c>
      <c r="FN117">
        <v>2</v>
      </c>
      <c r="FO117">
        <v>2</v>
      </c>
      <c r="FP117">
        <v>1</v>
      </c>
      <c r="FQ117">
        <v>7.7777777777777777</v>
      </c>
      <c r="FR117">
        <v>1</v>
      </c>
      <c r="FS117">
        <v>49.888888888888893</v>
      </c>
      <c r="FT117">
        <v>4</v>
      </c>
      <c r="FU117">
        <v>1.8888888888888893</v>
      </c>
      <c r="FV117">
        <v>1</v>
      </c>
      <c r="FW117">
        <v>1</v>
      </c>
      <c r="FX117">
        <v>1</v>
      </c>
      <c r="FY117">
        <v>8.81111111111111</v>
      </c>
      <c r="FZ117">
        <v>1</v>
      </c>
      <c r="GA117">
        <v>35.111111111111114</v>
      </c>
      <c r="GB117">
        <v>1</v>
      </c>
      <c r="GC117">
        <v>3.2222222222222219</v>
      </c>
      <c r="GD117">
        <v>1</v>
      </c>
      <c r="GE117">
        <v>1</v>
      </c>
      <c r="GF117">
        <v>1</v>
      </c>
      <c r="GG117">
        <v>9.8333333333333321</v>
      </c>
      <c r="GH117">
        <v>1</v>
      </c>
      <c r="GI117">
        <v>39.666666666666664</v>
      </c>
      <c r="GJ117">
        <v>1</v>
      </c>
      <c r="GK117">
        <v>3</v>
      </c>
      <c r="GL117">
        <v>1</v>
      </c>
      <c r="GM117">
        <v>1.3333333333333333</v>
      </c>
      <c r="GN117">
        <v>2</v>
      </c>
      <c r="GO117">
        <v>12.577777777777778</v>
      </c>
      <c r="GP117">
        <v>1</v>
      </c>
      <c r="GQ117">
        <v>78</v>
      </c>
      <c r="GR117">
        <v>1</v>
      </c>
      <c r="GS117">
        <v>6.2222222222222214</v>
      </c>
      <c r="GT117">
        <v>17</v>
      </c>
      <c r="GU117">
        <v>17.666666666666668</v>
      </c>
      <c r="GV117">
        <v>21</v>
      </c>
      <c r="GW117">
        <v>-1.6333333333333329</v>
      </c>
      <c r="GX117">
        <v>13</v>
      </c>
      <c r="GY117">
        <v>1.4444444444444446</v>
      </c>
      <c r="GZ117">
        <v>19</v>
      </c>
      <c r="HA117">
        <v>-0.22222222222222224</v>
      </c>
      <c r="HB117">
        <v>20</v>
      </c>
      <c r="HC117">
        <v>21</v>
      </c>
      <c r="HD117">
        <v>20</v>
      </c>
      <c r="HE117">
        <v>-0.77777777777777768</v>
      </c>
      <c r="HF117">
        <v>22</v>
      </c>
      <c r="HG117">
        <v>-0.33333333333333331</v>
      </c>
      <c r="HH117">
        <v>-2.3333333333333335</v>
      </c>
      <c r="HI117">
        <v>23</v>
      </c>
      <c r="HJ117">
        <v>19</v>
      </c>
      <c r="HK117">
        <v>28</v>
      </c>
      <c r="HL117">
        <v>-4.2695799740484507E-2</v>
      </c>
      <c r="HM117">
        <v>26</v>
      </c>
      <c r="HN117">
        <v>-1.5331582062251501E-2</v>
      </c>
      <c r="HO117">
        <v>17</v>
      </c>
      <c r="HP117">
        <v>2.535273368606698E-2</v>
      </c>
      <c r="HQ117">
        <v>5</v>
      </c>
      <c r="HR117">
        <v>2.7777777777777772</v>
      </c>
      <c r="HS117">
        <v>4</v>
      </c>
      <c r="HT117">
        <v>-1.5555555555555547</v>
      </c>
      <c r="HU117">
        <v>0.77777777777777768</v>
      </c>
      <c r="HV117">
        <v>55.333333333333336</v>
      </c>
      <c r="HW117">
        <v>121.55555555555556</v>
      </c>
      <c r="HX117">
        <v>-58</v>
      </c>
      <c r="HY117">
        <v>-5.8888888888888893</v>
      </c>
      <c r="HZ117">
        <v>-2.333333333333333</v>
      </c>
      <c r="IA117">
        <v>1</v>
      </c>
      <c r="IB117">
        <v>14.062222222222218</v>
      </c>
      <c r="IC117">
        <v>10.000222222222222</v>
      </c>
      <c r="ID117">
        <v>179.55555555555554</v>
      </c>
      <c r="IE117">
        <v>32</v>
      </c>
      <c r="IF117">
        <v>2.9008333333333329</v>
      </c>
      <c r="IG117">
        <v>7.8888888888888884</v>
      </c>
    </row>
    <row r="118" spans="1:241" x14ac:dyDescent="0.2">
      <c r="A118" s="19">
        <v>44108</v>
      </c>
      <c r="B118" s="13" t="s">
        <v>417</v>
      </c>
      <c r="C118" s="41" t="s">
        <v>312</v>
      </c>
      <c r="D118" s="14" t="s">
        <v>311</v>
      </c>
      <c r="E118">
        <v>29.2</v>
      </c>
      <c r="F118">
        <v>17.3</v>
      </c>
      <c r="G118">
        <v>0</v>
      </c>
      <c r="H118">
        <v>4.7</v>
      </c>
      <c r="I118">
        <v>3</v>
      </c>
      <c r="J118">
        <v>53</v>
      </c>
      <c r="K118" t="s">
        <v>109</v>
      </c>
      <c r="L118" t="s">
        <v>312</v>
      </c>
      <c r="M118">
        <v>24</v>
      </c>
      <c r="N118">
        <v>-2.3755555555555552</v>
      </c>
      <c r="O118">
        <v>10</v>
      </c>
      <c r="P118">
        <v>12.25</v>
      </c>
      <c r="Q118">
        <v>12</v>
      </c>
      <c r="R118">
        <v>0.9777777777777783</v>
      </c>
      <c r="S118">
        <v>6</v>
      </c>
      <c r="T118">
        <v>2.8888888888888884</v>
      </c>
      <c r="U118">
        <v>3</v>
      </c>
      <c r="V118">
        <v>30.000000000000004</v>
      </c>
      <c r="W118">
        <v>28</v>
      </c>
      <c r="X118">
        <v>-1.3333333333333333</v>
      </c>
      <c r="Y118">
        <v>10</v>
      </c>
      <c r="Z118">
        <v>13.333333333333334</v>
      </c>
      <c r="AA118">
        <v>12</v>
      </c>
      <c r="AB118">
        <v>2.5444444444444447</v>
      </c>
      <c r="AC118">
        <v>9</v>
      </c>
      <c r="AD118">
        <v>2.2222222222222219</v>
      </c>
      <c r="AE118">
        <v>3</v>
      </c>
      <c r="AF118">
        <v>22.111111111111114</v>
      </c>
      <c r="AG118">
        <v>25</v>
      </c>
      <c r="AH118">
        <v>-1.1111111111111109</v>
      </c>
      <c r="AI118">
        <v>17</v>
      </c>
      <c r="AJ118">
        <v>16</v>
      </c>
      <c r="AK118">
        <v>22</v>
      </c>
      <c r="AL118">
        <v>-1.5666666666666664</v>
      </c>
      <c r="AM118">
        <v>12</v>
      </c>
      <c r="AN118">
        <v>0.66666666666666641</v>
      </c>
      <c r="AO118">
        <v>8</v>
      </c>
      <c r="AP118">
        <v>7.8888888888888893</v>
      </c>
      <c r="AQ118">
        <v>18</v>
      </c>
      <c r="AR118">
        <v>-0.22222222222222232</v>
      </c>
      <c r="AS118">
        <v>7</v>
      </c>
      <c r="AT118">
        <v>8.6666666666666661</v>
      </c>
      <c r="AU118">
        <v>9</v>
      </c>
      <c r="AV118">
        <v>5.511111111111112</v>
      </c>
      <c r="AW118">
        <v>4</v>
      </c>
      <c r="AX118">
        <v>34.999999999999993</v>
      </c>
      <c r="AY118">
        <v>13</v>
      </c>
      <c r="AZ118">
        <v>0.44444444444444453</v>
      </c>
      <c r="BA118">
        <v>8</v>
      </c>
      <c r="BB118">
        <v>9.3333333333333339</v>
      </c>
      <c r="BC118">
        <v>9</v>
      </c>
      <c r="BD118">
        <v>2.9999999999999996</v>
      </c>
      <c r="BE118">
        <v>12</v>
      </c>
      <c r="BF118">
        <v>3.5555555555555549</v>
      </c>
      <c r="BG118">
        <v>7</v>
      </c>
      <c r="BH118">
        <v>1.3333333333333333</v>
      </c>
      <c r="BI118">
        <v>4</v>
      </c>
      <c r="BJ118">
        <v>8</v>
      </c>
      <c r="BK118">
        <v>4</v>
      </c>
      <c r="BL118">
        <v>3.8666666666666671</v>
      </c>
      <c r="BM118">
        <v>3</v>
      </c>
      <c r="BN118">
        <v>29.777777777777775</v>
      </c>
      <c r="BO118">
        <v>17</v>
      </c>
      <c r="BP118">
        <v>-0.3333333333333332</v>
      </c>
      <c r="BQ118">
        <v>18</v>
      </c>
      <c r="BR118">
        <v>19</v>
      </c>
      <c r="BS118">
        <v>23</v>
      </c>
      <c r="BT118">
        <v>-1.3555555555555554</v>
      </c>
      <c r="BU118">
        <v>12</v>
      </c>
      <c r="BV118">
        <v>1.6666666666666654</v>
      </c>
      <c r="BW118">
        <v>22</v>
      </c>
      <c r="BX118">
        <v>-0.55555555555555547</v>
      </c>
      <c r="BY118">
        <v>20</v>
      </c>
      <c r="BZ118">
        <v>20.666666666666668</v>
      </c>
      <c r="CA118">
        <v>18</v>
      </c>
      <c r="CB118">
        <v>-2.0111111111111115</v>
      </c>
      <c r="CC118">
        <v>13</v>
      </c>
      <c r="CD118">
        <v>-1.2222222222222239</v>
      </c>
      <c r="CE118">
        <v>31</v>
      </c>
      <c r="CF118">
        <v>-3.7777777777777781</v>
      </c>
      <c r="CG118">
        <v>26</v>
      </c>
      <c r="CH118">
        <v>25</v>
      </c>
      <c r="CI118">
        <v>23</v>
      </c>
      <c r="CJ118">
        <v>-2.7888888888888892</v>
      </c>
      <c r="CK118">
        <v>29</v>
      </c>
      <c r="CL118">
        <v>-16.777777777777775</v>
      </c>
      <c r="CM118">
        <v>23</v>
      </c>
      <c r="CN118">
        <v>-1.4444444444444446</v>
      </c>
      <c r="CO118">
        <v>23</v>
      </c>
      <c r="CP118">
        <v>21</v>
      </c>
      <c r="CQ118">
        <v>25</v>
      </c>
      <c r="CR118">
        <v>-1.1111111111111109</v>
      </c>
      <c r="CS118">
        <v>17</v>
      </c>
      <c r="CT118">
        <v>0.11111111111111109</v>
      </c>
      <c r="CU118">
        <v>0.22222222222222218</v>
      </c>
      <c r="CV118">
        <v>6</v>
      </c>
      <c r="CW118">
        <v>10.75</v>
      </c>
      <c r="CX118">
        <v>1</v>
      </c>
      <c r="CY118">
        <v>0.11793897647830064</v>
      </c>
      <c r="CZ118">
        <v>4</v>
      </c>
      <c r="DA118">
        <v>2.3979094524925176E-2</v>
      </c>
      <c r="DB118">
        <v>24</v>
      </c>
      <c r="DC118">
        <v>7.5617283950617301E-2</v>
      </c>
      <c r="DD118">
        <v>14</v>
      </c>
      <c r="DE118">
        <v>0.11111111111111101</v>
      </c>
      <c r="DF118">
        <v>-5.666666666666667</v>
      </c>
      <c r="DG118">
        <v>2.3333333333333335</v>
      </c>
      <c r="DH118">
        <v>0</v>
      </c>
      <c r="DI118">
        <v>1.6666666666666572</v>
      </c>
      <c r="DJ118">
        <v>-20.222222222222239</v>
      </c>
      <c r="DK118">
        <v>23.666666666666671</v>
      </c>
      <c r="DL118">
        <v>-4.333333333333333</v>
      </c>
      <c r="DM118">
        <v>2.5555555555555567</v>
      </c>
      <c r="DN118">
        <v>23</v>
      </c>
      <c r="DO118">
        <v>-3.3533333333333335</v>
      </c>
      <c r="DP118">
        <v>-0.41955555555555574</v>
      </c>
      <c r="DQ118">
        <v>-43.888888888888914</v>
      </c>
      <c r="DR118">
        <v>10</v>
      </c>
      <c r="DS118">
        <v>2.6666666666666755E-2</v>
      </c>
      <c r="DT118">
        <v>-1</v>
      </c>
      <c r="DU118">
        <v>0.79708333333333337</v>
      </c>
      <c r="DV118">
        <v>1.9705555555555558</v>
      </c>
      <c r="DW118" t="s">
        <v>311</v>
      </c>
      <c r="DX118" t="s">
        <v>275</v>
      </c>
      <c r="DY118" t="s">
        <v>477</v>
      </c>
      <c r="DZ118">
        <v>31</v>
      </c>
      <c r="EA118">
        <v>-5.1222222222222227</v>
      </c>
      <c r="EB118">
        <v>1</v>
      </c>
      <c r="EC118">
        <v>5.25</v>
      </c>
      <c r="ED118">
        <v>3</v>
      </c>
      <c r="EE118">
        <v>6.344444444444445</v>
      </c>
      <c r="EF118">
        <v>1</v>
      </c>
      <c r="EG118">
        <v>5.8888888888888893</v>
      </c>
      <c r="EH118">
        <v>1</v>
      </c>
      <c r="EI118">
        <v>51.444444444444443</v>
      </c>
      <c r="EJ118">
        <v>16</v>
      </c>
      <c r="EK118">
        <v>-0.11111111111111072</v>
      </c>
      <c r="EL118">
        <v>3</v>
      </c>
      <c r="EM118">
        <v>6.25</v>
      </c>
      <c r="EN118">
        <v>2</v>
      </c>
      <c r="EO118">
        <v>6.4555555555555557</v>
      </c>
      <c r="EP118">
        <v>8</v>
      </c>
      <c r="EQ118">
        <v>2.4444444444444446</v>
      </c>
      <c r="ER118">
        <v>2</v>
      </c>
      <c r="ES118">
        <v>24.888888888888889</v>
      </c>
      <c r="ET118">
        <v>13</v>
      </c>
      <c r="EU118">
        <v>0.33333333333333365</v>
      </c>
      <c r="EV118">
        <v>3</v>
      </c>
      <c r="EW118">
        <v>6.666666666666667</v>
      </c>
      <c r="EX118">
        <v>18</v>
      </c>
      <c r="EY118">
        <v>-0.11111111111111087</v>
      </c>
      <c r="EZ118">
        <v>1</v>
      </c>
      <c r="FA118">
        <v>3.4444444444444446</v>
      </c>
      <c r="FB118">
        <v>1</v>
      </c>
      <c r="FC118">
        <v>26.555555555555557</v>
      </c>
      <c r="FD118">
        <v>23</v>
      </c>
      <c r="FE118">
        <v>-0.44444444444444436</v>
      </c>
      <c r="FF118">
        <v>25</v>
      </c>
      <c r="FG118">
        <v>22.666666666666668</v>
      </c>
      <c r="FH118">
        <v>26</v>
      </c>
      <c r="FI118">
        <v>-6.0555555555555571</v>
      </c>
      <c r="FJ118">
        <v>27</v>
      </c>
      <c r="FK118">
        <v>-28.222222222222221</v>
      </c>
      <c r="FL118">
        <v>15</v>
      </c>
      <c r="FM118">
        <v>0.11111111111111101</v>
      </c>
      <c r="FN118">
        <v>27</v>
      </c>
      <c r="FO118">
        <v>26.666666666666668</v>
      </c>
      <c r="FP118">
        <v>26</v>
      </c>
      <c r="FQ118">
        <v>-3.3666666666666685</v>
      </c>
      <c r="FR118">
        <v>30</v>
      </c>
      <c r="FS118">
        <v>-21</v>
      </c>
      <c r="FT118">
        <v>24</v>
      </c>
      <c r="FU118">
        <v>-0.88888888888888873</v>
      </c>
      <c r="FV118">
        <v>11</v>
      </c>
      <c r="FW118">
        <v>12</v>
      </c>
      <c r="FX118">
        <v>14</v>
      </c>
      <c r="FY118">
        <v>0.31111111111111089</v>
      </c>
      <c r="FZ118">
        <v>13</v>
      </c>
      <c r="GA118">
        <v>2.7777777777777786</v>
      </c>
      <c r="GB118">
        <v>9</v>
      </c>
      <c r="GC118">
        <v>0.88888888888888873</v>
      </c>
      <c r="GD118">
        <v>22</v>
      </c>
      <c r="GE118">
        <v>22.666666666666668</v>
      </c>
      <c r="GF118">
        <v>26</v>
      </c>
      <c r="GG118">
        <v>-3</v>
      </c>
      <c r="GH118">
        <v>25</v>
      </c>
      <c r="GI118">
        <v>-9.9999999999999982</v>
      </c>
      <c r="GJ118">
        <v>17</v>
      </c>
      <c r="GK118">
        <v>0.11111111111111101</v>
      </c>
      <c r="GL118">
        <v>23</v>
      </c>
      <c r="GM118">
        <v>24</v>
      </c>
      <c r="GN118">
        <v>23</v>
      </c>
      <c r="GO118">
        <v>-3.5333333333333337</v>
      </c>
      <c r="GP118">
        <v>22</v>
      </c>
      <c r="GQ118">
        <v>-13.111111111111109</v>
      </c>
      <c r="GR118">
        <v>27</v>
      </c>
      <c r="GS118">
        <v>-1.5555555555555554</v>
      </c>
      <c r="GT118">
        <v>22</v>
      </c>
      <c r="GU118">
        <v>20</v>
      </c>
      <c r="GV118">
        <v>14</v>
      </c>
      <c r="GW118">
        <v>-0.28888888888888903</v>
      </c>
      <c r="GX118">
        <v>21</v>
      </c>
      <c r="GY118">
        <v>-6.2222222222222241</v>
      </c>
      <c r="GZ118">
        <v>25</v>
      </c>
      <c r="HA118">
        <v>-1.1111111111111114</v>
      </c>
      <c r="HB118">
        <v>3</v>
      </c>
      <c r="HC118">
        <v>3.5</v>
      </c>
      <c r="HD118">
        <v>3</v>
      </c>
      <c r="HE118">
        <v>2.1111111111111112</v>
      </c>
      <c r="HF118">
        <v>4</v>
      </c>
      <c r="HG118">
        <v>0.66666666666666663</v>
      </c>
      <c r="HH118">
        <v>0.33333333333333304</v>
      </c>
      <c r="HI118">
        <v>29</v>
      </c>
      <c r="HJ118">
        <v>23</v>
      </c>
      <c r="HK118">
        <v>27</v>
      </c>
      <c r="HL118">
        <v>-4.0540818987056866E-2</v>
      </c>
      <c r="HM118">
        <v>9</v>
      </c>
      <c r="HN118">
        <v>1.467059263994131E-2</v>
      </c>
      <c r="HO118">
        <v>32</v>
      </c>
      <c r="HP118">
        <v>0.13750801667468335</v>
      </c>
      <c r="HQ118">
        <v>24</v>
      </c>
      <c r="HR118">
        <v>-1.7777777777777779</v>
      </c>
      <c r="HS118">
        <v>3.7777777777777786</v>
      </c>
      <c r="HT118">
        <v>2</v>
      </c>
      <c r="HU118">
        <v>0.55555555555555547</v>
      </c>
      <c r="HV118">
        <v>6.6666666666666856</v>
      </c>
      <c r="HW118">
        <v>-33.777777777777771</v>
      </c>
      <c r="HX118">
        <v>55.222222222222221</v>
      </c>
      <c r="HY118">
        <v>-2.3333333333333335</v>
      </c>
      <c r="HZ118">
        <v>-12.444444444444445</v>
      </c>
      <c r="IA118">
        <v>29</v>
      </c>
      <c r="IB118">
        <v>-11.466666666666669</v>
      </c>
      <c r="IC118">
        <v>-5.4655555555555564</v>
      </c>
      <c r="ID118">
        <v>-89</v>
      </c>
      <c r="IE118">
        <v>4</v>
      </c>
      <c r="IF118">
        <v>-0.37638888888888916</v>
      </c>
      <c r="IG118">
        <v>-1.0000000000000004</v>
      </c>
    </row>
    <row r="119" spans="1:241" x14ac:dyDescent="0.2">
      <c r="A119" s="19">
        <v>44108</v>
      </c>
      <c r="B119" s="13" t="s">
        <v>417</v>
      </c>
      <c r="C119" s="41" t="s">
        <v>302</v>
      </c>
      <c r="D119" s="14" t="s">
        <v>288</v>
      </c>
      <c r="E119">
        <v>6.5</v>
      </c>
      <c r="F119">
        <v>11.1</v>
      </c>
      <c r="G119">
        <v>13</v>
      </c>
      <c r="H119">
        <v>0</v>
      </c>
      <c r="I119">
        <v>11</v>
      </c>
      <c r="J119">
        <v>49</v>
      </c>
      <c r="L119" t="s">
        <v>302</v>
      </c>
      <c r="M119">
        <v>12</v>
      </c>
      <c r="N119">
        <v>0.5555555555555548</v>
      </c>
      <c r="O119">
        <v>20</v>
      </c>
      <c r="P119">
        <v>18.5</v>
      </c>
      <c r="Q119">
        <v>19</v>
      </c>
      <c r="R119">
        <v>-1.8111111111111118</v>
      </c>
      <c r="S119">
        <v>22</v>
      </c>
      <c r="T119">
        <v>-1.8888888888888888</v>
      </c>
      <c r="U119">
        <v>11</v>
      </c>
      <c r="V119">
        <v>6.3333333333333286</v>
      </c>
      <c r="W119">
        <v>22</v>
      </c>
      <c r="X119">
        <v>-0.55555555555555558</v>
      </c>
      <c r="Y119">
        <v>31</v>
      </c>
      <c r="Z119">
        <v>30</v>
      </c>
      <c r="AA119">
        <v>30</v>
      </c>
      <c r="AB119">
        <v>-7.3444444444444441</v>
      </c>
      <c r="AC119">
        <v>29</v>
      </c>
      <c r="AD119">
        <v>-4.333333333333333</v>
      </c>
      <c r="AE119">
        <v>30</v>
      </c>
      <c r="AF119">
        <v>-17.555555555555557</v>
      </c>
      <c r="AG119">
        <v>30</v>
      </c>
      <c r="AH119">
        <v>-1.7777777777777779</v>
      </c>
      <c r="AI119">
        <v>2</v>
      </c>
      <c r="AJ119">
        <v>2.6666666666666665</v>
      </c>
      <c r="AK119">
        <v>2</v>
      </c>
      <c r="AL119">
        <v>5.5333333333333323</v>
      </c>
      <c r="AM119">
        <v>6</v>
      </c>
      <c r="AN119">
        <v>2.4444444444444442</v>
      </c>
      <c r="AO119">
        <v>2</v>
      </c>
      <c r="AP119">
        <v>23.888888888888886</v>
      </c>
      <c r="AQ119">
        <v>4</v>
      </c>
      <c r="AR119">
        <v>1.2222222222222223</v>
      </c>
      <c r="AS119">
        <v>32</v>
      </c>
      <c r="AT119">
        <v>31.333333333333332</v>
      </c>
      <c r="AU119">
        <v>32</v>
      </c>
      <c r="AV119">
        <v>-14.8</v>
      </c>
      <c r="AW119">
        <v>32</v>
      </c>
      <c r="AX119">
        <v>-49.777777777777771</v>
      </c>
      <c r="AY119">
        <v>30</v>
      </c>
      <c r="AZ119">
        <v>-3.666666666666667</v>
      </c>
      <c r="BA119">
        <v>24</v>
      </c>
      <c r="BB119">
        <v>23</v>
      </c>
      <c r="BC119">
        <v>26</v>
      </c>
      <c r="BD119">
        <v>-3.9777777777777779</v>
      </c>
      <c r="BE119">
        <v>22</v>
      </c>
      <c r="BF119">
        <v>-9.3333333333333286</v>
      </c>
      <c r="BG119">
        <v>21</v>
      </c>
      <c r="BH119">
        <v>-1.1111111111111107</v>
      </c>
      <c r="BI119">
        <v>29</v>
      </c>
      <c r="BJ119">
        <v>26</v>
      </c>
      <c r="BK119">
        <v>31</v>
      </c>
      <c r="BL119">
        <v>-5.2</v>
      </c>
      <c r="BM119">
        <v>29</v>
      </c>
      <c r="BN119">
        <v>-21.111111111111111</v>
      </c>
      <c r="BO119">
        <v>18</v>
      </c>
      <c r="BP119">
        <v>-0.33333333333333331</v>
      </c>
      <c r="BQ119">
        <v>32</v>
      </c>
      <c r="BR119">
        <v>31.666666666666668</v>
      </c>
      <c r="BS119">
        <v>32</v>
      </c>
      <c r="BT119">
        <v>-5.6222222222222227</v>
      </c>
      <c r="BU119">
        <v>32</v>
      </c>
      <c r="BV119">
        <v>-19.333333333333332</v>
      </c>
      <c r="BW119">
        <v>31</v>
      </c>
      <c r="BX119">
        <v>-2.2222222222222228</v>
      </c>
      <c r="BY119">
        <v>25</v>
      </c>
      <c r="BZ119">
        <v>23.666666666666668</v>
      </c>
      <c r="CA119">
        <v>26</v>
      </c>
      <c r="CB119">
        <v>-2.6777777777777785</v>
      </c>
      <c r="CC119">
        <v>18</v>
      </c>
      <c r="CD119">
        <v>-6.7777777777777812</v>
      </c>
      <c r="CE119">
        <v>27</v>
      </c>
      <c r="CF119">
        <v>-1.7777777777777779</v>
      </c>
      <c r="CG119">
        <v>23</v>
      </c>
      <c r="CH119">
        <v>22.666666666666668</v>
      </c>
      <c r="CI119">
        <v>22</v>
      </c>
      <c r="CJ119">
        <v>-2.2666666666666671</v>
      </c>
      <c r="CK119">
        <v>22</v>
      </c>
      <c r="CL119">
        <v>-8.2222222222222214</v>
      </c>
      <c r="CM119">
        <v>24</v>
      </c>
      <c r="CN119">
        <v>-1.5555555555555554</v>
      </c>
      <c r="CO119">
        <v>16</v>
      </c>
      <c r="CP119">
        <v>16</v>
      </c>
      <c r="CQ119">
        <v>22</v>
      </c>
      <c r="CR119">
        <v>-0.66666666666666685</v>
      </c>
      <c r="CS119">
        <v>10</v>
      </c>
      <c r="CT119">
        <v>0.33333333333333331</v>
      </c>
      <c r="CU119">
        <v>6.4444444444444438</v>
      </c>
      <c r="CV119">
        <v>23</v>
      </c>
      <c r="CW119">
        <v>20</v>
      </c>
      <c r="CX119">
        <v>29</v>
      </c>
      <c r="CY119">
        <v>-5.5406947066217078E-2</v>
      </c>
      <c r="CZ119">
        <v>6</v>
      </c>
      <c r="DA119">
        <v>1.679228615692975E-2</v>
      </c>
      <c r="DB119">
        <v>22</v>
      </c>
      <c r="DC119">
        <v>5.9836459836459834E-2</v>
      </c>
      <c r="DD119">
        <v>23</v>
      </c>
      <c r="DE119">
        <v>-1.4444444444444446</v>
      </c>
      <c r="DF119">
        <v>0.11111111111110954</v>
      </c>
      <c r="DG119">
        <v>-0.88888888888888928</v>
      </c>
      <c r="DH119">
        <v>3.1111111111111107</v>
      </c>
      <c r="DI119">
        <v>-28.111111111111104</v>
      </c>
      <c r="DJ119">
        <v>-85.000000000000014</v>
      </c>
      <c r="DK119">
        <v>28.555555555555554</v>
      </c>
      <c r="DL119">
        <v>6.333333333333333</v>
      </c>
      <c r="DM119">
        <v>22</v>
      </c>
      <c r="DN119">
        <v>12</v>
      </c>
      <c r="DO119">
        <v>2.3666666666666663</v>
      </c>
      <c r="DP119">
        <v>-2.3966666666666665</v>
      </c>
      <c r="DQ119">
        <v>-113.55555555555557</v>
      </c>
      <c r="DR119">
        <v>21</v>
      </c>
      <c r="DS119">
        <v>-2.3736111111111113</v>
      </c>
      <c r="DT119">
        <v>-5.2222222222222223</v>
      </c>
      <c r="DU119">
        <v>-1.5366666666666668</v>
      </c>
      <c r="DV119">
        <v>-2.6822222222222223</v>
      </c>
      <c r="DW119" t="s">
        <v>288</v>
      </c>
      <c r="DX119" t="s">
        <v>270</v>
      </c>
      <c r="DY119" t="s">
        <v>508</v>
      </c>
      <c r="DZ119">
        <v>10</v>
      </c>
      <c r="EA119">
        <v>2.1044444444444452</v>
      </c>
      <c r="EB119">
        <v>4</v>
      </c>
      <c r="EC119">
        <v>9.75</v>
      </c>
      <c r="ED119">
        <v>13</v>
      </c>
      <c r="EE119">
        <v>1.0111111111111115</v>
      </c>
      <c r="EF119">
        <v>8</v>
      </c>
      <c r="EG119">
        <v>1.666666666666667</v>
      </c>
      <c r="EH119">
        <v>9</v>
      </c>
      <c r="EI119">
        <v>9.5555555555555554</v>
      </c>
      <c r="EJ119">
        <v>9</v>
      </c>
      <c r="EK119">
        <v>0.55555555555555602</v>
      </c>
      <c r="EL119">
        <v>13</v>
      </c>
      <c r="EM119">
        <v>15.5</v>
      </c>
      <c r="EN119">
        <v>14</v>
      </c>
      <c r="EO119">
        <v>0.46666666666666679</v>
      </c>
      <c r="EP119">
        <v>19</v>
      </c>
      <c r="EQ119">
        <v>-0.66666666666666607</v>
      </c>
      <c r="ER119">
        <v>8</v>
      </c>
      <c r="ES119">
        <v>12.888888888888888</v>
      </c>
      <c r="ET119">
        <v>21</v>
      </c>
      <c r="EU119">
        <v>-0.66666666666666652</v>
      </c>
      <c r="EV119">
        <v>8</v>
      </c>
      <c r="EW119">
        <v>11</v>
      </c>
      <c r="EX119">
        <v>11</v>
      </c>
      <c r="EY119">
        <v>0.54444444444444473</v>
      </c>
      <c r="EZ119">
        <v>2</v>
      </c>
      <c r="FA119">
        <v>2.333333333333333</v>
      </c>
      <c r="FB119">
        <v>20</v>
      </c>
      <c r="FC119">
        <v>-3.3333333333333321</v>
      </c>
      <c r="FD119">
        <v>2</v>
      </c>
      <c r="FE119">
        <v>1.2222222222222225</v>
      </c>
      <c r="FF119">
        <v>27</v>
      </c>
      <c r="FG119">
        <v>25</v>
      </c>
      <c r="FH119">
        <v>24</v>
      </c>
      <c r="FI119">
        <v>-3.966666666666669</v>
      </c>
      <c r="FJ119">
        <v>30</v>
      </c>
      <c r="FK119">
        <v>-37.44444444444445</v>
      </c>
      <c r="FL119">
        <v>21</v>
      </c>
      <c r="FM119">
        <v>-0.55555555555555558</v>
      </c>
      <c r="FN119">
        <v>11</v>
      </c>
      <c r="FO119">
        <v>11.666666666666666</v>
      </c>
      <c r="FP119">
        <v>16</v>
      </c>
      <c r="FQ119">
        <v>-4.4444444444446063E-2</v>
      </c>
      <c r="FR119">
        <v>9</v>
      </c>
      <c r="FS119">
        <v>8.4444444444444446</v>
      </c>
      <c r="FT119">
        <v>10</v>
      </c>
      <c r="FU119">
        <v>0.88888888888888873</v>
      </c>
      <c r="FV119">
        <v>30</v>
      </c>
      <c r="FW119">
        <v>28.666666666666668</v>
      </c>
      <c r="FX119">
        <v>30</v>
      </c>
      <c r="FY119">
        <v>-4.5777777777777784</v>
      </c>
      <c r="FZ119">
        <v>32</v>
      </c>
      <c r="GA119">
        <v>-33.555555555555557</v>
      </c>
      <c r="GB119">
        <v>24</v>
      </c>
      <c r="GC119">
        <v>-1</v>
      </c>
      <c r="GD119">
        <v>20</v>
      </c>
      <c r="GE119">
        <v>19.333333333333332</v>
      </c>
      <c r="GF119">
        <v>12</v>
      </c>
      <c r="GG119">
        <v>0.65555555555555534</v>
      </c>
      <c r="GH119">
        <v>27</v>
      </c>
      <c r="GI119">
        <v>-12.333333333333334</v>
      </c>
      <c r="GJ119">
        <v>19</v>
      </c>
      <c r="GK119">
        <v>-0.44444444444444425</v>
      </c>
      <c r="GL119">
        <v>27</v>
      </c>
      <c r="GM119">
        <v>26</v>
      </c>
      <c r="GN119">
        <v>29</v>
      </c>
      <c r="GO119">
        <v>-6.0555555555555562</v>
      </c>
      <c r="GP119">
        <v>31</v>
      </c>
      <c r="GQ119">
        <v>-32.777777777777771</v>
      </c>
      <c r="GR119">
        <v>18</v>
      </c>
      <c r="GS119">
        <v>-0.44444444444444464</v>
      </c>
      <c r="GT119">
        <v>12</v>
      </c>
      <c r="GU119">
        <v>14.666666666666666</v>
      </c>
      <c r="GV119">
        <v>15</v>
      </c>
      <c r="GW119">
        <v>-0.38888888888888901</v>
      </c>
      <c r="GX119">
        <v>15</v>
      </c>
      <c r="GY119">
        <v>-0.55555555555555713</v>
      </c>
      <c r="GZ119">
        <v>14</v>
      </c>
      <c r="HA119">
        <v>0.22222222222222202</v>
      </c>
      <c r="HB119">
        <v>26</v>
      </c>
      <c r="HC119">
        <v>26</v>
      </c>
      <c r="HD119">
        <v>28</v>
      </c>
      <c r="HE119">
        <v>-1.8888888888888891</v>
      </c>
      <c r="HF119">
        <v>24</v>
      </c>
      <c r="HG119">
        <v>-0.33333333333333343</v>
      </c>
      <c r="HH119">
        <v>-3.3333333333333335</v>
      </c>
      <c r="HI119">
        <v>18</v>
      </c>
      <c r="HJ119">
        <v>16.75</v>
      </c>
      <c r="HK119">
        <v>29</v>
      </c>
      <c r="HL119">
        <v>-4.4349687695366215E-2</v>
      </c>
      <c r="HM119">
        <v>13</v>
      </c>
      <c r="HN119">
        <v>3.8055313564464544E-3</v>
      </c>
      <c r="HO119">
        <v>9</v>
      </c>
      <c r="HP119">
        <v>-8.2762734723519027E-2</v>
      </c>
      <c r="HQ119">
        <v>16</v>
      </c>
      <c r="HR119">
        <v>-0.22222222222222188</v>
      </c>
      <c r="HS119">
        <v>0.88888888888888806</v>
      </c>
      <c r="HT119">
        <v>-3</v>
      </c>
      <c r="HU119">
        <v>0.77777777777777768</v>
      </c>
      <c r="HV119">
        <v>-2</v>
      </c>
      <c r="HW119">
        <v>-27</v>
      </c>
      <c r="HX119">
        <v>10.555555555555559</v>
      </c>
      <c r="HY119">
        <v>1.7777777777777779</v>
      </c>
      <c r="HZ119">
        <v>12.666666666666666</v>
      </c>
      <c r="IA119">
        <v>17</v>
      </c>
      <c r="IB119">
        <v>1.0933333333333337</v>
      </c>
      <c r="IC119">
        <v>-0.95577777777777828</v>
      </c>
      <c r="ID119">
        <v>-37.555555555555557</v>
      </c>
      <c r="IE119">
        <v>16</v>
      </c>
      <c r="IF119">
        <v>-0.3911111111111113</v>
      </c>
      <c r="IG119">
        <v>-0.33333333333333359</v>
      </c>
    </row>
    <row r="120" spans="1:241" x14ac:dyDescent="0.2">
      <c r="A120" s="19">
        <v>44108</v>
      </c>
      <c r="B120" s="13" t="s">
        <v>417</v>
      </c>
      <c r="C120" s="41" t="s">
        <v>307</v>
      </c>
      <c r="D120" s="14" t="s">
        <v>299</v>
      </c>
      <c r="E120">
        <v>21.4</v>
      </c>
      <c r="F120">
        <v>15.3</v>
      </c>
      <c r="G120">
        <v>3</v>
      </c>
      <c r="H120">
        <v>1.7</v>
      </c>
      <c r="I120">
        <v>-3</v>
      </c>
      <c r="J120">
        <v>51.5</v>
      </c>
      <c r="L120" t="s">
        <v>307</v>
      </c>
      <c r="M120">
        <v>7</v>
      </c>
      <c r="N120">
        <v>1.5666666666666675</v>
      </c>
      <c r="O120">
        <v>3</v>
      </c>
      <c r="P120">
        <v>6.5</v>
      </c>
      <c r="Q120">
        <v>4</v>
      </c>
      <c r="R120">
        <v>8.1777777777777771</v>
      </c>
      <c r="S120">
        <v>8</v>
      </c>
      <c r="T120">
        <v>2.4444444444444446</v>
      </c>
      <c r="U120">
        <v>12</v>
      </c>
      <c r="V120">
        <v>5.3333333333333348</v>
      </c>
      <c r="W120">
        <v>2</v>
      </c>
      <c r="X120">
        <v>2.3333333333333335</v>
      </c>
      <c r="Y120">
        <v>4</v>
      </c>
      <c r="Z120">
        <v>5.666666666666667</v>
      </c>
      <c r="AA120">
        <v>1</v>
      </c>
      <c r="AB120">
        <v>11.411111111111111</v>
      </c>
      <c r="AC120">
        <v>19</v>
      </c>
      <c r="AD120">
        <v>-1.444444444444444</v>
      </c>
      <c r="AE120">
        <v>15</v>
      </c>
      <c r="AF120">
        <v>-0.77777777777777624</v>
      </c>
      <c r="AG120">
        <v>1</v>
      </c>
      <c r="AH120">
        <v>3.3333333333333335</v>
      </c>
      <c r="AI120">
        <v>23</v>
      </c>
      <c r="AJ120">
        <v>21</v>
      </c>
      <c r="AK120">
        <v>28</v>
      </c>
      <c r="AL120">
        <v>-3.2333333333333338</v>
      </c>
      <c r="AM120">
        <v>4</v>
      </c>
      <c r="AN120">
        <v>3.8888888888888888</v>
      </c>
      <c r="AO120">
        <v>9</v>
      </c>
      <c r="AP120">
        <v>6.1111111111111107</v>
      </c>
      <c r="AQ120">
        <v>26</v>
      </c>
      <c r="AR120">
        <v>-1</v>
      </c>
      <c r="AS120">
        <v>31</v>
      </c>
      <c r="AT120">
        <v>29.333333333333332</v>
      </c>
      <c r="AU120">
        <v>29</v>
      </c>
      <c r="AV120">
        <v>-8.9111111111111097</v>
      </c>
      <c r="AW120">
        <v>31</v>
      </c>
      <c r="AX120">
        <v>-49.555555555555557</v>
      </c>
      <c r="AY120">
        <v>28</v>
      </c>
      <c r="AZ120">
        <v>-3.5555555555555554</v>
      </c>
      <c r="BA120">
        <v>30</v>
      </c>
      <c r="BB120">
        <v>27.666666666666668</v>
      </c>
      <c r="BC120">
        <v>30</v>
      </c>
      <c r="BD120">
        <v>-4.833333333333333</v>
      </c>
      <c r="BE120">
        <v>29</v>
      </c>
      <c r="BF120">
        <v>-18.888888888888889</v>
      </c>
      <c r="BG120">
        <v>24</v>
      </c>
      <c r="BH120">
        <v>-1.4444444444444444</v>
      </c>
      <c r="BI120">
        <v>28</v>
      </c>
      <c r="BJ120">
        <v>25.333333333333332</v>
      </c>
      <c r="BK120">
        <v>23</v>
      </c>
      <c r="BL120">
        <v>-2.0111111111111106</v>
      </c>
      <c r="BM120">
        <v>27</v>
      </c>
      <c r="BN120">
        <v>-15.666666666666666</v>
      </c>
      <c r="BO120">
        <v>26</v>
      </c>
      <c r="BP120">
        <v>-1.2222222222222221</v>
      </c>
      <c r="BQ120">
        <v>29</v>
      </c>
      <c r="BR120">
        <v>26.666666666666668</v>
      </c>
      <c r="BS120">
        <v>28</v>
      </c>
      <c r="BT120">
        <v>-2.0666666666666664</v>
      </c>
      <c r="BU120">
        <v>28</v>
      </c>
      <c r="BV120">
        <v>-15</v>
      </c>
      <c r="BW120">
        <v>24</v>
      </c>
      <c r="BX120">
        <v>-0.88888888888888895</v>
      </c>
      <c r="BY120">
        <v>15</v>
      </c>
      <c r="BZ120">
        <v>17.333333333333332</v>
      </c>
      <c r="CA120">
        <v>17</v>
      </c>
      <c r="CB120">
        <v>-0.91111111111111265</v>
      </c>
      <c r="CC120">
        <v>21</v>
      </c>
      <c r="CD120">
        <v>-9.1111111111111143</v>
      </c>
      <c r="CE120">
        <v>14</v>
      </c>
      <c r="CF120">
        <v>0.44444444444444464</v>
      </c>
      <c r="CG120">
        <v>10</v>
      </c>
      <c r="CH120">
        <v>10.333333333333334</v>
      </c>
      <c r="CI120">
        <v>10</v>
      </c>
      <c r="CJ120">
        <v>2.7333333333333329</v>
      </c>
      <c r="CK120">
        <v>11</v>
      </c>
      <c r="CL120">
        <v>8.4444444444444446</v>
      </c>
      <c r="CM120">
        <v>10</v>
      </c>
      <c r="CN120">
        <v>1.2222222222222221</v>
      </c>
      <c r="CO120">
        <v>8</v>
      </c>
      <c r="CP120">
        <v>9</v>
      </c>
      <c r="CQ120">
        <v>5</v>
      </c>
      <c r="CR120">
        <v>1.8888888888888891</v>
      </c>
      <c r="CS120">
        <v>13</v>
      </c>
      <c r="CT120">
        <v>0.22222222222222218</v>
      </c>
      <c r="CU120">
        <v>2.4444444444444446</v>
      </c>
      <c r="CV120">
        <v>32</v>
      </c>
      <c r="CW120">
        <v>30.25</v>
      </c>
      <c r="CX120">
        <v>30</v>
      </c>
      <c r="CY120">
        <v>-6.2143389889660172E-2</v>
      </c>
      <c r="CZ120">
        <v>30</v>
      </c>
      <c r="DA120">
        <v>-2.2988628342094367E-2</v>
      </c>
      <c r="DB120">
        <v>30</v>
      </c>
      <c r="DC120">
        <v>0.1377104377104377</v>
      </c>
      <c r="DD120">
        <v>31</v>
      </c>
      <c r="DE120">
        <v>-4.666666666666667</v>
      </c>
      <c r="DF120">
        <v>-1.3333333333333357</v>
      </c>
      <c r="DG120">
        <v>2.3333333333333335</v>
      </c>
      <c r="DH120">
        <v>0.77777777777777757</v>
      </c>
      <c r="DI120">
        <v>-3.555555555555562</v>
      </c>
      <c r="DJ120">
        <v>7.3333333333333242</v>
      </c>
      <c r="DK120">
        <v>-4.8888888888888902</v>
      </c>
      <c r="DL120">
        <v>-0.33333333333333331</v>
      </c>
      <c r="DM120">
        <v>-5.666666666666667</v>
      </c>
      <c r="DN120">
        <v>28</v>
      </c>
      <c r="DO120">
        <v>-6.6111111111111089</v>
      </c>
      <c r="DP120">
        <v>-5.0111111111111111</v>
      </c>
      <c r="DQ120">
        <v>12.222222222222214</v>
      </c>
      <c r="DR120">
        <v>5</v>
      </c>
      <c r="DS120">
        <v>0.68194444444444469</v>
      </c>
      <c r="DT120">
        <v>-2.333333333333333</v>
      </c>
      <c r="DU120">
        <v>-0.669027777777778</v>
      </c>
      <c r="DV120">
        <v>-0.65750000000000064</v>
      </c>
      <c r="DW120" t="s">
        <v>299</v>
      </c>
      <c r="DX120" t="s">
        <v>258</v>
      </c>
      <c r="DY120" t="s">
        <v>478</v>
      </c>
      <c r="DZ120">
        <v>25</v>
      </c>
      <c r="EA120">
        <v>-2.9333333333333336</v>
      </c>
      <c r="EB120">
        <v>8</v>
      </c>
      <c r="EC120">
        <v>11.5</v>
      </c>
      <c r="ED120">
        <v>7</v>
      </c>
      <c r="EE120">
        <v>4.8000000000000007</v>
      </c>
      <c r="EF120">
        <v>10</v>
      </c>
      <c r="EG120">
        <v>1.3333333333333326</v>
      </c>
      <c r="EH120">
        <v>3</v>
      </c>
      <c r="EI120">
        <v>38.555555555555557</v>
      </c>
      <c r="EJ120">
        <v>26</v>
      </c>
      <c r="EK120">
        <v>-1.1111111111111109</v>
      </c>
      <c r="EL120">
        <v>5</v>
      </c>
      <c r="EM120">
        <v>8.5</v>
      </c>
      <c r="EN120">
        <v>5</v>
      </c>
      <c r="EO120">
        <v>4.7222222222222223</v>
      </c>
      <c r="EP120">
        <v>14</v>
      </c>
      <c r="EQ120">
        <v>-5.9211894646675012E-16</v>
      </c>
      <c r="ER120">
        <v>4</v>
      </c>
      <c r="ES120">
        <v>22.444444444444446</v>
      </c>
      <c r="ET120">
        <v>11</v>
      </c>
      <c r="EU120">
        <v>0.44444444444444442</v>
      </c>
      <c r="EV120">
        <v>5</v>
      </c>
      <c r="EW120">
        <v>8.3333333333333339</v>
      </c>
      <c r="EX120">
        <v>16</v>
      </c>
      <c r="EY120">
        <v>7.7777777777778098E-2</v>
      </c>
      <c r="EZ120">
        <v>7</v>
      </c>
      <c r="FA120">
        <v>1.3333333333333333</v>
      </c>
      <c r="FB120">
        <v>2</v>
      </c>
      <c r="FC120">
        <v>16.111111111111111</v>
      </c>
      <c r="FD120">
        <v>31</v>
      </c>
      <c r="FE120">
        <v>-1.5555555555555554</v>
      </c>
      <c r="FF120">
        <v>28</v>
      </c>
      <c r="FG120">
        <v>26.666666666666668</v>
      </c>
      <c r="FH120">
        <v>27</v>
      </c>
      <c r="FI120">
        <v>-6.4777777777777779</v>
      </c>
      <c r="FJ120">
        <v>23</v>
      </c>
      <c r="FK120">
        <v>-21.111111111111118</v>
      </c>
      <c r="FL120">
        <v>30</v>
      </c>
      <c r="FM120">
        <v>-3.1111111111111116</v>
      </c>
      <c r="FN120">
        <v>31</v>
      </c>
      <c r="FO120">
        <v>30.333333333333332</v>
      </c>
      <c r="FP120">
        <v>32</v>
      </c>
      <c r="FQ120">
        <v>-7.9444444444444455</v>
      </c>
      <c r="FR120">
        <v>27</v>
      </c>
      <c r="FS120">
        <v>-18.333333333333339</v>
      </c>
      <c r="FT120">
        <v>32</v>
      </c>
      <c r="FU120">
        <v>-2.2222222222222228</v>
      </c>
      <c r="FV120">
        <v>7</v>
      </c>
      <c r="FW120">
        <v>7.666666666666667</v>
      </c>
      <c r="FX120">
        <v>5</v>
      </c>
      <c r="FY120">
        <v>4.522222222222223</v>
      </c>
      <c r="FZ120">
        <v>5</v>
      </c>
      <c r="GA120">
        <v>16.444444444444446</v>
      </c>
      <c r="GB120">
        <v>13</v>
      </c>
      <c r="GC120">
        <v>0.44444444444444436</v>
      </c>
      <c r="GD120">
        <v>32</v>
      </c>
      <c r="GE120">
        <v>28.333333333333332</v>
      </c>
      <c r="GF120">
        <v>27</v>
      </c>
      <c r="GG120">
        <v>-3.0555555555555558</v>
      </c>
      <c r="GH120">
        <v>31</v>
      </c>
      <c r="GI120">
        <v>-19.222222222222225</v>
      </c>
      <c r="GJ120">
        <v>27</v>
      </c>
      <c r="GK120">
        <v>-1.3333333333333333</v>
      </c>
      <c r="GL120">
        <v>12</v>
      </c>
      <c r="GM120">
        <v>11.666666666666666</v>
      </c>
      <c r="GN120">
        <v>8</v>
      </c>
      <c r="GO120">
        <v>3.0222222222222235</v>
      </c>
      <c r="GP120">
        <v>10</v>
      </c>
      <c r="GQ120">
        <v>6.8888888888888902</v>
      </c>
      <c r="GR120">
        <v>17</v>
      </c>
      <c r="GS120">
        <v>0</v>
      </c>
      <c r="GT120">
        <v>18</v>
      </c>
      <c r="GU120">
        <v>18</v>
      </c>
      <c r="GV120">
        <v>16</v>
      </c>
      <c r="GW120">
        <v>-0.61111111111111061</v>
      </c>
      <c r="GX120">
        <v>22</v>
      </c>
      <c r="GY120">
        <v>-7.2222222222222223</v>
      </c>
      <c r="GZ120">
        <v>16</v>
      </c>
      <c r="HA120">
        <v>0</v>
      </c>
      <c r="HB120">
        <v>20</v>
      </c>
      <c r="HC120">
        <v>21</v>
      </c>
      <c r="HD120">
        <v>16</v>
      </c>
      <c r="HE120">
        <v>-0.22222222222222202</v>
      </c>
      <c r="HF120">
        <v>26</v>
      </c>
      <c r="HG120">
        <v>-0.55555555555555569</v>
      </c>
      <c r="HH120">
        <v>-0.11111111111111101</v>
      </c>
      <c r="HI120">
        <v>26</v>
      </c>
      <c r="HJ120">
        <v>21.5</v>
      </c>
      <c r="HK120">
        <v>19</v>
      </c>
      <c r="HL120">
        <v>-1.9809122225902892E-2</v>
      </c>
      <c r="HM120">
        <v>24</v>
      </c>
      <c r="HN120">
        <v>-1.2486232588071772E-2</v>
      </c>
      <c r="HO120">
        <v>25</v>
      </c>
      <c r="HP120">
        <v>9.4708994708994701E-2</v>
      </c>
      <c r="HQ120">
        <v>18</v>
      </c>
      <c r="HR120">
        <v>-0.55555555555555547</v>
      </c>
      <c r="HS120">
        <v>-4.4444444444444429</v>
      </c>
      <c r="HT120">
        <v>-1</v>
      </c>
      <c r="HU120">
        <v>1.3333333333333333</v>
      </c>
      <c r="HV120">
        <v>0.66666666666666663</v>
      </c>
      <c r="HW120">
        <v>-18.333333333333343</v>
      </c>
      <c r="HX120">
        <v>35</v>
      </c>
      <c r="HY120">
        <v>-5</v>
      </c>
      <c r="HZ120">
        <v>-11</v>
      </c>
      <c r="IA120">
        <v>27</v>
      </c>
      <c r="IB120">
        <v>-7.7333333333333343</v>
      </c>
      <c r="IC120">
        <v>-4.4044444444444455</v>
      </c>
      <c r="ID120">
        <v>-53.333333333333343</v>
      </c>
      <c r="IE120">
        <v>6</v>
      </c>
      <c r="IF120">
        <v>-0.68055555555555547</v>
      </c>
      <c r="IG120">
        <v>-3.1111111111111116</v>
      </c>
    </row>
    <row r="121" spans="1:241" x14ac:dyDescent="0.2">
      <c r="A121" s="19">
        <v>44108</v>
      </c>
      <c r="B121" s="13" t="s">
        <v>417</v>
      </c>
      <c r="C121" s="41" t="s">
        <v>296</v>
      </c>
      <c r="D121" s="14" t="s">
        <v>304</v>
      </c>
      <c r="E121">
        <v>7.8</v>
      </c>
      <c r="F121">
        <v>6</v>
      </c>
      <c r="G121">
        <v>6.4</v>
      </c>
      <c r="H121">
        <v>9.5</v>
      </c>
      <c r="I121">
        <v>13.5</v>
      </c>
      <c r="J121">
        <v>50.5</v>
      </c>
      <c r="L121" t="s">
        <v>296</v>
      </c>
      <c r="M121">
        <v>27</v>
      </c>
      <c r="N121">
        <v>-3.1377777777777776</v>
      </c>
      <c r="O121">
        <v>29</v>
      </c>
      <c r="P121">
        <v>24</v>
      </c>
      <c r="Q121">
        <v>26</v>
      </c>
      <c r="R121">
        <v>-5.4333333333333336</v>
      </c>
      <c r="S121">
        <v>31</v>
      </c>
      <c r="T121">
        <v>-5.6666666666666661</v>
      </c>
      <c r="U121">
        <v>32</v>
      </c>
      <c r="V121">
        <v>-42.666666666666664</v>
      </c>
      <c r="W121">
        <v>7</v>
      </c>
      <c r="X121">
        <v>1.2222222222222223</v>
      </c>
      <c r="Y121">
        <v>22</v>
      </c>
      <c r="Z121">
        <v>19</v>
      </c>
      <c r="AA121">
        <v>21</v>
      </c>
      <c r="AB121">
        <v>-2.1111111111111112</v>
      </c>
      <c r="AC121">
        <v>32</v>
      </c>
      <c r="AD121">
        <v>-4.9999999999999991</v>
      </c>
      <c r="AE121">
        <v>32</v>
      </c>
      <c r="AF121">
        <v>-37.444444444444443</v>
      </c>
      <c r="AG121">
        <v>4</v>
      </c>
      <c r="AH121">
        <v>2.1111111111111112</v>
      </c>
      <c r="AI121">
        <v>29</v>
      </c>
      <c r="AJ121">
        <v>25</v>
      </c>
      <c r="AK121">
        <v>29</v>
      </c>
      <c r="AL121">
        <v>-3.3222222222222229</v>
      </c>
      <c r="AM121">
        <v>17</v>
      </c>
      <c r="AN121">
        <v>-0.66666666666666652</v>
      </c>
      <c r="AO121">
        <v>21</v>
      </c>
      <c r="AP121">
        <v>-5.2222222222222214</v>
      </c>
      <c r="AQ121">
        <v>25</v>
      </c>
      <c r="AR121">
        <v>-0.88888888888888884</v>
      </c>
      <c r="AS121">
        <v>25</v>
      </c>
      <c r="AT121">
        <v>25</v>
      </c>
      <c r="AU121">
        <v>22</v>
      </c>
      <c r="AV121">
        <v>-4.1222222222222227</v>
      </c>
      <c r="AW121">
        <v>24</v>
      </c>
      <c r="AX121">
        <v>-29.444444444444446</v>
      </c>
      <c r="AY121">
        <v>29</v>
      </c>
      <c r="AZ121">
        <v>-3.5555555555555558</v>
      </c>
      <c r="BA121">
        <v>22</v>
      </c>
      <c r="BB121">
        <v>22</v>
      </c>
      <c r="BC121">
        <v>17</v>
      </c>
      <c r="BD121">
        <v>-1.6222222222222225</v>
      </c>
      <c r="BE121">
        <v>26</v>
      </c>
      <c r="BF121">
        <v>-13.222222222222223</v>
      </c>
      <c r="BG121">
        <v>23</v>
      </c>
      <c r="BH121">
        <v>-1.3333333333333337</v>
      </c>
      <c r="BI121">
        <v>19</v>
      </c>
      <c r="BJ121">
        <v>18.333333333333332</v>
      </c>
      <c r="BK121">
        <v>20</v>
      </c>
      <c r="BL121">
        <v>-1.144444444444445</v>
      </c>
      <c r="BM121">
        <v>24</v>
      </c>
      <c r="BN121">
        <v>-12.555555555555557</v>
      </c>
      <c r="BO121">
        <v>11</v>
      </c>
      <c r="BP121">
        <v>0.22222222222222202</v>
      </c>
      <c r="BQ121">
        <v>26</v>
      </c>
      <c r="BR121">
        <v>24.666666666666668</v>
      </c>
      <c r="BS121">
        <v>22</v>
      </c>
      <c r="BT121">
        <v>-1.3555555555555552</v>
      </c>
      <c r="BU121">
        <v>20</v>
      </c>
      <c r="BV121">
        <v>-3.6666666666666665</v>
      </c>
      <c r="BW121">
        <v>32</v>
      </c>
      <c r="BX121">
        <v>-2.4444444444444442</v>
      </c>
      <c r="BY121">
        <v>31</v>
      </c>
      <c r="BZ121">
        <v>28</v>
      </c>
      <c r="CA121">
        <v>30</v>
      </c>
      <c r="CB121">
        <v>-5.9333333333333336</v>
      </c>
      <c r="CC121">
        <v>32</v>
      </c>
      <c r="CD121">
        <v>-31.555555555555557</v>
      </c>
      <c r="CE121">
        <v>22</v>
      </c>
      <c r="CF121">
        <v>-0.77777777777777735</v>
      </c>
      <c r="CG121">
        <v>11</v>
      </c>
      <c r="CH121">
        <v>12.333333333333334</v>
      </c>
      <c r="CI121">
        <v>20</v>
      </c>
      <c r="CJ121">
        <v>-1.1777777777777783</v>
      </c>
      <c r="CK121">
        <v>13</v>
      </c>
      <c r="CL121">
        <v>2.6666666666666679</v>
      </c>
      <c r="CM121">
        <v>4</v>
      </c>
      <c r="CN121">
        <v>2</v>
      </c>
      <c r="CO121">
        <v>17</v>
      </c>
      <c r="CP121">
        <v>17</v>
      </c>
      <c r="CQ121">
        <v>14</v>
      </c>
      <c r="CR121">
        <v>0.44444444444444436</v>
      </c>
      <c r="CS121">
        <v>20</v>
      </c>
      <c r="CT121">
        <v>-0.11111111111111109</v>
      </c>
      <c r="CU121">
        <v>1.4802973661668753E-16</v>
      </c>
      <c r="CV121">
        <v>7</v>
      </c>
      <c r="CW121">
        <v>11</v>
      </c>
      <c r="CX121">
        <v>9</v>
      </c>
      <c r="CY121">
        <v>3.3902903521176364E-2</v>
      </c>
      <c r="CZ121">
        <v>18</v>
      </c>
      <c r="DA121">
        <v>-1.2498938969527178E-3</v>
      </c>
      <c r="DB121">
        <v>13</v>
      </c>
      <c r="DC121">
        <v>-6.9688109161793283E-3</v>
      </c>
      <c r="DD121">
        <v>4</v>
      </c>
      <c r="DE121">
        <v>3.1111111111111112</v>
      </c>
      <c r="DF121">
        <v>-5.1111111111111098</v>
      </c>
      <c r="DG121">
        <v>-5.7777777777777786</v>
      </c>
      <c r="DH121">
        <v>0</v>
      </c>
      <c r="DI121">
        <v>-49.222222222222229</v>
      </c>
      <c r="DJ121">
        <v>-9.5555555555555625</v>
      </c>
      <c r="DK121">
        <v>-43.55555555555555</v>
      </c>
      <c r="DL121">
        <v>-1.7777777777777777</v>
      </c>
      <c r="DM121">
        <v>5.666666666666667</v>
      </c>
      <c r="DN121">
        <v>13</v>
      </c>
      <c r="DO121">
        <v>2.2955555555555565</v>
      </c>
      <c r="DP121">
        <v>1.0291111111111111</v>
      </c>
      <c r="DQ121">
        <v>33.999999999999986</v>
      </c>
      <c r="DR121">
        <v>20</v>
      </c>
      <c r="DS121">
        <v>-1.6783333333333337</v>
      </c>
      <c r="DT121">
        <v>-1.5555555555555558</v>
      </c>
      <c r="DU121">
        <v>-1.2205555555555561</v>
      </c>
      <c r="DV121">
        <v>-0.88777777777777833</v>
      </c>
      <c r="DW121" t="s">
        <v>304</v>
      </c>
      <c r="DX121" t="s">
        <v>251</v>
      </c>
      <c r="DY121" t="s">
        <v>456</v>
      </c>
      <c r="DZ121">
        <v>32</v>
      </c>
      <c r="EA121">
        <v>-5.660000000000001</v>
      </c>
      <c r="EB121">
        <v>7</v>
      </c>
      <c r="EC121">
        <v>10.25</v>
      </c>
      <c r="ED121">
        <v>6</v>
      </c>
      <c r="EE121">
        <v>5.8555555555555561</v>
      </c>
      <c r="EF121">
        <v>7</v>
      </c>
      <c r="EG121">
        <v>2.0000000000000009</v>
      </c>
      <c r="EH121">
        <v>7</v>
      </c>
      <c r="EI121">
        <v>21.999999999999996</v>
      </c>
      <c r="EJ121">
        <v>21</v>
      </c>
      <c r="EK121">
        <v>-0.22222222222222221</v>
      </c>
      <c r="EL121">
        <v>6</v>
      </c>
      <c r="EM121">
        <v>8.75</v>
      </c>
      <c r="EN121">
        <v>4</v>
      </c>
      <c r="EO121">
        <v>5.2</v>
      </c>
      <c r="EP121">
        <v>4</v>
      </c>
      <c r="EQ121">
        <v>3.111111111111112</v>
      </c>
      <c r="ER121">
        <v>5</v>
      </c>
      <c r="ES121">
        <v>20.555555555555554</v>
      </c>
      <c r="ET121">
        <v>22</v>
      </c>
      <c r="EU121">
        <v>-0.66666666666666663</v>
      </c>
      <c r="EV121">
        <v>13</v>
      </c>
      <c r="EW121">
        <v>14</v>
      </c>
      <c r="EX121">
        <v>9</v>
      </c>
      <c r="EY121">
        <v>0.65555555555555556</v>
      </c>
      <c r="EZ121">
        <v>21</v>
      </c>
      <c r="FA121">
        <v>-1.1111111111111109</v>
      </c>
      <c r="FB121">
        <v>12</v>
      </c>
      <c r="FC121">
        <v>1.4444444444444444</v>
      </c>
      <c r="FD121">
        <v>11</v>
      </c>
      <c r="FE121">
        <v>0.44444444444444442</v>
      </c>
      <c r="FF121">
        <v>30</v>
      </c>
      <c r="FG121">
        <v>29.333333333333332</v>
      </c>
      <c r="FH121">
        <v>30</v>
      </c>
      <c r="FI121">
        <v>-8.0111111111111111</v>
      </c>
      <c r="FJ121">
        <v>29</v>
      </c>
      <c r="FK121">
        <v>-31.444444444444443</v>
      </c>
      <c r="FL121">
        <v>29</v>
      </c>
      <c r="FM121">
        <v>-2.9999999999999996</v>
      </c>
      <c r="FN121">
        <v>25</v>
      </c>
      <c r="FO121">
        <v>23.333333333333332</v>
      </c>
      <c r="FP121">
        <v>24</v>
      </c>
      <c r="FQ121">
        <v>-2.6999999999999988</v>
      </c>
      <c r="FR121">
        <v>26</v>
      </c>
      <c r="FS121">
        <v>-15.444444444444445</v>
      </c>
      <c r="FT121">
        <v>20</v>
      </c>
      <c r="FU121">
        <v>-0.44444444444444403</v>
      </c>
      <c r="FV121">
        <v>25</v>
      </c>
      <c r="FW121">
        <v>23</v>
      </c>
      <c r="FX121">
        <v>22</v>
      </c>
      <c r="FY121">
        <v>-2.1444444444444444</v>
      </c>
      <c r="FZ121">
        <v>22</v>
      </c>
      <c r="GA121">
        <v>-6.1111111111111081</v>
      </c>
      <c r="GB121">
        <v>25</v>
      </c>
      <c r="GC121">
        <v>-1.1111111111111109</v>
      </c>
      <c r="GD121">
        <v>26</v>
      </c>
      <c r="GE121">
        <v>27</v>
      </c>
      <c r="GF121">
        <v>29</v>
      </c>
      <c r="GG121">
        <v>-3.1666666666666679</v>
      </c>
      <c r="GH121">
        <v>24</v>
      </c>
      <c r="GI121">
        <v>-9.8888888888888911</v>
      </c>
      <c r="GJ121">
        <v>28</v>
      </c>
      <c r="GK121">
        <v>-1.4444444444444446</v>
      </c>
      <c r="GL121">
        <v>30</v>
      </c>
      <c r="GM121">
        <v>28</v>
      </c>
      <c r="GN121">
        <v>30</v>
      </c>
      <c r="GO121">
        <v>-6.2666666666666657</v>
      </c>
      <c r="GP121">
        <v>23</v>
      </c>
      <c r="GQ121">
        <v>-14.888888888888891</v>
      </c>
      <c r="GR121">
        <v>31</v>
      </c>
      <c r="GS121">
        <v>-2.6666666666666665</v>
      </c>
      <c r="GT121">
        <v>29</v>
      </c>
      <c r="GU121">
        <v>26.666666666666668</v>
      </c>
      <c r="GV121">
        <v>26</v>
      </c>
      <c r="GW121">
        <v>-2.3888888888888897</v>
      </c>
      <c r="GX121">
        <v>31</v>
      </c>
      <c r="GY121">
        <v>-23.888888888888889</v>
      </c>
      <c r="GZ121">
        <v>23</v>
      </c>
      <c r="HA121">
        <v>-0.99999999999999989</v>
      </c>
      <c r="HB121">
        <v>30</v>
      </c>
      <c r="HC121">
        <v>28</v>
      </c>
      <c r="HD121">
        <v>29</v>
      </c>
      <c r="HE121">
        <v>-2.2222222222222223</v>
      </c>
      <c r="HF121">
        <v>27</v>
      </c>
      <c r="HG121">
        <v>-0.66666666666666663</v>
      </c>
      <c r="HH121">
        <v>0</v>
      </c>
      <c r="HI121">
        <v>6</v>
      </c>
      <c r="HJ121">
        <v>11.75</v>
      </c>
      <c r="HK121">
        <v>5</v>
      </c>
      <c r="HL121">
        <v>4.6681638269181362E-2</v>
      </c>
      <c r="HM121">
        <v>14</v>
      </c>
      <c r="HN121">
        <v>2.1063533753734598E-3</v>
      </c>
      <c r="HO121">
        <v>6</v>
      </c>
      <c r="HP121">
        <v>-0.11502201502201503</v>
      </c>
      <c r="HQ121">
        <v>22</v>
      </c>
      <c r="HR121">
        <v>-1.6666666666666663</v>
      </c>
      <c r="HS121">
        <v>-6.8888888888888902</v>
      </c>
      <c r="HT121">
        <v>-3</v>
      </c>
      <c r="HU121">
        <v>0</v>
      </c>
      <c r="HV121">
        <v>-43.888888888888893</v>
      </c>
      <c r="HW121">
        <v>-56.222222222222221</v>
      </c>
      <c r="HX121">
        <v>23.555555555555557</v>
      </c>
      <c r="HY121">
        <v>0.44444444444444448</v>
      </c>
      <c r="HZ121">
        <v>-11.666666666666666</v>
      </c>
      <c r="IA121">
        <v>30</v>
      </c>
      <c r="IB121">
        <v>-11.515555555555558</v>
      </c>
      <c r="IC121">
        <v>-6.1397777777777787</v>
      </c>
      <c r="ID121">
        <v>-79.777777777777771</v>
      </c>
      <c r="IE121">
        <v>3</v>
      </c>
      <c r="IF121">
        <v>-1.5533333333333337</v>
      </c>
      <c r="IG121">
        <v>-3.9999999999999996</v>
      </c>
    </row>
    <row r="122" spans="1:241" x14ac:dyDescent="0.2">
      <c r="A122" s="19">
        <v>44108</v>
      </c>
      <c r="B122" s="13" t="s">
        <v>417</v>
      </c>
      <c r="C122" s="41" t="s">
        <v>298</v>
      </c>
      <c r="D122" s="14" t="s">
        <v>278</v>
      </c>
      <c r="E122">
        <v>20.399999999999999</v>
      </c>
      <c r="F122">
        <v>15.1</v>
      </c>
      <c r="G122">
        <v>6.3</v>
      </c>
      <c r="H122">
        <v>2.1</v>
      </c>
      <c r="I122">
        <v>-1.5</v>
      </c>
      <c r="J122">
        <v>41</v>
      </c>
      <c r="L122" t="s">
        <v>298</v>
      </c>
      <c r="M122">
        <v>29</v>
      </c>
      <c r="N122">
        <v>-4.522222222222223</v>
      </c>
      <c r="O122">
        <v>22</v>
      </c>
      <c r="P122">
        <v>20.5</v>
      </c>
      <c r="Q122">
        <v>20</v>
      </c>
      <c r="R122">
        <v>-2.4222222222222225</v>
      </c>
      <c r="S122">
        <v>18</v>
      </c>
      <c r="T122">
        <v>-0.55555555555555536</v>
      </c>
      <c r="U122">
        <v>24</v>
      </c>
      <c r="V122">
        <v>-11.555555555555555</v>
      </c>
      <c r="W122">
        <v>20</v>
      </c>
      <c r="X122">
        <v>-0.44444444444444453</v>
      </c>
      <c r="Y122">
        <v>28</v>
      </c>
      <c r="Z122">
        <v>23.666666666666668</v>
      </c>
      <c r="AA122">
        <v>26</v>
      </c>
      <c r="AB122">
        <v>-4.3999999999999995</v>
      </c>
      <c r="AC122">
        <v>12</v>
      </c>
      <c r="AD122">
        <v>1.1111111111111114</v>
      </c>
      <c r="AE122">
        <v>23</v>
      </c>
      <c r="AF122">
        <v>-8.5555555555555554</v>
      </c>
      <c r="AG122">
        <v>22</v>
      </c>
      <c r="AH122">
        <v>-0.88888888888888895</v>
      </c>
      <c r="AI122">
        <v>8</v>
      </c>
      <c r="AJ122">
        <v>12</v>
      </c>
      <c r="AK122">
        <v>6</v>
      </c>
      <c r="AL122">
        <v>1.9777777777777772</v>
      </c>
      <c r="AM122">
        <v>20</v>
      </c>
      <c r="AN122">
        <v>-1.6666666666666667</v>
      </c>
      <c r="AO122">
        <v>19</v>
      </c>
      <c r="AP122">
        <v>-3</v>
      </c>
      <c r="AQ122">
        <v>11</v>
      </c>
      <c r="AR122">
        <v>0.44444444444444442</v>
      </c>
      <c r="AS122">
        <v>20</v>
      </c>
      <c r="AT122">
        <v>19.333333333333332</v>
      </c>
      <c r="AU122">
        <v>19</v>
      </c>
      <c r="AV122">
        <v>-3.0111111111111124</v>
      </c>
      <c r="AW122">
        <v>21</v>
      </c>
      <c r="AX122">
        <v>-16.111111111111114</v>
      </c>
      <c r="AY122">
        <v>18</v>
      </c>
      <c r="AZ122">
        <v>-0.1111111111111113</v>
      </c>
      <c r="BA122">
        <v>11</v>
      </c>
      <c r="BB122">
        <v>10.666666666666666</v>
      </c>
      <c r="BC122">
        <v>8</v>
      </c>
      <c r="BD122">
        <v>3.2111111111111104</v>
      </c>
      <c r="BE122">
        <v>8</v>
      </c>
      <c r="BF122">
        <v>9.8888888888888857</v>
      </c>
      <c r="BG122">
        <v>16</v>
      </c>
      <c r="BH122">
        <v>0.22222222222222202</v>
      </c>
      <c r="BI122">
        <v>27</v>
      </c>
      <c r="BJ122">
        <v>24.333333333333332</v>
      </c>
      <c r="BK122">
        <v>30</v>
      </c>
      <c r="BL122">
        <v>-3.6666666666666674</v>
      </c>
      <c r="BM122">
        <v>21</v>
      </c>
      <c r="BN122">
        <v>-8.8888888888888911</v>
      </c>
      <c r="BO122">
        <v>22</v>
      </c>
      <c r="BP122">
        <v>-0.44444444444444448</v>
      </c>
      <c r="BQ122">
        <v>28</v>
      </c>
      <c r="BR122">
        <v>25.333333333333332</v>
      </c>
      <c r="BS122">
        <v>30</v>
      </c>
      <c r="BT122">
        <v>-2.5555555555555554</v>
      </c>
      <c r="BU122">
        <v>30</v>
      </c>
      <c r="BV122">
        <v>-17.111111111111111</v>
      </c>
      <c r="BW122">
        <v>16</v>
      </c>
      <c r="BX122">
        <v>0.11111111111111116</v>
      </c>
      <c r="BY122">
        <v>6</v>
      </c>
      <c r="BZ122">
        <v>6</v>
      </c>
      <c r="CA122">
        <v>3</v>
      </c>
      <c r="CB122">
        <v>5.7111111111111121</v>
      </c>
      <c r="CC122">
        <v>5</v>
      </c>
      <c r="CD122">
        <v>21.555555555555557</v>
      </c>
      <c r="CE122">
        <v>10</v>
      </c>
      <c r="CF122">
        <v>1.1111111111111114</v>
      </c>
      <c r="CG122">
        <v>19</v>
      </c>
      <c r="CH122">
        <v>18.666666666666668</v>
      </c>
      <c r="CI122">
        <v>21</v>
      </c>
      <c r="CJ122">
        <v>-2.0555555555555567</v>
      </c>
      <c r="CK122">
        <v>24</v>
      </c>
      <c r="CL122">
        <v>-10.555555555555555</v>
      </c>
      <c r="CM122">
        <v>11</v>
      </c>
      <c r="CN122">
        <v>1.1111111111111109</v>
      </c>
      <c r="CO122">
        <v>29</v>
      </c>
      <c r="CP122">
        <v>29</v>
      </c>
      <c r="CQ122">
        <v>29</v>
      </c>
      <c r="CR122">
        <v>-2.4444444444444442</v>
      </c>
      <c r="CS122">
        <v>29</v>
      </c>
      <c r="CT122">
        <v>-0.77777777777777768</v>
      </c>
      <c r="CU122">
        <v>0.22222222222222232</v>
      </c>
      <c r="CV122">
        <v>3</v>
      </c>
      <c r="CW122">
        <v>9</v>
      </c>
      <c r="CX122">
        <v>3</v>
      </c>
      <c r="CY122">
        <v>8.8272499293459428E-2</v>
      </c>
      <c r="CZ122">
        <v>13</v>
      </c>
      <c r="DA122">
        <v>3.1940725990759755E-3</v>
      </c>
      <c r="DB122">
        <v>18</v>
      </c>
      <c r="DC122">
        <v>4.0211640211640275E-2</v>
      </c>
      <c r="DD122">
        <v>2</v>
      </c>
      <c r="DE122">
        <v>4</v>
      </c>
      <c r="DF122">
        <v>2.7777777777777786</v>
      </c>
      <c r="DG122">
        <v>-6.333333333333333</v>
      </c>
      <c r="DH122">
        <v>0</v>
      </c>
      <c r="DI122">
        <v>-41.44444444444445</v>
      </c>
      <c r="DJ122">
        <v>-24.444444444444446</v>
      </c>
      <c r="DK122">
        <v>-2.7777777777777786</v>
      </c>
      <c r="DL122">
        <v>-1.7777777777777779</v>
      </c>
      <c r="DM122">
        <v>-12.444444444444445</v>
      </c>
      <c r="DN122">
        <v>20</v>
      </c>
      <c r="DO122">
        <v>-2.1000000000000005</v>
      </c>
      <c r="DP122">
        <v>-0.70666666666666722</v>
      </c>
      <c r="DQ122">
        <v>-21.666666666666668</v>
      </c>
      <c r="DR122">
        <v>13</v>
      </c>
      <c r="DS122">
        <v>-1.8069444444444449</v>
      </c>
      <c r="DT122">
        <v>0.99999999999999967</v>
      </c>
      <c r="DU122">
        <v>-0.58013888888888898</v>
      </c>
      <c r="DV122">
        <v>-1.1183333333333336</v>
      </c>
      <c r="DW122" t="s">
        <v>278</v>
      </c>
      <c r="DX122" t="s">
        <v>240</v>
      </c>
      <c r="DY122" t="s">
        <v>540</v>
      </c>
      <c r="DZ122">
        <v>13</v>
      </c>
      <c r="EA122">
        <v>1.453333333333332</v>
      </c>
      <c r="EB122">
        <v>26</v>
      </c>
      <c r="EC122">
        <v>21</v>
      </c>
      <c r="ED122">
        <v>24</v>
      </c>
      <c r="EE122">
        <v>-3.3111111111111109</v>
      </c>
      <c r="EF122">
        <v>21</v>
      </c>
      <c r="EG122">
        <v>-1</v>
      </c>
      <c r="EH122">
        <v>22</v>
      </c>
      <c r="EI122">
        <v>-11.333333333333332</v>
      </c>
      <c r="EJ122">
        <v>17</v>
      </c>
      <c r="EK122">
        <v>-0.11111111111111097</v>
      </c>
      <c r="EL122">
        <v>16</v>
      </c>
      <c r="EM122">
        <v>17.5</v>
      </c>
      <c r="EN122">
        <v>23</v>
      </c>
      <c r="EO122">
        <v>-2.0444444444444443</v>
      </c>
      <c r="EP122">
        <v>12</v>
      </c>
      <c r="EQ122">
        <v>0.33333333333333331</v>
      </c>
      <c r="ER122">
        <v>20</v>
      </c>
      <c r="ES122">
        <v>-4.8888888888888857</v>
      </c>
      <c r="ET122">
        <v>15</v>
      </c>
      <c r="EU122">
        <v>-0.11111111111111101</v>
      </c>
      <c r="EV122">
        <v>29</v>
      </c>
      <c r="EW122">
        <v>24.666666666666668</v>
      </c>
      <c r="EX122">
        <v>23</v>
      </c>
      <c r="EY122">
        <v>-1.2666666666666664</v>
      </c>
      <c r="EZ122">
        <v>25</v>
      </c>
      <c r="FA122">
        <v>-1.3333333333333333</v>
      </c>
      <c r="FB122">
        <v>26</v>
      </c>
      <c r="FC122">
        <v>-6.4444444444444455</v>
      </c>
      <c r="FD122">
        <v>17</v>
      </c>
      <c r="FE122">
        <v>3.7007434154171883E-17</v>
      </c>
      <c r="FF122">
        <v>4</v>
      </c>
      <c r="FG122">
        <v>4.333333333333333</v>
      </c>
      <c r="FH122">
        <v>5</v>
      </c>
      <c r="FI122">
        <v>5.9444444444444464</v>
      </c>
      <c r="FJ122">
        <v>5</v>
      </c>
      <c r="FK122">
        <v>23.333333333333339</v>
      </c>
      <c r="FL122">
        <v>3</v>
      </c>
      <c r="FM122">
        <v>2.9999999999999996</v>
      </c>
      <c r="FN122">
        <v>5</v>
      </c>
      <c r="FO122">
        <v>7.666666666666667</v>
      </c>
      <c r="FP122">
        <v>11</v>
      </c>
      <c r="FQ122">
        <v>1.711111111111111</v>
      </c>
      <c r="FR122">
        <v>7</v>
      </c>
      <c r="FS122">
        <v>12.666666666666666</v>
      </c>
      <c r="FT122">
        <v>5</v>
      </c>
      <c r="FU122">
        <v>1.6666666666666667</v>
      </c>
      <c r="FV122">
        <v>17</v>
      </c>
      <c r="FW122">
        <v>16.666666666666668</v>
      </c>
      <c r="FX122">
        <v>13</v>
      </c>
      <c r="FY122">
        <v>0.35555555555555668</v>
      </c>
      <c r="FZ122">
        <v>27</v>
      </c>
      <c r="GA122">
        <v>-14.555555555555552</v>
      </c>
      <c r="GB122">
        <v>10</v>
      </c>
      <c r="GC122">
        <v>0.77777777777777757</v>
      </c>
      <c r="GD122">
        <v>3</v>
      </c>
      <c r="GE122">
        <v>5</v>
      </c>
      <c r="GF122">
        <v>3</v>
      </c>
      <c r="GG122">
        <v>3.8777777777777782</v>
      </c>
      <c r="GH122">
        <v>2</v>
      </c>
      <c r="GI122">
        <v>25.222222222222225</v>
      </c>
      <c r="GJ122">
        <v>10</v>
      </c>
      <c r="GK122">
        <v>0.55555555555555547</v>
      </c>
      <c r="GL122">
        <v>16</v>
      </c>
      <c r="GM122">
        <v>15.666666666666666</v>
      </c>
      <c r="GN122">
        <v>20</v>
      </c>
      <c r="GO122">
        <v>-1.7999999999999983</v>
      </c>
      <c r="GP122">
        <v>7</v>
      </c>
      <c r="GQ122">
        <v>12</v>
      </c>
      <c r="GR122">
        <v>20</v>
      </c>
      <c r="GS122">
        <v>-0.77777777777777735</v>
      </c>
      <c r="GT122">
        <v>11</v>
      </c>
      <c r="GU122">
        <v>14</v>
      </c>
      <c r="GV122">
        <v>17</v>
      </c>
      <c r="GW122">
        <v>-0.75555555555555609</v>
      </c>
      <c r="GX122">
        <v>16</v>
      </c>
      <c r="GY122">
        <v>-0.88888888888888928</v>
      </c>
      <c r="GZ122">
        <v>9</v>
      </c>
      <c r="HA122">
        <v>0.77777777777777768</v>
      </c>
      <c r="HB122">
        <v>26</v>
      </c>
      <c r="HC122">
        <v>26</v>
      </c>
      <c r="HD122">
        <v>32</v>
      </c>
      <c r="HE122">
        <v>-3.6666666666666665</v>
      </c>
      <c r="HF122">
        <v>20</v>
      </c>
      <c r="HG122">
        <v>-0.11111111111111116</v>
      </c>
      <c r="HH122">
        <v>3</v>
      </c>
      <c r="HI122">
        <v>18</v>
      </c>
      <c r="HJ122">
        <v>16.75</v>
      </c>
      <c r="HK122">
        <v>20</v>
      </c>
      <c r="HL122">
        <v>-2.0986275593321658E-2</v>
      </c>
      <c r="HM122">
        <v>17</v>
      </c>
      <c r="HN122">
        <v>-5.8957703944153769E-3</v>
      </c>
      <c r="HO122">
        <v>13</v>
      </c>
      <c r="HP122">
        <v>-3.5582010582010604E-2</v>
      </c>
      <c r="HQ122">
        <v>17</v>
      </c>
      <c r="HR122">
        <v>-0.22222222222222232</v>
      </c>
      <c r="HS122">
        <v>2.2222222222222214</v>
      </c>
      <c r="HT122">
        <v>-4.4444444444444455</v>
      </c>
      <c r="HU122">
        <v>0.88888888888888895</v>
      </c>
      <c r="HV122">
        <v>9.1111111111111054</v>
      </c>
      <c r="HW122">
        <v>25.777777777777771</v>
      </c>
      <c r="HX122">
        <v>-11.77777777777778</v>
      </c>
      <c r="HY122">
        <v>-3.5555555555555554</v>
      </c>
      <c r="HZ122">
        <v>-1.333333333333333</v>
      </c>
      <c r="IA122">
        <v>6</v>
      </c>
      <c r="IB122">
        <v>4.7644444444444431</v>
      </c>
      <c r="IC122">
        <v>2.984</v>
      </c>
      <c r="ID122">
        <v>37.55555555555555</v>
      </c>
      <c r="IE122">
        <v>27</v>
      </c>
      <c r="IF122">
        <v>-4.1944444444444451E-2</v>
      </c>
      <c r="IG122">
        <v>3.7777777777777772</v>
      </c>
    </row>
    <row r="123" spans="1:241" x14ac:dyDescent="0.2">
      <c r="A123" s="19">
        <v>44108</v>
      </c>
      <c r="B123" s="13" t="s">
        <v>417</v>
      </c>
      <c r="C123" s="41" t="s">
        <v>294</v>
      </c>
      <c r="D123" s="14" t="s">
        <v>256</v>
      </c>
      <c r="E123">
        <v>7.8</v>
      </c>
      <c r="F123">
        <v>13.7</v>
      </c>
      <c r="G123">
        <v>4.2</v>
      </c>
      <c r="H123">
        <v>6.9</v>
      </c>
      <c r="I123">
        <v>8</v>
      </c>
      <c r="J123">
        <v>45.5</v>
      </c>
      <c r="L123" t="s">
        <v>294</v>
      </c>
      <c r="M123">
        <v>22</v>
      </c>
      <c r="N123">
        <v>-2.0977777777777784</v>
      </c>
      <c r="O123">
        <v>26</v>
      </c>
      <c r="P123">
        <v>23.75</v>
      </c>
      <c r="Q123">
        <v>30</v>
      </c>
      <c r="R123">
        <v>-8.033333333333335</v>
      </c>
      <c r="S123">
        <v>29</v>
      </c>
      <c r="T123">
        <v>-4.5555555555555562</v>
      </c>
      <c r="U123">
        <v>31</v>
      </c>
      <c r="V123">
        <v>-27.888888888888886</v>
      </c>
      <c r="W123">
        <v>5</v>
      </c>
      <c r="X123">
        <v>1.9999999999999996</v>
      </c>
      <c r="Y123">
        <v>20</v>
      </c>
      <c r="Z123">
        <v>18.333333333333332</v>
      </c>
      <c r="AA123">
        <v>24</v>
      </c>
      <c r="AB123">
        <v>-3.8777777777777787</v>
      </c>
      <c r="AC123">
        <v>26</v>
      </c>
      <c r="AD123">
        <v>-2.3333333333333335</v>
      </c>
      <c r="AE123">
        <v>28</v>
      </c>
      <c r="AF123">
        <v>-13.22222222222222</v>
      </c>
      <c r="AG123">
        <v>3</v>
      </c>
      <c r="AH123">
        <v>2.2222222222222219</v>
      </c>
      <c r="AI123">
        <v>30</v>
      </c>
      <c r="AJ123">
        <v>25.333333333333332</v>
      </c>
      <c r="AK123">
        <v>31</v>
      </c>
      <c r="AL123">
        <v>-4.1555555555555559</v>
      </c>
      <c r="AM123">
        <v>28</v>
      </c>
      <c r="AN123">
        <v>-2.2222222222222228</v>
      </c>
      <c r="AO123">
        <v>28</v>
      </c>
      <c r="AP123">
        <v>-14.666666666666666</v>
      </c>
      <c r="AQ123">
        <v>17</v>
      </c>
      <c r="AR123">
        <v>-0.22222222222222221</v>
      </c>
      <c r="AS123">
        <v>23</v>
      </c>
      <c r="AT123">
        <v>22.666666666666668</v>
      </c>
      <c r="AU123">
        <v>25</v>
      </c>
      <c r="AV123">
        <v>-5.533333333333335</v>
      </c>
      <c r="AW123">
        <v>27</v>
      </c>
      <c r="AX123">
        <v>-31.777777777777782</v>
      </c>
      <c r="AY123">
        <v>16</v>
      </c>
      <c r="AZ123">
        <v>0</v>
      </c>
      <c r="BA123">
        <v>13</v>
      </c>
      <c r="BB123">
        <v>14</v>
      </c>
      <c r="BC123">
        <v>14</v>
      </c>
      <c r="BD123">
        <v>-1.0666666666666675</v>
      </c>
      <c r="BE123">
        <v>15</v>
      </c>
      <c r="BF123">
        <v>-0.44444444444444525</v>
      </c>
      <c r="BG123">
        <v>13</v>
      </c>
      <c r="BH123">
        <v>0.55555555555555569</v>
      </c>
      <c r="BI123">
        <v>30</v>
      </c>
      <c r="BJ123">
        <v>27.666666666666668</v>
      </c>
      <c r="BK123">
        <v>29</v>
      </c>
      <c r="BL123">
        <v>-3.2666666666666671</v>
      </c>
      <c r="BM123">
        <v>30</v>
      </c>
      <c r="BN123">
        <v>-21.555555555555557</v>
      </c>
      <c r="BO123">
        <v>24</v>
      </c>
      <c r="BP123">
        <v>-0.66666666666666663</v>
      </c>
      <c r="BQ123">
        <v>24</v>
      </c>
      <c r="BR123">
        <v>21.666666666666668</v>
      </c>
      <c r="BS123">
        <v>21</v>
      </c>
      <c r="BT123">
        <v>-1.2</v>
      </c>
      <c r="BU123">
        <v>27</v>
      </c>
      <c r="BV123">
        <v>-9.7777777777777786</v>
      </c>
      <c r="BW123">
        <v>17</v>
      </c>
      <c r="BX123">
        <v>0.11111111111111101</v>
      </c>
      <c r="BY123">
        <v>4</v>
      </c>
      <c r="BZ123">
        <v>4.333333333333333</v>
      </c>
      <c r="CA123">
        <v>2</v>
      </c>
      <c r="CB123">
        <v>7.0888888888888912</v>
      </c>
      <c r="CC123">
        <v>10</v>
      </c>
      <c r="CD123">
        <v>9.7777777777777768</v>
      </c>
      <c r="CE123">
        <v>1</v>
      </c>
      <c r="CF123">
        <v>4.333333333333333</v>
      </c>
      <c r="CG123">
        <v>2</v>
      </c>
      <c r="CH123">
        <v>2</v>
      </c>
      <c r="CI123">
        <v>2</v>
      </c>
      <c r="CJ123">
        <v>5.9444444444444455</v>
      </c>
      <c r="CK123">
        <v>1</v>
      </c>
      <c r="CL123">
        <v>27.222222222222225</v>
      </c>
      <c r="CM123">
        <v>3</v>
      </c>
      <c r="CN123">
        <v>2.5555555555555558</v>
      </c>
      <c r="CO123">
        <v>13</v>
      </c>
      <c r="CP123">
        <v>14</v>
      </c>
      <c r="CQ123">
        <v>16</v>
      </c>
      <c r="CR123">
        <v>0.22222222222222232</v>
      </c>
      <c r="CS123">
        <v>12</v>
      </c>
      <c r="CT123">
        <v>0.33333333333333326</v>
      </c>
      <c r="CU123">
        <v>-2.5555555555555554</v>
      </c>
      <c r="CV123">
        <v>13</v>
      </c>
      <c r="CW123">
        <v>14.75</v>
      </c>
      <c r="CX123">
        <v>31</v>
      </c>
      <c r="CY123">
        <v>-6.9097356808255114E-2</v>
      </c>
      <c r="CZ123">
        <v>8</v>
      </c>
      <c r="DA123">
        <v>8.4739776531842208E-3</v>
      </c>
      <c r="DB123">
        <v>19</v>
      </c>
      <c r="DC123">
        <v>4.163799163799161E-2</v>
      </c>
      <c r="DD123">
        <v>1</v>
      </c>
      <c r="DE123">
        <v>4.8888888888888884</v>
      </c>
      <c r="DF123">
        <v>5.8888888888888902</v>
      </c>
      <c r="DG123">
        <v>-5.4444444444444455</v>
      </c>
      <c r="DH123">
        <v>0</v>
      </c>
      <c r="DI123">
        <v>-22.333333333333332</v>
      </c>
      <c r="DJ123">
        <v>3.1111111111111049</v>
      </c>
      <c r="DK123">
        <v>-28.111111111111114</v>
      </c>
      <c r="DL123">
        <v>-2.4444444444444442</v>
      </c>
      <c r="DM123">
        <v>5.1111111111111134</v>
      </c>
      <c r="DN123">
        <v>6</v>
      </c>
      <c r="DO123">
        <v>5.9355555555555561</v>
      </c>
      <c r="DP123">
        <v>3.679333333333334</v>
      </c>
      <c r="DQ123">
        <v>31.222222222222218</v>
      </c>
      <c r="DR123">
        <v>27</v>
      </c>
      <c r="DS123">
        <v>-1.1872222222222226</v>
      </c>
      <c r="DT123">
        <v>2.5555555555555558</v>
      </c>
      <c r="DU123">
        <v>0.13583333333333325</v>
      </c>
      <c r="DV123">
        <v>0.74972222222222185</v>
      </c>
      <c r="DW123" t="s">
        <v>256</v>
      </c>
      <c r="DX123" t="s">
        <v>257</v>
      </c>
      <c r="DY123" t="s">
        <v>547</v>
      </c>
      <c r="DZ123">
        <v>19</v>
      </c>
      <c r="EA123">
        <v>-1.4911111111111104</v>
      </c>
      <c r="EB123">
        <v>17</v>
      </c>
      <c r="EC123">
        <v>16</v>
      </c>
      <c r="ED123">
        <v>20</v>
      </c>
      <c r="EE123">
        <v>-1.2111111111111117</v>
      </c>
      <c r="EF123">
        <v>17</v>
      </c>
      <c r="EG123">
        <v>0</v>
      </c>
      <c r="EH123">
        <v>12</v>
      </c>
      <c r="EI123">
        <v>0.55555555555555669</v>
      </c>
      <c r="EJ123">
        <v>15</v>
      </c>
      <c r="EK123">
        <v>0</v>
      </c>
      <c r="EL123">
        <v>22</v>
      </c>
      <c r="EM123">
        <v>20.25</v>
      </c>
      <c r="EN123">
        <v>22</v>
      </c>
      <c r="EO123">
        <v>-1.8666666666666671</v>
      </c>
      <c r="EP123">
        <v>20</v>
      </c>
      <c r="EQ123">
        <v>-0.88888888888888873</v>
      </c>
      <c r="ER123">
        <v>14</v>
      </c>
      <c r="ES123">
        <v>-1.1111111111111101</v>
      </c>
      <c r="ET123">
        <v>25</v>
      </c>
      <c r="EU123">
        <v>-0.66666666666666696</v>
      </c>
      <c r="EV123">
        <v>6</v>
      </c>
      <c r="EW123">
        <v>10</v>
      </c>
      <c r="EX123">
        <v>9</v>
      </c>
      <c r="EY123">
        <v>0.65555555555555556</v>
      </c>
      <c r="EZ123">
        <v>10</v>
      </c>
      <c r="FA123">
        <v>0.88888888888888895</v>
      </c>
      <c r="FB123">
        <v>11</v>
      </c>
      <c r="FC123">
        <v>1.6666666666666667</v>
      </c>
      <c r="FD123">
        <v>5</v>
      </c>
      <c r="FE123">
        <v>0.66666666666666663</v>
      </c>
      <c r="FF123">
        <v>9</v>
      </c>
      <c r="FG123">
        <v>11.333333333333334</v>
      </c>
      <c r="FH123">
        <v>18</v>
      </c>
      <c r="FI123">
        <v>-1.5333333333333319</v>
      </c>
      <c r="FJ123">
        <v>12</v>
      </c>
      <c r="FK123">
        <v>4.5555555555555562</v>
      </c>
      <c r="FL123">
        <v>4</v>
      </c>
      <c r="FM123">
        <v>2.6666666666666665</v>
      </c>
      <c r="FN123">
        <v>14</v>
      </c>
      <c r="FO123">
        <v>15</v>
      </c>
      <c r="FP123">
        <v>22</v>
      </c>
      <c r="FQ123">
        <v>-1.5888888888888875</v>
      </c>
      <c r="FR123">
        <v>15</v>
      </c>
      <c r="FS123">
        <v>0.77777777777777857</v>
      </c>
      <c r="FT123">
        <v>8</v>
      </c>
      <c r="FU123">
        <v>0.99999999999999967</v>
      </c>
      <c r="FV123">
        <v>10</v>
      </c>
      <c r="FW123">
        <v>11.666666666666666</v>
      </c>
      <c r="FX123">
        <v>17</v>
      </c>
      <c r="FY123">
        <v>-0.41111111111111054</v>
      </c>
      <c r="FZ123">
        <v>10</v>
      </c>
      <c r="GA123">
        <v>5.2222222222222214</v>
      </c>
      <c r="GB123">
        <v>8</v>
      </c>
      <c r="GC123">
        <v>1</v>
      </c>
      <c r="GD123">
        <v>15</v>
      </c>
      <c r="GE123">
        <v>13.333333333333334</v>
      </c>
      <c r="GF123">
        <v>14</v>
      </c>
      <c r="GG123">
        <v>0.46666666666666617</v>
      </c>
      <c r="GH123">
        <v>17</v>
      </c>
      <c r="GI123">
        <v>-1.444444444444444</v>
      </c>
      <c r="GJ123">
        <v>9</v>
      </c>
      <c r="GK123">
        <v>0.66666666666666685</v>
      </c>
      <c r="GL123">
        <v>17</v>
      </c>
      <c r="GM123">
        <v>17</v>
      </c>
      <c r="GN123">
        <v>17</v>
      </c>
      <c r="GO123">
        <v>-1.3666666666666665</v>
      </c>
      <c r="GP123">
        <v>14</v>
      </c>
      <c r="GQ123">
        <v>-1.4444444444444404</v>
      </c>
      <c r="GR123">
        <v>20</v>
      </c>
      <c r="GS123">
        <v>-0.77777777777777735</v>
      </c>
      <c r="GT123">
        <v>25</v>
      </c>
      <c r="GU123">
        <v>23.333333333333332</v>
      </c>
      <c r="GV123">
        <v>20</v>
      </c>
      <c r="GW123">
        <v>-1.5888888888888886</v>
      </c>
      <c r="GX123">
        <v>24</v>
      </c>
      <c r="GY123">
        <v>-8.1111111111111107</v>
      </c>
      <c r="GZ123">
        <v>26</v>
      </c>
      <c r="HA123">
        <v>-1.2222222222222221</v>
      </c>
      <c r="HB123">
        <v>3</v>
      </c>
      <c r="HC123">
        <v>3.5</v>
      </c>
      <c r="HD123">
        <v>5</v>
      </c>
      <c r="HE123">
        <v>2</v>
      </c>
      <c r="HF123">
        <v>2</v>
      </c>
      <c r="HG123">
        <v>0.77777777777777768</v>
      </c>
      <c r="HH123">
        <v>-1.8888888888888884</v>
      </c>
      <c r="HI123">
        <v>29</v>
      </c>
      <c r="HJ123">
        <v>23</v>
      </c>
      <c r="HK123">
        <v>22</v>
      </c>
      <c r="HL123">
        <v>-2.2446448277913977E-2</v>
      </c>
      <c r="HM123">
        <v>27</v>
      </c>
      <c r="HN123">
        <v>-1.8283839374762138E-2</v>
      </c>
      <c r="HO123">
        <v>14</v>
      </c>
      <c r="HP123">
        <v>-2.6851851851851904E-2</v>
      </c>
      <c r="HQ123">
        <v>29</v>
      </c>
      <c r="HR123">
        <v>-2.5555555555555554</v>
      </c>
      <c r="HS123">
        <v>-1.2222222222222214</v>
      </c>
      <c r="HT123">
        <v>-1.555555555555556</v>
      </c>
      <c r="HU123">
        <v>0</v>
      </c>
      <c r="HV123">
        <v>-13.111111111111123</v>
      </c>
      <c r="HW123">
        <v>-31.444444444444446</v>
      </c>
      <c r="HX123">
        <v>1.0000000000000036</v>
      </c>
      <c r="HY123">
        <v>2.3333333333333335</v>
      </c>
      <c r="HZ123">
        <v>15</v>
      </c>
      <c r="IA123">
        <v>21</v>
      </c>
      <c r="IB123">
        <v>-0.27999999999999869</v>
      </c>
      <c r="IC123">
        <v>-0.31711111111111023</v>
      </c>
      <c r="ID123">
        <v>-32.44444444444445</v>
      </c>
      <c r="IE123">
        <v>12</v>
      </c>
      <c r="IF123">
        <v>-0.47805555555555534</v>
      </c>
      <c r="IG123">
        <v>1.4444444444444444</v>
      </c>
    </row>
    <row r="124" spans="1:241" x14ac:dyDescent="0.2">
      <c r="A124" s="19">
        <v>44108</v>
      </c>
      <c r="B124" s="14" t="s">
        <v>417</v>
      </c>
      <c r="C124" s="40" t="s">
        <v>256</v>
      </c>
      <c r="D124" s="14" t="s">
        <v>294</v>
      </c>
      <c r="E124">
        <v>13.6</v>
      </c>
      <c r="F124">
        <v>7.5</v>
      </c>
      <c r="G124">
        <v>6.3</v>
      </c>
      <c r="H124">
        <v>43.1</v>
      </c>
      <c r="I124">
        <v>-8</v>
      </c>
      <c r="J124">
        <v>45.5</v>
      </c>
      <c r="L124" t="s">
        <v>256</v>
      </c>
      <c r="M124">
        <v>14</v>
      </c>
      <c r="N124">
        <v>-0.51333333333333364</v>
      </c>
      <c r="O124">
        <v>8</v>
      </c>
      <c r="P124">
        <v>10.75</v>
      </c>
      <c r="Q124">
        <v>2</v>
      </c>
      <c r="R124">
        <v>9.3222222222222211</v>
      </c>
      <c r="S124">
        <v>15</v>
      </c>
      <c r="T124">
        <v>0.22222222222222188</v>
      </c>
      <c r="U124">
        <v>20</v>
      </c>
      <c r="V124">
        <v>-6.8888888888888911</v>
      </c>
      <c r="W124">
        <v>6</v>
      </c>
      <c r="X124">
        <v>1.3333333333333335</v>
      </c>
      <c r="Y124">
        <v>7</v>
      </c>
      <c r="Z124">
        <v>11.333333333333334</v>
      </c>
      <c r="AA124">
        <v>6</v>
      </c>
      <c r="AB124">
        <v>4.4222222222222216</v>
      </c>
      <c r="AC124">
        <v>24</v>
      </c>
      <c r="AD124">
        <v>-2</v>
      </c>
      <c r="AE124">
        <v>17</v>
      </c>
      <c r="AF124">
        <v>-4.6666666666666687</v>
      </c>
      <c r="AG124">
        <v>11</v>
      </c>
      <c r="AH124">
        <v>0.77777777777777779</v>
      </c>
      <c r="AI124">
        <v>6</v>
      </c>
      <c r="AJ124">
        <v>10.333333333333334</v>
      </c>
      <c r="AK124">
        <v>3</v>
      </c>
      <c r="AL124">
        <v>4.8999999999999995</v>
      </c>
      <c r="AM124">
        <v>7</v>
      </c>
      <c r="AN124">
        <v>2.2222222222222219</v>
      </c>
      <c r="AO124">
        <v>18</v>
      </c>
      <c r="AP124">
        <v>-2.2222222222222219</v>
      </c>
      <c r="AQ124">
        <v>10</v>
      </c>
      <c r="AR124">
        <v>0.55555555555555569</v>
      </c>
      <c r="AS124">
        <v>28</v>
      </c>
      <c r="AT124">
        <v>27.666666666666668</v>
      </c>
      <c r="AU124">
        <v>28</v>
      </c>
      <c r="AV124">
        <v>-8.6666666666666643</v>
      </c>
      <c r="AW124">
        <v>28</v>
      </c>
      <c r="AX124">
        <v>-32.222222222222221</v>
      </c>
      <c r="AY124">
        <v>27</v>
      </c>
      <c r="AZ124">
        <v>-3.333333333333333</v>
      </c>
      <c r="BA124">
        <v>21</v>
      </c>
      <c r="BB124">
        <v>21.666666666666668</v>
      </c>
      <c r="BC124">
        <v>24</v>
      </c>
      <c r="BD124">
        <v>-3.3555555555555547</v>
      </c>
      <c r="BE124">
        <v>21</v>
      </c>
      <c r="BF124">
        <v>-6.8888888888888884</v>
      </c>
      <c r="BG124">
        <v>20</v>
      </c>
      <c r="BH124">
        <v>-1</v>
      </c>
      <c r="BI124">
        <v>23</v>
      </c>
      <c r="BJ124">
        <v>22</v>
      </c>
      <c r="BK124">
        <v>21</v>
      </c>
      <c r="BL124">
        <v>-1.5666666666666664</v>
      </c>
      <c r="BM124">
        <v>22</v>
      </c>
      <c r="BN124">
        <v>-10.111111111111112</v>
      </c>
      <c r="BO124">
        <v>23</v>
      </c>
      <c r="BP124">
        <v>-0.55555555555555536</v>
      </c>
      <c r="BQ124">
        <v>31</v>
      </c>
      <c r="BR124">
        <v>29.666666666666668</v>
      </c>
      <c r="BS124">
        <v>31</v>
      </c>
      <c r="BT124">
        <v>-3.744444444444444</v>
      </c>
      <c r="BU124">
        <v>29</v>
      </c>
      <c r="BV124">
        <v>-15.222222222222221</v>
      </c>
      <c r="BW124">
        <v>29</v>
      </c>
      <c r="BX124">
        <v>-1.7777777777777779</v>
      </c>
      <c r="BY124">
        <v>11</v>
      </c>
      <c r="BZ124">
        <v>12.333333333333334</v>
      </c>
      <c r="CA124">
        <v>12</v>
      </c>
      <c r="CB124">
        <v>1.1222222222222242</v>
      </c>
      <c r="CC124">
        <v>8</v>
      </c>
      <c r="CD124">
        <v>12.333333333333334</v>
      </c>
      <c r="CE124">
        <v>17</v>
      </c>
      <c r="CF124">
        <v>0</v>
      </c>
      <c r="CG124">
        <v>8</v>
      </c>
      <c r="CH124">
        <v>9</v>
      </c>
      <c r="CI124">
        <v>7</v>
      </c>
      <c r="CJ124">
        <v>3.9</v>
      </c>
      <c r="CK124">
        <v>12</v>
      </c>
      <c r="CL124">
        <v>4.7777777777777777</v>
      </c>
      <c r="CM124">
        <v>8</v>
      </c>
      <c r="CN124">
        <v>1.4444444444444444</v>
      </c>
      <c r="CO124">
        <v>15</v>
      </c>
      <c r="CP124">
        <v>15</v>
      </c>
      <c r="CQ124">
        <v>7</v>
      </c>
      <c r="CR124">
        <v>1.555555555555556</v>
      </c>
      <c r="CS124">
        <v>23</v>
      </c>
      <c r="CT124">
        <v>-0.22222222222222218</v>
      </c>
      <c r="CU124">
        <v>-2.5555555555555554</v>
      </c>
      <c r="CV124">
        <v>20</v>
      </c>
      <c r="CW124">
        <v>18.25</v>
      </c>
      <c r="CX124">
        <v>6</v>
      </c>
      <c r="CY124">
        <v>4.4232029008593077E-2</v>
      </c>
      <c r="CZ124">
        <v>12</v>
      </c>
      <c r="DA124">
        <v>3.7081024502408238E-3</v>
      </c>
      <c r="DB124">
        <v>29</v>
      </c>
      <c r="DC124">
        <v>0.13703703703703701</v>
      </c>
      <c r="DD124">
        <v>26</v>
      </c>
      <c r="DE124">
        <v>-1.8888888888888884</v>
      </c>
      <c r="DF124">
        <v>-0.33333333333333098</v>
      </c>
      <c r="DG124">
        <v>4.7777777777777786</v>
      </c>
      <c r="DH124">
        <v>-1.7777777777777777</v>
      </c>
      <c r="DI124">
        <v>26.444444444444439</v>
      </c>
      <c r="DJ124">
        <v>16.666666666666668</v>
      </c>
      <c r="DK124">
        <v>14.888888888888886</v>
      </c>
      <c r="DL124">
        <v>3.0000000000000004</v>
      </c>
      <c r="DM124">
        <v>-8.1111111111111107</v>
      </c>
      <c r="DN124">
        <v>29</v>
      </c>
      <c r="DO124">
        <v>-9.8355555555555547</v>
      </c>
      <c r="DP124">
        <v>-5.7171111111111106</v>
      </c>
      <c r="DQ124">
        <v>1.7777777777777821</v>
      </c>
      <c r="DR124">
        <v>4</v>
      </c>
      <c r="DS124">
        <v>0.69972222222222236</v>
      </c>
      <c r="DT124">
        <v>-1.8888888888888886</v>
      </c>
      <c r="DU124">
        <v>0.13583333333333325</v>
      </c>
      <c r="DV124">
        <v>-0.47805555555555534</v>
      </c>
      <c r="DW124" t="s">
        <v>294</v>
      </c>
      <c r="DX124" t="s">
        <v>290</v>
      </c>
      <c r="DY124" t="s">
        <v>469</v>
      </c>
      <c r="DZ124">
        <v>12</v>
      </c>
      <c r="EA124">
        <v>1.7644444444444438</v>
      </c>
      <c r="EB124">
        <v>22</v>
      </c>
      <c r="EC124">
        <v>19.75</v>
      </c>
      <c r="ED124">
        <v>18</v>
      </c>
      <c r="EE124">
        <v>-0.29999999999999932</v>
      </c>
      <c r="EF124">
        <v>16</v>
      </c>
      <c r="EG124">
        <v>0.11111111111111149</v>
      </c>
      <c r="EH124">
        <v>15</v>
      </c>
      <c r="EI124">
        <v>-7.1111111111111089</v>
      </c>
      <c r="EJ124">
        <v>30</v>
      </c>
      <c r="EK124">
        <v>-1.6666666666666665</v>
      </c>
      <c r="EL124">
        <v>23</v>
      </c>
      <c r="EM124">
        <v>20.5</v>
      </c>
      <c r="EN124">
        <v>21</v>
      </c>
      <c r="EO124">
        <v>-0.76666666666666627</v>
      </c>
      <c r="EP124">
        <v>15</v>
      </c>
      <c r="EQ124">
        <v>-0.33333333333333331</v>
      </c>
      <c r="ER124">
        <v>24</v>
      </c>
      <c r="ES124">
        <v>-10.444444444444443</v>
      </c>
      <c r="ET124">
        <v>22</v>
      </c>
      <c r="EU124">
        <v>-0.66666666666666663</v>
      </c>
      <c r="EV124">
        <v>9</v>
      </c>
      <c r="EW124">
        <v>11.333333333333334</v>
      </c>
      <c r="EX124">
        <v>13</v>
      </c>
      <c r="EY124">
        <v>0.46666666666666695</v>
      </c>
      <c r="EZ124">
        <v>13</v>
      </c>
      <c r="FA124">
        <v>0.44444444444444481</v>
      </c>
      <c r="FB124">
        <v>8</v>
      </c>
      <c r="FC124">
        <v>3.3333333333333339</v>
      </c>
      <c r="FD124">
        <v>28</v>
      </c>
      <c r="FE124">
        <v>-1</v>
      </c>
      <c r="FF124">
        <v>16</v>
      </c>
      <c r="FG124">
        <v>16</v>
      </c>
      <c r="FH124">
        <v>13</v>
      </c>
      <c r="FI124">
        <v>3.3333333333330994E-2</v>
      </c>
      <c r="FJ124">
        <v>18</v>
      </c>
      <c r="FK124">
        <v>-5.3333333333333357</v>
      </c>
      <c r="FL124">
        <v>17</v>
      </c>
      <c r="FM124">
        <v>-0.44444444444444453</v>
      </c>
      <c r="FN124">
        <v>21</v>
      </c>
      <c r="FO124">
        <v>19.666666666666668</v>
      </c>
      <c r="FP124">
        <v>23</v>
      </c>
      <c r="FQ124">
        <v>-1.6777777777777789</v>
      </c>
      <c r="FR124">
        <v>25</v>
      </c>
      <c r="FS124">
        <v>-10.222222222222223</v>
      </c>
      <c r="FT124">
        <v>11</v>
      </c>
      <c r="FU124">
        <v>0.55555555555555569</v>
      </c>
      <c r="FV124">
        <v>22</v>
      </c>
      <c r="FW124">
        <v>21.666666666666668</v>
      </c>
      <c r="FX124">
        <v>20</v>
      </c>
      <c r="FY124">
        <v>-1.9555555555555568</v>
      </c>
      <c r="FZ124">
        <v>14</v>
      </c>
      <c r="GA124">
        <v>1.7777777777777786</v>
      </c>
      <c r="GB124">
        <v>31</v>
      </c>
      <c r="GC124">
        <v>-1.8888888888888891</v>
      </c>
      <c r="GD124">
        <v>5</v>
      </c>
      <c r="GE124">
        <v>7.333333333333333</v>
      </c>
      <c r="GF124">
        <v>4</v>
      </c>
      <c r="GG124">
        <v>3.6666666666666665</v>
      </c>
      <c r="GH124">
        <v>13</v>
      </c>
      <c r="GI124">
        <v>3.1111111111111094</v>
      </c>
      <c r="GJ124">
        <v>5</v>
      </c>
      <c r="GK124">
        <v>0.88888888888888895</v>
      </c>
      <c r="GL124">
        <v>29</v>
      </c>
      <c r="GM124">
        <v>27.333333333333332</v>
      </c>
      <c r="GN124">
        <v>28</v>
      </c>
      <c r="GO124">
        <v>-4.9444444444444455</v>
      </c>
      <c r="GP124">
        <v>29</v>
      </c>
      <c r="GQ124">
        <v>-23.888888888888886</v>
      </c>
      <c r="GR124">
        <v>25</v>
      </c>
      <c r="GS124">
        <v>-1.3333333333333333</v>
      </c>
      <c r="GT124">
        <v>23</v>
      </c>
      <c r="GU124">
        <v>20.333333333333332</v>
      </c>
      <c r="GV124">
        <v>7</v>
      </c>
      <c r="GW124">
        <v>2.6111111111111107</v>
      </c>
      <c r="GX124">
        <v>25</v>
      </c>
      <c r="GY124">
        <v>-9.4444444444444446</v>
      </c>
      <c r="GZ124">
        <v>29</v>
      </c>
      <c r="HA124">
        <v>-1.5555555555555554</v>
      </c>
      <c r="HB124">
        <v>8</v>
      </c>
      <c r="HC124">
        <v>8</v>
      </c>
      <c r="HD124">
        <v>6</v>
      </c>
      <c r="HE124">
        <v>1.8888888888888886</v>
      </c>
      <c r="HF124">
        <v>10</v>
      </c>
      <c r="HG124">
        <v>0.22222222222222224</v>
      </c>
      <c r="HH124">
        <v>4.8888888888888884</v>
      </c>
      <c r="HI124">
        <v>16</v>
      </c>
      <c r="HJ124">
        <v>16</v>
      </c>
      <c r="HK124">
        <v>4</v>
      </c>
      <c r="HL124">
        <v>7.6389618745328694E-2</v>
      </c>
      <c r="HM124">
        <v>7</v>
      </c>
      <c r="HN124">
        <v>1.8193073814911771E-2</v>
      </c>
      <c r="HO124">
        <v>24</v>
      </c>
      <c r="HP124">
        <v>7.9955229955229953E-2</v>
      </c>
      <c r="HQ124">
        <v>29</v>
      </c>
      <c r="HR124">
        <v>-2.5555555555555554</v>
      </c>
      <c r="HS124">
        <v>-0.11111111111110954</v>
      </c>
      <c r="HT124">
        <v>4.8888888888888884</v>
      </c>
      <c r="HU124">
        <v>0</v>
      </c>
      <c r="HV124">
        <v>-14.222222222222229</v>
      </c>
      <c r="HW124">
        <v>-4.2222222222222383</v>
      </c>
      <c r="HX124">
        <v>-6.1111111111111098</v>
      </c>
      <c r="HY124">
        <v>0.11111111111111131</v>
      </c>
      <c r="HZ124">
        <v>-4</v>
      </c>
      <c r="IA124">
        <v>15</v>
      </c>
      <c r="IB124">
        <v>2.064444444444443</v>
      </c>
      <c r="IC124">
        <v>1.0317777777777768</v>
      </c>
      <c r="ID124">
        <v>1.8888888888888715</v>
      </c>
      <c r="IE124">
        <v>18</v>
      </c>
      <c r="IF124">
        <v>0.74972222222222185</v>
      </c>
      <c r="IG124">
        <v>-2</v>
      </c>
    </row>
    <row r="125" spans="1:241" x14ac:dyDescent="0.2">
      <c r="A125" s="19">
        <v>44108</v>
      </c>
      <c r="B125" s="13" t="s">
        <v>417</v>
      </c>
      <c r="C125" s="41" t="s">
        <v>308</v>
      </c>
      <c r="D125" s="14" t="s">
        <v>293</v>
      </c>
      <c r="E125">
        <v>5.9</v>
      </c>
      <c r="F125">
        <v>17.600000000000001</v>
      </c>
      <c r="G125">
        <v>18.5</v>
      </c>
      <c r="H125">
        <v>8.5</v>
      </c>
      <c r="I125">
        <v>-4</v>
      </c>
      <c r="J125">
        <v>55</v>
      </c>
      <c r="L125" t="s">
        <v>308</v>
      </c>
      <c r="M125">
        <v>4</v>
      </c>
      <c r="N125">
        <v>8.1622222222222245</v>
      </c>
      <c r="O125">
        <v>20</v>
      </c>
      <c r="P125">
        <v>18.5</v>
      </c>
      <c r="Q125">
        <v>8</v>
      </c>
      <c r="R125">
        <v>3.7666666666666657</v>
      </c>
      <c r="S125">
        <v>27</v>
      </c>
      <c r="T125">
        <v>-2.666666666666667</v>
      </c>
      <c r="U125">
        <v>18</v>
      </c>
      <c r="V125">
        <v>-6.4444444444444446</v>
      </c>
      <c r="W125">
        <v>21</v>
      </c>
      <c r="X125">
        <v>-0.55555555555555547</v>
      </c>
      <c r="Y125">
        <v>13</v>
      </c>
      <c r="Z125">
        <v>14.666666666666666</v>
      </c>
      <c r="AA125">
        <v>9</v>
      </c>
      <c r="AB125">
        <v>3.3333333333333321</v>
      </c>
      <c r="AC125">
        <v>27</v>
      </c>
      <c r="AD125">
        <v>-2.8888888888888893</v>
      </c>
      <c r="AE125">
        <v>22</v>
      </c>
      <c r="AF125">
        <v>-7.8888888888888884</v>
      </c>
      <c r="AG125">
        <v>13</v>
      </c>
      <c r="AH125">
        <v>0.22222222222222232</v>
      </c>
      <c r="AI125">
        <v>19</v>
      </c>
      <c r="AJ125">
        <v>18</v>
      </c>
      <c r="AK125">
        <v>15</v>
      </c>
      <c r="AL125">
        <v>0.43333333333333357</v>
      </c>
      <c r="AM125">
        <v>14</v>
      </c>
      <c r="AN125">
        <v>0.22222222222222218</v>
      </c>
      <c r="AO125">
        <v>16</v>
      </c>
      <c r="AP125">
        <v>1.4444444444444435</v>
      </c>
      <c r="AQ125">
        <v>23</v>
      </c>
      <c r="AR125">
        <v>-0.77777777777777779</v>
      </c>
      <c r="AS125">
        <v>8</v>
      </c>
      <c r="AT125">
        <v>9</v>
      </c>
      <c r="AU125">
        <v>5</v>
      </c>
      <c r="AV125">
        <v>9.6333333333333329</v>
      </c>
      <c r="AW125">
        <v>7</v>
      </c>
      <c r="AX125">
        <v>22.777777777777779</v>
      </c>
      <c r="AY125">
        <v>15</v>
      </c>
      <c r="AZ125">
        <v>0.22222222222222232</v>
      </c>
      <c r="BA125">
        <v>7</v>
      </c>
      <c r="BB125">
        <v>8.6666666666666661</v>
      </c>
      <c r="BC125">
        <v>6</v>
      </c>
      <c r="BD125">
        <v>5.4555555555555557</v>
      </c>
      <c r="BE125">
        <v>11</v>
      </c>
      <c r="BF125">
        <v>3.8888888888888906</v>
      </c>
      <c r="BG125">
        <v>9</v>
      </c>
      <c r="BH125">
        <v>1.2222222222222221</v>
      </c>
      <c r="BI125">
        <v>3</v>
      </c>
      <c r="BJ125">
        <v>5</v>
      </c>
      <c r="BK125">
        <v>3</v>
      </c>
      <c r="BL125">
        <v>4.1888888888888882</v>
      </c>
      <c r="BM125">
        <v>4</v>
      </c>
      <c r="BN125">
        <v>25</v>
      </c>
      <c r="BO125">
        <v>8</v>
      </c>
      <c r="BP125">
        <v>0.55555555555555569</v>
      </c>
      <c r="BQ125">
        <v>24</v>
      </c>
      <c r="BR125">
        <v>21.666666666666668</v>
      </c>
      <c r="BS125">
        <v>14</v>
      </c>
      <c r="BT125">
        <v>-1.1111111111110775E-2</v>
      </c>
      <c r="BU125">
        <v>24</v>
      </c>
      <c r="BV125">
        <v>-6.1111111111111107</v>
      </c>
      <c r="BW125">
        <v>27</v>
      </c>
      <c r="BX125">
        <v>-1.5555555555555554</v>
      </c>
      <c r="BY125">
        <v>19</v>
      </c>
      <c r="BZ125">
        <v>18.333333333333332</v>
      </c>
      <c r="CA125">
        <v>14</v>
      </c>
      <c r="CB125">
        <v>5.5555555555555948E-2</v>
      </c>
      <c r="CC125">
        <v>17</v>
      </c>
      <c r="CD125">
        <v>-3.8888888888888857</v>
      </c>
      <c r="CE125">
        <v>24</v>
      </c>
      <c r="CF125">
        <v>-1.2222222222222221</v>
      </c>
      <c r="CG125">
        <v>28</v>
      </c>
      <c r="CH125">
        <v>27.333333333333332</v>
      </c>
      <c r="CI125">
        <v>27</v>
      </c>
      <c r="CJ125">
        <v>-3.7666666666666657</v>
      </c>
      <c r="CK125">
        <v>27</v>
      </c>
      <c r="CL125">
        <v>-14.333333333333334</v>
      </c>
      <c r="CM125">
        <v>28</v>
      </c>
      <c r="CN125">
        <v>-2.1111111111111112</v>
      </c>
      <c r="CO125">
        <v>30</v>
      </c>
      <c r="CP125">
        <v>29.5</v>
      </c>
      <c r="CQ125">
        <v>27</v>
      </c>
      <c r="CR125">
        <v>-1.666666666666667</v>
      </c>
      <c r="CS125">
        <v>32</v>
      </c>
      <c r="CT125">
        <v>-1.4444444444444446</v>
      </c>
      <c r="CU125">
        <v>2.7777777777777772</v>
      </c>
      <c r="CV125">
        <v>16</v>
      </c>
      <c r="CW125">
        <v>15.75</v>
      </c>
      <c r="CX125">
        <v>2</v>
      </c>
      <c r="CY125">
        <v>8.9313493863948198E-2</v>
      </c>
      <c r="CZ125">
        <v>3</v>
      </c>
      <c r="DA125">
        <v>2.6554685432415386E-2</v>
      </c>
      <c r="DB125">
        <v>31</v>
      </c>
      <c r="DC125">
        <v>0.15224867724867727</v>
      </c>
      <c r="DD125">
        <v>27</v>
      </c>
      <c r="DE125">
        <v>-2.3333333333333335</v>
      </c>
      <c r="DF125">
        <v>-6.1111111111111072</v>
      </c>
      <c r="DG125">
        <v>6.4444444444444438</v>
      </c>
      <c r="DH125">
        <v>0.44444444444444448</v>
      </c>
      <c r="DI125">
        <v>-13.222222222222209</v>
      </c>
      <c r="DJ125">
        <v>9.3333333333333233</v>
      </c>
      <c r="DK125">
        <v>-26.777777777777775</v>
      </c>
      <c r="DL125">
        <v>-2.5555555555555558</v>
      </c>
      <c r="DM125">
        <v>6.7777777777777777</v>
      </c>
      <c r="DN125">
        <v>8</v>
      </c>
      <c r="DO125">
        <v>4.3955555555555588</v>
      </c>
      <c r="DP125">
        <v>0.92244444444444573</v>
      </c>
      <c r="DQ125">
        <v>36.1111111111111</v>
      </c>
      <c r="DR125">
        <v>25</v>
      </c>
      <c r="DS125">
        <v>2.0161111111111119</v>
      </c>
      <c r="DT125">
        <v>-1.8888888888888888</v>
      </c>
      <c r="DU125">
        <v>0.74166666666666625</v>
      </c>
      <c r="DV125">
        <v>2.9008333333333329</v>
      </c>
      <c r="DW125" t="s">
        <v>293</v>
      </c>
      <c r="DX125" t="s">
        <v>264</v>
      </c>
      <c r="DY125" t="s">
        <v>468</v>
      </c>
      <c r="DZ125">
        <v>21</v>
      </c>
      <c r="EA125">
        <v>-2.2955555555555578</v>
      </c>
      <c r="EB125">
        <v>24</v>
      </c>
      <c r="EC125">
        <v>20.25</v>
      </c>
      <c r="ED125">
        <v>17</v>
      </c>
      <c r="EE125">
        <v>-0.11111111111111227</v>
      </c>
      <c r="EF125">
        <v>18</v>
      </c>
      <c r="EG125">
        <v>-0.44444444444444475</v>
      </c>
      <c r="EH125">
        <v>20</v>
      </c>
      <c r="EI125">
        <v>-9.5555555555555571</v>
      </c>
      <c r="EJ125">
        <v>26</v>
      </c>
      <c r="EK125">
        <v>-1.1111111111111109</v>
      </c>
      <c r="EL125">
        <v>21</v>
      </c>
      <c r="EM125">
        <v>19.75</v>
      </c>
      <c r="EN125">
        <v>10</v>
      </c>
      <c r="EO125">
        <v>1.4777777777777761</v>
      </c>
      <c r="EP125">
        <v>18</v>
      </c>
      <c r="EQ125">
        <v>-0.55555555555555569</v>
      </c>
      <c r="ER125">
        <v>22</v>
      </c>
      <c r="ES125">
        <v>-6.1111111111111116</v>
      </c>
      <c r="ET125">
        <v>29</v>
      </c>
      <c r="EU125">
        <v>-1.1111111111111109</v>
      </c>
      <c r="EV125">
        <v>23</v>
      </c>
      <c r="EW125">
        <v>20.666666666666668</v>
      </c>
      <c r="EX125">
        <v>26</v>
      </c>
      <c r="EY125">
        <v>-1.5888888888888884</v>
      </c>
      <c r="EZ125">
        <v>15</v>
      </c>
      <c r="FA125">
        <v>0.11111111111111094</v>
      </c>
      <c r="FB125">
        <v>21</v>
      </c>
      <c r="FC125">
        <v>-3.4444444444444446</v>
      </c>
      <c r="FD125">
        <v>15</v>
      </c>
      <c r="FE125">
        <v>7.4014868308343765E-17</v>
      </c>
      <c r="FF125">
        <v>18</v>
      </c>
      <c r="FG125">
        <v>19.333333333333332</v>
      </c>
      <c r="FH125">
        <v>23</v>
      </c>
      <c r="FI125">
        <v>-3.6111111111111103</v>
      </c>
      <c r="FJ125">
        <v>21</v>
      </c>
      <c r="FK125">
        <v>-13.111111111111111</v>
      </c>
      <c r="FL125">
        <v>14</v>
      </c>
      <c r="FM125">
        <v>0.11111111111111138</v>
      </c>
      <c r="FN125">
        <v>8</v>
      </c>
      <c r="FO125">
        <v>9.3333333333333339</v>
      </c>
      <c r="FP125">
        <v>10</v>
      </c>
      <c r="FQ125">
        <v>1.8333333333333339</v>
      </c>
      <c r="FR125">
        <v>12</v>
      </c>
      <c r="FS125">
        <v>6.2222222222222214</v>
      </c>
      <c r="FT125">
        <v>6</v>
      </c>
      <c r="FU125">
        <v>1.3333333333333337</v>
      </c>
      <c r="FV125">
        <v>21</v>
      </c>
      <c r="FW125">
        <v>20.666666666666668</v>
      </c>
      <c r="FX125">
        <v>21</v>
      </c>
      <c r="FY125">
        <v>-2.1333333333333329</v>
      </c>
      <c r="FZ125">
        <v>20</v>
      </c>
      <c r="GA125">
        <v>-5.7777777777777759</v>
      </c>
      <c r="GB125">
        <v>21</v>
      </c>
      <c r="GC125">
        <v>-0.66666666666666663</v>
      </c>
      <c r="GD125">
        <v>28</v>
      </c>
      <c r="GE125">
        <v>27.333333333333332</v>
      </c>
      <c r="GF125">
        <v>30</v>
      </c>
      <c r="GG125">
        <v>-3.3111111111111113</v>
      </c>
      <c r="GH125">
        <v>29</v>
      </c>
      <c r="GI125">
        <v>-13.555555555555557</v>
      </c>
      <c r="GJ125">
        <v>23</v>
      </c>
      <c r="GK125">
        <v>-0.55555555555555569</v>
      </c>
      <c r="GL125">
        <v>23</v>
      </c>
      <c r="GM125">
        <v>24</v>
      </c>
      <c r="GN125">
        <v>21</v>
      </c>
      <c r="GO125">
        <v>-1.8555555555555554</v>
      </c>
      <c r="GP125">
        <v>27</v>
      </c>
      <c r="GQ125">
        <v>-19.666666666666668</v>
      </c>
      <c r="GR125">
        <v>24</v>
      </c>
      <c r="GS125">
        <v>-1.2222222222222221</v>
      </c>
      <c r="GT125">
        <v>20</v>
      </c>
      <c r="GU125">
        <v>18.666666666666668</v>
      </c>
      <c r="GV125">
        <v>25</v>
      </c>
      <c r="GW125">
        <v>-2.3222222222222224</v>
      </c>
      <c r="GX125">
        <v>12</v>
      </c>
      <c r="GY125">
        <v>3.4444444444444446</v>
      </c>
      <c r="GZ125">
        <v>19</v>
      </c>
      <c r="HA125">
        <v>-0.22222222222222224</v>
      </c>
      <c r="HB125">
        <v>32</v>
      </c>
      <c r="HC125">
        <v>31</v>
      </c>
      <c r="HD125">
        <v>31</v>
      </c>
      <c r="HE125">
        <v>-3</v>
      </c>
      <c r="HF125">
        <v>31</v>
      </c>
      <c r="HG125">
        <v>-0.88888888888888895</v>
      </c>
      <c r="HH125">
        <v>-1.5555555555555554</v>
      </c>
      <c r="HI125">
        <v>14</v>
      </c>
      <c r="HJ125">
        <v>15</v>
      </c>
      <c r="HK125">
        <v>12</v>
      </c>
      <c r="HL125">
        <v>4.1761482003681112E-3</v>
      </c>
      <c r="HM125">
        <v>11</v>
      </c>
      <c r="HN125">
        <v>7.409392613602424E-3</v>
      </c>
      <c r="HO125">
        <v>30</v>
      </c>
      <c r="HP125">
        <v>0.12750860250860249</v>
      </c>
      <c r="HQ125">
        <v>7</v>
      </c>
      <c r="HR125">
        <v>1.1111111111111112</v>
      </c>
      <c r="HS125">
        <v>-2.7777777777777786</v>
      </c>
      <c r="HT125">
        <v>-4.5555555555555545</v>
      </c>
      <c r="HU125">
        <v>-1.5555555555555556</v>
      </c>
      <c r="HV125">
        <v>2.8888888888888764</v>
      </c>
      <c r="HW125">
        <v>-0.44444444444443815</v>
      </c>
      <c r="HX125">
        <v>-0.88888888888888573</v>
      </c>
      <c r="HY125">
        <v>-1.8888888888888886</v>
      </c>
      <c r="HZ125">
        <v>6.1111111111111116</v>
      </c>
      <c r="IA125">
        <v>24</v>
      </c>
      <c r="IB125">
        <v>-2.1844444444444457</v>
      </c>
      <c r="IC125">
        <v>-1.5902222222222222</v>
      </c>
      <c r="ID125">
        <v>0.44444444444444758</v>
      </c>
      <c r="IE125">
        <v>9</v>
      </c>
      <c r="IF125">
        <v>-1.4175000000000004</v>
      </c>
      <c r="IG125">
        <v>-0.11111111111111086</v>
      </c>
    </row>
    <row r="126" spans="1:241" x14ac:dyDescent="0.2">
      <c r="A126" s="19">
        <v>44108</v>
      </c>
      <c r="B126" s="13" t="s">
        <v>417</v>
      </c>
      <c r="C126" s="41" t="s">
        <v>284</v>
      </c>
      <c r="D126" s="14" t="s">
        <v>287</v>
      </c>
      <c r="E126">
        <v>28.2</v>
      </c>
      <c r="F126">
        <v>19.3</v>
      </c>
      <c r="G126">
        <v>8</v>
      </c>
      <c r="H126">
        <v>14</v>
      </c>
      <c r="I126">
        <v>-7</v>
      </c>
      <c r="J126">
        <v>42</v>
      </c>
      <c r="L126" t="s">
        <v>284</v>
      </c>
      <c r="M126">
        <v>15</v>
      </c>
      <c r="N126">
        <v>-0.88888888888888873</v>
      </c>
      <c r="O126">
        <v>25</v>
      </c>
      <c r="P126">
        <v>23.5</v>
      </c>
      <c r="Q126">
        <v>24</v>
      </c>
      <c r="R126">
        <v>-3.6555555555555546</v>
      </c>
      <c r="S126">
        <v>24</v>
      </c>
      <c r="T126">
        <v>-2.2222222222222223</v>
      </c>
      <c r="U126">
        <v>24</v>
      </c>
      <c r="V126">
        <v>-11.555555555555555</v>
      </c>
      <c r="W126">
        <v>22</v>
      </c>
      <c r="X126">
        <v>-0.55555555555555558</v>
      </c>
      <c r="Y126">
        <v>27</v>
      </c>
      <c r="Z126">
        <v>23</v>
      </c>
      <c r="AA126">
        <v>25</v>
      </c>
      <c r="AB126">
        <v>-4.3666666666666663</v>
      </c>
      <c r="AC126">
        <v>30</v>
      </c>
      <c r="AD126">
        <v>-4.7777777777777777</v>
      </c>
      <c r="AE126">
        <v>26</v>
      </c>
      <c r="AF126">
        <v>-9.6666666666666661</v>
      </c>
      <c r="AG126">
        <v>18</v>
      </c>
      <c r="AH126">
        <v>-0.55555555555555547</v>
      </c>
      <c r="AI126">
        <v>15</v>
      </c>
      <c r="AJ126">
        <v>15.333333333333334</v>
      </c>
      <c r="AK126">
        <v>13</v>
      </c>
      <c r="AL126">
        <v>0.71111111111111169</v>
      </c>
      <c r="AM126">
        <v>5</v>
      </c>
      <c r="AN126">
        <v>2.5555555555555554</v>
      </c>
      <c r="AO126">
        <v>17</v>
      </c>
      <c r="AP126">
        <v>-1.8888888888888893</v>
      </c>
      <c r="AQ126">
        <v>16</v>
      </c>
      <c r="AR126">
        <v>-7.4014868308343765E-17</v>
      </c>
      <c r="AS126">
        <v>14</v>
      </c>
      <c r="AT126">
        <v>15.333333333333334</v>
      </c>
      <c r="AU126">
        <v>10</v>
      </c>
      <c r="AV126">
        <v>2.4888888888888889</v>
      </c>
      <c r="AW126">
        <v>16</v>
      </c>
      <c r="AX126">
        <v>4.3333333333333339</v>
      </c>
      <c r="AY126">
        <v>20</v>
      </c>
      <c r="AZ126">
        <v>-0.22222222222222276</v>
      </c>
      <c r="BA126">
        <v>16</v>
      </c>
      <c r="BB126">
        <v>17</v>
      </c>
      <c r="BC126">
        <v>13</v>
      </c>
      <c r="BD126">
        <v>-0.27777777777777796</v>
      </c>
      <c r="BE126">
        <v>16</v>
      </c>
      <c r="BF126">
        <v>-4</v>
      </c>
      <c r="BG126">
        <v>22</v>
      </c>
      <c r="BH126">
        <v>-1.1111111111111114</v>
      </c>
      <c r="BI126">
        <v>15</v>
      </c>
      <c r="BJ126">
        <v>16.333333333333332</v>
      </c>
      <c r="BK126">
        <v>11</v>
      </c>
      <c r="BL126">
        <v>1.3444444444444443</v>
      </c>
      <c r="BM126">
        <v>17</v>
      </c>
      <c r="BN126">
        <v>-5.4444444444444438</v>
      </c>
      <c r="BO126">
        <v>21</v>
      </c>
      <c r="BP126">
        <v>-0.33333333333333348</v>
      </c>
      <c r="BQ126">
        <v>4</v>
      </c>
      <c r="BR126">
        <v>6.333333333333333</v>
      </c>
      <c r="BS126">
        <v>10</v>
      </c>
      <c r="BT126">
        <v>1.4222222222222225</v>
      </c>
      <c r="BU126">
        <v>3</v>
      </c>
      <c r="BV126">
        <v>13.777777777777777</v>
      </c>
      <c r="BW126">
        <v>6</v>
      </c>
      <c r="BX126">
        <v>1.2222222222222221</v>
      </c>
      <c r="BY126">
        <v>8</v>
      </c>
      <c r="BZ126">
        <v>9</v>
      </c>
      <c r="CA126">
        <v>10</v>
      </c>
      <c r="CB126">
        <v>2.1777777777777767</v>
      </c>
      <c r="CC126">
        <v>9</v>
      </c>
      <c r="CD126">
        <v>11.77777777777778</v>
      </c>
      <c r="CE126">
        <v>8</v>
      </c>
      <c r="CF126">
        <v>1.2222222222222225</v>
      </c>
      <c r="CG126">
        <v>28</v>
      </c>
      <c r="CH126">
        <v>27.333333333333332</v>
      </c>
      <c r="CI126">
        <v>28</v>
      </c>
      <c r="CJ126">
        <v>-3.9888888888888894</v>
      </c>
      <c r="CK126">
        <v>28</v>
      </c>
      <c r="CL126">
        <v>-15.444444444444445</v>
      </c>
      <c r="CM126">
        <v>26</v>
      </c>
      <c r="CN126">
        <v>-1.7777777777777777</v>
      </c>
      <c r="CO126">
        <v>26</v>
      </c>
      <c r="CP126">
        <v>25.5</v>
      </c>
      <c r="CQ126">
        <v>26</v>
      </c>
      <c r="CR126">
        <v>-1.333333333333333</v>
      </c>
      <c r="CS126">
        <v>25</v>
      </c>
      <c r="CT126">
        <v>-0.33333333333333343</v>
      </c>
      <c r="CU126">
        <v>4.333333333333333</v>
      </c>
      <c r="CV126">
        <v>10</v>
      </c>
      <c r="CW126">
        <v>12.75</v>
      </c>
      <c r="CX126">
        <v>22</v>
      </c>
      <c r="CY126">
        <v>-3.2798432048587706E-2</v>
      </c>
      <c r="CZ126">
        <v>9</v>
      </c>
      <c r="DA126">
        <v>6.5882786446207417E-3</v>
      </c>
      <c r="DB126">
        <v>16</v>
      </c>
      <c r="DC126">
        <v>4.7152194211017755E-3</v>
      </c>
      <c r="DD126">
        <v>4</v>
      </c>
      <c r="DE126">
        <v>3.1111111111111112</v>
      </c>
      <c r="DF126">
        <v>-4.2222222222222241</v>
      </c>
      <c r="DG126">
        <v>-0.11111111111111072</v>
      </c>
      <c r="DH126">
        <v>0.22222222222222224</v>
      </c>
      <c r="DI126">
        <v>-38.111111111111121</v>
      </c>
      <c r="DJ126">
        <v>-21.111111111111125</v>
      </c>
      <c r="DK126">
        <v>-14.888888888888891</v>
      </c>
      <c r="DL126">
        <v>0.55555555555555569</v>
      </c>
      <c r="DM126">
        <v>-2.6666666666666665</v>
      </c>
      <c r="DN126">
        <v>11</v>
      </c>
      <c r="DO126">
        <v>2.7666666666666657</v>
      </c>
      <c r="DP126">
        <v>1.3499999999999994</v>
      </c>
      <c r="DQ126">
        <v>-6.2222222222222339</v>
      </c>
      <c r="DR126">
        <v>22</v>
      </c>
      <c r="DS126">
        <v>-0.92222222222222194</v>
      </c>
      <c r="DT126">
        <v>-2.0000000000000004</v>
      </c>
      <c r="DU126">
        <v>-1.5177777777777779</v>
      </c>
      <c r="DV126">
        <v>-0.67166666666666663</v>
      </c>
      <c r="DW126" t="s">
        <v>287</v>
      </c>
      <c r="DX126" t="s">
        <v>267</v>
      </c>
      <c r="DY126" t="s">
        <v>502</v>
      </c>
      <c r="DZ126">
        <v>23</v>
      </c>
      <c r="EA126">
        <v>-2.7333333333333347</v>
      </c>
      <c r="EB126">
        <v>28</v>
      </c>
      <c r="EC126">
        <v>23.25</v>
      </c>
      <c r="ED126">
        <v>28</v>
      </c>
      <c r="EE126">
        <v>-5.7888888888888896</v>
      </c>
      <c r="EF126">
        <v>31</v>
      </c>
      <c r="EG126">
        <v>-4.5555555555555545</v>
      </c>
      <c r="EH126">
        <v>24</v>
      </c>
      <c r="EI126">
        <v>-14.333333333333332</v>
      </c>
      <c r="EJ126">
        <v>10</v>
      </c>
      <c r="EK126">
        <v>0.55555555555555558</v>
      </c>
      <c r="EL126">
        <v>24</v>
      </c>
      <c r="EM126">
        <v>21.25</v>
      </c>
      <c r="EN126">
        <v>24</v>
      </c>
      <c r="EO126">
        <v>-3.2444444444444449</v>
      </c>
      <c r="EP126">
        <v>31</v>
      </c>
      <c r="EQ126">
        <v>-3.888888888888888</v>
      </c>
      <c r="ER126">
        <v>28</v>
      </c>
      <c r="ES126">
        <v>-16.333333333333332</v>
      </c>
      <c r="ET126">
        <v>2</v>
      </c>
      <c r="EU126">
        <v>1.5555555555555556</v>
      </c>
      <c r="EV126">
        <v>21</v>
      </c>
      <c r="EW126">
        <v>20.333333333333332</v>
      </c>
      <c r="EX126">
        <v>31</v>
      </c>
      <c r="EY126">
        <v>-2.5444444444444447</v>
      </c>
      <c r="EZ126">
        <v>20</v>
      </c>
      <c r="FA126">
        <v>-0.66666666666666652</v>
      </c>
      <c r="FB126">
        <v>10</v>
      </c>
      <c r="FC126">
        <v>2</v>
      </c>
      <c r="FD126">
        <v>28</v>
      </c>
      <c r="FE126">
        <v>-1</v>
      </c>
      <c r="FF126">
        <v>32</v>
      </c>
      <c r="FG126">
        <v>31.666666666666668</v>
      </c>
      <c r="FH126">
        <v>32</v>
      </c>
      <c r="FI126">
        <v>-13.244444444444445</v>
      </c>
      <c r="FJ126">
        <v>31</v>
      </c>
      <c r="FK126">
        <v>-37.888888888888893</v>
      </c>
      <c r="FL126">
        <v>32</v>
      </c>
      <c r="FM126">
        <v>-5.6666666666666661</v>
      </c>
      <c r="FN126">
        <v>28</v>
      </c>
      <c r="FO126">
        <v>28.666666666666668</v>
      </c>
      <c r="FP126">
        <v>31</v>
      </c>
      <c r="FQ126">
        <v>-5.9555555555555557</v>
      </c>
      <c r="FR126">
        <v>28</v>
      </c>
      <c r="FS126">
        <v>-18.777777777777782</v>
      </c>
      <c r="FT126">
        <v>27</v>
      </c>
      <c r="FU126">
        <v>-1.333333333333333</v>
      </c>
      <c r="FV126">
        <v>30</v>
      </c>
      <c r="FW126">
        <v>28.666666666666668</v>
      </c>
      <c r="FX126">
        <v>28</v>
      </c>
      <c r="FY126">
        <v>-3.8555555555555565</v>
      </c>
      <c r="FZ126">
        <v>26</v>
      </c>
      <c r="GA126">
        <v>-12.222222222222221</v>
      </c>
      <c r="GB126">
        <v>32</v>
      </c>
      <c r="GC126">
        <v>-2.6666666666666665</v>
      </c>
      <c r="GD126">
        <v>31</v>
      </c>
      <c r="GE126">
        <v>27.666666666666668</v>
      </c>
      <c r="GF126">
        <v>31</v>
      </c>
      <c r="GG126">
        <v>-3.4333333333333336</v>
      </c>
      <c r="GH126">
        <v>22</v>
      </c>
      <c r="GI126">
        <v>-6.8888888888888893</v>
      </c>
      <c r="GJ126">
        <v>30</v>
      </c>
      <c r="GK126">
        <v>-1.666666666666667</v>
      </c>
      <c r="GL126">
        <v>22</v>
      </c>
      <c r="GM126">
        <v>23.666666666666668</v>
      </c>
      <c r="GN126">
        <v>19</v>
      </c>
      <c r="GO126">
        <v>-1.7666666666666668</v>
      </c>
      <c r="GP126">
        <v>20</v>
      </c>
      <c r="GQ126">
        <v>-6.5555555555555527</v>
      </c>
      <c r="GR126">
        <v>32</v>
      </c>
      <c r="GS126">
        <v>-3.7777777777777781</v>
      </c>
      <c r="GT126">
        <v>8</v>
      </c>
      <c r="GU126">
        <v>9.6666666666666661</v>
      </c>
      <c r="GV126">
        <v>12</v>
      </c>
      <c r="GW126">
        <v>0.7444444444444448</v>
      </c>
      <c r="GX126">
        <v>11</v>
      </c>
      <c r="GY126">
        <v>5.2222222222222197</v>
      </c>
      <c r="GZ126">
        <v>6</v>
      </c>
      <c r="HA126">
        <v>1.2222222222222223</v>
      </c>
      <c r="HB126">
        <v>2</v>
      </c>
      <c r="HC126">
        <v>2</v>
      </c>
      <c r="HD126">
        <v>3</v>
      </c>
      <c r="HE126">
        <v>2.1111111111111112</v>
      </c>
      <c r="HF126">
        <v>1</v>
      </c>
      <c r="HG126">
        <v>1</v>
      </c>
      <c r="HH126">
        <v>1.8888888888888893</v>
      </c>
      <c r="HI126">
        <v>1</v>
      </c>
      <c r="HJ126">
        <v>9</v>
      </c>
      <c r="HK126">
        <v>6</v>
      </c>
      <c r="HL126">
        <v>3.5998418648550336E-2</v>
      </c>
      <c r="HM126">
        <v>19</v>
      </c>
      <c r="HN126">
        <v>-6.4286560119164509E-3</v>
      </c>
      <c r="HO126">
        <v>1</v>
      </c>
      <c r="HP126">
        <v>-0.22178839678839682</v>
      </c>
      <c r="HQ126">
        <v>10</v>
      </c>
      <c r="HR126">
        <v>0.3333333333333332</v>
      </c>
      <c r="HS126">
        <v>-6.4444444444444455</v>
      </c>
      <c r="HT126">
        <v>-6</v>
      </c>
      <c r="HU126">
        <v>0</v>
      </c>
      <c r="HV126">
        <v>-41.444444444444436</v>
      </c>
      <c r="HW126">
        <v>-44.444444444444436</v>
      </c>
      <c r="HX126">
        <v>-11.777777777777777</v>
      </c>
      <c r="HY126">
        <v>-2.3333333333333335</v>
      </c>
      <c r="HZ126">
        <v>17.111111111111111</v>
      </c>
      <c r="IA126">
        <v>10</v>
      </c>
      <c r="IB126">
        <v>3.0555555555555549</v>
      </c>
      <c r="IC126">
        <v>-0.15222222222222204</v>
      </c>
      <c r="ID126">
        <v>-32.666666666666657</v>
      </c>
      <c r="IE126">
        <v>23</v>
      </c>
      <c r="IF126">
        <v>-2.3638888888888894</v>
      </c>
      <c r="IG126">
        <v>-4.4444444444444438</v>
      </c>
    </row>
    <row r="127" spans="1:241" x14ac:dyDescent="0.2">
      <c r="A127" s="19">
        <v>44108</v>
      </c>
      <c r="B127" s="13" t="s">
        <v>417</v>
      </c>
      <c r="C127" s="41" t="s">
        <v>306</v>
      </c>
      <c r="D127" s="14" t="s">
        <v>305</v>
      </c>
      <c r="E127">
        <v>24.8</v>
      </c>
      <c r="F127">
        <v>6.9</v>
      </c>
      <c r="G127">
        <v>6.9</v>
      </c>
      <c r="H127">
        <v>1.8</v>
      </c>
      <c r="I127">
        <v>14</v>
      </c>
      <c r="J127">
        <v>44.5</v>
      </c>
      <c r="K127" t="s">
        <v>110</v>
      </c>
      <c r="L127" t="s">
        <v>306</v>
      </c>
      <c r="M127">
        <v>32</v>
      </c>
      <c r="N127">
        <v>-7.0844444444444434</v>
      </c>
      <c r="O127">
        <v>18</v>
      </c>
      <c r="P127">
        <v>17.25</v>
      </c>
      <c r="Q127">
        <v>17</v>
      </c>
      <c r="R127">
        <v>-1.0000000000000009</v>
      </c>
      <c r="S127">
        <v>13</v>
      </c>
      <c r="T127">
        <v>0.55555555555555514</v>
      </c>
      <c r="U127">
        <v>14</v>
      </c>
      <c r="V127">
        <v>2.8888888888888875</v>
      </c>
      <c r="W127">
        <v>25</v>
      </c>
      <c r="X127">
        <v>-1.1111111111111112</v>
      </c>
      <c r="Y127">
        <v>20</v>
      </c>
      <c r="Z127">
        <v>18.333333333333332</v>
      </c>
      <c r="AA127">
        <v>14</v>
      </c>
      <c r="AB127">
        <v>0.38888888888888867</v>
      </c>
      <c r="AC127">
        <v>20</v>
      </c>
      <c r="AD127">
        <v>-1.555555555555556</v>
      </c>
      <c r="AE127">
        <v>21</v>
      </c>
      <c r="AF127">
        <v>-7.7777777777777786</v>
      </c>
      <c r="AG127">
        <v>20</v>
      </c>
      <c r="AH127">
        <v>-0.66666666666666663</v>
      </c>
      <c r="AI127">
        <v>15</v>
      </c>
      <c r="AJ127">
        <v>15.333333333333334</v>
      </c>
      <c r="AK127">
        <v>21</v>
      </c>
      <c r="AL127">
        <v>-1.3888888888888895</v>
      </c>
      <c r="AM127">
        <v>8</v>
      </c>
      <c r="AN127">
        <v>2.1111111111111112</v>
      </c>
      <c r="AO127">
        <v>6</v>
      </c>
      <c r="AP127">
        <v>10.666666666666666</v>
      </c>
      <c r="AQ127">
        <v>19</v>
      </c>
      <c r="AR127">
        <v>-0.44444444444444442</v>
      </c>
      <c r="AS127">
        <v>16</v>
      </c>
      <c r="AT127">
        <v>16</v>
      </c>
      <c r="AU127">
        <v>15</v>
      </c>
      <c r="AV127">
        <v>0.32222222222222263</v>
      </c>
      <c r="AW127">
        <v>14</v>
      </c>
      <c r="AX127">
        <v>10.777777777777782</v>
      </c>
      <c r="AY127">
        <v>19</v>
      </c>
      <c r="AZ127">
        <v>-0.22222222222222221</v>
      </c>
      <c r="BA127">
        <v>9</v>
      </c>
      <c r="BB127">
        <v>10</v>
      </c>
      <c r="BC127">
        <v>12</v>
      </c>
      <c r="BD127">
        <v>0.68888888888888944</v>
      </c>
      <c r="BE127">
        <v>6</v>
      </c>
      <c r="BF127">
        <v>14.888888888888891</v>
      </c>
      <c r="BG127">
        <v>12</v>
      </c>
      <c r="BH127">
        <v>0.66666666666666663</v>
      </c>
      <c r="BI127">
        <v>18</v>
      </c>
      <c r="BJ127">
        <v>17.333333333333332</v>
      </c>
      <c r="BK127">
        <v>10</v>
      </c>
      <c r="BL127">
        <v>1.3888888888888886</v>
      </c>
      <c r="BM127">
        <v>15</v>
      </c>
      <c r="BN127">
        <v>1.5555555555555571</v>
      </c>
      <c r="BO127">
        <v>27</v>
      </c>
      <c r="BP127">
        <v>-1.2222222222222223</v>
      </c>
      <c r="BQ127">
        <v>22</v>
      </c>
      <c r="BR127">
        <v>20.666666666666668</v>
      </c>
      <c r="BS127">
        <v>26</v>
      </c>
      <c r="BT127">
        <v>-1.7555555555555553</v>
      </c>
      <c r="BU127">
        <v>23</v>
      </c>
      <c r="BV127">
        <v>-5.666666666666667</v>
      </c>
      <c r="BW127">
        <v>13</v>
      </c>
      <c r="BX127">
        <v>0.33333333333333348</v>
      </c>
      <c r="BY127">
        <v>13</v>
      </c>
      <c r="BZ127">
        <v>14</v>
      </c>
      <c r="CA127">
        <v>20</v>
      </c>
      <c r="CB127">
        <v>-2.0222222222222226</v>
      </c>
      <c r="CC127">
        <v>15</v>
      </c>
      <c r="CD127">
        <v>-2.4444444444444451</v>
      </c>
      <c r="CE127">
        <v>7</v>
      </c>
      <c r="CF127">
        <v>1.3333333333333333</v>
      </c>
      <c r="CG127">
        <v>24</v>
      </c>
      <c r="CH127">
        <v>23</v>
      </c>
      <c r="CI127">
        <v>31</v>
      </c>
      <c r="CJ127">
        <v>-4.6444444444444448</v>
      </c>
      <c r="CK127">
        <v>25</v>
      </c>
      <c r="CL127">
        <v>-12.111111111111109</v>
      </c>
      <c r="CM127">
        <v>13</v>
      </c>
      <c r="CN127">
        <v>0.99999999999999967</v>
      </c>
      <c r="CO127">
        <v>31</v>
      </c>
      <c r="CP127">
        <v>30</v>
      </c>
      <c r="CQ127">
        <v>32</v>
      </c>
      <c r="CR127">
        <v>-4.1111111111111116</v>
      </c>
      <c r="CS127">
        <v>28</v>
      </c>
      <c r="CT127">
        <v>-0.66666666666666685</v>
      </c>
      <c r="CU127">
        <v>0.22222222222222232</v>
      </c>
      <c r="CV127">
        <v>5</v>
      </c>
      <c r="CW127">
        <v>10.25</v>
      </c>
      <c r="CX127">
        <v>23</v>
      </c>
      <c r="CY127">
        <v>-3.2870978332905303E-2</v>
      </c>
      <c r="CZ127">
        <v>14</v>
      </c>
      <c r="DA127">
        <v>3.1005554471432348E-3</v>
      </c>
      <c r="DB127">
        <v>1</v>
      </c>
      <c r="DC127">
        <v>-0.26642924976258309</v>
      </c>
      <c r="DD127">
        <v>3</v>
      </c>
      <c r="DE127">
        <v>3.2222222222222228</v>
      </c>
      <c r="DF127">
        <v>-2.3333333333333308</v>
      </c>
      <c r="DG127">
        <v>-5.5555555555555545</v>
      </c>
      <c r="DH127">
        <v>0</v>
      </c>
      <c r="DI127">
        <v>-53.777777777777793</v>
      </c>
      <c r="DJ127">
        <v>-50.888888888888893</v>
      </c>
      <c r="DK127">
        <v>-2</v>
      </c>
      <c r="DL127">
        <v>2.1111111111111112</v>
      </c>
      <c r="DM127">
        <v>-3.0000000000000004</v>
      </c>
      <c r="DN127">
        <v>27</v>
      </c>
      <c r="DO127">
        <v>-6.0844444444444425</v>
      </c>
      <c r="DP127">
        <v>-1.781333333333333</v>
      </c>
      <c r="DQ127">
        <v>-48.888888888888893</v>
      </c>
      <c r="DR127">
        <v>6</v>
      </c>
      <c r="DS127">
        <v>-2.0647222222222226</v>
      </c>
      <c r="DT127">
        <v>0.77777777777777746</v>
      </c>
      <c r="DU127">
        <v>-0.4904166666666665</v>
      </c>
      <c r="DV127">
        <v>7.7777777777781887E-3</v>
      </c>
      <c r="DW127" t="s">
        <v>305</v>
      </c>
      <c r="DX127" t="s">
        <v>268</v>
      </c>
      <c r="DY127" t="s">
        <v>500</v>
      </c>
      <c r="DZ127">
        <v>11</v>
      </c>
      <c r="EA127">
        <v>1.9688888888888876</v>
      </c>
      <c r="EB127">
        <v>30</v>
      </c>
      <c r="EC127">
        <v>24.25</v>
      </c>
      <c r="ED127">
        <v>31</v>
      </c>
      <c r="EE127">
        <v>-7.7888888888888888</v>
      </c>
      <c r="EF127">
        <v>28</v>
      </c>
      <c r="EG127">
        <v>-3.1111111111111103</v>
      </c>
      <c r="EH127">
        <v>30</v>
      </c>
      <c r="EI127">
        <v>-24.111111111111111</v>
      </c>
      <c r="EJ127">
        <v>8</v>
      </c>
      <c r="EK127">
        <v>0.7777777777777779</v>
      </c>
      <c r="EL127">
        <v>31</v>
      </c>
      <c r="EM127">
        <v>25.25</v>
      </c>
      <c r="EN127">
        <v>31</v>
      </c>
      <c r="EO127">
        <v>-6.7333333333333334</v>
      </c>
      <c r="EP127">
        <v>27</v>
      </c>
      <c r="EQ127">
        <v>-1.9999999999999993</v>
      </c>
      <c r="ER127">
        <v>29</v>
      </c>
      <c r="ES127">
        <v>-21.333333333333332</v>
      </c>
      <c r="ET127">
        <v>14</v>
      </c>
      <c r="EU127">
        <v>0.33333333333333348</v>
      </c>
      <c r="EV127">
        <v>21</v>
      </c>
      <c r="EW127">
        <v>20.333333333333332</v>
      </c>
      <c r="EX127">
        <v>22</v>
      </c>
      <c r="EY127">
        <v>-1.0555555555555556</v>
      </c>
      <c r="EZ127">
        <v>21</v>
      </c>
      <c r="FA127">
        <v>-1.1111111111111109</v>
      </c>
      <c r="FB127">
        <v>18</v>
      </c>
      <c r="FC127">
        <v>-2.7777777777777781</v>
      </c>
      <c r="FD127">
        <v>10</v>
      </c>
      <c r="FE127">
        <v>0.44444444444444448</v>
      </c>
      <c r="FF127">
        <v>12</v>
      </c>
      <c r="FG127">
        <v>12.666666666666666</v>
      </c>
      <c r="FH127">
        <v>20</v>
      </c>
      <c r="FI127">
        <v>-2.3111111111111113</v>
      </c>
      <c r="FJ127">
        <v>11</v>
      </c>
      <c r="FK127">
        <v>6.3333333333333375</v>
      </c>
      <c r="FL127">
        <v>7</v>
      </c>
      <c r="FM127">
        <v>1.3333333333333337</v>
      </c>
      <c r="FN127">
        <v>31</v>
      </c>
      <c r="FO127">
        <v>30.333333333333332</v>
      </c>
      <c r="FP127">
        <v>30</v>
      </c>
      <c r="FQ127">
        <v>-5.5000000000000009</v>
      </c>
      <c r="FR127">
        <v>32</v>
      </c>
      <c r="FS127">
        <v>-27.333333333333332</v>
      </c>
      <c r="FT127">
        <v>29</v>
      </c>
      <c r="FU127">
        <v>-1.6666666666666663</v>
      </c>
      <c r="FV127">
        <v>5</v>
      </c>
      <c r="FW127">
        <v>6</v>
      </c>
      <c r="FX127">
        <v>9</v>
      </c>
      <c r="FY127">
        <v>2.2111111111111117</v>
      </c>
      <c r="FZ127">
        <v>4</v>
      </c>
      <c r="GA127">
        <v>18.333333333333336</v>
      </c>
      <c r="GB127">
        <v>5</v>
      </c>
      <c r="GC127">
        <v>1.3333333333333333</v>
      </c>
      <c r="GD127">
        <v>4</v>
      </c>
      <c r="GE127">
        <v>6</v>
      </c>
      <c r="GF127">
        <v>10</v>
      </c>
      <c r="GG127">
        <v>0.97777777777777775</v>
      </c>
      <c r="GH127">
        <v>5</v>
      </c>
      <c r="GI127">
        <v>15.333333333333334</v>
      </c>
      <c r="GJ127">
        <v>3</v>
      </c>
      <c r="GK127">
        <v>1.6666666666666667</v>
      </c>
      <c r="GL127">
        <v>8</v>
      </c>
      <c r="GM127">
        <v>9.6666666666666661</v>
      </c>
      <c r="GN127">
        <v>16</v>
      </c>
      <c r="GO127">
        <v>-0.93333333333333479</v>
      </c>
      <c r="GP127">
        <v>9</v>
      </c>
      <c r="GQ127">
        <v>10.666666666666671</v>
      </c>
      <c r="GR127">
        <v>4</v>
      </c>
      <c r="GS127">
        <v>2.3333333333333335</v>
      </c>
      <c r="GT127">
        <v>9</v>
      </c>
      <c r="GU127">
        <v>10.333333333333334</v>
      </c>
      <c r="GV127">
        <v>10</v>
      </c>
      <c r="GW127">
        <v>1.6666666666666663</v>
      </c>
      <c r="GX127">
        <v>6</v>
      </c>
      <c r="GY127">
        <v>14.444444444444443</v>
      </c>
      <c r="GZ127">
        <v>15</v>
      </c>
      <c r="HA127">
        <v>0.11111111111111116</v>
      </c>
      <c r="HB127">
        <v>19</v>
      </c>
      <c r="HC127">
        <v>20.5</v>
      </c>
      <c r="HD127">
        <v>25</v>
      </c>
      <c r="HE127">
        <v>-1.444444444444444</v>
      </c>
      <c r="HF127">
        <v>16</v>
      </c>
      <c r="HG127">
        <v>3.7007434154171883E-17</v>
      </c>
      <c r="HH127">
        <v>-1</v>
      </c>
      <c r="HI127">
        <v>8</v>
      </c>
      <c r="HJ127">
        <v>13.25</v>
      </c>
      <c r="HK127">
        <v>21</v>
      </c>
      <c r="HL127">
        <v>-2.1411832610311377E-2</v>
      </c>
      <c r="HM127">
        <v>23</v>
      </c>
      <c r="HN127">
        <v>-1.2012070949269017E-2</v>
      </c>
      <c r="HO127">
        <v>8</v>
      </c>
      <c r="HP127">
        <v>-9.8494869328202631E-2</v>
      </c>
      <c r="HQ127">
        <v>1</v>
      </c>
      <c r="HR127">
        <v>6.4444444444444438</v>
      </c>
      <c r="HS127">
        <v>3.7777777777777786</v>
      </c>
      <c r="HT127">
        <v>-6.1111111111111107</v>
      </c>
      <c r="HU127">
        <v>0</v>
      </c>
      <c r="HV127">
        <v>14.222222222222229</v>
      </c>
      <c r="HW127">
        <v>32.555555555555564</v>
      </c>
      <c r="HX127">
        <v>-21.888888888888886</v>
      </c>
      <c r="HY127">
        <v>3.5555555555555554</v>
      </c>
      <c r="HZ127">
        <v>0</v>
      </c>
      <c r="IA127">
        <v>3</v>
      </c>
      <c r="IB127">
        <v>9.7577777777777754</v>
      </c>
      <c r="IC127">
        <v>4.1593333333333327</v>
      </c>
      <c r="ID127">
        <v>54.44444444444445</v>
      </c>
      <c r="IE127">
        <v>30</v>
      </c>
      <c r="IF127">
        <v>-0.98861111111111122</v>
      </c>
      <c r="IG127">
        <v>1.4444444444444449</v>
      </c>
    </row>
    <row r="128" spans="1:241" x14ac:dyDescent="0.2">
      <c r="A128" s="19">
        <v>44115</v>
      </c>
      <c r="B128" s="13" t="s">
        <v>381</v>
      </c>
      <c r="C128" s="41" t="s">
        <v>285</v>
      </c>
      <c r="D128" s="14" t="s">
        <v>298</v>
      </c>
      <c r="E128">
        <v>28.1</v>
      </c>
      <c r="F128">
        <v>12.8</v>
      </c>
      <c r="G128">
        <v>7.5</v>
      </c>
      <c r="H128">
        <v>5.7</v>
      </c>
      <c r="I128">
        <v>-7</v>
      </c>
      <c r="J128">
        <v>48</v>
      </c>
      <c r="K128" t="s">
        <v>734</v>
      </c>
      <c r="L128" t="s">
        <v>285</v>
      </c>
      <c r="M128">
        <v>2</v>
      </c>
      <c r="N128">
        <v>8.1387499999999999</v>
      </c>
      <c r="O128">
        <v>25</v>
      </c>
      <c r="P128">
        <v>22.5</v>
      </c>
      <c r="Q128">
        <v>29</v>
      </c>
      <c r="R128">
        <v>-6.2500000000000018</v>
      </c>
      <c r="S128">
        <v>17</v>
      </c>
      <c r="T128">
        <v>-0.4375</v>
      </c>
      <c r="U128">
        <v>27</v>
      </c>
      <c r="V128">
        <v>-18.625</v>
      </c>
      <c r="W128">
        <v>17</v>
      </c>
      <c r="X128">
        <v>-0.3125</v>
      </c>
      <c r="Y128">
        <v>30</v>
      </c>
      <c r="Z128">
        <v>28</v>
      </c>
      <c r="AA128">
        <v>31</v>
      </c>
      <c r="AB128">
        <v>-7.7187500000000018</v>
      </c>
      <c r="AC128">
        <v>9</v>
      </c>
      <c r="AD128">
        <v>1.9375</v>
      </c>
      <c r="AE128">
        <v>21</v>
      </c>
      <c r="AF128">
        <v>-5.875</v>
      </c>
      <c r="AG128">
        <v>32</v>
      </c>
      <c r="AH128">
        <v>-2.1875</v>
      </c>
      <c r="AI128">
        <v>8</v>
      </c>
      <c r="AJ128">
        <v>12.333333333333334</v>
      </c>
      <c r="AK128">
        <v>8</v>
      </c>
      <c r="AL128">
        <v>1.4687500000000002</v>
      </c>
      <c r="AM128">
        <v>28</v>
      </c>
      <c r="AN128">
        <v>-2.375</v>
      </c>
      <c r="AO128">
        <v>28</v>
      </c>
      <c r="AP128">
        <v>-12.75</v>
      </c>
      <c r="AQ128">
        <v>1</v>
      </c>
      <c r="AR128">
        <v>1.875</v>
      </c>
      <c r="AS128">
        <v>4</v>
      </c>
      <c r="AT128">
        <v>6.333333333333333</v>
      </c>
      <c r="AU128">
        <v>6</v>
      </c>
      <c r="AV128">
        <v>7.6562500000000009</v>
      </c>
      <c r="AW128">
        <v>10</v>
      </c>
      <c r="AX128">
        <v>14.1875</v>
      </c>
      <c r="AY128">
        <v>3</v>
      </c>
      <c r="AZ128">
        <v>3.875</v>
      </c>
      <c r="BA128">
        <v>2</v>
      </c>
      <c r="BB128">
        <v>2.6666666666666665</v>
      </c>
      <c r="BC128">
        <v>2</v>
      </c>
      <c r="BD128">
        <v>6.1625000000000014</v>
      </c>
      <c r="BE128">
        <v>3</v>
      </c>
      <c r="BF128">
        <v>24.125</v>
      </c>
      <c r="BG128">
        <v>3</v>
      </c>
      <c r="BH128">
        <v>2.75</v>
      </c>
      <c r="BI128">
        <v>16</v>
      </c>
      <c r="BJ128">
        <v>15.666666666666666</v>
      </c>
      <c r="BK128">
        <v>9</v>
      </c>
      <c r="BL128">
        <v>2.0125000000000002</v>
      </c>
      <c r="BM128">
        <v>20</v>
      </c>
      <c r="BN128">
        <v>-8.75</v>
      </c>
      <c r="BO128">
        <v>18</v>
      </c>
      <c r="BP128">
        <v>0</v>
      </c>
      <c r="BQ128">
        <v>13</v>
      </c>
      <c r="BR128">
        <v>13.333333333333334</v>
      </c>
      <c r="BS128">
        <v>15</v>
      </c>
      <c r="BT128">
        <v>-0.51874999999999993</v>
      </c>
      <c r="BU128">
        <v>19</v>
      </c>
      <c r="BV128">
        <v>-1.1875</v>
      </c>
      <c r="BW128">
        <v>6</v>
      </c>
      <c r="BX128">
        <v>1.125</v>
      </c>
      <c r="BY128">
        <v>16</v>
      </c>
      <c r="BZ128">
        <v>17</v>
      </c>
      <c r="CA128">
        <v>16</v>
      </c>
      <c r="CB128">
        <v>6.8749999999999645E-2</v>
      </c>
      <c r="CC128">
        <v>23</v>
      </c>
      <c r="CD128">
        <v>-12.4375</v>
      </c>
      <c r="CE128">
        <v>12</v>
      </c>
      <c r="CF128">
        <v>0.9375</v>
      </c>
      <c r="CG128">
        <v>26</v>
      </c>
      <c r="CH128">
        <v>25</v>
      </c>
      <c r="CI128">
        <v>26</v>
      </c>
      <c r="CJ128">
        <v>-3.5687500000000001</v>
      </c>
      <c r="CK128">
        <v>22</v>
      </c>
      <c r="CL128">
        <v>-7.3125</v>
      </c>
      <c r="CM128">
        <v>27</v>
      </c>
      <c r="CN128">
        <v>-1.4375</v>
      </c>
      <c r="CO128">
        <v>16</v>
      </c>
      <c r="CP128">
        <v>16</v>
      </c>
      <c r="CQ128">
        <v>21</v>
      </c>
      <c r="CR128">
        <v>-0.6875</v>
      </c>
      <c r="CS128">
        <v>11</v>
      </c>
      <c r="CT128">
        <v>0.125</v>
      </c>
      <c r="CU128">
        <v>-1.25</v>
      </c>
      <c r="CV128">
        <v>25</v>
      </c>
      <c r="CW128">
        <v>20.75</v>
      </c>
      <c r="CX128">
        <v>24</v>
      </c>
      <c r="CY128">
        <v>-3.8203614279639302E-2</v>
      </c>
      <c r="CZ128">
        <v>27</v>
      </c>
      <c r="DA128">
        <v>-1.1494045283415303E-2</v>
      </c>
      <c r="DB128">
        <v>17</v>
      </c>
      <c r="DC128">
        <v>2.1436131270690106E-2</v>
      </c>
      <c r="DD128">
        <v>15</v>
      </c>
      <c r="DE128">
        <v>6.25E-2</v>
      </c>
      <c r="DF128">
        <v>3.25</v>
      </c>
      <c r="DG128">
        <v>-0.375</v>
      </c>
      <c r="DH128">
        <v>-0.875</v>
      </c>
      <c r="DI128">
        <v>15.4375</v>
      </c>
      <c r="DJ128">
        <v>4.5625</v>
      </c>
      <c r="DK128">
        <v>-21.625</v>
      </c>
      <c r="DL128">
        <v>-4</v>
      </c>
      <c r="DM128">
        <v>36.5</v>
      </c>
      <c r="DN128">
        <v>2</v>
      </c>
      <c r="DO128">
        <v>14.388750000000002</v>
      </c>
      <c r="DP128">
        <v>5.5702500000000015</v>
      </c>
      <c r="DQ128">
        <v>26.1875</v>
      </c>
      <c r="DR128">
        <v>31</v>
      </c>
      <c r="DS128">
        <v>0.66109374999999981</v>
      </c>
      <c r="DT128">
        <v>2.4375</v>
      </c>
      <c r="DU128">
        <v>-7.820312500000004E-2</v>
      </c>
      <c r="DV128">
        <v>-0.44187500000000002</v>
      </c>
      <c r="DW128" t="s">
        <v>298</v>
      </c>
      <c r="DX128" t="s">
        <v>262</v>
      </c>
      <c r="DY128" t="s">
        <v>473</v>
      </c>
      <c r="DZ128">
        <v>20</v>
      </c>
      <c r="EA128">
        <v>-0.9099999999999997</v>
      </c>
      <c r="EB128">
        <v>13</v>
      </c>
      <c r="EC128">
        <v>13.75</v>
      </c>
      <c r="ED128">
        <v>13</v>
      </c>
      <c r="EE128">
        <v>1.0812499999999987</v>
      </c>
      <c r="EF128">
        <v>14</v>
      </c>
      <c r="EG128">
        <v>0.875</v>
      </c>
      <c r="EH128">
        <v>13</v>
      </c>
      <c r="EI128">
        <v>4.9375</v>
      </c>
      <c r="EJ128">
        <v>15</v>
      </c>
      <c r="EK128">
        <v>6.25E-2</v>
      </c>
      <c r="EL128">
        <v>18</v>
      </c>
      <c r="EM128">
        <v>19</v>
      </c>
      <c r="EN128">
        <v>15</v>
      </c>
      <c r="EO128">
        <v>0.31874999999999876</v>
      </c>
      <c r="EP128">
        <v>23</v>
      </c>
      <c r="EQ128">
        <v>-1.0625</v>
      </c>
      <c r="ER128">
        <v>9</v>
      </c>
      <c r="ES128">
        <v>10.1875</v>
      </c>
      <c r="ET128">
        <v>29</v>
      </c>
      <c r="EU128">
        <v>-1</v>
      </c>
      <c r="EV128">
        <v>12</v>
      </c>
      <c r="EW128">
        <v>12.666666666666666</v>
      </c>
      <c r="EX128">
        <v>13</v>
      </c>
      <c r="EY128">
        <v>0.76249999999999996</v>
      </c>
      <c r="EZ128">
        <v>4</v>
      </c>
      <c r="FA128">
        <v>1.9375</v>
      </c>
      <c r="FB128">
        <v>21</v>
      </c>
      <c r="FC128">
        <v>-5.25</v>
      </c>
      <c r="FD128">
        <v>4</v>
      </c>
      <c r="FE128">
        <v>1.0625</v>
      </c>
      <c r="FF128">
        <v>13</v>
      </c>
      <c r="FG128">
        <v>15</v>
      </c>
      <c r="FH128">
        <v>12</v>
      </c>
      <c r="FI128">
        <v>0.40625000000000133</v>
      </c>
      <c r="FJ128">
        <v>12</v>
      </c>
      <c r="FK128">
        <v>4.125</v>
      </c>
      <c r="FL128">
        <v>21</v>
      </c>
      <c r="FM128">
        <v>-0.9375</v>
      </c>
      <c r="FN128">
        <v>16</v>
      </c>
      <c r="FO128">
        <v>17.666666666666668</v>
      </c>
      <c r="FP128">
        <v>13</v>
      </c>
      <c r="FQ128">
        <v>-0.15625000000000022</v>
      </c>
      <c r="FR128">
        <v>11</v>
      </c>
      <c r="FS128">
        <v>1.4375</v>
      </c>
      <c r="FT128">
        <v>29</v>
      </c>
      <c r="FU128">
        <v>-1.25</v>
      </c>
      <c r="FV128">
        <v>10</v>
      </c>
      <c r="FW128">
        <v>11.666666666666666</v>
      </c>
      <c r="FX128">
        <v>9</v>
      </c>
      <c r="FY128">
        <v>1.6750000000000009</v>
      </c>
      <c r="FZ128">
        <v>10</v>
      </c>
      <c r="GA128">
        <v>7.9375</v>
      </c>
      <c r="GB128">
        <v>16</v>
      </c>
      <c r="GC128">
        <v>0</v>
      </c>
      <c r="GD128">
        <v>19</v>
      </c>
      <c r="GE128">
        <v>19</v>
      </c>
      <c r="GF128">
        <v>22</v>
      </c>
      <c r="GG128">
        <v>-1.1124999999999994</v>
      </c>
      <c r="GH128">
        <v>23</v>
      </c>
      <c r="GI128">
        <v>-5.25</v>
      </c>
      <c r="GJ128">
        <v>12</v>
      </c>
      <c r="GK128">
        <v>0.3125</v>
      </c>
      <c r="GL128">
        <v>18</v>
      </c>
      <c r="GM128">
        <v>17.666666666666668</v>
      </c>
      <c r="GN128">
        <v>14</v>
      </c>
      <c r="GO128">
        <v>0.5625</v>
      </c>
      <c r="GP128">
        <v>17</v>
      </c>
      <c r="GQ128">
        <v>-7.5</v>
      </c>
      <c r="GR128">
        <v>22</v>
      </c>
      <c r="GS128">
        <v>-0.75</v>
      </c>
      <c r="GT128">
        <v>24</v>
      </c>
      <c r="GU128">
        <v>20.666666666666668</v>
      </c>
      <c r="GV128">
        <v>13</v>
      </c>
      <c r="GW128">
        <v>-0.66875000000000062</v>
      </c>
      <c r="GX128">
        <v>27</v>
      </c>
      <c r="GY128">
        <v>-12.5</v>
      </c>
      <c r="GZ128">
        <v>22</v>
      </c>
      <c r="HA128">
        <v>-0.6875</v>
      </c>
      <c r="HB128">
        <v>6</v>
      </c>
      <c r="HC128">
        <v>6.5</v>
      </c>
      <c r="HD128">
        <v>4</v>
      </c>
      <c r="HE128">
        <v>2.375</v>
      </c>
      <c r="HF128">
        <v>9</v>
      </c>
      <c r="HG128">
        <v>0.625</v>
      </c>
      <c r="HH128">
        <v>3.875</v>
      </c>
      <c r="HI128">
        <v>18</v>
      </c>
      <c r="HJ128">
        <v>17.5</v>
      </c>
      <c r="HK128">
        <v>13</v>
      </c>
      <c r="HL128">
        <v>2.9435961909774211E-3</v>
      </c>
      <c r="HM128">
        <v>31</v>
      </c>
      <c r="HN128">
        <v>-2.2890877771233428E-2</v>
      </c>
      <c r="HO128">
        <v>6</v>
      </c>
      <c r="HP128">
        <v>-8.3404880937775691E-2</v>
      </c>
      <c r="HQ128">
        <v>20</v>
      </c>
      <c r="HR128">
        <v>-1.0625</v>
      </c>
      <c r="HS128">
        <v>0</v>
      </c>
      <c r="HT128">
        <v>3.9375</v>
      </c>
      <c r="HU128">
        <v>3</v>
      </c>
      <c r="HV128">
        <v>-6.875</v>
      </c>
      <c r="HW128">
        <v>-29.5625</v>
      </c>
      <c r="HX128">
        <v>22.5625</v>
      </c>
      <c r="HY128">
        <v>-7.125</v>
      </c>
      <c r="HZ128">
        <v>7.25</v>
      </c>
      <c r="IA128">
        <v>22</v>
      </c>
      <c r="IB128">
        <v>-1.9912499999999984</v>
      </c>
      <c r="IC128">
        <v>-0.77512499999999918</v>
      </c>
      <c r="ID128">
        <v>-52.125</v>
      </c>
      <c r="IE128">
        <v>11</v>
      </c>
      <c r="IF128">
        <v>0.28546874999999994</v>
      </c>
      <c r="IG128">
        <v>-1.625</v>
      </c>
    </row>
    <row r="129" spans="1:241" x14ac:dyDescent="0.2">
      <c r="A129" s="19">
        <v>44115</v>
      </c>
      <c r="B129" s="13" t="s">
        <v>381</v>
      </c>
      <c r="C129" s="41" t="s">
        <v>295</v>
      </c>
      <c r="D129" s="14" t="s">
        <v>301</v>
      </c>
      <c r="E129">
        <v>24.6</v>
      </c>
      <c r="F129">
        <v>3.6</v>
      </c>
      <c r="G129">
        <v>2.2999999999999998</v>
      </c>
      <c r="H129">
        <v>2.8</v>
      </c>
      <c r="I129">
        <v>-2.5</v>
      </c>
      <c r="J129">
        <v>53.5</v>
      </c>
      <c r="L129" t="s">
        <v>295</v>
      </c>
      <c r="M129">
        <v>22</v>
      </c>
      <c r="N129">
        <v>-1.4187499999999997</v>
      </c>
      <c r="O129">
        <v>20</v>
      </c>
      <c r="P129">
        <v>19</v>
      </c>
      <c r="Q129">
        <v>21</v>
      </c>
      <c r="R129">
        <v>-2.4375</v>
      </c>
      <c r="S129">
        <v>10</v>
      </c>
      <c r="T129">
        <v>1.625</v>
      </c>
      <c r="U129">
        <v>16</v>
      </c>
      <c r="V129">
        <v>3.625</v>
      </c>
      <c r="W129">
        <v>29</v>
      </c>
      <c r="X129">
        <v>-1.5625</v>
      </c>
      <c r="Y129">
        <v>21</v>
      </c>
      <c r="Z129">
        <v>21</v>
      </c>
      <c r="AA129">
        <v>22</v>
      </c>
      <c r="AB129">
        <v>-2.4562500000000003</v>
      </c>
      <c r="AC129">
        <v>5</v>
      </c>
      <c r="AD129">
        <v>3.375</v>
      </c>
      <c r="AE129">
        <v>12</v>
      </c>
      <c r="AF129">
        <v>8.375</v>
      </c>
      <c r="AG129">
        <v>29</v>
      </c>
      <c r="AH129">
        <v>-1.8125</v>
      </c>
      <c r="AI129">
        <v>17</v>
      </c>
      <c r="AJ129">
        <v>16</v>
      </c>
      <c r="AK129">
        <v>15</v>
      </c>
      <c r="AL129">
        <v>1.8750000000000044E-2</v>
      </c>
      <c r="AM129">
        <v>23</v>
      </c>
      <c r="AN129">
        <v>-1.75</v>
      </c>
      <c r="AO129">
        <v>19</v>
      </c>
      <c r="AP129">
        <v>-4.75</v>
      </c>
      <c r="AQ129">
        <v>14</v>
      </c>
      <c r="AR129">
        <v>0.25</v>
      </c>
      <c r="AS129">
        <v>6</v>
      </c>
      <c r="AT129">
        <v>8.6666666666666661</v>
      </c>
      <c r="AU129">
        <v>11</v>
      </c>
      <c r="AV129">
        <v>4.1137499999999969</v>
      </c>
      <c r="AW129">
        <v>8</v>
      </c>
      <c r="AX129">
        <v>18.3125</v>
      </c>
      <c r="AY129">
        <v>7</v>
      </c>
      <c r="AZ129">
        <v>2.6875</v>
      </c>
      <c r="BA129">
        <v>19</v>
      </c>
      <c r="BB129">
        <v>20.333333333333332</v>
      </c>
      <c r="BC129">
        <v>29</v>
      </c>
      <c r="BD129">
        <v>-4.7750000000000021</v>
      </c>
      <c r="BE129">
        <v>15</v>
      </c>
      <c r="BF129">
        <v>0.125</v>
      </c>
      <c r="BG129">
        <v>17</v>
      </c>
      <c r="BH129">
        <v>-0.1875</v>
      </c>
      <c r="BI129">
        <v>6</v>
      </c>
      <c r="BJ129">
        <v>8.3333333333333339</v>
      </c>
      <c r="BK129">
        <v>3</v>
      </c>
      <c r="BL129">
        <v>4.7262499999999994</v>
      </c>
      <c r="BM129">
        <v>12</v>
      </c>
      <c r="BN129">
        <v>3.9375</v>
      </c>
      <c r="BO129">
        <v>10</v>
      </c>
      <c r="BP129">
        <v>0.25</v>
      </c>
      <c r="BQ129">
        <v>1</v>
      </c>
      <c r="BR129">
        <v>2</v>
      </c>
      <c r="BS129">
        <v>1</v>
      </c>
      <c r="BT129">
        <v>4.1624999999999996</v>
      </c>
      <c r="BU129">
        <v>4</v>
      </c>
      <c r="BV129">
        <v>14.25</v>
      </c>
      <c r="BW129">
        <v>1</v>
      </c>
      <c r="BX129">
        <v>2.625</v>
      </c>
      <c r="BY129">
        <v>19</v>
      </c>
      <c r="BZ129">
        <v>19.666666666666668</v>
      </c>
      <c r="CA129">
        <v>21</v>
      </c>
      <c r="CB129">
        <v>-2.3499999999999996</v>
      </c>
      <c r="CC129">
        <v>19</v>
      </c>
      <c r="CD129">
        <v>-5.375</v>
      </c>
      <c r="CE129">
        <v>19</v>
      </c>
      <c r="CF129">
        <v>-0.625</v>
      </c>
      <c r="CG129">
        <v>12</v>
      </c>
      <c r="CH129">
        <v>12</v>
      </c>
      <c r="CI129">
        <v>11</v>
      </c>
      <c r="CJ129">
        <v>1.2124999999999995</v>
      </c>
      <c r="CK129">
        <v>16</v>
      </c>
      <c r="CL129">
        <v>1.5</v>
      </c>
      <c r="CM129">
        <v>9</v>
      </c>
      <c r="CN129">
        <v>0.875</v>
      </c>
      <c r="CO129">
        <v>14</v>
      </c>
      <c r="CP129">
        <v>14</v>
      </c>
      <c r="CQ129">
        <v>14</v>
      </c>
      <c r="CR129">
        <v>0.375</v>
      </c>
      <c r="CS129">
        <v>14</v>
      </c>
      <c r="CT129">
        <v>0</v>
      </c>
      <c r="CU129">
        <v>-1.0625</v>
      </c>
      <c r="CV129">
        <v>16</v>
      </c>
      <c r="CW129">
        <v>16.5</v>
      </c>
      <c r="CX129">
        <v>15</v>
      </c>
      <c r="CY129">
        <v>9.1791980700207526E-3</v>
      </c>
      <c r="CZ129">
        <v>17</v>
      </c>
      <c r="DA129">
        <v>-7.0396940944471298E-4</v>
      </c>
      <c r="DB129">
        <v>8</v>
      </c>
      <c r="DC129">
        <v>-6.3386093073593094E-2</v>
      </c>
      <c r="DD129">
        <v>26</v>
      </c>
      <c r="DE129">
        <v>-1.5</v>
      </c>
      <c r="DF129">
        <v>2.875</v>
      </c>
      <c r="DG129">
        <v>-0.25</v>
      </c>
      <c r="DH129">
        <v>-0.5625</v>
      </c>
      <c r="DI129">
        <v>1.625</v>
      </c>
      <c r="DJ129">
        <v>17.5</v>
      </c>
      <c r="DK129">
        <v>0.5</v>
      </c>
      <c r="DL129">
        <v>-5.4375</v>
      </c>
      <c r="DM129">
        <v>-10.9375</v>
      </c>
      <c r="DN129">
        <v>14</v>
      </c>
      <c r="DO129">
        <v>1.0187500000000005</v>
      </c>
      <c r="DP129">
        <v>2.0002499999999994</v>
      </c>
      <c r="DQ129">
        <v>17</v>
      </c>
      <c r="DR129">
        <v>19</v>
      </c>
      <c r="DS129">
        <v>0.23062499999999964</v>
      </c>
      <c r="DT129">
        <v>3.5625</v>
      </c>
      <c r="DU129">
        <v>0.85664062499999993</v>
      </c>
      <c r="DV129">
        <v>1.8645312500000002</v>
      </c>
      <c r="DW129" t="s">
        <v>301</v>
      </c>
      <c r="DX129" t="s">
        <v>279</v>
      </c>
      <c r="DY129" t="s">
        <v>484</v>
      </c>
      <c r="DZ129">
        <v>30</v>
      </c>
      <c r="EA129">
        <v>-5.6600000000000019</v>
      </c>
      <c r="EB129">
        <v>6</v>
      </c>
      <c r="EC129">
        <v>9.25</v>
      </c>
      <c r="ED129">
        <v>1</v>
      </c>
      <c r="EE129">
        <v>12.13125</v>
      </c>
      <c r="EF129">
        <v>22</v>
      </c>
      <c r="EG129">
        <v>-1.1875</v>
      </c>
      <c r="EH129">
        <v>12</v>
      </c>
      <c r="EI129">
        <v>7.125</v>
      </c>
      <c r="EJ129">
        <v>2</v>
      </c>
      <c r="EK129">
        <v>2.375</v>
      </c>
      <c r="EL129">
        <v>5</v>
      </c>
      <c r="EM129">
        <v>9</v>
      </c>
      <c r="EN129">
        <v>1</v>
      </c>
      <c r="EO129">
        <v>10.168749999999999</v>
      </c>
      <c r="EP129">
        <v>20</v>
      </c>
      <c r="EQ129">
        <v>-0.8125</v>
      </c>
      <c r="ER129">
        <v>13</v>
      </c>
      <c r="ES129">
        <v>1.5625</v>
      </c>
      <c r="ET129">
        <v>2</v>
      </c>
      <c r="EU129">
        <v>1.75</v>
      </c>
      <c r="EV129">
        <v>9</v>
      </c>
      <c r="EW129">
        <v>10.666666666666666</v>
      </c>
      <c r="EX129">
        <v>5</v>
      </c>
      <c r="EY129">
        <v>1.9624999999999999</v>
      </c>
      <c r="EZ129">
        <v>20</v>
      </c>
      <c r="FA129">
        <v>-0.375</v>
      </c>
      <c r="FB129">
        <v>7</v>
      </c>
      <c r="FC129">
        <v>5.5625</v>
      </c>
      <c r="FD129">
        <v>7</v>
      </c>
      <c r="FE129">
        <v>0.625</v>
      </c>
      <c r="FF129">
        <v>23</v>
      </c>
      <c r="FG129">
        <v>22.333333333333332</v>
      </c>
      <c r="FH129">
        <v>21</v>
      </c>
      <c r="FI129">
        <v>-3.5937499999999996</v>
      </c>
      <c r="FJ129">
        <v>26</v>
      </c>
      <c r="FK129">
        <v>-23</v>
      </c>
      <c r="FL129">
        <v>20</v>
      </c>
      <c r="FM129">
        <v>-0.875</v>
      </c>
      <c r="FN129">
        <v>8</v>
      </c>
      <c r="FO129">
        <v>7.666666666666667</v>
      </c>
      <c r="FP129">
        <v>8</v>
      </c>
      <c r="FQ129">
        <v>2.1125000000000003</v>
      </c>
      <c r="FR129">
        <v>10</v>
      </c>
      <c r="FS129">
        <v>2.1875</v>
      </c>
      <c r="FT129">
        <v>5</v>
      </c>
      <c r="FU129">
        <v>1.3125</v>
      </c>
      <c r="FV129">
        <v>27</v>
      </c>
      <c r="FW129">
        <v>25.666666666666668</v>
      </c>
      <c r="FX129">
        <v>26</v>
      </c>
      <c r="FY129">
        <v>-2.6812499999999999</v>
      </c>
      <c r="FZ129">
        <v>25</v>
      </c>
      <c r="GA129">
        <v>-7.8125</v>
      </c>
      <c r="GB129">
        <v>26</v>
      </c>
      <c r="GC129">
        <v>-1.0625</v>
      </c>
      <c r="GD129">
        <v>31</v>
      </c>
      <c r="GE129">
        <v>29.666666666666668</v>
      </c>
      <c r="GF129">
        <v>29</v>
      </c>
      <c r="GG129">
        <v>-3.0249999999999999</v>
      </c>
      <c r="GH129">
        <v>31</v>
      </c>
      <c r="GI129">
        <v>-17.375</v>
      </c>
      <c r="GJ129">
        <v>29</v>
      </c>
      <c r="GK129">
        <v>-1.125</v>
      </c>
      <c r="GL129">
        <v>8</v>
      </c>
      <c r="GM129">
        <v>10</v>
      </c>
      <c r="GN129">
        <v>10</v>
      </c>
      <c r="GO129">
        <v>1.3875000000000015</v>
      </c>
      <c r="GP129">
        <v>12</v>
      </c>
      <c r="GQ129">
        <v>5.125</v>
      </c>
      <c r="GR129">
        <v>8</v>
      </c>
      <c r="GS129">
        <v>0.75</v>
      </c>
      <c r="GT129">
        <v>25</v>
      </c>
      <c r="GU129">
        <v>24</v>
      </c>
      <c r="GV129">
        <v>25</v>
      </c>
      <c r="GW129">
        <v>-2.5875000000000004</v>
      </c>
      <c r="GX129">
        <v>24</v>
      </c>
      <c r="GY129">
        <v>-9.625</v>
      </c>
      <c r="GZ129">
        <v>23</v>
      </c>
      <c r="HA129">
        <v>-0.75</v>
      </c>
      <c r="HB129">
        <v>27</v>
      </c>
      <c r="HC129">
        <v>27.5</v>
      </c>
      <c r="HD129">
        <v>23</v>
      </c>
      <c r="HE129">
        <v>-1.5</v>
      </c>
      <c r="HF129">
        <v>32</v>
      </c>
      <c r="HG129">
        <v>-1.0625</v>
      </c>
      <c r="HH129">
        <v>-0.5625</v>
      </c>
      <c r="HI129">
        <v>26</v>
      </c>
      <c r="HJ129">
        <v>21.5</v>
      </c>
      <c r="HK129">
        <v>30</v>
      </c>
      <c r="HL129">
        <v>-6.008707674152057E-2</v>
      </c>
      <c r="HM129">
        <v>29</v>
      </c>
      <c r="HN129">
        <v>-2.2339042908225137E-2</v>
      </c>
      <c r="HO129">
        <v>2</v>
      </c>
      <c r="HP129">
        <v>-0.12933139164756813</v>
      </c>
      <c r="HQ129">
        <v>25</v>
      </c>
      <c r="HR129">
        <v>-1.9375</v>
      </c>
      <c r="HS129">
        <v>-2.8125</v>
      </c>
      <c r="HT129">
        <v>0.3125</v>
      </c>
      <c r="HU129">
        <v>-0.5625</v>
      </c>
      <c r="HV129">
        <v>-33.0625</v>
      </c>
      <c r="HW129">
        <v>-37.4375</v>
      </c>
      <c r="HX129">
        <v>2.125</v>
      </c>
      <c r="HY129">
        <v>1.5625</v>
      </c>
      <c r="HZ129">
        <v>0.6875</v>
      </c>
      <c r="IA129">
        <v>32</v>
      </c>
      <c r="IB129">
        <v>-17.791250000000002</v>
      </c>
      <c r="IC129">
        <v>-8.4338750000000005</v>
      </c>
      <c r="ID129">
        <v>-39.5625</v>
      </c>
      <c r="IE129">
        <v>1</v>
      </c>
      <c r="IF129">
        <v>-0.15125000000000027</v>
      </c>
      <c r="IG129">
        <v>-1.625</v>
      </c>
    </row>
    <row r="130" spans="1:241" x14ac:dyDescent="0.2">
      <c r="A130" s="19">
        <v>44115</v>
      </c>
      <c r="B130" s="13" t="s">
        <v>381</v>
      </c>
      <c r="C130" s="41" t="s">
        <v>305</v>
      </c>
      <c r="D130" s="14" t="s">
        <v>272</v>
      </c>
      <c r="E130">
        <v>19.8</v>
      </c>
      <c r="F130">
        <v>7.9</v>
      </c>
      <c r="G130">
        <v>0</v>
      </c>
      <c r="H130">
        <v>17.600000000000001</v>
      </c>
      <c r="I130">
        <v>-11.5</v>
      </c>
      <c r="J130">
        <v>50</v>
      </c>
      <c r="L130" t="s">
        <v>305</v>
      </c>
      <c r="M130">
        <v>12</v>
      </c>
      <c r="N130">
        <v>2.5000000000003908E-3</v>
      </c>
      <c r="O130">
        <v>32</v>
      </c>
      <c r="P130">
        <v>31.25</v>
      </c>
      <c r="Q130">
        <v>30</v>
      </c>
      <c r="R130">
        <v>-7.8062500000000004</v>
      </c>
      <c r="S130">
        <v>32</v>
      </c>
      <c r="T130">
        <v>-6.3125</v>
      </c>
      <c r="U130">
        <v>31</v>
      </c>
      <c r="V130">
        <v>-28</v>
      </c>
      <c r="W130">
        <v>32</v>
      </c>
      <c r="X130">
        <v>-3.125</v>
      </c>
      <c r="Y130">
        <v>32</v>
      </c>
      <c r="Z130">
        <v>31.333333333333332</v>
      </c>
      <c r="AA130">
        <v>32</v>
      </c>
      <c r="AB130">
        <v>-8.1875</v>
      </c>
      <c r="AC130">
        <v>30</v>
      </c>
      <c r="AD130">
        <v>-5.1875</v>
      </c>
      <c r="AE130">
        <v>31</v>
      </c>
      <c r="AF130">
        <v>-31.375</v>
      </c>
      <c r="AG130">
        <v>31</v>
      </c>
      <c r="AH130">
        <v>-2.0625</v>
      </c>
      <c r="AI130">
        <v>18</v>
      </c>
      <c r="AJ130">
        <v>16.333333333333332</v>
      </c>
      <c r="AK130">
        <v>13</v>
      </c>
      <c r="AL130">
        <v>0.38124999999999987</v>
      </c>
      <c r="AM130">
        <v>17</v>
      </c>
      <c r="AN130">
        <v>-1.125</v>
      </c>
      <c r="AO130">
        <v>8</v>
      </c>
      <c r="AP130">
        <v>3.375</v>
      </c>
      <c r="AQ130">
        <v>28</v>
      </c>
      <c r="AR130">
        <v>-1.0625</v>
      </c>
      <c r="AS130">
        <v>28</v>
      </c>
      <c r="AT130">
        <v>27.666666666666668</v>
      </c>
      <c r="AU130">
        <v>28</v>
      </c>
      <c r="AV130">
        <v>-7.9187500000000011</v>
      </c>
      <c r="AW130">
        <v>23</v>
      </c>
      <c r="AX130">
        <v>-25.0625</v>
      </c>
      <c r="AY130">
        <v>32</v>
      </c>
      <c r="AZ130">
        <v>-4.9375</v>
      </c>
      <c r="BA130">
        <v>29</v>
      </c>
      <c r="BB130">
        <v>27</v>
      </c>
      <c r="BC130">
        <v>30</v>
      </c>
      <c r="BD130">
        <v>-5.2062500000000007</v>
      </c>
      <c r="BE130">
        <v>24</v>
      </c>
      <c r="BF130">
        <v>-11.375</v>
      </c>
      <c r="BG130">
        <v>27</v>
      </c>
      <c r="BH130">
        <v>-1.625</v>
      </c>
      <c r="BI130">
        <v>26</v>
      </c>
      <c r="BJ130">
        <v>23.666666666666668</v>
      </c>
      <c r="BK130">
        <v>22</v>
      </c>
      <c r="BL130">
        <v>-1.9</v>
      </c>
      <c r="BM130">
        <v>18</v>
      </c>
      <c r="BN130">
        <v>-8</v>
      </c>
      <c r="BO130">
        <v>31</v>
      </c>
      <c r="BP130">
        <v>-2</v>
      </c>
      <c r="BQ130">
        <v>23</v>
      </c>
      <c r="BR130">
        <v>22</v>
      </c>
      <c r="BS130">
        <v>18</v>
      </c>
      <c r="BT130">
        <v>-0.81249999999999978</v>
      </c>
      <c r="BU130">
        <v>23</v>
      </c>
      <c r="BV130">
        <v>-5.6875</v>
      </c>
      <c r="BW130">
        <v>25</v>
      </c>
      <c r="BX130">
        <v>-1.3125</v>
      </c>
      <c r="BY130">
        <v>24</v>
      </c>
      <c r="BZ130">
        <v>23.333333333333332</v>
      </c>
      <c r="CA130">
        <v>22</v>
      </c>
      <c r="CB130">
        <v>-2.8000000000000007</v>
      </c>
      <c r="CC130">
        <v>20</v>
      </c>
      <c r="CD130">
        <v>-6.125</v>
      </c>
      <c r="CE130">
        <v>28</v>
      </c>
      <c r="CF130">
        <v>-1.8125</v>
      </c>
      <c r="CG130">
        <v>17</v>
      </c>
      <c r="CH130">
        <v>19.666666666666668</v>
      </c>
      <c r="CI130">
        <v>16</v>
      </c>
      <c r="CJ130">
        <v>0.40625000000000067</v>
      </c>
      <c r="CK130">
        <v>20</v>
      </c>
      <c r="CL130">
        <v>-5.9375</v>
      </c>
      <c r="CM130">
        <v>23</v>
      </c>
      <c r="CN130">
        <v>-0.9375</v>
      </c>
      <c r="CO130">
        <v>4</v>
      </c>
      <c r="CP130">
        <v>6</v>
      </c>
      <c r="CQ130">
        <v>3</v>
      </c>
      <c r="CR130">
        <v>2.625</v>
      </c>
      <c r="CS130">
        <v>9</v>
      </c>
      <c r="CT130">
        <v>0.25</v>
      </c>
      <c r="CU130">
        <v>5</v>
      </c>
      <c r="CV130">
        <v>12</v>
      </c>
      <c r="CW130">
        <v>14</v>
      </c>
      <c r="CX130">
        <v>6</v>
      </c>
      <c r="CY130">
        <v>4.3100296046459208E-2</v>
      </c>
      <c r="CZ130">
        <v>10</v>
      </c>
      <c r="DA130">
        <v>1.0875371033466317E-2</v>
      </c>
      <c r="DB130">
        <v>12</v>
      </c>
      <c r="DC130">
        <v>-1.0348505661005675E-2</v>
      </c>
      <c r="DD130">
        <v>28</v>
      </c>
      <c r="DE130">
        <v>-2.0625</v>
      </c>
      <c r="DF130">
        <v>-9.625</v>
      </c>
      <c r="DG130">
        <v>0.75</v>
      </c>
      <c r="DH130">
        <v>2.625</v>
      </c>
      <c r="DI130">
        <v>-35.3125</v>
      </c>
      <c r="DJ130">
        <v>-55.125</v>
      </c>
      <c r="DK130">
        <v>-9.9375</v>
      </c>
      <c r="DL130">
        <v>-4.625</v>
      </c>
      <c r="DM130">
        <v>34.375</v>
      </c>
      <c r="DN130">
        <v>5</v>
      </c>
      <c r="DO130">
        <v>7.8087500000000016</v>
      </c>
      <c r="DP130">
        <v>2.4011250000000004</v>
      </c>
      <c r="DQ130">
        <v>-45.1875</v>
      </c>
      <c r="DR130">
        <v>28</v>
      </c>
      <c r="DS130">
        <v>-1.58640625</v>
      </c>
      <c r="DT130">
        <v>-5.875</v>
      </c>
      <c r="DU130">
        <v>-5.1171874999999811E-2</v>
      </c>
      <c r="DV130">
        <v>-0.60124999999999984</v>
      </c>
      <c r="DW130" t="s">
        <v>272</v>
      </c>
      <c r="DX130" t="s">
        <v>277</v>
      </c>
      <c r="DY130" t="s">
        <v>528</v>
      </c>
      <c r="DZ130">
        <v>18</v>
      </c>
      <c r="EA130">
        <v>-0.12249999999999872</v>
      </c>
      <c r="EB130">
        <v>12</v>
      </c>
      <c r="EC130">
        <v>13.5</v>
      </c>
      <c r="ED130">
        <v>15</v>
      </c>
      <c r="EE130">
        <v>0.75625000000000009</v>
      </c>
      <c r="EF130">
        <v>5</v>
      </c>
      <c r="EG130">
        <v>3.125</v>
      </c>
      <c r="EH130">
        <v>5</v>
      </c>
      <c r="EI130">
        <v>26.8125</v>
      </c>
      <c r="EJ130">
        <v>29</v>
      </c>
      <c r="EK130">
        <v>-1.6875</v>
      </c>
      <c r="EL130">
        <v>5</v>
      </c>
      <c r="EM130">
        <v>9</v>
      </c>
      <c r="EN130">
        <v>16</v>
      </c>
      <c r="EO130">
        <v>-0.1875</v>
      </c>
      <c r="EP130">
        <v>1</v>
      </c>
      <c r="EQ130">
        <v>4.5625</v>
      </c>
      <c r="ER130">
        <v>5</v>
      </c>
      <c r="ES130">
        <v>21.5625</v>
      </c>
      <c r="ET130">
        <v>14</v>
      </c>
      <c r="EU130">
        <v>0</v>
      </c>
      <c r="EV130">
        <v>16</v>
      </c>
      <c r="EW130">
        <v>14.333333333333334</v>
      </c>
      <c r="EX130">
        <v>9</v>
      </c>
      <c r="EY130">
        <v>0.94375000000000009</v>
      </c>
      <c r="EZ130">
        <v>26</v>
      </c>
      <c r="FA130">
        <v>-1.4375</v>
      </c>
      <c r="FB130">
        <v>8</v>
      </c>
      <c r="FC130">
        <v>5.25</v>
      </c>
      <c r="FD130">
        <v>32</v>
      </c>
      <c r="FE130">
        <v>-1.6875</v>
      </c>
      <c r="FF130">
        <v>7</v>
      </c>
      <c r="FG130">
        <v>8</v>
      </c>
      <c r="FH130">
        <v>10</v>
      </c>
      <c r="FI130">
        <v>1.5887499999999997</v>
      </c>
      <c r="FJ130">
        <v>6</v>
      </c>
      <c r="FK130">
        <v>17.0625</v>
      </c>
      <c r="FL130">
        <v>8</v>
      </c>
      <c r="FM130">
        <v>1</v>
      </c>
      <c r="FN130">
        <v>10</v>
      </c>
      <c r="FO130">
        <v>9.3333333333333339</v>
      </c>
      <c r="FP130">
        <v>7</v>
      </c>
      <c r="FQ130">
        <v>3</v>
      </c>
      <c r="FR130">
        <v>9</v>
      </c>
      <c r="FS130">
        <v>5.75</v>
      </c>
      <c r="FT130">
        <v>12</v>
      </c>
      <c r="FU130">
        <v>0.125</v>
      </c>
      <c r="FV130">
        <v>14</v>
      </c>
      <c r="FW130">
        <v>14.333333333333334</v>
      </c>
      <c r="FX130">
        <v>20</v>
      </c>
      <c r="FY130">
        <v>-1.1550000000000002</v>
      </c>
      <c r="FZ130">
        <v>13</v>
      </c>
      <c r="GA130">
        <v>7.1875</v>
      </c>
      <c r="GB130">
        <v>10</v>
      </c>
      <c r="GC130">
        <v>0.625</v>
      </c>
      <c r="GD130">
        <v>11</v>
      </c>
      <c r="GE130">
        <v>12.333333333333334</v>
      </c>
      <c r="GF130">
        <v>16</v>
      </c>
      <c r="GG130">
        <v>-0.25624999999999998</v>
      </c>
      <c r="GH130">
        <v>8</v>
      </c>
      <c r="GI130">
        <v>4.125</v>
      </c>
      <c r="GJ130">
        <v>13</v>
      </c>
      <c r="GK130">
        <v>0.25</v>
      </c>
      <c r="GL130">
        <v>16</v>
      </c>
      <c r="GM130">
        <v>15.666666666666666</v>
      </c>
      <c r="GN130">
        <v>22</v>
      </c>
      <c r="GO130">
        <v>-2.0312499999999987</v>
      </c>
      <c r="GP130">
        <v>14</v>
      </c>
      <c r="GQ130">
        <v>0.9375</v>
      </c>
      <c r="GR130">
        <v>11</v>
      </c>
      <c r="GS130">
        <v>0.375</v>
      </c>
      <c r="GT130">
        <v>10</v>
      </c>
      <c r="GU130">
        <v>12.666666666666666</v>
      </c>
      <c r="GV130">
        <v>19</v>
      </c>
      <c r="GW130">
        <v>-1.2937499999999995</v>
      </c>
      <c r="GX130">
        <v>13</v>
      </c>
      <c r="GY130">
        <v>2.9375</v>
      </c>
      <c r="GZ130">
        <v>6</v>
      </c>
      <c r="HA130">
        <v>1.3125</v>
      </c>
      <c r="HB130">
        <v>1</v>
      </c>
      <c r="HC130">
        <v>1.5</v>
      </c>
      <c r="HD130">
        <v>2</v>
      </c>
      <c r="HE130">
        <v>3.0625</v>
      </c>
      <c r="HF130">
        <v>1</v>
      </c>
      <c r="HG130">
        <v>1.1875</v>
      </c>
      <c r="HH130">
        <v>1.0625</v>
      </c>
      <c r="HI130">
        <v>32</v>
      </c>
      <c r="HJ130">
        <v>26.5</v>
      </c>
      <c r="HK130">
        <v>28</v>
      </c>
      <c r="HL130">
        <v>-4.8340826283538585E-2</v>
      </c>
      <c r="HM130">
        <v>27</v>
      </c>
      <c r="HN130">
        <v>-2.051037110311078E-2</v>
      </c>
      <c r="HO130">
        <v>22</v>
      </c>
      <c r="HP130">
        <v>3.676802160258047E-2</v>
      </c>
      <c r="HQ130">
        <v>29</v>
      </c>
      <c r="HR130">
        <v>-2.8125</v>
      </c>
      <c r="HS130">
        <v>3.25</v>
      </c>
      <c r="HT130">
        <v>1.5</v>
      </c>
      <c r="HU130">
        <v>-0.875</v>
      </c>
      <c r="HV130">
        <v>27.0625</v>
      </c>
      <c r="HW130">
        <v>4.75</v>
      </c>
      <c r="HX130">
        <v>24.125</v>
      </c>
      <c r="HY130">
        <v>-8.4375</v>
      </c>
      <c r="HZ130">
        <v>6.625</v>
      </c>
      <c r="IA130">
        <v>20</v>
      </c>
      <c r="IB130">
        <v>-0.87874999999999881</v>
      </c>
      <c r="IC130">
        <v>-0.34362499999999974</v>
      </c>
      <c r="ID130">
        <v>-19.375</v>
      </c>
      <c r="IE130">
        <v>13</v>
      </c>
      <c r="IF130">
        <v>0.49890625000000022</v>
      </c>
      <c r="IG130">
        <v>2.3125</v>
      </c>
    </row>
    <row r="131" spans="1:241" x14ac:dyDescent="0.2">
      <c r="A131" s="19">
        <v>44115</v>
      </c>
      <c r="B131" s="13" t="s">
        <v>381</v>
      </c>
      <c r="C131" s="41" t="s">
        <v>276</v>
      </c>
      <c r="D131" s="14" t="s">
        <v>310</v>
      </c>
      <c r="E131">
        <v>23.6</v>
      </c>
      <c r="F131">
        <v>11.3</v>
      </c>
      <c r="G131">
        <v>10.8</v>
      </c>
      <c r="H131">
        <v>2.5</v>
      </c>
      <c r="I131">
        <v>-3</v>
      </c>
      <c r="J131">
        <v>52</v>
      </c>
      <c r="K131" t="s">
        <v>734</v>
      </c>
      <c r="L131" t="s">
        <v>276</v>
      </c>
      <c r="M131">
        <v>1</v>
      </c>
      <c r="N131">
        <v>12.465000000000002</v>
      </c>
      <c r="O131">
        <v>30</v>
      </c>
      <c r="P131">
        <v>25</v>
      </c>
      <c r="Q131">
        <v>32</v>
      </c>
      <c r="R131">
        <v>-9.2312499999999993</v>
      </c>
      <c r="S131">
        <v>23</v>
      </c>
      <c r="T131">
        <v>-1.6875</v>
      </c>
      <c r="U131">
        <v>28</v>
      </c>
      <c r="V131">
        <v>-19.4375</v>
      </c>
      <c r="W131">
        <v>17</v>
      </c>
      <c r="X131">
        <v>-0.3125</v>
      </c>
      <c r="Y131">
        <v>25</v>
      </c>
      <c r="Z131">
        <v>22.333333333333332</v>
      </c>
      <c r="AA131">
        <v>30</v>
      </c>
      <c r="AB131">
        <v>-7.1124999999999998</v>
      </c>
      <c r="AC131">
        <v>25</v>
      </c>
      <c r="AD131">
        <v>-1.625</v>
      </c>
      <c r="AE131">
        <v>28</v>
      </c>
      <c r="AF131">
        <v>-14.625</v>
      </c>
      <c r="AG131">
        <v>9</v>
      </c>
      <c r="AH131">
        <v>0.5625</v>
      </c>
      <c r="AI131">
        <v>26</v>
      </c>
      <c r="AJ131">
        <v>22.666666666666668</v>
      </c>
      <c r="AK131">
        <v>23</v>
      </c>
      <c r="AL131">
        <v>-2.1187500000000004</v>
      </c>
      <c r="AM131">
        <v>13</v>
      </c>
      <c r="AN131">
        <v>-6.25E-2</v>
      </c>
      <c r="AO131">
        <v>20</v>
      </c>
      <c r="AP131">
        <v>-4.8125</v>
      </c>
      <c r="AQ131">
        <v>25</v>
      </c>
      <c r="AR131">
        <v>-0.875</v>
      </c>
      <c r="AS131">
        <v>1</v>
      </c>
      <c r="AT131">
        <v>2</v>
      </c>
      <c r="AU131">
        <v>1</v>
      </c>
      <c r="AV131">
        <v>15.906250000000002</v>
      </c>
      <c r="AW131">
        <v>1</v>
      </c>
      <c r="AX131">
        <v>74.5</v>
      </c>
      <c r="AY131">
        <v>4</v>
      </c>
      <c r="AZ131">
        <v>3.8125</v>
      </c>
      <c r="BA131">
        <v>1</v>
      </c>
      <c r="BB131">
        <v>2.3333333333333335</v>
      </c>
      <c r="BC131">
        <v>1</v>
      </c>
      <c r="BD131">
        <v>7.2062500000000007</v>
      </c>
      <c r="BE131">
        <v>1</v>
      </c>
      <c r="BF131">
        <v>28.9375</v>
      </c>
      <c r="BG131">
        <v>5</v>
      </c>
      <c r="BH131">
        <v>1.75</v>
      </c>
      <c r="BI131">
        <v>3</v>
      </c>
      <c r="BJ131">
        <v>4.333333333333333</v>
      </c>
      <c r="BK131">
        <v>4</v>
      </c>
      <c r="BL131">
        <v>4.5812499999999998</v>
      </c>
      <c r="BM131">
        <v>5</v>
      </c>
      <c r="BN131">
        <v>22.6875</v>
      </c>
      <c r="BO131">
        <v>4</v>
      </c>
      <c r="BP131">
        <v>1.125</v>
      </c>
      <c r="BQ131">
        <v>3</v>
      </c>
      <c r="BR131">
        <v>4.333333333333333</v>
      </c>
      <c r="BS131">
        <v>2</v>
      </c>
      <c r="BT131">
        <v>4.1187500000000004</v>
      </c>
      <c r="BU131">
        <v>1</v>
      </c>
      <c r="BV131">
        <v>22.875</v>
      </c>
      <c r="BW131">
        <v>10</v>
      </c>
      <c r="BX131">
        <v>0.9375</v>
      </c>
      <c r="BY131">
        <v>2</v>
      </c>
      <c r="BZ131">
        <v>3.6666666666666665</v>
      </c>
      <c r="CA131">
        <v>3</v>
      </c>
      <c r="CB131">
        <v>7.7374999999999989</v>
      </c>
      <c r="CC131">
        <v>2</v>
      </c>
      <c r="CD131">
        <v>38</v>
      </c>
      <c r="CE131">
        <v>6</v>
      </c>
      <c r="CF131">
        <v>2.125</v>
      </c>
      <c r="CG131">
        <v>17</v>
      </c>
      <c r="CH131">
        <v>19.666666666666668</v>
      </c>
      <c r="CI131">
        <v>18</v>
      </c>
      <c r="CJ131">
        <v>-0.29375000000000018</v>
      </c>
      <c r="CK131">
        <v>17</v>
      </c>
      <c r="CL131">
        <v>-1.0625</v>
      </c>
      <c r="CM131">
        <v>24</v>
      </c>
      <c r="CN131">
        <v>-1</v>
      </c>
      <c r="CO131">
        <v>27</v>
      </c>
      <c r="CP131">
        <v>25.5</v>
      </c>
      <c r="CQ131">
        <v>26</v>
      </c>
      <c r="CR131">
        <v>-1.5</v>
      </c>
      <c r="CS131">
        <v>25</v>
      </c>
      <c r="CT131">
        <v>-0.3125</v>
      </c>
      <c r="CU131">
        <v>-1.125</v>
      </c>
      <c r="CV131">
        <v>14</v>
      </c>
      <c r="CW131">
        <v>15.75</v>
      </c>
      <c r="CX131">
        <v>9</v>
      </c>
      <c r="CY131">
        <v>2.4677026763919085E-2</v>
      </c>
      <c r="CZ131">
        <v>15</v>
      </c>
      <c r="DA131">
        <v>6.1228173837947486E-4</v>
      </c>
      <c r="DB131">
        <v>14</v>
      </c>
      <c r="DC131">
        <v>-4.2287573537573564E-3</v>
      </c>
      <c r="DD131">
        <v>25</v>
      </c>
      <c r="DE131">
        <v>-1.1875</v>
      </c>
      <c r="DF131">
        <v>0.6875</v>
      </c>
      <c r="DG131">
        <v>5.5</v>
      </c>
      <c r="DH131">
        <v>-1.4375</v>
      </c>
      <c r="DI131">
        <v>30.25</v>
      </c>
      <c r="DJ131">
        <v>66.8125</v>
      </c>
      <c r="DK131">
        <v>-35.375</v>
      </c>
      <c r="DL131">
        <v>-1.3125</v>
      </c>
      <c r="DM131">
        <v>0.125</v>
      </c>
      <c r="DN131">
        <v>1</v>
      </c>
      <c r="DO131">
        <v>21.696249999999999</v>
      </c>
      <c r="DP131">
        <v>10.231125</v>
      </c>
      <c r="DQ131">
        <v>102.1875</v>
      </c>
      <c r="DR131">
        <v>32</v>
      </c>
      <c r="DS131">
        <v>2.1682812500000002</v>
      </c>
      <c r="DT131">
        <v>2.8125</v>
      </c>
      <c r="DU131">
        <v>1.5485937500000004</v>
      </c>
      <c r="DV131">
        <v>1.8190625</v>
      </c>
      <c r="DW131" t="s">
        <v>310</v>
      </c>
      <c r="DX131" t="s">
        <v>286</v>
      </c>
      <c r="DY131" t="s">
        <v>479</v>
      </c>
      <c r="DZ131">
        <v>4</v>
      </c>
      <c r="EA131">
        <v>3.800000000000002</v>
      </c>
      <c r="EB131">
        <v>2</v>
      </c>
      <c r="EC131">
        <v>7</v>
      </c>
      <c r="ED131">
        <v>7</v>
      </c>
      <c r="EE131">
        <v>3.7250000000000014</v>
      </c>
      <c r="EF131">
        <v>6</v>
      </c>
      <c r="EG131">
        <v>3.0833333333333335</v>
      </c>
      <c r="EH131">
        <v>3</v>
      </c>
      <c r="EI131">
        <v>42.916666666666671</v>
      </c>
      <c r="EJ131">
        <v>12</v>
      </c>
      <c r="EK131">
        <v>0.33333333333333337</v>
      </c>
      <c r="EL131">
        <v>4</v>
      </c>
      <c r="EM131">
        <v>7.25</v>
      </c>
      <c r="EN131">
        <v>7</v>
      </c>
      <c r="EO131">
        <v>2.7000000000000015</v>
      </c>
      <c r="EP131">
        <v>12</v>
      </c>
      <c r="EQ131">
        <v>1</v>
      </c>
      <c r="ER131">
        <v>1</v>
      </c>
      <c r="ES131">
        <v>37.833333333333336</v>
      </c>
      <c r="ET131">
        <v>9</v>
      </c>
      <c r="EU131">
        <v>0.58333333333333337</v>
      </c>
      <c r="EV131">
        <v>4</v>
      </c>
      <c r="EW131">
        <v>6.666666666666667</v>
      </c>
      <c r="EX131">
        <v>7</v>
      </c>
      <c r="EY131">
        <v>1.0249999999999997</v>
      </c>
      <c r="EZ131">
        <v>3</v>
      </c>
      <c r="FA131">
        <v>2.0833333333333335</v>
      </c>
      <c r="FB131">
        <v>10</v>
      </c>
      <c r="FC131">
        <v>5.083333333333333</v>
      </c>
      <c r="FD131">
        <v>22</v>
      </c>
      <c r="FE131">
        <v>-0.25</v>
      </c>
      <c r="FF131">
        <v>16</v>
      </c>
      <c r="FG131">
        <v>15.333333333333334</v>
      </c>
      <c r="FH131">
        <v>14</v>
      </c>
      <c r="FI131">
        <v>-0.54999999999999893</v>
      </c>
      <c r="FJ131">
        <v>13</v>
      </c>
      <c r="FK131">
        <v>2.6666666666666643</v>
      </c>
      <c r="FL131">
        <v>19</v>
      </c>
      <c r="FM131">
        <v>-0.83333333333333326</v>
      </c>
      <c r="FN131">
        <v>30</v>
      </c>
      <c r="FO131">
        <v>27.333333333333332</v>
      </c>
      <c r="FP131">
        <v>31</v>
      </c>
      <c r="FQ131">
        <v>-4.1666666666666661</v>
      </c>
      <c r="FR131">
        <v>24</v>
      </c>
      <c r="FS131">
        <v>-6.916666666666667</v>
      </c>
      <c r="FT131">
        <v>27</v>
      </c>
      <c r="FU131">
        <v>-1</v>
      </c>
      <c r="FV131">
        <v>2</v>
      </c>
      <c r="FW131">
        <v>2.6666666666666665</v>
      </c>
      <c r="FX131">
        <v>3</v>
      </c>
      <c r="FY131">
        <v>4.8666666666666671</v>
      </c>
      <c r="FZ131">
        <v>3</v>
      </c>
      <c r="GA131">
        <v>19.083333333333332</v>
      </c>
      <c r="GB131">
        <v>2</v>
      </c>
      <c r="GC131">
        <v>1.5</v>
      </c>
      <c r="GD131">
        <v>28</v>
      </c>
      <c r="GE131">
        <v>26.666666666666668</v>
      </c>
      <c r="GF131">
        <v>23</v>
      </c>
      <c r="GG131">
        <v>-1.25</v>
      </c>
      <c r="GH131">
        <v>27</v>
      </c>
      <c r="GI131">
        <v>-9.5</v>
      </c>
      <c r="GJ131">
        <v>30</v>
      </c>
      <c r="GK131">
        <v>-1.3333333333333333</v>
      </c>
      <c r="GL131">
        <v>5</v>
      </c>
      <c r="GM131">
        <v>5</v>
      </c>
      <c r="GN131">
        <v>5</v>
      </c>
      <c r="GO131">
        <v>4.3166666666666673</v>
      </c>
      <c r="GP131">
        <v>4</v>
      </c>
      <c r="GQ131">
        <v>26.5</v>
      </c>
      <c r="GR131">
        <v>6</v>
      </c>
      <c r="GS131">
        <v>0.83333333333333337</v>
      </c>
      <c r="GT131">
        <v>6</v>
      </c>
      <c r="GU131">
        <v>6.666666666666667</v>
      </c>
      <c r="GV131">
        <v>4</v>
      </c>
      <c r="GW131">
        <v>5.666666666666667</v>
      </c>
      <c r="GX131">
        <v>6</v>
      </c>
      <c r="GY131">
        <v>12.5</v>
      </c>
      <c r="GZ131">
        <v>10</v>
      </c>
      <c r="HA131">
        <v>0.75</v>
      </c>
      <c r="HB131">
        <v>30</v>
      </c>
      <c r="HC131">
        <v>28.5</v>
      </c>
      <c r="HD131">
        <v>29</v>
      </c>
      <c r="HE131">
        <v>-2.4166666666666665</v>
      </c>
      <c r="HF131">
        <v>28</v>
      </c>
      <c r="HG131">
        <v>-0.75</v>
      </c>
      <c r="HH131">
        <v>-0.58333333333333337</v>
      </c>
      <c r="HI131">
        <v>25</v>
      </c>
      <c r="HJ131">
        <v>21</v>
      </c>
      <c r="HK131">
        <v>10</v>
      </c>
      <c r="HL131">
        <v>1.0428175576808049E-2</v>
      </c>
      <c r="HM131">
        <v>32</v>
      </c>
      <c r="HN131">
        <v>-3.7584210383081802E-2</v>
      </c>
      <c r="HO131">
        <v>10</v>
      </c>
      <c r="HP131">
        <v>-5.5259676970203252E-2</v>
      </c>
      <c r="HQ131">
        <v>32</v>
      </c>
      <c r="HR131">
        <v>-3.0833333333333335</v>
      </c>
      <c r="HS131">
        <v>1</v>
      </c>
      <c r="HT131">
        <v>1.0833333333333333</v>
      </c>
      <c r="HU131">
        <v>0</v>
      </c>
      <c r="HV131">
        <v>70.25</v>
      </c>
      <c r="HW131">
        <v>20</v>
      </c>
      <c r="HX131">
        <v>42.416666666666664</v>
      </c>
      <c r="HY131">
        <v>7.666666666666667</v>
      </c>
      <c r="HZ131">
        <v>0.16666666666666666</v>
      </c>
      <c r="IA131">
        <v>16</v>
      </c>
      <c r="IB131">
        <v>7.5000000000000622E-2</v>
      </c>
      <c r="IC131">
        <v>-7.9166666666666385E-2</v>
      </c>
      <c r="ID131">
        <v>-22.416666666666664</v>
      </c>
      <c r="IE131">
        <v>17</v>
      </c>
      <c r="IF131">
        <v>1.2781250000000008</v>
      </c>
      <c r="IG131">
        <v>-8.3333333333333259E-2</v>
      </c>
    </row>
    <row r="132" spans="1:241" x14ac:dyDescent="0.2">
      <c r="A132" s="19">
        <v>44115</v>
      </c>
      <c r="B132" s="13" t="s">
        <v>381</v>
      </c>
      <c r="C132" s="41" t="s">
        <v>301</v>
      </c>
      <c r="D132" s="14" t="s">
        <v>295</v>
      </c>
      <c r="E132">
        <v>22.5</v>
      </c>
      <c r="F132">
        <v>19.3</v>
      </c>
      <c r="G132">
        <v>11.4</v>
      </c>
      <c r="H132">
        <v>0</v>
      </c>
      <c r="I132">
        <v>2.5</v>
      </c>
      <c r="J132">
        <v>53.5</v>
      </c>
      <c r="L132" t="s">
        <v>301</v>
      </c>
      <c r="M132">
        <v>17</v>
      </c>
      <c r="N132">
        <v>-0.88375000000000137</v>
      </c>
      <c r="O132">
        <v>7</v>
      </c>
      <c r="P132">
        <v>8.75</v>
      </c>
      <c r="Q132">
        <v>5</v>
      </c>
      <c r="R132">
        <v>6.6124999999999989</v>
      </c>
      <c r="S132">
        <v>8</v>
      </c>
      <c r="T132">
        <v>2.5625</v>
      </c>
      <c r="U132">
        <v>14</v>
      </c>
      <c r="V132">
        <v>8.5</v>
      </c>
      <c r="W132">
        <v>8</v>
      </c>
      <c r="X132">
        <v>0.5625</v>
      </c>
      <c r="Y132">
        <v>5</v>
      </c>
      <c r="Z132">
        <v>9</v>
      </c>
      <c r="AA132">
        <v>4</v>
      </c>
      <c r="AB132">
        <v>5.6937499999999996</v>
      </c>
      <c r="AC132">
        <v>7</v>
      </c>
      <c r="AD132">
        <v>3.25</v>
      </c>
      <c r="AE132">
        <v>9</v>
      </c>
      <c r="AF132">
        <v>13.5625</v>
      </c>
      <c r="AG132">
        <v>14</v>
      </c>
      <c r="AH132">
        <v>0.3125</v>
      </c>
      <c r="AI132">
        <v>14</v>
      </c>
      <c r="AJ132">
        <v>15.333333333333334</v>
      </c>
      <c r="AK132">
        <v>11</v>
      </c>
      <c r="AL132">
        <v>0.91874999999999951</v>
      </c>
      <c r="AM132">
        <v>16</v>
      </c>
      <c r="AN132">
        <v>-0.6875</v>
      </c>
      <c r="AO132">
        <v>21</v>
      </c>
      <c r="AP132">
        <v>-5.0625</v>
      </c>
      <c r="AQ132">
        <v>14</v>
      </c>
      <c r="AR132">
        <v>0.25</v>
      </c>
      <c r="AS132">
        <v>2</v>
      </c>
      <c r="AT132">
        <v>3</v>
      </c>
      <c r="AU132">
        <v>5</v>
      </c>
      <c r="AV132">
        <v>8.0500000000000007</v>
      </c>
      <c r="AW132">
        <v>2</v>
      </c>
      <c r="AX132">
        <v>53.125</v>
      </c>
      <c r="AY132">
        <v>2</v>
      </c>
      <c r="AZ132">
        <v>4</v>
      </c>
      <c r="BA132">
        <v>6</v>
      </c>
      <c r="BB132">
        <v>6.666666666666667</v>
      </c>
      <c r="BC132">
        <v>5</v>
      </c>
      <c r="BD132">
        <v>3.71875</v>
      </c>
      <c r="BE132">
        <v>4</v>
      </c>
      <c r="BF132">
        <v>20.5625</v>
      </c>
      <c r="BG132">
        <v>11</v>
      </c>
      <c r="BH132">
        <v>0.625</v>
      </c>
      <c r="BI132">
        <v>2</v>
      </c>
      <c r="BJ132">
        <v>4</v>
      </c>
      <c r="BK132">
        <v>7</v>
      </c>
      <c r="BL132">
        <v>2.4312499999999999</v>
      </c>
      <c r="BM132">
        <v>4</v>
      </c>
      <c r="BN132">
        <v>23.25</v>
      </c>
      <c r="BO132">
        <v>1</v>
      </c>
      <c r="BP132">
        <v>2.75</v>
      </c>
      <c r="BQ132">
        <v>9</v>
      </c>
      <c r="BR132">
        <v>10.333333333333334</v>
      </c>
      <c r="BS132">
        <v>11</v>
      </c>
      <c r="BT132">
        <v>1.9</v>
      </c>
      <c r="BU132">
        <v>9</v>
      </c>
      <c r="BV132">
        <v>9.3125</v>
      </c>
      <c r="BW132">
        <v>11</v>
      </c>
      <c r="BX132">
        <v>0.625</v>
      </c>
      <c r="BY132">
        <v>4</v>
      </c>
      <c r="BZ132">
        <v>5.333333333333333</v>
      </c>
      <c r="CA132">
        <v>10</v>
      </c>
      <c r="CB132">
        <v>3.2312500000000002</v>
      </c>
      <c r="CC132">
        <v>3</v>
      </c>
      <c r="CD132">
        <v>30.4375</v>
      </c>
      <c r="CE132">
        <v>3</v>
      </c>
      <c r="CF132">
        <v>2.9375</v>
      </c>
      <c r="CG132">
        <v>32</v>
      </c>
      <c r="CH132">
        <v>31</v>
      </c>
      <c r="CI132">
        <v>30</v>
      </c>
      <c r="CJ132">
        <v>-4.4437499999999996</v>
      </c>
      <c r="CK132">
        <v>31</v>
      </c>
      <c r="CL132">
        <v>-25.75</v>
      </c>
      <c r="CM132">
        <v>32</v>
      </c>
      <c r="CN132">
        <v>-3</v>
      </c>
      <c r="CO132">
        <v>6</v>
      </c>
      <c r="CP132">
        <v>8.5</v>
      </c>
      <c r="CQ132">
        <v>12</v>
      </c>
      <c r="CR132">
        <v>0.625</v>
      </c>
      <c r="CS132">
        <v>5</v>
      </c>
      <c r="CT132">
        <v>0.5</v>
      </c>
      <c r="CU132">
        <v>-1.9375</v>
      </c>
      <c r="CV132">
        <v>27</v>
      </c>
      <c r="CW132">
        <v>21.75</v>
      </c>
      <c r="CX132">
        <v>26</v>
      </c>
      <c r="CY132">
        <v>-4.971532022970121E-2</v>
      </c>
      <c r="CZ132">
        <v>26</v>
      </c>
      <c r="DA132">
        <v>-1.1145726874627932E-2</v>
      </c>
      <c r="DB132">
        <v>13</v>
      </c>
      <c r="DC132">
        <v>-9.1551677489177252E-3</v>
      </c>
      <c r="DD132">
        <v>22</v>
      </c>
      <c r="DE132">
        <v>-0.5625</v>
      </c>
      <c r="DF132">
        <v>1.375</v>
      </c>
      <c r="DG132">
        <v>1.125</v>
      </c>
      <c r="DH132">
        <v>-1.3125</v>
      </c>
      <c r="DI132">
        <v>28.8125</v>
      </c>
      <c r="DJ132">
        <v>21.625</v>
      </c>
      <c r="DK132">
        <v>2.5</v>
      </c>
      <c r="DL132">
        <v>3.1875</v>
      </c>
      <c r="DM132">
        <v>1.5</v>
      </c>
      <c r="DN132">
        <v>28</v>
      </c>
      <c r="DO132">
        <v>-7.4962499999999999</v>
      </c>
      <c r="DP132">
        <v>-2.7617499999999997</v>
      </c>
      <c r="DQ132">
        <v>19.125</v>
      </c>
      <c r="DR132">
        <v>5</v>
      </c>
      <c r="DS132">
        <v>1.2449999999999999</v>
      </c>
      <c r="DT132">
        <v>1</v>
      </c>
      <c r="DU132">
        <v>0.85664062499999993</v>
      </c>
      <c r="DV132">
        <v>-0.15125000000000027</v>
      </c>
      <c r="DW132" t="s">
        <v>295</v>
      </c>
      <c r="DX132" t="s">
        <v>280</v>
      </c>
      <c r="DY132" t="s">
        <v>489</v>
      </c>
      <c r="DZ132">
        <v>1</v>
      </c>
      <c r="EA132">
        <v>7.2287500000000016</v>
      </c>
      <c r="EB132">
        <v>11</v>
      </c>
      <c r="EC132">
        <v>13</v>
      </c>
      <c r="ED132">
        <v>10</v>
      </c>
      <c r="EE132">
        <v>2.2374999999999989</v>
      </c>
      <c r="EF132">
        <v>16</v>
      </c>
      <c r="EG132">
        <v>-0.125</v>
      </c>
      <c r="EH132">
        <v>22</v>
      </c>
      <c r="EI132">
        <v>-14.0625</v>
      </c>
      <c r="EJ132">
        <v>4</v>
      </c>
      <c r="EK132">
        <v>1.625</v>
      </c>
      <c r="EL132">
        <v>18</v>
      </c>
      <c r="EM132">
        <v>19</v>
      </c>
      <c r="EN132">
        <v>17</v>
      </c>
      <c r="EO132">
        <v>-0.54375000000000107</v>
      </c>
      <c r="EP132">
        <v>20</v>
      </c>
      <c r="EQ132">
        <v>-0.8125</v>
      </c>
      <c r="ER132">
        <v>25</v>
      </c>
      <c r="ES132">
        <v>-12.375</v>
      </c>
      <c r="ET132">
        <v>14</v>
      </c>
      <c r="EU132">
        <v>0</v>
      </c>
      <c r="EV132">
        <v>6</v>
      </c>
      <c r="EW132">
        <v>9.3333333333333339</v>
      </c>
      <c r="EX132">
        <v>2</v>
      </c>
      <c r="EY132">
        <v>2.78125</v>
      </c>
      <c r="EZ132">
        <v>10</v>
      </c>
      <c r="FA132">
        <v>0.6875</v>
      </c>
      <c r="FB132">
        <v>16</v>
      </c>
      <c r="FC132">
        <v>-1.6875</v>
      </c>
      <c r="FD132">
        <v>2</v>
      </c>
      <c r="FE132">
        <v>1.625</v>
      </c>
      <c r="FF132">
        <v>25</v>
      </c>
      <c r="FG132">
        <v>22.666666666666668</v>
      </c>
      <c r="FH132">
        <v>29</v>
      </c>
      <c r="FI132">
        <v>-6.3624999999999998</v>
      </c>
      <c r="FJ132">
        <v>21</v>
      </c>
      <c r="FK132">
        <v>-8.9375</v>
      </c>
      <c r="FL132">
        <v>18</v>
      </c>
      <c r="FM132">
        <v>-0.6875</v>
      </c>
      <c r="FN132">
        <v>17</v>
      </c>
      <c r="FO132">
        <v>19</v>
      </c>
      <c r="FP132">
        <v>22</v>
      </c>
      <c r="FQ132">
        <v>-2.2437499999999995</v>
      </c>
      <c r="FR132">
        <v>12</v>
      </c>
      <c r="FS132">
        <v>1.125</v>
      </c>
      <c r="FT132">
        <v>23</v>
      </c>
      <c r="FU132">
        <v>-0.6875</v>
      </c>
      <c r="FV132">
        <v>19</v>
      </c>
      <c r="FW132">
        <v>17.333333333333332</v>
      </c>
      <c r="FX132">
        <v>17</v>
      </c>
      <c r="FY132">
        <v>-0.38125000000000053</v>
      </c>
      <c r="FZ132">
        <v>21</v>
      </c>
      <c r="GA132">
        <v>-3.3125</v>
      </c>
      <c r="GB132">
        <v>14</v>
      </c>
      <c r="GC132">
        <v>0.125</v>
      </c>
      <c r="GD132">
        <v>26</v>
      </c>
      <c r="GE132">
        <v>24.666666666666668</v>
      </c>
      <c r="GF132">
        <v>32</v>
      </c>
      <c r="GG132">
        <v>-3.7374999999999998</v>
      </c>
      <c r="GH132">
        <v>25</v>
      </c>
      <c r="GI132">
        <v>-6.75</v>
      </c>
      <c r="GJ132">
        <v>17</v>
      </c>
      <c r="GK132">
        <v>-0.125</v>
      </c>
      <c r="GL132">
        <v>11</v>
      </c>
      <c r="GM132">
        <v>12.333333333333334</v>
      </c>
      <c r="GN132">
        <v>8</v>
      </c>
      <c r="GO132">
        <v>2.1749999999999998</v>
      </c>
      <c r="GP132">
        <v>13</v>
      </c>
      <c r="GQ132">
        <v>3</v>
      </c>
      <c r="GR132">
        <v>16</v>
      </c>
      <c r="GS132">
        <v>-0.25</v>
      </c>
      <c r="GT132">
        <v>1</v>
      </c>
      <c r="GU132">
        <v>1.6666666666666667</v>
      </c>
      <c r="GV132">
        <v>1</v>
      </c>
      <c r="GW132">
        <v>11.3125</v>
      </c>
      <c r="GX132">
        <v>2</v>
      </c>
      <c r="GY132">
        <v>26.25</v>
      </c>
      <c r="GZ132">
        <v>2</v>
      </c>
      <c r="HA132">
        <v>2.1875</v>
      </c>
      <c r="HB132">
        <v>14</v>
      </c>
      <c r="HC132">
        <v>13.5</v>
      </c>
      <c r="HD132">
        <v>12</v>
      </c>
      <c r="HE132">
        <v>0.5</v>
      </c>
      <c r="HF132">
        <v>15</v>
      </c>
      <c r="HG132">
        <v>6.25E-2</v>
      </c>
      <c r="HH132">
        <v>-1.5</v>
      </c>
      <c r="HI132">
        <v>26</v>
      </c>
      <c r="HJ132">
        <v>21.5</v>
      </c>
      <c r="HK132">
        <v>18</v>
      </c>
      <c r="HL132">
        <v>-6.0549200222468832E-3</v>
      </c>
      <c r="HM132">
        <v>19</v>
      </c>
      <c r="HN132">
        <v>-5.1813521150570483E-3</v>
      </c>
      <c r="HO132">
        <v>29</v>
      </c>
      <c r="HP132">
        <v>9.6726190476190452E-2</v>
      </c>
      <c r="HQ132">
        <v>20</v>
      </c>
      <c r="HR132">
        <v>-1.0625</v>
      </c>
      <c r="HS132">
        <v>1.375</v>
      </c>
      <c r="HT132">
        <v>3.625</v>
      </c>
      <c r="HU132">
        <v>-0.6875</v>
      </c>
      <c r="HV132">
        <v>21.8125</v>
      </c>
      <c r="HW132">
        <v>29.625</v>
      </c>
      <c r="HX132">
        <v>-17.1875</v>
      </c>
      <c r="HY132">
        <v>4.3125</v>
      </c>
      <c r="HZ132">
        <v>5.0625</v>
      </c>
      <c r="IA132">
        <v>8</v>
      </c>
      <c r="IB132">
        <v>4.9912500000000026</v>
      </c>
      <c r="IC132">
        <v>1.3170000000000006</v>
      </c>
      <c r="ID132">
        <v>46.8125</v>
      </c>
      <c r="IE132">
        <v>25</v>
      </c>
      <c r="IF132">
        <v>1.8645312500000002</v>
      </c>
      <c r="IG132">
        <v>1.5</v>
      </c>
    </row>
    <row r="133" spans="1:241" x14ac:dyDescent="0.2">
      <c r="A133" s="19">
        <v>44115</v>
      </c>
      <c r="B133" s="13" t="s">
        <v>381</v>
      </c>
      <c r="C133" s="41" t="s">
        <v>265</v>
      </c>
      <c r="D133" s="13" t="s">
        <v>284</v>
      </c>
      <c r="E133">
        <v>19</v>
      </c>
      <c r="F133">
        <v>6.8</v>
      </c>
      <c r="G133">
        <v>3.5</v>
      </c>
      <c r="H133">
        <v>12.3</v>
      </c>
      <c r="I133">
        <v>3.5</v>
      </c>
      <c r="J133">
        <v>43.5</v>
      </c>
      <c r="L133" t="s">
        <v>265</v>
      </c>
      <c r="M133">
        <v>13</v>
      </c>
      <c r="N133">
        <v>-0.125</v>
      </c>
      <c r="O133">
        <v>28</v>
      </c>
      <c r="P133">
        <v>24.5</v>
      </c>
      <c r="Q133">
        <v>31</v>
      </c>
      <c r="R133">
        <v>-8.65</v>
      </c>
      <c r="S133">
        <v>28</v>
      </c>
      <c r="T133">
        <v>-3.5625</v>
      </c>
      <c r="U133">
        <v>23</v>
      </c>
      <c r="V133">
        <v>-15.3125</v>
      </c>
      <c r="W133">
        <v>16</v>
      </c>
      <c r="X133">
        <v>-0.25</v>
      </c>
      <c r="Y133">
        <v>27</v>
      </c>
      <c r="Z133">
        <v>23</v>
      </c>
      <c r="AA133">
        <v>26</v>
      </c>
      <c r="AB133">
        <v>-5.0875000000000004</v>
      </c>
      <c r="AC133">
        <v>25</v>
      </c>
      <c r="AD133">
        <v>-1.625</v>
      </c>
      <c r="AE133">
        <v>27</v>
      </c>
      <c r="AF133">
        <v>-13.8125</v>
      </c>
      <c r="AG133">
        <v>16</v>
      </c>
      <c r="AH133">
        <v>-6.25E-2</v>
      </c>
      <c r="AI133">
        <v>24</v>
      </c>
      <c r="AJ133">
        <v>21</v>
      </c>
      <c r="AK133">
        <v>32</v>
      </c>
      <c r="AL133">
        <v>-3.5625</v>
      </c>
      <c r="AM133">
        <v>24</v>
      </c>
      <c r="AN133">
        <v>-1.9375</v>
      </c>
      <c r="AO133">
        <v>15</v>
      </c>
      <c r="AP133">
        <v>-1.5</v>
      </c>
      <c r="AQ133">
        <v>16</v>
      </c>
      <c r="AR133">
        <v>-0.1875</v>
      </c>
      <c r="AS133">
        <v>12</v>
      </c>
      <c r="AT133">
        <v>12.666666666666666</v>
      </c>
      <c r="AU133">
        <v>12</v>
      </c>
      <c r="AV133">
        <v>1.8187500000000001</v>
      </c>
      <c r="AW133">
        <v>20</v>
      </c>
      <c r="AX133">
        <v>-3</v>
      </c>
      <c r="AY133">
        <v>6</v>
      </c>
      <c r="AZ133">
        <v>3</v>
      </c>
      <c r="BA133">
        <v>7</v>
      </c>
      <c r="BB133">
        <v>7.333333333333333</v>
      </c>
      <c r="BC133">
        <v>12</v>
      </c>
      <c r="BD133">
        <v>2.3750000000000009</v>
      </c>
      <c r="BE133">
        <v>6</v>
      </c>
      <c r="BF133">
        <v>14.125</v>
      </c>
      <c r="BG133">
        <v>4</v>
      </c>
      <c r="BH133">
        <v>2.5625</v>
      </c>
      <c r="BI133">
        <v>32</v>
      </c>
      <c r="BJ133">
        <v>29</v>
      </c>
      <c r="BK133">
        <v>28</v>
      </c>
      <c r="BL133">
        <v>-3.0375000000000005</v>
      </c>
      <c r="BM133">
        <v>32</v>
      </c>
      <c r="BN133">
        <v>-20.75</v>
      </c>
      <c r="BO133">
        <v>27</v>
      </c>
      <c r="BP133">
        <v>-1.0625</v>
      </c>
      <c r="BQ133">
        <v>7</v>
      </c>
      <c r="BR133">
        <v>8</v>
      </c>
      <c r="BS133">
        <v>8</v>
      </c>
      <c r="BT133">
        <v>2.4812499999999997</v>
      </c>
      <c r="BU133">
        <v>12</v>
      </c>
      <c r="BV133">
        <v>3.625</v>
      </c>
      <c r="BW133">
        <v>4</v>
      </c>
      <c r="BX133">
        <v>1.5</v>
      </c>
      <c r="BY133">
        <v>10</v>
      </c>
      <c r="BZ133">
        <v>9</v>
      </c>
      <c r="CA133">
        <v>14</v>
      </c>
      <c r="CB133">
        <v>0.31249999999999911</v>
      </c>
      <c r="CC133">
        <v>12</v>
      </c>
      <c r="CD133">
        <v>6.875</v>
      </c>
      <c r="CE133">
        <v>1</v>
      </c>
      <c r="CF133">
        <v>3.6875</v>
      </c>
      <c r="CG133">
        <v>8</v>
      </c>
      <c r="CH133">
        <v>10</v>
      </c>
      <c r="CI133">
        <v>9</v>
      </c>
      <c r="CJ133">
        <v>2.15</v>
      </c>
      <c r="CK133">
        <v>13</v>
      </c>
      <c r="CL133">
        <v>4</v>
      </c>
      <c r="CM133">
        <v>8</v>
      </c>
      <c r="CN133">
        <v>1.5</v>
      </c>
      <c r="CO133">
        <v>19</v>
      </c>
      <c r="CP133">
        <v>19</v>
      </c>
      <c r="CQ133">
        <v>29</v>
      </c>
      <c r="CR133">
        <v>-1.875</v>
      </c>
      <c r="CS133">
        <v>9</v>
      </c>
      <c r="CT133">
        <v>0.25</v>
      </c>
      <c r="CU133">
        <v>-0.375</v>
      </c>
      <c r="CV133">
        <v>9</v>
      </c>
      <c r="CW133">
        <v>12.5</v>
      </c>
      <c r="CX133">
        <v>22</v>
      </c>
      <c r="CY133">
        <v>-3.1076503697840575E-2</v>
      </c>
      <c r="CZ133">
        <v>13</v>
      </c>
      <c r="DA133">
        <v>2.1885100436464296E-3</v>
      </c>
      <c r="DB133">
        <v>2</v>
      </c>
      <c r="DC133">
        <v>-0.19858630952380951</v>
      </c>
      <c r="DD133">
        <v>13</v>
      </c>
      <c r="DE133">
        <v>0.5</v>
      </c>
      <c r="DF133">
        <v>1.9375</v>
      </c>
      <c r="DG133">
        <v>-4.375</v>
      </c>
      <c r="DH133">
        <v>-0.4375</v>
      </c>
      <c r="DI133">
        <v>-9</v>
      </c>
      <c r="DJ133">
        <v>-5.625</v>
      </c>
      <c r="DK133">
        <v>-18.5625</v>
      </c>
      <c r="DL133">
        <v>8.3125</v>
      </c>
      <c r="DM133">
        <v>6.875</v>
      </c>
      <c r="DN133">
        <v>4</v>
      </c>
      <c r="DO133">
        <v>8.5250000000000004</v>
      </c>
      <c r="DP133">
        <v>5.09375</v>
      </c>
      <c r="DQ133">
        <v>12.9375</v>
      </c>
      <c r="DR133">
        <v>29</v>
      </c>
      <c r="DS133">
        <v>-0.83515625000000004</v>
      </c>
      <c r="DT133">
        <v>4.5</v>
      </c>
      <c r="DU133">
        <v>-0.99695312499999988</v>
      </c>
      <c r="DV133">
        <v>-0.77093750000000016</v>
      </c>
      <c r="DW133" t="s">
        <v>284</v>
      </c>
      <c r="DX133" t="s">
        <v>243</v>
      </c>
      <c r="DY133" t="s">
        <v>486</v>
      </c>
      <c r="DZ133">
        <v>22</v>
      </c>
      <c r="EA133">
        <v>-1.7587499999999996</v>
      </c>
      <c r="EB133">
        <v>30</v>
      </c>
      <c r="EC133">
        <v>25.75</v>
      </c>
      <c r="ED133">
        <v>32</v>
      </c>
      <c r="EE133">
        <v>-7.8124999999999991</v>
      </c>
      <c r="EF133">
        <v>32</v>
      </c>
      <c r="EG133">
        <v>-5.75</v>
      </c>
      <c r="EH133">
        <v>32</v>
      </c>
      <c r="EI133">
        <v>-52.625</v>
      </c>
      <c r="EJ133">
        <v>7</v>
      </c>
      <c r="EK133">
        <v>1.0625</v>
      </c>
      <c r="EL133">
        <v>32</v>
      </c>
      <c r="EM133">
        <v>30</v>
      </c>
      <c r="EN133">
        <v>32</v>
      </c>
      <c r="EO133">
        <v>-7.8874999999999993</v>
      </c>
      <c r="EP133">
        <v>31</v>
      </c>
      <c r="EQ133">
        <v>-4.625</v>
      </c>
      <c r="ER133">
        <v>32</v>
      </c>
      <c r="ES133">
        <v>-37.4375</v>
      </c>
      <c r="ET133">
        <v>25</v>
      </c>
      <c r="EU133">
        <v>-0.6875</v>
      </c>
      <c r="EV133">
        <v>26</v>
      </c>
      <c r="EW133">
        <v>24</v>
      </c>
      <c r="EX133">
        <v>17</v>
      </c>
      <c r="EY133">
        <v>7.4999999999999956E-2</v>
      </c>
      <c r="EZ133">
        <v>24</v>
      </c>
      <c r="FA133">
        <v>-1.125</v>
      </c>
      <c r="FB133">
        <v>31</v>
      </c>
      <c r="FC133">
        <v>-15.1875</v>
      </c>
      <c r="FD133">
        <v>1</v>
      </c>
      <c r="FE133">
        <v>1.75</v>
      </c>
      <c r="FF133">
        <v>11</v>
      </c>
      <c r="FG133">
        <v>13</v>
      </c>
      <c r="FH133">
        <v>8</v>
      </c>
      <c r="FI133">
        <v>2.693750000000001</v>
      </c>
      <c r="FJ133">
        <v>15</v>
      </c>
      <c r="FK133">
        <v>0.5</v>
      </c>
      <c r="FL133">
        <v>16</v>
      </c>
      <c r="FM133">
        <v>-0.375</v>
      </c>
      <c r="FN133">
        <v>19</v>
      </c>
      <c r="FO133">
        <v>20</v>
      </c>
      <c r="FP133">
        <v>26</v>
      </c>
      <c r="FQ133">
        <v>-2.8312500000000003</v>
      </c>
      <c r="FR133">
        <v>27</v>
      </c>
      <c r="FS133">
        <v>-9.75</v>
      </c>
      <c r="FT133">
        <v>7</v>
      </c>
      <c r="FU133">
        <v>0.8125</v>
      </c>
      <c r="FV133">
        <v>10</v>
      </c>
      <c r="FW133">
        <v>11.666666666666666</v>
      </c>
      <c r="FX133">
        <v>5</v>
      </c>
      <c r="FY133">
        <v>4.4312500000000012</v>
      </c>
      <c r="FZ133">
        <v>12</v>
      </c>
      <c r="GA133">
        <v>7.4375</v>
      </c>
      <c r="GB133">
        <v>18</v>
      </c>
      <c r="GC133">
        <v>-0.1875</v>
      </c>
      <c r="GD133">
        <v>14</v>
      </c>
      <c r="GE133">
        <v>15.666666666666666</v>
      </c>
      <c r="GF133">
        <v>9</v>
      </c>
      <c r="GG133">
        <v>1.09375</v>
      </c>
      <c r="GH133">
        <v>11</v>
      </c>
      <c r="GI133">
        <v>2.8125</v>
      </c>
      <c r="GJ133">
        <v>27</v>
      </c>
      <c r="GK133">
        <v>-1</v>
      </c>
      <c r="GL133">
        <v>8</v>
      </c>
      <c r="GM133">
        <v>10</v>
      </c>
      <c r="GN133">
        <v>7</v>
      </c>
      <c r="GO133">
        <v>2.2249999999999996</v>
      </c>
      <c r="GP133">
        <v>11</v>
      </c>
      <c r="GQ133">
        <v>6</v>
      </c>
      <c r="GR133">
        <v>12</v>
      </c>
      <c r="GS133">
        <v>0.1875</v>
      </c>
      <c r="GT133">
        <v>16</v>
      </c>
      <c r="GU133">
        <v>16.666666666666668</v>
      </c>
      <c r="GV133">
        <v>22</v>
      </c>
      <c r="GW133">
        <v>-1.59375</v>
      </c>
      <c r="GX133">
        <v>14</v>
      </c>
      <c r="GY133">
        <v>2.8125</v>
      </c>
      <c r="GZ133">
        <v>14</v>
      </c>
      <c r="HA133">
        <v>0.125</v>
      </c>
      <c r="HB133">
        <v>22</v>
      </c>
      <c r="HC133">
        <v>23.5</v>
      </c>
      <c r="HD133">
        <v>22</v>
      </c>
      <c r="HE133">
        <v>-1.3125</v>
      </c>
      <c r="HF133">
        <v>25</v>
      </c>
      <c r="HG133">
        <v>-0.5625</v>
      </c>
      <c r="HH133">
        <v>2.0625</v>
      </c>
      <c r="HI133">
        <v>4</v>
      </c>
      <c r="HJ133">
        <v>9.5</v>
      </c>
      <c r="HK133">
        <v>5</v>
      </c>
      <c r="HL133">
        <v>4.2303554420883363E-2</v>
      </c>
      <c r="HM133">
        <v>1</v>
      </c>
      <c r="HN133">
        <v>4.3510832088033261E-2</v>
      </c>
      <c r="HO133">
        <v>28</v>
      </c>
      <c r="HP133">
        <v>7.213603443769856E-2</v>
      </c>
      <c r="HQ133">
        <v>4</v>
      </c>
      <c r="HR133">
        <v>3.8125</v>
      </c>
      <c r="HS133">
        <v>-2.5</v>
      </c>
      <c r="HT133">
        <v>-3.8125</v>
      </c>
      <c r="HU133">
        <v>2.625</v>
      </c>
      <c r="HV133">
        <v>-46.75</v>
      </c>
      <c r="HW133">
        <v>2.6875</v>
      </c>
      <c r="HX133">
        <v>-51.5625</v>
      </c>
      <c r="HY133">
        <v>3.25</v>
      </c>
      <c r="HZ133">
        <v>-1.125</v>
      </c>
      <c r="IA133">
        <v>5</v>
      </c>
      <c r="IB133">
        <v>6.0537499999999991</v>
      </c>
      <c r="IC133">
        <v>3.7744999999999997</v>
      </c>
      <c r="ID133">
        <v>54.25</v>
      </c>
      <c r="IE133">
        <v>28</v>
      </c>
      <c r="IF133">
        <v>-1.2229687499999997</v>
      </c>
      <c r="IG133">
        <v>-0.25</v>
      </c>
    </row>
    <row r="134" spans="1:241" x14ac:dyDescent="0.2">
      <c r="A134" s="19">
        <v>44115</v>
      </c>
      <c r="B134" s="13" t="s">
        <v>381</v>
      </c>
      <c r="C134" s="17" t="s">
        <v>272</v>
      </c>
      <c r="D134" s="14" t="s">
        <v>305</v>
      </c>
      <c r="E134">
        <v>10.199999999999999</v>
      </c>
      <c r="F134">
        <v>8.1999999999999993</v>
      </c>
      <c r="G134">
        <v>2.2000000000000002</v>
      </c>
      <c r="H134">
        <v>4.2</v>
      </c>
      <c r="I134">
        <v>11.5</v>
      </c>
      <c r="J134">
        <v>50</v>
      </c>
      <c r="L134" t="s">
        <v>272</v>
      </c>
      <c r="M134">
        <v>21</v>
      </c>
      <c r="N134">
        <v>-1.4125000000000005</v>
      </c>
      <c r="O134">
        <v>12</v>
      </c>
      <c r="P134">
        <v>13</v>
      </c>
      <c r="Q134">
        <v>16</v>
      </c>
      <c r="R134">
        <v>0.36249999999999982</v>
      </c>
      <c r="S134">
        <v>13</v>
      </c>
      <c r="T134">
        <v>0.9375</v>
      </c>
      <c r="U134">
        <v>12</v>
      </c>
      <c r="V134">
        <v>10.5625</v>
      </c>
      <c r="W134">
        <v>11</v>
      </c>
      <c r="X134">
        <v>0.4375</v>
      </c>
      <c r="Y134">
        <v>15</v>
      </c>
      <c r="Z134">
        <v>15</v>
      </c>
      <c r="AA134">
        <v>14</v>
      </c>
      <c r="AB134">
        <v>0.91249999999999964</v>
      </c>
      <c r="AC134">
        <v>4</v>
      </c>
      <c r="AD134">
        <v>3.75</v>
      </c>
      <c r="AE134">
        <v>5</v>
      </c>
      <c r="AF134">
        <v>17.25</v>
      </c>
      <c r="AG134">
        <v>26</v>
      </c>
      <c r="AH134">
        <v>-1.1875</v>
      </c>
      <c r="AI134">
        <v>14</v>
      </c>
      <c r="AJ134">
        <v>15.333333333333334</v>
      </c>
      <c r="AK134">
        <v>20</v>
      </c>
      <c r="AL134">
        <v>-0.54999999999999982</v>
      </c>
      <c r="AM134">
        <v>29</v>
      </c>
      <c r="AN134">
        <v>-2.8125</v>
      </c>
      <c r="AO134">
        <v>24</v>
      </c>
      <c r="AP134">
        <v>-6.6875</v>
      </c>
      <c r="AQ134">
        <v>2</v>
      </c>
      <c r="AR134">
        <v>1.625</v>
      </c>
      <c r="AS134">
        <v>12</v>
      </c>
      <c r="AT134">
        <v>12.666666666666666</v>
      </c>
      <c r="AU134">
        <v>18</v>
      </c>
      <c r="AV134">
        <v>-0.90000000000000213</v>
      </c>
      <c r="AW134">
        <v>19</v>
      </c>
      <c r="AX134">
        <v>-0.625</v>
      </c>
      <c r="AY134">
        <v>1</v>
      </c>
      <c r="AZ134">
        <v>5.1875</v>
      </c>
      <c r="BA134">
        <v>12</v>
      </c>
      <c r="BB134">
        <v>11.666666666666666</v>
      </c>
      <c r="BC134">
        <v>15</v>
      </c>
      <c r="BD134">
        <v>0.67499999999999849</v>
      </c>
      <c r="BE134">
        <v>11</v>
      </c>
      <c r="BF134">
        <v>7.8125</v>
      </c>
      <c r="BG134">
        <v>9</v>
      </c>
      <c r="BH134">
        <v>0.75</v>
      </c>
      <c r="BI134">
        <v>21</v>
      </c>
      <c r="BJ134">
        <v>21.333333333333332</v>
      </c>
      <c r="BK134">
        <v>32</v>
      </c>
      <c r="BL134">
        <v>-5.3625000000000007</v>
      </c>
      <c r="BM134">
        <v>30</v>
      </c>
      <c r="BN134">
        <v>-18.375</v>
      </c>
      <c r="BO134">
        <v>2</v>
      </c>
      <c r="BP134">
        <v>2.4375</v>
      </c>
      <c r="BQ134">
        <v>2</v>
      </c>
      <c r="BR134">
        <v>4</v>
      </c>
      <c r="BS134">
        <v>3</v>
      </c>
      <c r="BT134">
        <v>3.7874999999999996</v>
      </c>
      <c r="BU134">
        <v>7</v>
      </c>
      <c r="BV134">
        <v>9.9375</v>
      </c>
      <c r="BW134">
        <v>2</v>
      </c>
      <c r="BX134">
        <v>2</v>
      </c>
      <c r="BY134">
        <v>22</v>
      </c>
      <c r="BZ134">
        <v>21.666666666666668</v>
      </c>
      <c r="CA134">
        <v>28</v>
      </c>
      <c r="CB134">
        <v>-5.5937500000000018</v>
      </c>
      <c r="CC134">
        <v>24</v>
      </c>
      <c r="CD134">
        <v>-12.8125</v>
      </c>
      <c r="CE134">
        <v>13</v>
      </c>
      <c r="CF134">
        <v>0.4375</v>
      </c>
      <c r="CG134">
        <v>24</v>
      </c>
      <c r="CH134">
        <v>23.333333333333332</v>
      </c>
      <c r="CI134">
        <v>31</v>
      </c>
      <c r="CJ134">
        <v>-5.2499999999999982</v>
      </c>
      <c r="CK134">
        <v>23</v>
      </c>
      <c r="CL134">
        <v>-12</v>
      </c>
      <c r="CM134">
        <v>16</v>
      </c>
      <c r="CN134">
        <v>-0.375</v>
      </c>
      <c r="CO134">
        <v>1</v>
      </c>
      <c r="CP134">
        <v>1</v>
      </c>
      <c r="CQ134">
        <v>1</v>
      </c>
      <c r="CR134">
        <v>3.8125</v>
      </c>
      <c r="CS134">
        <v>1</v>
      </c>
      <c r="CT134">
        <v>1.125</v>
      </c>
      <c r="CU134">
        <v>-2.8125</v>
      </c>
      <c r="CV134">
        <v>5</v>
      </c>
      <c r="CW134">
        <v>9.5</v>
      </c>
      <c r="CX134">
        <v>5</v>
      </c>
      <c r="CY134">
        <v>4.5225528797047845E-2</v>
      </c>
      <c r="CZ134">
        <v>6</v>
      </c>
      <c r="DA134">
        <v>1.4570996537296375E-2</v>
      </c>
      <c r="DB134">
        <v>19</v>
      </c>
      <c r="DC134">
        <v>2.7637553418803404E-2</v>
      </c>
      <c r="DD134">
        <v>8</v>
      </c>
      <c r="DE134">
        <v>1.0625</v>
      </c>
      <c r="DF134">
        <v>6.4375</v>
      </c>
      <c r="DG134">
        <v>-3.0625</v>
      </c>
      <c r="DH134">
        <v>0</v>
      </c>
      <c r="DI134">
        <v>-7.25</v>
      </c>
      <c r="DJ134">
        <v>-6.1875</v>
      </c>
      <c r="DK134">
        <v>4.6875</v>
      </c>
      <c r="DL134">
        <v>-7.0625</v>
      </c>
      <c r="DM134">
        <v>1.3125</v>
      </c>
      <c r="DN134">
        <v>21</v>
      </c>
      <c r="DO134">
        <v>-1.7750000000000004</v>
      </c>
      <c r="DP134">
        <v>-1.6937500000000003</v>
      </c>
      <c r="DQ134">
        <v>-10.875</v>
      </c>
      <c r="DR134">
        <v>12</v>
      </c>
      <c r="DS134">
        <v>-0.42343750000000013</v>
      </c>
      <c r="DT134">
        <v>4.8125</v>
      </c>
      <c r="DU134">
        <v>-5.1171874999999811E-2</v>
      </c>
      <c r="DV134">
        <v>0.49890625000000022</v>
      </c>
      <c r="DW134" t="s">
        <v>305</v>
      </c>
      <c r="DX134" t="s">
        <v>268</v>
      </c>
      <c r="DY134" t="s">
        <v>500</v>
      </c>
      <c r="DZ134">
        <v>5</v>
      </c>
      <c r="EA134">
        <v>3.4262500000000005</v>
      </c>
      <c r="EB134">
        <v>22</v>
      </c>
      <c r="EC134">
        <v>20.25</v>
      </c>
      <c r="ED134">
        <v>23</v>
      </c>
      <c r="EE134">
        <v>-2.4312499999999999</v>
      </c>
      <c r="EF134">
        <v>27</v>
      </c>
      <c r="EG134">
        <v>-3.1875</v>
      </c>
      <c r="EH134">
        <v>30</v>
      </c>
      <c r="EI134">
        <v>-24.1875</v>
      </c>
      <c r="EJ134">
        <v>1</v>
      </c>
      <c r="EK134">
        <v>2.625</v>
      </c>
      <c r="EL134">
        <v>23</v>
      </c>
      <c r="EM134">
        <v>20</v>
      </c>
      <c r="EN134">
        <v>23</v>
      </c>
      <c r="EO134">
        <v>-2.7312499999999997</v>
      </c>
      <c r="EP134">
        <v>24</v>
      </c>
      <c r="EQ134">
        <v>-1.25</v>
      </c>
      <c r="ER134">
        <v>28</v>
      </c>
      <c r="ES134">
        <v>-14.1875</v>
      </c>
      <c r="ET134">
        <v>5</v>
      </c>
      <c r="EU134">
        <v>1.125</v>
      </c>
      <c r="EV134">
        <v>27</v>
      </c>
      <c r="EW134">
        <v>24.333333333333332</v>
      </c>
      <c r="EX134">
        <v>14</v>
      </c>
      <c r="EY134">
        <v>0.29999999999999982</v>
      </c>
      <c r="EZ134">
        <v>29</v>
      </c>
      <c r="FA134">
        <v>-1.9375</v>
      </c>
      <c r="FB134">
        <v>30</v>
      </c>
      <c r="FC134">
        <v>-10</v>
      </c>
      <c r="FD134">
        <v>3</v>
      </c>
      <c r="FE134">
        <v>1.5</v>
      </c>
      <c r="FF134">
        <v>10</v>
      </c>
      <c r="FG134">
        <v>11.666666666666666</v>
      </c>
      <c r="FH134">
        <v>19</v>
      </c>
      <c r="FI134">
        <v>-3.3174999999999986</v>
      </c>
      <c r="FJ134">
        <v>11</v>
      </c>
      <c r="FK134">
        <v>6.8125</v>
      </c>
      <c r="FL134">
        <v>5</v>
      </c>
      <c r="FM134">
        <v>2.25</v>
      </c>
      <c r="FN134">
        <v>31</v>
      </c>
      <c r="FO134">
        <v>28</v>
      </c>
      <c r="FP134">
        <v>32</v>
      </c>
      <c r="FQ134">
        <v>-5.0937499999999991</v>
      </c>
      <c r="FR134">
        <v>32</v>
      </c>
      <c r="FS134">
        <v>-19.6875</v>
      </c>
      <c r="FT134">
        <v>20</v>
      </c>
      <c r="FU134">
        <v>-0.1875</v>
      </c>
      <c r="FV134">
        <v>5</v>
      </c>
      <c r="FW134">
        <v>8</v>
      </c>
      <c r="FX134">
        <v>13</v>
      </c>
      <c r="FY134">
        <v>0.98250000000000037</v>
      </c>
      <c r="FZ134">
        <v>5</v>
      </c>
      <c r="GA134">
        <v>13.625</v>
      </c>
      <c r="GB134">
        <v>6</v>
      </c>
      <c r="GC134">
        <v>1.0625</v>
      </c>
      <c r="GD134">
        <v>5</v>
      </c>
      <c r="GE134">
        <v>6.333333333333333</v>
      </c>
      <c r="GF134">
        <v>12</v>
      </c>
      <c r="GG134">
        <v>0.79374999999999962</v>
      </c>
      <c r="GH134">
        <v>4</v>
      </c>
      <c r="GI134">
        <v>12.875</v>
      </c>
      <c r="GJ134">
        <v>3</v>
      </c>
      <c r="GK134">
        <v>1.375</v>
      </c>
      <c r="GL134">
        <v>10</v>
      </c>
      <c r="GM134">
        <v>10.666666666666666</v>
      </c>
      <c r="GN134">
        <v>19</v>
      </c>
      <c r="GO134">
        <v>-1.6187499999999995</v>
      </c>
      <c r="GP134">
        <v>9</v>
      </c>
      <c r="GQ134">
        <v>7.5625</v>
      </c>
      <c r="GR134">
        <v>4</v>
      </c>
      <c r="GS134">
        <v>1.25</v>
      </c>
      <c r="GT134">
        <v>13</v>
      </c>
      <c r="GU134">
        <v>14.333333333333334</v>
      </c>
      <c r="GV134">
        <v>11</v>
      </c>
      <c r="GW134">
        <v>0.13750000000000018</v>
      </c>
      <c r="GX134">
        <v>11</v>
      </c>
      <c r="GY134">
        <v>6.375</v>
      </c>
      <c r="GZ134">
        <v>21</v>
      </c>
      <c r="HA134">
        <v>-0.625</v>
      </c>
      <c r="HB134">
        <v>23</v>
      </c>
      <c r="HC134">
        <v>24</v>
      </c>
      <c r="HD134">
        <v>30</v>
      </c>
      <c r="HE134">
        <v>-2.625</v>
      </c>
      <c r="HF134">
        <v>18</v>
      </c>
      <c r="HG134">
        <v>-0.25</v>
      </c>
      <c r="HH134">
        <v>-2.0625</v>
      </c>
      <c r="HI134">
        <v>11</v>
      </c>
      <c r="HJ134">
        <v>14.25</v>
      </c>
      <c r="HK134">
        <v>24</v>
      </c>
      <c r="HL134">
        <v>-2.9272112020216443E-2</v>
      </c>
      <c r="HM134">
        <v>23</v>
      </c>
      <c r="HN134">
        <v>-1.1925269494397782E-2</v>
      </c>
      <c r="HO134">
        <v>8</v>
      </c>
      <c r="HP134">
        <v>-6.6767000360750367E-2</v>
      </c>
      <c r="HQ134">
        <v>2</v>
      </c>
      <c r="HR134">
        <v>5</v>
      </c>
      <c r="HS134">
        <v>3.75</v>
      </c>
      <c r="HT134">
        <v>-6.3125</v>
      </c>
      <c r="HU134">
        <v>-0.4375</v>
      </c>
      <c r="HV134">
        <v>20.375</v>
      </c>
      <c r="HW134">
        <v>47.375</v>
      </c>
      <c r="HX134">
        <v>-24.9375</v>
      </c>
      <c r="HY134">
        <v>-1.125</v>
      </c>
      <c r="HZ134">
        <v>-0.9375</v>
      </c>
      <c r="IA134">
        <v>6</v>
      </c>
      <c r="IB134">
        <v>5.8574999999999999</v>
      </c>
      <c r="IC134">
        <v>1.2648750000000002</v>
      </c>
      <c r="ID134">
        <v>72.3125</v>
      </c>
      <c r="IE134">
        <v>27</v>
      </c>
      <c r="IF134">
        <v>-0.60124999999999984</v>
      </c>
      <c r="IG134">
        <v>1.625</v>
      </c>
    </row>
    <row r="135" spans="1:241" x14ac:dyDescent="0.2">
      <c r="A135" s="19">
        <v>44115</v>
      </c>
      <c r="B135" s="13" t="s">
        <v>381</v>
      </c>
      <c r="C135" s="41" t="s">
        <v>281</v>
      </c>
      <c r="D135" s="14" t="s">
        <v>289</v>
      </c>
      <c r="E135">
        <v>11.42</v>
      </c>
      <c r="F135">
        <v>12.8</v>
      </c>
      <c r="G135">
        <v>12.1</v>
      </c>
      <c r="H135">
        <v>10.7</v>
      </c>
      <c r="I135">
        <v>-1</v>
      </c>
      <c r="J135">
        <v>48.5</v>
      </c>
      <c r="K135" t="s">
        <v>735</v>
      </c>
      <c r="L135" t="s">
        <v>281</v>
      </c>
      <c r="M135">
        <v>32</v>
      </c>
      <c r="N135">
        <v>-7.6887499999999998</v>
      </c>
      <c r="O135">
        <v>3</v>
      </c>
      <c r="P135">
        <v>7.25</v>
      </c>
      <c r="Q135">
        <v>1</v>
      </c>
      <c r="R135">
        <v>13.15625</v>
      </c>
      <c r="S135">
        <v>1</v>
      </c>
      <c r="T135">
        <v>6.0625</v>
      </c>
      <c r="U135">
        <v>1</v>
      </c>
      <c r="V135">
        <v>64.3125</v>
      </c>
      <c r="W135">
        <v>26</v>
      </c>
      <c r="X135">
        <v>-1.0625</v>
      </c>
      <c r="Y135">
        <v>12</v>
      </c>
      <c r="Z135">
        <v>13</v>
      </c>
      <c r="AA135">
        <v>5</v>
      </c>
      <c r="AB135">
        <v>5.3999999999999995</v>
      </c>
      <c r="AC135">
        <v>13</v>
      </c>
      <c r="AD135">
        <v>-0.125</v>
      </c>
      <c r="AE135">
        <v>4</v>
      </c>
      <c r="AF135">
        <v>20.75</v>
      </c>
      <c r="AG135">
        <v>30</v>
      </c>
      <c r="AH135">
        <v>-1.9375</v>
      </c>
      <c r="AI135">
        <v>1</v>
      </c>
      <c r="AJ135">
        <v>3</v>
      </c>
      <c r="AK135">
        <v>1</v>
      </c>
      <c r="AL135">
        <v>7.7562499999999996</v>
      </c>
      <c r="AM135">
        <v>1</v>
      </c>
      <c r="AN135">
        <v>6.1875</v>
      </c>
      <c r="AO135">
        <v>1</v>
      </c>
      <c r="AP135">
        <v>43.5625</v>
      </c>
      <c r="AQ135">
        <v>7</v>
      </c>
      <c r="AR135">
        <v>0.875</v>
      </c>
      <c r="AS135">
        <v>27</v>
      </c>
      <c r="AT135">
        <v>27</v>
      </c>
      <c r="AU135">
        <v>24</v>
      </c>
      <c r="AV135">
        <v>-5.0787500000000021</v>
      </c>
      <c r="AW135">
        <v>28</v>
      </c>
      <c r="AX135">
        <v>-35.375</v>
      </c>
      <c r="AY135">
        <v>29</v>
      </c>
      <c r="AZ135">
        <v>-3.9375</v>
      </c>
      <c r="BA135">
        <v>16</v>
      </c>
      <c r="BB135">
        <v>18.666666666666668</v>
      </c>
      <c r="BC135">
        <v>17</v>
      </c>
      <c r="BD135">
        <v>0.22499999999999809</v>
      </c>
      <c r="BE135">
        <v>20</v>
      </c>
      <c r="BF135">
        <v>-7.5</v>
      </c>
      <c r="BG135">
        <v>19</v>
      </c>
      <c r="BH135">
        <v>-0.4375</v>
      </c>
      <c r="BI135">
        <v>29</v>
      </c>
      <c r="BJ135">
        <v>26.333333333333332</v>
      </c>
      <c r="BK135">
        <v>25</v>
      </c>
      <c r="BL135">
        <v>-1.9787500000000007</v>
      </c>
      <c r="BM135">
        <v>24</v>
      </c>
      <c r="BN135">
        <v>-10.375</v>
      </c>
      <c r="BO135">
        <v>30</v>
      </c>
      <c r="BP135">
        <v>-1.375</v>
      </c>
      <c r="BQ135">
        <v>31</v>
      </c>
      <c r="BR135">
        <v>30.333333333333332</v>
      </c>
      <c r="BS135">
        <v>29</v>
      </c>
      <c r="BT135">
        <v>-3.3249999999999997</v>
      </c>
      <c r="BU135">
        <v>30</v>
      </c>
      <c r="BV135">
        <v>-17.5</v>
      </c>
      <c r="BW135">
        <v>32</v>
      </c>
      <c r="BX135">
        <v>-2.125</v>
      </c>
      <c r="BY135">
        <v>32</v>
      </c>
      <c r="BZ135">
        <v>30.666666666666668</v>
      </c>
      <c r="CA135">
        <v>32</v>
      </c>
      <c r="CB135">
        <v>-6.7687499999999998</v>
      </c>
      <c r="CC135">
        <v>28</v>
      </c>
      <c r="CD135">
        <v>-22.6875</v>
      </c>
      <c r="CE135">
        <v>32</v>
      </c>
      <c r="CF135">
        <v>-4.8125</v>
      </c>
      <c r="CG135">
        <v>27</v>
      </c>
      <c r="CH135">
        <v>25.666666666666668</v>
      </c>
      <c r="CI135">
        <v>23</v>
      </c>
      <c r="CJ135">
        <v>-2.1187500000000004</v>
      </c>
      <c r="CK135">
        <v>28</v>
      </c>
      <c r="CL135">
        <v>-17.4375</v>
      </c>
      <c r="CM135">
        <v>26</v>
      </c>
      <c r="CN135">
        <v>-1.375</v>
      </c>
      <c r="CO135">
        <v>30</v>
      </c>
      <c r="CP135">
        <v>28.5</v>
      </c>
      <c r="CQ135">
        <v>25</v>
      </c>
      <c r="CR135">
        <v>-1.4375</v>
      </c>
      <c r="CS135">
        <v>32</v>
      </c>
      <c r="CT135">
        <v>-1.125</v>
      </c>
      <c r="CU135">
        <v>-0.1875</v>
      </c>
      <c r="CV135">
        <v>26</v>
      </c>
      <c r="CW135">
        <v>21</v>
      </c>
      <c r="CX135">
        <v>12</v>
      </c>
      <c r="CY135">
        <v>1.9082783347200302E-2</v>
      </c>
      <c r="CZ135">
        <v>24</v>
      </c>
      <c r="DA135">
        <v>-9.3305687397869236E-3</v>
      </c>
      <c r="DB135">
        <v>20</v>
      </c>
      <c r="DC135">
        <v>3.3123647186147173E-2</v>
      </c>
      <c r="DD135">
        <v>28</v>
      </c>
      <c r="DE135">
        <v>-2.0625</v>
      </c>
      <c r="DF135">
        <v>-2.9375</v>
      </c>
      <c r="DG135">
        <v>4.25</v>
      </c>
      <c r="DH135">
        <v>-0.125</v>
      </c>
      <c r="DI135">
        <v>-8.625</v>
      </c>
      <c r="DJ135">
        <v>-73.9375</v>
      </c>
      <c r="DK135">
        <v>70.9375</v>
      </c>
      <c r="DL135">
        <v>11.125</v>
      </c>
      <c r="DM135">
        <v>-16.75</v>
      </c>
      <c r="DN135">
        <v>32</v>
      </c>
      <c r="DO135">
        <v>-20.844999999999999</v>
      </c>
      <c r="DP135">
        <v>-9.5553750000000015</v>
      </c>
      <c r="DQ135">
        <v>-144.875</v>
      </c>
      <c r="DR135">
        <v>1</v>
      </c>
      <c r="DS135">
        <v>-0.39593750000000044</v>
      </c>
      <c r="DT135">
        <v>-5.3125</v>
      </c>
      <c r="DU135">
        <v>-0.53890624999999992</v>
      </c>
      <c r="DV135">
        <v>2.0770312500000001</v>
      </c>
      <c r="DW135" t="s">
        <v>289</v>
      </c>
      <c r="DX135" t="s">
        <v>274</v>
      </c>
      <c r="DY135" t="s">
        <v>488</v>
      </c>
      <c r="DZ135">
        <v>32</v>
      </c>
      <c r="EA135">
        <v>-6.9324999999999992</v>
      </c>
      <c r="EB135">
        <v>32</v>
      </c>
      <c r="EC135">
        <v>27</v>
      </c>
      <c r="ED135">
        <v>29</v>
      </c>
      <c r="EE135">
        <v>-6.5062499999999988</v>
      </c>
      <c r="EF135">
        <v>26</v>
      </c>
      <c r="EG135">
        <v>-3.125</v>
      </c>
      <c r="EH135">
        <v>29</v>
      </c>
      <c r="EI135">
        <v>-23.9375</v>
      </c>
      <c r="EJ135">
        <v>24</v>
      </c>
      <c r="EK135">
        <v>-0.6875</v>
      </c>
      <c r="EL135">
        <v>31</v>
      </c>
      <c r="EM135">
        <v>26</v>
      </c>
      <c r="EN135">
        <v>29</v>
      </c>
      <c r="EO135">
        <v>-4.5562499999999986</v>
      </c>
      <c r="EP135">
        <v>25</v>
      </c>
      <c r="EQ135">
        <v>-1.4375</v>
      </c>
      <c r="ER135">
        <v>30</v>
      </c>
      <c r="ES135">
        <v>-15.9375</v>
      </c>
      <c r="ET135">
        <v>20</v>
      </c>
      <c r="EU135">
        <v>-0.5</v>
      </c>
      <c r="EV135">
        <v>31</v>
      </c>
      <c r="EW135">
        <v>28</v>
      </c>
      <c r="EX135">
        <v>27</v>
      </c>
      <c r="EY135">
        <v>-1.9500000000000002</v>
      </c>
      <c r="EZ135">
        <v>28</v>
      </c>
      <c r="FA135">
        <v>-1.6875</v>
      </c>
      <c r="FB135">
        <v>29</v>
      </c>
      <c r="FC135">
        <v>-8</v>
      </c>
      <c r="FD135">
        <v>21</v>
      </c>
      <c r="FE135">
        <v>-0.1875</v>
      </c>
      <c r="FF135">
        <v>31</v>
      </c>
      <c r="FG135">
        <v>29.333333333333332</v>
      </c>
      <c r="FH135">
        <v>30</v>
      </c>
      <c r="FI135">
        <v>-7.0812499999999998</v>
      </c>
      <c r="FJ135">
        <v>30</v>
      </c>
      <c r="FK135">
        <v>-37.4375</v>
      </c>
      <c r="FL135">
        <v>28</v>
      </c>
      <c r="FM135">
        <v>-2.6875</v>
      </c>
      <c r="FN135">
        <v>32</v>
      </c>
      <c r="FO135">
        <v>30.666666666666668</v>
      </c>
      <c r="FP135">
        <v>29</v>
      </c>
      <c r="FQ135">
        <v>-3.8249999999999988</v>
      </c>
      <c r="FR135">
        <v>31</v>
      </c>
      <c r="FS135">
        <v>-19.375</v>
      </c>
      <c r="FT135">
        <v>32</v>
      </c>
      <c r="FU135">
        <v>-1.8125</v>
      </c>
      <c r="FV135">
        <v>31</v>
      </c>
      <c r="FW135">
        <v>30</v>
      </c>
      <c r="FX135">
        <v>30</v>
      </c>
      <c r="FY135">
        <v>-4.1187500000000012</v>
      </c>
      <c r="FZ135">
        <v>30</v>
      </c>
      <c r="GA135">
        <v>-24.0625</v>
      </c>
      <c r="GB135">
        <v>30</v>
      </c>
      <c r="GC135">
        <v>-1.5</v>
      </c>
      <c r="GD135">
        <v>6</v>
      </c>
      <c r="GE135">
        <v>8.3333333333333339</v>
      </c>
      <c r="GF135">
        <v>10</v>
      </c>
      <c r="GG135">
        <v>0.86250000000000004</v>
      </c>
      <c r="GH135">
        <v>6</v>
      </c>
      <c r="GI135">
        <v>6</v>
      </c>
      <c r="GJ135">
        <v>9</v>
      </c>
      <c r="GK135">
        <v>0.625</v>
      </c>
      <c r="GL135">
        <v>30</v>
      </c>
      <c r="GM135">
        <v>28</v>
      </c>
      <c r="GN135">
        <v>31</v>
      </c>
      <c r="GO135">
        <v>-4.8249999999999984</v>
      </c>
      <c r="GP135">
        <v>31</v>
      </c>
      <c r="GQ135">
        <v>-27.625</v>
      </c>
      <c r="GR135">
        <v>22</v>
      </c>
      <c r="GS135">
        <v>-0.75</v>
      </c>
      <c r="GT135">
        <v>26</v>
      </c>
      <c r="GU135">
        <v>25</v>
      </c>
      <c r="GV135">
        <v>26</v>
      </c>
      <c r="GW135">
        <v>-2.90625</v>
      </c>
      <c r="GX135">
        <v>21</v>
      </c>
      <c r="GY135">
        <v>-6.5625</v>
      </c>
      <c r="GZ135">
        <v>28</v>
      </c>
      <c r="HA135">
        <v>-1.125</v>
      </c>
      <c r="HB135">
        <v>27</v>
      </c>
      <c r="HC135">
        <v>27.5</v>
      </c>
      <c r="HD135">
        <v>25</v>
      </c>
      <c r="HE135">
        <v>-1.8125</v>
      </c>
      <c r="HF135">
        <v>30</v>
      </c>
      <c r="HG135">
        <v>-0.8125</v>
      </c>
      <c r="HH135">
        <v>-0.5</v>
      </c>
      <c r="HI135">
        <v>15</v>
      </c>
      <c r="HJ135">
        <v>16</v>
      </c>
      <c r="HK135">
        <v>32</v>
      </c>
      <c r="HL135">
        <v>-7.5546126992497908E-2</v>
      </c>
      <c r="HM135">
        <v>28</v>
      </c>
      <c r="HN135">
        <v>-2.2201962833372842E-2</v>
      </c>
      <c r="HO135">
        <v>3</v>
      </c>
      <c r="HP135">
        <v>-0.11701388888888885</v>
      </c>
      <c r="HQ135">
        <v>1</v>
      </c>
      <c r="HR135">
        <v>5.375</v>
      </c>
      <c r="HS135">
        <v>-3.5</v>
      </c>
      <c r="HT135">
        <v>-7.5</v>
      </c>
      <c r="HU135">
        <v>-0.4375</v>
      </c>
      <c r="HV135">
        <v>-102.4375</v>
      </c>
      <c r="HW135">
        <v>-63.375</v>
      </c>
      <c r="HX135">
        <v>-22.3125</v>
      </c>
      <c r="HY135">
        <v>-6.125</v>
      </c>
      <c r="HZ135">
        <v>-10.625</v>
      </c>
      <c r="IA135">
        <v>18</v>
      </c>
      <c r="IB135">
        <v>-0.42625000000000046</v>
      </c>
      <c r="IC135">
        <v>-0.13087500000000007</v>
      </c>
      <c r="ID135">
        <v>-41.0625</v>
      </c>
      <c r="IE135">
        <v>15</v>
      </c>
      <c r="IF135">
        <v>-3.1548437499999999</v>
      </c>
      <c r="IG135">
        <v>-3.8125</v>
      </c>
    </row>
    <row r="136" spans="1:241" x14ac:dyDescent="0.2">
      <c r="A136" s="19">
        <v>44115</v>
      </c>
      <c r="B136" s="13" t="s">
        <v>381</v>
      </c>
      <c r="C136" s="41" t="s">
        <v>291</v>
      </c>
      <c r="D136" s="14" t="s">
        <v>296</v>
      </c>
      <c r="E136">
        <v>4.0999999999999996</v>
      </c>
      <c r="F136">
        <v>23.4</v>
      </c>
      <c r="G136">
        <v>10.64</v>
      </c>
      <c r="H136">
        <v>1.6</v>
      </c>
      <c r="I136">
        <v>-7.5</v>
      </c>
      <c r="J136">
        <v>52.5</v>
      </c>
      <c r="K136" t="s">
        <v>734</v>
      </c>
      <c r="L136" t="s">
        <v>291</v>
      </c>
      <c r="M136">
        <v>5</v>
      </c>
      <c r="N136">
        <v>5.3562499999999993</v>
      </c>
      <c r="O136">
        <v>5</v>
      </c>
      <c r="P136">
        <v>8.5</v>
      </c>
      <c r="Q136">
        <v>6</v>
      </c>
      <c r="R136">
        <v>4.2312500000000011</v>
      </c>
      <c r="S136">
        <v>9</v>
      </c>
      <c r="T136">
        <v>1.9375</v>
      </c>
      <c r="U136">
        <v>13</v>
      </c>
      <c r="V136">
        <v>8.8125</v>
      </c>
      <c r="W136">
        <v>6</v>
      </c>
      <c r="X136">
        <v>1.5625</v>
      </c>
      <c r="Y136">
        <v>2</v>
      </c>
      <c r="Z136">
        <v>4.333333333333333</v>
      </c>
      <c r="AA136">
        <v>3</v>
      </c>
      <c r="AB136">
        <v>7.0250000000000004</v>
      </c>
      <c r="AC136">
        <v>3</v>
      </c>
      <c r="AD136">
        <v>4.0625</v>
      </c>
      <c r="AE136">
        <v>8</v>
      </c>
      <c r="AF136">
        <v>15.25</v>
      </c>
      <c r="AG136">
        <v>2</v>
      </c>
      <c r="AH136">
        <v>2.6875</v>
      </c>
      <c r="AI136">
        <v>29</v>
      </c>
      <c r="AJ136">
        <v>26.666666666666668</v>
      </c>
      <c r="AK136">
        <v>28</v>
      </c>
      <c r="AL136">
        <v>-2.7937499999999997</v>
      </c>
      <c r="AM136">
        <v>27</v>
      </c>
      <c r="AN136">
        <v>-2.125</v>
      </c>
      <c r="AO136">
        <v>23</v>
      </c>
      <c r="AP136">
        <v>-6.4375</v>
      </c>
      <c r="AQ136">
        <v>29</v>
      </c>
      <c r="AR136">
        <v>-1.125</v>
      </c>
      <c r="AS136">
        <v>3</v>
      </c>
      <c r="AT136">
        <v>3.3333333333333335</v>
      </c>
      <c r="AU136">
        <v>2</v>
      </c>
      <c r="AV136">
        <v>12.074999999999999</v>
      </c>
      <c r="AW136">
        <v>3</v>
      </c>
      <c r="AX136">
        <v>48.4375</v>
      </c>
      <c r="AY136">
        <v>5</v>
      </c>
      <c r="AZ136">
        <v>3.5625</v>
      </c>
      <c r="BA136">
        <v>9</v>
      </c>
      <c r="BB136">
        <v>7.666666666666667</v>
      </c>
      <c r="BC136">
        <v>8</v>
      </c>
      <c r="BD136">
        <v>3.1062499999999993</v>
      </c>
      <c r="BE136">
        <v>13</v>
      </c>
      <c r="BF136">
        <v>5</v>
      </c>
      <c r="BG136">
        <v>2</v>
      </c>
      <c r="BH136">
        <v>2.8125</v>
      </c>
      <c r="BI136">
        <v>4</v>
      </c>
      <c r="BJ136">
        <v>5.666666666666667</v>
      </c>
      <c r="BK136">
        <v>2</v>
      </c>
      <c r="BL136">
        <v>5.28125</v>
      </c>
      <c r="BM136">
        <v>3</v>
      </c>
      <c r="BN136">
        <v>28.125</v>
      </c>
      <c r="BO136">
        <v>12</v>
      </c>
      <c r="BP136">
        <v>0.1875</v>
      </c>
      <c r="BQ136">
        <v>6</v>
      </c>
      <c r="BR136">
        <v>6.333333333333333</v>
      </c>
      <c r="BS136">
        <v>4</v>
      </c>
      <c r="BT136">
        <v>3.6874999999999991</v>
      </c>
      <c r="BU136">
        <v>3</v>
      </c>
      <c r="BV136">
        <v>15.3125</v>
      </c>
      <c r="BW136">
        <v>12</v>
      </c>
      <c r="BX136">
        <v>0.5625</v>
      </c>
      <c r="BY136">
        <v>5</v>
      </c>
      <c r="BZ136">
        <v>5.666666666666667</v>
      </c>
      <c r="CA136">
        <v>4</v>
      </c>
      <c r="CB136">
        <v>6.2687499999999998</v>
      </c>
      <c r="CC136">
        <v>9</v>
      </c>
      <c r="CD136">
        <v>18.9375</v>
      </c>
      <c r="CE136">
        <v>4</v>
      </c>
      <c r="CF136">
        <v>2.625</v>
      </c>
      <c r="CG136">
        <v>15</v>
      </c>
      <c r="CH136">
        <v>14.666666666666666</v>
      </c>
      <c r="CI136">
        <v>22</v>
      </c>
      <c r="CJ136">
        <v>-1.4624999999999995</v>
      </c>
      <c r="CK136">
        <v>9</v>
      </c>
      <c r="CL136">
        <v>7.875</v>
      </c>
      <c r="CM136">
        <v>13</v>
      </c>
      <c r="CN136">
        <v>0.25</v>
      </c>
      <c r="CO136">
        <v>25</v>
      </c>
      <c r="CP136">
        <v>23.5</v>
      </c>
      <c r="CQ136">
        <v>24</v>
      </c>
      <c r="CR136">
        <v>-1.25</v>
      </c>
      <c r="CS136">
        <v>23</v>
      </c>
      <c r="CT136">
        <v>-0.25</v>
      </c>
      <c r="CU136">
        <v>-2.8125</v>
      </c>
      <c r="CV136">
        <v>13</v>
      </c>
      <c r="CW136">
        <v>15.25</v>
      </c>
      <c r="CX136">
        <v>18</v>
      </c>
      <c r="CY136">
        <v>-1.014142725161752E-2</v>
      </c>
      <c r="CZ136">
        <v>21</v>
      </c>
      <c r="DA136">
        <v>-7.6431765360656075E-3</v>
      </c>
      <c r="DB136">
        <v>11</v>
      </c>
      <c r="DC136">
        <v>-1.8111749361749391E-2</v>
      </c>
      <c r="DD136">
        <v>11</v>
      </c>
      <c r="DE136">
        <v>0.6875</v>
      </c>
      <c r="DF136">
        <v>7.1875</v>
      </c>
      <c r="DG136">
        <v>3.625</v>
      </c>
      <c r="DH136">
        <v>-0.4375</v>
      </c>
      <c r="DI136">
        <v>89.75</v>
      </c>
      <c r="DJ136">
        <v>86</v>
      </c>
      <c r="DK136">
        <v>8.25</v>
      </c>
      <c r="DL136">
        <v>-2.3125</v>
      </c>
      <c r="DM136">
        <v>-2.1875</v>
      </c>
      <c r="DN136">
        <v>12</v>
      </c>
      <c r="DO136">
        <v>1.1249999999999987</v>
      </c>
      <c r="DP136">
        <v>1.0781249999999996</v>
      </c>
      <c r="DQ136">
        <v>77.75</v>
      </c>
      <c r="DR136">
        <v>21</v>
      </c>
      <c r="DS136">
        <v>2.3687500000000004</v>
      </c>
      <c r="DT136">
        <v>3.8125</v>
      </c>
      <c r="DU136">
        <v>-2.7369791666666865E-2</v>
      </c>
      <c r="DV136">
        <v>1.4710937499999999</v>
      </c>
      <c r="DW136" t="s">
        <v>296</v>
      </c>
      <c r="DX136" t="s">
        <v>245</v>
      </c>
      <c r="DY136" t="s">
        <v>472</v>
      </c>
      <c r="DZ136">
        <v>23</v>
      </c>
      <c r="EA136">
        <v>-1.9337500000000016</v>
      </c>
      <c r="EB136">
        <v>15</v>
      </c>
      <c r="EC136">
        <v>16.5</v>
      </c>
      <c r="ED136">
        <v>16</v>
      </c>
      <c r="EE136">
        <v>-4.5833333333333837E-2</v>
      </c>
      <c r="EF136">
        <v>12</v>
      </c>
      <c r="EG136">
        <v>1.270833333333333</v>
      </c>
      <c r="EH136">
        <v>21</v>
      </c>
      <c r="EI136">
        <v>-13.770833333333332</v>
      </c>
      <c r="EJ136">
        <v>17</v>
      </c>
      <c r="EK136">
        <v>-0.27083333333333326</v>
      </c>
      <c r="EL136">
        <v>23</v>
      </c>
      <c r="EM136">
        <v>20</v>
      </c>
      <c r="EN136">
        <v>24</v>
      </c>
      <c r="EO136">
        <v>-2.7541666666666673</v>
      </c>
      <c r="EP136">
        <v>17</v>
      </c>
      <c r="EQ136">
        <v>-0.10416666666666696</v>
      </c>
      <c r="ER136">
        <v>20</v>
      </c>
      <c r="ES136">
        <v>-7.8958333333333321</v>
      </c>
      <c r="ET136">
        <v>19</v>
      </c>
      <c r="EU136">
        <v>-0.35416666666666663</v>
      </c>
      <c r="EV136">
        <v>10</v>
      </c>
      <c r="EW136">
        <v>11.333333333333334</v>
      </c>
      <c r="EX136">
        <v>3</v>
      </c>
      <c r="EY136">
        <v>2.7083333333333335</v>
      </c>
      <c r="EZ136">
        <v>7</v>
      </c>
      <c r="FA136">
        <v>1.375</v>
      </c>
      <c r="FB136">
        <v>24</v>
      </c>
      <c r="FC136">
        <v>-5.875</v>
      </c>
      <c r="FD136">
        <v>15</v>
      </c>
      <c r="FE136">
        <v>8.333333333333337E-2</v>
      </c>
      <c r="FF136">
        <v>20</v>
      </c>
      <c r="FG136">
        <v>19.333333333333332</v>
      </c>
      <c r="FH136">
        <v>17</v>
      </c>
      <c r="FI136">
        <v>-1.8187500000000008</v>
      </c>
      <c r="FJ136">
        <v>24</v>
      </c>
      <c r="FK136">
        <v>-15.479166666666666</v>
      </c>
      <c r="FL136">
        <v>17</v>
      </c>
      <c r="FM136">
        <v>-0.66666666666666685</v>
      </c>
      <c r="FN136">
        <v>25</v>
      </c>
      <c r="FO136">
        <v>21.333333333333332</v>
      </c>
      <c r="FP136">
        <v>19</v>
      </c>
      <c r="FQ136">
        <v>-1.7479166666666672</v>
      </c>
      <c r="FR136">
        <v>28</v>
      </c>
      <c r="FS136">
        <v>-12.0625</v>
      </c>
      <c r="FT136">
        <v>17</v>
      </c>
      <c r="FU136">
        <v>-0.125</v>
      </c>
      <c r="FV136">
        <v>16</v>
      </c>
      <c r="FW136">
        <v>16.333333333333332</v>
      </c>
      <c r="FX136">
        <v>19</v>
      </c>
      <c r="FY136">
        <v>-0.92916666666666692</v>
      </c>
      <c r="FZ136">
        <v>18</v>
      </c>
      <c r="GA136">
        <v>0.75</v>
      </c>
      <c r="GB136">
        <v>12</v>
      </c>
      <c r="GC136">
        <v>0.41666666666666652</v>
      </c>
      <c r="GD136">
        <v>20</v>
      </c>
      <c r="GE136">
        <v>19.333333333333332</v>
      </c>
      <c r="GF136">
        <v>11</v>
      </c>
      <c r="GG136">
        <v>0.85833333333333317</v>
      </c>
      <c r="GH136">
        <v>21</v>
      </c>
      <c r="GI136">
        <v>-4.1666666666666661</v>
      </c>
      <c r="GJ136">
        <v>26</v>
      </c>
      <c r="GK136">
        <v>-0.95833333333333337</v>
      </c>
      <c r="GL136">
        <v>27</v>
      </c>
      <c r="GM136">
        <v>27</v>
      </c>
      <c r="GN136">
        <v>23</v>
      </c>
      <c r="GO136">
        <v>-2.8229166666666661</v>
      </c>
      <c r="GP136">
        <v>28</v>
      </c>
      <c r="GQ136">
        <v>-17.8125</v>
      </c>
      <c r="GR136">
        <v>30</v>
      </c>
      <c r="GS136">
        <v>-1.9166666666666665</v>
      </c>
      <c r="GT136">
        <v>32</v>
      </c>
      <c r="GU136">
        <v>31.666666666666668</v>
      </c>
      <c r="GV136">
        <v>32</v>
      </c>
      <c r="GW136">
        <v>-9.3666666666666671</v>
      </c>
      <c r="GX136">
        <v>32</v>
      </c>
      <c r="GY136">
        <v>-26.354166666666664</v>
      </c>
      <c r="GZ136">
        <v>31</v>
      </c>
      <c r="HA136">
        <v>-2.479166666666667</v>
      </c>
      <c r="HB136">
        <v>9</v>
      </c>
      <c r="HC136">
        <v>10</v>
      </c>
      <c r="HD136">
        <v>10</v>
      </c>
      <c r="HE136">
        <v>0.95833333333333326</v>
      </c>
      <c r="HF136">
        <v>10</v>
      </c>
      <c r="HG136">
        <v>0.52083333333333326</v>
      </c>
      <c r="HH136">
        <v>3.8541666666666665</v>
      </c>
      <c r="HI136">
        <v>6</v>
      </c>
      <c r="HJ136">
        <v>10</v>
      </c>
      <c r="HK136">
        <v>12</v>
      </c>
      <c r="HL136">
        <v>5.339108749518956E-3</v>
      </c>
      <c r="HM136">
        <v>7</v>
      </c>
      <c r="HN136">
        <v>1.6390948439129555E-2</v>
      </c>
      <c r="HO136">
        <v>4</v>
      </c>
      <c r="HP136">
        <v>-0.10133928571428573</v>
      </c>
      <c r="HQ136">
        <v>17</v>
      </c>
      <c r="HR136">
        <v>-0.77083333333333337</v>
      </c>
      <c r="HS136">
        <v>-1.875</v>
      </c>
      <c r="HT136">
        <v>-1.125</v>
      </c>
      <c r="HU136">
        <v>-0.16666666666666666</v>
      </c>
      <c r="HV136">
        <v>-49.020833333333329</v>
      </c>
      <c r="HW136">
        <v>-24.4375</v>
      </c>
      <c r="HX136">
        <v>-22.583333333333336</v>
      </c>
      <c r="HY136">
        <v>0.27083333333333326</v>
      </c>
      <c r="HZ136">
        <v>-2.270833333333333</v>
      </c>
      <c r="IA136">
        <v>21</v>
      </c>
      <c r="IB136">
        <v>-1.8879166666666678</v>
      </c>
      <c r="IC136">
        <v>-2.6009166666666665</v>
      </c>
      <c r="ID136">
        <v>-1.8541666666666643</v>
      </c>
      <c r="IE136">
        <v>12</v>
      </c>
      <c r="IF136">
        <v>-1.5258333333333336</v>
      </c>
      <c r="IG136">
        <v>-3.1458333333333339</v>
      </c>
    </row>
    <row r="137" spans="1:241" x14ac:dyDescent="0.2">
      <c r="A137" s="19">
        <v>44115</v>
      </c>
      <c r="B137" s="13" t="s">
        <v>381</v>
      </c>
      <c r="C137" s="41" t="s">
        <v>311</v>
      </c>
      <c r="D137" s="14" t="s">
        <v>297</v>
      </c>
      <c r="E137">
        <v>15.8</v>
      </c>
      <c r="F137">
        <v>33.1</v>
      </c>
      <c r="G137">
        <v>10.7</v>
      </c>
      <c r="H137">
        <v>13.7</v>
      </c>
      <c r="I137">
        <v>-5.5</v>
      </c>
      <c r="J137">
        <v>54.5</v>
      </c>
      <c r="L137" t="s">
        <v>311</v>
      </c>
      <c r="M137">
        <v>15</v>
      </c>
      <c r="N137">
        <v>-0.49458333333333293</v>
      </c>
      <c r="O137">
        <v>31</v>
      </c>
      <c r="P137">
        <v>28.5</v>
      </c>
      <c r="Q137">
        <v>28</v>
      </c>
      <c r="R137">
        <v>-6.0229166666666689</v>
      </c>
      <c r="S137">
        <v>30</v>
      </c>
      <c r="T137">
        <v>-5.0416666666666661</v>
      </c>
      <c r="U137">
        <v>29</v>
      </c>
      <c r="V137">
        <v>-21.229166666666668</v>
      </c>
      <c r="W137">
        <v>27</v>
      </c>
      <c r="X137">
        <v>-1.2291666666666665</v>
      </c>
      <c r="Y137">
        <v>23</v>
      </c>
      <c r="Z137">
        <v>22</v>
      </c>
      <c r="AA137">
        <v>23</v>
      </c>
      <c r="AB137">
        <v>-2.6791666666666685</v>
      </c>
      <c r="AC137">
        <v>28</v>
      </c>
      <c r="AD137">
        <v>-2.1041666666666665</v>
      </c>
      <c r="AE137">
        <v>22</v>
      </c>
      <c r="AF137">
        <v>-7.375</v>
      </c>
      <c r="AG137">
        <v>21</v>
      </c>
      <c r="AH137">
        <v>-0.625</v>
      </c>
      <c r="AI137">
        <v>31</v>
      </c>
      <c r="AJ137">
        <v>27.666666666666668</v>
      </c>
      <c r="AK137">
        <v>31</v>
      </c>
      <c r="AL137">
        <v>-3.34375</v>
      </c>
      <c r="AM137">
        <v>30</v>
      </c>
      <c r="AN137">
        <v>-2.9375</v>
      </c>
      <c r="AO137">
        <v>31</v>
      </c>
      <c r="AP137">
        <v>-13.854166666666668</v>
      </c>
      <c r="AQ137">
        <v>21</v>
      </c>
      <c r="AR137">
        <v>-0.60416666666666663</v>
      </c>
      <c r="AS137">
        <v>21</v>
      </c>
      <c r="AT137">
        <v>19.666666666666668</v>
      </c>
      <c r="AU137">
        <v>20</v>
      </c>
      <c r="AV137">
        <v>-3.0062499999999992</v>
      </c>
      <c r="AW137">
        <v>12</v>
      </c>
      <c r="AX137">
        <v>7.3541666666666661</v>
      </c>
      <c r="AY137">
        <v>27</v>
      </c>
      <c r="AZ137">
        <v>-2.541666666666667</v>
      </c>
      <c r="BA137">
        <v>22</v>
      </c>
      <c r="BB137">
        <v>22.333333333333332</v>
      </c>
      <c r="BC137">
        <v>18</v>
      </c>
      <c r="BD137">
        <v>-0.57708333333333339</v>
      </c>
      <c r="BE137">
        <v>17</v>
      </c>
      <c r="BF137">
        <v>-2.125</v>
      </c>
      <c r="BG137">
        <v>32</v>
      </c>
      <c r="BH137">
        <v>-2.229166666666667</v>
      </c>
      <c r="BI137">
        <v>11</v>
      </c>
      <c r="BJ137">
        <v>13.333333333333334</v>
      </c>
      <c r="BK137">
        <v>14</v>
      </c>
      <c r="BL137">
        <v>0.50208333333333366</v>
      </c>
      <c r="BM137">
        <v>9</v>
      </c>
      <c r="BN137">
        <v>7.75</v>
      </c>
      <c r="BO137">
        <v>17</v>
      </c>
      <c r="BP137">
        <v>8.3333333333333259E-2</v>
      </c>
      <c r="BQ137">
        <v>19</v>
      </c>
      <c r="BR137">
        <v>20.333333333333332</v>
      </c>
      <c r="BS137">
        <v>28</v>
      </c>
      <c r="BT137">
        <v>-2.9312499999999995</v>
      </c>
      <c r="BU137">
        <v>13</v>
      </c>
      <c r="BV137">
        <v>1.7291666666666661</v>
      </c>
      <c r="BW137">
        <v>20</v>
      </c>
      <c r="BX137">
        <v>-0.39583333333333326</v>
      </c>
      <c r="BY137">
        <v>1</v>
      </c>
      <c r="BZ137">
        <v>3</v>
      </c>
      <c r="CA137">
        <v>1</v>
      </c>
      <c r="CB137">
        <v>8.4520833333333325</v>
      </c>
      <c r="CC137">
        <v>1</v>
      </c>
      <c r="CD137">
        <v>53.0625</v>
      </c>
      <c r="CE137">
        <v>7</v>
      </c>
      <c r="CF137">
        <v>2.0833333333333335</v>
      </c>
      <c r="CG137">
        <v>20</v>
      </c>
      <c r="CH137">
        <v>20</v>
      </c>
      <c r="CI137">
        <v>17</v>
      </c>
      <c r="CJ137">
        <v>-6.6666666666666652E-2</v>
      </c>
      <c r="CK137">
        <v>18</v>
      </c>
      <c r="CL137">
        <v>-1.708333333333333</v>
      </c>
      <c r="CM137">
        <v>25</v>
      </c>
      <c r="CN137">
        <v>-1.3125</v>
      </c>
      <c r="CO137">
        <v>21</v>
      </c>
      <c r="CP137">
        <v>20.5</v>
      </c>
      <c r="CQ137">
        <v>19</v>
      </c>
      <c r="CR137">
        <v>-0.47916666666666674</v>
      </c>
      <c r="CS137">
        <v>22</v>
      </c>
      <c r="CT137">
        <v>-0.20833333333333326</v>
      </c>
      <c r="CU137">
        <v>-2.7083333333333335</v>
      </c>
      <c r="CV137">
        <v>2</v>
      </c>
      <c r="CW137">
        <v>8.25</v>
      </c>
      <c r="CX137">
        <v>10</v>
      </c>
      <c r="CY137">
        <v>2.3799941506435073E-2</v>
      </c>
      <c r="CZ137">
        <v>2</v>
      </c>
      <c r="DA137">
        <v>2.554616609204673E-2</v>
      </c>
      <c r="DB137">
        <v>9</v>
      </c>
      <c r="DC137">
        <v>-5.8735657008683329E-2</v>
      </c>
      <c r="DD137">
        <v>12</v>
      </c>
      <c r="DE137">
        <v>0.54166666666666652</v>
      </c>
      <c r="DF137">
        <v>-9.875</v>
      </c>
      <c r="DG137">
        <v>-0.89583333333333304</v>
      </c>
      <c r="DH137">
        <v>-0.5625</v>
      </c>
      <c r="DI137">
        <v>-34.583333333333329</v>
      </c>
      <c r="DJ137">
        <v>3.9375</v>
      </c>
      <c r="DK137">
        <v>-31.979166666666664</v>
      </c>
      <c r="DL137">
        <v>-5.3125</v>
      </c>
      <c r="DM137">
        <v>-1.2291666666666665</v>
      </c>
      <c r="DN137">
        <v>6</v>
      </c>
      <c r="DO137">
        <v>5.528333333333336</v>
      </c>
      <c r="DP137">
        <v>2.2979583333333347</v>
      </c>
      <c r="DQ137">
        <v>35.916666666666664</v>
      </c>
      <c r="DR137">
        <v>27</v>
      </c>
      <c r="DS137">
        <v>-1.2586979166666665</v>
      </c>
      <c r="DT137">
        <v>-3.854166666666667</v>
      </c>
      <c r="DU137">
        <v>0.67546875000000017</v>
      </c>
      <c r="DV137">
        <v>0.45838541666666677</v>
      </c>
      <c r="DW137" t="s">
        <v>297</v>
      </c>
      <c r="DX137" t="s">
        <v>474</v>
      </c>
      <c r="DY137" t="s">
        <v>475</v>
      </c>
      <c r="DZ137">
        <v>8</v>
      </c>
      <c r="EA137">
        <v>3.034166666666668</v>
      </c>
      <c r="EB137">
        <v>3</v>
      </c>
      <c r="EC137">
        <v>8.25</v>
      </c>
      <c r="ED137">
        <v>3</v>
      </c>
      <c r="EE137">
        <v>7.3395833333333327</v>
      </c>
      <c r="EF137">
        <v>11</v>
      </c>
      <c r="EG137">
        <v>1.4375000000000004</v>
      </c>
      <c r="EH137">
        <v>11</v>
      </c>
      <c r="EI137">
        <v>10.166666666666668</v>
      </c>
      <c r="EJ137">
        <v>8</v>
      </c>
      <c r="EK137">
        <v>0.97916666666666674</v>
      </c>
      <c r="EL137">
        <v>3</v>
      </c>
      <c r="EM137">
        <v>6.75</v>
      </c>
      <c r="EN137">
        <v>2</v>
      </c>
      <c r="EO137">
        <v>7.145833333333333</v>
      </c>
      <c r="EP137">
        <v>10</v>
      </c>
      <c r="EQ137">
        <v>1.166666666666667</v>
      </c>
      <c r="ER137">
        <v>12</v>
      </c>
      <c r="ES137">
        <v>7.9791666666666679</v>
      </c>
      <c r="ET137">
        <v>3</v>
      </c>
      <c r="EU137">
        <v>1.6458333333333335</v>
      </c>
      <c r="EV137">
        <v>14</v>
      </c>
      <c r="EW137">
        <v>13.666666666666666</v>
      </c>
      <c r="EX137">
        <v>15</v>
      </c>
      <c r="EY137">
        <v>0.19374999999999987</v>
      </c>
      <c r="EZ137">
        <v>13</v>
      </c>
      <c r="FA137">
        <v>0.27083333333333337</v>
      </c>
      <c r="FB137">
        <v>13</v>
      </c>
      <c r="FC137">
        <v>2.1875</v>
      </c>
      <c r="FD137">
        <v>25</v>
      </c>
      <c r="FE137">
        <v>-0.66666666666666674</v>
      </c>
      <c r="FF137">
        <v>26</v>
      </c>
      <c r="FG137">
        <v>23.666666666666668</v>
      </c>
      <c r="FH137">
        <v>16</v>
      </c>
      <c r="FI137">
        <v>-1.5187499999999996</v>
      </c>
      <c r="FJ137">
        <v>25</v>
      </c>
      <c r="FK137">
        <v>-16.125</v>
      </c>
      <c r="FL137">
        <v>30</v>
      </c>
      <c r="FM137">
        <v>-2.833333333333333</v>
      </c>
      <c r="FN137">
        <v>17</v>
      </c>
      <c r="FO137">
        <v>19</v>
      </c>
      <c r="FP137">
        <v>18</v>
      </c>
      <c r="FQ137">
        <v>-1.1354166666666667</v>
      </c>
      <c r="FR137">
        <v>20</v>
      </c>
      <c r="FS137">
        <v>-4.6041666666666679</v>
      </c>
      <c r="FT137">
        <v>19</v>
      </c>
      <c r="FU137">
        <v>-0.14583333333333326</v>
      </c>
      <c r="FV137">
        <v>25</v>
      </c>
      <c r="FW137">
        <v>23.666666666666668</v>
      </c>
      <c r="FX137">
        <v>16</v>
      </c>
      <c r="FY137">
        <v>-2.9166666666666119E-2</v>
      </c>
      <c r="FZ137">
        <v>27</v>
      </c>
      <c r="GA137">
        <v>-13.895833333333332</v>
      </c>
      <c r="GB137">
        <v>28</v>
      </c>
      <c r="GC137">
        <v>-1.2916666666666667</v>
      </c>
      <c r="GD137">
        <v>21</v>
      </c>
      <c r="GE137">
        <v>20.333333333333332</v>
      </c>
      <c r="GF137">
        <v>17</v>
      </c>
      <c r="GG137">
        <v>-0.35416666666666674</v>
      </c>
      <c r="GH137">
        <v>13</v>
      </c>
      <c r="GI137">
        <v>2.375</v>
      </c>
      <c r="GJ137">
        <v>31</v>
      </c>
      <c r="GK137">
        <v>-1.3958333333333333</v>
      </c>
      <c r="GL137">
        <v>4</v>
      </c>
      <c r="GM137">
        <v>4.666666666666667</v>
      </c>
      <c r="GN137">
        <v>2</v>
      </c>
      <c r="GO137">
        <v>7.6208333333333353</v>
      </c>
      <c r="GP137">
        <v>5</v>
      </c>
      <c r="GQ137">
        <v>23.083333333333332</v>
      </c>
      <c r="GR137">
        <v>7</v>
      </c>
      <c r="GS137">
        <v>0.8125</v>
      </c>
      <c r="GT137">
        <v>23</v>
      </c>
      <c r="GU137">
        <v>20.333333333333332</v>
      </c>
      <c r="GV137">
        <v>14</v>
      </c>
      <c r="GW137">
        <v>-0.67291666666666727</v>
      </c>
      <c r="GX137">
        <v>18</v>
      </c>
      <c r="GY137">
        <v>-3.3958333333333339</v>
      </c>
      <c r="GZ137">
        <v>29</v>
      </c>
      <c r="HA137">
        <v>-1.3541666666666667</v>
      </c>
      <c r="HB137">
        <v>24</v>
      </c>
      <c r="HC137">
        <v>24.5</v>
      </c>
      <c r="HD137">
        <v>21</v>
      </c>
      <c r="HE137">
        <v>-1.0416666666666665</v>
      </c>
      <c r="HF137">
        <v>28</v>
      </c>
      <c r="HG137">
        <v>-0.75</v>
      </c>
      <c r="HH137">
        <v>-0.125</v>
      </c>
      <c r="HI137">
        <v>31</v>
      </c>
      <c r="HJ137">
        <v>26.25</v>
      </c>
      <c r="HK137">
        <v>22</v>
      </c>
      <c r="HL137">
        <v>-2.1382092225594514E-2</v>
      </c>
      <c r="HM137">
        <v>26</v>
      </c>
      <c r="HN137">
        <v>-2.0308756240128789E-2</v>
      </c>
      <c r="HO137">
        <v>31</v>
      </c>
      <c r="HP137">
        <v>0.11970876345876344</v>
      </c>
      <c r="HQ137">
        <v>26</v>
      </c>
      <c r="HR137">
        <v>-2.0208333333333335</v>
      </c>
      <c r="HS137">
        <v>-4.1875</v>
      </c>
      <c r="HT137">
        <v>5.270833333333333</v>
      </c>
      <c r="HU137">
        <v>-1</v>
      </c>
      <c r="HV137">
        <v>26.395833333333329</v>
      </c>
      <c r="HW137">
        <v>3.3333333333333286</v>
      </c>
      <c r="HX137">
        <v>9.0208333333333321</v>
      </c>
      <c r="HY137">
        <v>12.958333333333334</v>
      </c>
      <c r="HZ137">
        <v>1.0833333333333335</v>
      </c>
      <c r="IA137">
        <v>24</v>
      </c>
      <c r="IB137">
        <v>-4.3054166666666642</v>
      </c>
      <c r="IC137">
        <v>-3.501291666666666</v>
      </c>
      <c r="ID137">
        <v>-5.6875000000000036</v>
      </c>
      <c r="IE137">
        <v>9</v>
      </c>
      <c r="IF137">
        <v>0.89255208333333358</v>
      </c>
      <c r="IG137">
        <v>-4.1875</v>
      </c>
    </row>
    <row r="138" spans="1:241" x14ac:dyDescent="0.2">
      <c r="A138" s="19">
        <v>44115</v>
      </c>
      <c r="B138" s="13" t="s">
        <v>381</v>
      </c>
      <c r="C138" s="41" t="s">
        <v>289</v>
      </c>
      <c r="D138" s="14" t="s">
        <v>281</v>
      </c>
      <c r="E138">
        <v>12.9</v>
      </c>
      <c r="F138">
        <v>3.5</v>
      </c>
      <c r="G138">
        <v>8.3000000000000007</v>
      </c>
      <c r="H138">
        <v>8.3000000000000007</v>
      </c>
      <c r="I138">
        <v>1</v>
      </c>
      <c r="J138">
        <v>48.5</v>
      </c>
      <c r="K138" t="s">
        <v>735</v>
      </c>
      <c r="L138" t="s">
        <v>289</v>
      </c>
      <c r="M138">
        <v>30</v>
      </c>
      <c r="N138">
        <v>-5.0787499999999994</v>
      </c>
      <c r="O138">
        <v>13</v>
      </c>
      <c r="P138">
        <v>14</v>
      </c>
      <c r="Q138">
        <v>14</v>
      </c>
      <c r="R138">
        <v>0.80624999999999947</v>
      </c>
      <c r="S138">
        <v>11</v>
      </c>
      <c r="T138">
        <v>1.375</v>
      </c>
      <c r="U138">
        <v>18</v>
      </c>
      <c r="V138">
        <v>-4.9375</v>
      </c>
      <c r="W138">
        <v>13</v>
      </c>
      <c r="X138">
        <v>0.375</v>
      </c>
      <c r="Y138">
        <v>25</v>
      </c>
      <c r="Z138">
        <v>22.333333333333332</v>
      </c>
      <c r="AA138">
        <v>19</v>
      </c>
      <c r="AB138">
        <v>-1.0375000000000005</v>
      </c>
      <c r="AC138">
        <v>20</v>
      </c>
      <c r="AD138">
        <v>-1.1875</v>
      </c>
      <c r="AE138">
        <v>26</v>
      </c>
      <c r="AF138">
        <v>-12.6875</v>
      </c>
      <c r="AG138">
        <v>22</v>
      </c>
      <c r="AH138">
        <v>-0.6875</v>
      </c>
      <c r="AI138">
        <v>3</v>
      </c>
      <c r="AJ138">
        <v>5.666666666666667</v>
      </c>
      <c r="AK138">
        <v>6</v>
      </c>
      <c r="AL138">
        <v>1.84375</v>
      </c>
      <c r="AM138">
        <v>6</v>
      </c>
      <c r="AN138">
        <v>2.5625</v>
      </c>
      <c r="AO138">
        <v>6</v>
      </c>
      <c r="AP138">
        <v>7.75</v>
      </c>
      <c r="AQ138">
        <v>5</v>
      </c>
      <c r="AR138">
        <v>1.0625</v>
      </c>
      <c r="AS138">
        <v>30</v>
      </c>
      <c r="AT138">
        <v>28.333333333333332</v>
      </c>
      <c r="AU138">
        <v>31</v>
      </c>
      <c r="AV138">
        <v>-11.024999999999999</v>
      </c>
      <c r="AW138">
        <v>30</v>
      </c>
      <c r="AX138">
        <v>-43.4375</v>
      </c>
      <c r="AY138">
        <v>24</v>
      </c>
      <c r="AZ138">
        <v>-1.875</v>
      </c>
      <c r="BA138">
        <v>31</v>
      </c>
      <c r="BB138">
        <v>30.333333333333332</v>
      </c>
      <c r="BC138">
        <v>31</v>
      </c>
      <c r="BD138">
        <v>-7.1812500000000004</v>
      </c>
      <c r="BE138">
        <v>32</v>
      </c>
      <c r="BF138">
        <v>-26.75</v>
      </c>
      <c r="BG138">
        <v>28</v>
      </c>
      <c r="BH138">
        <v>-1.75</v>
      </c>
      <c r="BI138">
        <v>18</v>
      </c>
      <c r="BJ138">
        <v>17</v>
      </c>
      <c r="BK138">
        <v>23</v>
      </c>
      <c r="BL138">
        <v>-1.9562499999999998</v>
      </c>
      <c r="BM138">
        <v>23</v>
      </c>
      <c r="BN138">
        <v>-10.1875</v>
      </c>
      <c r="BO138">
        <v>5</v>
      </c>
      <c r="BP138">
        <v>0.9375</v>
      </c>
      <c r="BQ138">
        <v>28</v>
      </c>
      <c r="BR138">
        <v>24.333333333333332</v>
      </c>
      <c r="BS138">
        <v>24</v>
      </c>
      <c r="BT138">
        <v>-1.8874999999999997</v>
      </c>
      <c r="BU138">
        <v>25</v>
      </c>
      <c r="BV138">
        <v>-6.5</v>
      </c>
      <c r="BW138">
        <v>24</v>
      </c>
      <c r="BX138">
        <v>-1.0625</v>
      </c>
      <c r="BY138">
        <v>27</v>
      </c>
      <c r="BZ138">
        <v>25.333333333333332</v>
      </c>
      <c r="CA138">
        <v>26</v>
      </c>
      <c r="CB138">
        <v>-5.0562500000000021</v>
      </c>
      <c r="CC138">
        <v>25</v>
      </c>
      <c r="CD138">
        <v>-14.3125</v>
      </c>
      <c r="CE138">
        <v>25</v>
      </c>
      <c r="CF138">
        <v>-1.5625</v>
      </c>
      <c r="CG138">
        <v>14</v>
      </c>
      <c r="CH138">
        <v>14</v>
      </c>
      <c r="CI138">
        <v>14</v>
      </c>
      <c r="CJ138">
        <v>0.81875000000000098</v>
      </c>
      <c r="CK138">
        <v>8</v>
      </c>
      <c r="CL138">
        <v>10.6875</v>
      </c>
      <c r="CM138">
        <v>20</v>
      </c>
      <c r="CN138">
        <v>-0.875</v>
      </c>
      <c r="CO138">
        <v>11</v>
      </c>
      <c r="CP138">
        <v>11.5</v>
      </c>
      <c r="CQ138">
        <v>16</v>
      </c>
      <c r="CR138">
        <v>-0.125</v>
      </c>
      <c r="CS138">
        <v>7</v>
      </c>
      <c r="CT138">
        <v>0.375</v>
      </c>
      <c r="CU138">
        <v>5.375</v>
      </c>
      <c r="CV138">
        <v>29</v>
      </c>
      <c r="CW138">
        <v>24.75</v>
      </c>
      <c r="CX138">
        <v>27</v>
      </c>
      <c r="CY138">
        <v>-5.1221838688917762E-2</v>
      </c>
      <c r="CZ138">
        <v>22</v>
      </c>
      <c r="DA138">
        <v>-7.7859167647405317E-3</v>
      </c>
      <c r="DB138">
        <v>30</v>
      </c>
      <c r="DC138">
        <v>9.8561507936507961E-2</v>
      </c>
      <c r="DD138">
        <v>20</v>
      </c>
      <c r="DE138">
        <v>-0.5</v>
      </c>
      <c r="DF138">
        <v>-1.25</v>
      </c>
      <c r="DG138">
        <v>-5.875</v>
      </c>
      <c r="DH138">
        <v>2.875</v>
      </c>
      <c r="DI138">
        <v>-27.375</v>
      </c>
      <c r="DJ138">
        <v>-13.3125</v>
      </c>
      <c r="DK138">
        <v>-0.3125</v>
      </c>
      <c r="DL138">
        <v>-2.8125</v>
      </c>
      <c r="DM138">
        <v>-10.9375</v>
      </c>
      <c r="DN138">
        <v>25</v>
      </c>
      <c r="DO138">
        <v>-5.8849999999999989</v>
      </c>
      <c r="DP138">
        <v>-3.4601249999999992</v>
      </c>
      <c r="DQ138">
        <v>-13</v>
      </c>
      <c r="DR138">
        <v>8</v>
      </c>
      <c r="DS138">
        <v>-1.8254687499999998</v>
      </c>
      <c r="DT138">
        <v>-2.75</v>
      </c>
      <c r="DU138">
        <v>-0.53890624999999992</v>
      </c>
      <c r="DV138">
        <v>-3.1548437499999999</v>
      </c>
      <c r="DW138" t="s">
        <v>281</v>
      </c>
      <c r="DX138" t="s">
        <v>266</v>
      </c>
      <c r="DY138" t="s">
        <v>498</v>
      </c>
      <c r="DZ138">
        <v>3</v>
      </c>
      <c r="EA138">
        <v>4.5975000000000001</v>
      </c>
      <c r="EB138">
        <v>20</v>
      </c>
      <c r="EC138">
        <v>19.25</v>
      </c>
      <c r="ED138">
        <v>17</v>
      </c>
      <c r="EE138">
        <v>-0.12500000000000044</v>
      </c>
      <c r="EF138">
        <v>25</v>
      </c>
      <c r="EG138">
        <v>-2.6875</v>
      </c>
      <c r="EH138">
        <v>26</v>
      </c>
      <c r="EI138">
        <v>-18.0625</v>
      </c>
      <c r="EJ138">
        <v>9</v>
      </c>
      <c r="EK138">
        <v>0.8125</v>
      </c>
      <c r="EL138">
        <v>27</v>
      </c>
      <c r="EM138">
        <v>23.75</v>
      </c>
      <c r="EN138">
        <v>27</v>
      </c>
      <c r="EO138">
        <v>-3.4812499999999997</v>
      </c>
      <c r="EP138">
        <v>29</v>
      </c>
      <c r="EQ138">
        <v>-2.8125</v>
      </c>
      <c r="ER138">
        <v>26</v>
      </c>
      <c r="ES138">
        <v>-12.6875</v>
      </c>
      <c r="ET138">
        <v>13</v>
      </c>
      <c r="EU138">
        <v>6.25E-2</v>
      </c>
      <c r="EV138">
        <v>13</v>
      </c>
      <c r="EW138">
        <v>13</v>
      </c>
      <c r="EX138">
        <v>1</v>
      </c>
      <c r="EY138">
        <v>3.3562499999999993</v>
      </c>
      <c r="EZ138">
        <v>16</v>
      </c>
      <c r="FA138">
        <v>0.125</v>
      </c>
      <c r="FB138">
        <v>22</v>
      </c>
      <c r="FC138">
        <v>-5.375</v>
      </c>
      <c r="FD138">
        <v>6</v>
      </c>
      <c r="FE138">
        <v>0.75</v>
      </c>
      <c r="FF138">
        <v>6</v>
      </c>
      <c r="FG138">
        <v>6.333333333333333</v>
      </c>
      <c r="FH138">
        <v>6</v>
      </c>
      <c r="FI138">
        <v>6.7999999999999989</v>
      </c>
      <c r="FJ138">
        <v>7</v>
      </c>
      <c r="FK138">
        <v>9.75</v>
      </c>
      <c r="FL138">
        <v>6</v>
      </c>
      <c r="FM138">
        <v>1.75</v>
      </c>
      <c r="FN138">
        <v>6</v>
      </c>
      <c r="FO138">
        <v>6.666666666666667</v>
      </c>
      <c r="FP138">
        <v>5</v>
      </c>
      <c r="FQ138">
        <v>4.28125</v>
      </c>
      <c r="FR138">
        <v>3</v>
      </c>
      <c r="FS138">
        <v>13.125</v>
      </c>
      <c r="FT138">
        <v>12</v>
      </c>
      <c r="FU138">
        <v>0.125</v>
      </c>
      <c r="FV138">
        <v>5</v>
      </c>
      <c r="FW138">
        <v>8</v>
      </c>
      <c r="FX138">
        <v>4</v>
      </c>
      <c r="FY138">
        <v>4.6999999999999993</v>
      </c>
      <c r="FZ138">
        <v>17</v>
      </c>
      <c r="GA138">
        <v>1.9375</v>
      </c>
      <c r="GB138">
        <v>3</v>
      </c>
      <c r="GC138">
        <v>1.375</v>
      </c>
      <c r="GD138">
        <v>23</v>
      </c>
      <c r="GE138">
        <v>21</v>
      </c>
      <c r="GF138">
        <v>26</v>
      </c>
      <c r="GG138">
        <v>-2.1812500000000004</v>
      </c>
      <c r="GH138">
        <v>24</v>
      </c>
      <c r="GI138">
        <v>-5.3125</v>
      </c>
      <c r="GJ138">
        <v>13</v>
      </c>
      <c r="GK138">
        <v>0.25</v>
      </c>
      <c r="GL138">
        <v>1</v>
      </c>
      <c r="GM138">
        <v>1.6666666666666667</v>
      </c>
      <c r="GN138">
        <v>1</v>
      </c>
      <c r="GO138">
        <v>14.3125</v>
      </c>
      <c r="GP138">
        <v>2</v>
      </c>
      <c r="GQ138">
        <v>48.125</v>
      </c>
      <c r="GR138">
        <v>2</v>
      </c>
      <c r="GS138">
        <v>4.4375</v>
      </c>
      <c r="GT138">
        <v>2</v>
      </c>
      <c r="GU138">
        <v>2.6666666666666665</v>
      </c>
      <c r="GV138">
        <v>3</v>
      </c>
      <c r="GW138">
        <v>7.21875</v>
      </c>
      <c r="GX138">
        <v>4</v>
      </c>
      <c r="GY138">
        <v>20.3125</v>
      </c>
      <c r="GZ138">
        <v>1</v>
      </c>
      <c r="HA138">
        <v>2.625</v>
      </c>
      <c r="HB138">
        <v>30</v>
      </c>
      <c r="HC138">
        <v>28.5</v>
      </c>
      <c r="HD138">
        <v>26</v>
      </c>
      <c r="HE138">
        <v>-1.875</v>
      </c>
      <c r="HF138">
        <v>31</v>
      </c>
      <c r="HG138">
        <v>-1</v>
      </c>
      <c r="HH138">
        <v>-2.0625</v>
      </c>
      <c r="HI138">
        <v>22</v>
      </c>
      <c r="HJ138">
        <v>20</v>
      </c>
      <c r="HK138">
        <v>21</v>
      </c>
      <c r="HL138">
        <v>-1.1554494438113898E-2</v>
      </c>
      <c r="HM138">
        <v>21</v>
      </c>
      <c r="HN138">
        <v>-1.0383526260958136E-2</v>
      </c>
      <c r="HO138">
        <v>25</v>
      </c>
      <c r="HP138">
        <v>4.5928724053724015E-2</v>
      </c>
      <c r="HQ138">
        <v>13</v>
      </c>
      <c r="HR138">
        <v>-0.1875</v>
      </c>
      <c r="HS138">
        <v>3.0625</v>
      </c>
      <c r="HT138">
        <v>5.75</v>
      </c>
      <c r="HU138">
        <v>-0.875</v>
      </c>
      <c r="HV138">
        <v>23.0625</v>
      </c>
      <c r="HW138">
        <v>48.5</v>
      </c>
      <c r="HX138">
        <v>-21.25</v>
      </c>
      <c r="HY138">
        <v>3.3125</v>
      </c>
      <c r="HZ138">
        <v>-7.5</v>
      </c>
      <c r="IA138">
        <v>9</v>
      </c>
      <c r="IB138">
        <v>4.7225000000000001</v>
      </c>
      <c r="IC138">
        <v>3.7857500000000002</v>
      </c>
      <c r="ID138">
        <v>69.75</v>
      </c>
      <c r="IE138">
        <v>24</v>
      </c>
      <c r="IF138">
        <v>2.0770312500000001</v>
      </c>
      <c r="IG138">
        <v>4.375</v>
      </c>
    </row>
    <row r="139" spans="1:241" x14ac:dyDescent="0.2">
      <c r="A139" s="19">
        <v>44115</v>
      </c>
      <c r="B139" s="13" t="s">
        <v>381</v>
      </c>
      <c r="C139" s="41" t="s">
        <v>297</v>
      </c>
      <c r="D139" s="14" t="s">
        <v>311</v>
      </c>
      <c r="E139">
        <v>4.5999999999999996</v>
      </c>
      <c r="F139">
        <v>14.9</v>
      </c>
      <c r="G139">
        <v>10.7</v>
      </c>
      <c r="H139">
        <v>4.5999999999999996</v>
      </c>
      <c r="I139">
        <v>5.5</v>
      </c>
      <c r="J139">
        <v>54.5</v>
      </c>
      <c r="L139" t="s">
        <v>297</v>
      </c>
      <c r="M139">
        <v>6</v>
      </c>
      <c r="N139">
        <v>2.4804166666666667</v>
      </c>
      <c r="O139">
        <v>19</v>
      </c>
      <c r="P139">
        <v>18.75</v>
      </c>
      <c r="Q139">
        <v>12</v>
      </c>
      <c r="R139">
        <v>1.3874999999999988</v>
      </c>
      <c r="S139">
        <v>29</v>
      </c>
      <c r="T139">
        <v>-4.0208333333333339</v>
      </c>
      <c r="U139">
        <v>30</v>
      </c>
      <c r="V139">
        <v>-26.666666666666664</v>
      </c>
      <c r="W139">
        <v>4</v>
      </c>
      <c r="X139">
        <v>1.7083333333333333</v>
      </c>
      <c r="Y139">
        <v>17</v>
      </c>
      <c r="Z139">
        <v>15.333333333333334</v>
      </c>
      <c r="AA139">
        <v>11</v>
      </c>
      <c r="AB139">
        <v>2.2374999999999989</v>
      </c>
      <c r="AC139">
        <v>15</v>
      </c>
      <c r="AD139">
        <v>-0.54166666666666696</v>
      </c>
      <c r="AE139">
        <v>23</v>
      </c>
      <c r="AF139">
        <v>-9.2083333333333321</v>
      </c>
      <c r="AG139">
        <v>12</v>
      </c>
      <c r="AH139">
        <v>0.4375</v>
      </c>
      <c r="AI139">
        <v>21</v>
      </c>
      <c r="AJ139">
        <v>18.666666666666668</v>
      </c>
      <c r="AK139">
        <v>21</v>
      </c>
      <c r="AL139">
        <v>-0.8500000000000002</v>
      </c>
      <c r="AM139">
        <v>32</v>
      </c>
      <c r="AN139">
        <v>-3.479166666666667</v>
      </c>
      <c r="AO139">
        <v>32</v>
      </c>
      <c r="AP139">
        <v>-17.458333333333332</v>
      </c>
      <c r="AQ139">
        <v>3</v>
      </c>
      <c r="AR139">
        <v>1.2708333333333333</v>
      </c>
      <c r="AS139">
        <v>15</v>
      </c>
      <c r="AT139">
        <v>14</v>
      </c>
      <c r="AU139">
        <v>10</v>
      </c>
      <c r="AV139">
        <v>5.1104166666666666</v>
      </c>
      <c r="AW139">
        <v>17</v>
      </c>
      <c r="AX139">
        <v>2.0833333333333925E-2</v>
      </c>
      <c r="AY139">
        <v>15</v>
      </c>
      <c r="AZ139">
        <v>0.35416666666666674</v>
      </c>
      <c r="BA139">
        <v>18</v>
      </c>
      <c r="BB139">
        <v>19.666666666666668</v>
      </c>
      <c r="BC139">
        <v>16</v>
      </c>
      <c r="BD139">
        <v>0.41041666666666643</v>
      </c>
      <c r="BE139">
        <v>18</v>
      </c>
      <c r="BF139">
        <v>-3.6458333333333339</v>
      </c>
      <c r="BG139">
        <v>25</v>
      </c>
      <c r="BH139">
        <v>-1.4791666666666667</v>
      </c>
      <c r="BI139">
        <v>14</v>
      </c>
      <c r="BJ139">
        <v>14.333333333333334</v>
      </c>
      <c r="BK139">
        <v>13</v>
      </c>
      <c r="BL139">
        <v>1.1937500000000008</v>
      </c>
      <c r="BM139">
        <v>15</v>
      </c>
      <c r="BN139">
        <v>-4.2083333333333321</v>
      </c>
      <c r="BO139">
        <v>15</v>
      </c>
      <c r="BP139">
        <v>0.125</v>
      </c>
      <c r="BQ139">
        <v>5</v>
      </c>
      <c r="BR139">
        <v>6</v>
      </c>
      <c r="BS139">
        <v>5</v>
      </c>
      <c r="BT139">
        <v>3.5062499999999996</v>
      </c>
      <c r="BU139">
        <v>10</v>
      </c>
      <c r="BV139">
        <v>7.875</v>
      </c>
      <c r="BW139">
        <v>3</v>
      </c>
      <c r="BX139">
        <v>1.7083333333333335</v>
      </c>
      <c r="BY139">
        <v>8</v>
      </c>
      <c r="BZ139">
        <v>8.3333333333333339</v>
      </c>
      <c r="CA139">
        <v>8</v>
      </c>
      <c r="CB139">
        <v>3.8166666666666655</v>
      </c>
      <c r="CC139">
        <v>6</v>
      </c>
      <c r="CD139">
        <v>21.291666666666668</v>
      </c>
      <c r="CE139">
        <v>11</v>
      </c>
      <c r="CF139">
        <v>1.1875</v>
      </c>
      <c r="CG139">
        <v>22</v>
      </c>
      <c r="CH139">
        <v>22.666666666666668</v>
      </c>
      <c r="CI139">
        <v>24</v>
      </c>
      <c r="CJ139">
        <v>-2.2000000000000002</v>
      </c>
      <c r="CK139">
        <v>25</v>
      </c>
      <c r="CL139">
        <v>-13.666666666666666</v>
      </c>
      <c r="CM139">
        <v>19</v>
      </c>
      <c r="CN139">
        <v>-0.6875</v>
      </c>
      <c r="CO139">
        <v>3</v>
      </c>
      <c r="CP139">
        <v>4</v>
      </c>
      <c r="CQ139">
        <v>4</v>
      </c>
      <c r="CR139">
        <v>2.020833333333333</v>
      </c>
      <c r="CS139">
        <v>4</v>
      </c>
      <c r="CT139">
        <v>0.5625</v>
      </c>
      <c r="CU139">
        <v>-2.0208333333333335</v>
      </c>
      <c r="CV139">
        <v>18</v>
      </c>
      <c r="CW139">
        <v>16.75</v>
      </c>
      <c r="CX139">
        <v>32</v>
      </c>
      <c r="CY139">
        <v>-8.5500211441152468E-2</v>
      </c>
      <c r="CZ139">
        <v>14</v>
      </c>
      <c r="DA139">
        <v>1.6232042218169446E-3</v>
      </c>
      <c r="DB139">
        <v>4</v>
      </c>
      <c r="DC139">
        <v>-0.13023914742664744</v>
      </c>
      <c r="DD139">
        <v>17</v>
      </c>
      <c r="DE139">
        <v>-0.125</v>
      </c>
      <c r="DF139">
        <v>-1.8333333333333339</v>
      </c>
      <c r="DG139">
        <v>1.895833333333333</v>
      </c>
      <c r="DH139">
        <v>0</v>
      </c>
      <c r="DI139">
        <v>7.7708333333333286</v>
      </c>
      <c r="DJ139">
        <v>35.395833333333329</v>
      </c>
      <c r="DK139">
        <v>-33.541666666666664</v>
      </c>
      <c r="DL139">
        <v>7.6458333333333339</v>
      </c>
      <c r="DM139">
        <v>-1.7291666666666661</v>
      </c>
      <c r="DN139">
        <v>13</v>
      </c>
      <c r="DO139">
        <v>1.0929166666666679</v>
      </c>
      <c r="DP139">
        <v>0.38441666666666729</v>
      </c>
      <c r="DQ139">
        <v>68.9375</v>
      </c>
      <c r="DR139">
        <v>20</v>
      </c>
      <c r="DS139">
        <v>1.0998958333333331</v>
      </c>
      <c r="DT139">
        <v>-0.33333333333333326</v>
      </c>
      <c r="DU139">
        <v>0.67546875000000017</v>
      </c>
      <c r="DV139">
        <v>0.89255208333333358</v>
      </c>
      <c r="DW139" t="s">
        <v>311</v>
      </c>
      <c r="DX139" t="s">
        <v>275</v>
      </c>
      <c r="DY139" t="s">
        <v>477</v>
      </c>
      <c r="DZ139">
        <v>26</v>
      </c>
      <c r="EA139">
        <v>-3.5850000000000004</v>
      </c>
      <c r="EB139">
        <v>1</v>
      </c>
      <c r="EC139">
        <v>6</v>
      </c>
      <c r="ED139">
        <v>2</v>
      </c>
      <c r="EE139">
        <v>7.5791666666666675</v>
      </c>
      <c r="EF139">
        <v>1</v>
      </c>
      <c r="EG139">
        <v>6.833333333333333</v>
      </c>
      <c r="EH139">
        <v>2</v>
      </c>
      <c r="EI139">
        <v>43.479166666666671</v>
      </c>
      <c r="EJ139">
        <v>19</v>
      </c>
      <c r="EK139">
        <v>-0.39583333333333326</v>
      </c>
      <c r="EL139">
        <v>1</v>
      </c>
      <c r="EM139">
        <v>5.25</v>
      </c>
      <c r="EN139">
        <v>4</v>
      </c>
      <c r="EO139">
        <v>6.6208333333333345</v>
      </c>
      <c r="EP139">
        <v>2</v>
      </c>
      <c r="EQ139">
        <v>4.083333333333333</v>
      </c>
      <c r="ER139">
        <v>3</v>
      </c>
      <c r="ES139">
        <v>25.916666666666668</v>
      </c>
      <c r="ET139">
        <v>12</v>
      </c>
      <c r="EU139">
        <v>0.20833333333333337</v>
      </c>
      <c r="EV139">
        <v>2</v>
      </c>
      <c r="EW139">
        <v>4.333333333333333</v>
      </c>
      <c r="EX139">
        <v>8</v>
      </c>
      <c r="EY139">
        <v>0.95833333333333326</v>
      </c>
      <c r="EZ139">
        <v>2</v>
      </c>
      <c r="FA139">
        <v>2.75</v>
      </c>
      <c r="FB139">
        <v>3</v>
      </c>
      <c r="FC139">
        <v>17.5625</v>
      </c>
      <c r="FD139">
        <v>24</v>
      </c>
      <c r="FE139">
        <v>-0.60416666666666663</v>
      </c>
      <c r="FF139">
        <v>18</v>
      </c>
      <c r="FG139">
        <v>17.666666666666668</v>
      </c>
      <c r="FH139">
        <v>18</v>
      </c>
      <c r="FI139">
        <v>-2.1749999999999989</v>
      </c>
      <c r="FJ139">
        <v>23</v>
      </c>
      <c r="FK139">
        <v>-11.041666666666666</v>
      </c>
      <c r="FL139">
        <v>12</v>
      </c>
      <c r="FM139">
        <v>0.27083333333333315</v>
      </c>
      <c r="FN139">
        <v>13</v>
      </c>
      <c r="FO139">
        <v>17</v>
      </c>
      <c r="FP139">
        <v>14</v>
      </c>
      <c r="FQ139">
        <v>-0.27916666666666634</v>
      </c>
      <c r="FR139">
        <v>22</v>
      </c>
      <c r="FS139">
        <v>-6.5</v>
      </c>
      <c r="FT139">
        <v>15</v>
      </c>
      <c r="FU139">
        <v>-6.25E-2</v>
      </c>
      <c r="FV139">
        <v>8</v>
      </c>
      <c r="FW139">
        <v>10.666666666666666</v>
      </c>
      <c r="FX139">
        <v>11</v>
      </c>
      <c r="FY139">
        <v>1.5395833333333335</v>
      </c>
      <c r="FZ139">
        <v>10</v>
      </c>
      <c r="GA139">
        <v>7.9375</v>
      </c>
      <c r="GB139">
        <v>11</v>
      </c>
      <c r="GC139">
        <v>0.60416666666666652</v>
      </c>
      <c r="GD139">
        <v>27</v>
      </c>
      <c r="GE139">
        <v>26</v>
      </c>
      <c r="GF139">
        <v>31</v>
      </c>
      <c r="GG139">
        <v>-3.4354166666666663</v>
      </c>
      <c r="GH139">
        <v>29</v>
      </c>
      <c r="GI139">
        <v>-12.479166666666666</v>
      </c>
      <c r="GJ139">
        <v>18</v>
      </c>
      <c r="GK139">
        <v>-0.27083333333333337</v>
      </c>
      <c r="GL139">
        <v>28</v>
      </c>
      <c r="GM139">
        <v>27.333333333333332</v>
      </c>
      <c r="GN139">
        <v>28</v>
      </c>
      <c r="GO139">
        <v>-4.572916666666667</v>
      </c>
      <c r="GP139">
        <v>27</v>
      </c>
      <c r="GQ139">
        <v>-17.1875</v>
      </c>
      <c r="GR139">
        <v>27</v>
      </c>
      <c r="GS139">
        <v>-1.4166666666666665</v>
      </c>
      <c r="GT139">
        <v>15</v>
      </c>
      <c r="GU139">
        <v>16.333333333333332</v>
      </c>
      <c r="GV139">
        <v>12</v>
      </c>
      <c r="GW139">
        <v>-0.29791666666666683</v>
      </c>
      <c r="GX139">
        <v>17</v>
      </c>
      <c r="GY139">
        <v>-2.9791666666666661</v>
      </c>
      <c r="GZ139">
        <v>20</v>
      </c>
      <c r="HA139">
        <v>-0.47916666666666674</v>
      </c>
      <c r="HB139">
        <v>6</v>
      </c>
      <c r="HC139">
        <v>6.5</v>
      </c>
      <c r="HD139">
        <v>6</v>
      </c>
      <c r="HE139">
        <v>2.145833333333333</v>
      </c>
      <c r="HF139">
        <v>7</v>
      </c>
      <c r="HG139">
        <v>0.70833333333333326</v>
      </c>
      <c r="HH139">
        <v>0.54166666666666652</v>
      </c>
      <c r="HI139">
        <v>28</v>
      </c>
      <c r="HJ139">
        <v>22</v>
      </c>
      <c r="HK139">
        <v>23</v>
      </c>
      <c r="HL139">
        <v>-2.5216139878508535E-2</v>
      </c>
      <c r="HM139">
        <v>5</v>
      </c>
      <c r="HN139">
        <v>2.1126419863558354E-2</v>
      </c>
      <c r="HO139">
        <v>32</v>
      </c>
      <c r="HP139">
        <v>0.14818159271284273</v>
      </c>
      <c r="HQ139">
        <v>28</v>
      </c>
      <c r="HR139">
        <v>-2.7083333333333335</v>
      </c>
      <c r="HS139">
        <v>6.25</v>
      </c>
      <c r="HT139">
        <v>3</v>
      </c>
      <c r="HU139">
        <v>0.27083333333333337</v>
      </c>
      <c r="HV139">
        <v>25.979166666666671</v>
      </c>
      <c r="HW139">
        <v>-11.4375</v>
      </c>
      <c r="HX139">
        <v>48.291666666666664</v>
      </c>
      <c r="HY139">
        <v>0.33333333333333304</v>
      </c>
      <c r="HZ139">
        <v>-11.208333333333332</v>
      </c>
      <c r="IA139">
        <v>31</v>
      </c>
      <c r="IB139">
        <v>-11.164166666666668</v>
      </c>
      <c r="IC139">
        <v>-5.0011666666666672</v>
      </c>
      <c r="ID139">
        <v>-59.729166666666664</v>
      </c>
      <c r="IE139">
        <v>2</v>
      </c>
      <c r="IF139">
        <v>0.45838541666666677</v>
      </c>
      <c r="IG139">
        <v>-0.20833333333333359</v>
      </c>
    </row>
    <row r="140" spans="1:241" x14ac:dyDescent="0.2">
      <c r="A140" s="19">
        <v>44115</v>
      </c>
      <c r="B140" s="13" t="s">
        <v>381</v>
      </c>
      <c r="C140" s="41" t="s">
        <v>288</v>
      </c>
      <c r="D140" s="14" t="s">
        <v>303</v>
      </c>
      <c r="E140">
        <v>18.3</v>
      </c>
      <c r="F140">
        <v>10.4</v>
      </c>
      <c r="G140">
        <v>7</v>
      </c>
      <c r="H140">
        <v>27.8</v>
      </c>
      <c r="I140">
        <v>-10.5</v>
      </c>
      <c r="J140">
        <v>54</v>
      </c>
      <c r="L140" t="s">
        <v>288</v>
      </c>
      <c r="M140">
        <v>4</v>
      </c>
      <c r="N140">
        <v>7.1087499999999997</v>
      </c>
      <c r="O140">
        <v>21</v>
      </c>
      <c r="P140">
        <v>19.75</v>
      </c>
      <c r="Q140">
        <v>22</v>
      </c>
      <c r="R140">
        <v>-2.5562500000000008</v>
      </c>
      <c r="S140">
        <v>15</v>
      </c>
      <c r="T140">
        <v>0</v>
      </c>
      <c r="U140">
        <v>20</v>
      </c>
      <c r="V140">
        <v>-8.5</v>
      </c>
      <c r="W140">
        <v>22</v>
      </c>
      <c r="X140">
        <v>-0.5</v>
      </c>
      <c r="Y140">
        <v>15</v>
      </c>
      <c r="Z140">
        <v>15</v>
      </c>
      <c r="AA140">
        <v>18</v>
      </c>
      <c r="AB140">
        <v>-0.3375000000000008</v>
      </c>
      <c r="AC140">
        <v>9</v>
      </c>
      <c r="AD140">
        <v>1.9375</v>
      </c>
      <c r="AE140">
        <v>14</v>
      </c>
      <c r="AF140">
        <v>4.3125</v>
      </c>
      <c r="AG140">
        <v>13</v>
      </c>
      <c r="AH140">
        <v>0.375</v>
      </c>
      <c r="AI140">
        <v>30</v>
      </c>
      <c r="AJ140">
        <v>27</v>
      </c>
      <c r="AK140">
        <v>27</v>
      </c>
      <c r="AL140">
        <v>-2.21875</v>
      </c>
      <c r="AM140">
        <v>24</v>
      </c>
      <c r="AN140">
        <v>-1.9375</v>
      </c>
      <c r="AO140">
        <v>29</v>
      </c>
      <c r="AP140">
        <v>-12.8125</v>
      </c>
      <c r="AQ140">
        <v>25</v>
      </c>
      <c r="AR140">
        <v>-0.875</v>
      </c>
      <c r="AS140">
        <v>8</v>
      </c>
      <c r="AT140">
        <v>9.6666666666666661</v>
      </c>
      <c r="AU140">
        <v>8</v>
      </c>
      <c r="AV140">
        <v>6.7374999999999989</v>
      </c>
      <c r="AW140">
        <v>13</v>
      </c>
      <c r="AX140">
        <v>6.375</v>
      </c>
      <c r="AY140">
        <v>8</v>
      </c>
      <c r="AZ140">
        <v>2.125</v>
      </c>
      <c r="BA140">
        <v>11</v>
      </c>
      <c r="BB140">
        <v>10.333333333333334</v>
      </c>
      <c r="BC140">
        <v>10</v>
      </c>
      <c r="BD140">
        <v>2.8437499999999996</v>
      </c>
      <c r="BE140">
        <v>12</v>
      </c>
      <c r="BF140">
        <v>6.9375</v>
      </c>
      <c r="BG140">
        <v>9</v>
      </c>
      <c r="BH140">
        <v>0.75</v>
      </c>
      <c r="BI140">
        <v>9</v>
      </c>
      <c r="BJ140">
        <v>11.666666666666666</v>
      </c>
      <c r="BK140">
        <v>10</v>
      </c>
      <c r="BL140">
        <v>1.7500000000000004</v>
      </c>
      <c r="BM140">
        <v>13</v>
      </c>
      <c r="BN140">
        <v>-1.125</v>
      </c>
      <c r="BO140">
        <v>12</v>
      </c>
      <c r="BP140">
        <v>0.1875</v>
      </c>
      <c r="BQ140">
        <v>8</v>
      </c>
      <c r="BR140">
        <v>10</v>
      </c>
      <c r="BS140">
        <v>10</v>
      </c>
      <c r="BT140">
        <v>2.1437499999999989</v>
      </c>
      <c r="BU140">
        <v>15</v>
      </c>
      <c r="BV140">
        <v>0.5625</v>
      </c>
      <c r="BW140">
        <v>5</v>
      </c>
      <c r="BX140">
        <v>1.1875</v>
      </c>
      <c r="BY140">
        <v>2</v>
      </c>
      <c r="BZ140">
        <v>3.6666666666666665</v>
      </c>
      <c r="CA140">
        <v>2</v>
      </c>
      <c r="CB140">
        <v>8.2374999999999989</v>
      </c>
      <c r="CC140">
        <v>4</v>
      </c>
      <c r="CD140">
        <v>24.25</v>
      </c>
      <c r="CE140">
        <v>5</v>
      </c>
      <c r="CF140">
        <v>2.3125</v>
      </c>
      <c r="CG140">
        <v>2</v>
      </c>
      <c r="CH140">
        <v>2.3333333333333335</v>
      </c>
      <c r="CI140">
        <v>2</v>
      </c>
      <c r="CJ140">
        <v>6.9187500000000002</v>
      </c>
      <c r="CK140">
        <v>2</v>
      </c>
      <c r="CL140">
        <v>32.9375</v>
      </c>
      <c r="CM140">
        <v>3</v>
      </c>
      <c r="CN140">
        <v>3.125</v>
      </c>
      <c r="CO140">
        <v>16</v>
      </c>
      <c r="CP140">
        <v>16</v>
      </c>
      <c r="CQ140">
        <v>11</v>
      </c>
      <c r="CR140">
        <v>0.75</v>
      </c>
      <c r="CS140">
        <v>21</v>
      </c>
      <c r="CT140">
        <v>-0.125</v>
      </c>
      <c r="CU140">
        <v>3.25</v>
      </c>
      <c r="CV140">
        <v>31</v>
      </c>
      <c r="CW140">
        <v>26.25</v>
      </c>
      <c r="CX140">
        <v>17</v>
      </c>
      <c r="CY140">
        <v>-6.3148979286806323E-3</v>
      </c>
      <c r="CZ140">
        <v>32</v>
      </c>
      <c r="DA140">
        <v>-3.3130994891262644E-2</v>
      </c>
      <c r="DB140">
        <v>26</v>
      </c>
      <c r="DC140">
        <v>7.5842126623376638E-2</v>
      </c>
      <c r="DD140">
        <v>30</v>
      </c>
      <c r="DE140">
        <v>-3.25</v>
      </c>
      <c r="DF140">
        <v>0.9375</v>
      </c>
      <c r="DG140">
        <v>4.25</v>
      </c>
      <c r="DH140">
        <v>0.875</v>
      </c>
      <c r="DI140">
        <v>32.9375</v>
      </c>
      <c r="DJ140">
        <v>24.125</v>
      </c>
      <c r="DK140">
        <v>-4.3125</v>
      </c>
      <c r="DL140">
        <v>5.4375</v>
      </c>
      <c r="DM140">
        <v>7.6875</v>
      </c>
      <c r="DN140">
        <v>3</v>
      </c>
      <c r="DO140">
        <v>9.6650000000000009</v>
      </c>
      <c r="DP140">
        <v>5.4311249999999998</v>
      </c>
      <c r="DQ140">
        <v>28.4375</v>
      </c>
      <c r="DR140">
        <v>30</v>
      </c>
      <c r="DS140">
        <v>2.3698437499999998</v>
      </c>
      <c r="DT140">
        <v>5.25</v>
      </c>
      <c r="DU140">
        <v>-0.7420312499999997</v>
      </c>
      <c r="DV140">
        <v>-0.92421874999999976</v>
      </c>
      <c r="DW140" t="s">
        <v>303</v>
      </c>
      <c r="DX140" t="s">
        <v>247</v>
      </c>
      <c r="DY140" t="s">
        <v>510</v>
      </c>
      <c r="DZ140">
        <v>28</v>
      </c>
      <c r="EA140">
        <v>-4.1849999999999996</v>
      </c>
      <c r="EB140">
        <v>10</v>
      </c>
      <c r="EC140">
        <v>12.5</v>
      </c>
      <c r="ED140">
        <v>6</v>
      </c>
      <c r="EE140">
        <v>4.2625000000000011</v>
      </c>
      <c r="EF140">
        <v>21</v>
      </c>
      <c r="EG140">
        <v>-1</v>
      </c>
      <c r="EH140">
        <v>10</v>
      </c>
      <c r="EI140">
        <v>14.125</v>
      </c>
      <c r="EJ140">
        <v>13</v>
      </c>
      <c r="EK140">
        <v>0.3125</v>
      </c>
      <c r="EL140">
        <v>1</v>
      </c>
      <c r="EM140">
        <v>5.25</v>
      </c>
      <c r="EN140">
        <v>3</v>
      </c>
      <c r="EO140">
        <v>6.7562500000000005</v>
      </c>
      <c r="EP140">
        <v>6</v>
      </c>
      <c r="EQ140">
        <v>2.75</v>
      </c>
      <c r="ER140">
        <v>6</v>
      </c>
      <c r="ES140">
        <v>16.25</v>
      </c>
      <c r="ET140">
        <v>6</v>
      </c>
      <c r="EU140">
        <v>1.0625</v>
      </c>
      <c r="EV140">
        <v>29</v>
      </c>
      <c r="EW140">
        <v>26.666666666666668</v>
      </c>
      <c r="EX140">
        <v>31</v>
      </c>
      <c r="EY140">
        <v>-2.4937499999999999</v>
      </c>
      <c r="EZ140">
        <v>32</v>
      </c>
      <c r="FA140">
        <v>-3.75</v>
      </c>
      <c r="FB140">
        <v>17</v>
      </c>
      <c r="FC140">
        <v>-2.125</v>
      </c>
      <c r="FD140">
        <v>26</v>
      </c>
      <c r="FE140">
        <v>-0.75</v>
      </c>
      <c r="FF140">
        <v>28</v>
      </c>
      <c r="FG140">
        <v>26.333333333333332</v>
      </c>
      <c r="FH140">
        <v>25</v>
      </c>
      <c r="FI140">
        <v>-5.1374999999999984</v>
      </c>
      <c r="FJ140">
        <v>29</v>
      </c>
      <c r="FK140">
        <v>-30.3125</v>
      </c>
      <c r="FL140">
        <v>25</v>
      </c>
      <c r="FM140">
        <v>-1.6875</v>
      </c>
      <c r="FN140">
        <v>15</v>
      </c>
      <c r="FO140">
        <v>17.333333333333332</v>
      </c>
      <c r="FP140">
        <v>15</v>
      </c>
      <c r="FQ140">
        <v>-0.40624999999999911</v>
      </c>
      <c r="FR140">
        <v>15</v>
      </c>
      <c r="FS140">
        <v>0</v>
      </c>
      <c r="FT140">
        <v>22</v>
      </c>
      <c r="FU140">
        <v>-0.5625</v>
      </c>
      <c r="FV140">
        <v>32</v>
      </c>
      <c r="FW140">
        <v>30.666666666666668</v>
      </c>
      <c r="FX140">
        <v>31</v>
      </c>
      <c r="FY140">
        <v>-5.2562499999999996</v>
      </c>
      <c r="FZ140">
        <v>29</v>
      </c>
      <c r="GA140">
        <v>-22.5625</v>
      </c>
      <c r="GB140">
        <v>32</v>
      </c>
      <c r="GC140">
        <v>-1.8125</v>
      </c>
      <c r="GD140">
        <v>14</v>
      </c>
      <c r="GE140">
        <v>15.666666666666666</v>
      </c>
      <c r="GF140">
        <v>13</v>
      </c>
      <c r="GG140">
        <v>0.52500000000000013</v>
      </c>
      <c r="GH140">
        <v>26</v>
      </c>
      <c r="GI140">
        <v>-7.75</v>
      </c>
      <c r="GJ140">
        <v>8</v>
      </c>
      <c r="GK140">
        <v>0.6875</v>
      </c>
      <c r="GL140">
        <v>32</v>
      </c>
      <c r="GM140">
        <v>29</v>
      </c>
      <c r="GN140">
        <v>27</v>
      </c>
      <c r="GO140">
        <v>-4.3750000000000009</v>
      </c>
      <c r="GP140">
        <v>32</v>
      </c>
      <c r="GQ140">
        <v>-31.875</v>
      </c>
      <c r="GR140">
        <v>28</v>
      </c>
      <c r="GS140">
        <v>-1.5</v>
      </c>
      <c r="GT140">
        <v>20</v>
      </c>
      <c r="GU140">
        <v>19</v>
      </c>
      <c r="GV140">
        <v>17</v>
      </c>
      <c r="GW140">
        <v>-0.85625000000000007</v>
      </c>
      <c r="GX140">
        <v>22</v>
      </c>
      <c r="GY140">
        <v>-7.3125</v>
      </c>
      <c r="GZ140">
        <v>18</v>
      </c>
      <c r="HA140">
        <v>-0.1875</v>
      </c>
      <c r="HB140">
        <v>11</v>
      </c>
      <c r="HC140">
        <v>11</v>
      </c>
      <c r="HD140">
        <v>8</v>
      </c>
      <c r="HE140">
        <v>1.4375</v>
      </c>
      <c r="HF140">
        <v>14</v>
      </c>
      <c r="HG140">
        <v>0.125</v>
      </c>
      <c r="HH140">
        <v>6.25E-2</v>
      </c>
      <c r="HI140">
        <v>30</v>
      </c>
      <c r="HJ140">
        <v>22.75</v>
      </c>
      <c r="HK140">
        <v>17</v>
      </c>
      <c r="HL140">
        <v>-2.7112190836264885E-3</v>
      </c>
      <c r="HM140">
        <v>30</v>
      </c>
      <c r="HN140">
        <v>-2.2885328787652974E-2</v>
      </c>
      <c r="HO140">
        <v>13</v>
      </c>
      <c r="HP140">
        <v>-1.181943056943055E-2</v>
      </c>
      <c r="HQ140">
        <v>31</v>
      </c>
      <c r="HR140">
        <v>-2.9375</v>
      </c>
      <c r="HS140">
        <v>-2.8125</v>
      </c>
      <c r="HT140">
        <v>1.9375</v>
      </c>
      <c r="HU140">
        <v>0.4375</v>
      </c>
      <c r="HV140">
        <v>-7.5625</v>
      </c>
      <c r="HW140">
        <v>-18.5625</v>
      </c>
      <c r="HX140">
        <v>15.5625</v>
      </c>
      <c r="HY140">
        <v>1.875</v>
      </c>
      <c r="HZ140">
        <v>-6.4375</v>
      </c>
      <c r="IA140">
        <v>29</v>
      </c>
      <c r="IB140">
        <v>-8.4475000000000016</v>
      </c>
      <c r="IC140">
        <v>-4.1669999999999998</v>
      </c>
      <c r="ID140">
        <v>-34.125</v>
      </c>
      <c r="IE140">
        <v>4</v>
      </c>
      <c r="IF140">
        <v>-0.55984374999999964</v>
      </c>
      <c r="IG140">
        <v>-1.875</v>
      </c>
    </row>
    <row r="141" spans="1:241" x14ac:dyDescent="0.2">
      <c r="A141" s="19">
        <v>44115</v>
      </c>
      <c r="B141" s="13" t="s">
        <v>381</v>
      </c>
      <c r="C141" s="41" t="s">
        <v>303</v>
      </c>
      <c r="D141" s="14" t="s">
        <v>288</v>
      </c>
      <c r="E141">
        <v>22.8</v>
      </c>
      <c r="F141">
        <v>14.7</v>
      </c>
      <c r="G141">
        <v>5.2</v>
      </c>
      <c r="H141">
        <v>15.8</v>
      </c>
      <c r="I141">
        <v>10.5</v>
      </c>
      <c r="J141">
        <v>54</v>
      </c>
      <c r="L141" t="s">
        <v>303</v>
      </c>
      <c r="M141">
        <v>18</v>
      </c>
      <c r="N141">
        <v>-0.89874999999999838</v>
      </c>
      <c r="O141">
        <v>5</v>
      </c>
      <c r="P141">
        <v>8.5</v>
      </c>
      <c r="Q141">
        <v>13</v>
      </c>
      <c r="R141">
        <v>0.9562499999999986</v>
      </c>
      <c r="S141">
        <v>7</v>
      </c>
      <c r="T141">
        <v>3.75</v>
      </c>
      <c r="U141">
        <v>7</v>
      </c>
      <c r="V141">
        <v>14.4375</v>
      </c>
      <c r="W141">
        <v>7</v>
      </c>
      <c r="X141">
        <v>0.625</v>
      </c>
      <c r="Y141">
        <v>11</v>
      </c>
      <c r="Z141">
        <v>12.666666666666666</v>
      </c>
      <c r="AA141">
        <v>12</v>
      </c>
      <c r="AB141">
        <v>1.4312499999999986</v>
      </c>
      <c r="AC141">
        <v>2</v>
      </c>
      <c r="AD141">
        <v>5.8125</v>
      </c>
      <c r="AE141">
        <v>11</v>
      </c>
      <c r="AF141">
        <v>11.375</v>
      </c>
      <c r="AG141">
        <v>15</v>
      </c>
      <c r="AH141">
        <v>0.25</v>
      </c>
      <c r="AI141">
        <v>11</v>
      </c>
      <c r="AJ141">
        <v>13.666666666666666</v>
      </c>
      <c r="AK141">
        <v>18</v>
      </c>
      <c r="AL141">
        <v>-0.47499999999999998</v>
      </c>
      <c r="AM141">
        <v>26</v>
      </c>
      <c r="AN141">
        <v>-2.0625</v>
      </c>
      <c r="AO141">
        <v>10</v>
      </c>
      <c r="AP141">
        <v>3.0625</v>
      </c>
      <c r="AQ141">
        <v>13</v>
      </c>
      <c r="AR141">
        <v>0.375</v>
      </c>
      <c r="AS141">
        <v>29</v>
      </c>
      <c r="AT141">
        <v>28</v>
      </c>
      <c r="AU141">
        <v>27</v>
      </c>
      <c r="AV141">
        <v>-7.4874999999999998</v>
      </c>
      <c r="AW141">
        <v>26</v>
      </c>
      <c r="AX141">
        <v>-31.625</v>
      </c>
      <c r="AY141">
        <v>31</v>
      </c>
      <c r="AZ141">
        <v>-4.25</v>
      </c>
      <c r="BA141">
        <v>32</v>
      </c>
      <c r="BB141">
        <v>30.666666666666668</v>
      </c>
      <c r="BC141">
        <v>31</v>
      </c>
      <c r="BD141">
        <v>-7.1812500000000004</v>
      </c>
      <c r="BE141">
        <v>31</v>
      </c>
      <c r="BF141">
        <v>-24</v>
      </c>
      <c r="BG141">
        <v>30</v>
      </c>
      <c r="BH141">
        <v>-1.9375</v>
      </c>
      <c r="BI141">
        <v>28</v>
      </c>
      <c r="BJ141">
        <v>24</v>
      </c>
      <c r="BK141">
        <v>15</v>
      </c>
      <c r="BL141">
        <v>-0.42499999999999982</v>
      </c>
      <c r="BM141">
        <v>25</v>
      </c>
      <c r="BN141">
        <v>-11.75</v>
      </c>
      <c r="BO141">
        <v>32</v>
      </c>
      <c r="BP141">
        <v>-2.4375</v>
      </c>
      <c r="BQ141">
        <v>15</v>
      </c>
      <c r="BR141">
        <v>13.666666666666666</v>
      </c>
      <c r="BS141">
        <v>13</v>
      </c>
      <c r="BT141">
        <v>0.11875000000000002</v>
      </c>
      <c r="BU141">
        <v>11</v>
      </c>
      <c r="BV141">
        <v>4.125</v>
      </c>
      <c r="BW141">
        <v>17</v>
      </c>
      <c r="BX141">
        <v>0.125</v>
      </c>
      <c r="BY141">
        <v>29</v>
      </c>
      <c r="BZ141">
        <v>28</v>
      </c>
      <c r="CA141">
        <v>25</v>
      </c>
      <c r="CB141">
        <v>-4.4687499999999982</v>
      </c>
      <c r="CC141">
        <v>29</v>
      </c>
      <c r="CD141">
        <v>-25.3125</v>
      </c>
      <c r="CE141">
        <v>30</v>
      </c>
      <c r="CF141">
        <v>-2.625</v>
      </c>
      <c r="CG141">
        <v>3</v>
      </c>
      <c r="CH141">
        <v>4</v>
      </c>
      <c r="CI141">
        <v>5</v>
      </c>
      <c r="CJ141">
        <v>3.8687500000000004</v>
      </c>
      <c r="CK141">
        <v>6</v>
      </c>
      <c r="CL141">
        <v>14.9375</v>
      </c>
      <c r="CM141">
        <v>1</v>
      </c>
      <c r="CN141">
        <v>3.6875</v>
      </c>
      <c r="CO141">
        <v>2</v>
      </c>
      <c r="CP141">
        <v>2</v>
      </c>
      <c r="CQ141">
        <v>2</v>
      </c>
      <c r="CR141">
        <v>3.5</v>
      </c>
      <c r="CS141">
        <v>2</v>
      </c>
      <c r="CT141">
        <v>0.9375</v>
      </c>
      <c r="CU141">
        <v>-2.9375</v>
      </c>
      <c r="CV141">
        <v>19</v>
      </c>
      <c r="CW141">
        <v>17.75</v>
      </c>
      <c r="CX141">
        <v>21</v>
      </c>
      <c r="CY141">
        <v>-2.8764626188068285E-2</v>
      </c>
      <c r="CZ141">
        <v>19</v>
      </c>
      <c r="DA141">
        <v>-3.6346886625371246E-3</v>
      </c>
      <c r="DB141">
        <v>16</v>
      </c>
      <c r="DC141">
        <v>1.1060049019607859E-2</v>
      </c>
      <c r="DD141">
        <v>15</v>
      </c>
      <c r="DE141">
        <v>6.25E-2</v>
      </c>
      <c r="DF141">
        <v>3.5</v>
      </c>
      <c r="DG141">
        <v>2.125</v>
      </c>
      <c r="DH141">
        <v>-0.4375</v>
      </c>
      <c r="DI141">
        <v>29.6875</v>
      </c>
      <c r="DJ141">
        <v>18.625</v>
      </c>
      <c r="DK141">
        <v>20.25</v>
      </c>
      <c r="DL141">
        <v>-0.25</v>
      </c>
      <c r="DM141">
        <v>-8.9375</v>
      </c>
      <c r="DN141">
        <v>22</v>
      </c>
      <c r="DO141">
        <v>-1.8549999999999969</v>
      </c>
      <c r="DP141">
        <v>-1.381624999999999</v>
      </c>
      <c r="DQ141">
        <v>-1.625</v>
      </c>
      <c r="DR141">
        <v>11</v>
      </c>
      <c r="DS141">
        <v>-7.6562499999999201E-3</v>
      </c>
      <c r="DT141">
        <v>-0.5625</v>
      </c>
      <c r="DU141">
        <v>-0.7420312499999997</v>
      </c>
      <c r="DV141">
        <v>-0.55984374999999964</v>
      </c>
      <c r="DW141" t="s">
        <v>288</v>
      </c>
      <c r="DX141" t="s">
        <v>270</v>
      </c>
      <c r="DY141" t="s">
        <v>508</v>
      </c>
      <c r="DZ141">
        <v>25</v>
      </c>
      <c r="EA141">
        <v>-2.6312499999999996</v>
      </c>
      <c r="EB141">
        <v>4</v>
      </c>
      <c r="EC141">
        <v>8.5</v>
      </c>
      <c r="ED141">
        <v>9</v>
      </c>
      <c r="EE141">
        <v>2.3875000000000011</v>
      </c>
      <c r="EF141">
        <v>7</v>
      </c>
      <c r="EG141">
        <v>2.875</v>
      </c>
      <c r="EH141">
        <v>8</v>
      </c>
      <c r="EI141">
        <v>19.3125</v>
      </c>
      <c r="EJ141">
        <v>10</v>
      </c>
      <c r="EK141">
        <v>0.625</v>
      </c>
      <c r="EL141">
        <v>9</v>
      </c>
      <c r="EM141">
        <v>11.25</v>
      </c>
      <c r="EN141">
        <v>10</v>
      </c>
      <c r="EO141">
        <v>1.4937500000000004</v>
      </c>
      <c r="EP141">
        <v>19</v>
      </c>
      <c r="EQ141">
        <v>-0.75</v>
      </c>
      <c r="ER141">
        <v>8</v>
      </c>
      <c r="ES141">
        <v>10.3125</v>
      </c>
      <c r="ET141">
        <v>8</v>
      </c>
      <c r="EU141">
        <v>0.625</v>
      </c>
      <c r="EV141">
        <v>3</v>
      </c>
      <c r="EW141">
        <v>5.333333333333333</v>
      </c>
      <c r="EX141">
        <v>11</v>
      </c>
      <c r="EY141">
        <v>0.8937500000000006</v>
      </c>
      <c r="EZ141">
        <v>1</v>
      </c>
      <c r="FA141">
        <v>3.625</v>
      </c>
      <c r="FB141">
        <v>4</v>
      </c>
      <c r="FC141">
        <v>9</v>
      </c>
      <c r="FD141">
        <v>16</v>
      </c>
      <c r="FE141">
        <v>0</v>
      </c>
      <c r="FF141">
        <v>23</v>
      </c>
      <c r="FG141">
        <v>22.333333333333332</v>
      </c>
      <c r="FH141">
        <v>23</v>
      </c>
      <c r="FI141">
        <v>-4.3562500000000002</v>
      </c>
      <c r="FJ141">
        <v>31</v>
      </c>
      <c r="FK141">
        <v>-39.5625</v>
      </c>
      <c r="FL141">
        <v>13</v>
      </c>
      <c r="FM141">
        <v>0.25</v>
      </c>
      <c r="FN141">
        <v>20</v>
      </c>
      <c r="FO141">
        <v>20.666666666666668</v>
      </c>
      <c r="FP141">
        <v>23</v>
      </c>
      <c r="FQ141">
        <v>-2.34375</v>
      </c>
      <c r="FR141">
        <v>25</v>
      </c>
      <c r="FS141">
        <v>-7.0625</v>
      </c>
      <c r="FT141">
        <v>14</v>
      </c>
      <c r="FU141">
        <v>6.25E-2</v>
      </c>
      <c r="FV141">
        <v>28</v>
      </c>
      <c r="FW141">
        <v>26</v>
      </c>
      <c r="FX141">
        <v>27</v>
      </c>
      <c r="FY141">
        <v>-3.21875</v>
      </c>
      <c r="FZ141">
        <v>31</v>
      </c>
      <c r="GA141">
        <v>-29.6875</v>
      </c>
      <c r="GB141">
        <v>20</v>
      </c>
      <c r="GC141">
        <v>-0.5625</v>
      </c>
      <c r="GD141">
        <v>10</v>
      </c>
      <c r="GE141">
        <v>11</v>
      </c>
      <c r="GF141">
        <v>7</v>
      </c>
      <c r="GG141">
        <v>1.2062499999999998</v>
      </c>
      <c r="GH141">
        <v>19</v>
      </c>
      <c r="GI141">
        <v>-2.8125</v>
      </c>
      <c r="GJ141">
        <v>7</v>
      </c>
      <c r="GK141">
        <v>0.75</v>
      </c>
      <c r="GL141">
        <v>25</v>
      </c>
      <c r="GM141">
        <v>25</v>
      </c>
      <c r="GN141">
        <v>30</v>
      </c>
      <c r="GO141">
        <v>-4.7937499999999993</v>
      </c>
      <c r="GP141">
        <v>30</v>
      </c>
      <c r="GQ141">
        <v>-26.0625</v>
      </c>
      <c r="GR141">
        <v>15</v>
      </c>
      <c r="GS141">
        <v>-0.1875</v>
      </c>
      <c r="GT141">
        <v>11</v>
      </c>
      <c r="GU141">
        <v>13.666666666666666</v>
      </c>
      <c r="GV141">
        <v>16</v>
      </c>
      <c r="GW141">
        <v>-0.85624999999999929</v>
      </c>
      <c r="GX141">
        <v>16</v>
      </c>
      <c r="GY141">
        <v>-2.9375</v>
      </c>
      <c r="GZ141">
        <v>9</v>
      </c>
      <c r="HA141">
        <v>0.9375</v>
      </c>
      <c r="HB141">
        <v>24</v>
      </c>
      <c r="HC141">
        <v>24.5</v>
      </c>
      <c r="HD141">
        <v>27</v>
      </c>
      <c r="HE141">
        <v>-1.9375</v>
      </c>
      <c r="HF141">
        <v>22</v>
      </c>
      <c r="HG141">
        <v>-0.4375</v>
      </c>
      <c r="HH141">
        <v>-3.25</v>
      </c>
      <c r="HI141">
        <v>8</v>
      </c>
      <c r="HJ141">
        <v>10.75</v>
      </c>
      <c r="HK141">
        <v>19</v>
      </c>
      <c r="HL141">
        <v>-8.9630822151520462E-3</v>
      </c>
      <c r="HM141">
        <v>12</v>
      </c>
      <c r="HN141">
        <v>6.9900753705203576E-3</v>
      </c>
      <c r="HO141">
        <v>7</v>
      </c>
      <c r="HP141">
        <v>-7.0532663823104996E-2</v>
      </c>
      <c r="HQ141">
        <v>5</v>
      </c>
      <c r="HR141">
        <v>3.25</v>
      </c>
      <c r="HS141">
        <v>3.1875</v>
      </c>
      <c r="HT141">
        <v>-5.9375</v>
      </c>
      <c r="HU141">
        <v>-0.4375</v>
      </c>
      <c r="HV141">
        <v>-5.625</v>
      </c>
      <c r="HW141">
        <v>-31.8125</v>
      </c>
      <c r="HX141">
        <v>22.5625</v>
      </c>
      <c r="HY141">
        <v>0.6875</v>
      </c>
      <c r="HZ141">
        <v>2.9375</v>
      </c>
      <c r="IA141">
        <v>26</v>
      </c>
      <c r="IB141">
        <v>-5.0187500000000007</v>
      </c>
      <c r="IC141">
        <v>-2.7625000000000002</v>
      </c>
      <c r="ID141">
        <v>-54.375</v>
      </c>
      <c r="IE141">
        <v>7</v>
      </c>
      <c r="IF141">
        <v>-0.92421874999999976</v>
      </c>
      <c r="IG141">
        <v>1.1875</v>
      </c>
    </row>
    <row r="142" spans="1:241" x14ac:dyDescent="0.2">
      <c r="A142" s="19">
        <v>44115</v>
      </c>
      <c r="B142" s="13" t="s">
        <v>381</v>
      </c>
      <c r="C142" s="41" t="s">
        <v>287</v>
      </c>
      <c r="D142" s="14" t="s">
        <v>307</v>
      </c>
      <c r="E142">
        <v>10.9</v>
      </c>
      <c r="F142">
        <v>30.9</v>
      </c>
      <c r="G142">
        <v>5.5</v>
      </c>
      <c r="H142">
        <v>12.3</v>
      </c>
      <c r="I142">
        <v>7</v>
      </c>
      <c r="J142">
        <v>49</v>
      </c>
      <c r="L142" t="s">
        <v>287</v>
      </c>
      <c r="M142">
        <v>7</v>
      </c>
      <c r="N142">
        <v>2.2799999999999994</v>
      </c>
      <c r="O142">
        <v>14</v>
      </c>
      <c r="P142">
        <v>14.25</v>
      </c>
      <c r="Q142">
        <v>19</v>
      </c>
      <c r="R142">
        <v>-1.9500000000000011</v>
      </c>
      <c r="S142">
        <v>3</v>
      </c>
      <c r="T142">
        <v>4.25</v>
      </c>
      <c r="U142">
        <v>11</v>
      </c>
      <c r="V142">
        <v>11.0625</v>
      </c>
      <c r="W142">
        <v>24</v>
      </c>
      <c r="X142">
        <v>-0.75</v>
      </c>
      <c r="Y142">
        <v>19</v>
      </c>
      <c r="Z142">
        <v>18</v>
      </c>
      <c r="AA142">
        <v>21</v>
      </c>
      <c r="AB142">
        <v>-2.1375000000000011</v>
      </c>
      <c r="AC142">
        <v>20</v>
      </c>
      <c r="AD142">
        <v>-1.1875</v>
      </c>
      <c r="AE142">
        <v>15</v>
      </c>
      <c r="AF142">
        <v>-0.625</v>
      </c>
      <c r="AG142">
        <v>18</v>
      </c>
      <c r="AH142">
        <v>-0.25</v>
      </c>
      <c r="AI142">
        <v>9</v>
      </c>
      <c r="AJ142">
        <v>12.666666666666666</v>
      </c>
      <c r="AK142">
        <v>14</v>
      </c>
      <c r="AL142">
        <v>0.1875</v>
      </c>
      <c r="AM142">
        <v>2</v>
      </c>
      <c r="AN142">
        <v>5.4375</v>
      </c>
      <c r="AO142">
        <v>4</v>
      </c>
      <c r="AP142">
        <v>11.6875</v>
      </c>
      <c r="AQ142">
        <v>20</v>
      </c>
      <c r="AR142">
        <v>-0.5</v>
      </c>
      <c r="AS142">
        <v>11</v>
      </c>
      <c r="AT142">
        <v>11</v>
      </c>
      <c r="AU142">
        <v>13</v>
      </c>
      <c r="AV142">
        <v>1.4562500000000007</v>
      </c>
      <c r="AW142">
        <v>9</v>
      </c>
      <c r="AX142">
        <v>16.6875</v>
      </c>
      <c r="AY142">
        <v>11</v>
      </c>
      <c r="AZ142">
        <v>1.0625</v>
      </c>
      <c r="BA142">
        <v>7</v>
      </c>
      <c r="BB142">
        <v>7.333333333333333</v>
      </c>
      <c r="BC142">
        <v>13</v>
      </c>
      <c r="BD142">
        <v>2.1500000000000004</v>
      </c>
      <c r="BE142">
        <v>8</v>
      </c>
      <c r="BF142">
        <v>12.4375</v>
      </c>
      <c r="BG142">
        <v>1</v>
      </c>
      <c r="BH142">
        <v>3.1875</v>
      </c>
      <c r="BI142">
        <v>19</v>
      </c>
      <c r="BJ142">
        <v>18.333333333333332</v>
      </c>
      <c r="BK142">
        <v>20</v>
      </c>
      <c r="BL142">
        <v>-1.5624999999999996</v>
      </c>
      <c r="BM142">
        <v>11</v>
      </c>
      <c r="BN142">
        <v>4.6875</v>
      </c>
      <c r="BO142">
        <v>24</v>
      </c>
      <c r="BP142">
        <v>-0.4375</v>
      </c>
      <c r="BQ142">
        <v>17</v>
      </c>
      <c r="BR142">
        <v>19</v>
      </c>
      <c r="BS142">
        <v>12</v>
      </c>
      <c r="BT142">
        <v>0.86875000000000002</v>
      </c>
      <c r="BU142">
        <v>16</v>
      </c>
      <c r="BV142">
        <v>-0.4375</v>
      </c>
      <c r="BW142">
        <v>29</v>
      </c>
      <c r="BX142">
        <v>-1.6875</v>
      </c>
      <c r="BY142">
        <v>21</v>
      </c>
      <c r="BZ142">
        <v>21.333333333333332</v>
      </c>
      <c r="CA142">
        <v>18</v>
      </c>
      <c r="CB142">
        <v>-1.0000000000000004</v>
      </c>
      <c r="CC142">
        <v>17</v>
      </c>
      <c r="CD142">
        <v>-2.5</v>
      </c>
      <c r="CE142">
        <v>29</v>
      </c>
      <c r="CF142">
        <v>-2.0625</v>
      </c>
      <c r="CG142">
        <v>7</v>
      </c>
      <c r="CH142">
        <v>7</v>
      </c>
      <c r="CI142">
        <v>7</v>
      </c>
      <c r="CJ142">
        <v>2.8062500000000004</v>
      </c>
      <c r="CK142">
        <v>4</v>
      </c>
      <c r="CL142">
        <v>21.1875</v>
      </c>
      <c r="CM142">
        <v>10</v>
      </c>
      <c r="CN142">
        <v>0.8125</v>
      </c>
      <c r="CO142">
        <v>9</v>
      </c>
      <c r="CP142">
        <v>10</v>
      </c>
      <c r="CQ142">
        <v>15</v>
      </c>
      <c r="CR142">
        <v>0.3125</v>
      </c>
      <c r="CS142">
        <v>5</v>
      </c>
      <c r="CT142">
        <v>0.5</v>
      </c>
      <c r="CU142">
        <v>0.125</v>
      </c>
      <c r="CV142">
        <v>20</v>
      </c>
      <c r="CW142">
        <v>18.5</v>
      </c>
      <c r="CX142">
        <v>3</v>
      </c>
      <c r="CY142">
        <v>8.978002298402929E-2</v>
      </c>
      <c r="CZ142">
        <v>25</v>
      </c>
      <c r="DA142">
        <v>-1.0662077509187176E-2</v>
      </c>
      <c r="DB142">
        <v>27</v>
      </c>
      <c r="DC142">
        <v>9.1441065062388582E-2</v>
      </c>
      <c r="DD142">
        <v>19</v>
      </c>
      <c r="DE142">
        <v>-0.375</v>
      </c>
      <c r="DF142">
        <v>3.0625</v>
      </c>
      <c r="DG142">
        <v>-2.375</v>
      </c>
      <c r="DH142">
        <v>0.4375</v>
      </c>
      <c r="DI142">
        <v>41.8125</v>
      </c>
      <c r="DJ142">
        <v>43.6875</v>
      </c>
      <c r="DK142">
        <v>9.3125</v>
      </c>
      <c r="DL142">
        <v>-1.75</v>
      </c>
      <c r="DM142">
        <v>-9.4375</v>
      </c>
      <c r="DN142">
        <v>8</v>
      </c>
      <c r="DO142">
        <v>4.2300000000000004</v>
      </c>
      <c r="DP142">
        <v>2.2835000000000005</v>
      </c>
      <c r="DQ142">
        <v>34.375</v>
      </c>
      <c r="DR142">
        <v>25</v>
      </c>
      <c r="DS142">
        <v>0.61312499999999992</v>
      </c>
      <c r="DT142">
        <v>1.875</v>
      </c>
      <c r="DU142">
        <v>-0.75164062500000006</v>
      </c>
      <c r="DV142">
        <v>-0.56812499999999977</v>
      </c>
      <c r="DW142" t="s">
        <v>307</v>
      </c>
      <c r="DX142" t="s">
        <v>269</v>
      </c>
      <c r="DY142" t="s">
        <v>457</v>
      </c>
      <c r="DZ142">
        <v>15</v>
      </c>
      <c r="EA142">
        <v>0.88124999999999787</v>
      </c>
      <c r="EB142">
        <v>30</v>
      </c>
      <c r="EC142">
        <v>25.75</v>
      </c>
      <c r="ED142">
        <v>30</v>
      </c>
      <c r="EE142">
        <v>-6.5562500000000004</v>
      </c>
      <c r="EF142">
        <v>16</v>
      </c>
      <c r="EG142">
        <v>-0.125</v>
      </c>
      <c r="EH142">
        <v>25</v>
      </c>
      <c r="EI142">
        <v>-15.875</v>
      </c>
      <c r="EJ142">
        <v>32</v>
      </c>
      <c r="EK142">
        <v>-2.4375</v>
      </c>
      <c r="EL142">
        <v>30</v>
      </c>
      <c r="EM142">
        <v>24.75</v>
      </c>
      <c r="EN142">
        <v>31</v>
      </c>
      <c r="EO142">
        <v>-5.6187500000000004</v>
      </c>
      <c r="EP142">
        <v>9</v>
      </c>
      <c r="EQ142">
        <v>1.1875</v>
      </c>
      <c r="ER142">
        <v>27</v>
      </c>
      <c r="ES142">
        <v>-12.9375</v>
      </c>
      <c r="ET142">
        <v>32</v>
      </c>
      <c r="EU142">
        <v>-1.5</v>
      </c>
      <c r="EV142">
        <v>23</v>
      </c>
      <c r="EW142">
        <v>22</v>
      </c>
      <c r="EX142">
        <v>22</v>
      </c>
      <c r="EY142">
        <v>-0.9375</v>
      </c>
      <c r="EZ142">
        <v>25</v>
      </c>
      <c r="FA142">
        <v>-1.3125</v>
      </c>
      <c r="FB142">
        <v>19</v>
      </c>
      <c r="FC142">
        <v>-2.9375</v>
      </c>
      <c r="FD142">
        <v>29</v>
      </c>
      <c r="FE142">
        <v>-0.9375</v>
      </c>
      <c r="FF142">
        <v>30</v>
      </c>
      <c r="FG142">
        <v>29</v>
      </c>
      <c r="FH142">
        <v>28</v>
      </c>
      <c r="FI142">
        <v>-6.137500000000002</v>
      </c>
      <c r="FJ142">
        <v>27</v>
      </c>
      <c r="FK142">
        <v>-23.9375</v>
      </c>
      <c r="FL142">
        <v>32</v>
      </c>
      <c r="FM142">
        <v>-3.0625</v>
      </c>
      <c r="FN142">
        <v>20</v>
      </c>
      <c r="FO142">
        <v>20.666666666666668</v>
      </c>
      <c r="FP142">
        <v>20</v>
      </c>
      <c r="FQ142">
        <v>-1.881250000000001</v>
      </c>
      <c r="FR142">
        <v>14</v>
      </c>
      <c r="FS142">
        <v>0.375</v>
      </c>
      <c r="FT142">
        <v>28</v>
      </c>
      <c r="FU142">
        <v>-1.1875</v>
      </c>
      <c r="FV142">
        <v>29</v>
      </c>
      <c r="FW142">
        <v>27.666666666666668</v>
      </c>
      <c r="FX142">
        <v>28</v>
      </c>
      <c r="FY142">
        <v>-3.3062500000000004</v>
      </c>
      <c r="FZ142">
        <v>28</v>
      </c>
      <c r="GA142">
        <v>-20.5625</v>
      </c>
      <c r="GB142">
        <v>27</v>
      </c>
      <c r="GC142">
        <v>-1.1875</v>
      </c>
      <c r="GD142">
        <v>22</v>
      </c>
      <c r="GE142">
        <v>20.666666666666668</v>
      </c>
      <c r="GF142">
        <v>21</v>
      </c>
      <c r="GG142">
        <v>-0.95</v>
      </c>
      <c r="GH142">
        <v>20</v>
      </c>
      <c r="GI142">
        <v>-3.75</v>
      </c>
      <c r="GJ142">
        <v>21</v>
      </c>
      <c r="GK142">
        <v>-0.6875</v>
      </c>
      <c r="GL142">
        <v>28</v>
      </c>
      <c r="GM142">
        <v>27.333333333333332</v>
      </c>
      <c r="GN142">
        <v>29</v>
      </c>
      <c r="GO142">
        <v>-4.6124999999999989</v>
      </c>
      <c r="GP142">
        <v>29</v>
      </c>
      <c r="GQ142">
        <v>-18</v>
      </c>
      <c r="GR142">
        <v>24</v>
      </c>
      <c r="GS142">
        <v>-0.875</v>
      </c>
      <c r="GT142">
        <v>8</v>
      </c>
      <c r="GU142">
        <v>8.6666666666666661</v>
      </c>
      <c r="GV142">
        <v>6</v>
      </c>
      <c r="GW142">
        <v>4.7687499999999998</v>
      </c>
      <c r="GX142">
        <v>15</v>
      </c>
      <c r="GY142">
        <v>2.6875</v>
      </c>
      <c r="GZ142">
        <v>5</v>
      </c>
      <c r="HA142">
        <v>1.625</v>
      </c>
      <c r="HB142">
        <v>20</v>
      </c>
      <c r="HC142">
        <v>20</v>
      </c>
      <c r="HD142">
        <v>19</v>
      </c>
      <c r="HE142">
        <v>-0.4375</v>
      </c>
      <c r="HF142">
        <v>21</v>
      </c>
      <c r="HG142">
        <v>-0.375</v>
      </c>
      <c r="HH142">
        <v>-3.3125</v>
      </c>
      <c r="HI142">
        <v>1</v>
      </c>
      <c r="HJ142">
        <v>8.75</v>
      </c>
      <c r="HK142">
        <v>3</v>
      </c>
      <c r="HL142">
        <v>8.0052089170000118E-2</v>
      </c>
      <c r="HM142">
        <v>6</v>
      </c>
      <c r="HN142">
        <v>2.0499827085330508E-2</v>
      </c>
      <c r="HO142">
        <v>19</v>
      </c>
      <c r="HP142">
        <v>1.1235119047619035E-2</v>
      </c>
      <c r="HQ142">
        <v>7</v>
      </c>
      <c r="HR142">
        <v>1.4375</v>
      </c>
      <c r="HS142">
        <v>-2.4375</v>
      </c>
      <c r="HT142">
        <v>1.3125</v>
      </c>
      <c r="HU142">
        <v>-0.6875</v>
      </c>
      <c r="HV142">
        <v>-43.8125</v>
      </c>
      <c r="HW142">
        <v>-25</v>
      </c>
      <c r="HX142">
        <v>-22.1875</v>
      </c>
      <c r="HY142">
        <v>-0.9375</v>
      </c>
      <c r="HZ142">
        <v>4.3125</v>
      </c>
      <c r="IA142">
        <v>3</v>
      </c>
      <c r="IB142">
        <v>7.4374999999999982</v>
      </c>
      <c r="IC142">
        <v>3.1806249999999991</v>
      </c>
      <c r="ID142">
        <v>-2.8125</v>
      </c>
      <c r="IE142">
        <v>30</v>
      </c>
      <c r="IF142">
        <v>-0.93515625000000047</v>
      </c>
      <c r="IG142">
        <v>-1.4375</v>
      </c>
    </row>
    <row r="143" spans="1:241" x14ac:dyDescent="0.2">
      <c r="A143" s="19">
        <v>44115</v>
      </c>
      <c r="B143" s="13" t="s">
        <v>381</v>
      </c>
      <c r="C143" s="41" t="s">
        <v>304</v>
      </c>
      <c r="D143" s="14" t="s">
        <v>306</v>
      </c>
      <c r="E143">
        <v>17.100000000000001</v>
      </c>
      <c r="F143">
        <v>11.6</v>
      </c>
      <c r="G143">
        <v>6.6</v>
      </c>
      <c r="H143">
        <v>13</v>
      </c>
      <c r="I143">
        <v>-7</v>
      </c>
      <c r="J143">
        <v>45</v>
      </c>
      <c r="K143" t="s">
        <v>735</v>
      </c>
      <c r="L143" t="s">
        <v>304</v>
      </c>
      <c r="M143">
        <v>26</v>
      </c>
      <c r="N143">
        <v>-3.1850000000000014</v>
      </c>
      <c r="O143">
        <v>4</v>
      </c>
      <c r="P143">
        <v>8.25</v>
      </c>
      <c r="Q143">
        <v>9</v>
      </c>
      <c r="R143">
        <v>2.237499999999998</v>
      </c>
      <c r="S143">
        <v>6</v>
      </c>
      <c r="T143">
        <v>3.9375</v>
      </c>
      <c r="U143">
        <v>3</v>
      </c>
      <c r="V143">
        <v>26.75</v>
      </c>
      <c r="W143">
        <v>15</v>
      </c>
      <c r="X143">
        <v>6.25E-2</v>
      </c>
      <c r="Y143">
        <v>3</v>
      </c>
      <c r="Z143">
        <v>6.666666666666667</v>
      </c>
      <c r="AA143">
        <v>6</v>
      </c>
      <c r="AB143">
        <v>4.3937499999999989</v>
      </c>
      <c r="AC143">
        <v>11</v>
      </c>
      <c r="AD143">
        <v>0.375</v>
      </c>
      <c r="AE143">
        <v>7</v>
      </c>
      <c r="AF143">
        <v>16.5</v>
      </c>
      <c r="AG143">
        <v>7</v>
      </c>
      <c r="AH143">
        <v>0.75</v>
      </c>
      <c r="AI143">
        <v>20</v>
      </c>
      <c r="AJ143">
        <v>17.666666666666668</v>
      </c>
      <c r="AK143">
        <v>25</v>
      </c>
      <c r="AL143">
        <v>-2.1562500000000009</v>
      </c>
      <c r="AM143">
        <v>4</v>
      </c>
      <c r="AN143">
        <v>3.5625</v>
      </c>
      <c r="AO143">
        <v>5</v>
      </c>
      <c r="AP143">
        <v>10.25</v>
      </c>
      <c r="AQ143">
        <v>23</v>
      </c>
      <c r="AR143">
        <v>-0.6875</v>
      </c>
      <c r="AS143">
        <v>17</v>
      </c>
      <c r="AT143">
        <v>14.666666666666666</v>
      </c>
      <c r="AU143">
        <v>16</v>
      </c>
      <c r="AV143">
        <v>-0.23000000000000353</v>
      </c>
      <c r="AW143">
        <v>7</v>
      </c>
      <c r="AX143">
        <v>19.8125</v>
      </c>
      <c r="AY143">
        <v>21</v>
      </c>
      <c r="AZ143">
        <v>-0.8125</v>
      </c>
      <c r="BA143">
        <v>24</v>
      </c>
      <c r="BB143">
        <v>24</v>
      </c>
      <c r="BC143">
        <v>25</v>
      </c>
      <c r="BD143">
        <v>-3.1187500000000017</v>
      </c>
      <c r="BE143">
        <v>21</v>
      </c>
      <c r="BF143">
        <v>-7.625</v>
      </c>
      <c r="BG143">
        <v>26</v>
      </c>
      <c r="BH143">
        <v>-1.5</v>
      </c>
      <c r="BI143">
        <v>5</v>
      </c>
      <c r="BJ143">
        <v>6.666666666666667</v>
      </c>
      <c r="BK143">
        <v>6</v>
      </c>
      <c r="BL143">
        <v>3.4512499999999982</v>
      </c>
      <c r="BM143">
        <v>8</v>
      </c>
      <c r="BN143">
        <v>15.375</v>
      </c>
      <c r="BO143">
        <v>6</v>
      </c>
      <c r="BP143">
        <v>0.6875</v>
      </c>
      <c r="BQ143">
        <v>13</v>
      </c>
      <c r="BR143">
        <v>13.333333333333334</v>
      </c>
      <c r="BS143">
        <v>16</v>
      </c>
      <c r="BT143">
        <v>-0.5625</v>
      </c>
      <c r="BU143">
        <v>6</v>
      </c>
      <c r="BV143">
        <v>12.0625</v>
      </c>
      <c r="BW143">
        <v>18</v>
      </c>
      <c r="BX143">
        <v>0</v>
      </c>
      <c r="BY143">
        <v>18</v>
      </c>
      <c r="BZ143">
        <v>18.666666666666668</v>
      </c>
      <c r="CA143">
        <v>15</v>
      </c>
      <c r="CB143">
        <v>8.7500000000001243E-2</v>
      </c>
      <c r="CC143">
        <v>15</v>
      </c>
      <c r="CD143">
        <v>-0.375</v>
      </c>
      <c r="CE143">
        <v>26</v>
      </c>
      <c r="CF143">
        <v>-1.625</v>
      </c>
      <c r="CG143">
        <v>27</v>
      </c>
      <c r="CH143">
        <v>25.666666666666668</v>
      </c>
      <c r="CI143">
        <v>20</v>
      </c>
      <c r="CJ143">
        <v>-1.3437500000000004</v>
      </c>
      <c r="CK143">
        <v>26</v>
      </c>
      <c r="CL143">
        <v>-14.8125</v>
      </c>
      <c r="CM143">
        <v>31</v>
      </c>
      <c r="CN143">
        <v>-2.5</v>
      </c>
      <c r="CO143">
        <v>29</v>
      </c>
      <c r="CP143">
        <v>28</v>
      </c>
      <c r="CQ143">
        <v>31</v>
      </c>
      <c r="CR143">
        <v>-2.4375</v>
      </c>
      <c r="CS143">
        <v>25</v>
      </c>
      <c r="CT143">
        <v>-0.3125</v>
      </c>
      <c r="CU143">
        <v>-0.5625</v>
      </c>
      <c r="CV143">
        <v>23</v>
      </c>
      <c r="CW143">
        <v>19</v>
      </c>
      <c r="CX143">
        <v>20</v>
      </c>
      <c r="CY143">
        <v>-2.4494778926731187E-2</v>
      </c>
      <c r="CZ143">
        <v>29</v>
      </c>
      <c r="DA143">
        <v>-2.3214282953531989E-2</v>
      </c>
      <c r="DB143">
        <v>7</v>
      </c>
      <c r="DC143">
        <v>-8.2961309523809534E-2</v>
      </c>
      <c r="DD143">
        <v>20</v>
      </c>
      <c r="DE143">
        <v>-0.5</v>
      </c>
      <c r="DF143">
        <v>-1.25</v>
      </c>
      <c r="DG143">
        <v>-1.4375</v>
      </c>
      <c r="DH143">
        <v>-0.125</v>
      </c>
      <c r="DI143">
        <v>20.1875</v>
      </c>
      <c r="DJ143">
        <v>-0.5625</v>
      </c>
      <c r="DK143">
        <v>19.375</v>
      </c>
      <c r="DL143">
        <v>3.625</v>
      </c>
      <c r="DM143">
        <v>-2.25</v>
      </c>
      <c r="DN143">
        <v>24</v>
      </c>
      <c r="DO143">
        <v>-5.4224999999999994</v>
      </c>
      <c r="DP143">
        <v>-2.0705</v>
      </c>
      <c r="DQ143">
        <v>-19.9375</v>
      </c>
      <c r="DR143">
        <v>9</v>
      </c>
      <c r="DS143">
        <v>-0.61984375000000091</v>
      </c>
      <c r="DT143">
        <v>-3.3125</v>
      </c>
      <c r="DU143">
        <v>-0.49812499999999993</v>
      </c>
      <c r="DV143">
        <v>-1.1754687499999998</v>
      </c>
      <c r="DW143" t="s">
        <v>306</v>
      </c>
      <c r="DX143" t="s">
        <v>283</v>
      </c>
      <c r="DY143" t="s">
        <v>454</v>
      </c>
      <c r="DZ143">
        <v>12</v>
      </c>
      <c r="EA143">
        <v>1.6887499999999989</v>
      </c>
      <c r="EB143">
        <v>17</v>
      </c>
      <c r="EC143">
        <v>17</v>
      </c>
      <c r="ED143">
        <v>20</v>
      </c>
      <c r="EE143">
        <v>-1.0750000000000002</v>
      </c>
      <c r="EF143">
        <v>9</v>
      </c>
      <c r="EG143">
        <v>1.6875</v>
      </c>
      <c r="EH143">
        <v>17</v>
      </c>
      <c r="EI143">
        <v>-6.375</v>
      </c>
      <c r="EJ143">
        <v>22</v>
      </c>
      <c r="EK143">
        <v>-0.625</v>
      </c>
      <c r="EL143">
        <v>13</v>
      </c>
      <c r="EM143">
        <v>15</v>
      </c>
      <c r="EN143">
        <v>11</v>
      </c>
      <c r="EO143">
        <v>1.3062500000000004</v>
      </c>
      <c r="EP143">
        <v>13</v>
      </c>
      <c r="EQ143">
        <v>6.25E-2</v>
      </c>
      <c r="ER143">
        <v>14</v>
      </c>
      <c r="ES143">
        <v>1</v>
      </c>
      <c r="ET143">
        <v>22</v>
      </c>
      <c r="EU143">
        <v>-0.5625</v>
      </c>
      <c r="EV143">
        <v>21</v>
      </c>
      <c r="EW143">
        <v>20.666666666666668</v>
      </c>
      <c r="EX143">
        <v>29</v>
      </c>
      <c r="EY143">
        <v>-2.3812500000000005</v>
      </c>
      <c r="EZ143">
        <v>6</v>
      </c>
      <c r="FA143">
        <v>1.625</v>
      </c>
      <c r="FB143">
        <v>27</v>
      </c>
      <c r="FC143">
        <v>-7.375</v>
      </c>
      <c r="FD143">
        <v>18</v>
      </c>
      <c r="FE143">
        <v>-6.25E-2</v>
      </c>
      <c r="FF143">
        <v>13</v>
      </c>
      <c r="FG143">
        <v>15</v>
      </c>
      <c r="FH143">
        <v>22</v>
      </c>
      <c r="FI143">
        <v>-4.18</v>
      </c>
      <c r="FJ143">
        <v>9</v>
      </c>
      <c r="FK143">
        <v>8</v>
      </c>
      <c r="FL143">
        <v>14</v>
      </c>
      <c r="FM143">
        <v>0</v>
      </c>
      <c r="FN143">
        <v>26</v>
      </c>
      <c r="FO143">
        <v>23.666666666666668</v>
      </c>
      <c r="FP143">
        <v>28</v>
      </c>
      <c r="FQ143">
        <v>-3.2874999999999992</v>
      </c>
      <c r="FR143">
        <v>18</v>
      </c>
      <c r="FS143">
        <v>-3.6875</v>
      </c>
      <c r="FT143">
        <v>25</v>
      </c>
      <c r="FU143">
        <v>-0.9375</v>
      </c>
      <c r="FV143">
        <v>18</v>
      </c>
      <c r="FW143">
        <v>16.666666666666668</v>
      </c>
      <c r="FX143">
        <v>22</v>
      </c>
      <c r="FY143">
        <v>-2.0425</v>
      </c>
      <c r="FZ143">
        <v>20</v>
      </c>
      <c r="GA143">
        <v>-2.375</v>
      </c>
      <c r="GB143">
        <v>8</v>
      </c>
      <c r="GC143">
        <v>0.8125</v>
      </c>
      <c r="GD143">
        <v>7</v>
      </c>
      <c r="GE143">
        <v>8.6666666666666661</v>
      </c>
      <c r="GF143">
        <v>8</v>
      </c>
      <c r="GG143">
        <v>1.1499999999999999</v>
      </c>
      <c r="GH143">
        <v>3</v>
      </c>
      <c r="GI143">
        <v>14.0625</v>
      </c>
      <c r="GJ143">
        <v>15</v>
      </c>
      <c r="GK143">
        <v>0.125</v>
      </c>
      <c r="GL143">
        <v>12</v>
      </c>
      <c r="GM143">
        <v>13</v>
      </c>
      <c r="GN143">
        <v>9</v>
      </c>
      <c r="GO143">
        <v>1.4187500000000006</v>
      </c>
      <c r="GP143">
        <v>16</v>
      </c>
      <c r="GQ143">
        <v>-3.3125</v>
      </c>
      <c r="GR143">
        <v>14</v>
      </c>
      <c r="GS143">
        <v>-6.25E-2</v>
      </c>
      <c r="GT143">
        <v>9</v>
      </c>
      <c r="GU143">
        <v>10.333333333333334</v>
      </c>
      <c r="GV143">
        <v>7</v>
      </c>
      <c r="GW143">
        <v>4.0625000000000009</v>
      </c>
      <c r="GX143">
        <v>7</v>
      </c>
      <c r="GY143">
        <v>12.125</v>
      </c>
      <c r="GZ143">
        <v>17</v>
      </c>
      <c r="HA143">
        <v>-6.25E-2</v>
      </c>
      <c r="HB143">
        <v>11</v>
      </c>
      <c r="HC143">
        <v>11</v>
      </c>
      <c r="HD143">
        <v>11</v>
      </c>
      <c r="HE143">
        <v>0.9375</v>
      </c>
      <c r="HF143">
        <v>11</v>
      </c>
      <c r="HG143">
        <v>0.3125</v>
      </c>
      <c r="HH143">
        <v>0.75</v>
      </c>
      <c r="HI143">
        <v>2</v>
      </c>
      <c r="HJ143">
        <v>9</v>
      </c>
      <c r="HK143">
        <v>4</v>
      </c>
      <c r="HL143">
        <v>4.6790291071448192E-2</v>
      </c>
      <c r="HM143">
        <v>3</v>
      </c>
      <c r="HN143">
        <v>2.5411387198352391E-2</v>
      </c>
      <c r="HO143">
        <v>20</v>
      </c>
      <c r="HP143">
        <v>1.778048340548341E-2</v>
      </c>
      <c r="HQ143">
        <v>9</v>
      </c>
      <c r="HR143">
        <v>1.0625</v>
      </c>
      <c r="HS143">
        <v>-0.6875</v>
      </c>
      <c r="HT143">
        <v>2.5625</v>
      </c>
      <c r="HU143">
        <v>-1.3125</v>
      </c>
      <c r="HV143">
        <v>-8.875</v>
      </c>
      <c r="HW143">
        <v>16.5</v>
      </c>
      <c r="HX143">
        <v>-13.4375</v>
      </c>
      <c r="HY143">
        <v>-2.6875</v>
      </c>
      <c r="HZ143">
        <v>-9.25</v>
      </c>
      <c r="IA143">
        <v>13</v>
      </c>
      <c r="IB143">
        <v>2.763749999999999</v>
      </c>
      <c r="IC143">
        <v>0.85175000000000023</v>
      </c>
      <c r="ID143">
        <v>29.9375</v>
      </c>
      <c r="IE143">
        <v>20</v>
      </c>
      <c r="IF143">
        <v>0.17921875000000004</v>
      </c>
      <c r="IG143">
        <v>-6.25E-2</v>
      </c>
    </row>
    <row r="144" spans="1:241" x14ac:dyDescent="0.2">
      <c r="A144" s="19">
        <v>44115</v>
      </c>
      <c r="B144" s="13" t="s">
        <v>381</v>
      </c>
      <c r="C144" s="41" t="s">
        <v>293</v>
      </c>
      <c r="D144" s="14" t="s">
        <v>256</v>
      </c>
      <c r="E144">
        <v>13</v>
      </c>
      <c r="F144">
        <v>23.6</v>
      </c>
      <c r="G144">
        <v>4.3</v>
      </c>
      <c r="H144">
        <v>14.1</v>
      </c>
      <c r="I144">
        <v>8.5</v>
      </c>
      <c r="J144">
        <v>50.5</v>
      </c>
      <c r="K144" t="s">
        <v>735</v>
      </c>
      <c r="L144" t="s">
        <v>293</v>
      </c>
      <c r="M144">
        <v>24</v>
      </c>
      <c r="N144">
        <v>-2.1149999999999989</v>
      </c>
      <c r="O144">
        <v>24</v>
      </c>
      <c r="P144">
        <v>21.5</v>
      </c>
      <c r="Q144">
        <v>18</v>
      </c>
      <c r="R144">
        <v>-1.4812500000000006</v>
      </c>
      <c r="S144">
        <v>20</v>
      </c>
      <c r="T144">
        <v>-1.25</v>
      </c>
      <c r="U144">
        <v>24</v>
      </c>
      <c r="V144">
        <v>-15.6875</v>
      </c>
      <c r="W144">
        <v>24</v>
      </c>
      <c r="X144">
        <v>-0.75</v>
      </c>
      <c r="Y144">
        <v>20</v>
      </c>
      <c r="Z144">
        <v>20</v>
      </c>
      <c r="AA144">
        <v>24</v>
      </c>
      <c r="AB144">
        <v>-2.9250000000000003</v>
      </c>
      <c r="AC144">
        <v>29</v>
      </c>
      <c r="AD144">
        <v>-2.375</v>
      </c>
      <c r="AE144">
        <v>25</v>
      </c>
      <c r="AF144">
        <v>-11.1875</v>
      </c>
      <c r="AG144">
        <v>11</v>
      </c>
      <c r="AH144">
        <v>0.5</v>
      </c>
      <c r="AI144">
        <v>23</v>
      </c>
      <c r="AJ144">
        <v>19.333333333333332</v>
      </c>
      <c r="AK144">
        <v>9</v>
      </c>
      <c r="AL144">
        <v>1.4437499999999996</v>
      </c>
      <c r="AM144">
        <v>8</v>
      </c>
      <c r="AN144">
        <v>1.125</v>
      </c>
      <c r="AO144">
        <v>18</v>
      </c>
      <c r="AP144">
        <v>-4.5</v>
      </c>
      <c r="AQ144">
        <v>31</v>
      </c>
      <c r="AR144">
        <v>-1.25</v>
      </c>
      <c r="AS144">
        <v>32</v>
      </c>
      <c r="AT144">
        <v>30.666666666666668</v>
      </c>
      <c r="AU144">
        <v>32</v>
      </c>
      <c r="AV144">
        <v>-12.393750000000001</v>
      </c>
      <c r="AW144">
        <v>32</v>
      </c>
      <c r="AX144">
        <v>-55.9375</v>
      </c>
      <c r="AY144">
        <v>28</v>
      </c>
      <c r="AZ144">
        <v>-3.3125</v>
      </c>
      <c r="BA144">
        <v>26</v>
      </c>
      <c r="BB144">
        <v>24.666666666666668</v>
      </c>
      <c r="BC144">
        <v>23</v>
      </c>
      <c r="BD144">
        <v>-2.8687499999999999</v>
      </c>
      <c r="BE144">
        <v>28</v>
      </c>
      <c r="BF144">
        <v>-15.9375</v>
      </c>
      <c r="BG144">
        <v>23</v>
      </c>
      <c r="BH144">
        <v>-1.25</v>
      </c>
      <c r="BI144">
        <v>30</v>
      </c>
      <c r="BJ144">
        <v>26.666666666666668</v>
      </c>
      <c r="BK144">
        <v>31</v>
      </c>
      <c r="BL144">
        <v>-4.8062499999999995</v>
      </c>
      <c r="BM144">
        <v>28</v>
      </c>
      <c r="BN144">
        <v>-17.625</v>
      </c>
      <c r="BO144">
        <v>21</v>
      </c>
      <c r="BP144">
        <v>-0.25</v>
      </c>
      <c r="BQ144">
        <v>32</v>
      </c>
      <c r="BR144">
        <v>31</v>
      </c>
      <c r="BS144">
        <v>32</v>
      </c>
      <c r="BT144">
        <v>-4.7187500000000009</v>
      </c>
      <c r="BU144">
        <v>31</v>
      </c>
      <c r="BV144">
        <v>-22.375</v>
      </c>
      <c r="BW144">
        <v>30</v>
      </c>
      <c r="BX144">
        <v>-1.8125</v>
      </c>
      <c r="BY144">
        <v>31</v>
      </c>
      <c r="BZ144">
        <v>28.333333333333332</v>
      </c>
      <c r="CA144">
        <v>29</v>
      </c>
      <c r="CB144">
        <v>-5.6437500000000007</v>
      </c>
      <c r="CC144">
        <v>32</v>
      </c>
      <c r="CD144">
        <v>-40.8125</v>
      </c>
      <c r="CE144">
        <v>24</v>
      </c>
      <c r="CF144">
        <v>-1.25</v>
      </c>
      <c r="CG144">
        <v>10</v>
      </c>
      <c r="CH144">
        <v>11.333333333333334</v>
      </c>
      <c r="CI144">
        <v>8</v>
      </c>
      <c r="CJ144">
        <v>2.1937500000000005</v>
      </c>
      <c r="CK144">
        <v>15</v>
      </c>
      <c r="CL144">
        <v>2.5625</v>
      </c>
      <c r="CM144">
        <v>11</v>
      </c>
      <c r="CN144">
        <v>0.4375</v>
      </c>
      <c r="CO144">
        <v>9</v>
      </c>
      <c r="CP144">
        <v>10</v>
      </c>
      <c r="CQ144">
        <v>7</v>
      </c>
      <c r="CR144">
        <v>1.125</v>
      </c>
      <c r="CS144">
        <v>13</v>
      </c>
      <c r="CT144">
        <v>6.25E-2</v>
      </c>
      <c r="CU144">
        <v>0.3125</v>
      </c>
      <c r="CV144">
        <v>24</v>
      </c>
      <c r="CW144">
        <v>19.25</v>
      </c>
      <c r="CX144">
        <v>16</v>
      </c>
      <c r="CY144">
        <v>-4.8216179946745374E-3</v>
      </c>
      <c r="CZ144">
        <v>16</v>
      </c>
      <c r="DA144">
        <v>-1.6357709131438469E-4</v>
      </c>
      <c r="DB144">
        <v>21</v>
      </c>
      <c r="DC144">
        <v>3.7008477633477643E-2</v>
      </c>
      <c r="DD144">
        <v>24</v>
      </c>
      <c r="DE144">
        <v>-1.125</v>
      </c>
      <c r="DF144">
        <v>-1.25</v>
      </c>
      <c r="DG144">
        <v>-2</v>
      </c>
      <c r="DH144">
        <v>-0.875</v>
      </c>
      <c r="DI144">
        <v>-49.6875</v>
      </c>
      <c r="DJ144">
        <v>-54.4375</v>
      </c>
      <c r="DK144">
        <v>-5.75</v>
      </c>
      <c r="DL144">
        <v>1.75</v>
      </c>
      <c r="DM144">
        <v>8.75</v>
      </c>
      <c r="DN144">
        <v>18</v>
      </c>
      <c r="DO144">
        <v>-0.63374999999999826</v>
      </c>
      <c r="DP144">
        <v>-1.7223749999999993</v>
      </c>
      <c r="DQ144">
        <v>-48.6875</v>
      </c>
      <c r="DR144">
        <v>15</v>
      </c>
      <c r="DS144">
        <v>-1.5839062499999996</v>
      </c>
      <c r="DT144">
        <v>-2.875</v>
      </c>
      <c r="DU144">
        <v>-0.89164062499999974</v>
      </c>
      <c r="DV144">
        <v>-1.0814062499999997</v>
      </c>
      <c r="DW144" t="s">
        <v>256</v>
      </c>
      <c r="DX144" t="s">
        <v>257</v>
      </c>
      <c r="DY144" t="s">
        <v>547</v>
      </c>
      <c r="DZ144">
        <v>19</v>
      </c>
      <c r="EA144">
        <v>-0.69625000000000004</v>
      </c>
      <c r="EB144">
        <v>22</v>
      </c>
      <c r="EC144">
        <v>20.25</v>
      </c>
      <c r="ED144">
        <v>22</v>
      </c>
      <c r="EE144">
        <v>-2.1687500000000002</v>
      </c>
      <c r="EF144">
        <v>20</v>
      </c>
      <c r="EG144">
        <v>-0.8125</v>
      </c>
      <c r="EH144">
        <v>18</v>
      </c>
      <c r="EI144">
        <v>-7.3125</v>
      </c>
      <c r="EJ144">
        <v>21</v>
      </c>
      <c r="EK144">
        <v>-0.5</v>
      </c>
      <c r="EL144">
        <v>26</v>
      </c>
      <c r="EM144">
        <v>21</v>
      </c>
      <c r="EN144">
        <v>20</v>
      </c>
      <c r="EO144">
        <v>-1.7062500000000003</v>
      </c>
      <c r="EP144">
        <v>22</v>
      </c>
      <c r="EQ144">
        <v>-0.9375</v>
      </c>
      <c r="ER144">
        <v>18</v>
      </c>
      <c r="ES144">
        <v>-4.5</v>
      </c>
      <c r="ET144">
        <v>24</v>
      </c>
      <c r="EU144">
        <v>-0.625</v>
      </c>
      <c r="EV144">
        <v>17</v>
      </c>
      <c r="EW144">
        <v>18</v>
      </c>
      <c r="EX144">
        <v>20</v>
      </c>
      <c r="EY144">
        <v>-0.46250000000000013</v>
      </c>
      <c r="EZ144">
        <v>16</v>
      </c>
      <c r="FA144">
        <v>0.125</v>
      </c>
      <c r="FB144">
        <v>18</v>
      </c>
      <c r="FC144">
        <v>-2.8125</v>
      </c>
      <c r="FD144">
        <v>13</v>
      </c>
      <c r="FE144">
        <v>0.125</v>
      </c>
      <c r="FF144">
        <v>9</v>
      </c>
      <c r="FG144">
        <v>10.666666666666666</v>
      </c>
      <c r="FH144">
        <v>13</v>
      </c>
      <c r="FI144">
        <v>0.22500000000000087</v>
      </c>
      <c r="FJ144">
        <v>10</v>
      </c>
      <c r="FK144">
        <v>7.9375</v>
      </c>
      <c r="FL144">
        <v>9</v>
      </c>
      <c r="FM144">
        <v>0.8125</v>
      </c>
      <c r="FN144">
        <v>11</v>
      </c>
      <c r="FO144">
        <v>13</v>
      </c>
      <c r="FP144">
        <v>16</v>
      </c>
      <c r="FQ144">
        <v>-0.78124999999999867</v>
      </c>
      <c r="FR144">
        <v>13</v>
      </c>
      <c r="FS144">
        <v>0.5625</v>
      </c>
      <c r="FT144">
        <v>10</v>
      </c>
      <c r="FU144">
        <v>0.3125</v>
      </c>
      <c r="FV144">
        <v>10</v>
      </c>
      <c r="FW144">
        <v>11.666666666666666</v>
      </c>
      <c r="FX144">
        <v>14</v>
      </c>
      <c r="FY144">
        <v>0.97499999999999964</v>
      </c>
      <c r="FZ144">
        <v>8</v>
      </c>
      <c r="GA144">
        <v>10</v>
      </c>
      <c r="GB144">
        <v>13</v>
      </c>
      <c r="GC144">
        <v>0.375</v>
      </c>
      <c r="GD144">
        <v>16</v>
      </c>
      <c r="GE144">
        <v>16</v>
      </c>
      <c r="GF144">
        <v>15</v>
      </c>
      <c r="GG144">
        <v>3.1249999999999889E-2</v>
      </c>
      <c r="GH144">
        <v>18</v>
      </c>
      <c r="GI144">
        <v>-2.625</v>
      </c>
      <c r="GJ144">
        <v>15</v>
      </c>
      <c r="GK144">
        <v>0.125</v>
      </c>
      <c r="GL144">
        <v>26</v>
      </c>
      <c r="GM144">
        <v>25.666666666666668</v>
      </c>
      <c r="GN144">
        <v>25</v>
      </c>
      <c r="GO144">
        <v>-3.5437499999999997</v>
      </c>
      <c r="GP144">
        <v>21</v>
      </c>
      <c r="GQ144">
        <v>-9.8125</v>
      </c>
      <c r="GR144">
        <v>31</v>
      </c>
      <c r="GS144">
        <v>-2</v>
      </c>
      <c r="GT144">
        <v>30</v>
      </c>
      <c r="GU144">
        <v>28.666666666666668</v>
      </c>
      <c r="GV144">
        <v>28</v>
      </c>
      <c r="GW144">
        <v>-3.2874999999999996</v>
      </c>
      <c r="GX144">
        <v>28</v>
      </c>
      <c r="GY144">
        <v>-13.625</v>
      </c>
      <c r="GZ144">
        <v>30</v>
      </c>
      <c r="HA144">
        <v>-1.75</v>
      </c>
      <c r="HB144">
        <v>14</v>
      </c>
      <c r="HC144">
        <v>13.5</v>
      </c>
      <c r="HD144">
        <v>14</v>
      </c>
      <c r="HE144">
        <v>0.3125</v>
      </c>
      <c r="HF144">
        <v>13</v>
      </c>
      <c r="HG144">
        <v>0.1875</v>
      </c>
      <c r="HH144">
        <v>1.1875</v>
      </c>
      <c r="HI144">
        <v>15</v>
      </c>
      <c r="HJ144">
        <v>16</v>
      </c>
      <c r="HK144">
        <v>8</v>
      </c>
      <c r="HL144">
        <v>2.3026346025627698E-2</v>
      </c>
      <c r="HM144">
        <v>24</v>
      </c>
      <c r="HN144">
        <v>-1.6259232653606449E-2</v>
      </c>
      <c r="HO144">
        <v>5</v>
      </c>
      <c r="HP144">
        <v>-9.8850108225108216E-2</v>
      </c>
      <c r="HQ144">
        <v>27</v>
      </c>
      <c r="HR144">
        <v>-2.25</v>
      </c>
      <c r="HS144">
        <v>-3.875</v>
      </c>
      <c r="HT144">
        <v>-1.5</v>
      </c>
      <c r="HU144">
        <v>0.875</v>
      </c>
      <c r="HV144">
        <v>-24.375</v>
      </c>
      <c r="HW144">
        <v>-26.375</v>
      </c>
      <c r="HX144">
        <v>-9.375</v>
      </c>
      <c r="HY144">
        <v>2.25</v>
      </c>
      <c r="HZ144">
        <v>9.125</v>
      </c>
      <c r="IA144">
        <v>15</v>
      </c>
      <c r="IB144">
        <v>1.4725000000000001</v>
      </c>
      <c r="IC144">
        <v>0.33262500000000039</v>
      </c>
      <c r="ID144">
        <v>-17</v>
      </c>
      <c r="IE144">
        <v>18</v>
      </c>
      <c r="IF144">
        <v>-0.7018749999999998</v>
      </c>
      <c r="IG144">
        <v>-0.9375</v>
      </c>
    </row>
    <row r="145" spans="1:241" x14ac:dyDescent="0.2">
      <c r="A145" s="19">
        <v>44115</v>
      </c>
      <c r="B145" s="13" t="s">
        <v>381</v>
      </c>
      <c r="C145" s="41" t="s">
        <v>312</v>
      </c>
      <c r="D145" s="14" t="s">
        <v>308</v>
      </c>
      <c r="E145">
        <v>29.3</v>
      </c>
      <c r="F145">
        <v>5.5</v>
      </c>
      <c r="G145">
        <v>2.2999999999999998</v>
      </c>
      <c r="H145">
        <v>10.4</v>
      </c>
      <c r="I145">
        <v>6.5</v>
      </c>
      <c r="J145">
        <v>55</v>
      </c>
      <c r="L145" t="s">
        <v>312</v>
      </c>
      <c r="M145">
        <v>25</v>
      </c>
      <c r="N145">
        <v>-2.1508333333333334</v>
      </c>
      <c r="O145">
        <v>8</v>
      </c>
      <c r="P145">
        <v>10.5</v>
      </c>
      <c r="Q145">
        <v>7</v>
      </c>
      <c r="R145">
        <v>3.9187500000000006</v>
      </c>
      <c r="S145">
        <v>5</v>
      </c>
      <c r="T145">
        <v>4.1666666666666661</v>
      </c>
      <c r="U145">
        <v>2</v>
      </c>
      <c r="V145">
        <v>26.770833333333336</v>
      </c>
      <c r="W145">
        <v>28</v>
      </c>
      <c r="X145">
        <v>-1.2916666666666667</v>
      </c>
      <c r="Y145">
        <v>9</v>
      </c>
      <c r="Z145">
        <v>11.333333333333334</v>
      </c>
      <c r="AA145">
        <v>7</v>
      </c>
      <c r="AB145">
        <v>4.1625000000000005</v>
      </c>
      <c r="AC145">
        <v>6</v>
      </c>
      <c r="AD145">
        <v>3.333333333333333</v>
      </c>
      <c r="AE145">
        <v>3</v>
      </c>
      <c r="AF145">
        <v>23.541666666666668</v>
      </c>
      <c r="AG145">
        <v>24</v>
      </c>
      <c r="AH145">
        <v>-1</v>
      </c>
      <c r="AI145">
        <v>12</v>
      </c>
      <c r="AJ145">
        <v>14</v>
      </c>
      <c r="AK145">
        <v>16</v>
      </c>
      <c r="AL145">
        <v>-0.2437499999999998</v>
      </c>
      <c r="AM145">
        <v>11</v>
      </c>
      <c r="AN145">
        <v>0.83333333333333326</v>
      </c>
      <c r="AO145">
        <v>9</v>
      </c>
      <c r="AP145">
        <v>3.229166666666667</v>
      </c>
      <c r="AQ145">
        <v>17</v>
      </c>
      <c r="AR145">
        <v>-0.29166666666666674</v>
      </c>
      <c r="AS145">
        <v>9</v>
      </c>
      <c r="AT145">
        <v>10.333333333333334</v>
      </c>
      <c r="AU145">
        <v>7</v>
      </c>
      <c r="AV145">
        <v>7.5541666666666671</v>
      </c>
      <c r="AW145">
        <v>4</v>
      </c>
      <c r="AX145">
        <v>45.083333333333336</v>
      </c>
      <c r="AY145">
        <v>20</v>
      </c>
      <c r="AZ145">
        <v>-0.70833333333333326</v>
      </c>
      <c r="BA145">
        <v>3</v>
      </c>
      <c r="BB145">
        <v>5.666666666666667</v>
      </c>
      <c r="BC145">
        <v>3</v>
      </c>
      <c r="BD145">
        <v>5.0729166666666661</v>
      </c>
      <c r="BE145">
        <v>7</v>
      </c>
      <c r="BF145">
        <v>13.979166666666666</v>
      </c>
      <c r="BG145">
        <v>7</v>
      </c>
      <c r="BH145">
        <v>1.4583333333333333</v>
      </c>
      <c r="BI145">
        <v>8</v>
      </c>
      <c r="BJ145">
        <v>10.666666666666666</v>
      </c>
      <c r="BK145">
        <v>5</v>
      </c>
      <c r="BL145">
        <v>4.3937500000000007</v>
      </c>
      <c r="BM145">
        <v>2</v>
      </c>
      <c r="BN145">
        <v>35.166666666666671</v>
      </c>
      <c r="BO145">
        <v>25</v>
      </c>
      <c r="BP145">
        <v>-0.6875</v>
      </c>
      <c r="BQ145">
        <v>25</v>
      </c>
      <c r="BR145">
        <v>24</v>
      </c>
      <c r="BS145">
        <v>25</v>
      </c>
      <c r="BT145">
        <v>-1.9125000000000001</v>
      </c>
      <c r="BU145">
        <v>20</v>
      </c>
      <c r="BV145">
        <v>-4.0625</v>
      </c>
      <c r="BW145">
        <v>27</v>
      </c>
      <c r="BX145">
        <v>-1.4791666666666665</v>
      </c>
      <c r="BY145">
        <v>26</v>
      </c>
      <c r="BZ145">
        <v>24</v>
      </c>
      <c r="CA145">
        <v>23</v>
      </c>
      <c r="CB145">
        <v>-2.8833333333333337</v>
      </c>
      <c r="CC145">
        <v>18</v>
      </c>
      <c r="CD145">
        <v>-4.4583333333333321</v>
      </c>
      <c r="CE145">
        <v>31</v>
      </c>
      <c r="CF145">
        <v>-4</v>
      </c>
      <c r="CG145">
        <v>31</v>
      </c>
      <c r="CH145">
        <v>29.666666666666668</v>
      </c>
      <c r="CI145">
        <v>29</v>
      </c>
      <c r="CJ145">
        <v>-4.0125000000000002</v>
      </c>
      <c r="CK145">
        <v>30</v>
      </c>
      <c r="CL145">
        <v>-18.041666666666664</v>
      </c>
      <c r="CM145">
        <v>30</v>
      </c>
      <c r="CN145">
        <v>-2.0625</v>
      </c>
      <c r="CO145">
        <v>22</v>
      </c>
      <c r="CP145">
        <v>21</v>
      </c>
      <c r="CQ145">
        <v>28</v>
      </c>
      <c r="CR145">
        <v>-1.5416666666666667</v>
      </c>
      <c r="CS145">
        <v>14</v>
      </c>
      <c r="CT145">
        <v>0</v>
      </c>
      <c r="CU145">
        <v>-0.83333333333333337</v>
      </c>
      <c r="CV145">
        <v>2</v>
      </c>
      <c r="CW145">
        <v>8.25</v>
      </c>
      <c r="CX145">
        <v>1</v>
      </c>
      <c r="CY145">
        <v>0.11844731643410493</v>
      </c>
      <c r="CZ145">
        <v>1</v>
      </c>
      <c r="DA145">
        <v>2.7677498105147979E-2</v>
      </c>
      <c r="DB145">
        <v>22</v>
      </c>
      <c r="DC145">
        <v>3.922784391534391E-2</v>
      </c>
      <c r="DD145">
        <v>9</v>
      </c>
      <c r="DE145">
        <v>0.75</v>
      </c>
      <c r="DF145">
        <v>-5.8958333333333339</v>
      </c>
      <c r="DG145">
        <v>3.083333333333333</v>
      </c>
      <c r="DH145">
        <v>-0.4375</v>
      </c>
      <c r="DI145">
        <v>3.2708333333333286</v>
      </c>
      <c r="DJ145">
        <v>-14.604166666666671</v>
      </c>
      <c r="DK145">
        <v>19.333333333333336</v>
      </c>
      <c r="DL145">
        <v>-2.2916666666666665</v>
      </c>
      <c r="DM145">
        <v>0.83333333333333393</v>
      </c>
      <c r="DN145">
        <v>26</v>
      </c>
      <c r="DO145">
        <v>-6.0695833333333349</v>
      </c>
      <c r="DP145">
        <v>-1.6812083333333336</v>
      </c>
      <c r="DQ145">
        <v>-33.937500000000007</v>
      </c>
      <c r="DR145">
        <v>7</v>
      </c>
      <c r="DS145">
        <v>0.47098958333333329</v>
      </c>
      <c r="DT145">
        <v>-2.770833333333333</v>
      </c>
      <c r="DU145">
        <v>2.5902604166666663</v>
      </c>
      <c r="DV145">
        <v>2.3517708333333331</v>
      </c>
      <c r="DW145" t="s">
        <v>308</v>
      </c>
      <c r="DX145" t="s">
        <v>238</v>
      </c>
      <c r="DY145" t="s">
        <v>451</v>
      </c>
      <c r="DZ145">
        <v>2</v>
      </c>
      <c r="EA145">
        <v>7.1362499999999995</v>
      </c>
      <c r="EB145">
        <v>29</v>
      </c>
      <c r="EC145">
        <v>24.25</v>
      </c>
      <c r="ED145">
        <v>31</v>
      </c>
      <c r="EE145">
        <v>-6.9499999999999993</v>
      </c>
      <c r="EF145">
        <v>29</v>
      </c>
      <c r="EG145">
        <v>-3.8125</v>
      </c>
      <c r="EH145">
        <v>31</v>
      </c>
      <c r="EI145">
        <v>-33.625</v>
      </c>
      <c r="EJ145">
        <v>6</v>
      </c>
      <c r="EK145">
        <v>1.5</v>
      </c>
      <c r="EL145">
        <v>28</v>
      </c>
      <c r="EM145">
        <v>24</v>
      </c>
      <c r="EN145">
        <v>30</v>
      </c>
      <c r="EO145">
        <v>-4.5562500000000004</v>
      </c>
      <c r="EP145">
        <v>27</v>
      </c>
      <c r="EQ145">
        <v>-1.8125</v>
      </c>
      <c r="ER145">
        <v>29</v>
      </c>
      <c r="ES145">
        <v>-15.5625</v>
      </c>
      <c r="ET145">
        <v>10</v>
      </c>
      <c r="EU145">
        <v>0.4375</v>
      </c>
      <c r="EV145">
        <v>32</v>
      </c>
      <c r="EW145">
        <v>30.666666666666668</v>
      </c>
      <c r="EX145">
        <v>30</v>
      </c>
      <c r="EY145">
        <v>-2.3937499999999994</v>
      </c>
      <c r="EZ145">
        <v>30</v>
      </c>
      <c r="FA145">
        <v>-2</v>
      </c>
      <c r="FB145">
        <v>32</v>
      </c>
      <c r="FC145">
        <v>-18.0625</v>
      </c>
      <c r="FD145">
        <v>4</v>
      </c>
      <c r="FE145">
        <v>1.0625</v>
      </c>
      <c r="FF145">
        <v>1</v>
      </c>
      <c r="FG145">
        <v>1</v>
      </c>
      <c r="FH145">
        <v>1</v>
      </c>
      <c r="FI145">
        <v>23.787499999999998</v>
      </c>
      <c r="FJ145">
        <v>1</v>
      </c>
      <c r="FK145">
        <v>119.5</v>
      </c>
      <c r="FL145">
        <v>1</v>
      </c>
      <c r="FM145">
        <v>8.625</v>
      </c>
      <c r="FN145">
        <v>1</v>
      </c>
      <c r="FO145">
        <v>1.3333333333333333</v>
      </c>
      <c r="FP145">
        <v>2</v>
      </c>
      <c r="FQ145">
        <v>8.0749999999999993</v>
      </c>
      <c r="FR145">
        <v>1</v>
      </c>
      <c r="FS145">
        <v>52.5625</v>
      </c>
      <c r="FT145">
        <v>1</v>
      </c>
      <c r="FU145">
        <v>2.8125</v>
      </c>
      <c r="FV145">
        <v>1</v>
      </c>
      <c r="FW145">
        <v>1</v>
      </c>
      <c r="FX145">
        <v>1</v>
      </c>
      <c r="FY145">
        <v>7.5562499999999986</v>
      </c>
      <c r="FZ145">
        <v>1</v>
      </c>
      <c r="GA145">
        <v>36.0625</v>
      </c>
      <c r="GB145">
        <v>1</v>
      </c>
      <c r="GC145">
        <v>3.5</v>
      </c>
      <c r="GD145">
        <v>1</v>
      </c>
      <c r="GE145">
        <v>1</v>
      </c>
      <c r="GF145">
        <v>1</v>
      </c>
      <c r="GG145">
        <v>8.15625</v>
      </c>
      <c r="GH145">
        <v>1</v>
      </c>
      <c r="GI145">
        <v>30.875</v>
      </c>
      <c r="GJ145">
        <v>1</v>
      </c>
      <c r="GK145">
        <v>2.3125</v>
      </c>
      <c r="GL145">
        <v>2</v>
      </c>
      <c r="GM145">
        <v>2</v>
      </c>
      <c r="GN145">
        <v>4</v>
      </c>
      <c r="GO145">
        <v>6.8249999999999984</v>
      </c>
      <c r="GP145">
        <v>1</v>
      </c>
      <c r="GQ145">
        <v>54.5</v>
      </c>
      <c r="GR145">
        <v>1</v>
      </c>
      <c r="GS145">
        <v>4.875</v>
      </c>
      <c r="GT145">
        <v>28</v>
      </c>
      <c r="GU145">
        <v>26.333333333333332</v>
      </c>
      <c r="GV145">
        <v>30</v>
      </c>
      <c r="GW145">
        <v>-3.65625</v>
      </c>
      <c r="GX145">
        <v>23</v>
      </c>
      <c r="GY145">
        <v>-8.4375</v>
      </c>
      <c r="GZ145">
        <v>26</v>
      </c>
      <c r="HA145">
        <v>-1</v>
      </c>
      <c r="HB145">
        <v>5</v>
      </c>
      <c r="HC145">
        <v>5.5</v>
      </c>
      <c r="HD145">
        <v>5</v>
      </c>
      <c r="HE145">
        <v>2.3125</v>
      </c>
      <c r="HF145">
        <v>6</v>
      </c>
      <c r="HG145">
        <v>0.75</v>
      </c>
      <c r="HH145">
        <v>-1.5625</v>
      </c>
      <c r="HI145">
        <v>23</v>
      </c>
      <c r="HJ145">
        <v>20.25</v>
      </c>
      <c r="HK145">
        <v>26</v>
      </c>
      <c r="HL145">
        <v>-3.2477444998064188E-2</v>
      </c>
      <c r="HM145">
        <v>25</v>
      </c>
      <c r="HN145">
        <v>-1.9012720672438171E-2</v>
      </c>
      <c r="HO145">
        <v>21</v>
      </c>
      <c r="HP145">
        <v>2.428526334776332E-2</v>
      </c>
      <c r="HQ145">
        <v>9</v>
      </c>
      <c r="HR145">
        <v>1.0625</v>
      </c>
      <c r="HS145">
        <v>3.6875</v>
      </c>
      <c r="HT145">
        <v>0</v>
      </c>
      <c r="HU145">
        <v>0.875</v>
      </c>
      <c r="HV145">
        <v>58.8125</v>
      </c>
      <c r="HW145">
        <v>106.375</v>
      </c>
      <c r="HX145">
        <v>-48.5</v>
      </c>
      <c r="HY145">
        <v>-4.75</v>
      </c>
      <c r="HZ145">
        <v>5.6875</v>
      </c>
      <c r="IA145">
        <v>1</v>
      </c>
      <c r="IB145">
        <v>14.08625</v>
      </c>
      <c r="IC145">
        <v>8.9284999999999997</v>
      </c>
      <c r="ID145">
        <v>154.875</v>
      </c>
      <c r="IE145">
        <v>32</v>
      </c>
      <c r="IF145">
        <v>2.8287499999999994</v>
      </c>
      <c r="IG145">
        <v>7.625</v>
      </c>
    </row>
    <row r="146" spans="1:241" x14ac:dyDescent="0.2">
      <c r="A146" s="19">
        <v>44115</v>
      </c>
      <c r="B146" s="13" t="s">
        <v>381</v>
      </c>
      <c r="C146" s="41" t="s">
        <v>307</v>
      </c>
      <c r="D146" s="14" t="s">
        <v>287</v>
      </c>
      <c r="E146">
        <v>27.2</v>
      </c>
      <c r="F146">
        <v>7.4</v>
      </c>
      <c r="G146">
        <v>2.8</v>
      </c>
      <c r="H146">
        <v>13.2</v>
      </c>
      <c r="I146">
        <v>-7</v>
      </c>
      <c r="J146">
        <v>49</v>
      </c>
      <c r="L146" t="s">
        <v>307</v>
      </c>
      <c r="M146">
        <v>14</v>
      </c>
      <c r="N146">
        <v>-0.35500000000000087</v>
      </c>
      <c r="O146">
        <v>1</v>
      </c>
      <c r="P146">
        <v>3.75</v>
      </c>
      <c r="Q146">
        <v>2</v>
      </c>
      <c r="R146">
        <v>11.874999999999998</v>
      </c>
      <c r="S146">
        <v>3</v>
      </c>
      <c r="T146">
        <v>4.25</v>
      </c>
      <c r="U146">
        <v>8</v>
      </c>
      <c r="V146">
        <v>12.875</v>
      </c>
      <c r="W146">
        <v>2</v>
      </c>
      <c r="X146">
        <v>2.6875</v>
      </c>
      <c r="Y146">
        <v>3</v>
      </c>
      <c r="Z146">
        <v>6.666666666666667</v>
      </c>
      <c r="AA146">
        <v>1</v>
      </c>
      <c r="AB146">
        <v>10.562499999999998</v>
      </c>
      <c r="AC146">
        <v>17</v>
      </c>
      <c r="AD146">
        <v>-0.625</v>
      </c>
      <c r="AE146">
        <v>18</v>
      </c>
      <c r="AF146">
        <v>-2.125</v>
      </c>
      <c r="AG146">
        <v>1</v>
      </c>
      <c r="AH146">
        <v>3.3125</v>
      </c>
      <c r="AI146">
        <v>7</v>
      </c>
      <c r="AJ146">
        <v>11.666666666666666</v>
      </c>
      <c r="AK146">
        <v>10</v>
      </c>
      <c r="AL146">
        <v>1.3124999999999998</v>
      </c>
      <c r="AM146">
        <v>3</v>
      </c>
      <c r="AN146">
        <v>4.875</v>
      </c>
      <c r="AO146">
        <v>3</v>
      </c>
      <c r="AP146">
        <v>15</v>
      </c>
      <c r="AQ146">
        <v>22</v>
      </c>
      <c r="AR146">
        <v>-0.625</v>
      </c>
      <c r="AS146">
        <v>26</v>
      </c>
      <c r="AT146">
        <v>26.666666666666668</v>
      </c>
      <c r="AU146">
        <v>25</v>
      </c>
      <c r="AV146">
        <v>-5.4812499999999993</v>
      </c>
      <c r="AW146">
        <v>29</v>
      </c>
      <c r="AX146">
        <v>-37.3125</v>
      </c>
      <c r="AY146">
        <v>26</v>
      </c>
      <c r="AZ146">
        <v>-2.3125</v>
      </c>
      <c r="BA146">
        <v>30</v>
      </c>
      <c r="BB146">
        <v>27.333333333333332</v>
      </c>
      <c r="BC146">
        <v>21</v>
      </c>
      <c r="BD146">
        <v>-2.1124999999999989</v>
      </c>
      <c r="BE146">
        <v>30</v>
      </c>
      <c r="BF146">
        <v>-21.3125</v>
      </c>
      <c r="BG146">
        <v>31</v>
      </c>
      <c r="BH146">
        <v>-2.0625</v>
      </c>
      <c r="BI146">
        <v>17</v>
      </c>
      <c r="BJ146">
        <v>16.666666666666668</v>
      </c>
      <c r="BK146">
        <v>18</v>
      </c>
      <c r="BL146">
        <v>-1.2625000000000004</v>
      </c>
      <c r="BM146">
        <v>17</v>
      </c>
      <c r="BN146">
        <v>-5.5</v>
      </c>
      <c r="BO146">
        <v>15</v>
      </c>
      <c r="BP146">
        <v>0.125</v>
      </c>
      <c r="BQ146">
        <v>25</v>
      </c>
      <c r="BR146">
        <v>24</v>
      </c>
      <c r="BS146">
        <v>26</v>
      </c>
      <c r="BT146">
        <v>-2.1062500000000002</v>
      </c>
      <c r="BU146">
        <v>27</v>
      </c>
      <c r="BV146">
        <v>-10.5</v>
      </c>
      <c r="BW146">
        <v>19</v>
      </c>
      <c r="BX146">
        <v>-0.375</v>
      </c>
      <c r="BY146">
        <v>20</v>
      </c>
      <c r="BZ146">
        <v>20.666666666666668</v>
      </c>
      <c r="CA146">
        <v>24</v>
      </c>
      <c r="CB146">
        <v>-3.6062500000000002</v>
      </c>
      <c r="CC146">
        <v>22</v>
      </c>
      <c r="CD146">
        <v>-12.3125</v>
      </c>
      <c r="CE146">
        <v>16</v>
      </c>
      <c r="CF146">
        <v>0.125</v>
      </c>
      <c r="CG146">
        <v>13</v>
      </c>
      <c r="CH146">
        <v>13</v>
      </c>
      <c r="CI146">
        <v>13</v>
      </c>
      <c r="CJ146">
        <v>0.83750000000000013</v>
      </c>
      <c r="CK146">
        <v>14</v>
      </c>
      <c r="CL146">
        <v>2.75</v>
      </c>
      <c r="CM146">
        <v>12</v>
      </c>
      <c r="CN146">
        <v>0.3125</v>
      </c>
      <c r="CO146">
        <v>13</v>
      </c>
      <c r="CP146">
        <v>13</v>
      </c>
      <c r="CQ146">
        <v>8</v>
      </c>
      <c r="CR146">
        <v>1</v>
      </c>
      <c r="CS146">
        <v>18</v>
      </c>
      <c r="CT146">
        <v>-6.25E-2</v>
      </c>
      <c r="CU146">
        <v>1.4375</v>
      </c>
      <c r="CV146">
        <v>32</v>
      </c>
      <c r="CW146">
        <v>27</v>
      </c>
      <c r="CX146">
        <v>25</v>
      </c>
      <c r="CY146">
        <v>-4.8481548614120573E-2</v>
      </c>
      <c r="CZ146">
        <v>20</v>
      </c>
      <c r="DA146">
        <v>-6.8681659394951144E-3</v>
      </c>
      <c r="DB146">
        <v>32</v>
      </c>
      <c r="DC146">
        <v>0.20623647186147187</v>
      </c>
      <c r="DD146">
        <v>31</v>
      </c>
      <c r="DE146">
        <v>-3.3125</v>
      </c>
      <c r="DF146">
        <v>0.3125</v>
      </c>
      <c r="DG146">
        <v>3.25</v>
      </c>
      <c r="DH146">
        <v>0</v>
      </c>
      <c r="DI146">
        <v>-0.375</v>
      </c>
      <c r="DJ146">
        <v>-0.8125</v>
      </c>
      <c r="DK146">
        <v>5.125</v>
      </c>
      <c r="DL146">
        <v>1.8125</v>
      </c>
      <c r="DM146">
        <v>-6.5</v>
      </c>
      <c r="DN146">
        <v>31</v>
      </c>
      <c r="DO146">
        <v>-12.229999999999999</v>
      </c>
      <c r="DP146">
        <v>-6.9372499999999988</v>
      </c>
      <c r="DQ146">
        <v>-5.9375</v>
      </c>
      <c r="DR146">
        <v>2</v>
      </c>
      <c r="DS146">
        <v>0.98453124999999975</v>
      </c>
      <c r="DT146">
        <v>-2</v>
      </c>
      <c r="DU146">
        <v>-0.75164062500000006</v>
      </c>
      <c r="DV146">
        <v>-0.93515625000000047</v>
      </c>
      <c r="DW146" t="s">
        <v>287</v>
      </c>
      <c r="DX146" t="s">
        <v>267</v>
      </c>
      <c r="DY146" t="s">
        <v>502</v>
      </c>
      <c r="DZ146">
        <v>13</v>
      </c>
      <c r="EA146">
        <v>1.4737499999999994</v>
      </c>
      <c r="EB146">
        <v>21</v>
      </c>
      <c r="EC146">
        <v>20</v>
      </c>
      <c r="ED146">
        <v>25</v>
      </c>
      <c r="EE146">
        <v>-4.09375</v>
      </c>
      <c r="EF146">
        <v>28</v>
      </c>
      <c r="EG146">
        <v>-3.625</v>
      </c>
      <c r="EH146">
        <v>24</v>
      </c>
      <c r="EI146">
        <v>-15.375</v>
      </c>
      <c r="EJ146">
        <v>3</v>
      </c>
      <c r="EK146">
        <v>1.9375</v>
      </c>
      <c r="EL146">
        <v>20</v>
      </c>
      <c r="EM146">
        <v>19.25</v>
      </c>
      <c r="EN146">
        <v>26</v>
      </c>
      <c r="EO146">
        <v>-3.1249999999999996</v>
      </c>
      <c r="EP146">
        <v>28</v>
      </c>
      <c r="EQ146">
        <v>-2</v>
      </c>
      <c r="ER146">
        <v>22</v>
      </c>
      <c r="ES146">
        <v>-11.375</v>
      </c>
      <c r="ET146">
        <v>1</v>
      </c>
      <c r="EU146">
        <v>2.0625</v>
      </c>
      <c r="EV146">
        <v>25</v>
      </c>
      <c r="EW146">
        <v>23.333333333333332</v>
      </c>
      <c r="EX146">
        <v>23</v>
      </c>
      <c r="EY146">
        <v>-0.96875000000000044</v>
      </c>
      <c r="EZ146">
        <v>27</v>
      </c>
      <c r="FA146">
        <v>-1.625</v>
      </c>
      <c r="FB146">
        <v>20</v>
      </c>
      <c r="FC146">
        <v>-4</v>
      </c>
      <c r="FD146">
        <v>20</v>
      </c>
      <c r="FE146">
        <v>-0.125</v>
      </c>
      <c r="FF146">
        <v>27</v>
      </c>
      <c r="FG146">
        <v>26</v>
      </c>
      <c r="FH146">
        <v>27</v>
      </c>
      <c r="FI146">
        <v>-5.4499999999999984</v>
      </c>
      <c r="FJ146">
        <v>22</v>
      </c>
      <c r="FK146">
        <v>-10.5625</v>
      </c>
      <c r="FL146">
        <v>29</v>
      </c>
      <c r="FM146">
        <v>-2.8125</v>
      </c>
      <c r="FN146">
        <v>27</v>
      </c>
      <c r="FO146">
        <v>25</v>
      </c>
      <c r="FP146">
        <v>24</v>
      </c>
      <c r="FQ146">
        <v>-2.362499999999998</v>
      </c>
      <c r="FR146">
        <v>26</v>
      </c>
      <c r="FS146">
        <v>-7.25</v>
      </c>
      <c r="FT146">
        <v>25</v>
      </c>
      <c r="FU146">
        <v>-0.9375</v>
      </c>
      <c r="FV146">
        <v>16</v>
      </c>
      <c r="FW146">
        <v>16.333333333333332</v>
      </c>
      <c r="FX146">
        <v>15</v>
      </c>
      <c r="FY146">
        <v>0.21250000000000013</v>
      </c>
      <c r="FZ146">
        <v>9</v>
      </c>
      <c r="GA146">
        <v>8.625</v>
      </c>
      <c r="GB146">
        <v>25</v>
      </c>
      <c r="GC146">
        <v>-1</v>
      </c>
      <c r="GD146">
        <v>30</v>
      </c>
      <c r="GE146">
        <v>27.666666666666668</v>
      </c>
      <c r="GF146">
        <v>30</v>
      </c>
      <c r="GG146">
        <v>-3.3000000000000007</v>
      </c>
      <c r="GH146">
        <v>28</v>
      </c>
      <c r="GI146">
        <v>-11.9375</v>
      </c>
      <c r="GJ146">
        <v>25</v>
      </c>
      <c r="GK146">
        <v>-0.875</v>
      </c>
      <c r="GL146">
        <v>23</v>
      </c>
      <c r="GM146">
        <v>22</v>
      </c>
      <c r="GN146">
        <v>15</v>
      </c>
      <c r="GO146">
        <v>-0.48749999999999893</v>
      </c>
      <c r="GP146">
        <v>19</v>
      </c>
      <c r="GQ146">
        <v>-8</v>
      </c>
      <c r="GR146">
        <v>32</v>
      </c>
      <c r="GS146">
        <v>-3.125</v>
      </c>
      <c r="GT146">
        <v>7</v>
      </c>
      <c r="GU146">
        <v>8</v>
      </c>
      <c r="GV146">
        <v>9</v>
      </c>
      <c r="GW146">
        <v>1.9</v>
      </c>
      <c r="GX146">
        <v>8</v>
      </c>
      <c r="GY146">
        <v>7.75</v>
      </c>
      <c r="GZ146">
        <v>7</v>
      </c>
      <c r="HA146">
        <v>1.125</v>
      </c>
      <c r="HB146">
        <v>4</v>
      </c>
      <c r="HC146">
        <v>5</v>
      </c>
      <c r="HD146">
        <v>7</v>
      </c>
      <c r="HE146">
        <v>1.625</v>
      </c>
      <c r="HF146">
        <v>3</v>
      </c>
      <c r="HG146">
        <v>0.8125</v>
      </c>
      <c r="HH146">
        <v>-0.375</v>
      </c>
      <c r="HI146">
        <v>3</v>
      </c>
      <c r="HJ146">
        <v>9.25</v>
      </c>
      <c r="HK146">
        <v>6</v>
      </c>
      <c r="HL146">
        <v>3.0525479016432489E-2</v>
      </c>
      <c r="HM146">
        <v>18</v>
      </c>
      <c r="HN146">
        <v>-3.5727554036423118E-3</v>
      </c>
      <c r="HO146">
        <v>1</v>
      </c>
      <c r="HP146">
        <v>-0.193940000971251</v>
      </c>
      <c r="HQ146">
        <v>12</v>
      </c>
      <c r="HR146">
        <v>0.125</v>
      </c>
      <c r="HS146">
        <v>-2.25</v>
      </c>
      <c r="HT146">
        <v>-2.875</v>
      </c>
      <c r="HU146">
        <v>-0.5625</v>
      </c>
      <c r="HV146">
        <v>-10.75</v>
      </c>
      <c r="HW146">
        <v>-8</v>
      </c>
      <c r="HX146">
        <v>-11.9375</v>
      </c>
      <c r="HY146">
        <v>-1.875</v>
      </c>
      <c r="HZ146">
        <v>11.0625</v>
      </c>
      <c r="IA146">
        <v>7</v>
      </c>
      <c r="IB146">
        <v>5.567499999999999</v>
      </c>
      <c r="IC146">
        <v>1.6316250000000001</v>
      </c>
      <c r="ID146">
        <v>3.9375</v>
      </c>
      <c r="IE146">
        <v>26</v>
      </c>
      <c r="IF146">
        <v>-0.56812499999999977</v>
      </c>
      <c r="IG146">
        <v>-1.6875</v>
      </c>
    </row>
    <row r="147" spans="1:241" x14ac:dyDescent="0.2">
      <c r="A147" s="19">
        <v>44115</v>
      </c>
      <c r="B147" s="13" t="s">
        <v>381</v>
      </c>
      <c r="C147" s="41" t="s">
        <v>296</v>
      </c>
      <c r="D147" s="14" t="s">
        <v>291</v>
      </c>
      <c r="E147">
        <v>23.9</v>
      </c>
      <c r="F147">
        <v>8.1999999999999993</v>
      </c>
      <c r="G147">
        <v>0</v>
      </c>
      <c r="H147">
        <v>9.5</v>
      </c>
      <c r="I147">
        <v>7.5</v>
      </c>
      <c r="J147">
        <v>52.5</v>
      </c>
      <c r="K147" t="s">
        <v>734</v>
      </c>
      <c r="L147" t="s">
        <v>296</v>
      </c>
      <c r="M147">
        <v>29</v>
      </c>
      <c r="N147">
        <v>-4.7633333333333336</v>
      </c>
      <c r="O147">
        <v>29</v>
      </c>
      <c r="P147">
        <v>24.75</v>
      </c>
      <c r="Q147">
        <v>27</v>
      </c>
      <c r="R147">
        <v>-5.2666666666666666</v>
      </c>
      <c r="S147">
        <v>31</v>
      </c>
      <c r="T147">
        <v>-5.4791666666666661</v>
      </c>
      <c r="U147">
        <v>32</v>
      </c>
      <c r="V147">
        <v>-36.166666666666664</v>
      </c>
      <c r="W147">
        <v>9</v>
      </c>
      <c r="X147">
        <v>0.52083333333333337</v>
      </c>
      <c r="Y147">
        <v>21</v>
      </c>
      <c r="Z147">
        <v>21</v>
      </c>
      <c r="AA147">
        <v>25</v>
      </c>
      <c r="AB147">
        <v>-3.354166666666667</v>
      </c>
      <c r="AC147">
        <v>32</v>
      </c>
      <c r="AD147">
        <v>-5.4166666666666661</v>
      </c>
      <c r="AE147">
        <v>32</v>
      </c>
      <c r="AF147">
        <v>-38.8125</v>
      </c>
      <c r="AG147">
        <v>6</v>
      </c>
      <c r="AH147">
        <v>1.375</v>
      </c>
      <c r="AI147">
        <v>22</v>
      </c>
      <c r="AJ147">
        <v>19</v>
      </c>
      <c r="AK147">
        <v>22</v>
      </c>
      <c r="AL147">
        <v>-1.9124999999999996</v>
      </c>
      <c r="AM147">
        <v>13</v>
      </c>
      <c r="AN147">
        <v>-6.25E-2</v>
      </c>
      <c r="AO147">
        <v>11</v>
      </c>
      <c r="AP147">
        <v>2.645833333333333</v>
      </c>
      <c r="AQ147">
        <v>24</v>
      </c>
      <c r="AR147">
        <v>-0.85416666666666663</v>
      </c>
      <c r="AS147">
        <v>23</v>
      </c>
      <c r="AT147">
        <v>24</v>
      </c>
      <c r="AU147">
        <v>22</v>
      </c>
      <c r="AV147">
        <v>-4.8250000000000002</v>
      </c>
      <c r="AW147">
        <v>25</v>
      </c>
      <c r="AX147">
        <v>-31.583333333333336</v>
      </c>
      <c r="AY147">
        <v>25</v>
      </c>
      <c r="AZ147">
        <v>-2.166666666666667</v>
      </c>
      <c r="BA147">
        <v>20</v>
      </c>
      <c r="BB147">
        <v>20.666666666666668</v>
      </c>
      <c r="BC147">
        <v>20</v>
      </c>
      <c r="BD147">
        <v>-1.5145833333333334</v>
      </c>
      <c r="BE147">
        <v>21</v>
      </c>
      <c r="BF147">
        <v>-7.625</v>
      </c>
      <c r="BG147">
        <v>21</v>
      </c>
      <c r="BH147">
        <v>-0.97916666666666674</v>
      </c>
      <c r="BI147">
        <v>24</v>
      </c>
      <c r="BJ147">
        <v>23</v>
      </c>
      <c r="BK147">
        <v>27</v>
      </c>
      <c r="BL147">
        <v>-2.3291666666666671</v>
      </c>
      <c r="BM147">
        <v>31</v>
      </c>
      <c r="BN147">
        <v>-19.125</v>
      </c>
      <c r="BO147">
        <v>11</v>
      </c>
      <c r="BP147">
        <v>0.20833333333333326</v>
      </c>
      <c r="BQ147">
        <v>24</v>
      </c>
      <c r="BR147">
        <v>22.333333333333332</v>
      </c>
      <c r="BS147">
        <v>20</v>
      </c>
      <c r="BT147">
        <v>-0.98124999999999984</v>
      </c>
      <c r="BU147">
        <v>21</v>
      </c>
      <c r="BV147">
        <v>-4.8333333333333339</v>
      </c>
      <c r="BW147">
        <v>26</v>
      </c>
      <c r="BX147">
        <v>-1.3958333333333333</v>
      </c>
      <c r="BY147">
        <v>29</v>
      </c>
      <c r="BZ147">
        <v>28</v>
      </c>
      <c r="CA147">
        <v>30</v>
      </c>
      <c r="CB147">
        <v>-6.4666666666666668</v>
      </c>
      <c r="CC147">
        <v>31</v>
      </c>
      <c r="CD147">
        <v>-35.5</v>
      </c>
      <c r="CE147">
        <v>23</v>
      </c>
      <c r="CF147">
        <v>-1.1666666666666665</v>
      </c>
      <c r="CG147">
        <v>11</v>
      </c>
      <c r="CH147">
        <v>11.666666666666666</v>
      </c>
      <c r="CI147">
        <v>19</v>
      </c>
      <c r="CJ147">
        <v>-0.92916666666666647</v>
      </c>
      <c r="CK147">
        <v>12</v>
      </c>
      <c r="CL147">
        <v>4.291666666666667</v>
      </c>
      <c r="CM147">
        <v>4</v>
      </c>
      <c r="CN147">
        <v>2.5</v>
      </c>
      <c r="CO147">
        <v>6</v>
      </c>
      <c r="CP147">
        <v>8.5</v>
      </c>
      <c r="CQ147">
        <v>9</v>
      </c>
      <c r="CR147">
        <v>0.89583333333333326</v>
      </c>
      <c r="CS147">
        <v>8</v>
      </c>
      <c r="CT147">
        <v>0.29166666666666669</v>
      </c>
      <c r="CU147">
        <v>-0.77083333333333337</v>
      </c>
      <c r="CV147">
        <v>6</v>
      </c>
      <c r="CW147">
        <v>10.25</v>
      </c>
      <c r="CX147">
        <v>13</v>
      </c>
      <c r="CY147">
        <v>1.8048608749875947E-2</v>
      </c>
      <c r="CZ147">
        <v>11</v>
      </c>
      <c r="DA147">
        <v>6.8441470154548996E-3</v>
      </c>
      <c r="DB147">
        <v>15</v>
      </c>
      <c r="DC147">
        <v>9.1932890452627314E-3</v>
      </c>
      <c r="DD147">
        <v>2</v>
      </c>
      <c r="DE147">
        <v>3.8541666666666665</v>
      </c>
      <c r="DF147">
        <v>-3.5625</v>
      </c>
      <c r="DG147">
        <v>-7.145833333333333</v>
      </c>
      <c r="DH147">
        <v>-0.4375</v>
      </c>
      <c r="DI147">
        <v>-42.708333333333329</v>
      </c>
      <c r="DJ147">
        <v>-18.25</v>
      </c>
      <c r="DK147">
        <v>-34.979166666666664</v>
      </c>
      <c r="DL147">
        <v>-0.5</v>
      </c>
      <c r="DM147">
        <v>11.020833333333334</v>
      </c>
      <c r="DN147">
        <v>15</v>
      </c>
      <c r="DO147">
        <v>0.50333333333333297</v>
      </c>
      <c r="DP147">
        <v>0.52983333333333338</v>
      </c>
      <c r="DQ147">
        <v>16.729166666666664</v>
      </c>
      <c r="DR147">
        <v>18</v>
      </c>
      <c r="DS147">
        <v>-1.8610416666666665</v>
      </c>
      <c r="DT147">
        <v>0.33333333333333304</v>
      </c>
      <c r="DU147">
        <v>-2.7369791666666865E-2</v>
      </c>
      <c r="DV147">
        <v>-1.5258333333333336</v>
      </c>
      <c r="DW147" t="s">
        <v>291</v>
      </c>
      <c r="DX147" t="s">
        <v>282</v>
      </c>
      <c r="DY147" t="s">
        <v>453</v>
      </c>
      <c r="DZ147">
        <v>9</v>
      </c>
      <c r="EA147">
        <v>2.49125</v>
      </c>
      <c r="EB147">
        <v>24</v>
      </c>
      <c r="EC147">
        <v>20.5</v>
      </c>
      <c r="ED147">
        <v>28</v>
      </c>
      <c r="EE147">
        <v>-5.6437500000000007</v>
      </c>
      <c r="EF147">
        <v>10</v>
      </c>
      <c r="EG147">
        <v>1.5</v>
      </c>
      <c r="EH147">
        <v>14</v>
      </c>
      <c r="EI147">
        <v>0</v>
      </c>
      <c r="EJ147">
        <v>30</v>
      </c>
      <c r="EK147">
        <v>-1.75</v>
      </c>
      <c r="EL147">
        <v>25</v>
      </c>
      <c r="EM147">
        <v>20.25</v>
      </c>
      <c r="EN147">
        <v>25</v>
      </c>
      <c r="EO147">
        <v>-3.1000000000000005</v>
      </c>
      <c r="EP147">
        <v>11</v>
      </c>
      <c r="EQ147">
        <v>1.0625</v>
      </c>
      <c r="ER147">
        <v>17</v>
      </c>
      <c r="ES147">
        <v>-4.0625</v>
      </c>
      <c r="ET147">
        <v>28</v>
      </c>
      <c r="EU147">
        <v>-0.9375</v>
      </c>
      <c r="EV147">
        <v>19</v>
      </c>
      <c r="EW147">
        <v>18.333333333333332</v>
      </c>
      <c r="EX147">
        <v>32</v>
      </c>
      <c r="EY147">
        <v>-2.5437500000000002</v>
      </c>
      <c r="EZ147">
        <v>12</v>
      </c>
      <c r="FA147">
        <v>0.4375</v>
      </c>
      <c r="FB147">
        <v>11</v>
      </c>
      <c r="FC147">
        <v>4.0625</v>
      </c>
      <c r="FD147">
        <v>27</v>
      </c>
      <c r="FE147">
        <v>-0.8125</v>
      </c>
      <c r="FF147">
        <v>8</v>
      </c>
      <c r="FG147">
        <v>10</v>
      </c>
      <c r="FH147">
        <v>3</v>
      </c>
      <c r="FI147">
        <v>9.4837500000000006</v>
      </c>
      <c r="FJ147">
        <v>16</v>
      </c>
      <c r="FK147">
        <v>-4.0625</v>
      </c>
      <c r="FL147">
        <v>11</v>
      </c>
      <c r="FM147">
        <v>0.5625</v>
      </c>
      <c r="FN147">
        <v>4</v>
      </c>
      <c r="FO147">
        <v>5.333333333333333</v>
      </c>
      <c r="FP147">
        <v>1</v>
      </c>
      <c r="FQ147">
        <v>8.6750000000000007</v>
      </c>
      <c r="FR147">
        <v>7</v>
      </c>
      <c r="FS147">
        <v>9.6875</v>
      </c>
      <c r="FT147">
        <v>8</v>
      </c>
      <c r="FU147">
        <v>0.625</v>
      </c>
      <c r="FV147">
        <v>8</v>
      </c>
      <c r="FW147">
        <v>10.666666666666666</v>
      </c>
      <c r="FX147">
        <v>8</v>
      </c>
      <c r="FY147">
        <v>3.3149999999999995</v>
      </c>
      <c r="FZ147">
        <v>15</v>
      </c>
      <c r="GA147">
        <v>4.5</v>
      </c>
      <c r="GB147">
        <v>9</v>
      </c>
      <c r="GC147">
        <v>0.6875</v>
      </c>
      <c r="GD147">
        <v>29</v>
      </c>
      <c r="GE147">
        <v>27.333333333333332</v>
      </c>
      <c r="GF147">
        <v>28</v>
      </c>
      <c r="GG147">
        <v>-2.5062500000000001</v>
      </c>
      <c r="GH147">
        <v>32</v>
      </c>
      <c r="GI147">
        <v>-18.25</v>
      </c>
      <c r="GJ147">
        <v>22</v>
      </c>
      <c r="GK147">
        <v>-0.75</v>
      </c>
      <c r="GL147">
        <v>17</v>
      </c>
      <c r="GM147">
        <v>17.333333333333332</v>
      </c>
      <c r="GN147">
        <v>20</v>
      </c>
      <c r="GO147">
        <v>-1.6437499999999998</v>
      </c>
      <c r="GP147">
        <v>20</v>
      </c>
      <c r="GQ147">
        <v>-9.5625</v>
      </c>
      <c r="GR147">
        <v>12</v>
      </c>
      <c r="GS147">
        <v>0.1875</v>
      </c>
      <c r="GT147">
        <v>5</v>
      </c>
      <c r="GU147">
        <v>5.666666666666667</v>
      </c>
      <c r="GV147">
        <v>8</v>
      </c>
      <c r="GW147">
        <v>2.6875000000000004</v>
      </c>
      <c r="GX147">
        <v>5</v>
      </c>
      <c r="GY147">
        <v>16.25</v>
      </c>
      <c r="GZ147">
        <v>4</v>
      </c>
      <c r="HA147">
        <v>1.6875</v>
      </c>
      <c r="HB147">
        <v>3</v>
      </c>
      <c r="HC147">
        <v>3</v>
      </c>
      <c r="HD147">
        <v>3</v>
      </c>
      <c r="HE147">
        <v>2.75</v>
      </c>
      <c r="HF147">
        <v>3</v>
      </c>
      <c r="HG147">
        <v>0.8125</v>
      </c>
      <c r="HH147">
        <v>0.6875</v>
      </c>
      <c r="HI147">
        <v>28</v>
      </c>
      <c r="HJ147">
        <v>22</v>
      </c>
      <c r="HK147">
        <v>27</v>
      </c>
      <c r="HL147">
        <v>-3.573218579159218E-2</v>
      </c>
      <c r="HM147">
        <v>17</v>
      </c>
      <c r="HN147">
        <v>-2.7087999693810334E-3</v>
      </c>
      <c r="HO147">
        <v>15</v>
      </c>
      <c r="HP147">
        <v>-5.6795634920634996E-3</v>
      </c>
      <c r="HQ147">
        <v>29</v>
      </c>
      <c r="HR147">
        <v>-2.8125</v>
      </c>
      <c r="HS147">
        <v>5.8125</v>
      </c>
      <c r="HT147">
        <v>6.25</v>
      </c>
      <c r="HU147">
        <v>0.375</v>
      </c>
      <c r="HV147">
        <v>24.3125</v>
      </c>
      <c r="HW147">
        <v>-13.1875</v>
      </c>
      <c r="HX147">
        <v>22</v>
      </c>
      <c r="HY147">
        <v>10.9375</v>
      </c>
      <c r="HZ147">
        <v>4.5625</v>
      </c>
      <c r="IA147">
        <v>2</v>
      </c>
      <c r="IB147">
        <v>8.1350000000000016</v>
      </c>
      <c r="IC147">
        <v>5.7543750000000005</v>
      </c>
      <c r="ID147">
        <v>-35.1875</v>
      </c>
      <c r="IE147">
        <v>31</v>
      </c>
      <c r="IF147">
        <v>1.4710937499999999</v>
      </c>
      <c r="IG147">
        <v>2.25</v>
      </c>
    </row>
    <row r="148" spans="1:241" x14ac:dyDescent="0.2">
      <c r="A148" s="19">
        <v>44115</v>
      </c>
      <c r="B148" s="13" t="s">
        <v>381</v>
      </c>
      <c r="C148" s="41" t="s">
        <v>298</v>
      </c>
      <c r="D148" s="14" t="s">
        <v>285</v>
      </c>
      <c r="E148">
        <v>28.6</v>
      </c>
      <c r="F148">
        <v>5.3</v>
      </c>
      <c r="G148">
        <v>5</v>
      </c>
      <c r="H148">
        <v>4.4000000000000004</v>
      </c>
      <c r="I148">
        <v>7</v>
      </c>
      <c r="J148">
        <v>48</v>
      </c>
      <c r="K148" t="s">
        <v>734</v>
      </c>
      <c r="L148" t="s">
        <v>298</v>
      </c>
      <c r="M148">
        <v>28</v>
      </c>
      <c r="N148">
        <v>-3.80125</v>
      </c>
      <c r="O148">
        <v>26</v>
      </c>
      <c r="P148">
        <v>23.25</v>
      </c>
      <c r="Q148">
        <v>23</v>
      </c>
      <c r="R148">
        <v>-2.975000000000001</v>
      </c>
      <c r="S148">
        <v>23</v>
      </c>
      <c r="T148">
        <v>-1.6875</v>
      </c>
      <c r="U148">
        <v>26</v>
      </c>
      <c r="V148">
        <v>-17.4375</v>
      </c>
      <c r="W148">
        <v>21</v>
      </c>
      <c r="X148">
        <v>-0.4375</v>
      </c>
      <c r="Y148">
        <v>30</v>
      </c>
      <c r="Z148">
        <v>28</v>
      </c>
      <c r="AA148">
        <v>28</v>
      </c>
      <c r="AB148">
        <v>-5.4875000000000007</v>
      </c>
      <c r="AC148">
        <v>14</v>
      </c>
      <c r="AD148">
        <v>-0.4375</v>
      </c>
      <c r="AE148">
        <v>29</v>
      </c>
      <c r="AF148">
        <v>-15.5625</v>
      </c>
      <c r="AG148">
        <v>27</v>
      </c>
      <c r="AH148">
        <v>-1.25</v>
      </c>
      <c r="AI148">
        <v>5</v>
      </c>
      <c r="AJ148">
        <v>9.6666666666666661</v>
      </c>
      <c r="AK148">
        <v>4</v>
      </c>
      <c r="AL148">
        <v>2.5124999999999997</v>
      </c>
      <c r="AM148">
        <v>18</v>
      </c>
      <c r="AN148">
        <v>-1.25</v>
      </c>
      <c r="AO148">
        <v>16</v>
      </c>
      <c r="AP148">
        <v>-1.875</v>
      </c>
      <c r="AQ148">
        <v>9</v>
      </c>
      <c r="AR148">
        <v>0.8125</v>
      </c>
      <c r="AS148">
        <v>18</v>
      </c>
      <c r="AT148">
        <v>16.666666666666668</v>
      </c>
      <c r="AU148">
        <v>19</v>
      </c>
      <c r="AV148">
        <v>-2.6500000000000004</v>
      </c>
      <c r="AW148">
        <v>21</v>
      </c>
      <c r="AX148">
        <v>-7.6875</v>
      </c>
      <c r="AY148">
        <v>10</v>
      </c>
      <c r="AZ148">
        <v>1.1875</v>
      </c>
      <c r="BA148">
        <v>10</v>
      </c>
      <c r="BB148">
        <v>10</v>
      </c>
      <c r="BC148">
        <v>9</v>
      </c>
      <c r="BD148">
        <v>2.9125000000000001</v>
      </c>
      <c r="BE148">
        <v>9</v>
      </c>
      <c r="BF148">
        <v>11.625</v>
      </c>
      <c r="BG148">
        <v>12</v>
      </c>
      <c r="BH148">
        <v>0.375</v>
      </c>
      <c r="BI148">
        <v>13</v>
      </c>
      <c r="BJ148">
        <v>14</v>
      </c>
      <c r="BK148">
        <v>24</v>
      </c>
      <c r="BL148">
        <v>-1.9749999999999999</v>
      </c>
      <c r="BM148">
        <v>10</v>
      </c>
      <c r="BN148">
        <v>5.25</v>
      </c>
      <c r="BO148">
        <v>8</v>
      </c>
      <c r="BP148">
        <v>0.4375</v>
      </c>
      <c r="BQ148">
        <v>29</v>
      </c>
      <c r="BR148">
        <v>25.333333333333332</v>
      </c>
      <c r="BS148">
        <v>30</v>
      </c>
      <c r="BT148">
        <v>-3.5875000000000004</v>
      </c>
      <c r="BU148">
        <v>32</v>
      </c>
      <c r="BV148">
        <v>-24.5625</v>
      </c>
      <c r="BW148">
        <v>14</v>
      </c>
      <c r="BX148">
        <v>0.375</v>
      </c>
      <c r="BY148">
        <v>7</v>
      </c>
      <c r="BZ148">
        <v>7.666666666666667</v>
      </c>
      <c r="CA148">
        <v>6</v>
      </c>
      <c r="CB148">
        <v>4.25</v>
      </c>
      <c r="CC148">
        <v>8</v>
      </c>
      <c r="CD148">
        <v>20</v>
      </c>
      <c r="CE148">
        <v>9</v>
      </c>
      <c r="CF148">
        <v>1.3125</v>
      </c>
      <c r="CG148">
        <v>25</v>
      </c>
      <c r="CH148">
        <v>24.333333333333332</v>
      </c>
      <c r="CI148">
        <v>28</v>
      </c>
      <c r="CJ148">
        <v>-3.7250000000000005</v>
      </c>
      <c r="CK148">
        <v>29</v>
      </c>
      <c r="CL148">
        <v>-17.625</v>
      </c>
      <c r="CM148">
        <v>16</v>
      </c>
      <c r="CN148">
        <v>-0.375</v>
      </c>
      <c r="CO148">
        <v>15</v>
      </c>
      <c r="CP148">
        <v>15.5</v>
      </c>
      <c r="CQ148">
        <v>13</v>
      </c>
      <c r="CR148">
        <v>0.5625</v>
      </c>
      <c r="CS148">
        <v>18</v>
      </c>
      <c r="CT148">
        <v>-6.25E-2</v>
      </c>
      <c r="CU148">
        <v>-1.0625</v>
      </c>
      <c r="CV148">
        <v>1</v>
      </c>
      <c r="CW148">
        <v>7.5</v>
      </c>
      <c r="CX148">
        <v>2</v>
      </c>
      <c r="CY148">
        <v>9.6975671694391391E-2</v>
      </c>
      <c r="CZ148">
        <v>4</v>
      </c>
      <c r="DA148">
        <v>1.7780305712755545E-2</v>
      </c>
      <c r="DB148">
        <v>23</v>
      </c>
      <c r="DC148">
        <v>4.2261904761904764E-2</v>
      </c>
      <c r="DD148">
        <v>1</v>
      </c>
      <c r="DE148">
        <v>3.875</v>
      </c>
      <c r="DF148">
        <v>2.625</v>
      </c>
      <c r="DG148">
        <v>-4.6875</v>
      </c>
      <c r="DH148">
        <v>0.625</v>
      </c>
      <c r="DI148">
        <v>-33.75</v>
      </c>
      <c r="DJ148">
        <v>-33.125</v>
      </c>
      <c r="DK148">
        <v>-6</v>
      </c>
      <c r="DL148">
        <v>-0.375</v>
      </c>
      <c r="DM148">
        <v>5.75</v>
      </c>
      <c r="DN148">
        <v>19</v>
      </c>
      <c r="DO148">
        <v>-0.82624999999999904</v>
      </c>
      <c r="DP148">
        <v>-0.54774999999999952</v>
      </c>
      <c r="DQ148">
        <v>-27.125</v>
      </c>
      <c r="DR148">
        <v>14</v>
      </c>
      <c r="DS148">
        <v>-1.5735937500000001</v>
      </c>
      <c r="DT148">
        <v>0.8125</v>
      </c>
      <c r="DU148">
        <v>-7.820312500000004E-2</v>
      </c>
      <c r="DV148">
        <v>0.28546874999999994</v>
      </c>
      <c r="DW148" t="s">
        <v>285</v>
      </c>
      <c r="DX148" t="s">
        <v>249</v>
      </c>
      <c r="DY148" t="s">
        <v>452</v>
      </c>
      <c r="DZ148">
        <v>11</v>
      </c>
      <c r="EA148">
        <v>1.8025000000000002</v>
      </c>
      <c r="EB148">
        <v>14</v>
      </c>
      <c r="EC148">
        <v>14.75</v>
      </c>
      <c r="ED148">
        <v>18</v>
      </c>
      <c r="EE148">
        <v>-0.70625000000000049</v>
      </c>
      <c r="EF148">
        <v>7</v>
      </c>
      <c r="EG148">
        <v>2.875</v>
      </c>
      <c r="EH148">
        <v>6</v>
      </c>
      <c r="EI148">
        <v>26.6875</v>
      </c>
      <c r="EJ148">
        <v>28</v>
      </c>
      <c r="EK148">
        <v>-1.4375</v>
      </c>
      <c r="EL148">
        <v>13</v>
      </c>
      <c r="EM148">
        <v>15</v>
      </c>
      <c r="EN148">
        <v>19</v>
      </c>
      <c r="EO148">
        <v>-0.80000000000000027</v>
      </c>
      <c r="EP148">
        <v>8</v>
      </c>
      <c r="EQ148">
        <v>2.25</v>
      </c>
      <c r="ER148">
        <v>11</v>
      </c>
      <c r="ES148">
        <v>8.6875</v>
      </c>
      <c r="ET148">
        <v>22</v>
      </c>
      <c r="EU148">
        <v>-0.5625</v>
      </c>
      <c r="EV148">
        <v>7</v>
      </c>
      <c r="EW148">
        <v>9.6666666666666661</v>
      </c>
      <c r="EX148">
        <v>16</v>
      </c>
      <c r="EY148">
        <v>9.3749999999999778E-2</v>
      </c>
      <c r="EZ148">
        <v>11</v>
      </c>
      <c r="FA148">
        <v>0.625</v>
      </c>
      <c r="FB148">
        <v>2</v>
      </c>
      <c r="FC148">
        <v>18</v>
      </c>
      <c r="FD148">
        <v>28</v>
      </c>
      <c r="FE148">
        <v>-0.875</v>
      </c>
      <c r="FF148">
        <v>21</v>
      </c>
      <c r="FG148">
        <v>21.333333333333332</v>
      </c>
      <c r="FH148">
        <v>20</v>
      </c>
      <c r="FI148">
        <v>-3.375</v>
      </c>
      <c r="FJ148">
        <v>20</v>
      </c>
      <c r="FK148">
        <v>-7.0625</v>
      </c>
      <c r="FL148">
        <v>24</v>
      </c>
      <c r="FM148">
        <v>-1.25</v>
      </c>
      <c r="FN148">
        <v>9</v>
      </c>
      <c r="FO148">
        <v>9</v>
      </c>
      <c r="FP148">
        <v>10</v>
      </c>
      <c r="FQ148">
        <v>0.98749999999999982</v>
      </c>
      <c r="FR148">
        <v>8</v>
      </c>
      <c r="FS148">
        <v>7.0625</v>
      </c>
      <c r="FT148">
        <v>9</v>
      </c>
      <c r="FU148">
        <v>0.4375</v>
      </c>
      <c r="FV148">
        <v>26</v>
      </c>
      <c r="FW148">
        <v>25</v>
      </c>
      <c r="FX148">
        <v>25</v>
      </c>
      <c r="FY148">
        <v>-2.5249999999999995</v>
      </c>
      <c r="FZ148">
        <v>26</v>
      </c>
      <c r="GA148">
        <v>-9.625</v>
      </c>
      <c r="GB148">
        <v>24</v>
      </c>
      <c r="GC148">
        <v>-0.9375</v>
      </c>
      <c r="GD148">
        <v>25</v>
      </c>
      <c r="GE148">
        <v>23</v>
      </c>
      <c r="GF148">
        <v>25</v>
      </c>
      <c r="GG148">
        <v>-1.8375000000000004</v>
      </c>
      <c r="GH148">
        <v>22</v>
      </c>
      <c r="GI148">
        <v>-4.5</v>
      </c>
      <c r="GJ148">
        <v>22</v>
      </c>
      <c r="GK148">
        <v>-0.75</v>
      </c>
      <c r="GL148">
        <v>19</v>
      </c>
      <c r="GM148">
        <v>20</v>
      </c>
      <c r="GN148">
        <v>13</v>
      </c>
      <c r="GO148">
        <v>0.99375000000000036</v>
      </c>
      <c r="GP148">
        <v>22</v>
      </c>
      <c r="GQ148">
        <v>-11.3125</v>
      </c>
      <c r="GR148">
        <v>25</v>
      </c>
      <c r="GS148">
        <v>-1.0625</v>
      </c>
      <c r="GT148">
        <v>18</v>
      </c>
      <c r="GU148">
        <v>18</v>
      </c>
      <c r="GV148">
        <v>24</v>
      </c>
      <c r="GW148">
        <v>-2.2562499999999996</v>
      </c>
      <c r="GX148">
        <v>20</v>
      </c>
      <c r="GY148">
        <v>-6.25</v>
      </c>
      <c r="GZ148">
        <v>10</v>
      </c>
      <c r="HA148">
        <v>0.75</v>
      </c>
      <c r="HB148">
        <v>10</v>
      </c>
      <c r="HC148">
        <v>10.5</v>
      </c>
      <c r="HD148">
        <v>9</v>
      </c>
      <c r="HE148">
        <v>1</v>
      </c>
      <c r="HF148">
        <v>12</v>
      </c>
      <c r="HG148">
        <v>0.25</v>
      </c>
      <c r="HH148">
        <v>6.25E-2</v>
      </c>
      <c r="HI148">
        <v>24</v>
      </c>
      <c r="HJ148">
        <v>20.75</v>
      </c>
      <c r="HK148">
        <v>29</v>
      </c>
      <c r="HL148">
        <v>-5.3525892850447329E-2</v>
      </c>
      <c r="HM148">
        <v>14</v>
      </c>
      <c r="HN148">
        <v>1.6923306215591242E-3</v>
      </c>
      <c r="HO148">
        <v>16</v>
      </c>
      <c r="HP148">
        <v>-1.7045454545454586E-3</v>
      </c>
      <c r="HQ148">
        <v>24</v>
      </c>
      <c r="HR148">
        <v>-1.25</v>
      </c>
      <c r="HS148">
        <v>-0.9375</v>
      </c>
      <c r="HT148">
        <v>-1</v>
      </c>
      <c r="HU148">
        <v>0</v>
      </c>
      <c r="HV148">
        <v>5.4375</v>
      </c>
      <c r="HW148">
        <v>-8.375</v>
      </c>
      <c r="HX148">
        <v>21.8125</v>
      </c>
      <c r="HY148">
        <v>-10</v>
      </c>
      <c r="HZ148">
        <v>2</v>
      </c>
      <c r="IA148">
        <v>14</v>
      </c>
      <c r="IB148">
        <v>2.5087500000000009</v>
      </c>
      <c r="IC148">
        <v>-0.41262499999999969</v>
      </c>
      <c r="ID148">
        <v>-30.1875</v>
      </c>
      <c r="IE148">
        <v>19</v>
      </c>
      <c r="IF148">
        <v>-0.44187500000000002</v>
      </c>
      <c r="IG148">
        <v>-0.5</v>
      </c>
    </row>
    <row r="149" spans="1:241" x14ac:dyDescent="0.2">
      <c r="A149" s="19">
        <v>44115</v>
      </c>
      <c r="B149" s="13" t="s">
        <v>381</v>
      </c>
      <c r="C149" s="41" t="s">
        <v>294</v>
      </c>
      <c r="D149" s="14" t="s">
        <v>309</v>
      </c>
      <c r="E149">
        <v>34.200000000000003</v>
      </c>
      <c r="F149">
        <v>12.6</v>
      </c>
      <c r="G149">
        <v>5.8</v>
      </c>
      <c r="H149">
        <v>1.6</v>
      </c>
      <c r="I149">
        <v>7</v>
      </c>
      <c r="J149">
        <v>44.5</v>
      </c>
      <c r="L149" t="s">
        <v>294</v>
      </c>
      <c r="M149">
        <v>16</v>
      </c>
      <c r="N149">
        <v>-0.6575000000000002</v>
      </c>
      <c r="O149">
        <v>21</v>
      </c>
      <c r="P149">
        <v>19.75</v>
      </c>
      <c r="Q149">
        <v>26</v>
      </c>
      <c r="R149">
        <v>-4.6937500000000014</v>
      </c>
      <c r="S149">
        <v>26</v>
      </c>
      <c r="T149">
        <v>-2.25</v>
      </c>
      <c r="U149">
        <v>22</v>
      </c>
      <c r="V149">
        <v>-13.6875</v>
      </c>
      <c r="W149">
        <v>5</v>
      </c>
      <c r="X149">
        <v>1.625</v>
      </c>
      <c r="Y149">
        <v>13</v>
      </c>
      <c r="Z149">
        <v>13.333333333333334</v>
      </c>
      <c r="AA149">
        <v>20</v>
      </c>
      <c r="AB149">
        <v>-1.3687500000000004</v>
      </c>
      <c r="AC149">
        <v>16</v>
      </c>
      <c r="AD149">
        <v>-0.5625</v>
      </c>
      <c r="AE149">
        <v>17</v>
      </c>
      <c r="AF149">
        <v>-1.3125</v>
      </c>
      <c r="AG149">
        <v>3</v>
      </c>
      <c r="AH149">
        <v>2.0625</v>
      </c>
      <c r="AI149">
        <v>28</v>
      </c>
      <c r="AJ149">
        <v>25.333333333333332</v>
      </c>
      <c r="AK149">
        <v>30</v>
      </c>
      <c r="AL149">
        <v>-3.3250000000000006</v>
      </c>
      <c r="AM149">
        <v>22</v>
      </c>
      <c r="AN149">
        <v>-1.6875</v>
      </c>
      <c r="AO149">
        <v>27</v>
      </c>
      <c r="AP149">
        <v>-12.375</v>
      </c>
      <c r="AQ149">
        <v>19</v>
      </c>
      <c r="AR149">
        <v>-0.4375</v>
      </c>
      <c r="AS149">
        <v>25</v>
      </c>
      <c r="AT149">
        <v>25.333333333333332</v>
      </c>
      <c r="AU149">
        <v>26</v>
      </c>
      <c r="AV149">
        <v>-5.8249999999999993</v>
      </c>
      <c r="AW149">
        <v>27</v>
      </c>
      <c r="AX149">
        <v>-31.6875</v>
      </c>
      <c r="AY149">
        <v>23</v>
      </c>
      <c r="AZ149">
        <v>-1.6875</v>
      </c>
      <c r="BA149">
        <v>23</v>
      </c>
      <c r="BB149">
        <v>23</v>
      </c>
      <c r="BC149">
        <v>26</v>
      </c>
      <c r="BD149">
        <v>-3.3624999999999994</v>
      </c>
      <c r="BE149">
        <v>25</v>
      </c>
      <c r="BF149">
        <v>-12.5</v>
      </c>
      <c r="BG149">
        <v>18</v>
      </c>
      <c r="BH149">
        <v>-0.3125</v>
      </c>
      <c r="BI149">
        <v>26</v>
      </c>
      <c r="BJ149">
        <v>23.666666666666668</v>
      </c>
      <c r="BK149">
        <v>19</v>
      </c>
      <c r="BL149">
        <v>-1.4624999999999999</v>
      </c>
      <c r="BM149">
        <v>26</v>
      </c>
      <c r="BN149">
        <v>-13.6875</v>
      </c>
      <c r="BO149">
        <v>26</v>
      </c>
      <c r="BP149">
        <v>-0.9375</v>
      </c>
      <c r="BQ149">
        <v>22</v>
      </c>
      <c r="BR149">
        <v>21.666666666666668</v>
      </c>
      <c r="BS149">
        <v>22</v>
      </c>
      <c r="BT149">
        <v>-0.99999999999999978</v>
      </c>
      <c r="BU149">
        <v>22</v>
      </c>
      <c r="BV149">
        <v>-5.5</v>
      </c>
      <c r="BW149">
        <v>21</v>
      </c>
      <c r="BX149">
        <v>-0.4375</v>
      </c>
      <c r="BY149">
        <v>8</v>
      </c>
      <c r="BZ149">
        <v>8.3333333333333339</v>
      </c>
      <c r="CA149">
        <v>7</v>
      </c>
      <c r="CB149">
        <v>4.0937500000000018</v>
      </c>
      <c r="CC149">
        <v>16</v>
      </c>
      <c r="CD149">
        <v>-0.9375</v>
      </c>
      <c r="CE149">
        <v>2</v>
      </c>
      <c r="CF149">
        <v>3.3125</v>
      </c>
      <c r="CG149">
        <v>3</v>
      </c>
      <c r="CH149">
        <v>4</v>
      </c>
      <c r="CI149">
        <v>4</v>
      </c>
      <c r="CJ149">
        <v>4.9562500000000007</v>
      </c>
      <c r="CK149">
        <v>3</v>
      </c>
      <c r="CL149">
        <v>25.0625</v>
      </c>
      <c r="CM149">
        <v>5</v>
      </c>
      <c r="CN149">
        <v>2.125</v>
      </c>
      <c r="CO149">
        <v>23</v>
      </c>
      <c r="CP149">
        <v>22.5</v>
      </c>
      <c r="CQ149">
        <v>22</v>
      </c>
      <c r="CR149">
        <v>-1</v>
      </c>
      <c r="CS149">
        <v>23</v>
      </c>
      <c r="CT149">
        <v>-0.25</v>
      </c>
      <c r="CU149">
        <v>1.375</v>
      </c>
      <c r="CV149">
        <v>8</v>
      </c>
      <c r="CW149">
        <v>12.25</v>
      </c>
      <c r="CX149">
        <v>19</v>
      </c>
      <c r="CY149">
        <v>-2.2167147552321957E-2</v>
      </c>
      <c r="CZ149">
        <v>8</v>
      </c>
      <c r="DA149">
        <v>1.4412679189953471E-2</v>
      </c>
      <c r="DB149">
        <v>18</v>
      </c>
      <c r="DC149">
        <v>2.651254995004991E-2</v>
      </c>
      <c r="DD149">
        <v>4</v>
      </c>
      <c r="DE149">
        <v>2.9375</v>
      </c>
      <c r="DF149">
        <v>4.875</v>
      </c>
      <c r="DG149">
        <v>-2.9375</v>
      </c>
      <c r="DH149">
        <v>1.3125</v>
      </c>
      <c r="DI149">
        <v>-19.3125</v>
      </c>
      <c r="DJ149">
        <v>1.375</v>
      </c>
      <c r="DK149">
        <v>-18.8125</v>
      </c>
      <c r="DL149">
        <v>-3</v>
      </c>
      <c r="DM149">
        <v>1.125</v>
      </c>
      <c r="DN149">
        <v>9</v>
      </c>
      <c r="DO149">
        <v>4.0362500000000008</v>
      </c>
      <c r="DP149">
        <v>2.0416250000000007</v>
      </c>
      <c r="DQ149">
        <v>20.1875</v>
      </c>
      <c r="DR149">
        <v>24</v>
      </c>
      <c r="DS149">
        <v>-0.90250000000000008</v>
      </c>
      <c r="DT149">
        <v>0.4375</v>
      </c>
      <c r="DU149">
        <v>0.87380208333333331</v>
      </c>
      <c r="DV149">
        <v>0.9759374999999999</v>
      </c>
      <c r="DW149" t="s">
        <v>309</v>
      </c>
      <c r="DX149" t="s">
        <v>271</v>
      </c>
      <c r="DY149" t="s">
        <v>521</v>
      </c>
      <c r="DZ149">
        <v>6</v>
      </c>
      <c r="EA149">
        <v>3.1983333333333337</v>
      </c>
      <c r="EB149">
        <v>19</v>
      </c>
      <c r="EC149">
        <v>19</v>
      </c>
      <c r="ED149">
        <v>19</v>
      </c>
      <c r="EE149">
        <v>-0.80833333333333313</v>
      </c>
      <c r="EF149">
        <v>15</v>
      </c>
      <c r="EG149">
        <v>0.66666666666666652</v>
      </c>
      <c r="EH149">
        <v>28</v>
      </c>
      <c r="EI149">
        <v>-19.416666666666668</v>
      </c>
      <c r="EJ149">
        <v>14</v>
      </c>
      <c r="EK149">
        <v>0.25</v>
      </c>
      <c r="EL149">
        <v>11</v>
      </c>
      <c r="EM149">
        <v>12.25</v>
      </c>
      <c r="EN149">
        <v>14</v>
      </c>
      <c r="EO149">
        <v>0.4250000000000001</v>
      </c>
      <c r="EP149">
        <v>5</v>
      </c>
      <c r="EQ149">
        <v>2.9166666666666665</v>
      </c>
      <c r="ER149">
        <v>23</v>
      </c>
      <c r="ES149">
        <v>-11.75</v>
      </c>
      <c r="ET149">
        <v>7</v>
      </c>
      <c r="EU149">
        <v>0.83333333333333337</v>
      </c>
      <c r="EV149">
        <v>30</v>
      </c>
      <c r="EW149">
        <v>27.666666666666668</v>
      </c>
      <c r="EX149">
        <v>24</v>
      </c>
      <c r="EY149">
        <v>-1.2333333333333332</v>
      </c>
      <c r="EZ149">
        <v>31</v>
      </c>
      <c r="FA149">
        <v>-2.25</v>
      </c>
      <c r="FB149">
        <v>28</v>
      </c>
      <c r="FC149">
        <v>-7.666666666666667</v>
      </c>
      <c r="FD149">
        <v>23</v>
      </c>
      <c r="FE149">
        <v>-0.58333333333333337</v>
      </c>
      <c r="FF149">
        <v>5</v>
      </c>
      <c r="FG149">
        <v>5.666666666666667</v>
      </c>
      <c r="FH149">
        <v>4</v>
      </c>
      <c r="FI149">
        <v>8.6333333333333329</v>
      </c>
      <c r="FJ149">
        <v>3</v>
      </c>
      <c r="FK149">
        <v>28.583333333333332</v>
      </c>
      <c r="FL149">
        <v>10</v>
      </c>
      <c r="FM149">
        <v>0.58333333333333337</v>
      </c>
      <c r="FN149">
        <v>5</v>
      </c>
      <c r="FO149">
        <v>6.333333333333333</v>
      </c>
      <c r="FP149">
        <v>4</v>
      </c>
      <c r="FQ149">
        <v>5.416666666666667</v>
      </c>
      <c r="FR149">
        <v>4</v>
      </c>
      <c r="FS149">
        <v>11.666666666666666</v>
      </c>
      <c r="FT149">
        <v>11</v>
      </c>
      <c r="FU149">
        <v>0.16666666666666666</v>
      </c>
      <c r="FV149">
        <v>7</v>
      </c>
      <c r="FW149">
        <v>10</v>
      </c>
      <c r="FX149">
        <v>10</v>
      </c>
      <c r="FY149">
        <v>1.5833333333333333</v>
      </c>
      <c r="FZ149">
        <v>4</v>
      </c>
      <c r="GA149">
        <v>14.166666666666666</v>
      </c>
      <c r="GB149">
        <v>16</v>
      </c>
      <c r="GC149">
        <v>0</v>
      </c>
      <c r="GD149">
        <v>8</v>
      </c>
      <c r="GE149">
        <v>9.6666666666666661</v>
      </c>
      <c r="GF149">
        <v>6</v>
      </c>
      <c r="GG149">
        <v>1.6333333333333331</v>
      </c>
      <c r="GH149">
        <v>12</v>
      </c>
      <c r="GI149">
        <v>2.75</v>
      </c>
      <c r="GJ149">
        <v>11</v>
      </c>
      <c r="GK149">
        <v>0.41666666666666669</v>
      </c>
      <c r="GL149">
        <v>6</v>
      </c>
      <c r="GM149">
        <v>6</v>
      </c>
      <c r="GN149">
        <v>6</v>
      </c>
      <c r="GO149">
        <v>3.9333333333333336</v>
      </c>
      <c r="GP149">
        <v>7</v>
      </c>
      <c r="GQ149">
        <v>12.666666666666666</v>
      </c>
      <c r="GR149">
        <v>5</v>
      </c>
      <c r="GS149">
        <v>1.1666666666666667</v>
      </c>
      <c r="GT149">
        <v>26</v>
      </c>
      <c r="GU149">
        <v>25</v>
      </c>
      <c r="GV149">
        <v>23</v>
      </c>
      <c r="GW149">
        <v>-1.6833333333333333</v>
      </c>
      <c r="GX149">
        <v>26</v>
      </c>
      <c r="GY149">
        <v>-11.833333333333334</v>
      </c>
      <c r="GZ149">
        <v>26</v>
      </c>
      <c r="HA149">
        <v>-1</v>
      </c>
      <c r="HB149">
        <v>32</v>
      </c>
      <c r="HC149">
        <v>29</v>
      </c>
      <c r="HD149">
        <v>32</v>
      </c>
      <c r="HE149">
        <v>-3.1666666666666665</v>
      </c>
      <c r="HF149">
        <v>26</v>
      </c>
      <c r="HG149">
        <v>-0.66666666666666663</v>
      </c>
      <c r="HH149">
        <v>-0.16666666666666666</v>
      </c>
      <c r="HI149">
        <v>9</v>
      </c>
      <c r="HJ149">
        <v>12.25</v>
      </c>
      <c r="HK149">
        <v>1</v>
      </c>
      <c r="HL149">
        <v>0.10783733677450973</v>
      </c>
      <c r="HM149">
        <v>2</v>
      </c>
      <c r="HN149">
        <v>3.9239793145320438E-2</v>
      </c>
      <c r="HO149">
        <v>30</v>
      </c>
      <c r="HP149">
        <v>0.1082393483709273</v>
      </c>
      <c r="HQ149">
        <v>16</v>
      </c>
      <c r="HR149">
        <v>-0.58333333333333337</v>
      </c>
      <c r="HS149">
        <v>0.83333333333333337</v>
      </c>
      <c r="HT149">
        <v>1.9166666666666667</v>
      </c>
      <c r="HU149">
        <v>0</v>
      </c>
      <c r="HV149">
        <v>1.0833333333333333</v>
      </c>
      <c r="HW149">
        <v>27.666666666666668</v>
      </c>
      <c r="HX149">
        <v>-20.333333333333332</v>
      </c>
      <c r="HY149">
        <v>1.6666666666666667</v>
      </c>
      <c r="HZ149">
        <v>-7.916666666666667</v>
      </c>
      <c r="IA149">
        <v>12</v>
      </c>
      <c r="IB149">
        <v>4.0066666666666668</v>
      </c>
      <c r="IC149">
        <v>2.4338333333333333</v>
      </c>
      <c r="ID149">
        <v>48</v>
      </c>
      <c r="IE149">
        <v>21</v>
      </c>
      <c r="IF149">
        <v>0.77166666666666672</v>
      </c>
      <c r="IG149">
        <v>-0.41666666666666663</v>
      </c>
    </row>
    <row r="150" spans="1:241" x14ac:dyDescent="0.2">
      <c r="A150" s="19">
        <v>44115</v>
      </c>
      <c r="B150" s="13" t="s">
        <v>381</v>
      </c>
      <c r="C150" s="41" t="s">
        <v>309</v>
      </c>
      <c r="D150" s="14" t="s">
        <v>294</v>
      </c>
      <c r="E150">
        <v>45.6</v>
      </c>
      <c r="F150">
        <v>6.8</v>
      </c>
      <c r="G150">
        <v>0.8</v>
      </c>
      <c r="H150">
        <v>8.3000000000000007</v>
      </c>
      <c r="I150">
        <v>-7</v>
      </c>
      <c r="J150">
        <v>44.5</v>
      </c>
      <c r="L150" t="s">
        <v>309</v>
      </c>
      <c r="M150">
        <v>8</v>
      </c>
      <c r="N150">
        <v>1.923333333333332</v>
      </c>
      <c r="O150">
        <v>10</v>
      </c>
      <c r="P150">
        <v>11.75</v>
      </c>
      <c r="Q150">
        <v>11</v>
      </c>
      <c r="R150">
        <v>1.4666666666666668</v>
      </c>
      <c r="S150">
        <v>22</v>
      </c>
      <c r="T150">
        <v>-1.5</v>
      </c>
      <c r="U150">
        <v>4</v>
      </c>
      <c r="V150">
        <v>23.416666666666668</v>
      </c>
      <c r="W150">
        <v>10</v>
      </c>
      <c r="X150">
        <v>0.49999999999999994</v>
      </c>
      <c r="Y150">
        <v>6</v>
      </c>
      <c r="Z150">
        <v>9.6666666666666661</v>
      </c>
      <c r="AA150">
        <v>9</v>
      </c>
      <c r="AB150">
        <v>3.6500000000000004</v>
      </c>
      <c r="AC150">
        <v>12</v>
      </c>
      <c r="AD150">
        <v>0.16666666666666666</v>
      </c>
      <c r="AE150">
        <v>1</v>
      </c>
      <c r="AF150">
        <v>25.416666666666668</v>
      </c>
      <c r="AG150">
        <v>19</v>
      </c>
      <c r="AH150">
        <v>-0.41666666666666669</v>
      </c>
      <c r="AI150">
        <v>18</v>
      </c>
      <c r="AJ150">
        <v>16.333333333333332</v>
      </c>
      <c r="AK150">
        <v>26</v>
      </c>
      <c r="AL150">
        <v>-2.1833333333333336</v>
      </c>
      <c r="AM150">
        <v>20</v>
      </c>
      <c r="AN150">
        <v>-1.6666666666666667</v>
      </c>
      <c r="AO150">
        <v>17</v>
      </c>
      <c r="AP150">
        <v>-2</v>
      </c>
      <c r="AQ150">
        <v>6</v>
      </c>
      <c r="AR150">
        <v>0.91666666666666663</v>
      </c>
      <c r="AS150">
        <v>10</v>
      </c>
      <c r="AT150">
        <v>10.666666666666666</v>
      </c>
      <c r="AU150">
        <v>9</v>
      </c>
      <c r="AV150">
        <v>5.2666666666666675</v>
      </c>
      <c r="AW150">
        <v>11</v>
      </c>
      <c r="AX150">
        <v>8.6666666666666661</v>
      </c>
      <c r="AY150">
        <v>12</v>
      </c>
      <c r="AZ150">
        <v>1</v>
      </c>
      <c r="BA150">
        <v>13</v>
      </c>
      <c r="BB150">
        <v>12</v>
      </c>
      <c r="BC150">
        <v>6</v>
      </c>
      <c r="BD150">
        <v>3.6833333333333336</v>
      </c>
      <c r="BE150">
        <v>14</v>
      </c>
      <c r="BF150">
        <v>0.25</v>
      </c>
      <c r="BG150">
        <v>16</v>
      </c>
      <c r="BH150">
        <v>-8.3333333333333329E-2</v>
      </c>
      <c r="BI150">
        <v>11</v>
      </c>
      <c r="BJ150">
        <v>13.333333333333334</v>
      </c>
      <c r="BK150">
        <v>21</v>
      </c>
      <c r="BL150">
        <v>-1.6249999999999993</v>
      </c>
      <c r="BM150">
        <v>16</v>
      </c>
      <c r="BN150">
        <v>-4.5</v>
      </c>
      <c r="BO150">
        <v>3</v>
      </c>
      <c r="BP150">
        <v>1.5833333333333333</v>
      </c>
      <c r="BQ150">
        <v>10</v>
      </c>
      <c r="BR150">
        <v>11</v>
      </c>
      <c r="BS150">
        <v>6</v>
      </c>
      <c r="BT150">
        <v>3.2083333333333326</v>
      </c>
      <c r="BU150">
        <v>5</v>
      </c>
      <c r="BV150">
        <v>12.916666666666666</v>
      </c>
      <c r="BW150">
        <v>22</v>
      </c>
      <c r="BX150">
        <v>-0.5</v>
      </c>
      <c r="BY150">
        <v>13</v>
      </c>
      <c r="BZ150">
        <v>16</v>
      </c>
      <c r="CA150">
        <v>12</v>
      </c>
      <c r="CB150">
        <v>2.4750000000000001</v>
      </c>
      <c r="CC150">
        <v>21</v>
      </c>
      <c r="CD150">
        <v>-9.4166666666666661</v>
      </c>
      <c r="CE150">
        <v>15</v>
      </c>
      <c r="CF150">
        <v>0.16666666666666666</v>
      </c>
      <c r="CG150">
        <v>9</v>
      </c>
      <c r="CH150">
        <v>11</v>
      </c>
      <c r="CI150">
        <v>10</v>
      </c>
      <c r="CJ150">
        <v>1.2166666666666668</v>
      </c>
      <c r="CK150">
        <v>10</v>
      </c>
      <c r="CL150">
        <v>6.333333333333333</v>
      </c>
      <c r="CM150">
        <v>13</v>
      </c>
      <c r="CN150">
        <v>0.25</v>
      </c>
      <c r="CO150">
        <v>28</v>
      </c>
      <c r="CP150">
        <v>26.5</v>
      </c>
      <c r="CQ150">
        <v>23</v>
      </c>
      <c r="CR150">
        <v>-1.0833333333333333</v>
      </c>
      <c r="CS150">
        <v>30</v>
      </c>
      <c r="CT150">
        <v>-0.91666666666666663</v>
      </c>
      <c r="CU150">
        <v>-0.58333333333333337</v>
      </c>
      <c r="CV150">
        <v>30</v>
      </c>
      <c r="CW150">
        <v>26</v>
      </c>
      <c r="CX150">
        <v>30</v>
      </c>
      <c r="CY150">
        <v>-6.032447174530603E-2</v>
      </c>
      <c r="CZ150">
        <v>31</v>
      </c>
      <c r="DA150">
        <v>-2.4635311709534979E-2</v>
      </c>
      <c r="DB150">
        <v>25</v>
      </c>
      <c r="DC150">
        <v>7.2619047619047583E-2</v>
      </c>
      <c r="DD150">
        <v>18</v>
      </c>
      <c r="DE150">
        <v>-0.16666666666666666</v>
      </c>
      <c r="DF150">
        <v>0.33333333333333331</v>
      </c>
      <c r="DG150">
        <v>0.83333333333333337</v>
      </c>
      <c r="DH150">
        <v>-0.83333333333333337</v>
      </c>
      <c r="DI150">
        <v>15.75</v>
      </c>
      <c r="DJ150">
        <v>10.916666666666666</v>
      </c>
      <c r="DK150">
        <v>19.333333333333332</v>
      </c>
      <c r="DL150">
        <v>-1.3333333333333333</v>
      </c>
      <c r="DM150">
        <v>-13.166666666666666</v>
      </c>
      <c r="DN150">
        <v>16</v>
      </c>
      <c r="DO150">
        <v>0.45666666666666522</v>
      </c>
      <c r="DP150">
        <v>0.94799999999999995</v>
      </c>
      <c r="DQ150">
        <v>-8.4166666666666661</v>
      </c>
      <c r="DR150">
        <v>17</v>
      </c>
      <c r="DS150">
        <v>1.0987499999999999</v>
      </c>
      <c r="DT150">
        <v>1.25</v>
      </c>
      <c r="DU150">
        <v>0.87380208333333331</v>
      </c>
      <c r="DV150">
        <v>0.77166666666666672</v>
      </c>
      <c r="DW150" t="s">
        <v>294</v>
      </c>
      <c r="DX150" t="s">
        <v>290</v>
      </c>
      <c r="DY150" t="s">
        <v>469</v>
      </c>
      <c r="DZ150">
        <v>16</v>
      </c>
      <c r="EA150">
        <v>0.76374999999999993</v>
      </c>
      <c r="EB150">
        <v>26</v>
      </c>
      <c r="EC150">
        <v>22.25</v>
      </c>
      <c r="ED150">
        <v>24</v>
      </c>
      <c r="EE150">
        <v>-3.7562499999999996</v>
      </c>
      <c r="EF150">
        <v>19</v>
      </c>
      <c r="EG150">
        <v>-0.4375</v>
      </c>
      <c r="EH150">
        <v>19</v>
      </c>
      <c r="EI150">
        <v>-10</v>
      </c>
      <c r="EJ150">
        <v>27</v>
      </c>
      <c r="EK150">
        <v>-1.3125</v>
      </c>
      <c r="EL150">
        <v>17</v>
      </c>
      <c r="EM150">
        <v>18.5</v>
      </c>
      <c r="EN150">
        <v>21</v>
      </c>
      <c r="EO150">
        <v>-2.125</v>
      </c>
      <c r="EP150">
        <v>13</v>
      </c>
      <c r="EQ150">
        <v>6.25E-2</v>
      </c>
      <c r="ER150">
        <v>24</v>
      </c>
      <c r="ES150">
        <v>-12.0625</v>
      </c>
      <c r="ET150">
        <v>16</v>
      </c>
      <c r="EU150">
        <v>-6.25E-2</v>
      </c>
      <c r="EV150">
        <v>20</v>
      </c>
      <c r="EW150">
        <v>20.333333333333332</v>
      </c>
      <c r="EX150">
        <v>26</v>
      </c>
      <c r="EY150">
        <v>-1.6312499999999994</v>
      </c>
      <c r="EZ150">
        <v>21</v>
      </c>
      <c r="FA150">
        <v>-0.5</v>
      </c>
      <c r="FB150">
        <v>14</v>
      </c>
      <c r="FC150">
        <v>2.0625</v>
      </c>
      <c r="FD150">
        <v>30</v>
      </c>
      <c r="FE150">
        <v>-1.25</v>
      </c>
      <c r="FF150">
        <v>12</v>
      </c>
      <c r="FG150">
        <v>14.333333333333334</v>
      </c>
      <c r="FH150">
        <v>9</v>
      </c>
      <c r="FI150">
        <v>1.9999999999999998</v>
      </c>
      <c r="FJ150">
        <v>19</v>
      </c>
      <c r="FK150">
        <v>-4.75</v>
      </c>
      <c r="FL150">
        <v>15</v>
      </c>
      <c r="FM150">
        <v>-0.3125</v>
      </c>
      <c r="FN150">
        <v>23</v>
      </c>
      <c r="FO150">
        <v>21</v>
      </c>
      <c r="FP150">
        <v>17</v>
      </c>
      <c r="FQ150">
        <v>-0.90624999999999956</v>
      </c>
      <c r="FR150">
        <v>29</v>
      </c>
      <c r="FS150">
        <v>-15.8125</v>
      </c>
      <c r="FT150">
        <v>17</v>
      </c>
      <c r="FU150">
        <v>-0.125</v>
      </c>
      <c r="FV150">
        <v>22</v>
      </c>
      <c r="FW150">
        <v>20.666666666666668</v>
      </c>
      <c r="FX150">
        <v>18</v>
      </c>
      <c r="FY150">
        <v>-0.46875000000000022</v>
      </c>
      <c r="FZ150">
        <v>14</v>
      </c>
      <c r="GA150">
        <v>6</v>
      </c>
      <c r="GB150">
        <v>30</v>
      </c>
      <c r="GC150">
        <v>-1.5</v>
      </c>
      <c r="GD150">
        <v>4</v>
      </c>
      <c r="GE150">
        <v>5</v>
      </c>
      <c r="GF150">
        <v>4</v>
      </c>
      <c r="GG150">
        <v>3.3749999999999996</v>
      </c>
      <c r="GH150">
        <v>7</v>
      </c>
      <c r="GI150">
        <v>5.0625</v>
      </c>
      <c r="GJ150">
        <v>4</v>
      </c>
      <c r="GK150">
        <v>1.3125</v>
      </c>
      <c r="GL150">
        <v>24</v>
      </c>
      <c r="GM150">
        <v>23</v>
      </c>
      <c r="GN150">
        <v>24</v>
      </c>
      <c r="GO150">
        <v>-3.2687499999999998</v>
      </c>
      <c r="GP150">
        <v>24</v>
      </c>
      <c r="GQ150">
        <v>-13.3125</v>
      </c>
      <c r="GR150">
        <v>21</v>
      </c>
      <c r="GS150">
        <v>-0.5625</v>
      </c>
      <c r="GT150">
        <v>4</v>
      </c>
      <c r="GU150">
        <v>4.333333333333333</v>
      </c>
      <c r="GV150">
        <v>2</v>
      </c>
      <c r="GW150">
        <v>8.9874999999999989</v>
      </c>
      <c r="GX150">
        <v>3</v>
      </c>
      <c r="GY150">
        <v>22.6875</v>
      </c>
      <c r="GZ150">
        <v>8</v>
      </c>
      <c r="HA150">
        <v>1</v>
      </c>
      <c r="HB150">
        <v>17</v>
      </c>
      <c r="HC150">
        <v>17</v>
      </c>
      <c r="HD150">
        <v>16</v>
      </c>
      <c r="HE150">
        <v>-0.1875</v>
      </c>
      <c r="HF150">
        <v>18</v>
      </c>
      <c r="HG150">
        <v>-0.25</v>
      </c>
      <c r="HH150">
        <v>2.9375</v>
      </c>
      <c r="HI150">
        <v>4</v>
      </c>
      <c r="HJ150">
        <v>9.5</v>
      </c>
      <c r="HK150">
        <v>2</v>
      </c>
      <c r="HL150">
        <v>8.1047829432016216E-2</v>
      </c>
      <c r="HM150">
        <v>4</v>
      </c>
      <c r="HN150">
        <v>2.3412965791857334E-2</v>
      </c>
      <c r="HO150">
        <v>24</v>
      </c>
      <c r="HP150">
        <v>4.323870573870571E-2</v>
      </c>
      <c r="HQ150">
        <v>8</v>
      </c>
      <c r="HR150">
        <v>1.375</v>
      </c>
      <c r="HS150">
        <v>1.625</v>
      </c>
      <c r="HT150">
        <v>2.3125</v>
      </c>
      <c r="HU150">
        <v>0</v>
      </c>
      <c r="HV150">
        <v>-3</v>
      </c>
      <c r="HW150">
        <v>7.375</v>
      </c>
      <c r="HX150">
        <v>-16.1875</v>
      </c>
      <c r="HY150">
        <v>7.375</v>
      </c>
      <c r="HZ150">
        <v>-1.5625</v>
      </c>
      <c r="IA150">
        <v>10</v>
      </c>
      <c r="IB150">
        <v>4.5199999999999996</v>
      </c>
      <c r="IC150">
        <v>4.2283749999999998</v>
      </c>
      <c r="ID150">
        <v>23.5625</v>
      </c>
      <c r="IE150">
        <v>23</v>
      </c>
      <c r="IF150">
        <v>0.9759374999999999</v>
      </c>
      <c r="IG150">
        <v>0.6875</v>
      </c>
    </row>
    <row r="151" spans="1:241" x14ac:dyDescent="0.2">
      <c r="A151" s="19">
        <v>44115</v>
      </c>
      <c r="B151" s="14" t="s">
        <v>381</v>
      </c>
      <c r="C151" s="40" t="s">
        <v>256</v>
      </c>
      <c r="D151" s="13" t="s">
        <v>293</v>
      </c>
      <c r="E151">
        <v>4.2</v>
      </c>
      <c r="F151">
        <v>7.4</v>
      </c>
      <c r="G151">
        <v>11</v>
      </c>
      <c r="H151">
        <v>8.4</v>
      </c>
      <c r="I151">
        <v>-8.5</v>
      </c>
      <c r="J151">
        <v>50.5</v>
      </c>
      <c r="K151" t="s">
        <v>735</v>
      </c>
      <c r="L151" t="s">
        <v>256</v>
      </c>
      <c r="M151">
        <v>20</v>
      </c>
      <c r="N151">
        <v>-1.2675000000000001</v>
      </c>
      <c r="O151">
        <v>10</v>
      </c>
      <c r="P151">
        <v>11.75</v>
      </c>
      <c r="Q151">
        <v>4</v>
      </c>
      <c r="R151">
        <v>7.1937499999999988</v>
      </c>
      <c r="S151">
        <v>19</v>
      </c>
      <c r="T151">
        <v>-1</v>
      </c>
      <c r="U151">
        <v>21</v>
      </c>
      <c r="V151">
        <v>-12.25</v>
      </c>
      <c r="W151">
        <v>3</v>
      </c>
      <c r="X151">
        <v>2</v>
      </c>
      <c r="Y151">
        <v>8</v>
      </c>
      <c r="Z151">
        <v>11</v>
      </c>
      <c r="AA151">
        <v>8</v>
      </c>
      <c r="AB151">
        <v>3.9812499999999993</v>
      </c>
      <c r="AC151">
        <v>27</v>
      </c>
      <c r="AD151">
        <v>-2.0625</v>
      </c>
      <c r="AE151">
        <v>20</v>
      </c>
      <c r="AF151">
        <v>-5.0625</v>
      </c>
      <c r="AG151">
        <v>5</v>
      </c>
      <c r="AH151">
        <v>1.5</v>
      </c>
      <c r="AI151">
        <v>10</v>
      </c>
      <c r="AJ151">
        <v>13.333333333333334</v>
      </c>
      <c r="AK151">
        <v>3</v>
      </c>
      <c r="AL151">
        <v>3.2124999999999995</v>
      </c>
      <c r="AM151">
        <v>9</v>
      </c>
      <c r="AN151">
        <v>1.0625</v>
      </c>
      <c r="AO151">
        <v>25</v>
      </c>
      <c r="AP151">
        <v>-7.1875</v>
      </c>
      <c r="AQ151">
        <v>12</v>
      </c>
      <c r="AR151">
        <v>0.5</v>
      </c>
      <c r="AS151">
        <v>31</v>
      </c>
      <c r="AT151">
        <v>30.333333333333332</v>
      </c>
      <c r="AU151">
        <v>30</v>
      </c>
      <c r="AV151">
        <v>-9.8312500000000007</v>
      </c>
      <c r="AW151">
        <v>31</v>
      </c>
      <c r="AX151">
        <v>-45.1875</v>
      </c>
      <c r="AY151">
        <v>30</v>
      </c>
      <c r="AZ151">
        <v>-4.125</v>
      </c>
      <c r="BA151">
        <v>25</v>
      </c>
      <c r="BB151">
        <v>24.333333333333332</v>
      </c>
      <c r="BC151">
        <v>22</v>
      </c>
      <c r="BD151">
        <v>-2.6125000000000003</v>
      </c>
      <c r="BE151">
        <v>27</v>
      </c>
      <c r="BF151">
        <v>-14.4375</v>
      </c>
      <c r="BG151">
        <v>24</v>
      </c>
      <c r="BH151">
        <v>-1.4375</v>
      </c>
      <c r="BI151">
        <v>31</v>
      </c>
      <c r="BJ151">
        <v>28.333333333333332</v>
      </c>
      <c r="BK151">
        <v>29</v>
      </c>
      <c r="BL151">
        <v>-3.625</v>
      </c>
      <c r="BM151">
        <v>29</v>
      </c>
      <c r="BN151">
        <v>-18.3125</v>
      </c>
      <c r="BO151">
        <v>27</v>
      </c>
      <c r="BP151">
        <v>-1.0625</v>
      </c>
      <c r="BQ151">
        <v>30</v>
      </c>
      <c r="BR151">
        <v>29.333333333333332</v>
      </c>
      <c r="BS151">
        <v>31</v>
      </c>
      <c r="BT151">
        <v>-3.5937500000000009</v>
      </c>
      <c r="BU151">
        <v>29</v>
      </c>
      <c r="BV151">
        <v>-12.4375</v>
      </c>
      <c r="BW151">
        <v>28</v>
      </c>
      <c r="BX151">
        <v>-1.625</v>
      </c>
      <c r="BY151">
        <v>12</v>
      </c>
      <c r="BZ151">
        <v>11.333333333333334</v>
      </c>
      <c r="CA151">
        <v>13</v>
      </c>
      <c r="CB151">
        <v>2.0687500000000014</v>
      </c>
      <c r="CC151">
        <v>7</v>
      </c>
      <c r="CD151">
        <v>20.6875</v>
      </c>
      <c r="CE151">
        <v>14</v>
      </c>
      <c r="CF151">
        <v>0.25</v>
      </c>
      <c r="CG151">
        <v>1</v>
      </c>
      <c r="CH151">
        <v>1.3333333333333333</v>
      </c>
      <c r="CI151">
        <v>1</v>
      </c>
      <c r="CJ151">
        <v>8.5437500000000011</v>
      </c>
      <c r="CK151">
        <v>1</v>
      </c>
      <c r="CL151">
        <v>34.75</v>
      </c>
      <c r="CM151">
        <v>2</v>
      </c>
      <c r="CN151">
        <v>3.1875</v>
      </c>
      <c r="CO151">
        <v>23</v>
      </c>
      <c r="CP151">
        <v>22.5</v>
      </c>
      <c r="CQ151">
        <v>17</v>
      </c>
      <c r="CR151">
        <v>-0.375</v>
      </c>
      <c r="CS151">
        <v>28</v>
      </c>
      <c r="CT151">
        <v>-0.5</v>
      </c>
      <c r="CU151">
        <v>-2.25</v>
      </c>
      <c r="CV151">
        <v>11</v>
      </c>
      <c r="CW151">
        <v>13</v>
      </c>
      <c r="CX151">
        <v>7</v>
      </c>
      <c r="CY151">
        <v>3.683829345958968E-2</v>
      </c>
      <c r="CZ151">
        <v>7</v>
      </c>
      <c r="DA151">
        <v>1.4491679950928454E-2</v>
      </c>
      <c r="DB151">
        <v>31</v>
      </c>
      <c r="DC151">
        <v>0.13090277777777776</v>
      </c>
      <c r="DD151">
        <v>7</v>
      </c>
      <c r="DE151">
        <v>1.1875</v>
      </c>
      <c r="DF151">
        <v>0</v>
      </c>
      <c r="DG151">
        <v>1.125</v>
      </c>
      <c r="DH151">
        <v>-1</v>
      </c>
      <c r="DI151">
        <v>39.8125</v>
      </c>
      <c r="DJ151">
        <v>31</v>
      </c>
      <c r="DK151">
        <v>6.3125</v>
      </c>
      <c r="DL151">
        <v>10.5</v>
      </c>
      <c r="DM151">
        <v>-8</v>
      </c>
      <c r="DN151">
        <v>30</v>
      </c>
      <c r="DO151">
        <v>-8.4612499999999997</v>
      </c>
      <c r="DP151">
        <v>-4.1078749999999999</v>
      </c>
      <c r="DQ151">
        <v>24.6875</v>
      </c>
      <c r="DR151">
        <v>3</v>
      </c>
      <c r="DS151">
        <v>0.53296874999999977</v>
      </c>
      <c r="DT151">
        <v>-0.9375</v>
      </c>
      <c r="DU151">
        <v>-0.89164062499999974</v>
      </c>
      <c r="DV151">
        <v>-0.7018749999999998</v>
      </c>
      <c r="DW151" t="s">
        <v>293</v>
      </c>
      <c r="DX151" t="s">
        <v>264</v>
      </c>
      <c r="DY151" t="s">
        <v>468</v>
      </c>
      <c r="DZ151">
        <v>24</v>
      </c>
      <c r="EA151">
        <v>-2.4762499999999985</v>
      </c>
      <c r="EB151">
        <v>18</v>
      </c>
      <c r="EC151">
        <v>17.25</v>
      </c>
      <c r="ED151">
        <v>11</v>
      </c>
      <c r="EE151">
        <v>2.1874999999999991</v>
      </c>
      <c r="EF151">
        <v>18</v>
      </c>
      <c r="EG151">
        <v>-0.375</v>
      </c>
      <c r="EH151">
        <v>16</v>
      </c>
      <c r="EI151">
        <v>-5.9375</v>
      </c>
      <c r="EJ151">
        <v>24</v>
      </c>
      <c r="EK151">
        <v>-0.6875</v>
      </c>
      <c r="EL151">
        <v>15</v>
      </c>
      <c r="EM151">
        <v>17.25</v>
      </c>
      <c r="EN151">
        <v>8</v>
      </c>
      <c r="EO151">
        <v>2.2187499999999987</v>
      </c>
      <c r="EP151">
        <v>16</v>
      </c>
      <c r="EQ151">
        <v>-6.25E-2</v>
      </c>
      <c r="ER151">
        <v>14</v>
      </c>
      <c r="ES151">
        <v>1</v>
      </c>
      <c r="ET151">
        <v>31</v>
      </c>
      <c r="EU151">
        <v>-1.1875</v>
      </c>
      <c r="EV151">
        <v>22</v>
      </c>
      <c r="EW151">
        <v>21</v>
      </c>
      <c r="EX151">
        <v>18</v>
      </c>
      <c r="EY151">
        <v>-3.1249999999999778E-2</v>
      </c>
      <c r="EZ151">
        <v>19</v>
      </c>
      <c r="FA151">
        <v>-0.3125</v>
      </c>
      <c r="FB151">
        <v>26</v>
      </c>
      <c r="FC151">
        <v>-6.9375</v>
      </c>
      <c r="FD151">
        <v>8</v>
      </c>
      <c r="FE151">
        <v>0.5</v>
      </c>
      <c r="FF151">
        <v>22</v>
      </c>
      <c r="FG151">
        <v>21.666666666666668</v>
      </c>
      <c r="FH151">
        <v>26</v>
      </c>
      <c r="FI151">
        <v>-5.268749999999998</v>
      </c>
      <c r="FJ151">
        <v>18</v>
      </c>
      <c r="FK151">
        <v>-4.5625</v>
      </c>
      <c r="FL151">
        <v>21</v>
      </c>
      <c r="FM151">
        <v>-0.9375</v>
      </c>
      <c r="FN151">
        <v>23</v>
      </c>
      <c r="FO151">
        <v>21</v>
      </c>
      <c r="FP151">
        <v>27</v>
      </c>
      <c r="FQ151">
        <v>-2.8437499999999991</v>
      </c>
      <c r="FR151">
        <v>21</v>
      </c>
      <c r="FS151">
        <v>-5.5</v>
      </c>
      <c r="FT151">
        <v>15</v>
      </c>
      <c r="FU151">
        <v>-6.25E-2</v>
      </c>
      <c r="FV151">
        <v>21</v>
      </c>
      <c r="FW151">
        <v>20</v>
      </c>
      <c r="FX151">
        <v>21</v>
      </c>
      <c r="FY151">
        <v>-1.6937499999999996</v>
      </c>
      <c r="FZ151">
        <v>19</v>
      </c>
      <c r="GA151">
        <v>-1</v>
      </c>
      <c r="GB151">
        <v>20</v>
      </c>
      <c r="GC151">
        <v>-0.5625</v>
      </c>
      <c r="GD151">
        <v>17</v>
      </c>
      <c r="GE151">
        <v>17.333333333333332</v>
      </c>
      <c r="GF151">
        <v>19</v>
      </c>
      <c r="GG151">
        <v>-0.73124999999999951</v>
      </c>
      <c r="GH151">
        <v>14</v>
      </c>
      <c r="GI151">
        <v>1.9375</v>
      </c>
      <c r="GJ151">
        <v>19</v>
      </c>
      <c r="GK151">
        <v>-0.3125</v>
      </c>
      <c r="GL151">
        <v>22</v>
      </c>
      <c r="GM151">
        <v>21.333333333333332</v>
      </c>
      <c r="GN151">
        <v>21</v>
      </c>
      <c r="GO151">
        <v>-2.0124999999999993</v>
      </c>
      <c r="GP151">
        <v>25</v>
      </c>
      <c r="GQ151">
        <v>-14.5</v>
      </c>
      <c r="GR151">
        <v>18</v>
      </c>
      <c r="GS151">
        <v>-0.375</v>
      </c>
      <c r="GT151">
        <v>12</v>
      </c>
      <c r="GU151">
        <v>14</v>
      </c>
      <c r="GV151">
        <v>18</v>
      </c>
      <c r="GW151">
        <v>-1.03125</v>
      </c>
      <c r="GX151">
        <v>12</v>
      </c>
      <c r="GY151">
        <v>5.3125</v>
      </c>
      <c r="GZ151">
        <v>12</v>
      </c>
      <c r="HA151">
        <v>0.25</v>
      </c>
      <c r="HB151">
        <v>27</v>
      </c>
      <c r="HC151">
        <v>27.5</v>
      </c>
      <c r="HD151">
        <v>28</v>
      </c>
      <c r="HE151">
        <v>-2.0625</v>
      </c>
      <c r="HF151">
        <v>27</v>
      </c>
      <c r="HG151">
        <v>-0.6875</v>
      </c>
      <c r="HH151">
        <v>-1.125</v>
      </c>
      <c r="HI151">
        <v>17</v>
      </c>
      <c r="HJ151">
        <v>16.5</v>
      </c>
      <c r="HK151">
        <v>15</v>
      </c>
      <c r="HL151">
        <v>-1.4199420412268765E-3</v>
      </c>
      <c r="HM151">
        <v>13</v>
      </c>
      <c r="HN151">
        <v>4.0654689288125573E-3</v>
      </c>
      <c r="HO151">
        <v>27</v>
      </c>
      <c r="HP151">
        <v>6.2197524697524709E-2</v>
      </c>
      <c r="HQ151">
        <v>11</v>
      </c>
      <c r="HR151">
        <v>0.3125</v>
      </c>
      <c r="HS151">
        <v>-2.375</v>
      </c>
      <c r="HT151">
        <v>-3.5625</v>
      </c>
      <c r="HU151">
        <v>-1</v>
      </c>
      <c r="HV151">
        <v>19.125</v>
      </c>
      <c r="HW151">
        <v>10.4375</v>
      </c>
      <c r="HX151">
        <v>5.5</v>
      </c>
      <c r="HY151">
        <v>-1.625</v>
      </c>
      <c r="HZ151">
        <v>4.8125</v>
      </c>
      <c r="IA151">
        <v>25</v>
      </c>
      <c r="IB151">
        <v>-4.6637499999999976</v>
      </c>
      <c r="IC151">
        <v>-2.8489999999999993</v>
      </c>
      <c r="ID151">
        <v>4.9375</v>
      </c>
      <c r="IE151">
        <v>8</v>
      </c>
      <c r="IF151">
        <v>-1.0814062499999997</v>
      </c>
      <c r="IG151">
        <v>-0.6875</v>
      </c>
    </row>
    <row r="152" spans="1:241" x14ac:dyDescent="0.2">
      <c r="A152" s="19">
        <v>44115</v>
      </c>
      <c r="B152" s="13" t="s">
        <v>381</v>
      </c>
      <c r="C152" s="41" t="s">
        <v>308</v>
      </c>
      <c r="D152" s="14" t="s">
        <v>312</v>
      </c>
      <c r="E152">
        <v>8.4</v>
      </c>
      <c r="F152">
        <v>27.3</v>
      </c>
      <c r="G152">
        <v>0</v>
      </c>
      <c r="H152">
        <v>8.9</v>
      </c>
      <c r="I152">
        <v>-6.5</v>
      </c>
      <c r="J152">
        <v>55</v>
      </c>
      <c r="L152" t="s">
        <v>308</v>
      </c>
      <c r="M152">
        <v>3</v>
      </c>
      <c r="N152">
        <v>7.1712500000000006</v>
      </c>
      <c r="O152">
        <v>18</v>
      </c>
      <c r="P152">
        <v>17.75</v>
      </c>
      <c r="Q152">
        <v>8</v>
      </c>
      <c r="R152">
        <v>3.3749999999999996</v>
      </c>
      <c r="S152">
        <v>21</v>
      </c>
      <c r="T152">
        <v>-1.3125</v>
      </c>
      <c r="U152">
        <v>19</v>
      </c>
      <c r="V152">
        <v>-6.4375</v>
      </c>
      <c r="W152">
        <v>23</v>
      </c>
      <c r="X152">
        <v>-0.625</v>
      </c>
      <c r="Y152">
        <v>10</v>
      </c>
      <c r="Z152">
        <v>11.666666666666666</v>
      </c>
      <c r="AA152">
        <v>10</v>
      </c>
      <c r="AB152">
        <v>3.6437499999999994</v>
      </c>
      <c r="AC152">
        <v>18</v>
      </c>
      <c r="AD152">
        <v>-0.875</v>
      </c>
      <c r="AE152">
        <v>16</v>
      </c>
      <c r="AF152">
        <v>-1.1875</v>
      </c>
      <c r="AG152">
        <v>9</v>
      </c>
      <c r="AH152">
        <v>0.5625</v>
      </c>
      <c r="AI152">
        <v>27</v>
      </c>
      <c r="AJ152">
        <v>23</v>
      </c>
      <c r="AK152">
        <v>17</v>
      </c>
      <c r="AL152">
        <v>-0.26874999999999982</v>
      </c>
      <c r="AM152">
        <v>15</v>
      </c>
      <c r="AN152">
        <v>-0.4375</v>
      </c>
      <c r="AO152">
        <v>22</v>
      </c>
      <c r="AP152">
        <v>-5.25</v>
      </c>
      <c r="AQ152">
        <v>30</v>
      </c>
      <c r="AR152">
        <v>-1.1875</v>
      </c>
      <c r="AS152">
        <v>5</v>
      </c>
      <c r="AT152">
        <v>8.3333333333333339</v>
      </c>
      <c r="AU152">
        <v>3</v>
      </c>
      <c r="AV152">
        <v>10.07</v>
      </c>
      <c r="AW152">
        <v>5</v>
      </c>
      <c r="AX152">
        <v>43.6875</v>
      </c>
      <c r="AY152">
        <v>17</v>
      </c>
      <c r="AZ152">
        <v>6.25E-2</v>
      </c>
      <c r="BA152">
        <v>15</v>
      </c>
      <c r="BB152">
        <v>14.333333333333334</v>
      </c>
      <c r="BC152">
        <v>14</v>
      </c>
      <c r="BD152">
        <v>1.6687499999999988</v>
      </c>
      <c r="BE152">
        <v>16</v>
      </c>
      <c r="BF152">
        <v>-1.375</v>
      </c>
      <c r="BG152">
        <v>13</v>
      </c>
      <c r="BH152">
        <v>0.25</v>
      </c>
      <c r="BI152">
        <v>1</v>
      </c>
      <c r="BJ152">
        <v>2.6666666666666665</v>
      </c>
      <c r="BK152">
        <v>1</v>
      </c>
      <c r="BL152">
        <v>5.6950000000000003</v>
      </c>
      <c r="BM152">
        <v>1</v>
      </c>
      <c r="BN152">
        <v>35.25</v>
      </c>
      <c r="BO152">
        <v>6</v>
      </c>
      <c r="BP152">
        <v>0.6875</v>
      </c>
      <c r="BQ152">
        <v>12</v>
      </c>
      <c r="BR152">
        <v>12.666666666666666</v>
      </c>
      <c r="BS152">
        <v>7</v>
      </c>
      <c r="BT152">
        <v>2.7062499999999998</v>
      </c>
      <c r="BU152">
        <v>8</v>
      </c>
      <c r="BV152">
        <v>9.8125</v>
      </c>
      <c r="BW152">
        <v>23</v>
      </c>
      <c r="BX152">
        <v>-0.875</v>
      </c>
      <c r="BY152">
        <v>13</v>
      </c>
      <c r="BZ152">
        <v>16</v>
      </c>
      <c r="CA152">
        <v>17</v>
      </c>
      <c r="CB152">
        <v>-0.73749999999999982</v>
      </c>
      <c r="CC152">
        <v>14</v>
      </c>
      <c r="CD152">
        <v>0.125</v>
      </c>
      <c r="CE152">
        <v>17</v>
      </c>
      <c r="CF152">
        <v>-0.1875</v>
      </c>
      <c r="CG152">
        <v>23</v>
      </c>
      <c r="CH152">
        <v>23</v>
      </c>
      <c r="CI152">
        <v>25</v>
      </c>
      <c r="CJ152">
        <v>-3.3312499999999998</v>
      </c>
      <c r="CK152">
        <v>24</v>
      </c>
      <c r="CL152">
        <v>-13.3125</v>
      </c>
      <c r="CM152">
        <v>20</v>
      </c>
      <c r="CN152">
        <v>-0.875</v>
      </c>
      <c r="CO152">
        <v>26</v>
      </c>
      <c r="CP152">
        <v>24.5</v>
      </c>
      <c r="CQ152">
        <v>18</v>
      </c>
      <c r="CR152">
        <v>-0.4375</v>
      </c>
      <c r="CS152">
        <v>31</v>
      </c>
      <c r="CT152">
        <v>-1</v>
      </c>
      <c r="CU152">
        <v>1.0625</v>
      </c>
      <c r="CV152">
        <v>14</v>
      </c>
      <c r="CW152">
        <v>15.75</v>
      </c>
      <c r="CX152">
        <v>4</v>
      </c>
      <c r="CY152">
        <v>8.1529130405725264E-2</v>
      </c>
      <c r="CZ152">
        <v>3</v>
      </c>
      <c r="DA152">
        <v>1.8827244356681747E-2</v>
      </c>
      <c r="DB152">
        <v>29</v>
      </c>
      <c r="DC152">
        <v>9.4446699134199147E-2</v>
      </c>
      <c r="DD152">
        <v>27</v>
      </c>
      <c r="DE152">
        <v>-1.5625</v>
      </c>
      <c r="DF152">
        <v>-3.375</v>
      </c>
      <c r="DG152">
        <v>6.0625</v>
      </c>
      <c r="DH152">
        <v>-6.25E-2</v>
      </c>
      <c r="DI152">
        <v>-0.3125</v>
      </c>
      <c r="DJ152">
        <v>32.25</v>
      </c>
      <c r="DK152">
        <v>-26.5625</v>
      </c>
      <c r="DL152">
        <v>-6.75</v>
      </c>
      <c r="DM152">
        <v>0.75</v>
      </c>
      <c r="DN152">
        <v>10</v>
      </c>
      <c r="DO152">
        <v>3.796250000000001</v>
      </c>
      <c r="DP152">
        <v>1.0945000000000003</v>
      </c>
      <c r="DQ152">
        <v>58.8125</v>
      </c>
      <c r="DR152">
        <v>23</v>
      </c>
      <c r="DS152">
        <v>2.1059375</v>
      </c>
      <c r="DT152">
        <v>-0.8125</v>
      </c>
      <c r="DU152">
        <v>2.5902604166666663</v>
      </c>
      <c r="DV152">
        <v>2.8287499999999994</v>
      </c>
      <c r="DW152" t="s">
        <v>312</v>
      </c>
      <c r="DX152" t="s">
        <v>260</v>
      </c>
      <c r="DY152" t="s">
        <v>476</v>
      </c>
      <c r="DZ152">
        <v>14</v>
      </c>
      <c r="EA152">
        <v>1.0079166666666661</v>
      </c>
      <c r="EB152">
        <v>8</v>
      </c>
      <c r="EC152">
        <v>10.75</v>
      </c>
      <c r="ED152">
        <v>14</v>
      </c>
      <c r="EE152">
        <v>0.94583333333333264</v>
      </c>
      <c r="EF152">
        <v>3</v>
      </c>
      <c r="EG152">
        <v>3.8125000000000004</v>
      </c>
      <c r="EH152">
        <v>9</v>
      </c>
      <c r="EI152">
        <v>14.229166666666668</v>
      </c>
      <c r="EJ152">
        <v>17</v>
      </c>
      <c r="EK152">
        <v>-0.27083333333333326</v>
      </c>
      <c r="EL152">
        <v>8</v>
      </c>
      <c r="EM152">
        <v>10.5</v>
      </c>
      <c r="EN152">
        <v>12</v>
      </c>
      <c r="EO152">
        <v>1.2208333333333328</v>
      </c>
      <c r="EP152">
        <v>3</v>
      </c>
      <c r="EQ152">
        <v>2.979166666666667</v>
      </c>
      <c r="ER152">
        <v>10</v>
      </c>
      <c r="ES152">
        <v>8.9791666666666679</v>
      </c>
      <c r="ET152">
        <v>17</v>
      </c>
      <c r="EU152">
        <v>-0.22916666666666663</v>
      </c>
      <c r="EV152">
        <v>11</v>
      </c>
      <c r="EW152">
        <v>12</v>
      </c>
      <c r="EX152">
        <v>19</v>
      </c>
      <c r="EY152">
        <v>-0.27500000000000013</v>
      </c>
      <c r="EZ152">
        <v>9</v>
      </c>
      <c r="FA152">
        <v>0.83333333333333337</v>
      </c>
      <c r="FB152">
        <v>8</v>
      </c>
      <c r="FC152">
        <v>5.25</v>
      </c>
      <c r="FD152">
        <v>17</v>
      </c>
      <c r="FE152">
        <v>-4.166666666666663E-2</v>
      </c>
      <c r="FF152">
        <v>2</v>
      </c>
      <c r="FG152">
        <v>2.6666666666666665</v>
      </c>
      <c r="FH152">
        <v>2</v>
      </c>
      <c r="FI152">
        <v>14.781250000000002</v>
      </c>
      <c r="FJ152">
        <v>2</v>
      </c>
      <c r="FK152">
        <v>46.9375</v>
      </c>
      <c r="FL152">
        <v>4</v>
      </c>
      <c r="FM152">
        <v>2.541666666666667</v>
      </c>
      <c r="FN152">
        <v>2</v>
      </c>
      <c r="FO152">
        <v>2.3333333333333335</v>
      </c>
      <c r="FP152">
        <v>3</v>
      </c>
      <c r="FQ152">
        <v>6.8958333333333339</v>
      </c>
      <c r="FR152">
        <v>2</v>
      </c>
      <c r="FS152">
        <v>21.333333333333332</v>
      </c>
      <c r="FT152">
        <v>2</v>
      </c>
      <c r="FU152">
        <v>2.041666666666667</v>
      </c>
      <c r="FV152">
        <v>13</v>
      </c>
      <c r="FW152">
        <v>13.666666666666666</v>
      </c>
      <c r="FX152">
        <v>7</v>
      </c>
      <c r="FY152">
        <v>3.7208333333333345</v>
      </c>
      <c r="FZ152">
        <v>6</v>
      </c>
      <c r="GA152">
        <v>12.854166666666668</v>
      </c>
      <c r="GB152">
        <v>28</v>
      </c>
      <c r="GC152">
        <v>-1.2916666666666667</v>
      </c>
      <c r="GD152">
        <v>2</v>
      </c>
      <c r="GE152">
        <v>3</v>
      </c>
      <c r="GF152">
        <v>2</v>
      </c>
      <c r="GG152">
        <v>4.1645833333333329</v>
      </c>
      <c r="GH152">
        <v>5</v>
      </c>
      <c r="GI152">
        <v>12.75</v>
      </c>
      <c r="GJ152">
        <v>2</v>
      </c>
      <c r="GK152">
        <v>1.7916666666666667</v>
      </c>
      <c r="GL152">
        <v>13</v>
      </c>
      <c r="GM152">
        <v>14.666666666666666</v>
      </c>
      <c r="GN152">
        <v>17</v>
      </c>
      <c r="GO152">
        <v>-0.95416666666666483</v>
      </c>
      <c r="GP152">
        <v>18</v>
      </c>
      <c r="GQ152">
        <v>-7.6666666666666679</v>
      </c>
      <c r="GR152">
        <v>9</v>
      </c>
      <c r="GS152">
        <v>0.625</v>
      </c>
      <c r="GT152">
        <v>17</v>
      </c>
      <c r="GU152">
        <v>17.333333333333332</v>
      </c>
      <c r="GV152">
        <v>29</v>
      </c>
      <c r="GW152">
        <v>-3.3791666666666669</v>
      </c>
      <c r="GX152">
        <v>10</v>
      </c>
      <c r="GY152">
        <v>6.4166666666666661</v>
      </c>
      <c r="GZ152">
        <v>13</v>
      </c>
      <c r="HA152">
        <v>0.20833333333333326</v>
      </c>
      <c r="HB152">
        <v>1</v>
      </c>
      <c r="HC152">
        <v>1.5</v>
      </c>
      <c r="HD152">
        <v>1</v>
      </c>
      <c r="HE152">
        <v>5.4583333333333339</v>
      </c>
      <c r="HF152">
        <v>2</v>
      </c>
      <c r="HG152">
        <v>0.9375</v>
      </c>
      <c r="HH152">
        <v>0.75</v>
      </c>
      <c r="HI152">
        <v>21</v>
      </c>
      <c r="HJ152">
        <v>19.25</v>
      </c>
      <c r="HK152">
        <v>25</v>
      </c>
      <c r="HL152">
        <v>-3.023083553701536E-2</v>
      </c>
      <c r="HM152">
        <v>20</v>
      </c>
      <c r="HN152">
        <v>-6.1565803280423945E-3</v>
      </c>
      <c r="HO152">
        <v>14</v>
      </c>
      <c r="HP152">
        <v>-1.066468253968253E-2</v>
      </c>
      <c r="HQ152">
        <v>18</v>
      </c>
      <c r="HR152">
        <v>-0.83333333333333337</v>
      </c>
      <c r="HS152">
        <v>5.4375</v>
      </c>
      <c r="HT152">
        <v>4.333333333333333</v>
      </c>
      <c r="HU152">
        <v>-1.0625</v>
      </c>
      <c r="HV152">
        <v>43.270833333333329</v>
      </c>
      <c r="HW152">
        <v>25.645833333333329</v>
      </c>
      <c r="HX152">
        <v>17.708333333333332</v>
      </c>
      <c r="HY152">
        <v>3.0208333333333335</v>
      </c>
      <c r="HZ152">
        <v>-3.1041666666666665</v>
      </c>
      <c r="IA152">
        <v>17</v>
      </c>
      <c r="IB152">
        <v>6.208333333333349E-2</v>
      </c>
      <c r="IC152">
        <v>2.0090833333333338</v>
      </c>
      <c r="ID152">
        <v>7.9374999999999964</v>
      </c>
      <c r="IE152">
        <v>16</v>
      </c>
      <c r="IF152">
        <v>2.3517708333333331</v>
      </c>
      <c r="IG152">
        <v>2.75</v>
      </c>
    </row>
    <row r="153" spans="1:241" x14ac:dyDescent="0.2">
      <c r="A153" s="19">
        <v>44115</v>
      </c>
      <c r="B153" s="13" t="s">
        <v>381</v>
      </c>
      <c r="C153" s="41" t="s">
        <v>284</v>
      </c>
      <c r="D153" s="14" t="s">
        <v>265</v>
      </c>
      <c r="E153">
        <v>15.1</v>
      </c>
      <c r="F153">
        <v>0</v>
      </c>
      <c r="G153">
        <v>10.1</v>
      </c>
      <c r="H153">
        <v>8.1999999999999993</v>
      </c>
      <c r="I153">
        <v>-3.5</v>
      </c>
      <c r="J153">
        <v>43.5</v>
      </c>
      <c r="L153" t="s">
        <v>284</v>
      </c>
      <c r="M153">
        <v>9</v>
      </c>
      <c r="N153">
        <v>1.5587499999999999</v>
      </c>
      <c r="O153">
        <v>9</v>
      </c>
      <c r="P153">
        <v>11.25</v>
      </c>
      <c r="Q153">
        <v>10</v>
      </c>
      <c r="R153">
        <v>1.7124999999999995</v>
      </c>
      <c r="S153">
        <v>12</v>
      </c>
      <c r="T153">
        <v>1.25</v>
      </c>
      <c r="U153">
        <v>10</v>
      </c>
      <c r="V153">
        <v>11.9375</v>
      </c>
      <c r="W153">
        <v>13</v>
      </c>
      <c r="X153">
        <v>0.375</v>
      </c>
      <c r="Y153">
        <v>7</v>
      </c>
      <c r="Z153">
        <v>10.333333333333334</v>
      </c>
      <c r="AA153">
        <v>13</v>
      </c>
      <c r="AB153">
        <v>0.95624999999999938</v>
      </c>
      <c r="AC153">
        <v>23</v>
      </c>
      <c r="AD153">
        <v>-1.25</v>
      </c>
      <c r="AE153">
        <v>10</v>
      </c>
      <c r="AF153">
        <v>13.375</v>
      </c>
      <c r="AG153">
        <v>8</v>
      </c>
      <c r="AH153">
        <v>0.6875</v>
      </c>
      <c r="AI153">
        <v>13</v>
      </c>
      <c r="AJ153">
        <v>14.666666666666666</v>
      </c>
      <c r="AK153">
        <v>12</v>
      </c>
      <c r="AL153">
        <v>0.75625000000000009</v>
      </c>
      <c r="AM153">
        <v>7</v>
      </c>
      <c r="AN153">
        <v>2.5</v>
      </c>
      <c r="AO153">
        <v>14</v>
      </c>
      <c r="AP153">
        <v>-1.4375</v>
      </c>
      <c r="AQ153">
        <v>18</v>
      </c>
      <c r="AR153">
        <v>-0.3125</v>
      </c>
      <c r="AS153">
        <v>6</v>
      </c>
      <c r="AT153">
        <v>8.6666666666666661</v>
      </c>
      <c r="AU153">
        <v>4</v>
      </c>
      <c r="AV153">
        <v>8.1062500000000011</v>
      </c>
      <c r="AW153">
        <v>6</v>
      </c>
      <c r="AX153">
        <v>27.125</v>
      </c>
      <c r="AY153">
        <v>16</v>
      </c>
      <c r="AZ153">
        <v>0.1875</v>
      </c>
      <c r="BA153">
        <v>14</v>
      </c>
      <c r="BB153">
        <v>12.333333333333334</v>
      </c>
      <c r="BC153">
        <v>7</v>
      </c>
      <c r="BD153">
        <v>3.2812500000000004</v>
      </c>
      <c r="BE153">
        <v>10</v>
      </c>
      <c r="BF153">
        <v>11.4375</v>
      </c>
      <c r="BG153">
        <v>20</v>
      </c>
      <c r="BH153">
        <v>-0.6875</v>
      </c>
      <c r="BI153">
        <v>14</v>
      </c>
      <c r="BJ153">
        <v>14.333333333333334</v>
      </c>
      <c r="BK153">
        <v>8</v>
      </c>
      <c r="BL153">
        <v>2.4125000000000005</v>
      </c>
      <c r="BM153">
        <v>14</v>
      </c>
      <c r="BN153">
        <v>-3.1875</v>
      </c>
      <c r="BO153">
        <v>21</v>
      </c>
      <c r="BP153">
        <v>-0.25</v>
      </c>
      <c r="BQ153">
        <v>4</v>
      </c>
      <c r="BR153">
        <v>5.666666666666667</v>
      </c>
      <c r="BS153">
        <v>9</v>
      </c>
      <c r="BT153">
        <v>2.4124999999999996</v>
      </c>
      <c r="BU153">
        <v>2</v>
      </c>
      <c r="BV153">
        <v>18.875</v>
      </c>
      <c r="BW153">
        <v>6</v>
      </c>
      <c r="BX153">
        <v>1.125</v>
      </c>
      <c r="BY153">
        <v>6</v>
      </c>
      <c r="BZ153">
        <v>6</v>
      </c>
      <c r="CA153">
        <v>5</v>
      </c>
      <c r="CB153">
        <v>5.0125000000000011</v>
      </c>
      <c r="CC153">
        <v>5</v>
      </c>
      <c r="CD153">
        <v>22</v>
      </c>
      <c r="CE153">
        <v>8</v>
      </c>
      <c r="CF153">
        <v>1.5</v>
      </c>
      <c r="CG153">
        <v>21</v>
      </c>
      <c r="CH153">
        <v>20.666666666666668</v>
      </c>
      <c r="CI153">
        <v>21</v>
      </c>
      <c r="CJ153">
        <v>-1.4187499999999997</v>
      </c>
      <c r="CK153">
        <v>21</v>
      </c>
      <c r="CL153">
        <v>-6.0625</v>
      </c>
      <c r="CM153">
        <v>20</v>
      </c>
      <c r="CN153">
        <v>-0.875</v>
      </c>
      <c r="CO153">
        <v>32</v>
      </c>
      <c r="CP153">
        <v>29</v>
      </c>
      <c r="CQ153">
        <v>30</v>
      </c>
      <c r="CR153">
        <v>-2</v>
      </c>
      <c r="CS153">
        <v>28</v>
      </c>
      <c r="CT153">
        <v>-0.5</v>
      </c>
      <c r="CU153">
        <v>3.8125</v>
      </c>
      <c r="CV153">
        <v>20</v>
      </c>
      <c r="CW153">
        <v>18.5</v>
      </c>
      <c r="CX153">
        <v>31</v>
      </c>
      <c r="CY153">
        <v>-7.4595340682370004E-2</v>
      </c>
      <c r="CZ153">
        <v>28</v>
      </c>
      <c r="DA153">
        <v>-1.2192690468336638E-2</v>
      </c>
      <c r="DB153">
        <v>10</v>
      </c>
      <c r="DC153">
        <v>-3.0941439075630253E-2</v>
      </c>
      <c r="DD153">
        <v>5</v>
      </c>
      <c r="DE153">
        <v>2.0625</v>
      </c>
      <c r="DF153">
        <v>-0.3125</v>
      </c>
      <c r="DG153">
        <v>4.0625</v>
      </c>
      <c r="DH153">
        <v>-0.1875</v>
      </c>
      <c r="DI153">
        <v>9.125</v>
      </c>
      <c r="DJ153">
        <v>22.1875</v>
      </c>
      <c r="DK153">
        <v>7.4375</v>
      </c>
      <c r="DL153">
        <v>-0.5625</v>
      </c>
      <c r="DM153">
        <v>-19.9375</v>
      </c>
      <c r="DN153">
        <v>17</v>
      </c>
      <c r="DO153">
        <v>-0.15374999999999961</v>
      </c>
      <c r="DP153">
        <v>0.79300000000000015</v>
      </c>
      <c r="DQ153">
        <v>14.75</v>
      </c>
      <c r="DR153">
        <v>16</v>
      </c>
      <c r="DS153">
        <v>0.99484375000000003</v>
      </c>
      <c r="DT153">
        <v>-0.6875</v>
      </c>
      <c r="DU153">
        <v>-0.99695312499999988</v>
      </c>
      <c r="DV153">
        <v>-1.2229687499999997</v>
      </c>
      <c r="DW153" t="s">
        <v>265</v>
      </c>
      <c r="DX153" t="s">
        <v>236</v>
      </c>
      <c r="DY153" t="s">
        <v>539</v>
      </c>
      <c r="DZ153">
        <v>27</v>
      </c>
      <c r="EA153">
        <v>-3.8175000000000008</v>
      </c>
      <c r="EB153">
        <v>9</v>
      </c>
      <c r="EC153">
        <v>12</v>
      </c>
      <c r="ED153">
        <v>12</v>
      </c>
      <c r="EE153">
        <v>1.7499999999999996</v>
      </c>
      <c r="EF153">
        <v>13</v>
      </c>
      <c r="EG153">
        <v>1.25</v>
      </c>
      <c r="EH153">
        <v>7</v>
      </c>
      <c r="EI153">
        <v>23.6875</v>
      </c>
      <c r="EJ153">
        <v>16</v>
      </c>
      <c r="EK153">
        <v>-0.1875</v>
      </c>
      <c r="EL153">
        <v>12</v>
      </c>
      <c r="EM153">
        <v>13.75</v>
      </c>
      <c r="EN153">
        <v>13</v>
      </c>
      <c r="EO153">
        <v>0.43749999999999956</v>
      </c>
      <c r="EP153">
        <v>15</v>
      </c>
      <c r="EQ153">
        <v>0</v>
      </c>
      <c r="ER153">
        <v>7</v>
      </c>
      <c r="ES153">
        <v>14.9375</v>
      </c>
      <c r="ET153">
        <v>20</v>
      </c>
      <c r="EU153">
        <v>-0.5</v>
      </c>
      <c r="EV153">
        <v>4</v>
      </c>
      <c r="EW153">
        <v>6.666666666666667</v>
      </c>
      <c r="EX153">
        <v>6</v>
      </c>
      <c r="EY153">
        <v>1.3125</v>
      </c>
      <c r="EZ153">
        <v>8</v>
      </c>
      <c r="FA153">
        <v>1.25</v>
      </c>
      <c r="FB153">
        <v>6</v>
      </c>
      <c r="FC153">
        <v>8.75</v>
      </c>
      <c r="FD153">
        <v>9</v>
      </c>
      <c r="FE153">
        <v>0.3125</v>
      </c>
      <c r="FF153">
        <v>13</v>
      </c>
      <c r="FG153">
        <v>15</v>
      </c>
      <c r="FH153">
        <v>24</v>
      </c>
      <c r="FI153">
        <v>-5.1250000000000009</v>
      </c>
      <c r="FJ153">
        <v>14</v>
      </c>
      <c r="FK153">
        <v>1.6875</v>
      </c>
      <c r="FL153">
        <v>7</v>
      </c>
      <c r="FM153">
        <v>1.125</v>
      </c>
      <c r="FN153">
        <v>12</v>
      </c>
      <c r="FO153">
        <v>14.666666666666666</v>
      </c>
      <c r="FP153">
        <v>21</v>
      </c>
      <c r="FQ153">
        <v>-1.9312499999999999</v>
      </c>
      <c r="FR153">
        <v>17</v>
      </c>
      <c r="FS153">
        <v>-0.625</v>
      </c>
      <c r="FT153">
        <v>6</v>
      </c>
      <c r="FU153">
        <v>0.9375</v>
      </c>
      <c r="FV153">
        <v>20</v>
      </c>
      <c r="FW153">
        <v>19.333333333333332</v>
      </c>
      <c r="FX153">
        <v>23</v>
      </c>
      <c r="FY153">
        <v>-2.3062500000000004</v>
      </c>
      <c r="FZ153">
        <v>16</v>
      </c>
      <c r="GA153">
        <v>3.0625</v>
      </c>
      <c r="GB153">
        <v>19</v>
      </c>
      <c r="GC153">
        <v>-0.4375</v>
      </c>
      <c r="GD153">
        <v>13</v>
      </c>
      <c r="GE153">
        <v>15.333333333333334</v>
      </c>
      <c r="GF153">
        <v>20</v>
      </c>
      <c r="GG153">
        <v>-0.88750000000000018</v>
      </c>
      <c r="GH153">
        <v>17</v>
      </c>
      <c r="GI153">
        <v>-0.75</v>
      </c>
      <c r="GJ153">
        <v>9</v>
      </c>
      <c r="GK153">
        <v>0.625</v>
      </c>
      <c r="GL153">
        <v>13</v>
      </c>
      <c r="GM153">
        <v>14.666666666666666</v>
      </c>
      <c r="GN153">
        <v>18</v>
      </c>
      <c r="GO153">
        <v>-1.1187499999999999</v>
      </c>
      <c r="GP153">
        <v>10</v>
      </c>
      <c r="GQ153">
        <v>6.9375</v>
      </c>
      <c r="GR153">
        <v>16</v>
      </c>
      <c r="GS153">
        <v>-0.25</v>
      </c>
      <c r="GT153">
        <v>21</v>
      </c>
      <c r="GU153">
        <v>19.666666666666668</v>
      </c>
      <c r="GV153">
        <v>10</v>
      </c>
      <c r="GW153">
        <v>0.65000000000000058</v>
      </c>
      <c r="GX153">
        <v>25</v>
      </c>
      <c r="GY153">
        <v>-9.75</v>
      </c>
      <c r="GZ153">
        <v>24</v>
      </c>
      <c r="HA153">
        <v>-0.9375</v>
      </c>
      <c r="HB153">
        <v>8</v>
      </c>
      <c r="HC153">
        <v>8</v>
      </c>
      <c r="HD153">
        <v>13</v>
      </c>
      <c r="HE153">
        <v>0.375</v>
      </c>
      <c r="HF153">
        <v>3</v>
      </c>
      <c r="HG153">
        <v>0.8125</v>
      </c>
      <c r="HH153">
        <v>0.5</v>
      </c>
      <c r="HI153">
        <v>12</v>
      </c>
      <c r="HJ153">
        <v>14.75</v>
      </c>
      <c r="HK153">
        <v>14</v>
      </c>
      <c r="HL153">
        <v>2.8990031423337254E-3</v>
      </c>
      <c r="HM153">
        <v>22</v>
      </c>
      <c r="HN153">
        <v>-1.1722170636076721E-2</v>
      </c>
      <c r="HO153">
        <v>9</v>
      </c>
      <c r="HP153">
        <v>-6.0193452380952389E-2</v>
      </c>
      <c r="HQ153">
        <v>14</v>
      </c>
      <c r="HR153">
        <v>-0.375</v>
      </c>
      <c r="HS153">
        <v>2.3125</v>
      </c>
      <c r="HT153">
        <v>-0.8125</v>
      </c>
      <c r="HU153">
        <v>-1</v>
      </c>
      <c r="HV153">
        <v>-1.8125</v>
      </c>
      <c r="HW153">
        <v>-18.0625</v>
      </c>
      <c r="HX153">
        <v>18.3125</v>
      </c>
      <c r="HY153">
        <v>1.1875</v>
      </c>
      <c r="HZ153">
        <v>-3.25</v>
      </c>
      <c r="IA153">
        <v>28</v>
      </c>
      <c r="IB153">
        <v>-5.5675000000000008</v>
      </c>
      <c r="IC153">
        <v>-2.5335000000000001</v>
      </c>
      <c r="ID153">
        <v>-36.375</v>
      </c>
      <c r="IE153">
        <v>5</v>
      </c>
      <c r="IF153">
        <v>-0.77093750000000016</v>
      </c>
      <c r="IG153">
        <v>0.1875</v>
      </c>
    </row>
    <row r="154" spans="1:241" x14ac:dyDescent="0.2">
      <c r="A154" s="19">
        <v>44115</v>
      </c>
      <c r="B154" s="13" t="s">
        <v>381</v>
      </c>
      <c r="C154" s="41" t="s">
        <v>310</v>
      </c>
      <c r="D154" s="14" t="s">
        <v>276</v>
      </c>
      <c r="E154">
        <v>21.2</v>
      </c>
      <c r="F154">
        <v>4.5999999999999996</v>
      </c>
      <c r="G154">
        <v>2.2000000000000002</v>
      </c>
      <c r="H154">
        <v>21</v>
      </c>
      <c r="I154">
        <v>3</v>
      </c>
      <c r="J154">
        <v>52</v>
      </c>
      <c r="K154" t="s">
        <v>734</v>
      </c>
      <c r="L154" t="s">
        <v>310</v>
      </c>
      <c r="M154">
        <v>19</v>
      </c>
      <c r="N154">
        <v>-1.2316666666666656</v>
      </c>
      <c r="O154">
        <v>16</v>
      </c>
      <c r="P154">
        <v>15.75</v>
      </c>
      <c r="Q154">
        <v>24</v>
      </c>
      <c r="R154">
        <v>-3.5666666666666673</v>
      </c>
      <c r="S154">
        <v>2</v>
      </c>
      <c r="T154">
        <v>4.666666666666667</v>
      </c>
      <c r="U154">
        <v>6</v>
      </c>
      <c r="V154">
        <v>14.833333333333334</v>
      </c>
      <c r="W154">
        <v>31</v>
      </c>
      <c r="X154">
        <v>-2.416666666666667</v>
      </c>
      <c r="Y154">
        <v>14</v>
      </c>
      <c r="Z154">
        <v>14.666666666666666</v>
      </c>
      <c r="AA154">
        <v>17</v>
      </c>
      <c r="AB154">
        <v>-0.26666666666666689</v>
      </c>
      <c r="AC154">
        <v>1</v>
      </c>
      <c r="AD154">
        <v>7.666666666666667</v>
      </c>
      <c r="AE154">
        <v>2</v>
      </c>
      <c r="AF154">
        <v>24.416666666666668</v>
      </c>
      <c r="AG154">
        <v>25</v>
      </c>
      <c r="AH154">
        <v>-1.1666666666666667</v>
      </c>
      <c r="AI154">
        <v>32</v>
      </c>
      <c r="AJ154">
        <v>28.666666666666668</v>
      </c>
      <c r="AK154">
        <v>29</v>
      </c>
      <c r="AL154">
        <v>-3.3000000000000003</v>
      </c>
      <c r="AM154">
        <v>31</v>
      </c>
      <c r="AN154">
        <v>-3</v>
      </c>
      <c r="AO154">
        <v>26</v>
      </c>
      <c r="AP154">
        <v>-9.5833333333333339</v>
      </c>
      <c r="AQ154">
        <v>31</v>
      </c>
      <c r="AR154">
        <v>-1.25</v>
      </c>
      <c r="AS154">
        <v>21</v>
      </c>
      <c r="AT154">
        <v>19.666666666666668</v>
      </c>
      <c r="AU154">
        <v>21</v>
      </c>
      <c r="AV154">
        <v>-3.1583333333333314</v>
      </c>
      <c r="AW154">
        <v>16</v>
      </c>
      <c r="AX154">
        <v>0.91666666666666607</v>
      </c>
      <c r="AY154">
        <v>22</v>
      </c>
      <c r="AZ154">
        <v>-1.4166666666666667</v>
      </c>
      <c r="BA154">
        <v>28</v>
      </c>
      <c r="BB154">
        <v>26.333333333333332</v>
      </c>
      <c r="BC154">
        <v>27</v>
      </c>
      <c r="BD154">
        <v>-3.4166666666666656</v>
      </c>
      <c r="BE154">
        <v>23</v>
      </c>
      <c r="BF154">
        <v>-11.333333333333334</v>
      </c>
      <c r="BG154">
        <v>29</v>
      </c>
      <c r="BH154">
        <v>-1.9166666666666667</v>
      </c>
      <c r="BI154">
        <v>10</v>
      </c>
      <c r="BJ154">
        <v>12</v>
      </c>
      <c r="BK154">
        <v>12</v>
      </c>
      <c r="BL154">
        <v>1.5916666666666679</v>
      </c>
      <c r="BM154">
        <v>6</v>
      </c>
      <c r="BN154">
        <v>20.75</v>
      </c>
      <c r="BO154">
        <v>18</v>
      </c>
      <c r="BP154">
        <v>0</v>
      </c>
      <c r="BQ154">
        <v>20</v>
      </c>
      <c r="BR154">
        <v>20.666666666666668</v>
      </c>
      <c r="BS154">
        <v>23</v>
      </c>
      <c r="BT154">
        <v>-1.3333333333333339</v>
      </c>
      <c r="BU154">
        <v>26</v>
      </c>
      <c r="BV154">
        <v>-8.5</v>
      </c>
      <c r="BW154">
        <v>13</v>
      </c>
      <c r="BX154">
        <v>0.5</v>
      </c>
      <c r="BY154">
        <v>22</v>
      </c>
      <c r="BZ154">
        <v>21.666666666666668</v>
      </c>
      <c r="CA154">
        <v>19</v>
      </c>
      <c r="CB154">
        <v>-1.2833333333333343</v>
      </c>
      <c r="CC154">
        <v>26</v>
      </c>
      <c r="CD154">
        <v>-18.666666666666668</v>
      </c>
      <c r="CE154">
        <v>20</v>
      </c>
      <c r="CF154">
        <v>-0.83333333333333337</v>
      </c>
      <c r="CG154">
        <v>5</v>
      </c>
      <c r="CH154">
        <v>5.333333333333333</v>
      </c>
      <c r="CI154">
        <v>3</v>
      </c>
      <c r="CJ154">
        <v>6.1749999999999998</v>
      </c>
      <c r="CK154">
        <v>7</v>
      </c>
      <c r="CL154">
        <v>13.416666666666666</v>
      </c>
      <c r="CM154">
        <v>6</v>
      </c>
      <c r="CN154">
        <v>1.8333333333333333</v>
      </c>
      <c r="CO154">
        <v>5</v>
      </c>
      <c r="CP154">
        <v>6.5</v>
      </c>
      <c r="CQ154">
        <v>10</v>
      </c>
      <c r="CR154">
        <v>0.83333333333333337</v>
      </c>
      <c r="CS154">
        <v>3</v>
      </c>
      <c r="CT154">
        <v>0.91666666666666663</v>
      </c>
      <c r="CU154">
        <v>-3.0833333333333335</v>
      </c>
      <c r="CV154">
        <v>16</v>
      </c>
      <c r="CW154">
        <v>16.5</v>
      </c>
      <c r="CX154">
        <v>14</v>
      </c>
      <c r="CY154">
        <v>1.3173675054143916E-2</v>
      </c>
      <c r="CZ154">
        <v>23</v>
      </c>
      <c r="DA154">
        <v>-7.9308981797860494E-3</v>
      </c>
      <c r="DB154">
        <v>6</v>
      </c>
      <c r="DC154">
        <v>-8.3862433862433861E-2</v>
      </c>
      <c r="DD154">
        <v>23</v>
      </c>
      <c r="DE154">
        <v>-0.58333333333333337</v>
      </c>
      <c r="DF154">
        <v>2.0833333333333335</v>
      </c>
      <c r="DG154">
        <v>-0.41666666666666669</v>
      </c>
      <c r="DH154">
        <v>-1.0833333333333333</v>
      </c>
      <c r="DI154">
        <v>-9.0833333333333339</v>
      </c>
      <c r="DJ154">
        <v>-10.666666666666666</v>
      </c>
      <c r="DK154">
        <v>10.333333333333334</v>
      </c>
      <c r="DL154">
        <v>-5.333333333333333</v>
      </c>
      <c r="DM154">
        <v>-3.4166666666666665</v>
      </c>
      <c r="DN154">
        <v>11</v>
      </c>
      <c r="DO154">
        <v>2.3350000000000017</v>
      </c>
      <c r="DP154">
        <v>2.1403333333333339</v>
      </c>
      <c r="DQ154">
        <v>-21</v>
      </c>
      <c r="DR154">
        <v>22</v>
      </c>
      <c r="DS154">
        <v>-0.11854166666666639</v>
      </c>
      <c r="DT154">
        <v>0.41666666666666652</v>
      </c>
      <c r="DU154">
        <v>1.5485937500000004</v>
      </c>
      <c r="DV154">
        <v>1.2781250000000008</v>
      </c>
      <c r="DW154" t="s">
        <v>276</v>
      </c>
      <c r="DX154" t="s">
        <v>261</v>
      </c>
      <c r="DY154" t="s">
        <v>455</v>
      </c>
      <c r="DZ154">
        <v>7</v>
      </c>
      <c r="EA154">
        <v>3.1025</v>
      </c>
      <c r="EB154">
        <v>24</v>
      </c>
      <c r="EC154">
        <v>20.5</v>
      </c>
      <c r="ED154">
        <v>21</v>
      </c>
      <c r="EE154">
        <v>-1.1625000000000001</v>
      </c>
      <c r="EF154">
        <v>30</v>
      </c>
      <c r="EG154">
        <v>-4.0625</v>
      </c>
      <c r="EH154">
        <v>20</v>
      </c>
      <c r="EI154">
        <v>-10.9375</v>
      </c>
      <c r="EJ154">
        <v>11</v>
      </c>
      <c r="EK154">
        <v>0.4375</v>
      </c>
      <c r="EL154">
        <v>21</v>
      </c>
      <c r="EM154">
        <v>19.5</v>
      </c>
      <c r="EN154">
        <v>18</v>
      </c>
      <c r="EO154">
        <v>-0.65625000000000044</v>
      </c>
      <c r="EP154">
        <v>30</v>
      </c>
      <c r="EQ154">
        <v>-3.3125</v>
      </c>
      <c r="ER154">
        <v>19</v>
      </c>
      <c r="ES154">
        <v>-4.9375</v>
      </c>
      <c r="ET154">
        <v>11</v>
      </c>
      <c r="EU154">
        <v>0.25</v>
      </c>
      <c r="EV154">
        <v>24</v>
      </c>
      <c r="EW154">
        <v>22.666666666666668</v>
      </c>
      <c r="EX154">
        <v>21</v>
      </c>
      <c r="EY154">
        <v>-0.50624999999999964</v>
      </c>
      <c r="EZ154">
        <v>22</v>
      </c>
      <c r="FA154">
        <v>-0.75</v>
      </c>
      <c r="FB154">
        <v>25</v>
      </c>
      <c r="FC154">
        <v>-6</v>
      </c>
      <c r="FD154">
        <v>10</v>
      </c>
      <c r="FE154">
        <v>0.1875</v>
      </c>
      <c r="FF154">
        <v>3</v>
      </c>
      <c r="FG154">
        <v>4</v>
      </c>
      <c r="FH154">
        <v>5</v>
      </c>
      <c r="FI154">
        <v>7.8999999999999986</v>
      </c>
      <c r="FJ154">
        <v>5</v>
      </c>
      <c r="FK154">
        <v>25.4375</v>
      </c>
      <c r="FL154">
        <v>2</v>
      </c>
      <c r="FM154">
        <v>3.875</v>
      </c>
      <c r="FN154">
        <v>3</v>
      </c>
      <c r="FO154">
        <v>5</v>
      </c>
      <c r="FP154">
        <v>6</v>
      </c>
      <c r="FQ154">
        <v>3.4437500000000001</v>
      </c>
      <c r="FR154">
        <v>6</v>
      </c>
      <c r="FS154">
        <v>9.8125</v>
      </c>
      <c r="FT154">
        <v>3</v>
      </c>
      <c r="FU154">
        <v>1.5625</v>
      </c>
      <c r="FV154">
        <v>4</v>
      </c>
      <c r="FW154">
        <v>5.666666666666667</v>
      </c>
      <c r="FX154">
        <v>6</v>
      </c>
      <c r="FY154">
        <v>4.1749999999999989</v>
      </c>
      <c r="FZ154">
        <v>7</v>
      </c>
      <c r="GA154">
        <v>11.5625</v>
      </c>
      <c r="GB154">
        <v>4</v>
      </c>
      <c r="GC154">
        <v>1.3125</v>
      </c>
      <c r="GD154">
        <v>8</v>
      </c>
      <c r="GE154">
        <v>9.6666666666666661</v>
      </c>
      <c r="GF154">
        <v>14</v>
      </c>
      <c r="GG154">
        <v>0.28124999999999989</v>
      </c>
      <c r="GH154">
        <v>9</v>
      </c>
      <c r="GI154">
        <v>4.0625</v>
      </c>
      <c r="GJ154">
        <v>6</v>
      </c>
      <c r="GK154">
        <v>1</v>
      </c>
      <c r="GL154">
        <v>3</v>
      </c>
      <c r="GM154">
        <v>3</v>
      </c>
      <c r="GN154">
        <v>3</v>
      </c>
      <c r="GO154">
        <v>7.606250000000002</v>
      </c>
      <c r="GP154">
        <v>3</v>
      </c>
      <c r="GQ154">
        <v>41.0625</v>
      </c>
      <c r="GR154">
        <v>3</v>
      </c>
      <c r="GS154">
        <v>3.5625</v>
      </c>
      <c r="GT154">
        <v>3</v>
      </c>
      <c r="GU154">
        <v>3</v>
      </c>
      <c r="GV154">
        <v>5</v>
      </c>
      <c r="GW154">
        <v>4.9625000000000004</v>
      </c>
      <c r="GX154">
        <v>1</v>
      </c>
      <c r="GY154">
        <v>32.125</v>
      </c>
      <c r="GZ154">
        <v>3</v>
      </c>
      <c r="HA154">
        <v>2</v>
      </c>
      <c r="HB154">
        <v>16</v>
      </c>
      <c r="HC154">
        <v>16.5</v>
      </c>
      <c r="HD154">
        <v>17</v>
      </c>
      <c r="HE154">
        <v>-0.25</v>
      </c>
      <c r="HF154">
        <v>16</v>
      </c>
      <c r="HG154">
        <v>-0.125</v>
      </c>
      <c r="HH154">
        <v>-1.1875</v>
      </c>
      <c r="HI154">
        <v>14</v>
      </c>
      <c r="HJ154">
        <v>15.75</v>
      </c>
      <c r="HK154">
        <v>16</v>
      </c>
      <c r="HL154">
        <v>-1.975995163425795E-3</v>
      </c>
      <c r="HM154">
        <v>8</v>
      </c>
      <c r="HN154">
        <v>9.9940355919823174E-3</v>
      </c>
      <c r="HO154">
        <v>17</v>
      </c>
      <c r="HP154">
        <v>3.9502164502164261E-3</v>
      </c>
      <c r="HQ154">
        <v>22</v>
      </c>
      <c r="HR154">
        <v>-1.125</v>
      </c>
      <c r="HS154">
        <v>-3.625</v>
      </c>
      <c r="HT154">
        <v>2</v>
      </c>
      <c r="HU154">
        <v>-0.4375</v>
      </c>
      <c r="HV154">
        <v>31.6875</v>
      </c>
      <c r="HW154">
        <v>46.25</v>
      </c>
      <c r="HX154">
        <v>-5.5625</v>
      </c>
      <c r="HY154">
        <v>-1.125</v>
      </c>
      <c r="HZ154">
        <v>-7.875</v>
      </c>
      <c r="IA154">
        <v>11</v>
      </c>
      <c r="IB154">
        <v>4.2650000000000006</v>
      </c>
      <c r="IC154">
        <v>3.7742500000000003</v>
      </c>
      <c r="ID154">
        <v>51.8125</v>
      </c>
      <c r="IE154">
        <v>22</v>
      </c>
      <c r="IF154">
        <v>1.8190625</v>
      </c>
      <c r="IG154">
        <v>5.875</v>
      </c>
    </row>
    <row r="155" spans="1:241" x14ac:dyDescent="0.2">
      <c r="A155" s="19">
        <v>44115</v>
      </c>
      <c r="B155" s="13" t="s">
        <v>381</v>
      </c>
      <c r="C155" s="41" t="s">
        <v>306</v>
      </c>
      <c r="D155" s="14" t="s">
        <v>304</v>
      </c>
      <c r="E155">
        <v>5.6</v>
      </c>
      <c r="F155">
        <v>0.8</v>
      </c>
      <c r="G155">
        <v>1.3</v>
      </c>
      <c r="H155">
        <v>1.4</v>
      </c>
      <c r="I155">
        <v>7</v>
      </c>
      <c r="J155">
        <v>45</v>
      </c>
      <c r="K155" t="s">
        <v>735</v>
      </c>
      <c r="L155" t="s">
        <v>306</v>
      </c>
      <c r="M155">
        <v>31</v>
      </c>
      <c r="N155">
        <v>-7.07</v>
      </c>
      <c r="O155">
        <v>17</v>
      </c>
      <c r="P155">
        <v>16.75</v>
      </c>
      <c r="Q155">
        <v>15</v>
      </c>
      <c r="R155">
        <v>0.37499999999999845</v>
      </c>
      <c r="S155">
        <v>16</v>
      </c>
      <c r="T155">
        <v>-0.125</v>
      </c>
      <c r="U155">
        <v>17</v>
      </c>
      <c r="V155">
        <v>-4.875</v>
      </c>
      <c r="W155">
        <v>19</v>
      </c>
      <c r="X155">
        <v>-0.375</v>
      </c>
      <c r="Y155">
        <v>23</v>
      </c>
      <c r="Z155">
        <v>22</v>
      </c>
      <c r="AA155">
        <v>15</v>
      </c>
      <c r="AB155">
        <v>0.91249999999999876</v>
      </c>
      <c r="AC155">
        <v>20</v>
      </c>
      <c r="AD155">
        <v>-1.1875</v>
      </c>
      <c r="AE155">
        <v>24</v>
      </c>
      <c r="AF155">
        <v>-9.3125</v>
      </c>
      <c r="AG155">
        <v>27</v>
      </c>
      <c r="AH155">
        <v>-1.25</v>
      </c>
      <c r="AI155">
        <v>6</v>
      </c>
      <c r="AJ155">
        <v>11</v>
      </c>
      <c r="AK155">
        <v>19</v>
      </c>
      <c r="AL155">
        <v>-0.53750000000000031</v>
      </c>
      <c r="AM155">
        <v>9</v>
      </c>
      <c r="AN155">
        <v>1.0625</v>
      </c>
      <c r="AO155">
        <v>7</v>
      </c>
      <c r="AP155">
        <v>4.4375</v>
      </c>
      <c r="AQ155">
        <v>7</v>
      </c>
      <c r="AR155">
        <v>0.875</v>
      </c>
      <c r="AS155">
        <v>16</v>
      </c>
      <c r="AT155">
        <v>14.333333333333334</v>
      </c>
      <c r="AU155">
        <v>15</v>
      </c>
      <c r="AV155">
        <v>0.3062499999999988</v>
      </c>
      <c r="AW155">
        <v>14</v>
      </c>
      <c r="AX155">
        <v>4.625</v>
      </c>
      <c r="AY155">
        <v>14</v>
      </c>
      <c r="AZ155">
        <v>0.5625</v>
      </c>
      <c r="BA155">
        <v>5</v>
      </c>
      <c r="BB155">
        <v>6.333333333333333</v>
      </c>
      <c r="BC155">
        <v>11</v>
      </c>
      <c r="BD155">
        <v>2.4062499999999987</v>
      </c>
      <c r="BE155">
        <v>2</v>
      </c>
      <c r="BF155">
        <v>25.4375</v>
      </c>
      <c r="BG155">
        <v>6</v>
      </c>
      <c r="BH155">
        <v>1.5625</v>
      </c>
      <c r="BI155">
        <v>23</v>
      </c>
      <c r="BJ155">
        <v>22.666666666666668</v>
      </c>
      <c r="BK155">
        <v>17</v>
      </c>
      <c r="BL155">
        <v>-1.1249999999999998</v>
      </c>
      <c r="BM155">
        <v>22</v>
      </c>
      <c r="BN155">
        <v>-9.875</v>
      </c>
      <c r="BO155">
        <v>29</v>
      </c>
      <c r="BP155">
        <v>-1.1875</v>
      </c>
      <c r="BQ155">
        <v>21</v>
      </c>
      <c r="BR155">
        <v>21</v>
      </c>
      <c r="BS155">
        <v>19</v>
      </c>
      <c r="BT155">
        <v>-0.97500000000000009</v>
      </c>
      <c r="BU155">
        <v>28</v>
      </c>
      <c r="BV155">
        <v>-10.9375</v>
      </c>
      <c r="BW155">
        <v>16</v>
      </c>
      <c r="BX155">
        <v>0.1875</v>
      </c>
      <c r="BY155">
        <v>25</v>
      </c>
      <c r="BZ155">
        <v>23.666666666666668</v>
      </c>
      <c r="CA155">
        <v>27</v>
      </c>
      <c r="CB155">
        <v>-5.21875</v>
      </c>
      <c r="CC155">
        <v>27</v>
      </c>
      <c r="CD155">
        <v>-21.5625</v>
      </c>
      <c r="CE155">
        <v>17</v>
      </c>
      <c r="CF155">
        <v>-0.1875</v>
      </c>
      <c r="CG155">
        <v>29</v>
      </c>
      <c r="CH155">
        <v>26.333333333333332</v>
      </c>
      <c r="CI155">
        <v>32</v>
      </c>
      <c r="CJ155">
        <v>-7.4375</v>
      </c>
      <c r="CK155">
        <v>32</v>
      </c>
      <c r="CL155">
        <v>-27.6875</v>
      </c>
      <c r="CM155">
        <v>15</v>
      </c>
      <c r="CN155">
        <v>-6.25E-2</v>
      </c>
      <c r="CO155">
        <v>30</v>
      </c>
      <c r="CP155">
        <v>28.5</v>
      </c>
      <c r="CQ155">
        <v>32</v>
      </c>
      <c r="CR155">
        <v>-2.8125</v>
      </c>
      <c r="CS155">
        <v>25</v>
      </c>
      <c r="CT155">
        <v>-0.3125</v>
      </c>
      <c r="CU155">
        <v>1.0625</v>
      </c>
      <c r="CV155">
        <v>7</v>
      </c>
      <c r="CW155">
        <v>10.5</v>
      </c>
      <c r="CX155">
        <v>23</v>
      </c>
      <c r="CY155">
        <v>-3.195786002835705E-2</v>
      </c>
      <c r="CZ155">
        <v>9</v>
      </c>
      <c r="DA155">
        <v>1.2021488095549083E-2</v>
      </c>
      <c r="DB155">
        <v>1</v>
      </c>
      <c r="DC155">
        <v>-0.25308614996114998</v>
      </c>
      <c r="DD155">
        <v>9</v>
      </c>
      <c r="DE155">
        <v>0.75</v>
      </c>
      <c r="DF155">
        <v>-2.375</v>
      </c>
      <c r="DG155">
        <v>-5.125</v>
      </c>
      <c r="DH155">
        <v>0</v>
      </c>
      <c r="DI155">
        <v>-66.375</v>
      </c>
      <c r="DJ155">
        <v>-53.5625</v>
      </c>
      <c r="DK155">
        <v>-7.875</v>
      </c>
      <c r="DL155">
        <v>0.125</v>
      </c>
      <c r="DM155">
        <v>-5.0625</v>
      </c>
      <c r="DN155">
        <v>27</v>
      </c>
      <c r="DO155">
        <v>-7.4449999999999985</v>
      </c>
      <c r="DP155">
        <v>-3.0277499999999993</v>
      </c>
      <c r="DQ155">
        <v>-45.6875</v>
      </c>
      <c r="DR155">
        <v>6</v>
      </c>
      <c r="DS155">
        <v>-2.0798437500000002</v>
      </c>
      <c r="DT155">
        <v>0.5</v>
      </c>
      <c r="DU155">
        <v>-0.49812499999999993</v>
      </c>
      <c r="DV155">
        <v>0.17921875000000004</v>
      </c>
      <c r="DW155" t="s">
        <v>304</v>
      </c>
      <c r="DX155" t="s">
        <v>251</v>
      </c>
      <c r="DY155" t="s">
        <v>456</v>
      </c>
      <c r="DZ155">
        <v>29</v>
      </c>
      <c r="EA155">
        <v>-4.8849999999999998</v>
      </c>
      <c r="EB155">
        <v>4</v>
      </c>
      <c r="EC155">
        <v>8.5</v>
      </c>
      <c r="ED155">
        <v>4</v>
      </c>
      <c r="EE155">
        <v>4.9249999999999998</v>
      </c>
      <c r="EF155">
        <v>4</v>
      </c>
      <c r="EG155">
        <v>3.1875</v>
      </c>
      <c r="EH155">
        <v>4</v>
      </c>
      <c r="EI155">
        <v>31.625</v>
      </c>
      <c r="EJ155">
        <v>22</v>
      </c>
      <c r="EK155">
        <v>-0.625</v>
      </c>
      <c r="EL155">
        <v>7</v>
      </c>
      <c r="EM155">
        <v>9.75</v>
      </c>
      <c r="EN155">
        <v>5</v>
      </c>
      <c r="EO155">
        <v>4.0125000000000002</v>
      </c>
      <c r="EP155">
        <v>4</v>
      </c>
      <c r="EQ155">
        <v>2.9375</v>
      </c>
      <c r="ER155">
        <v>4</v>
      </c>
      <c r="ES155">
        <v>22.8125</v>
      </c>
      <c r="ET155">
        <v>26</v>
      </c>
      <c r="EU155">
        <v>-0.8125</v>
      </c>
      <c r="EV155">
        <v>7</v>
      </c>
      <c r="EW155">
        <v>9.6666666666666661</v>
      </c>
      <c r="EX155">
        <v>10</v>
      </c>
      <c r="EY155">
        <v>0.91249999999999998</v>
      </c>
      <c r="EZ155">
        <v>14</v>
      </c>
      <c r="FA155">
        <v>0.25</v>
      </c>
      <c r="FB155">
        <v>5</v>
      </c>
      <c r="FC155">
        <v>8.8125</v>
      </c>
      <c r="FD155">
        <v>10</v>
      </c>
      <c r="FE155">
        <v>0.1875</v>
      </c>
      <c r="FF155">
        <v>29</v>
      </c>
      <c r="FG155">
        <v>28.333333333333332</v>
      </c>
      <c r="FH155">
        <v>32</v>
      </c>
      <c r="FI155">
        <v>-7.9062499999999982</v>
      </c>
      <c r="FJ155">
        <v>28</v>
      </c>
      <c r="FK155">
        <v>-24.0625</v>
      </c>
      <c r="FL155">
        <v>25</v>
      </c>
      <c r="FM155">
        <v>-1.6875</v>
      </c>
      <c r="FN155">
        <v>29</v>
      </c>
      <c r="FO155">
        <v>27</v>
      </c>
      <c r="FP155">
        <v>30</v>
      </c>
      <c r="FQ155">
        <v>-4.0624999999999982</v>
      </c>
      <c r="FR155">
        <v>30</v>
      </c>
      <c r="FS155">
        <v>-17.25</v>
      </c>
      <c r="FT155">
        <v>21</v>
      </c>
      <c r="FU155">
        <v>-0.3125</v>
      </c>
      <c r="FV155">
        <v>24</v>
      </c>
      <c r="FW155">
        <v>22.333333333333332</v>
      </c>
      <c r="FX155">
        <v>24</v>
      </c>
      <c r="FY155">
        <v>-2.4625000000000004</v>
      </c>
      <c r="FZ155">
        <v>23</v>
      </c>
      <c r="GA155">
        <v>-6.4375</v>
      </c>
      <c r="GB155">
        <v>20</v>
      </c>
      <c r="GC155">
        <v>-0.5625</v>
      </c>
      <c r="GD155">
        <v>24</v>
      </c>
      <c r="GE155">
        <v>21.333333333333332</v>
      </c>
      <c r="GF155">
        <v>24</v>
      </c>
      <c r="GG155">
        <v>-1.3812499999999996</v>
      </c>
      <c r="GH155">
        <v>16</v>
      </c>
      <c r="GI155">
        <v>-0.375</v>
      </c>
      <c r="GJ155">
        <v>24</v>
      </c>
      <c r="GK155">
        <v>-0.8125</v>
      </c>
      <c r="GL155">
        <v>30</v>
      </c>
      <c r="GM155">
        <v>28</v>
      </c>
      <c r="GN155">
        <v>32</v>
      </c>
      <c r="GO155">
        <v>-5.9187500000000002</v>
      </c>
      <c r="GP155">
        <v>23</v>
      </c>
      <c r="GQ155">
        <v>-12.3125</v>
      </c>
      <c r="GR155">
        <v>29</v>
      </c>
      <c r="GS155">
        <v>-1.8125</v>
      </c>
      <c r="GT155">
        <v>22</v>
      </c>
      <c r="GU155">
        <v>20</v>
      </c>
      <c r="GV155">
        <v>15</v>
      </c>
      <c r="GW155">
        <v>-0.72500000000000053</v>
      </c>
      <c r="GX155">
        <v>29</v>
      </c>
      <c r="GY155">
        <v>-15.75</v>
      </c>
      <c r="GZ155">
        <v>16</v>
      </c>
      <c r="HA155">
        <v>6.25E-2</v>
      </c>
      <c r="HB155">
        <v>18</v>
      </c>
      <c r="HC155">
        <v>18</v>
      </c>
      <c r="HD155">
        <v>20</v>
      </c>
      <c r="HE155">
        <v>-0.8125</v>
      </c>
      <c r="HF155">
        <v>16</v>
      </c>
      <c r="HG155">
        <v>-0.125</v>
      </c>
      <c r="HH155">
        <v>-0.5</v>
      </c>
      <c r="HI155">
        <v>7</v>
      </c>
      <c r="HJ155">
        <v>10.5</v>
      </c>
      <c r="HK155">
        <v>7</v>
      </c>
      <c r="HL155">
        <v>2.4663960574049022E-2</v>
      </c>
      <c r="HM155">
        <v>9</v>
      </c>
      <c r="HN155">
        <v>9.8201393063512242E-3</v>
      </c>
      <c r="HO155">
        <v>11</v>
      </c>
      <c r="HP155">
        <v>-4.6671037296037277E-2</v>
      </c>
      <c r="HQ155">
        <v>15</v>
      </c>
      <c r="HR155">
        <v>-0.5625</v>
      </c>
      <c r="HS155">
        <v>-2.5</v>
      </c>
      <c r="HT155">
        <v>-3.3125</v>
      </c>
      <c r="HU155">
        <v>-0.4375</v>
      </c>
      <c r="HV155">
        <v>-19.875</v>
      </c>
      <c r="HW155">
        <v>-49.9375</v>
      </c>
      <c r="HX155">
        <v>34.9375</v>
      </c>
      <c r="HY155">
        <v>0</v>
      </c>
      <c r="HZ155">
        <v>-4.875</v>
      </c>
      <c r="IA155">
        <v>30</v>
      </c>
      <c r="IB155">
        <v>-9.8099999999999987</v>
      </c>
      <c r="IC155">
        <v>-5.1657499999999992</v>
      </c>
      <c r="ID155">
        <v>-84.875</v>
      </c>
      <c r="IE155">
        <v>3</v>
      </c>
      <c r="IF155">
        <v>-1.1754687499999998</v>
      </c>
      <c r="IG155">
        <v>-1.625</v>
      </c>
    </row>
    <row r="156" spans="1:241" x14ac:dyDescent="0.2">
      <c r="A156" s="19">
        <v>44122</v>
      </c>
      <c r="B156" s="13" t="s">
        <v>252</v>
      </c>
      <c r="C156" s="41" t="s">
        <v>285</v>
      </c>
      <c r="D156" s="14" t="s">
        <v>291</v>
      </c>
      <c r="E156">
        <v>9.3000000000000007</v>
      </c>
      <c r="F156">
        <v>22.6</v>
      </c>
      <c r="G156">
        <v>5.2</v>
      </c>
      <c r="H156">
        <v>1.1000000000000001</v>
      </c>
      <c r="I156">
        <v>0</v>
      </c>
      <c r="J156">
        <v>55</v>
      </c>
      <c r="L156" t="s">
        <v>285</v>
      </c>
      <c r="M156">
        <v>4</v>
      </c>
      <c r="N156">
        <v>7.9372000000000016</v>
      </c>
      <c r="O156">
        <v>25</v>
      </c>
      <c r="P156">
        <v>21.5</v>
      </c>
      <c r="Q156">
        <v>26</v>
      </c>
      <c r="R156">
        <v>-4.7290000000000019</v>
      </c>
      <c r="S156">
        <v>17</v>
      </c>
      <c r="T156">
        <v>-0.80000000000000027</v>
      </c>
      <c r="U156">
        <v>25</v>
      </c>
      <c r="V156">
        <v>-17.009999999999998</v>
      </c>
      <c r="W156">
        <v>18</v>
      </c>
      <c r="X156">
        <v>-0.14000000000000012</v>
      </c>
      <c r="Y156">
        <v>30</v>
      </c>
      <c r="Z156">
        <v>27.666666666666668</v>
      </c>
      <c r="AA156">
        <v>31</v>
      </c>
      <c r="AB156">
        <v>-7.9560000000000013</v>
      </c>
      <c r="AC156">
        <v>8</v>
      </c>
      <c r="AD156">
        <v>2.2000000000000002</v>
      </c>
      <c r="AE156">
        <v>21</v>
      </c>
      <c r="AF156">
        <v>-8.0400000000000009</v>
      </c>
      <c r="AG156">
        <v>31</v>
      </c>
      <c r="AH156">
        <v>-2.2799999999999998</v>
      </c>
      <c r="AI156">
        <v>7</v>
      </c>
      <c r="AJ156">
        <v>10</v>
      </c>
      <c r="AK156">
        <v>3</v>
      </c>
      <c r="AL156">
        <v>3.2269999999999994</v>
      </c>
      <c r="AM156">
        <v>30</v>
      </c>
      <c r="AN156">
        <v>-3.0000000000000004</v>
      </c>
      <c r="AO156">
        <v>26</v>
      </c>
      <c r="AP156">
        <v>-8.9699999999999989</v>
      </c>
      <c r="AQ156">
        <v>1</v>
      </c>
      <c r="AR156">
        <v>2.1399999999999997</v>
      </c>
      <c r="AS156">
        <v>4</v>
      </c>
      <c r="AT156">
        <v>4.666666666666667</v>
      </c>
      <c r="AU156">
        <v>4</v>
      </c>
      <c r="AV156">
        <v>8.113999999999999</v>
      </c>
      <c r="AW156">
        <v>8</v>
      </c>
      <c r="AX156">
        <v>21.069999999999997</v>
      </c>
      <c r="AY156">
        <v>2</v>
      </c>
      <c r="AZ156">
        <v>4.17</v>
      </c>
      <c r="BA156">
        <v>2</v>
      </c>
      <c r="BB156">
        <v>2.6666666666666665</v>
      </c>
      <c r="BC156">
        <v>3</v>
      </c>
      <c r="BD156">
        <v>7.1210000000000004</v>
      </c>
      <c r="BE156">
        <v>2</v>
      </c>
      <c r="BF156">
        <v>28.9</v>
      </c>
      <c r="BG156">
        <v>3</v>
      </c>
      <c r="BH156">
        <v>2.8200000000000003</v>
      </c>
      <c r="BI156">
        <v>14</v>
      </c>
      <c r="BJ156">
        <v>16</v>
      </c>
      <c r="BK156">
        <v>11</v>
      </c>
      <c r="BL156">
        <v>1.0719999999999996</v>
      </c>
      <c r="BM156">
        <v>20</v>
      </c>
      <c r="BN156">
        <v>-7.2800000000000011</v>
      </c>
      <c r="BO156">
        <v>17</v>
      </c>
      <c r="BP156">
        <v>6.0000000000000053E-2</v>
      </c>
      <c r="BQ156">
        <v>11</v>
      </c>
      <c r="BR156">
        <v>12.333333333333334</v>
      </c>
      <c r="BS156">
        <v>15</v>
      </c>
      <c r="BT156">
        <v>-7.9000000000000181E-2</v>
      </c>
      <c r="BU156">
        <v>17</v>
      </c>
      <c r="BV156">
        <v>-0.55000000000000004</v>
      </c>
      <c r="BW156">
        <v>5</v>
      </c>
      <c r="BX156">
        <v>1.2899999999999998</v>
      </c>
      <c r="BY156">
        <v>13</v>
      </c>
      <c r="BZ156">
        <v>15.333333333333334</v>
      </c>
      <c r="CA156">
        <v>16</v>
      </c>
      <c r="CB156">
        <v>-0.44400000000000117</v>
      </c>
      <c r="CC156">
        <v>20</v>
      </c>
      <c r="CD156">
        <v>-8.639999999999997</v>
      </c>
      <c r="CE156">
        <v>10</v>
      </c>
      <c r="CF156">
        <v>0.95</v>
      </c>
      <c r="CG156">
        <v>29</v>
      </c>
      <c r="CH156">
        <v>26.666666666666668</v>
      </c>
      <c r="CI156">
        <v>27</v>
      </c>
      <c r="CJ156">
        <v>-4.1219999999999999</v>
      </c>
      <c r="CK156">
        <v>25</v>
      </c>
      <c r="CL156">
        <v>-9.5599999999999987</v>
      </c>
      <c r="CM156">
        <v>28</v>
      </c>
      <c r="CN156">
        <v>-1.69</v>
      </c>
      <c r="CO156">
        <v>25</v>
      </c>
      <c r="CP156">
        <v>23.5</v>
      </c>
      <c r="CQ156">
        <v>26</v>
      </c>
      <c r="CR156">
        <v>-1.4000000000000004</v>
      </c>
      <c r="CS156">
        <v>21</v>
      </c>
      <c r="CT156">
        <v>-0.16999999999999998</v>
      </c>
      <c r="CU156">
        <v>-1.8700000000000003</v>
      </c>
      <c r="CV156">
        <v>19</v>
      </c>
      <c r="CW156">
        <v>19.25</v>
      </c>
      <c r="CX156">
        <v>26</v>
      </c>
      <c r="CY156">
        <v>-5.6440238710977454E-2</v>
      </c>
      <c r="CZ156">
        <v>23</v>
      </c>
      <c r="DA156">
        <v>-1.0302115530627131E-2</v>
      </c>
      <c r="DB156">
        <v>12</v>
      </c>
      <c r="DC156">
        <v>-2.3955479161361516E-2</v>
      </c>
      <c r="DD156">
        <v>16</v>
      </c>
      <c r="DE156">
        <v>6.9999999999999923E-2</v>
      </c>
      <c r="DF156">
        <v>3.0099999999999993</v>
      </c>
      <c r="DG156">
        <v>-0.87999999999999967</v>
      </c>
      <c r="DH156">
        <v>-1.27</v>
      </c>
      <c r="DI156">
        <v>22.930000000000007</v>
      </c>
      <c r="DJ156">
        <v>15.5</v>
      </c>
      <c r="DK156">
        <v>-25.38</v>
      </c>
      <c r="DL156">
        <v>-2.58</v>
      </c>
      <c r="DM156">
        <v>35.39</v>
      </c>
      <c r="DN156">
        <v>2</v>
      </c>
      <c r="DO156">
        <v>12.666200000000003</v>
      </c>
      <c r="DP156">
        <v>4.7503400000000013</v>
      </c>
      <c r="DQ156">
        <v>40.879999999999995</v>
      </c>
      <c r="DR156">
        <v>31</v>
      </c>
      <c r="DS156">
        <v>0.72502499999999981</v>
      </c>
      <c r="DT156">
        <v>2.48</v>
      </c>
      <c r="DU156">
        <v>0.87009999999999965</v>
      </c>
      <c r="DV156">
        <v>-7.0200000000000179E-2</v>
      </c>
      <c r="DW156" t="s">
        <v>291</v>
      </c>
      <c r="DX156" t="s">
        <v>282</v>
      </c>
      <c r="DY156" t="s">
        <v>453</v>
      </c>
      <c r="DZ156">
        <v>12</v>
      </c>
      <c r="EA156">
        <v>1.679199999999998</v>
      </c>
      <c r="EB156">
        <v>16</v>
      </c>
      <c r="EC156">
        <v>17.75</v>
      </c>
      <c r="ED156">
        <v>24</v>
      </c>
      <c r="EE156">
        <v>-3.3239999999999998</v>
      </c>
      <c r="EF156">
        <v>5</v>
      </c>
      <c r="EG156">
        <v>3.04</v>
      </c>
      <c r="EH156">
        <v>12</v>
      </c>
      <c r="EI156">
        <v>8.120000000000001</v>
      </c>
      <c r="EJ156">
        <v>30</v>
      </c>
      <c r="EK156">
        <v>-1.7999999999999998</v>
      </c>
      <c r="EL156">
        <v>19</v>
      </c>
      <c r="EM156">
        <v>18.5</v>
      </c>
      <c r="EN156">
        <v>23</v>
      </c>
      <c r="EO156">
        <v>-1.9999999999999996</v>
      </c>
      <c r="EP156">
        <v>4</v>
      </c>
      <c r="EQ156">
        <v>2.2000000000000002</v>
      </c>
      <c r="ER156">
        <v>15</v>
      </c>
      <c r="ES156">
        <v>4.3200000000000021</v>
      </c>
      <c r="ET156">
        <v>32</v>
      </c>
      <c r="EU156">
        <v>-1.4799999999999998</v>
      </c>
      <c r="EV156">
        <v>12</v>
      </c>
      <c r="EW156">
        <v>14.666666666666666</v>
      </c>
      <c r="EX156">
        <v>26</v>
      </c>
      <c r="EY156">
        <v>-1.3240000000000003</v>
      </c>
      <c r="EZ156">
        <v>9</v>
      </c>
      <c r="FA156">
        <v>0.84000000000000008</v>
      </c>
      <c r="FB156">
        <v>9</v>
      </c>
      <c r="FC156">
        <v>3.7999999999999994</v>
      </c>
      <c r="FD156">
        <v>24</v>
      </c>
      <c r="FE156">
        <v>-0.31999999999999995</v>
      </c>
      <c r="FF156">
        <v>6</v>
      </c>
      <c r="FG156">
        <v>7</v>
      </c>
      <c r="FH156">
        <v>3</v>
      </c>
      <c r="FI156">
        <v>9.5999999999999979</v>
      </c>
      <c r="FJ156">
        <v>7</v>
      </c>
      <c r="FK156">
        <v>6.3200000000000038</v>
      </c>
      <c r="FL156">
        <v>11</v>
      </c>
      <c r="FM156">
        <v>0.48000000000000043</v>
      </c>
      <c r="FN156">
        <v>2</v>
      </c>
      <c r="FO156">
        <v>3.3333333333333335</v>
      </c>
      <c r="FP156">
        <v>1</v>
      </c>
      <c r="FQ156">
        <v>8.9591999999999992</v>
      </c>
      <c r="FR156">
        <v>4</v>
      </c>
      <c r="FS156">
        <v>17.440000000000001</v>
      </c>
      <c r="FT156">
        <v>5</v>
      </c>
      <c r="FU156">
        <v>1.1600000000000004</v>
      </c>
      <c r="FV156">
        <v>10</v>
      </c>
      <c r="FW156">
        <v>11.333333333333334</v>
      </c>
      <c r="FX156">
        <v>8</v>
      </c>
      <c r="FY156">
        <v>2.988799999999999</v>
      </c>
      <c r="FZ156">
        <v>11</v>
      </c>
      <c r="GA156">
        <v>5.3600000000000012</v>
      </c>
      <c r="GB156">
        <v>15</v>
      </c>
      <c r="GC156">
        <v>0.12000000000000011</v>
      </c>
      <c r="GD156">
        <v>30</v>
      </c>
      <c r="GE156">
        <v>28.666666666666668</v>
      </c>
      <c r="GF156">
        <v>30</v>
      </c>
      <c r="GG156">
        <v>-2.3479999999999999</v>
      </c>
      <c r="GH156">
        <v>30</v>
      </c>
      <c r="GI156">
        <v>-16.48</v>
      </c>
      <c r="GJ156">
        <v>26</v>
      </c>
      <c r="GK156">
        <v>-0.8</v>
      </c>
      <c r="GL156">
        <v>16</v>
      </c>
      <c r="GM156">
        <v>17.333333333333332</v>
      </c>
      <c r="GN156">
        <v>18</v>
      </c>
      <c r="GO156">
        <v>-1.2759999999999998</v>
      </c>
      <c r="GP156">
        <v>18</v>
      </c>
      <c r="GQ156">
        <v>-2.7600000000000007</v>
      </c>
      <c r="GR156">
        <v>16</v>
      </c>
      <c r="GS156">
        <v>-0.39999999999999963</v>
      </c>
      <c r="GT156">
        <v>6</v>
      </c>
      <c r="GU156">
        <v>8</v>
      </c>
      <c r="GV156">
        <v>8</v>
      </c>
      <c r="GW156">
        <v>2.6479999999999997</v>
      </c>
      <c r="GX156">
        <v>6</v>
      </c>
      <c r="GY156">
        <v>9.0400000000000009</v>
      </c>
      <c r="GZ156">
        <v>10</v>
      </c>
      <c r="HA156">
        <v>0.36000000000000015</v>
      </c>
      <c r="HB156">
        <v>3</v>
      </c>
      <c r="HC156">
        <v>3.5</v>
      </c>
      <c r="HD156">
        <v>2</v>
      </c>
      <c r="HE156">
        <v>3.88</v>
      </c>
      <c r="HF156">
        <v>5</v>
      </c>
      <c r="HG156">
        <v>0.84000000000000008</v>
      </c>
      <c r="HH156">
        <v>1.2</v>
      </c>
      <c r="HI156">
        <v>28</v>
      </c>
      <c r="HJ156">
        <v>21.5</v>
      </c>
      <c r="HK156">
        <v>11</v>
      </c>
      <c r="HL156">
        <v>8.50109740861138E-3</v>
      </c>
      <c r="HM156">
        <v>19</v>
      </c>
      <c r="HN156">
        <v>-5.5448948862590929E-3</v>
      </c>
      <c r="HO156">
        <v>24</v>
      </c>
      <c r="HP156">
        <v>5.2126984126984154E-2</v>
      </c>
      <c r="HQ156">
        <v>32</v>
      </c>
      <c r="HR156">
        <v>-3</v>
      </c>
      <c r="HS156">
        <v>5.3200000000000021</v>
      </c>
      <c r="HT156">
        <v>8.360000000000003</v>
      </c>
      <c r="HU156">
        <v>1.08</v>
      </c>
      <c r="HV156">
        <v>24.519999999999992</v>
      </c>
      <c r="HW156">
        <v>-7.3199999999999816</v>
      </c>
      <c r="HX156">
        <v>24.52</v>
      </c>
      <c r="HY156">
        <v>11.6</v>
      </c>
      <c r="HZ156">
        <v>-4.28</v>
      </c>
      <c r="IA156">
        <v>7</v>
      </c>
      <c r="IB156">
        <v>5.0031999999999979</v>
      </c>
      <c r="IC156">
        <v>4.4474399999999985</v>
      </c>
      <c r="ID156">
        <v>-31.839999999999982</v>
      </c>
      <c r="IE156">
        <v>26</v>
      </c>
      <c r="IF156">
        <v>1.8103999999999996</v>
      </c>
      <c r="IG156">
        <v>0.84000000000000052</v>
      </c>
    </row>
    <row r="157" spans="1:241" x14ac:dyDescent="0.2">
      <c r="A157" s="19">
        <v>44122</v>
      </c>
      <c r="B157" s="13" t="s">
        <v>252</v>
      </c>
      <c r="C157" s="41" t="s">
        <v>295</v>
      </c>
      <c r="D157" s="14" t="s">
        <v>312</v>
      </c>
      <c r="E157">
        <v>36.700000000000003</v>
      </c>
      <c r="F157">
        <v>18.899999999999999</v>
      </c>
      <c r="G157">
        <v>10.5</v>
      </c>
      <c r="H157">
        <v>15.7</v>
      </c>
      <c r="I157">
        <v>4</v>
      </c>
      <c r="J157">
        <v>53.5</v>
      </c>
      <c r="L157" t="s">
        <v>295</v>
      </c>
      <c r="M157">
        <v>20</v>
      </c>
      <c r="N157">
        <v>-1.3671999999999993</v>
      </c>
      <c r="O157">
        <v>21</v>
      </c>
      <c r="P157">
        <v>20</v>
      </c>
      <c r="Q157">
        <v>23</v>
      </c>
      <c r="R157">
        <v>-2.7900000000000005</v>
      </c>
      <c r="S157">
        <v>13</v>
      </c>
      <c r="T157">
        <v>0.41000000000000014</v>
      </c>
      <c r="U157">
        <v>14</v>
      </c>
      <c r="V157">
        <v>7.6399999999999988</v>
      </c>
      <c r="W157">
        <v>30</v>
      </c>
      <c r="X157">
        <v>-1.7100000000000002</v>
      </c>
      <c r="Y157">
        <v>21</v>
      </c>
      <c r="Z157">
        <v>20.666666666666668</v>
      </c>
      <c r="AA157">
        <v>22</v>
      </c>
      <c r="AB157">
        <v>-2.1560000000000006</v>
      </c>
      <c r="AC157">
        <v>9</v>
      </c>
      <c r="AD157">
        <v>2.06</v>
      </c>
      <c r="AE157">
        <v>10</v>
      </c>
      <c r="AF157">
        <v>12.069999999999999</v>
      </c>
      <c r="AG157">
        <v>30</v>
      </c>
      <c r="AH157">
        <v>-1.6600000000000001</v>
      </c>
      <c r="AI157">
        <v>15</v>
      </c>
      <c r="AJ157">
        <v>16.666666666666668</v>
      </c>
      <c r="AK157">
        <v>19</v>
      </c>
      <c r="AL157">
        <v>-0.63399999999999979</v>
      </c>
      <c r="AM157">
        <v>23</v>
      </c>
      <c r="AN157">
        <v>-1.65</v>
      </c>
      <c r="AO157">
        <v>17</v>
      </c>
      <c r="AP157">
        <v>-4.43</v>
      </c>
      <c r="AQ157">
        <v>14</v>
      </c>
      <c r="AR157">
        <v>-4.9999999999999954E-2</v>
      </c>
      <c r="AS157">
        <v>5</v>
      </c>
      <c r="AT157">
        <v>5.666666666666667</v>
      </c>
      <c r="AU157">
        <v>9</v>
      </c>
      <c r="AV157">
        <v>5.0617999999999999</v>
      </c>
      <c r="AW157">
        <v>4</v>
      </c>
      <c r="AX157">
        <v>30.209999999999997</v>
      </c>
      <c r="AY157">
        <v>4</v>
      </c>
      <c r="AZ157">
        <v>3.3100000000000005</v>
      </c>
      <c r="BA157">
        <v>17</v>
      </c>
      <c r="BB157">
        <v>18</v>
      </c>
      <c r="BC157">
        <v>26</v>
      </c>
      <c r="BD157">
        <v>-3.4350000000000001</v>
      </c>
      <c r="BE157">
        <v>9</v>
      </c>
      <c r="BF157">
        <v>8.870000000000001</v>
      </c>
      <c r="BG157">
        <v>19</v>
      </c>
      <c r="BH157">
        <v>-0.46999999999999992</v>
      </c>
      <c r="BI157">
        <v>6</v>
      </c>
      <c r="BJ157">
        <v>6.333333333333333</v>
      </c>
      <c r="BK157">
        <v>3</v>
      </c>
      <c r="BL157">
        <v>4.6077999999999992</v>
      </c>
      <c r="BM157">
        <v>10</v>
      </c>
      <c r="BN157">
        <v>7.67</v>
      </c>
      <c r="BO157">
        <v>6</v>
      </c>
      <c r="BP157">
        <v>1.0700000000000003</v>
      </c>
      <c r="BQ157">
        <v>2</v>
      </c>
      <c r="BR157">
        <v>2.6666666666666665</v>
      </c>
      <c r="BS157">
        <v>2</v>
      </c>
      <c r="BT157">
        <v>3.8890000000000002</v>
      </c>
      <c r="BU157">
        <v>5</v>
      </c>
      <c r="BV157">
        <v>13.669999999999998</v>
      </c>
      <c r="BW157">
        <v>1</v>
      </c>
      <c r="BX157">
        <v>2.71</v>
      </c>
      <c r="BY157">
        <v>19</v>
      </c>
      <c r="BZ157">
        <v>18.333333333333332</v>
      </c>
      <c r="CA157">
        <v>23</v>
      </c>
      <c r="CB157">
        <v>-2.7929999999999993</v>
      </c>
      <c r="CC157">
        <v>18</v>
      </c>
      <c r="CD157">
        <v>-6.330000000000001</v>
      </c>
      <c r="CE157">
        <v>14</v>
      </c>
      <c r="CF157">
        <v>0.26999999999999991</v>
      </c>
      <c r="CG157">
        <v>12</v>
      </c>
      <c r="CH157">
        <v>14.666666666666666</v>
      </c>
      <c r="CI157">
        <v>14</v>
      </c>
      <c r="CJ157">
        <v>0.24599999999999955</v>
      </c>
      <c r="CK157">
        <v>21</v>
      </c>
      <c r="CL157">
        <v>-3.9799999999999995</v>
      </c>
      <c r="CM157">
        <v>9</v>
      </c>
      <c r="CN157">
        <v>0.85</v>
      </c>
      <c r="CO157">
        <v>10</v>
      </c>
      <c r="CP157">
        <v>10</v>
      </c>
      <c r="CQ157">
        <v>11</v>
      </c>
      <c r="CR157">
        <v>0.68999999999999984</v>
      </c>
      <c r="CS157">
        <v>9</v>
      </c>
      <c r="CT157">
        <v>0.25999999999999995</v>
      </c>
      <c r="CU157">
        <v>-1.9799999999999998</v>
      </c>
      <c r="CV157">
        <v>12</v>
      </c>
      <c r="CW157">
        <v>14.25</v>
      </c>
      <c r="CX157">
        <v>11</v>
      </c>
      <c r="CY157">
        <v>1.3653761093792016E-2</v>
      </c>
      <c r="CZ157">
        <v>13</v>
      </c>
      <c r="DA157">
        <v>2.0789060004244506E-3</v>
      </c>
      <c r="DB157">
        <v>9</v>
      </c>
      <c r="DC157">
        <v>-3.9853747559629948E-2</v>
      </c>
      <c r="DD157">
        <v>24</v>
      </c>
      <c r="DE157">
        <v>-1.4500000000000002</v>
      </c>
      <c r="DF157">
        <v>2.4700000000000015</v>
      </c>
      <c r="DG157">
        <v>-1.3300000000000012</v>
      </c>
      <c r="DH157">
        <v>-0.64</v>
      </c>
      <c r="DI157">
        <v>13.25</v>
      </c>
      <c r="DJ157">
        <v>20.719999999999992</v>
      </c>
      <c r="DK157">
        <v>7.05</v>
      </c>
      <c r="DL157">
        <v>-4.26</v>
      </c>
      <c r="DM157">
        <v>-10.26</v>
      </c>
      <c r="DN157">
        <v>13</v>
      </c>
      <c r="DO157">
        <v>1.422800000000001</v>
      </c>
      <c r="DP157">
        <v>2.1831200000000002</v>
      </c>
      <c r="DQ157">
        <v>13.669999999999991</v>
      </c>
      <c r="DR157">
        <v>20</v>
      </c>
      <c r="DS157">
        <v>0.23007499999999986</v>
      </c>
      <c r="DT157">
        <v>4.16</v>
      </c>
      <c r="DU157">
        <v>1.6179375</v>
      </c>
      <c r="DV157">
        <v>2.1437499999999998</v>
      </c>
      <c r="DW157" t="s">
        <v>312</v>
      </c>
      <c r="DX157" t="s">
        <v>260</v>
      </c>
      <c r="DY157" t="s">
        <v>476</v>
      </c>
      <c r="DZ157">
        <v>19</v>
      </c>
      <c r="EA157">
        <v>-1.0620000000000012</v>
      </c>
      <c r="EB157">
        <v>9</v>
      </c>
      <c r="EC157">
        <v>12</v>
      </c>
      <c r="ED157">
        <v>15</v>
      </c>
      <c r="EE157">
        <v>-3.9999999999992264E-3</v>
      </c>
      <c r="EF157">
        <v>8</v>
      </c>
      <c r="EG157">
        <v>2.0700000000000003</v>
      </c>
      <c r="EH157">
        <v>11</v>
      </c>
      <c r="EI157">
        <v>10.420000000000002</v>
      </c>
      <c r="EJ157">
        <v>14</v>
      </c>
      <c r="EK157">
        <v>0.1</v>
      </c>
      <c r="EL157">
        <v>7</v>
      </c>
      <c r="EM157">
        <v>10.5</v>
      </c>
      <c r="EN157">
        <v>13</v>
      </c>
      <c r="EO157">
        <v>0.99500000000000066</v>
      </c>
      <c r="EP157">
        <v>5</v>
      </c>
      <c r="EQ157">
        <v>1.9400000000000002</v>
      </c>
      <c r="ER157">
        <v>13</v>
      </c>
      <c r="ES157">
        <v>6.9</v>
      </c>
      <c r="ET157">
        <v>11</v>
      </c>
      <c r="EU157">
        <v>0.31000000000000005</v>
      </c>
      <c r="EV157">
        <v>17</v>
      </c>
      <c r="EW157">
        <v>15.666666666666666</v>
      </c>
      <c r="EX157">
        <v>22</v>
      </c>
      <c r="EY157">
        <v>-0.99899999999999989</v>
      </c>
      <c r="EZ157">
        <v>15</v>
      </c>
      <c r="FA157">
        <v>0.12999999999999998</v>
      </c>
      <c r="FB157">
        <v>10</v>
      </c>
      <c r="FC157">
        <v>3.5200000000000005</v>
      </c>
      <c r="FD157">
        <v>20</v>
      </c>
      <c r="FE157">
        <v>-0.21000000000000005</v>
      </c>
      <c r="FF157">
        <v>5</v>
      </c>
      <c r="FG157">
        <v>4.666666666666667</v>
      </c>
      <c r="FH157">
        <v>4</v>
      </c>
      <c r="FI157">
        <v>8.7129999999999992</v>
      </c>
      <c r="FJ157">
        <v>5</v>
      </c>
      <c r="FK157">
        <v>22.419999999999998</v>
      </c>
      <c r="FL157">
        <v>5</v>
      </c>
      <c r="FM157">
        <v>2.04</v>
      </c>
      <c r="FN157">
        <v>6</v>
      </c>
      <c r="FO157">
        <v>8</v>
      </c>
      <c r="FP157">
        <v>8</v>
      </c>
      <c r="FQ157">
        <v>3.0100000000000002</v>
      </c>
      <c r="FR157">
        <v>6</v>
      </c>
      <c r="FS157">
        <v>10.799999999999997</v>
      </c>
      <c r="FT157">
        <v>10</v>
      </c>
      <c r="FU157">
        <v>0.7</v>
      </c>
      <c r="FV157">
        <v>9</v>
      </c>
      <c r="FW157">
        <v>10.666666666666666</v>
      </c>
      <c r="FX157">
        <v>3</v>
      </c>
      <c r="FY157">
        <v>4.0739999999999998</v>
      </c>
      <c r="FZ157">
        <v>8</v>
      </c>
      <c r="GA157">
        <v>8.35</v>
      </c>
      <c r="GB157">
        <v>21</v>
      </c>
      <c r="GC157">
        <v>-0.30999999999999994</v>
      </c>
      <c r="GD157">
        <v>4</v>
      </c>
      <c r="GE157">
        <v>5.666666666666667</v>
      </c>
      <c r="GF157">
        <v>5</v>
      </c>
      <c r="GG157">
        <v>1.629</v>
      </c>
      <c r="GH157">
        <v>10</v>
      </c>
      <c r="GI157">
        <v>3.2700000000000005</v>
      </c>
      <c r="GJ157">
        <v>2</v>
      </c>
      <c r="GK157">
        <v>1.65</v>
      </c>
      <c r="GL157">
        <v>26</v>
      </c>
      <c r="GM157">
        <v>23.666666666666668</v>
      </c>
      <c r="GN157">
        <v>25</v>
      </c>
      <c r="GO157">
        <v>-2.8189999999999982</v>
      </c>
      <c r="GP157">
        <v>26</v>
      </c>
      <c r="GQ157">
        <v>-14.789999999999997</v>
      </c>
      <c r="GR157">
        <v>20</v>
      </c>
      <c r="GS157">
        <v>-0.72</v>
      </c>
      <c r="GT157">
        <v>21</v>
      </c>
      <c r="GU157">
        <v>19.666666666666668</v>
      </c>
      <c r="GV157">
        <v>27</v>
      </c>
      <c r="GW157">
        <v>-2.8099999999999992</v>
      </c>
      <c r="GX157">
        <v>11</v>
      </c>
      <c r="GY157">
        <v>4.7</v>
      </c>
      <c r="GZ157">
        <v>21</v>
      </c>
      <c r="HA157">
        <v>-0.43</v>
      </c>
      <c r="HB157">
        <v>2</v>
      </c>
      <c r="HC157">
        <v>3</v>
      </c>
      <c r="HD157">
        <v>1</v>
      </c>
      <c r="HE157">
        <v>3.9</v>
      </c>
      <c r="HF157">
        <v>5</v>
      </c>
      <c r="HG157">
        <v>0.84000000000000008</v>
      </c>
      <c r="HH157">
        <v>0.36</v>
      </c>
      <c r="HI157">
        <v>13</v>
      </c>
      <c r="HJ157">
        <v>15</v>
      </c>
      <c r="HK157">
        <v>22</v>
      </c>
      <c r="HL157">
        <v>-1.5693786278653511E-2</v>
      </c>
      <c r="HM157">
        <v>15</v>
      </c>
      <c r="HN157">
        <v>3.9710523647665148E-3</v>
      </c>
      <c r="HO157">
        <v>10</v>
      </c>
      <c r="HP157">
        <v>-5.0055555555555541E-2</v>
      </c>
      <c r="HQ157">
        <v>13</v>
      </c>
      <c r="HR157">
        <v>-9.9999999999999638E-3</v>
      </c>
      <c r="HS157">
        <v>3.5100000000000007</v>
      </c>
      <c r="HT157">
        <v>1.2300000000000004</v>
      </c>
      <c r="HU157">
        <v>-1.05</v>
      </c>
      <c r="HV157">
        <v>22.809999999999992</v>
      </c>
      <c r="HW157">
        <v>4.4200000000000044</v>
      </c>
      <c r="HX157">
        <v>15.16</v>
      </c>
      <c r="HY157">
        <v>2.1100000000000003</v>
      </c>
      <c r="HZ157">
        <v>1.1199999999999997</v>
      </c>
      <c r="IA157">
        <v>17</v>
      </c>
      <c r="IB157">
        <v>-1.058000000000002</v>
      </c>
      <c r="IC157">
        <v>0.97019999999999951</v>
      </c>
      <c r="ID157">
        <v>-10.739999999999995</v>
      </c>
      <c r="IE157">
        <v>16</v>
      </c>
      <c r="IF157">
        <v>1.0921250000000002</v>
      </c>
      <c r="IG157">
        <v>1.61</v>
      </c>
    </row>
    <row r="158" spans="1:241" x14ac:dyDescent="0.2">
      <c r="A158" s="19">
        <v>44122</v>
      </c>
      <c r="B158" s="13" t="s">
        <v>252</v>
      </c>
      <c r="C158" s="41" t="s">
        <v>305</v>
      </c>
      <c r="D158" s="14" t="s">
        <v>294</v>
      </c>
      <c r="E158">
        <v>9.6999999999999993</v>
      </c>
      <c r="F158">
        <v>6.1</v>
      </c>
      <c r="G158">
        <v>4.2</v>
      </c>
      <c r="H158">
        <v>4.0999999999999996</v>
      </c>
      <c r="I158">
        <v>-10</v>
      </c>
      <c r="J158">
        <v>47</v>
      </c>
      <c r="K158" t="s">
        <v>734</v>
      </c>
      <c r="L158" t="s">
        <v>305</v>
      </c>
      <c r="M158">
        <v>18</v>
      </c>
      <c r="N158">
        <v>-0.67680000000000007</v>
      </c>
      <c r="O158">
        <v>32</v>
      </c>
      <c r="P158">
        <v>31.25</v>
      </c>
      <c r="Q158">
        <v>31</v>
      </c>
      <c r="R158">
        <v>-8.1639999999999997</v>
      </c>
      <c r="S158">
        <v>32</v>
      </c>
      <c r="T158">
        <v>-7.08</v>
      </c>
      <c r="U158">
        <v>30</v>
      </c>
      <c r="V158">
        <v>-27.48</v>
      </c>
      <c r="W158">
        <v>32</v>
      </c>
      <c r="X158">
        <v>-2.8399999999999994</v>
      </c>
      <c r="Y158">
        <v>32</v>
      </c>
      <c r="Z158">
        <v>31.666666666666668</v>
      </c>
      <c r="AA158">
        <v>32</v>
      </c>
      <c r="AB158">
        <v>-8.6</v>
      </c>
      <c r="AC158">
        <v>31</v>
      </c>
      <c r="AD158">
        <v>-5.76</v>
      </c>
      <c r="AE158">
        <v>31</v>
      </c>
      <c r="AF158">
        <v>-28.96</v>
      </c>
      <c r="AG158">
        <v>32</v>
      </c>
      <c r="AH158">
        <v>-2.3999999999999995</v>
      </c>
      <c r="AI158">
        <v>14</v>
      </c>
      <c r="AJ158">
        <v>15</v>
      </c>
      <c r="AK158">
        <v>13</v>
      </c>
      <c r="AL158">
        <v>0.43599999999999939</v>
      </c>
      <c r="AM158">
        <v>22</v>
      </c>
      <c r="AN158">
        <v>-1.3199999999999998</v>
      </c>
      <c r="AO158">
        <v>11</v>
      </c>
      <c r="AP158">
        <v>1.4799999999999991</v>
      </c>
      <c r="AQ158">
        <v>21</v>
      </c>
      <c r="AR158">
        <v>-0.44000000000000006</v>
      </c>
      <c r="AS158">
        <v>29</v>
      </c>
      <c r="AT158">
        <v>28.666666666666668</v>
      </c>
      <c r="AU158">
        <v>28</v>
      </c>
      <c r="AV158">
        <v>-7.3120000000000003</v>
      </c>
      <c r="AW158">
        <v>29</v>
      </c>
      <c r="AX158">
        <v>-33.319999999999993</v>
      </c>
      <c r="AY158">
        <v>29</v>
      </c>
      <c r="AZ158">
        <v>-3.64</v>
      </c>
      <c r="BA158">
        <v>24</v>
      </c>
      <c r="BB158">
        <v>22.333333333333332</v>
      </c>
      <c r="BC158">
        <v>27</v>
      </c>
      <c r="BD158">
        <v>-3.7400000000000007</v>
      </c>
      <c r="BE158">
        <v>20</v>
      </c>
      <c r="BF158">
        <v>-7.3599999999999994</v>
      </c>
      <c r="BG158">
        <v>20</v>
      </c>
      <c r="BH158">
        <v>-0.64</v>
      </c>
      <c r="BI158">
        <v>28</v>
      </c>
      <c r="BJ158">
        <v>25.666666666666668</v>
      </c>
      <c r="BK158">
        <v>21</v>
      </c>
      <c r="BL158">
        <v>-1.6600000000000001</v>
      </c>
      <c r="BM158">
        <v>25</v>
      </c>
      <c r="BN158">
        <v>-14.479999999999999</v>
      </c>
      <c r="BO158">
        <v>31</v>
      </c>
      <c r="BP158">
        <v>-2</v>
      </c>
      <c r="BQ158">
        <v>25</v>
      </c>
      <c r="BR158">
        <v>25</v>
      </c>
      <c r="BS158">
        <v>27</v>
      </c>
      <c r="BT158">
        <v>-1.9119999999999997</v>
      </c>
      <c r="BU158">
        <v>26</v>
      </c>
      <c r="BV158">
        <v>-11.48</v>
      </c>
      <c r="BW158">
        <v>22</v>
      </c>
      <c r="BX158">
        <v>-1</v>
      </c>
      <c r="BY158">
        <v>21</v>
      </c>
      <c r="BZ158">
        <v>20</v>
      </c>
      <c r="CA158">
        <v>19</v>
      </c>
      <c r="CB158">
        <v>-1.4880000000000013</v>
      </c>
      <c r="CC158">
        <v>19</v>
      </c>
      <c r="CD158">
        <v>-8.48</v>
      </c>
      <c r="CE158">
        <v>22</v>
      </c>
      <c r="CF158">
        <v>-1.0399999999999998</v>
      </c>
      <c r="CG158">
        <v>14</v>
      </c>
      <c r="CH158">
        <v>15.666666666666666</v>
      </c>
      <c r="CI158">
        <v>10</v>
      </c>
      <c r="CJ158">
        <v>2.124000000000001</v>
      </c>
      <c r="CK158">
        <v>19</v>
      </c>
      <c r="CL158">
        <v>-3.1599999999999993</v>
      </c>
      <c r="CM158">
        <v>18</v>
      </c>
      <c r="CN158">
        <v>-0.44000000000000006</v>
      </c>
      <c r="CO158">
        <v>7</v>
      </c>
      <c r="CP158">
        <v>7.5</v>
      </c>
      <c r="CQ158">
        <v>5</v>
      </c>
      <c r="CR158">
        <v>1.9599999999999997</v>
      </c>
      <c r="CS158">
        <v>10</v>
      </c>
      <c r="CT158">
        <v>0.16</v>
      </c>
      <c r="CU158">
        <v>6.839999999999999</v>
      </c>
      <c r="CV158">
        <v>9</v>
      </c>
      <c r="CW158">
        <v>12.75</v>
      </c>
      <c r="CX158">
        <v>8</v>
      </c>
      <c r="CY158">
        <v>4.243064622460848E-2</v>
      </c>
      <c r="CZ158">
        <v>8</v>
      </c>
      <c r="DA158">
        <v>1.3148567657253713E-2</v>
      </c>
      <c r="DB158">
        <v>10</v>
      </c>
      <c r="DC158">
        <v>-3.4591297591297587E-2</v>
      </c>
      <c r="DD158">
        <v>25</v>
      </c>
      <c r="DE158">
        <v>-1.6800000000000002</v>
      </c>
      <c r="DF158">
        <v>-8.4</v>
      </c>
      <c r="DG158">
        <v>3.9999999999999855E-2</v>
      </c>
      <c r="DH158">
        <v>3.0799999999999992</v>
      </c>
      <c r="DI158">
        <v>-41.319999999999993</v>
      </c>
      <c r="DJ158">
        <v>-63.480000000000004</v>
      </c>
      <c r="DK158">
        <v>-8.9200000000000017</v>
      </c>
      <c r="DL158">
        <v>3.7599999999999993</v>
      </c>
      <c r="DM158">
        <v>27.32</v>
      </c>
      <c r="DN158">
        <v>6</v>
      </c>
      <c r="DO158">
        <v>7.4872000000000005</v>
      </c>
      <c r="DP158">
        <v>2.9090400000000001</v>
      </c>
      <c r="DQ158">
        <v>-54.56</v>
      </c>
      <c r="DR158">
        <v>27</v>
      </c>
      <c r="DS158">
        <v>-1.5085999999999999</v>
      </c>
      <c r="DT158">
        <v>-4.08</v>
      </c>
      <c r="DU158">
        <v>-0.10650000000000048</v>
      </c>
      <c r="DV158">
        <v>-1.6500000000000004</v>
      </c>
      <c r="DW158" t="s">
        <v>294</v>
      </c>
      <c r="DX158" t="s">
        <v>290</v>
      </c>
      <c r="DY158" t="s">
        <v>469</v>
      </c>
      <c r="DZ158">
        <v>13</v>
      </c>
      <c r="EA158">
        <v>1.3579999999999988</v>
      </c>
      <c r="EB158">
        <v>29</v>
      </c>
      <c r="EC158">
        <v>23.25</v>
      </c>
      <c r="ED158">
        <v>25</v>
      </c>
      <c r="EE158">
        <v>-3.4190000000000005</v>
      </c>
      <c r="EF158">
        <v>16</v>
      </c>
      <c r="EG158">
        <v>8.9999999999999858E-2</v>
      </c>
      <c r="EH158">
        <v>24</v>
      </c>
      <c r="EI158">
        <v>-16.02</v>
      </c>
      <c r="EJ158">
        <v>28</v>
      </c>
      <c r="EK158">
        <v>-1.5899999999999999</v>
      </c>
      <c r="EL158">
        <v>28</v>
      </c>
      <c r="EM158">
        <v>23.25</v>
      </c>
      <c r="EN158">
        <v>25</v>
      </c>
      <c r="EO158">
        <v>-2.1660000000000008</v>
      </c>
      <c r="EP158">
        <v>22</v>
      </c>
      <c r="EQ158">
        <v>-0.4</v>
      </c>
      <c r="ER158">
        <v>29</v>
      </c>
      <c r="ES158">
        <v>-17.559999999999999</v>
      </c>
      <c r="ET158">
        <v>17</v>
      </c>
      <c r="EU158">
        <v>-0.18999999999999986</v>
      </c>
      <c r="EV158">
        <v>15</v>
      </c>
      <c r="EW158">
        <v>15.333333333333334</v>
      </c>
      <c r="EX158">
        <v>24</v>
      </c>
      <c r="EY158">
        <v>-1.2529999999999999</v>
      </c>
      <c r="EZ158">
        <v>11</v>
      </c>
      <c r="FA158">
        <v>0.48999999999999988</v>
      </c>
      <c r="FB158">
        <v>11</v>
      </c>
      <c r="FC158">
        <v>1.5399999999999991</v>
      </c>
      <c r="FD158">
        <v>32</v>
      </c>
      <c r="FE158">
        <v>-1.4</v>
      </c>
      <c r="FF158">
        <v>12</v>
      </c>
      <c r="FG158">
        <v>14.333333333333334</v>
      </c>
      <c r="FH158">
        <v>7</v>
      </c>
      <c r="FI158">
        <v>4.9829999999999997</v>
      </c>
      <c r="FJ158">
        <v>20</v>
      </c>
      <c r="FK158">
        <v>-1.589999999999999</v>
      </c>
      <c r="FL158">
        <v>16</v>
      </c>
      <c r="FM158">
        <v>-7.9999999999999849E-2</v>
      </c>
      <c r="FN158">
        <v>12</v>
      </c>
      <c r="FO158">
        <v>12</v>
      </c>
      <c r="FP158">
        <v>5</v>
      </c>
      <c r="FQ158">
        <v>4.016</v>
      </c>
      <c r="FR158">
        <v>17</v>
      </c>
      <c r="FS158">
        <v>-2.2199999999999989</v>
      </c>
      <c r="FT158">
        <v>14</v>
      </c>
      <c r="FU158">
        <v>0.45</v>
      </c>
      <c r="FV158">
        <v>23</v>
      </c>
      <c r="FW158">
        <v>21.666666666666668</v>
      </c>
      <c r="FX158">
        <v>20</v>
      </c>
      <c r="FY158">
        <v>-0.43100000000000022</v>
      </c>
      <c r="FZ158">
        <v>14</v>
      </c>
      <c r="GA158">
        <v>3.0700000000000003</v>
      </c>
      <c r="GB158">
        <v>31</v>
      </c>
      <c r="GC158">
        <v>-1.5799999999999998</v>
      </c>
      <c r="GD158">
        <v>8</v>
      </c>
      <c r="GE158">
        <v>11.333333333333334</v>
      </c>
      <c r="GF158">
        <v>7</v>
      </c>
      <c r="GG158">
        <v>1.3979999999999997</v>
      </c>
      <c r="GH158">
        <v>23</v>
      </c>
      <c r="GI158">
        <v>-2.4400000000000004</v>
      </c>
      <c r="GJ158">
        <v>4</v>
      </c>
      <c r="GK158">
        <v>1.05</v>
      </c>
      <c r="GL158">
        <v>21</v>
      </c>
      <c r="GM158">
        <v>19.666666666666668</v>
      </c>
      <c r="GN158">
        <v>19</v>
      </c>
      <c r="GO158">
        <v>-1.4180000000000006</v>
      </c>
      <c r="GP158">
        <v>21</v>
      </c>
      <c r="GQ158">
        <v>-9.6800000000000015</v>
      </c>
      <c r="GR158">
        <v>19</v>
      </c>
      <c r="GS158">
        <v>-0.48999999999999988</v>
      </c>
      <c r="GT158">
        <v>4</v>
      </c>
      <c r="GU158">
        <v>3.3333333333333335</v>
      </c>
      <c r="GV158">
        <v>2</v>
      </c>
      <c r="GW158">
        <v>8.0539999999999985</v>
      </c>
      <c r="GX158">
        <v>2</v>
      </c>
      <c r="GY158">
        <v>19.920000000000002</v>
      </c>
      <c r="GZ158">
        <v>6</v>
      </c>
      <c r="HA158">
        <v>1.32</v>
      </c>
      <c r="HB158">
        <v>13</v>
      </c>
      <c r="HC158">
        <v>13.5</v>
      </c>
      <c r="HD158">
        <v>11</v>
      </c>
      <c r="HE158">
        <v>0.51999999999999991</v>
      </c>
      <c r="HF158">
        <v>16</v>
      </c>
      <c r="HG158">
        <v>-0.13999999999999999</v>
      </c>
      <c r="HH158">
        <v>2.4400000000000004</v>
      </c>
      <c r="HI158">
        <v>11</v>
      </c>
      <c r="HJ158">
        <v>14.5</v>
      </c>
      <c r="HK158">
        <v>3</v>
      </c>
      <c r="HL158">
        <v>7.2072093993855904E-2</v>
      </c>
      <c r="HM158">
        <v>12</v>
      </c>
      <c r="HN158">
        <v>6.0502501286230654E-3</v>
      </c>
      <c r="HO158">
        <v>25</v>
      </c>
      <c r="HP158">
        <v>5.7768009768009755E-2</v>
      </c>
      <c r="HQ158">
        <v>18</v>
      </c>
      <c r="HR158">
        <v>-0.64999999999999991</v>
      </c>
      <c r="HS158">
        <v>2.2900000000000005</v>
      </c>
      <c r="HT158">
        <v>5.16</v>
      </c>
      <c r="HU158">
        <v>-0.1</v>
      </c>
      <c r="HV158">
        <v>10.270000000000005</v>
      </c>
      <c r="HW158">
        <v>14.6</v>
      </c>
      <c r="HX158">
        <v>-20.729999999999997</v>
      </c>
      <c r="HY158">
        <v>17.46</v>
      </c>
      <c r="HZ158">
        <v>-1.0599999999999998</v>
      </c>
      <c r="IA158">
        <v>8</v>
      </c>
      <c r="IB158">
        <v>4.7769999999999992</v>
      </c>
      <c r="IC158">
        <v>4.5884999999999998</v>
      </c>
      <c r="ID158">
        <v>35.33</v>
      </c>
      <c r="IE158">
        <v>25</v>
      </c>
      <c r="IF158">
        <v>1.4369999999999994</v>
      </c>
      <c r="IG158">
        <v>1.2400000000000002</v>
      </c>
    </row>
    <row r="159" spans="1:241" x14ac:dyDescent="0.2">
      <c r="A159" s="19">
        <v>44122</v>
      </c>
      <c r="B159" s="13" t="s">
        <v>252</v>
      </c>
      <c r="C159" s="41" t="s">
        <v>276</v>
      </c>
      <c r="D159" s="14" t="s">
        <v>288</v>
      </c>
      <c r="E159">
        <v>16.600000000000001</v>
      </c>
      <c r="F159">
        <v>14.5</v>
      </c>
      <c r="G159">
        <v>1.7</v>
      </c>
      <c r="H159">
        <v>1.7</v>
      </c>
      <c r="I159">
        <v>5</v>
      </c>
      <c r="J159">
        <v>56.5</v>
      </c>
      <c r="L159" t="s">
        <v>276</v>
      </c>
      <c r="M159">
        <v>1</v>
      </c>
      <c r="N159">
        <v>9.5440000000000005</v>
      </c>
      <c r="O159">
        <v>28</v>
      </c>
      <c r="P159">
        <v>26.5</v>
      </c>
      <c r="Q159">
        <v>32</v>
      </c>
      <c r="R159">
        <v>-8.1769999999999996</v>
      </c>
      <c r="S159">
        <v>21</v>
      </c>
      <c r="T159">
        <v>-1.44</v>
      </c>
      <c r="U159">
        <v>29</v>
      </c>
      <c r="V159">
        <v>-22.2</v>
      </c>
      <c r="W159">
        <v>24</v>
      </c>
      <c r="X159">
        <v>-0.89</v>
      </c>
      <c r="Y159">
        <v>28</v>
      </c>
      <c r="Z159">
        <v>24.666666666666668</v>
      </c>
      <c r="AA159">
        <v>30</v>
      </c>
      <c r="AB159">
        <v>-7.1759999999999993</v>
      </c>
      <c r="AC159">
        <v>26</v>
      </c>
      <c r="AD159">
        <v>-2.04</v>
      </c>
      <c r="AE159">
        <v>29</v>
      </c>
      <c r="AF159">
        <v>-23.86</v>
      </c>
      <c r="AG159">
        <v>15</v>
      </c>
      <c r="AH159">
        <v>6.9999999999999923E-2</v>
      </c>
      <c r="AI159">
        <v>21</v>
      </c>
      <c r="AJ159">
        <v>19.666666666666668</v>
      </c>
      <c r="AK159">
        <v>21</v>
      </c>
      <c r="AL159">
        <v>-1.0009999999999999</v>
      </c>
      <c r="AM159">
        <v>11</v>
      </c>
      <c r="AN159">
        <v>0.6</v>
      </c>
      <c r="AO159">
        <v>10</v>
      </c>
      <c r="AP159">
        <v>1.6600000000000001</v>
      </c>
      <c r="AQ159">
        <v>28</v>
      </c>
      <c r="AR159">
        <v>-0.96</v>
      </c>
      <c r="AS159">
        <v>1</v>
      </c>
      <c r="AT159">
        <v>1</v>
      </c>
      <c r="AU159">
        <v>1</v>
      </c>
      <c r="AV159">
        <v>14.891</v>
      </c>
      <c r="AW159">
        <v>1</v>
      </c>
      <c r="AX159">
        <v>72.680000000000007</v>
      </c>
      <c r="AY159">
        <v>1</v>
      </c>
      <c r="AZ159">
        <v>5.79</v>
      </c>
      <c r="BA159">
        <v>1</v>
      </c>
      <c r="BB159">
        <v>1.6666666666666667</v>
      </c>
      <c r="BC159">
        <v>2</v>
      </c>
      <c r="BD159">
        <v>7.6569999999999991</v>
      </c>
      <c r="BE159">
        <v>1</v>
      </c>
      <c r="BF159">
        <v>31.29</v>
      </c>
      <c r="BG159">
        <v>2</v>
      </c>
      <c r="BH159">
        <v>2.9899999999999998</v>
      </c>
      <c r="BI159">
        <v>7</v>
      </c>
      <c r="BJ159">
        <v>7.666666666666667</v>
      </c>
      <c r="BK159">
        <v>7</v>
      </c>
      <c r="BL159">
        <v>2.9410000000000003</v>
      </c>
      <c r="BM159">
        <v>8</v>
      </c>
      <c r="BN159">
        <v>16.010000000000002</v>
      </c>
      <c r="BO159">
        <v>8</v>
      </c>
      <c r="BP159">
        <v>1.01</v>
      </c>
      <c r="BQ159">
        <v>1</v>
      </c>
      <c r="BR159">
        <v>1.3333333333333333</v>
      </c>
      <c r="BS159">
        <v>1</v>
      </c>
      <c r="BT159">
        <v>4.293000000000001</v>
      </c>
      <c r="BU159">
        <v>1</v>
      </c>
      <c r="BV159">
        <v>25.380000000000003</v>
      </c>
      <c r="BW159">
        <v>2</v>
      </c>
      <c r="BX159">
        <v>1.7899999999999998</v>
      </c>
      <c r="BY159">
        <v>3</v>
      </c>
      <c r="BZ159">
        <v>3.3333333333333335</v>
      </c>
      <c r="CA159">
        <v>4</v>
      </c>
      <c r="CB159">
        <v>7.6639999999999988</v>
      </c>
      <c r="CC159">
        <v>4</v>
      </c>
      <c r="CD159">
        <v>28.54</v>
      </c>
      <c r="CE159">
        <v>2</v>
      </c>
      <c r="CF159">
        <v>3.1399999999999997</v>
      </c>
      <c r="CG159">
        <v>28</v>
      </c>
      <c r="CH159">
        <v>25.333333333333332</v>
      </c>
      <c r="CI159">
        <v>25</v>
      </c>
      <c r="CJ159">
        <v>-2.3770000000000011</v>
      </c>
      <c r="CK159">
        <v>24</v>
      </c>
      <c r="CL159">
        <v>-8.4699999999999989</v>
      </c>
      <c r="CM159">
        <v>27</v>
      </c>
      <c r="CN159">
        <v>-1.42</v>
      </c>
      <c r="CO159">
        <v>19</v>
      </c>
      <c r="CP159">
        <v>20.5</v>
      </c>
      <c r="CQ159">
        <v>21</v>
      </c>
      <c r="CR159">
        <v>-0.95000000000000018</v>
      </c>
      <c r="CS159">
        <v>20</v>
      </c>
      <c r="CT159">
        <v>-0.16000000000000006</v>
      </c>
      <c r="CU159">
        <v>-1.0699999999999998</v>
      </c>
      <c r="CV159">
        <v>19</v>
      </c>
      <c r="CW159">
        <v>19.25</v>
      </c>
      <c r="CX159">
        <v>13</v>
      </c>
      <c r="CY159">
        <v>6.1094463052377866E-3</v>
      </c>
      <c r="CZ159">
        <v>22</v>
      </c>
      <c r="DA159">
        <v>-1.0228124775865809E-2</v>
      </c>
      <c r="DB159">
        <v>21</v>
      </c>
      <c r="DC159">
        <v>3.9878232878232868E-2</v>
      </c>
      <c r="DD159">
        <v>21</v>
      </c>
      <c r="DE159">
        <v>-0.98999999999999988</v>
      </c>
      <c r="DF159">
        <v>2.069999999999999</v>
      </c>
      <c r="DG159">
        <v>3.5799999999999996</v>
      </c>
      <c r="DH159">
        <v>-0.91999999999999993</v>
      </c>
      <c r="DI159">
        <v>24</v>
      </c>
      <c r="DJ159">
        <v>58.17</v>
      </c>
      <c r="DK159">
        <v>-32.839999999999996</v>
      </c>
      <c r="DL159">
        <v>-3.13</v>
      </c>
      <c r="DM159">
        <v>1.8</v>
      </c>
      <c r="DN159">
        <v>1</v>
      </c>
      <c r="DO159">
        <v>17.721</v>
      </c>
      <c r="DP159">
        <v>8.5000999999999998</v>
      </c>
      <c r="DQ159">
        <v>91.009999999999991</v>
      </c>
      <c r="DR159">
        <v>32</v>
      </c>
      <c r="DS159">
        <v>1.6163750000000001</v>
      </c>
      <c r="DT159">
        <v>4.37</v>
      </c>
      <c r="DU159">
        <v>0.33574999999999988</v>
      </c>
      <c r="DV159">
        <v>1.0518749999999994</v>
      </c>
      <c r="DW159" t="s">
        <v>288</v>
      </c>
      <c r="DX159" t="s">
        <v>270</v>
      </c>
      <c r="DY159" t="s">
        <v>508</v>
      </c>
      <c r="DZ159">
        <v>20</v>
      </c>
      <c r="EA159">
        <v>-1.1740000000000002</v>
      </c>
      <c r="EB159">
        <v>4</v>
      </c>
      <c r="EC159">
        <v>8.25</v>
      </c>
      <c r="ED159">
        <v>8</v>
      </c>
      <c r="EE159">
        <v>3.2360000000000002</v>
      </c>
      <c r="EF159">
        <v>4</v>
      </c>
      <c r="EG159">
        <v>3.37</v>
      </c>
      <c r="EH159">
        <v>6</v>
      </c>
      <c r="EI159">
        <v>20.329999999999998</v>
      </c>
      <c r="EJ159">
        <v>15</v>
      </c>
      <c r="EK159">
        <v>-1.9999999999999962E-2</v>
      </c>
      <c r="EL159">
        <v>12</v>
      </c>
      <c r="EM159">
        <v>14.5</v>
      </c>
      <c r="EN159">
        <v>7</v>
      </c>
      <c r="EO159">
        <v>2.1509999999999998</v>
      </c>
      <c r="EP159">
        <v>24</v>
      </c>
      <c r="EQ159">
        <v>-0.61999999999999988</v>
      </c>
      <c r="ER159">
        <v>14</v>
      </c>
      <c r="ES159">
        <v>5.5399999999999991</v>
      </c>
      <c r="ET159">
        <v>13</v>
      </c>
      <c r="EU159">
        <v>0.25000000000000006</v>
      </c>
      <c r="EV159">
        <v>2</v>
      </c>
      <c r="EW159">
        <v>4.333333333333333</v>
      </c>
      <c r="EX159">
        <v>9</v>
      </c>
      <c r="EY159">
        <v>1.0850000000000004</v>
      </c>
      <c r="EZ159">
        <v>1</v>
      </c>
      <c r="FA159">
        <v>3.9899999999999998</v>
      </c>
      <c r="FB159">
        <v>3</v>
      </c>
      <c r="FC159">
        <v>14.789999999999997</v>
      </c>
      <c r="FD159">
        <v>22</v>
      </c>
      <c r="FE159">
        <v>-0.27</v>
      </c>
      <c r="FF159">
        <v>25</v>
      </c>
      <c r="FG159">
        <v>23.666666666666668</v>
      </c>
      <c r="FH159">
        <v>20</v>
      </c>
      <c r="FI159">
        <v>-2.5749999999999993</v>
      </c>
      <c r="FJ159">
        <v>27</v>
      </c>
      <c r="FK159">
        <v>-17.150000000000002</v>
      </c>
      <c r="FL159">
        <v>24</v>
      </c>
      <c r="FM159">
        <v>-1.0799999999999998</v>
      </c>
      <c r="FN159">
        <v>15</v>
      </c>
      <c r="FO159">
        <v>15.666666666666666</v>
      </c>
      <c r="FP159">
        <v>14</v>
      </c>
      <c r="FQ159">
        <v>2.2000000000000953E-2</v>
      </c>
      <c r="FR159">
        <v>12</v>
      </c>
      <c r="FS159">
        <v>7.0999999999999988</v>
      </c>
      <c r="FT159">
        <v>21</v>
      </c>
      <c r="FU159">
        <v>-0.29999999999999982</v>
      </c>
      <c r="FV159">
        <v>29</v>
      </c>
      <c r="FW159">
        <v>28.666666666666668</v>
      </c>
      <c r="FX159">
        <v>27</v>
      </c>
      <c r="FY159">
        <v>-3.3910000000000005</v>
      </c>
      <c r="FZ159">
        <v>31</v>
      </c>
      <c r="GA159">
        <v>-23.43</v>
      </c>
      <c r="GB159">
        <v>28</v>
      </c>
      <c r="GC159">
        <v>-0.83000000000000007</v>
      </c>
      <c r="GD159">
        <v>13</v>
      </c>
      <c r="GE159">
        <v>13.333333333333334</v>
      </c>
      <c r="GF159">
        <v>10</v>
      </c>
      <c r="GG159">
        <v>0.79400000000000015</v>
      </c>
      <c r="GH159">
        <v>17</v>
      </c>
      <c r="GI159">
        <v>-0.81999999999999962</v>
      </c>
      <c r="GJ159">
        <v>13</v>
      </c>
      <c r="GK159">
        <v>0.05</v>
      </c>
      <c r="GL159">
        <v>30</v>
      </c>
      <c r="GM159">
        <v>28</v>
      </c>
      <c r="GN159">
        <v>31</v>
      </c>
      <c r="GO159">
        <v>-6.2780000000000005</v>
      </c>
      <c r="GP159">
        <v>32</v>
      </c>
      <c r="GQ159">
        <v>-24.28</v>
      </c>
      <c r="GR159">
        <v>21</v>
      </c>
      <c r="GS159">
        <v>-0.7699999999999998</v>
      </c>
      <c r="GT159">
        <v>16</v>
      </c>
      <c r="GU159">
        <v>18</v>
      </c>
      <c r="GV159">
        <v>17</v>
      </c>
      <c r="GW159">
        <v>-1.0499999999999989</v>
      </c>
      <c r="GX159">
        <v>24</v>
      </c>
      <c r="GY159">
        <v>-4.2</v>
      </c>
      <c r="GZ159">
        <v>13</v>
      </c>
      <c r="HA159">
        <v>0.12000000000000002</v>
      </c>
      <c r="HB159">
        <v>21</v>
      </c>
      <c r="HC159">
        <v>22.5</v>
      </c>
      <c r="HD159">
        <v>23</v>
      </c>
      <c r="HE159">
        <v>-1.48</v>
      </c>
      <c r="HF159">
        <v>22</v>
      </c>
      <c r="HG159">
        <v>-0.47000000000000003</v>
      </c>
      <c r="HH159">
        <v>-2.96</v>
      </c>
      <c r="HI159">
        <v>2</v>
      </c>
      <c r="HJ159">
        <v>9.25</v>
      </c>
      <c r="HK159">
        <v>15</v>
      </c>
      <c r="HL159">
        <v>1.6124057069607177E-3</v>
      </c>
      <c r="HM159">
        <v>11</v>
      </c>
      <c r="HN159">
        <v>7.9312040229468032E-3</v>
      </c>
      <c r="HO159">
        <v>6</v>
      </c>
      <c r="HP159">
        <v>-5.6203175909058281E-2</v>
      </c>
      <c r="HQ159">
        <v>5</v>
      </c>
      <c r="HR159">
        <v>1.8200000000000003</v>
      </c>
      <c r="HS159">
        <v>2.5300000000000025</v>
      </c>
      <c r="HT159">
        <v>-3.2300000000000004</v>
      </c>
      <c r="HU159">
        <v>-0.42000000000000004</v>
      </c>
      <c r="HV159">
        <v>8.1300000000000061</v>
      </c>
      <c r="HW159">
        <v>-15.759999999999996</v>
      </c>
      <c r="HX159">
        <v>22.259999999999998</v>
      </c>
      <c r="HY159">
        <v>-1.65</v>
      </c>
      <c r="HZ159">
        <v>3.2800000000000011</v>
      </c>
      <c r="IA159">
        <v>26</v>
      </c>
      <c r="IB159">
        <v>-4.41</v>
      </c>
      <c r="IC159">
        <v>-2.5777999999999999</v>
      </c>
      <c r="ID159">
        <v>-38.019999999999996</v>
      </c>
      <c r="IE159">
        <v>7</v>
      </c>
      <c r="IF159">
        <v>-0.38037499999999974</v>
      </c>
      <c r="IG159">
        <v>-0.95999999999999985</v>
      </c>
    </row>
    <row r="160" spans="1:241" x14ac:dyDescent="0.2">
      <c r="A160" s="19">
        <v>44122</v>
      </c>
      <c r="B160" s="13" t="s">
        <v>252</v>
      </c>
      <c r="C160" s="41" t="s">
        <v>301</v>
      </c>
      <c r="D160" s="14" t="s">
        <v>265</v>
      </c>
      <c r="E160">
        <v>11.7</v>
      </c>
      <c r="F160">
        <v>14.3</v>
      </c>
      <c r="G160">
        <v>2.2999999999999998</v>
      </c>
      <c r="H160">
        <v>1.9</v>
      </c>
      <c r="I160">
        <v>-2</v>
      </c>
      <c r="J160">
        <v>45.5</v>
      </c>
      <c r="K160" t="s">
        <v>735</v>
      </c>
      <c r="L160" t="s">
        <v>301</v>
      </c>
      <c r="M160">
        <v>23</v>
      </c>
      <c r="N160">
        <v>-3.2600000000000025</v>
      </c>
      <c r="O160">
        <v>4</v>
      </c>
      <c r="P160">
        <v>8</v>
      </c>
      <c r="Q160">
        <v>5</v>
      </c>
      <c r="R160">
        <v>6.7599999999999989</v>
      </c>
      <c r="S160">
        <v>8</v>
      </c>
      <c r="T160">
        <v>2.2400000000000002</v>
      </c>
      <c r="U160">
        <v>9</v>
      </c>
      <c r="V160">
        <v>13.160000000000004</v>
      </c>
      <c r="W160">
        <v>10</v>
      </c>
      <c r="X160">
        <v>0.5199999999999998</v>
      </c>
      <c r="Y160">
        <v>3</v>
      </c>
      <c r="Z160">
        <v>6</v>
      </c>
      <c r="AA160">
        <v>3</v>
      </c>
      <c r="AB160">
        <v>6.903999999999999</v>
      </c>
      <c r="AC160">
        <v>6</v>
      </c>
      <c r="AD160">
        <v>3.4</v>
      </c>
      <c r="AE160">
        <v>5</v>
      </c>
      <c r="AF160">
        <v>18.360000000000003</v>
      </c>
      <c r="AG160">
        <v>10</v>
      </c>
      <c r="AH160">
        <v>0.83999999999999986</v>
      </c>
      <c r="AI160">
        <v>17</v>
      </c>
      <c r="AJ160">
        <v>17.666666666666668</v>
      </c>
      <c r="AK160">
        <v>15</v>
      </c>
      <c r="AL160">
        <v>-0.14400000000000029</v>
      </c>
      <c r="AM160">
        <v>19</v>
      </c>
      <c r="AN160">
        <v>-1.1599999999999999</v>
      </c>
      <c r="AO160">
        <v>21</v>
      </c>
      <c r="AP160">
        <v>-5.2</v>
      </c>
      <c r="AQ160">
        <v>17</v>
      </c>
      <c r="AR160">
        <v>-0.32000000000000012</v>
      </c>
      <c r="AS160">
        <v>3</v>
      </c>
      <c r="AT160">
        <v>4</v>
      </c>
      <c r="AU160">
        <v>3</v>
      </c>
      <c r="AV160">
        <v>8.2479999999999993</v>
      </c>
      <c r="AW160">
        <v>3</v>
      </c>
      <c r="AX160">
        <v>50.8</v>
      </c>
      <c r="AY160">
        <v>6</v>
      </c>
      <c r="AZ160">
        <v>3.2</v>
      </c>
      <c r="BA160">
        <v>7</v>
      </c>
      <c r="BB160">
        <v>9.3333333333333339</v>
      </c>
      <c r="BC160">
        <v>10</v>
      </c>
      <c r="BD160">
        <v>2.3639999999999994</v>
      </c>
      <c r="BE160">
        <v>6</v>
      </c>
      <c r="BF160">
        <v>15.52</v>
      </c>
      <c r="BG160">
        <v>12</v>
      </c>
      <c r="BH160">
        <v>0.48000000000000026</v>
      </c>
      <c r="BI160">
        <v>3</v>
      </c>
      <c r="BJ160">
        <v>3.6666666666666665</v>
      </c>
      <c r="BK160">
        <v>6</v>
      </c>
      <c r="BL160">
        <v>3.1560000000000001</v>
      </c>
      <c r="BM160">
        <v>4</v>
      </c>
      <c r="BN160">
        <v>26.4</v>
      </c>
      <c r="BO160">
        <v>1</v>
      </c>
      <c r="BP160">
        <v>1.92</v>
      </c>
      <c r="BQ160">
        <v>6</v>
      </c>
      <c r="BR160">
        <v>7.333333333333333</v>
      </c>
      <c r="BS160">
        <v>5</v>
      </c>
      <c r="BT160">
        <v>2.7279999999999998</v>
      </c>
      <c r="BU160">
        <v>6</v>
      </c>
      <c r="BV160">
        <v>8.879999999999999</v>
      </c>
      <c r="BW160">
        <v>11</v>
      </c>
      <c r="BX160">
        <v>0.8</v>
      </c>
      <c r="BY160">
        <v>13</v>
      </c>
      <c r="BZ160">
        <v>15.333333333333334</v>
      </c>
      <c r="CA160">
        <v>20</v>
      </c>
      <c r="CB160">
        <v>-1.6479999999999997</v>
      </c>
      <c r="CC160">
        <v>14</v>
      </c>
      <c r="CD160">
        <v>3.1200000000000019</v>
      </c>
      <c r="CE160">
        <v>12</v>
      </c>
      <c r="CF160">
        <v>0.63999999999999946</v>
      </c>
      <c r="CG160">
        <v>32</v>
      </c>
      <c r="CH160">
        <v>32</v>
      </c>
      <c r="CI160">
        <v>32</v>
      </c>
      <c r="CJ160">
        <v>-8.3120000000000012</v>
      </c>
      <c r="CK160">
        <v>32</v>
      </c>
      <c r="CL160">
        <v>-34.760000000000005</v>
      </c>
      <c r="CM160">
        <v>32</v>
      </c>
      <c r="CN160">
        <v>-3.6799999999999997</v>
      </c>
      <c r="CO160">
        <v>4</v>
      </c>
      <c r="CP160">
        <v>6.5</v>
      </c>
      <c r="CQ160">
        <v>9</v>
      </c>
      <c r="CR160">
        <v>1.0399999999999998</v>
      </c>
      <c r="CS160">
        <v>4</v>
      </c>
      <c r="CT160">
        <v>0.72</v>
      </c>
      <c r="CU160">
        <v>-0.67999999999999994</v>
      </c>
      <c r="CV160">
        <v>26</v>
      </c>
      <c r="CW160">
        <v>21.75</v>
      </c>
      <c r="CX160">
        <v>28</v>
      </c>
      <c r="CY160">
        <v>-6.5708184947098486E-2</v>
      </c>
      <c r="CZ160">
        <v>27</v>
      </c>
      <c r="DA160">
        <v>-1.4412438910555759E-2</v>
      </c>
      <c r="DB160">
        <v>13</v>
      </c>
      <c r="DC160">
        <v>6.3109668109668452E-3</v>
      </c>
      <c r="DD160">
        <v>19</v>
      </c>
      <c r="DE160">
        <v>-0.68000000000000027</v>
      </c>
      <c r="DF160">
        <v>-0.16000000000000086</v>
      </c>
      <c r="DG160">
        <v>-0.84000000000000052</v>
      </c>
      <c r="DH160">
        <v>-0.83999999999999986</v>
      </c>
      <c r="DI160">
        <v>21.719999999999992</v>
      </c>
      <c r="DJ160">
        <v>9.0800000000000018</v>
      </c>
      <c r="DK160">
        <v>9.0800000000000018</v>
      </c>
      <c r="DL160">
        <v>5.2</v>
      </c>
      <c r="DM160">
        <v>-1.64</v>
      </c>
      <c r="DN160">
        <v>29</v>
      </c>
      <c r="DO160">
        <v>-10.020000000000001</v>
      </c>
      <c r="DP160">
        <v>-4.0448000000000004</v>
      </c>
      <c r="DQ160">
        <v>0</v>
      </c>
      <c r="DR160">
        <v>4</v>
      </c>
      <c r="DS160">
        <v>0.55949999999999933</v>
      </c>
      <c r="DT160">
        <v>-0.47999999999999954</v>
      </c>
      <c r="DU160">
        <v>-0.91410000000000013</v>
      </c>
      <c r="DV160">
        <v>-0.69719999999999993</v>
      </c>
      <c r="DW160" t="s">
        <v>265</v>
      </c>
      <c r="DX160" t="s">
        <v>236</v>
      </c>
      <c r="DY160" t="s">
        <v>539</v>
      </c>
      <c r="DZ160">
        <v>29</v>
      </c>
      <c r="EA160">
        <v>-3.9610000000000012</v>
      </c>
      <c r="EB160">
        <v>13</v>
      </c>
      <c r="EC160">
        <v>13.5</v>
      </c>
      <c r="ED160">
        <v>16</v>
      </c>
      <c r="EE160">
        <v>-4.5999999999999874E-2</v>
      </c>
      <c r="EF160">
        <v>14</v>
      </c>
      <c r="EG160">
        <v>0.37999999999999956</v>
      </c>
      <c r="EH160">
        <v>8</v>
      </c>
      <c r="EI160">
        <v>16.78</v>
      </c>
      <c r="EJ160">
        <v>16</v>
      </c>
      <c r="EK160">
        <v>-0.10000000000000003</v>
      </c>
      <c r="EL160">
        <v>13</v>
      </c>
      <c r="EM160">
        <v>15.25</v>
      </c>
      <c r="EN160">
        <v>17</v>
      </c>
      <c r="EO160">
        <v>-0.3030000000000001</v>
      </c>
      <c r="EP160">
        <v>15</v>
      </c>
      <c r="EQ160">
        <v>0.16999999999999957</v>
      </c>
      <c r="ER160">
        <v>7</v>
      </c>
      <c r="ES160">
        <v>11.76</v>
      </c>
      <c r="ET160">
        <v>22</v>
      </c>
      <c r="EU160">
        <v>-0.47000000000000003</v>
      </c>
      <c r="EV160">
        <v>9</v>
      </c>
      <c r="EW160">
        <v>11.666666666666666</v>
      </c>
      <c r="EX160">
        <v>14</v>
      </c>
      <c r="EY160">
        <v>0.25700000000000023</v>
      </c>
      <c r="EZ160">
        <v>13</v>
      </c>
      <c r="FA160">
        <v>0.20999999999999996</v>
      </c>
      <c r="FB160">
        <v>8</v>
      </c>
      <c r="FC160">
        <v>5.0199999999999996</v>
      </c>
      <c r="FD160">
        <v>11</v>
      </c>
      <c r="FE160">
        <v>0.37</v>
      </c>
      <c r="FF160">
        <v>23</v>
      </c>
      <c r="FG160">
        <v>20.666666666666668</v>
      </c>
      <c r="FH160">
        <v>30</v>
      </c>
      <c r="FI160">
        <v>-6.4949999999999992</v>
      </c>
      <c r="FJ160">
        <v>24</v>
      </c>
      <c r="FK160">
        <v>-10.510000000000002</v>
      </c>
      <c r="FL160">
        <v>8</v>
      </c>
      <c r="FM160">
        <v>0.68</v>
      </c>
      <c r="FN160">
        <v>22</v>
      </c>
      <c r="FO160">
        <v>21</v>
      </c>
      <c r="FP160">
        <v>26</v>
      </c>
      <c r="FQ160">
        <v>-3.6129999999999995</v>
      </c>
      <c r="FR160">
        <v>26</v>
      </c>
      <c r="FS160">
        <v>-13.25</v>
      </c>
      <c r="FT160">
        <v>11</v>
      </c>
      <c r="FU160">
        <v>0.55000000000000004</v>
      </c>
      <c r="FV160">
        <v>26</v>
      </c>
      <c r="FW160">
        <v>23.666666666666668</v>
      </c>
      <c r="FX160">
        <v>26</v>
      </c>
      <c r="FY160">
        <v>-2.87</v>
      </c>
      <c r="FZ160">
        <v>19</v>
      </c>
      <c r="GA160">
        <v>2.0000000000000285E-2</v>
      </c>
      <c r="GB160">
        <v>26</v>
      </c>
      <c r="GC160">
        <v>-0.76</v>
      </c>
      <c r="GD160">
        <v>7</v>
      </c>
      <c r="GE160">
        <v>11</v>
      </c>
      <c r="GF160">
        <v>16</v>
      </c>
      <c r="GG160">
        <v>-1.1999999999999655E-2</v>
      </c>
      <c r="GH160">
        <v>11</v>
      </c>
      <c r="GI160">
        <v>2.7199999999999998</v>
      </c>
      <c r="GJ160">
        <v>6</v>
      </c>
      <c r="GK160">
        <v>0.89</v>
      </c>
      <c r="GL160">
        <v>27</v>
      </c>
      <c r="GM160">
        <v>24</v>
      </c>
      <c r="GN160">
        <v>29</v>
      </c>
      <c r="GO160">
        <v>-3.746999999999999</v>
      </c>
      <c r="GP160">
        <v>20</v>
      </c>
      <c r="GQ160">
        <v>-8.5699999999999985</v>
      </c>
      <c r="GR160">
        <v>23</v>
      </c>
      <c r="GS160">
        <v>-0.93999999999999984</v>
      </c>
      <c r="GT160">
        <v>18</v>
      </c>
      <c r="GU160">
        <v>18.333333333333332</v>
      </c>
      <c r="GV160">
        <v>11</v>
      </c>
      <c r="GW160">
        <v>0.59400000000000008</v>
      </c>
      <c r="GX160">
        <v>20</v>
      </c>
      <c r="GY160">
        <v>-2.4</v>
      </c>
      <c r="GZ160">
        <v>24</v>
      </c>
      <c r="HA160">
        <v>-0.55999999999999994</v>
      </c>
      <c r="HB160">
        <v>5</v>
      </c>
      <c r="HC160">
        <v>5.5</v>
      </c>
      <c r="HD160">
        <v>9</v>
      </c>
      <c r="HE160">
        <v>0.8600000000000001</v>
      </c>
      <c r="HF160">
        <v>2</v>
      </c>
      <c r="HG160">
        <v>0.95</v>
      </c>
      <c r="HH160">
        <v>-0.2900000000000002</v>
      </c>
      <c r="HI160">
        <v>10</v>
      </c>
      <c r="HJ160">
        <v>13.5</v>
      </c>
      <c r="HK160">
        <v>9</v>
      </c>
      <c r="HL160">
        <v>1.5422640060317811E-2</v>
      </c>
      <c r="HM160">
        <v>17</v>
      </c>
      <c r="HN160">
        <v>-2.6375495340327767E-3</v>
      </c>
      <c r="HO160">
        <v>8</v>
      </c>
      <c r="HP160">
        <v>-5.4460317460317473E-2</v>
      </c>
      <c r="HQ160">
        <v>20</v>
      </c>
      <c r="HR160">
        <v>-0.86999999999999988</v>
      </c>
      <c r="HS160">
        <v>2.4</v>
      </c>
      <c r="HT160">
        <v>-2.3099999999999996</v>
      </c>
      <c r="HU160">
        <v>-1.28</v>
      </c>
      <c r="HV160">
        <v>-1.9600000000000022</v>
      </c>
      <c r="HW160">
        <v>-15.129999999999995</v>
      </c>
      <c r="HX160">
        <v>13.540000000000003</v>
      </c>
      <c r="HY160">
        <v>0.48000000000000015</v>
      </c>
      <c r="HZ160">
        <v>-0.85</v>
      </c>
      <c r="IA160">
        <v>24</v>
      </c>
      <c r="IB160">
        <v>-3.9150000000000014</v>
      </c>
      <c r="IC160">
        <v>-1.9494000000000005</v>
      </c>
      <c r="ID160">
        <v>-28.669999999999998</v>
      </c>
      <c r="IE160">
        <v>9</v>
      </c>
      <c r="IF160">
        <v>-1.1310000000000002</v>
      </c>
      <c r="IG160">
        <v>0.12000000000000011</v>
      </c>
    </row>
    <row r="161" spans="1:241" x14ac:dyDescent="0.2">
      <c r="A161" s="19">
        <v>44122</v>
      </c>
      <c r="B161" s="13" t="s">
        <v>252</v>
      </c>
      <c r="C161" s="41" t="s">
        <v>265</v>
      </c>
      <c r="D161" s="13" t="s">
        <v>301</v>
      </c>
      <c r="E161">
        <v>10.3</v>
      </c>
      <c r="F161">
        <v>3.8</v>
      </c>
      <c r="G161">
        <v>6.6</v>
      </c>
      <c r="H161">
        <v>8.4</v>
      </c>
      <c r="I161">
        <v>2</v>
      </c>
      <c r="J161">
        <v>45.5</v>
      </c>
      <c r="K161" t="s">
        <v>735</v>
      </c>
      <c r="L161" t="s">
        <v>265</v>
      </c>
      <c r="M161">
        <v>17</v>
      </c>
      <c r="N161">
        <v>-0.47160000000000046</v>
      </c>
      <c r="O161">
        <v>29</v>
      </c>
      <c r="P161">
        <v>26.75</v>
      </c>
      <c r="Q161">
        <v>30</v>
      </c>
      <c r="R161">
        <v>-8.0290000000000017</v>
      </c>
      <c r="S161">
        <v>30</v>
      </c>
      <c r="T161">
        <v>-4.4800000000000004</v>
      </c>
      <c r="U161">
        <v>27</v>
      </c>
      <c r="V161">
        <v>-18.730000000000004</v>
      </c>
      <c r="W161">
        <v>20</v>
      </c>
      <c r="X161">
        <v>-0.29999999999999988</v>
      </c>
      <c r="Y161">
        <v>24</v>
      </c>
      <c r="Z161">
        <v>21.666666666666668</v>
      </c>
      <c r="AA161">
        <v>25</v>
      </c>
      <c r="AB161">
        <v>-4.3880000000000008</v>
      </c>
      <c r="AC161">
        <v>24</v>
      </c>
      <c r="AD161">
        <v>-1.8</v>
      </c>
      <c r="AE161">
        <v>26</v>
      </c>
      <c r="AF161">
        <v>-13.960000000000003</v>
      </c>
      <c r="AG161">
        <v>14</v>
      </c>
      <c r="AH161">
        <v>0.24000000000000005</v>
      </c>
      <c r="AI161">
        <v>28</v>
      </c>
      <c r="AJ161">
        <v>24.333333333333332</v>
      </c>
      <c r="AK161">
        <v>32</v>
      </c>
      <c r="AL161">
        <v>-3.6410000000000005</v>
      </c>
      <c r="AM161">
        <v>28</v>
      </c>
      <c r="AN161">
        <v>-2.68</v>
      </c>
      <c r="AO161">
        <v>19</v>
      </c>
      <c r="AP161">
        <v>-4.7700000000000005</v>
      </c>
      <c r="AQ161">
        <v>22</v>
      </c>
      <c r="AR161">
        <v>-0.53999999999999992</v>
      </c>
      <c r="AS161">
        <v>15</v>
      </c>
      <c r="AT161">
        <v>13.666666666666666</v>
      </c>
      <c r="AU161">
        <v>16</v>
      </c>
      <c r="AV161">
        <v>-0.5163999999999993</v>
      </c>
      <c r="AW161">
        <v>20</v>
      </c>
      <c r="AX161">
        <v>-11.49</v>
      </c>
      <c r="AY161">
        <v>5</v>
      </c>
      <c r="AZ161">
        <v>3.21</v>
      </c>
      <c r="BA161">
        <v>3</v>
      </c>
      <c r="BB161">
        <v>4</v>
      </c>
      <c r="BC161">
        <v>7</v>
      </c>
      <c r="BD161">
        <v>3.3482000000000012</v>
      </c>
      <c r="BE161">
        <v>4</v>
      </c>
      <c r="BF161">
        <v>16.14</v>
      </c>
      <c r="BG161">
        <v>1</v>
      </c>
      <c r="BH161">
        <v>3.06</v>
      </c>
      <c r="BI161">
        <v>32</v>
      </c>
      <c r="BJ161">
        <v>29.666666666666668</v>
      </c>
      <c r="BK161">
        <v>30</v>
      </c>
      <c r="BL161">
        <v>-4.7720000000000002</v>
      </c>
      <c r="BM161">
        <v>32</v>
      </c>
      <c r="BN161">
        <v>-28.48</v>
      </c>
      <c r="BO161">
        <v>27</v>
      </c>
      <c r="BP161">
        <v>-1.4600000000000002</v>
      </c>
      <c r="BQ161">
        <v>9</v>
      </c>
      <c r="BR161">
        <v>10</v>
      </c>
      <c r="BS161">
        <v>10</v>
      </c>
      <c r="BT161">
        <v>0.90739999999999976</v>
      </c>
      <c r="BU161">
        <v>16</v>
      </c>
      <c r="BV161">
        <v>0.84999999999999931</v>
      </c>
      <c r="BW161">
        <v>4</v>
      </c>
      <c r="BX161">
        <v>1.61</v>
      </c>
      <c r="BY161">
        <v>9</v>
      </c>
      <c r="BZ161">
        <v>9.6666666666666661</v>
      </c>
      <c r="CA161">
        <v>14</v>
      </c>
      <c r="CB161">
        <v>0.25999999999999834</v>
      </c>
      <c r="CC161">
        <v>12</v>
      </c>
      <c r="CD161">
        <v>5.6</v>
      </c>
      <c r="CE161">
        <v>3</v>
      </c>
      <c r="CF161">
        <v>3.11</v>
      </c>
      <c r="CG161">
        <v>8</v>
      </c>
      <c r="CH161">
        <v>8.6666666666666661</v>
      </c>
      <c r="CI161">
        <v>6</v>
      </c>
      <c r="CJ161">
        <v>3.278</v>
      </c>
      <c r="CK161">
        <v>13</v>
      </c>
      <c r="CL161">
        <v>3.4799999999999995</v>
      </c>
      <c r="CM161">
        <v>7</v>
      </c>
      <c r="CN161">
        <v>1.23</v>
      </c>
      <c r="CO161">
        <v>20</v>
      </c>
      <c r="CP161">
        <v>21</v>
      </c>
      <c r="CQ161">
        <v>29</v>
      </c>
      <c r="CR161">
        <v>-1.92</v>
      </c>
      <c r="CS161">
        <v>13</v>
      </c>
      <c r="CT161">
        <v>0.11000000000000001</v>
      </c>
      <c r="CU161">
        <v>-0.86999999999999988</v>
      </c>
      <c r="CV161">
        <v>11</v>
      </c>
      <c r="CW161">
        <v>14</v>
      </c>
      <c r="CX161">
        <v>19</v>
      </c>
      <c r="CY161">
        <v>-1.656713055420525E-2</v>
      </c>
      <c r="CZ161">
        <v>16</v>
      </c>
      <c r="DA161">
        <v>-3.9293963617368922E-4</v>
      </c>
      <c r="DB161">
        <v>3</v>
      </c>
      <c r="DC161">
        <v>-0.17685786435786435</v>
      </c>
      <c r="DD161">
        <v>18</v>
      </c>
      <c r="DE161">
        <v>-0.2900000000000002</v>
      </c>
      <c r="DF161">
        <v>0.65000000000000147</v>
      </c>
      <c r="DG161">
        <v>-3.5600000000000009</v>
      </c>
      <c r="DH161">
        <v>-1.55</v>
      </c>
      <c r="DI161">
        <v>-22.470000000000006</v>
      </c>
      <c r="DJ161">
        <v>-11.660000000000002</v>
      </c>
      <c r="DK161">
        <v>-21.5</v>
      </c>
      <c r="DL161">
        <v>6.5400000000000009</v>
      </c>
      <c r="DM161">
        <v>4.1500000000000004</v>
      </c>
      <c r="DN161">
        <v>5</v>
      </c>
      <c r="DO161">
        <v>7.5574000000000012</v>
      </c>
      <c r="DP161">
        <v>4.472500000000001</v>
      </c>
      <c r="DQ161">
        <v>9.8399999999999981</v>
      </c>
      <c r="DR161">
        <v>28</v>
      </c>
      <c r="DS161">
        <v>-0.95737500000000031</v>
      </c>
      <c r="DT161">
        <v>4.4399999999999995</v>
      </c>
      <c r="DU161">
        <v>-0.91410000000000013</v>
      </c>
      <c r="DV161">
        <v>-1.1310000000000002</v>
      </c>
      <c r="DW161" t="s">
        <v>301</v>
      </c>
      <c r="DX161" t="s">
        <v>279</v>
      </c>
      <c r="DY161" t="s">
        <v>484</v>
      </c>
      <c r="DZ161">
        <v>32</v>
      </c>
      <c r="EA161">
        <v>-6.7896000000000001</v>
      </c>
      <c r="EB161">
        <v>3</v>
      </c>
      <c r="EC161">
        <v>8</v>
      </c>
      <c r="ED161">
        <v>1</v>
      </c>
      <c r="EE161">
        <v>11.672000000000001</v>
      </c>
      <c r="EF161">
        <v>21</v>
      </c>
      <c r="EG161">
        <v>-1.2000000000000002</v>
      </c>
      <c r="EH161">
        <v>9</v>
      </c>
      <c r="EI161">
        <v>14.92</v>
      </c>
      <c r="EJ161">
        <v>1</v>
      </c>
      <c r="EK161">
        <v>2.2800000000000002</v>
      </c>
      <c r="EL161">
        <v>5</v>
      </c>
      <c r="EM161">
        <v>9</v>
      </c>
      <c r="EN161">
        <v>1</v>
      </c>
      <c r="EO161">
        <v>10.164</v>
      </c>
      <c r="EP161">
        <v>26</v>
      </c>
      <c r="EQ161">
        <v>-1.3200000000000003</v>
      </c>
      <c r="ER161">
        <v>8</v>
      </c>
      <c r="ES161">
        <v>9.24</v>
      </c>
      <c r="ET161">
        <v>1</v>
      </c>
      <c r="EU161">
        <v>1.8800000000000001</v>
      </c>
      <c r="EV161">
        <v>8</v>
      </c>
      <c r="EW161">
        <v>9.6666666666666661</v>
      </c>
      <c r="EX161">
        <v>6</v>
      </c>
      <c r="EY161">
        <v>1.508</v>
      </c>
      <c r="EZ161">
        <v>16</v>
      </c>
      <c r="FA161">
        <v>0.12000000000000011</v>
      </c>
      <c r="FB161">
        <v>7</v>
      </c>
      <c r="FC161">
        <v>5.68</v>
      </c>
      <c r="FD161">
        <v>10</v>
      </c>
      <c r="FE161">
        <v>0.4</v>
      </c>
      <c r="FF161">
        <v>29</v>
      </c>
      <c r="FG161">
        <v>27</v>
      </c>
      <c r="FH161">
        <v>29</v>
      </c>
      <c r="FI161">
        <v>-6.3839999999999995</v>
      </c>
      <c r="FJ161">
        <v>30</v>
      </c>
      <c r="FK161">
        <v>-31.64</v>
      </c>
      <c r="FL161">
        <v>22</v>
      </c>
      <c r="FM161">
        <v>-0.87999999999999945</v>
      </c>
      <c r="FN161">
        <v>5</v>
      </c>
      <c r="FO161">
        <v>5.333333333333333</v>
      </c>
      <c r="FP161">
        <v>7</v>
      </c>
      <c r="FQ161">
        <v>3.1040000000000001</v>
      </c>
      <c r="FR161">
        <v>7</v>
      </c>
      <c r="FS161">
        <v>10.360000000000001</v>
      </c>
      <c r="FT161">
        <v>2</v>
      </c>
      <c r="FU161">
        <v>2.0000000000000004</v>
      </c>
      <c r="FV161">
        <v>31</v>
      </c>
      <c r="FW161">
        <v>30</v>
      </c>
      <c r="FX161">
        <v>31</v>
      </c>
      <c r="FY161">
        <v>-5.2</v>
      </c>
      <c r="FZ161">
        <v>29</v>
      </c>
      <c r="GA161">
        <v>-18.680000000000003</v>
      </c>
      <c r="GB161">
        <v>30</v>
      </c>
      <c r="GC161">
        <v>-1.2799999999999998</v>
      </c>
      <c r="GD161">
        <v>32</v>
      </c>
      <c r="GE161">
        <v>31.666666666666668</v>
      </c>
      <c r="GF161">
        <v>32</v>
      </c>
      <c r="GG161">
        <v>-4.2879999999999994</v>
      </c>
      <c r="GH161">
        <v>32</v>
      </c>
      <c r="GI161">
        <v>-23.32</v>
      </c>
      <c r="GJ161">
        <v>31</v>
      </c>
      <c r="GK161">
        <v>-1.6</v>
      </c>
      <c r="GL161">
        <v>9</v>
      </c>
      <c r="GM161">
        <v>11</v>
      </c>
      <c r="GN161">
        <v>12</v>
      </c>
      <c r="GO161">
        <v>0.89600000000000013</v>
      </c>
      <c r="GP161">
        <v>15</v>
      </c>
      <c r="GQ161">
        <v>0.15999999999999942</v>
      </c>
      <c r="GR161">
        <v>6</v>
      </c>
      <c r="GS161">
        <v>1.0000000000000002</v>
      </c>
      <c r="GT161">
        <v>28</v>
      </c>
      <c r="GU161">
        <v>26</v>
      </c>
      <c r="GV161">
        <v>28</v>
      </c>
      <c r="GW161">
        <v>-3.3159999999999998</v>
      </c>
      <c r="GX161">
        <v>28</v>
      </c>
      <c r="GY161">
        <v>-11.959999999999999</v>
      </c>
      <c r="GZ161">
        <v>22</v>
      </c>
      <c r="HA161">
        <v>-0.43999999999999984</v>
      </c>
      <c r="HB161">
        <v>23</v>
      </c>
      <c r="HC161">
        <v>25</v>
      </c>
      <c r="HD161">
        <v>20</v>
      </c>
      <c r="HE161">
        <v>-0.75999999999999979</v>
      </c>
      <c r="HF161">
        <v>30</v>
      </c>
      <c r="HG161">
        <v>-0.8</v>
      </c>
      <c r="HH161">
        <v>-0.68000000000000027</v>
      </c>
      <c r="HI161">
        <v>20</v>
      </c>
      <c r="HJ161">
        <v>18.75</v>
      </c>
      <c r="HK161">
        <v>26</v>
      </c>
      <c r="HL161">
        <v>-4.0463405910694257E-2</v>
      </c>
      <c r="HM161">
        <v>26</v>
      </c>
      <c r="HN161">
        <v>-1.9587103934301332E-2</v>
      </c>
      <c r="HO161">
        <v>4</v>
      </c>
      <c r="HP161">
        <v>-7.9642951819422422E-2</v>
      </c>
      <c r="HQ161">
        <v>19</v>
      </c>
      <c r="HR161">
        <v>-0.67999999999999994</v>
      </c>
      <c r="HS161">
        <v>-3.3599999999999994</v>
      </c>
      <c r="HT161">
        <v>-2.04</v>
      </c>
      <c r="HU161">
        <v>-0.36</v>
      </c>
      <c r="HV161">
        <v>-37</v>
      </c>
      <c r="HW161">
        <v>-50.64</v>
      </c>
      <c r="HX161">
        <v>11.000000000000004</v>
      </c>
      <c r="HY161">
        <v>1.2</v>
      </c>
      <c r="HZ161">
        <v>1.4400000000000008</v>
      </c>
      <c r="IA161">
        <v>32</v>
      </c>
      <c r="IB161">
        <v>-18.461600000000001</v>
      </c>
      <c r="IC161">
        <v>-9.1339199999999998</v>
      </c>
      <c r="ID161">
        <v>-61.64</v>
      </c>
      <c r="IE161">
        <v>1</v>
      </c>
      <c r="IF161">
        <v>-0.69719999999999993</v>
      </c>
      <c r="IG161">
        <v>-1.3199999999999994</v>
      </c>
    </row>
    <row r="162" spans="1:241" x14ac:dyDescent="0.2">
      <c r="A162" s="19">
        <v>44122</v>
      </c>
      <c r="B162" s="13" t="s">
        <v>252</v>
      </c>
      <c r="C162" s="17" t="s">
        <v>272</v>
      </c>
      <c r="D162" s="14" t="s">
        <v>289</v>
      </c>
      <c r="E162">
        <v>12.9</v>
      </c>
      <c r="F162">
        <v>21.7</v>
      </c>
      <c r="G162">
        <v>17.600000000000001</v>
      </c>
      <c r="H162">
        <v>0</v>
      </c>
      <c r="I162">
        <v>7</v>
      </c>
      <c r="J162">
        <v>46</v>
      </c>
      <c r="K162" t="s">
        <v>735</v>
      </c>
      <c r="L162" t="s">
        <v>272</v>
      </c>
      <c r="M162">
        <v>24</v>
      </c>
      <c r="N162">
        <v>-3.6536000000000008</v>
      </c>
      <c r="O162">
        <v>9</v>
      </c>
      <c r="P162">
        <v>12.25</v>
      </c>
      <c r="Q162">
        <v>16</v>
      </c>
      <c r="R162">
        <v>0.22399999999999909</v>
      </c>
      <c r="S162">
        <v>10</v>
      </c>
      <c r="T162">
        <v>1.8400000000000007</v>
      </c>
      <c r="U162">
        <v>15</v>
      </c>
      <c r="V162">
        <v>6.24</v>
      </c>
      <c r="W162">
        <v>8</v>
      </c>
      <c r="X162">
        <v>0.76000000000000012</v>
      </c>
      <c r="Y162">
        <v>13</v>
      </c>
      <c r="Z162">
        <v>13.333333333333334</v>
      </c>
      <c r="AA162">
        <v>13</v>
      </c>
      <c r="AB162">
        <v>1.2719999999999989</v>
      </c>
      <c r="AC162">
        <v>3</v>
      </c>
      <c r="AD162">
        <v>4.9600000000000009</v>
      </c>
      <c r="AE162">
        <v>8</v>
      </c>
      <c r="AF162">
        <v>15.24</v>
      </c>
      <c r="AG162">
        <v>19</v>
      </c>
      <c r="AH162">
        <v>-0.31999999999999995</v>
      </c>
      <c r="AI162">
        <v>18</v>
      </c>
      <c r="AJ162">
        <v>18</v>
      </c>
      <c r="AK162">
        <v>22</v>
      </c>
      <c r="AL162">
        <v>-1.0479999999999998</v>
      </c>
      <c r="AM162">
        <v>31</v>
      </c>
      <c r="AN162">
        <v>-3.12</v>
      </c>
      <c r="AO162">
        <v>27</v>
      </c>
      <c r="AP162">
        <v>-9</v>
      </c>
      <c r="AQ162">
        <v>5</v>
      </c>
      <c r="AR162">
        <v>1.08</v>
      </c>
      <c r="AS162">
        <v>17</v>
      </c>
      <c r="AT162">
        <v>16.333333333333332</v>
      </c>
      <c r="AU162">
        <v>23</v>
      </c>
      <c r="AV162">
        <v>-3.6959999999999988</v>
      </c>
      <c r="AW162">
        <v>19</v>
      </c>
      <c r="AX162">
        <v>-11.079999999999995</v>
      </c>
      <c r="AY162">
        <v>7</v>
      </c>
      <c r="AZ162">
        <v>3.16</v>
      </c>
      <c r="BA162">
        <v>15</v>
      </c>
      <c r="BB162">
        <v>15.333333333333334</v>
      </c>
      <c r="BC162">
        <v>19</v>
      </c>
      <c r="BD162">
        <v>-1.268</v>
      </c>
      <c r="BE162">
        <v>12</v>
      </c>
      <c r="BF162">
        <v>4.6800000000000015</v>
      </c>
      <c r="BG162">
        <v>15</v>
      </c>
      <c r="BH162">
        <v>0.20000000000000034</v>
      </c>
      <c r="BI162">
        <v>21</v>
      </c>
      <c r="BJ162">
        <v>21</v>
      </c>
      <c r="BK162">
        <v>31</v>
      </c>
      <c r="BL162">
        <v>-5.1399999999999988</v>
      </c>
      <c r="BM162">
        <v>30</v>
      </c>
      <c r="BN162">
        <v>-20.439999999999998</v>
      </c>
      <c r="BO162">
        <v>2</v>
      </c>
      <c r="BP162">
        <v>1.8399999999999999</v>
      </c>
      <c r="BQ162">
        <v>7</v>
      </c>
      <c r="BR162">
        <v>7.666666666666667</v>
      </c>
      <c r="BS162">
        <v>6</v>
      </c>
      <c r="BT162">
        <v>2.7119999999999997</v>
      </c>
      <c r="BU162">
        <v>11</v>
      </c>
      <c r="BV162">
        <v>4.6800000000000006</v>
      </c>
      <c r="BW162">
        <v>6</v>
      </c>
      <c r="BX162">
        <v>1.1200000000000001</v>
      </c>
      <c r="BY162">
        <v>23</v>
      </c>
      <c r="BZ162">
        <v>22.333333333333332</v>
      </c>
      <c r="CA162">
        <v>28</v>
      </c>
      <c r="CB162">
        <v>-5.2440000000000015</v>
      </c>
      <c r="CC162">
        <v>24</v>
      </c>
      <c r="CD162">
        <v>-15.24</v>
      </c>
      <c r="CE162">
        <v>15</v>
      </c>
      <c r="CF162">
        <v>0.19999999999999965</v>
      </c>
      <c r="CG162">
        <v>23</v>
      </c>
      <c r="CH162">
        <v>23.666666666666668</v>
      </c>
      <c r="CI162">
        <v>28</v>
      </c>
      <c r="CJ162">
        <v>-4.4279999999999999</v>
      </c>
      <c r="CK162">
        <v>26</v>
      </c>
      <c r="CL162">
        <v>-12.360000000000003</v>
      </c>
      <c r="CM162">
        <v>17</v>
      </c>
      <c r="CN162">
        <v>-0.4</v>
      </c>
      <c r="CO162">
        <v>2</v>
      </c>
      <c r="CP162">
        <v>2.5</v>
      </c>
      <c r="CQ162">
        <v>3</v>
      </c>
      <c r="CR162">
        <v>2.4</v>
      </c>
      <c r="CS162">
        <v>2</v>
      </c>
      <c r="CT162">
        <v>0.79999999999999982</v>
      </c>
      <c r="CU162">
        <v>-2.6399999999999997</v>
      </c>
      <c r="CV162">
        <v>1</v>
      </c>
      <c r="CW162">
        <v>6</v>
      </c>
      <c r="CX162">
        <v>5</v>
      </c>
      <c r="CY162">
        <v>7.3258486945301543E-2</v>
      </c>
      <c r="CZ162">
        <v>1</v>
      </c>
      <c r="DA162">
        <v>3.5916622138106168E-2</v>
      </c>
      <c r="DB162">
        <v>14</v>
      </c>
      <c r="DC162">
        <v>9.31973581973582E-3</v>
      </c>
      <c r="DD162">
        <v>4</v>
      </c>
      <c r="DE162">
        <v>3.3600000000000003</v>
      </c>
      <c r="DF162">
        <v>5.5600000000000023</v>
      </c>
      <c r="DG162">
        <v>-4.9999999999999991</v>
      </c>
      <c r="DH162">
        <v>-0.27999999999999997</v>
      </c>
      <c r="DI162">
        <v>-27.560000000000002</v>
      </c>
      <c r="DJ162">
        <v>-23</v>
      </c>
      <c r="DK162">
        <v>1.0399999999999978</v>
      </c>
      <c r="DL162">
        <v>-7.6399999999999988</v>
      </c>
      <c r="DM162">
        <v>2.0399999999999996</v>
      </c>
      <c r="DN162">
        <v>23</v>
      </c>
      <c r="DO162">
        <v>-3.8775999999999993</v>
      </c>
      <c r="DP162">
        <v>-2.4675199999999995</v>
      </c>
      <c r="DQ162">
        <v>-24.04</v>
      </c>
      <c r="DR162">
        <v>10</v>
      </c>
      <c r="DS162">
        <v>-1.1441999999999999</v>
      </c>
      <c r="DT162">
        <v>2.7600000000000002</v>
      </c>
      <c r="DU162">
        <v>-1.0473999999999999</v>
      </c>
      <c r="DV162">
        <v>0.27200000000000008</v>
      </c>
      <c r="DW162" t="s">
        <v>289</v>
      </c>
      <c r="DX162" t="s">
        <v>274</v>
      </c>
      <c r="DY162" t="s">
        <v>488</v>
      </c>
      <c r="DZ162">
        <v>30</v>
      </c>
      <c r="EA162">
        <v>-4.7504000000000008</v>
      </c>
      <c r="EB162">
        <v>32</v>
      </c>
      <c r="EC162">
        <v>27.75</v>
      </c>
      <c r="ED162">
        <v>32</v>
      </c>
      <c r="EE162">
        <v>-7.26</v>
      </c>
      <c r="EF162">
        <v>27</v>
      </c>
      <c r="EG162">
        <v>-3.0399999999999991</v>
      </c>
      <c r="EH162">
        <v>31</v>
      </c>
      <c r="EI162">
        <v>-30</v>
      </c>
      <c r="EJ162">
        <v>21</v>
      </c>
      <c r="EK162">
        <v>-0.52000000000000013</v>
      </c>
      <c r="EL162">
        <v>27</v>
      </c>
      <c r="EM162">
        <v>22.5</v>
      </c>
      <c r="EN162">
        <v>27</v>
      </c>
      <c r="EO162">
        <v>-3.7679999999999993</v>
      </c>
      <c r="EP162">
        <v>18</v>
      </c>
      <c r="EQ162">
        <v>-0.11999999999999922</v>
      </c>
      <c r="ER162">
        <v>27</v>
      </c>
      <c r="ES162">
        <v>-12.919999999999998</v>
      </c>
      <c r="ET162">
        <v>18</v>
      </c>
      <c r="EU162">
        <v>-0.24000000000000013</v>
      </c>
      <c r="EV162">
        <v>32</v>
      </c>
      <c r="EW162">
        <v>31.666666666666668</v>
      </c>
      <c r="EX162">
        <v>32</v>
      </c>
      <c r="EY162">
        <v>-3.492</v>
      </c>
      <c r="EZ162">
        <v>31</v>
      </c>
      <c r="FA162">
        <v>-2.92</v>
      </c>
      <c r="FB162">
        <v>32</v>
      </c>
      <c r="FC162">
        <v>-17.080000000000002</v>
      </c>
      <c r="FD162">
        <v>23</v>
      </c>
      <c r="FE162">
        <v>-0.28000000000000003</v>
      </c>
      <c r="FF162">
        <v>27</v>
      </c>
      <c r="FG162">
        <v>25.333333333333332</v>
      </c>
      <c r="FH162">
        <v>24</v>
      </c>
      <c r="FI162">
        <v>-4.1520000000000019</v>
      </c>
      <c r="FJ162">
        <v>26</v>
      </c>
      <c r="FK162">
        <v>-16.84</v>
      </c>
      <c r="FL162">
        <v>26</v>
      </c>
      <c r="FM162">
        <v>-1.56</v>
      </c>
      <c r="FN162">
        <v>30</v>
      </c>
      <c r="FO162">
        <v>28.666666666666668</v>
      </c>
      <c r="FP162">
        <v>29</v>
      </c>
      <c r="FQ162">
        <v>-4.3128000000000011</v>
      </c>
      <c r="FR162">
        <v>30</v>
      </c>
      <c r="FS162">
        <v>-15.8</v>
      </c>
      <c r="FT162">
        <v>27</v>
      </c>
      <c r="FU162">
        <v>-1.6400000000000001</v>
      </c>
      <c r="FV162">
        <v>27</v>
      </c>
      <c r="FW162">
        <v>24.666666666666668</v>
      </c>
      <c r="FX162">
        <v>22</v>
      </c>
      <c r="FY162">
        <v>-2.3032000000000004</v>
      </c>
      <c r="FZ162">
        <v>26</v>
      </c>
      <c r="GA162">
        <v>-9.8000000000000007</v>
      </c>
      <c r="GB162">
        <v>26</v>
      </c>
      <c r="GC162">
        <v>-0.76</v>
      </c>
      <c r="GD162">
        <v>3</v>
      </c>
      <c r="GE162">
        <v>5</v>
      </c>
      <c r="GF162">
        <v>4</v>
      </c>
      <c r="GG162">
        <v>2.4639999999999995</v>
      </c>
      <c r="GH162">
        <v>4</v>
      </c>
      <c r="GI162">
        <v>8.7600000000000016</v>
      </c>
      <c r="GJ162">
        <v>7</v>
      </c>
      <c r="GK162">
        <v>0.84000000000000019</v>
      </c>
      <c r="GL162">
        <v>14</v>
      </c>
      <c r="GM162">
        <v>16.666666666666668</v>
      </c>
      <c r="GN162">
        <v>17</v>
      </c>
      <c r="GO162">
        <v>-1.1519999999999999</v>
      </c>
      <c r="GP162">
        <v>23</v>
      </c>
      <c r="GQ162">
        <v>-12.320000000000002</v>
      </c>
      <c r="GR162">
        <v>10</v>
      </c>
      <c r="GS162">
        <v>0.36000000000000049</v>
      </c>
      <c r="GT162">
        <v>23</v>
      </c>
      <c r="GU162">
        <v>21</v>
      </c>
      <c r="GV162">
        <v>25</v>
      </c>
      <c r="GW162">
        <v>-2.3720000000000008</v>
      </c>
      <c r="GX162">
        <v>21</v>
      </c>
      <c r="GY162">
        <v>-3.3200000000000003</v>
      </c>
      <c r="GZ162">
        <v>17</v>
      </c>
      <c r="HA162">
        <v>-0.15999999999999986</v>
      </c>
      <c r="HB162">
        <v>18</v>
      </c>
      <c r="HC162">
        <v>18.5</v>
      </c>
      <c r="HD162">
        <v>18</v>
      </c>
      <c r="HE162">
        <v>-0.3999999999999998</v>
      </c>
      <c r="HF162">
        <v>19</v>
      </c>
      <c r="HG162">
        <v>-0.32</v>
      </c>
      <c r="HH162">
        <v>0.59999999999999987</v>
      </c>
      <c r="HI162">
        <v>15</v>
      </c>
      <c r="HJ162">
        <v>16</v>
      </c>
      <c r="HK162">
        <v>32</v>
      </c>
      <c r="HL162">
        <v>-8.6634335967895118E-2</v>
      </c>
      <c r="HM162">
        <v>28</v>
      </c>
      <c r="HN162">
        <v>-1.9918075254197358E-2</v>
      </c>
      <c r="HO162">
        <v>2</v>
      </c>
      <c r="HP162">
        <v>-0.14187301587301587</v>
      </c>
      <c r="HQ162">
        <v>2</v>
      </c>
      <c r="HR162">
        <v>5.64</v>
      </c>
      <c r="HS162">
        <v>-2.9200000000000004</v>
      </c>
      <c r="HT162">
        <v>-6.6400000000000006</v>
      </c>
      <c r="HU162">
        <v>1.1600000000000001</v>
      </c>
      <c r="HV162">
        <v>-84.6</v>
      </c>
      <c r="HW162">
        <v>-41.6</v>
      </c>
      <c r="HX162">
        <v>-30.639999999999997</v>
      </c>
      <c r="HY162">
        <v>-7.6400000000000006</v>
      </c>
      <c r="HZ162">
        <v>-4.7199999999999989</v>
      </c>
      <c r="IA162">
        <v>11</v>
      </c>
      <c r="IB162">
        <v>2.5095999999999989</v>
      </c>
      <c r="IC162">
        <v>1.375119999999999</v>
      </c>
      <c r="ID162">
        <v>-10.960000000000004</v>
      </c>
      <c r="IE162">
        <v>22</v>
      </c>
      <c r="IF162">
        <v>-2.3668</v>
      </c>
      <c r="IG162">
        <v>-1.72</v>
      </c>
    </row>
    <row r="163" spans="1:241" x14ac:dyDescent="0.2">
      <c r="A163" s="19">
        <v>44122</v>
      </c>
      <c r="B163" s="13" t="s">
        <v>252</v>
      </c>
      <c r="C163" s="41" t="s">
        <v>281</v>
      </c>
      <c r="D163" s="14" t="s">
        <v>309</v>
      </c>
      <c r="E163">
        <v>4.5</v>
      </c>
      <c r="F163">
        <v>7</v>
      </c>
      <c r="G163">
        <v>8.3000000000000007</v>
      </c>
      <c r="H163">
        <v>10.199999999999999</v>
      </c>
      <c r="I163">
        <v>3</v>
      </c>
      <c r="J163">
        <v>50.5</v>
      </c>
      <c r="L163" t="s">
        <v>281</v>
      </c>
      <c r="M163">
        <v>26</v>
      </c>
      <c r="N163">
        <v>-3.9727999999999994</v>
      </c>
      <c r="O163">
        <v>3</v>
      </c>
      <c r="P163">
        <v>7</v>
      </c>
      <c r="Q163">
        <v>1</v>
      </c>
      <c r="R163">
        <v>12.152000000000001</v>
      </c>
      <c r="S163">
        <v>1</v>
      </c>
      <c r="T163">
        <v>7.2400000000000011</v>
      </c>
      <c r="U163">
        <v>1</v>
      </c>
      <c r="V163">
        <v>61.76</v>
      </c>
      <c r="W163">
        <v>25</v>
      </c>
      <c r="X163">
        <v>-0.96000000000000008</v>
      </c>
      <c r="Y163">
        <v>11</v>
      </c>
      <c r="Z163">
        <v>12.333333333333334</v>
      </c>
      <c r="AA163">
        <v>6</v>
      </c>
      <c r="AB163">
        <v>5.48</v>
      </c>
      <c r="AC163">
        <v>11</v>
      </c>
      <c r="AD163">
        <v>0.72000000000000064</v>
      </c>
      <c r="AE163">
        <v>2</v>
      </c>
      <c r="AF163">
        <v>22.4</v>
      </c>
      <c r="AG163">
        <v>29</v>
      </c>
      <c r="AH163">
        <v>-1.48</v>
      </c>
      <c r="AI163">
        <v>1</v>
      </c>
      <c r="AJ163">
        <v>3.6666666666666665</v>
      </c>
      <c r="AK163">
        <v>1</v>
      </c>
      <c r="AL163">
        <v>6.6719999999999997</v>
      </c>
      <c r="AM163">
        <v>1</v>
      </c>
      <c r="AN163">
        <v>6.5200000000000005</v>
      </c>
      <c r="AO163">
        <v>1</v>
      </c>
      <c r="AP163">
        <v>39.36</v>
      </c>
      <c r="AQ163">
        <v>9</v>
      </c>
      <c r="AR163">
        <v>0.51999999999999991</v>
      </c>
      <c r="AS163">
        <v>23</v>
      </c>
      <c r="AT163">
        <v>22.333333333333332</v>
      </c>
      <c r="AU163">
        <v>19</v>
      </c>
      <c r="AV163">
        <v>-2.0560000000000023</v>
      </c>
      <c r="AW163">
        <v>23</v>
      </c>
      <c r="AX163">
        <v>-16.8</v>
      </c>
      <c r="AY163">
        <v>25</v>
      </c>
      <c r="AZ163">
        <v>-1.9600000000000002</v>
      </c>
      <c r="BA163">
        <v>16</v>
      </c>
      <c r="BB163">
        <v>17.333333333333332</v>
      </c>
      <c r="BC163">
        <v>15</v>
      </c>
      <c r="BD163">
        <v>-0.4368000000000018</v>
      </c>
      <c r="BE163">
        <v>21</v>
      </c>
      <c r="BF163">
        <v>-8.4799999999999986</v>
      </c>
      <c r="BG163">
        <v>16</v>
      </c>
      <c r="BH163">
        <v>-1.7763568394002506E-16</v>
      </c>
      <c r="BI163">
        <v>13</v>
      </c>
      <c r="BJ163">
        <v>15.333333333333334</v>
      </c>
      <c r="BK163">
        <v>17</v>
      </c>
      <c r="BL163">
        <v>-0.23920000000000066</v>
      </c>
      <c r="BM163">
        <v>11</v>
      </c>
      <c r="BN163">
        <v>3.12</v>
      </c>
      <c r="BO163">
        <v>18</v>
      </c>
      <c r="BP163">
        <v>-0.15999999999999998</v>
      </c>
      <c r="BQ163">
        <v>29</v>
      </c>
      <c r="BR163">
        <v>26</v>
      </c>
      <c r="BS163">
        <v>23</v>
      </c>
      <c r="BT163">
        <v>-1.38</v>
      </c>
      <c r="BU163">
        <v>25</v>
      </c>
      <c r="BV163">
        <v>-11.440000000000001</v>
      </c>
      <c r="BW163">
        <v>30</v>
      </c>
      <c r="BX163">
        <v>-1.8</v>
      </c>
      <c r="BY163">
        <v>27</v>
      </c>
      <c r="BZ163">
        <v>26.333333333333332</v>
      </c>
      <c r="CA163">
        <v>25</v>
      </c>
      <c r="CB163">
        <v>-3.9840000000000004</v>
      </c>
      <c r="CC163">
        <v>23</v>
      </c>
      <c r="CD163">
        <v>-13.840000000000003</v>
      </c>
      <c r="CE163">
        <v>31</v>
      </c>
      <c r="CF163">
        <v>-3.28</v>
      </c>
      <c r="CG163">
        <v>16</v>
      </c>
      <c r="CH163">
        <v>17.333333333333332</v>
      </c>
      <c r="CI163">
        <v>17</v>
      </c>
      <c r="CJ163">
        <v>-0.46000000000000069</v>
      </c>
      <c r="CK163">
        <v>22</v>
      </c>
      <c r="CL163">
        <v>-6.6399999999999988</v>
      </c>
      <c r="CM163">
        <v>13</v>
      </c>
      <c r="CN163">
        <v>0.27999999999999992</v>
      </c>
      <c r="CO163">
        <v>22</v>
      </c>
      <c r="CP163">
        <v>22.5</v>
      </c>
      <c r="CQ163">
        <v>15</v>
      </c>
      <c r="CR163">
        <v>-1.7763568394002506E-16</v>
      </c>
      <c r="CS163">
        <v>30</v>
      </c>
      <c r="CT163">
        <v>-0.6</v>
      </c>
      <c r="CU163">
        <v>0.31999999999999984</v>
      </c>
      <c r="CV163">
        <v>29</v>
      </c>
      <c r="CW163">
        <v>23.5</v>
      </c>
      <c r="CX163">
        <v>16</v>
      </c>
      <c r="CY163">
        <v>-4.2847460262088414E-3</v>
      </c>
      <c r="CZ163">
        <v>25</v>
      </c>
      <c r="DA163">
        <v>-1.3473159141610503E-2</v>
      </c>
      <c r="DB163">
        <v>24</v>
      </c>
      <c r="DC163">
        <v>6.8199134199134204E-2</v>
      </c>
      <c r="DD163">
        <v>29</v>
      </c>
      <c r="DE163">
        <v>-2.7600000000000002</v>
      </c>
      <c r="DF163">
        <v>0.48000000000000254</v>
      </c>
      <c r="DG163">
        <v>5.92</v>
      </c>
      <c r="DH163">
        <v>0.8</v>
      </c>
      <c r="DI163">
        <v>21.639999999999997</v>
      </c>
      <c r="DJ163">
        <v>-42.519999999999996</v>
      </c>
      <c r="DK163">
        <v>65.88</v>
      </c>
      <c r="DL163">
        <v>7.3999999999999986</v>
      </c>
      <c r="DM163">
        <v>-9.1199999999999992</v>
      </c>
      <c r="DN163">
        <v>32</v>
      </c>
      <c r="DO163">
        <v>-16.1248</v>
      </c>
      <c r="DP163">
        <v>-7.3737600000000008</v>
      </c>
      <c r="DQ163">
        <v>-108.39999999999999</v>
      </c>
      <c r="DR163">
        <v>1</v>
      </c>
      <c r="DS163">
        <v>0.70789999999999986</v>
      </c>
      <c r="DT163">
        <v>-1.6800000000000002</v>
      </c>
      <c r="DU163">
        <v>1.3101374999999997</v>
      </c>
      <c r="DV163">
        <v>2.0234000000000001</v>
      </c>
      <c r="DW163" t="s">
        <v>309</v>
      </c>
      <c r="DX163" t="s">
        <v>271</v>
      </c>
      <c r="DY163" t="s">
        <v>521</v>
      </c>
      <c r="DZ163">
        <v>9</v>
      </c>
      <c r="EA163">
        <v>2.1624999999999988</v>
      </c>
      <c r="EB163">
        <v>23</v>
      </c>
      <c r="EC163">
        <v>21</v>
      </c>
      <c r="ED163">
        <v>14</v>
      </c>
      <c r="EE163">
        <v>0.59499999999999842</v>
      </c>
      <c r="EF163">
        <v>23</v>
      </c>
      <c r="EG163">
        <v>-1.5500000000000003</v>
      </c>
      <c r="EH163">
        <v>27</v>
      </c>
      <c r="EI163">
        <v>-18.687500000000004</v>
      </c>
      <c r="EJ163">
        <v>20</v>
      </c>
      <c r="EK163">
        <v>-0.24999999999999989</v>
      </c>
      <c r="EL163">
        <v>9</v>
      </c>
      <c r="EM163">
        <v>13</v>
      </c>
      <c r="EN163">
        <v>6</v>
      </c>
      <c r="EO163">
        <v>2.1549999999999985</v>
      </c>
      <c r="EP163">
        <v>11</v>
      </c>
      <c r="EQ163">
        <v>0.78750000000000009</v>
      </c>
      <c r="ER163">
        <v>25</v>
      </c>
      <c r="ES163">
        <v>-10.962500000000002</v>
      </c>
      <c r="ET163">
        <v>10</v>
      </c>
      <c r="EU163">
        <v>0.46250000000000002</v>
      </c>
      <c r="EV163">
        <v>30</v>
      </c>
      <c r="EW163">
        <v>29</v>
      </c>
      <c r="EX163">
        <v>28</v>
      </c>
      <c r="EY163">
        <v>-1.56</v>
      </c>
      <c r="EZ163">
        <v>30</v>
      </c>
      <c r="FA163">
        <v>-2.3375000000000004</v>
      </c>
      <c r="FB163">
        <v>29</v>
      </c>
      <c r="FC163">
        <v>-7.7250000000000005</v>
      </c>
      <c r="FD163">
        <v>27</v>
      </c>
      <c r="FE163">
        <v>-0.71249999999999991</v>
      </c>
      <c r="FF163">
        <v>3</v>
      </c>
      <c r="FG163">
        <v>3.6666666666666665</v>
      </c>
      <c r="FH163">
        <v>2</v>
      </c>
      <c r="FI163">
        <v>10.50625</v>
      </c>
      <c r="FJ163">
        <v>3</v>
      </c>
      <c r="FK163">
        <v>30.375</v>
      </c>
      <c r="FL163">
        <v>6</v>
      </c>
      <c r="FM163">
        <v>1.5000000000000004</v>
      </c>
      <c r="FN163">
        <v>4</v>
      </c>
      <c r="FO163">
        <v>4.666666666666667</v>
      </c>
      <c r="FP163">
        <v>3</v>
      </c>
      <c r="FQ163">
        <v>7.9975000000000005</v>
      </c>
      <c r="FR163">
        <v>2</v>
      </c>
      <c r="FS163">
        <v>25.174999999999997</v>
      </c>
      <c r="FT163">
        <v>9</v>
      </c>
      <c r="FU163">
        <v>0.76250000000000018</v>
      </c>
      <c r="FV163">
        <v>16</v>
      </c>
      <c r="FW163">
        <v>15.333333333333334</v>
      </c>
      <c r="FX163">
        <v>15</v>
      </c>
      <c r="FY163">
        <v>1.0537499999999991</v>
      </c>
      <c r="FZ163">
        <v>13</v>
      </c>
      <c r="GA163">
        <v>3.6624999999999996</v>
      </c>
      <c r="GB163">
        <v>18</v>
      </c>
      <c r="GC163">
        <v>-0.23749999999999982</v>
      </c>
      <c r="GD163">
        <v>5</v>
      </c>
      <c r="GE163">
        <v>8</v>
      </c>
      <c r="GF163">
        <v>6</v>
      </c>
      <c r="GG163">
        <v>1.4550000000000001</v>
      </c>
      <c r="GH163">
        <v>13</v>
      </c>
      <c r="GI163">
        <v>1.5374999999999996</v>
      </c>
      <c r="GJ163">
        <v>5</v>
      </c>
      <c r="GK163">
        <v>0.9750000000000002</v>
      </c>
      <c r="GL163">
        <v>7</v>
      </c>
      <c r="GM163">
        <v>7.666666666666667</v>
      </c>
      <c r="GN163">
        <v>7</v>
      </c>
      <c r="GO163">
        <v>2.9275000000000011</v>
      </c>
      <c r="GP163">
        <v>8</v>
      </c>
      <c r="GQ163">
        <v>9.7750000000000004</v>
      </c>
      <c r="GR163">
        <v>8</v>
      </c>
      <c r="GS163">
        <v>0.60000000000000009</v>
      </c>
      <c r="GT163">
        <v>29</v>
      </c>
      <c r="GU163">
        <v>28.333333333333332</v>
      </c>
      <c r="GV163">
        <v>30</v>
      </c>
      <c r="GW163">
        <v>-4.1262499999999989</v>
      </c>
      <c r="GX163">
        <v>30</v>
      </c>
      <c r="GY163">
        <v>-19.987499999999997</v>
      </c>
      <c r="GZ163">
        <v>25</v>
      </c>
      <c r="HA163">
        <v>-0.73750000000000016</v>
      </c>
      <c r="HB163">
        <v>32</v>
      </c>
      <c r="HC163">
        <v>31.5</v>
      </c>
      <c r="HD163">
        <v>32</v>
      </c>
      <c r="HE163">
        <v>-4.3625000000000007</v>
      </c>
      <c r="HF163">
        <v>31</v>
      </c>
      <c r="HG163">
        <v>-0.83749999999999991</v>
      </c>
      <c r="HH163">
        <v>-2.5375000000000001</v>
      </c>
      <c r="HI163">
        <v>5</v>
      </c>
      <c r="HJ163">
        <v>9.75</v>
      </c>
      <c r="HK163">
        <v>1</v>
      </c>
      <c r="HL163">
        <v>8.7716251381104823E-2</v>
      </c>
      <c r="HM163">
        <v>1</v>
      </c>
      <c r="HN163">
        <v>4.3360970602235677E-2</v>
      </c>
      <c r="HO163">
        <v>21</v>
      </c>
      <c r="HP163">
        <v>3.3881531480215679E-2</v>
      </c>
      <c r="HQ163">
        <v>16</v>
      </c>
      <c r="HR163">
        <v>-0.22500000000000009</v>
      </c>
      <c r="HS163">
        <v>-2.2124999999999986</v>
      </c>
      <c r="HT163">
        <v>2.125</v>
      </c>
      <c r="HU163">
        <v>-0.7</v>
      </c>
      <c r="HV163">
        <v>-1.4124999999999943</v>
      </c>
      <c r="HW163">
        <v>25.162500000000009</v>
      </c>
      <c r="HX163">
        <v>-18.987499999999997</v>
      </c>
      <c r="HY163">
        <v>1.2124999999999999</v>
      </c>
      <c r="HZ163">
        <v>-8.8000000000000007</v>
      </c>
      <c r="IA163">
        <v>15</v>
      </c>
      <c r="IB163">
        <v>1.5675000000000003</v>
      </c>
      <c r="IC163">
        <v>1.4110000000000009</v>
      </c>
      <c r="ID163">
        <v>44.150000000000006</v>
      </c>
      <c r="IE163">
        <v>18</v>
      </c>
      <c r="IF163">
        <v>0.5968749999999996</v>
      </c>
      <c r="IG163">
        <v>0.76250000000000029</v>
      </c>
    </row>
    <row r="164" spans="1:241" x14ac:dyDescent="0.2">
      <c r="A164" s="19">
        <v>44122</v>
      </c>
      <c r="B164" s="13" t="s">
        <v>252</v>
      </c>
      <c r="C164" s="41" t="s">
        <v>291</v>
      </c>
      <c r="D164" s="14" t="s">
        <v>285</v>
      </c>
      <c r="E164">
        <v>20.9</v>
      </c>
      <c r="F164">
        <v>13.4</v>
      </c>
      <c r="G164">
        <v>3</v>
      </c>
      <c r="H164">
        <v>7.5</v>
      </c>
      <c r="I164">
        <v>0</v>
      </c>
      <c r="J164">
        <v>55</v>
      </c>
      <c r="L164" t="s">
        <v>291</v>
      </c>
      <c r="M164">
        <v>5</v>
      </c>
      <c r="N164">
        <v>6.6479999999999979</v>
      </c>
      <c r="O164">
        <v>6</v>
      </c>
      <c r="P164">
        <v>8.75</v>
      </c>
      <c r="Q164">
        <v>7</v>
      </c>
      <c r="R164">
        <v>3.2839999999999994</v>
      </c>
      <c r="S164">
        <v>11</v>
      </c>
      <c r="T164">
        <v>1.5199999999999996</v>
      </c>
      <c r="U164">
        <v>11</v>
      </c>
      <c r="V164">
        <v>9.5599999999999969</v>
      </c>
      <c r="W164">
        <v>6</v>
      </c>
      <c r="X164">
        <v>0.8400000000000003</v>
      </c>
      <c r="Y164">
        <v>2</v>
      </c>
      <c r="Z164">
        <v>5</v>
      </c>
      <c r="AA164">
        <v>4</v>
      </c>
      <c r="AB164">
        <v>6.3199999999999994</v>
      </c>
      <c r="AC164">
        <v>5</v>
      </c>
      <c r="AD164">
        <v>3.88</v>
      </c>
      <c r="AE164">
        <v>9</v>
      </c>
      <c r="AF164">
        <v>14.919999999999998</v>
      </c>
      <c r="AG164">
        <v>2</v>
      </c>
      <c r="AH164">
        <v>1.7600000000000002</v>
      </c>
      <c r="AI164">
        <v>31</v>
      </c>
      <c r="AJ164">
        <v>26.666666666666668</v>
      </c>
      <c r="AK164">
        <v>30</v>
      </c>
      <c r="AL164">
        <v>-3.036</v>
      </c>
      <c r="AM164">
        <v>27</v>
      </c>
      <c r="AN164">
        <v>-2.3600000000000003</v>
      </c>
      <c r="AO164">
        <v>23</v>
      </c>
      <c r="AP164">
        <v>-5.3600000000000012</v>
      </c>
      <c r="AQ164">
        <v>27</v>
      </c>
      <c r="AR164">
        <v>-0.91999999999999993</v>
      </c>
      <c r="AS164">
        <v>2</v>
      </c>
      <c r="AT164">
        <v>2.3333333333333335</v>
      </c>
      <c r="AU164">
        <v>2</v>
      </c>
      <c r="AV164">
        <v>12.7104</v>
      </c>
      <c r="AW164">
        <v>2</v>
      </c>
      <c r="AX164">
        <v>57.879999999999995</v>
      </c>
      <c r="AY164">
        <v>3</v>
      </c>
      <c r="AZ164">
        <v>4.16</v>
      </c>
      <c r="BA164">
        <v>9</v>
      </c>
      <c r="BB164">
        <v>10.333333333333334</v>
      </c>
      <c r="BC164">
        <v>11</v>
      </c>
      <c r="BD164">
        <v>0.99600000000000011</v>
      </c>
      <c r="BE164">
        <v>14</v>
      </c>
      <c r="BF164">
        <v>3.1599999999999979</v>
      </c>
      <c r="BG164">
        <v>6</v>
      </c>
      <c r="BH164">
        <v>1.5600000000000003</v>
      </c>
      <c r="BI164">
        <v>1</v>
      </c>
      <c r="BJ164">
        <v>2</v>
      </c>
      <c r="BK164">
        <v>1</v>
      </c>
      <c r="BL164">
        <v>7.8280000000000003</v>
      </c>
      <c r="BM164">
        <v>1</v>
      </c>
      <c r="BN164">
        <v>40.440000000000005</v>
      </c>
      <c r="BO164">
        <v>4</v>
      </c>
      <c r="BP164">
        <v>1.56</v>
      </c>
      <c r="BQ164">
        <v>3</v>
      </c>
      <c r="BR164">
        <v>4.666666666666667</v>
      </c>
      <c r="BS164">
        <v>3</v>
      </c>
      <c r="BT164">
        <v>3.8864000000000005</v>
      </c>
      <c r="BU164">
        <v>4</v>
      </c>
      <c r="BV164">
        <v>14.279999999999998</v>
      </c>
      <c r="BW164">
        <v>7</v>
      </c>
      <c r="BX164">
        <v>1.04</v>
      </c>
      <c r="BY164">
        <v>1</v>
      </c>
      <c r="BZ164">
        <v>1.6666666666666667</v>
      </c>
      <c r="CA164">
        <v>2</v>
      </c>
      <c r="CB164">
        <v>9.2719999999999985</v>
      </c>
      <c r="CC164">
        <v>2</v>
      </c>
      <c r="CD164">
        <v>38.320000000000007</v>
      </c>
      <c r="CE164">
        <v>1</v>
      </c>
      <c r="CF164">
        <v>4.4799999999999995</v>
      </c>
      <c r="CG164">
        <v>10</v>
      </c>
      <c r="CH164">
        <v>11.333333333333334</v>
      </c>
      <c r="CI164">
        <v>15</v>
      </c>
      <c r="CJ164">
        <v>-4.8000000000000043E-2</v>
      </c>
      <c r="CK164">
        <v>8</v>
      </c>
      <c r="CL164">
        <v>7.5199999999999987</v>
      </c>
      <c r="CM164">
        <v>11</v>
      </c>
      <c r="CN164">
        <v>0.6399999999999999</v>
      </c>
      <c r="CO164">
        <v>17</v>
      </c>
      <c r="CP164">
        <v>18.5</v>
      </c>
      <c r="CQ164">
        <v>18</v>
      </c>
      <c r="CR164">
        <v>-0.28000000000000008</v>
      </c>
      <c r="CS164">
        <v>19</v>
      </c>
      <c r="CT164">
        <v>-0.16</v>
      </c>
      <c r="CU164">
        <v>-3</v>
      </c>
      <c r="CV164">
        <v>18</v>
      </c>
      <c r="CW164">
        <v>16.25</v>
      </c>
      <c r="CX164">
        <v>15</v>
      </c>
      <c r="CY164">
        <v>-3.466594776169779E-3</v>
      </c>
      <c r="CZ164">
        <v>24</v>
      </c>
      <c r="DA164">
        <v>-1.2349920009370612E-2</v>
      </c>
      <c r="DB164">
        <v>17</v>
      </c>
      <c r="DC164">
        <v>1.8567210567210578E-2</v>
      </c>
      <c r="DD164">
        <v>9</v>
      </c>
      <c r="DE164">
        <v>1.2</v>
      </c>
      <c r="DF164">
        <v>7.0000000000000027</v>
      </c>
      <c r="DG164">
        <v>5.3199999999999994</v>
      </c>
      <c r="DH164">
        <v>0.55999999999999983</v>
      </c>
      <c r="DI164">
        <v>97.12</v>
      </c>
      <c r="DJ164">
        <v>91.839999999999989</v>
      </c>
      <c r="DK164">
        <v>8.8000000000000007</v>
      </c>
      <c r="DL164">
        <v>-5.3199999999999994</v>
      </c>
      <c r="DM164">
        <v>1.8</v>
      </c>
      <c r="DN164">
        <v>11</v>
      </c>
      <c r="DO164">
        <v>3.3639999999999985</v>
      </c>
      <c r="DP164">
        <v>2.2200800000000003</v>
      </c>
      <c r="DQ164">
        <v>83.039999999999992</v>
      </c>
      <c r="DR164">
        <v>22</v>
      </c>
      <c r="DS164">
        <v>2.7892999999999999</v>
      </c>
      <c r="DT164">
        <v>4.8</v>
      </c>
      <c r="DU164">
        <v>0.87009999999999965</v>
      </c>
      <c r="DV164">
        <v>1.8103999999999996</v>
      </c>
      <c r="DW164" t="s">
        <v>285</v>
      </c>
      <c r="DX164" t="s">
        <v>249</v>
      </c>
      <c r="DY164" t="s">
        <v>452</v>
      </c>
      <c r="DZ164">
        <v>11</v>
      </c>
      <c r="EA164">
        <v>1.6973999999999987</v>
      </c>
      <c r="EB164">
        <v>14</v>
      </c>
      <c r="EC164">
        <v>14</v>
      </c>
      <c r="ED164">
        <v>18</v>
      </c>
      <c r="EE164">
        <v>-0.14999999999999947</v>
      </c>
      <c r="EF164">
        <v>3</v>
      </c>
      <c r="EG164">
        <v>4.0999999999999996</v>
      </c>
      <c r="EH164">
        <v>4</v>
      </c>
      <c r="EI164">
        <v>28.26</v>
      </c>
      <c r="EJ164">
        <v>31</v>
      </c>
      <c r="EK164">
        <v>-1.9400000000000002</v>
      </c>
      <c r="EL164">
        <v>11</v>
      </c>
      <c r="EM164">
        <v>14.25</v>
      </c>
      <c r="EN164">
        <v>16</v>
      </c>
      <c r="EO164">
        <v>-0.13499999999999979</v>
      </c>
      <c r="EP164">
        <v>6</v>
      </c>
      <c r="EQ164">
        <v>1.8900000000000001</v>
      </c>
      <c r="ER164">
        <v>9</v>
      </c>
      <c r="ES164">
        <v>8.8000000000000007</v>
      </c>
      <c r="ET164">
        <v>26</v>
      </c>
      <c r="EU164">
        <v>-0.75</v>
      </c>
      <c r="EV164">
        <v>5</v>
      </c>
      <c r="EW164">
        <v>7.333333333333333</v>
      </c>
      <c r="EX164">
        <v>17</v>
      </c>
      <c r="EY164">
        <v>-1.499999999999968E-2</v>
      </c>
      <c r="EZ164">
        <v>3</v>
      </c>
      <c r="FA164">
        <v>2.21</v>
      </c>
      <c r="FB164">
        <v>2</v>
      </c>
      <c r="FC164">
        <v>19.46</v>
      </c>
      <c r="FD164">
        <v>30</v>
      </c>
      <c r="FE164">
        <v>-1.1900000000000002</v>
      </c>
      <c r="FF164">
        <v>17</v>
      </c>
      <c r="FG164">
        <v>17.333333333333332</v>
      </c>
      <c r="FH164">
        <v>16</v>
      </c>
      <c r="FI164">
        <v>-1.3390000000000015</v>
      </c>
      <c r="FJ164">
        <v>17</v>
      </c>
      <c r="FK164">
        <v>8.9999999999999858E-2</v>
      </c>
      <c r="FL164">
        <v>19</v>
      </c>
      <c r="FM164">
        <v>-0.31999999999999984</v>
      </c>
      <c r="FN164">
        <v>9</v>
      </c>
      <c r="FO164">
        <v>10.333333333333334</v>
      </c>
      <c r="FP164">
        <v>10</v>
      </c>
      <c r="FQ164">
        <v>2.8509999999999991</v>
      </c>
      <c r="FR164">
        <v>5</v>
      </c>
      <c r="FS164">
        <v>13.790000000000003</v>
      </c>
      <c r="FT164">
        <v>16</v>
      </c>
      <c r="FU164">
        <v>0.39</v>
      </c>
      <c r="FV164">
        <v>23</v>
      </c>
      <c r="FW164">
        <v>21.666666666666668</v>
      </c>
      <c r="FX164">
        <v>24</v>
      </c>
      <c r="FY164">
        <v>-2.6700000000000008</v>
      </c>
      <c r="FZ164">
        <v>27</v>
      </c>
      <c r="GA164">
        <v>-11.900000000000002</v>
      </c>
      <c r="GB164">
        <v>14</v>
      </c>
      <c r="GC164">
        <v>0.15999999999999998</v>
      </c>
      <c r="GD164">
        <v>28</v>
      </c>
      <c r="GE164">
        <v>25</v>
      </c>
      <c r="GF164">
        <v>26</v>
      </c>
      <c r="GG164">
        <v>-1.5199999999999998</v>
      </c>
      <c r="GH164">
        <v>21</v>
      </c>
      <c r="GI164">
        <v>-1.8000000000000007</v>
      </c>
      <c r="GJ164">
        <v>28</v>
      </c>
      <c r="GK164">
        <v>-0.86999999999999988</v>
      </c>
      <c r="GL164">
        <v>12</v>
      </c>
      <c r="GM164">
        <v>14</v>
      </c>
      <c r="GN164">
        <v>11</v>
      </c>
      <c r="GO164">
        <v>1.1209999999999993</v>
      </c>
      <c r="GP164">
        <v>17</v>
      </c>
      <c r="GQ164">
        <v>-2.6900000000000004</v>
      </c>
      <c r="GR164">
        <v>14</v>
      </c>
      <c r="GS164">
        <v>-0.25999999999999979</v>
      </c>
      <c r="GT164">
        <v>12</v>
      </c>
      <c r="GU164">
        <v>14.333333333333334</v>
      </c>
      <c r="GV164">
        <v>16</v>
      </c>
      <c r="GW164">
        <v>-0.94999999999999951</v>
      </c>
      <c r="GX164">
        <v>18</v>
      </c>
      <c r="GY164">
        <v>-1.7199999999999995</v>
      </c>
      <c r="GZ164">
        <v>9</v>
      </c>
      <c r="HA164">
        <v>0.55999999999999994</v>
      </c>
      <c r="HB164">
        <v>16</v>
      </c>
      <c r="HC164">
        <v>14</v>
      </c>
      <c r="HD164">
        <v>16</v>
      </c>
      <c r="HE164">
        <v>0.17999999999999988</v>
      </c>
      <c r="HF164">
        <v>12</v>
      </c>
      <c r="HG164">
        <v>7.0000000000000021E-2</v>
      </c>
      <c r="HH164">
        <v>6.9999999999999923E-2</v>
      </c>
      <c r="HI164">
        <v>29</v>
      </c>
      <c r="HJ164">
        <v>22.75</v>
      </c>
      <c r="HK164">
        <v>28</v>
      </c>
      <c r="HL164">
        <v>-4.5018805034360357E-2</v>
      </c>
      <c r="HM164">
        <v>20</v>
      </c>
      <c r="HN164">
        <v>-5.9320878533703674E-3</v>
      </c>
      <c r="HO164">
        <v>18</v>
      </c>
      <c r="HP164">
        <v>5.4011544011543953E-3</v>
      </c>
      <c r="HQ164">
        <v>25</v>
      </c>
      <c r="HR164">
        <v>-1.8700000000000003</v>
      </c>
      <c r="HS164">
        <v>-0.2</v>
      </c>
      <c r="HT164">
        <v>-0.66999999999999993</v>
      </c>
      <c r="HU164">
        <v>-0.27999999999999997</v>
      </c>
      <c r="HV164">
        <v>17.2</v>
      </c>
      <c r="HW164">
        <v>0.66999999999999882</v>
      </c>
      <c r="HX164">
        <v>22.020000000000003</v>
      </c>
      <c r="HY164">
        <v>-6.2399999999999993</v>
      </c>
      <c r="HZ164">
        <v>0.75</v>
      </c>
      <c r="IA164">
        <v>14</v>
      </c>
      <c r="IB164">
        <v>1.8473999999999982</v>
      </c>
      <c r="IC164">
        <v>-4.332000000000083E-2</v>
      </c>
      <c r="ID164">
        <v>-21.350000000000005</v>
      </c>
      <c r="IE164">
        <v>19</v>
      </c>
      <c r="IF164">
        <v>-7.0200000000000179E-2</v>
      </c>
      <c r="IG164">
        <v>0.2400000000000001</v>
      </c>
    </row>
    <row r="165" spans="1:241" x14ac:dyDescent="0.2">
      <c r="A165" s="19">
        <v>44122</v>
      </c>
      <c r="B165" s="13" t="s">
        <v>252</v>
      </c>
      <c r="C165" s="41" t="s">
        <v>278</v>
      </c>
      <c r="D165" s="14" t="s">
        <v>302</v>
      </c>
      <c r="E165">
        <v>5.2</v>
      </c>
      <c r="F165">
        <v>17.100000000000001</v>
      </c>
      <c r="G165">
        <v>0</v>
      </c>
      <c r="H165">
        <v>6.5</v>
      </c>
      <c r="I165">
        <v>7</v>
      </c>
      <c r="J165">
        <v>44</v>
      </c>
      <c r="K165" t="s">
        <v>735</v>
      </c>
      <c r="L165" t="s">
        <v>278</v>
      </c>
      <c r="M165">
        <v>25</v>
      </c>
      <c r="N165">
        <v>-3.9602499999999998</v>
      </c>
      <c r="O165">
        <v>19</v>
      </c>
      <c r="P165">
        <v>18.5</v>
      </c>
      <c r="Q165">
        <v>21</v>
      </c>
      <c r="R165">
        <v>-2.1987499999999995</v>
      </c>
      <c r="S165">
        <v>12</v>
      </c>
      <c r="T165">
        <v>1.425</v>
      </c>
      <c r="U165">
        <v>12</v>
      </c>
      <c r="V165">
        <v>8.3250000000000028</v>
      </c>
      <c r="W165">
        <v>29</v>
      </c>
      <c r="X165">
        <v>-1.3749999999999998</v>
      </c>
      <c r="Y165">
        <v>17</v>
      </c>
      <c r="Z165">
        <v>15.666666666666666</v>
      </c>
      <c r="AA165">
        <v>16</v>
      </c>
      <c r="AB165">
        <v>0.59125000000000028</v>
      </c>
      <c r="AC165">
        <v>7</v>
      </c>
      <c r="AD165">
        <v>2.5750000000000002</v>
      </c>
      <c r="AE165">
        <v>11</v>
      </c>
      <c r="AF165">
        <v>10.437500000000002</v>
      </c>
      <c r="AG165">
        <v>20</v>
      </c>
      <c r="AH165">
        <v>-0.34999999999999987</v>
      </c>
      <c r="AI165">
        <v>29</v>
      </c>
      <c r="AJ165">
        <v>24.666666666666668</v>
      </c>
      <c r="AK165">
        <v>29</v>
      </c>
      <c r="AL165">
        <v>-2.79</v>
      </c>
      <c r="AM165">
        <v>18</v>
      </c>
      <c r="AN165">
        <v>-1.1500000000000001</v>
      </c>
      <c r="AO165">
        <v>15</v>
      </c>
      <c r="AP165">
        <v>-2.1124999999999998</v>
      </c>
      <c r="AQ165">
        <v>30</v>
      </c>
      <c r="AR165">
        <v>-1.0249999999999999</v>
      </c>
      <c r="AS165">
        <v>27</v>
      </c>
      <c r="AT165">
        <v>25</v>
      </c>
      <c r="AU165">
        <v>26</v>
      </c>
      <c r="AV165">
        <v>-7.052500000000002</v>
      </c>
      <c r="AW165">
        <v>26</v>
      </c>
      <c r="AX165">
        <v>-21.374999999999996</v>
      </c>
      <c r="AY165">
        <v>23</v>
      </c>
      <c r="AZ165">
        <v>-1.2375</v>
      </c>
      <c r="BA165">
        <v>31</v>
      </c>
      <c r="BB165">
        <v>29.333333333333332</v>
      </c>
      <c r="BC165">
        <v>31</v>
      </c>
      <c r="BD165">
        <v>-5.838750000000001</v>
      </c>
      <c r="BE165">
        <v>30</v>
      </c>
      <c r="BF165">
        <v>-16.762499999999999</v>
      </c>
      <c r="BG165">
        <v>27</v>
      </c>
      <c r="BH165">
        <v>-1.425</v>
      </c>
      <c r="BI165">
        <v>15</v>
      </c>
      <c r="BJ165">
        <v>16.666666666666668</v>
      </c>
      <c r="BK165">
        <v>15</v>
      </c>
      <c r="BL165">
        <v>5.8749999999999858E-2</v>
      </c>
      <c r="BM165">
        <v>16</v>
      </c>
      <c r="BN165">
        <v>-2.4124999999999996</v>
      </c>
      <c r="BO165">
        <v>19</v>
      </c>
      <c r="BP165">
        <v>-0.16250000000000009</v>
      </c>
      <c r="BQ165">
        <v>19</v>
      </c>
      <c r="BR165">
        <v>19</v>
      </c>
      <c r="BS165">
        <v>21</v>
      </c>
      <c r="BT165">
        <v>-1.2725000000000004</v>
      </c>
      <c r="BU165">
        <v>20</v>
      </c>
      <c r="BV165">
        <v>-2.2000000000000002</v>
      </c>
      <c r="BW165">
        <v>16</v>
      </c>
      <c r="BX165">
        <v>0.35000000000000009</v>
      </c>
      <c r="BY165">
        <v>32</v>
      </c>
      <c r="BZ165">
        <v>30.666666666666668</v>
      </c>
      <c r="CA165">
        <v>32</v>
      </c>
      <c r="CB165">
        <v>-7.3212500000000009</v>
      </c>
      <c r="CC165">
        <v>32</v>
      </c>
      <c r="CD165">
        <v>-37.087499999999999</v>
      </c>
      <c r="CE165">
        <v>28</v>
      </c>
      <c r="CF165">
        <v>-1.7000000000000002</v>
      </c>
      <c r="CG165">
        <v>4</v>
      </c>
      <c r="CH165">
        <v>4</v>
      </c>
      <c r="CI165">
        <v>5</v>
      </c>
      <c r="CJ165">
        <v>4.4512499999999999</v>
      </c>
      <c r="CK165">
        <v>3</v>
      </c>
      <c r="CL165">
        <v>19.762499999999999</v>
      </c>
      <c r="CM165">
        <v>4</v>
      </c>
      <c r="CN165">
        <v>1.9624999999999999</v>
      </c>
      <c r="CO165">
        <v>10</v>
      </c>
      <c r="CP165">
        <v>10</v>
      </c>
      <c r="CQ165">
        <v>8</v>
      </c>
      <c r="CR165">
        <v>1.4624999999999999</v>
      </c>
      <c r="CS165">
        <v>12</v>
      </c>
      <c r="CT165">
        <v>0.13749999999999996</v>
      </c>
      <c r="CU165">
        <v>-0.30000000000000004</v>
      </c>
      <c r="CV165">
        <v>2</v>
      </c>
      <c r="CW165">
        <v>8</v>
      </c>
      <c r="CX165">
        <v>9</v>
      </c>
      <c r="CY165">
        <v>4.0653795036575208E-2</v>
      </c>
      <c r="CZ165">
        <v>15</v>
      </c>
      <c r="DA165">
        <v>-3.3142285498828118E-4</v>
      </c>
      <c r="DB165">
        <v>5</v>
      </c>
      <c r="DC165">
        <v>-0.12421460849092425</v>
      </c>
      <c r="DD165">
        <v>3</v>
      </c>
      <c r="DE165">
        <v>3.5625</v>
      </c>
      <c r="DF165">
        <v>1.6374999999999993</v>
      </c>
      <c r="DG165">
        <v>-2.7125000000000004</v>
      </c>
      <c r="DH165">
        <v>-1.5</v>
      </c>
      <c r="DI165">
        <v>-38.050000000000011</v>
      </c>
      <c r="DJ165">
        <v>-30.724999999999994</v>
      </c>
      <c r="DK165">
        <v>1.7375000000000007</v>
      </c>
      <c r="DL165">
        <v>-3.375</v>
      </c>
      <c r="DM165">
        <v>-5.6875</v>
      </c>
      <c r="DN165">
        <v>22</v>
      </c>
      <c r="DO165">
        <v>-1.7614999999999998</v>
      </c>
      <c r="DP165">
        <v>-0.2129250000000007</v>
      </c>
      <c r="DQ165">
        <v>-32.462499999999991</v>
      </c>
      <c r="DR165">
        <v>11</v>
      </c>
      <c r="DS165">
        <v>-0.91221875000000008</v>
      </c>
      <c r="DT165">
        <v>0.72499999999999987</v>
      </c>
      <c r="DU165">
        <v>-1.432765625</v>
      </c>
      <c r="DV165">
        <v>0.34434375000000006</v>
      </c>
      <c r="DW165" t="s">
        <v>302</v>
      </c>
      <c r="DX165" t="s">
        <v>292</v>
      </c>
      <c r="DY165" t="s">
        <v>464</v>
      </c>
      <c r="DZ165">
        <v>31</v>
      </c>
      <c r="EA165">
        <v>-6.4240000000000013</v>
      </c>
      <c r="EB165">
        <v>28</v>
      </c>
      <c r="EC165">
        <v>22.75</v>
      </c>
      <c r="ED165">
        <v>29</v>
      </c>
      <c r="EE165">
        <v>-5.0799999999999974</v>
      </c>
      <c r="EF165">
        <v>20</v>
      </c>
      <c r="EG165">
        <v>-1.1499999999999995</v>
      </c>
      <c r="EH165">
        <v>17</v>
      </c>
      <c r="EI165">
        <v>-4.4999999999999991</v>
      </c>
      <c r="EJ165">
        <v>25</v>
      </c>
      <c r="EK165">
        <v>-1.2000000000000002</v>
      </c>
      <c r="EL165">
        <v>31</v>
      </c>
      <c r="EM165">
        <v>24.75</v>
      </c>
      <c r="EN165">
        <v>28</v>
      </c>
      <c r="EO165">
        <v>-3.8549999999999982</v>
      </c>
      <c r="EP165">
        <v>25</v>
      </c>
      <c r="EQ165">
        <v>-1.0999999999999996</v>
      </c>
      <c r="ER165">
        <v>17</v>
      </c>
      <c r="ES165">
        <v>-1.1999999999999993</v>
      </c>
      <c r="ET165">
        <v>29</v>
      </c>
      <c r="EU165">
        <v>-1.25</v>
      </c>
      <c r="EV165">
        <v>23</v>
      </c>
      <c r="EW165">
        <v>21</v>
      </c>
      <c r="EX165">
        <v>23</v>
      </c>
      <c r="EY165">
        <v>-1.2249999999999994</v>
      </c>
      <c r="EZ165">
        <v>19</v>
      </c>
      <c r="FA165">
        <v>-4.9999999999999822E-2</v>
      </c>
      <c r="FB165">
        <v>21</v>
      </c>
      <c r="FC165">
        <v>-3.3</v>
      </c>
      <c r="FD165">
        <v>17</v>
      </c>
      <c r="FE165">
        <v>4.9999999999999933E-2</v>
      </c>
      <c r="FF165">
        <v>19</v>
      </c>
      <c r="FG165">
        <v>18.666666666666668</v>
      </c>
      <c r="FH165">
        <v>19</v>
      </c>
      <c r="FI165">
        <v>-1.9000000000000035</v>
      </c>
      <c r="FJ165">
        <v>22</v>
      </c>
      <c r="FK165">
        <v>-8.1500000000000021</v>
      </c>
      <c r="FL165">
        <v>15</v>
      </c>
      <c r="FM165">
        <v>0.10000000000000031</v>
      </c>
      <c r="FN165">
        <v>16</v>
      </c>
      <c r="FO165">
        <v>16</v>
      </c>
      <c r="FP165">
        <v>13</v>
      </c>
      <c r="FQ165">
        <v>0.13499999999999845</v>
      </c>
      <c r="FR165">
        <v>16</v>
      </c>
      <c r="FS165">
        <v>-1.6500000000000004</v>
      </c>
      <c r="FT165">
        <v>19</v>
      </c>
      <c r="FU165">
        <v>-4.9999999999999822E-2</v>
      </c>
      <c r="FV165">
        <v>25</v>
      </c>
      <c r="FW165">
        <v>22.666666666666668</v>
      </c>
      <c r="FX165">
        <v>30</v>
      </c>
      <c r="FY165">
        <v>-4.8050000000000015</v>
      </c>
      <c r="FZ165">
        <v>25</v>
      </c>
      <c r="GA165">
        <v>-8.7500000000000018</v>
      </c>
      <c r="GB165">
        <v>13</v>
      </c>
      <c r="GC165">
        <v>0.25</v>
      </c>
      <c r="GD165">
        <v>6</v>
      </c>
      <c r="GE165">
        <v>10.666666666666666</v>
      </c>
      <c r="GF165">
        <v>3</v>
      </c>
      <c r="GG165">
        <v>2.77</v>
      </c>
      <c r="GH165">
        <v>12</v>
      </c>
      <c r="GI165">
        <v>2.25</v>
      </c>
      <c r="GJ165">
        <v>17</v>
      </c>
      <c r="GK165">
        <v>-9.9999999999999867E-2</v>
      </c>
      <c r="GL165">
        <v>6</v>
      </c>
      <c r="GM165">
        <v>6.333333333333333</v>
      </c>
      <c r="GN165">
        <v>8</v>
      </c>
      <c r="GO165">
        <v>1.6650000000000009</v>
      </c>
      <c r="GP165">
        <v>6</v>
      </c>
      <c r="GQ165">
        <v>10.650000000000006</v>
      </c>
      <c r="GR165">
        <v>5</v>
      </c>
      <c r="GS165">
        <v>1.1000000000000003</v>
      </c>
      <c r="GT165">
        <v>32</v>
      </c>
      <c r="GU165">
        <v>31.666666666666668</v>
      </c>
      <c r="GV165">
        <v>32</v>
      </c>
      <c r="GW165">
        <v>-8.9249999999999989</v>
      </c>
      <c r="GX165">
        <v>31</v>
      </c>
      <c r="GY165">
        <v>-28.75</v>
      </c>
      <c r="GZ165">
        <v>32</v>
      </c>
      <c r="HA165">
        <v>-2.9499999999999997</v>
      </c>
      <c r="HB165">
        <v>23</v>
      </c>
      <c r="HC165">
        <v>25</v>
      </c>
      <c r="HD165">
        <v>30</v>
      </c>
      <c r="HE165">
        <v>-3.35</v>
      </c>
      <c r="HF165">
        <v>20</v>
      </c>
      <c r="HG165">
        <v>-0.35</v>
      </c>
      <c r="HH165">
        <v>1.9</v>
      </c>
      <c r="HI165">
        <v>18</v>
      </c>
      <c r="HJ165">
        <v>16.75</v>
      </c>
      <c r="HK165">
        <v>20</v>
      </c>
      <c r="HL165">
        <v>-4.2443568291323647E-3</v>
      </c>
      <c r="HM165">
        <v>18</v>
      </c>
      <c r="HN165">
        <v>-3.0453935817272969E-3</v>
      </c>
      <c r="HO165">
        <v>26</v>
      </c>
      <c r="HP165">
        <v>6.299512987012984E-2</v>
      </c>
      <c r="HQ165">
        <v>3</v>
      </c>
      <c r="HR165">
        <v>5.3500000000000005</v>
      </c>
      <c r="HS165">
        <v>-3.25</v>
      </c>
      <c r="HT165">
        <v>-8.5499999999999989</v>
      </c>
      <c r="HU165">
        <v>1.2999999999999998</v>
      </c>
      <c r="HV165">
        <v>-61.650000000000006</v>
      </c>
      <c r="HW165">
        <v>-44.099999999999994</v>
      </c>
      <c r="HX165">
        <v>-13.75</v>
      </c>
      <c r="HY165">
        <v>-5.2</v>
      </c>
      <c r="HZ165">
        <v>1.3999999999999995</v>
      </c>
      <c r="IA165">
        <v>18</v>
      </c>
      <c r="IB165">
        <v>-1.3440000000000039</v>
      </c>
      <c r="IC165">
        <v>-0.90980000000000194</v>
      </c>
      <c r="ID165">
        <v>-30.349999999999994</v>
      </c>
      <c r="IE165">
        <v>15</v>
      </c>
      <c r="IF165">
        <v>-3.2098750000000003</v>
      </c>
      <c r="IG165">
        <v>-2.8499999999999996</v>
      </c>
    </row>
    <row r="166" spans="1:241" x14ac:dyDescent="0.2">
      <c r="A166" s="19">
        <v>44122</v>
      </c>
      <c r="B166" s="13" t="s">
        <v>252</v>
      </c>
      <c r="C166" s="41" t="s">
        <v>299</v>
      </c>
      <c r="D166" s="14" t="s">
        <v>297</v>
      </c>
      <c r="E166">
        <v>17.5</v>
      </c>
      <c r="F166">
        <v>5.0999999999999996</v>
      </c>
      <c r="G166">
        <v>2.8</v>
      </c>
      <c r="H166">
        <v>9.6999999999999993</v>
      </c>
      <c r="I166">
        <v>-3</v>
      </c>
      <c r="J166">
        <v>53</v>
      </c>
      <c r="K166" t="s">
        <v>734</v>
      </c>
      <c r="L166" t="s">
        <v>299</v>
      </c>
      <c r="M166">
        <v>13</v>
      </c>
      <c r="N166">
        <v>0.57899999999999885</v>
      </c>
      <c r="O166">
        <v>26</v>
      </c>
      <c r="P166">
        <v>23.75</v>
      </c>
      <c r="Q166">
        <v>24</v>
      </c>
      <c r="R166">
        <v>-3.4074999999999998</v>
      </c>
      <c r="S166">
        <v>24</v>
      </c>
      <c r="T166">
        <v>-2.5874999999999999</v>
      </c>
      <c r="U166">
        <v>24</v>
      </c>
      <c r="V166">
        <v>-16.900000000000002</v>
      </c>
      <c r="W166">
        <v>23</v>
      </c>
      <c r="X166">
        <v>-0.38749999999999996</v>
      </c>
      <c r="Y166">
        <v>27</v>
      </c>
      <c r="Z166">
        <v>24.333333333333332</v>
      </c>
      <c r="AA166">
        <v>28</v>
      </c>
      <c r="AB166">
        <v>-6.125</v>
      </c>
      <c r="AC166">
        <v>17</v>
      </c>
      <c r="AD166">
        <v>-0.72500000000000009</v>
      </c>
      <c r="AE166">
        <v>19</v>
      </c>
      <c r="AF166">
        <v>-4.6625000000000014</v>
      </c>
      <c r="AG166">
        <v>26</v>
      </c>
      <c r="AH166">
        <v>-1.075</v>
      </c>
      <c r="AI166">
        <v>11</v>
      </c>
      <c r="AJ166">
        <v>13.666666666666666</v>
      </c>
      <c r="AK166">
        <v>4</v>
      </c>
      <c r="AL166">
        <v>2.7175000000000002</v>
      </c>
      <c r="AM166">
        <v>25</v>
      </c>
      <c r="AN166">
        <v>-1.8624999999999998</v>
      </c>
      <c r="AO166">
        <v>30</v>
      </c>
      <c r="AP166">
        <v>-12.237500000000001</v>
      </c>
      <c r="AQ166">
        <v>7</v>
      </c>
      <c r="AR166">
        <v>0.6875</v>
      </c>
      <c r="AS166">
        <v>13</v>
      </c>
      <c r="AT166">
        <v>13.333333333333334</v>
      </c>
      <c r="AU166">
        <v>17</v>
      </c>
      <c r="AV166">
        <v>-1.1537500000000001</v>
      </c>
      <c r="AW166">
        <v>14</v>
      </c>
      <c r="AX166">
        <v>0.41250000000000053</v>
      </c>
      <c r="AY166">
        <v>9</v>
      </c>
      <c r="AZ166">
        <v>1.2875000000000005</v>
      </c>
      <c r="BA166">
        <v>22</v>
      </c>
      <c r="BB166">
        <v>21.333333333333332</v>
      </c>
      <c r="BC166">
        <v>21</v>
      </c>
      <c r="BD166">
        <v>-1.7137500000000001</v>
      </c>
      <c r="BE166">
        <v>29</v>
      </c>
      <c r="BF166">
        <v>-16.0625</v>
      </c>
      <c r="BG166">
        <v>14</v>
      </c>
      <c r="BH166">
        <v>0.21250000000000036</v>
      </c>
      <c r="BI166">
        <v>9</v>
      </c>
      <c r="BJ166">
        <v>11.333333333333334</v>
      </c>
      <c r="BK166">
        <v>12</v>
      </c>
      <c r="BL166">
        <v>0.97875000000000001</v>
      </c>
      <c r="BM166">
        <v>6</v>
      </c>
      <c r="BN166">
        <v>17.787500000000001</v>
      </c>
      <c r="BO166">
        <v>16</v>
      </c>
      <c r="BP166">
        <v>8.7500000000000133E-2</v>
      </c>
      <c r="BQ166">
        <v>14</v>
      </c>
      <c r="BR166">
        <v>14.666666666666666</v>
      </c>
      <c r="BS166">
        <v>17</v>
      </c>
      <c r="BT166">
        <v>-0.41874999999999996</v>
      </c>
      <c r="BU166">
        <v>18</v>
      </c>
      <c r="BV166">
        <v>-1.3125000000000009</v>
      </c>
      <c r="BW166">
        <v>9</v>
      </c>
      <c r="BX166">
        <v>0.98749999999999993</v>
      </c>
      <c r="BY166">
        <v>5</v>
      </c>
      <c r="BZ166">
        <v>7.333333333333333</v>
      </c>
      <c r="CA166">
        <v>6</v>
      </c>
      <c r="CB166">
        <v>3.9287499999999991</v>
      </c>
      <c r="CC166">
        <v>8</v>
      </c>
      <c r="CD166">
        <v>12.287500000000001</v>
      </c>
      <c r="CE166">
        <v>8</v>
      </c>
      <c r="CF166">
        <v>1.3374999999999999</v>
      </c>
      <c r="CG166">
        <v>11</v>
      </c>
      <c r="CH166">
        <v>13</v>
      </c>
      <c r="CI166">
        <v>11</v>
      </c>
      <c r="CJ166">
        <v>1.2324999999999999</v>
      </c>
      <c r="CK166">
        <v>9</v>
      </c>
      <c r="CL166">
        <v>6.7750000000000004</v>
      </c>
      <c r="CM166">
        <v>19</v>
      </c>
      <c r="CN166">
        <v>-0.53749999999999987</v>
      </c>
      <c r="CO166">
        <v>15</v>
      </c>
      <c r="CP166">
        <v>15.5</v>
      </c>
      <c r="CQ166">
        <v>16</v>
      </c>
      <c r="CR166">
        <v>-0.23750000000000027</v>
      </c>
      <c r="CS166">
        <v>15</v>
      </c>
      <c r="CT166">
        <v>7.4999999999999956E-2</v>
      </c>
      <c r="CU166">
        <v>-0.92499999999999993</v>
      </c>
      <c r="CV166">
        <v>15</v>
      </c>
      <c r="CW166">
        <v>15.25</v>
      </c>
      <c r="CX166">
        <v>14</v>
      </c>
      <c r="CY166">
        <v>2.6610684253065564E-3</v>
      </c>
      <c r="CZ166">
        <v>7</v>
      </c>
      <c r="DA166">
        <v>1.4278370422998257E-2</v>
      </c>
      <c r="DB166">
        <v>25</v>
      </c>
      <c r="DC166">
        <v>7.1132478632478624E-2</v>
      </c>
      <c r="DD166">
        <v>15</v>
      </c>
      <c r="DE166">
        <v>0.23749999999999982</v>
      </c>
      <c r="DF166">
        <v>-0.86250000000000071</v>
      </c>
      <c r="DG166">
        <v>0.83750000000000036</v>
      </c>
      <c r="DH166">
        <v>0</v>
      </c>
      <c r="DI166">
        <v>-7.5374999999999943</v>
      </c>
      <c r="DJ166">
        <v>1.1000000000000014</v>
      </c>
      <c r="DK166">
        <v>-8.0374999999999979</v>
      </c>
      <c r="DL166">
        <v>-0.57499999999999996</v>
      </c>
      <c r="DM166">
        <v>-2.4999999999999911E-2</v>
      </c>
      <c r="DN166">
        <v>9</v>
      </c>
      <c r="DO166">
        <v>3.9864999999999986</v>
      </c>
      <c r="DP166">
        <v>1.8352999999999997</v>
      </c>
      <c r="DQ166">
        <v>9.1374999999999993</v>
      </c>
      <c r="DR166">
        <v>24</v>
      </c>
      <c r="DS166">
        <v>-0.37340625000000022</v>
      </c>
      <c r="DT166">
        <v>0.75000000000000067</v>
      </c>
      <c r="DU166">
        <v>0.74149374999999995</v>
      </c>
      <c r="DV166">
        <v>-0.3046875</v>
      </c>
      <c r="DW166" t="s">
        <v>297</v>
      </c>
      <c r="DX166" t="s">
        <v>474</v>
      </c>
      <c r="DY166" t="s">
        <v>475</v>
      </c>
      <c r="DZ166">
        <v>4</v>
      </c>
      <c r="EA166">
        <v>4.1153999999999993</v>
      </c>
      <c r="EB166">
        <v>2</v>
      </c>
      <c r="EC166">
        <v>7.25</v>
      </c>
      <c r="ED166">
        <v>2</v>
      </c>
      <c r="EE166">
        <v>5.9520000000000008</v>
      </c>
      <c r="EF166">
        <v>10</v>
      </c>
      <c r="EG166">
        <v>1.7999999999999996</v>
      </c>
      <c r="EH166">
        <v>7</v>
      </c>
      <c r="EI166">
        <v>17.430000000000003</v>
      </c>
      <c r="EJ166">
        <v>10</v>
      </c>
      <c r="EK166">
        <v>0.67000000000000026</v>
      </c>
      <c r="EL166">
        <v>2</v>
      </c>
      <c r="EM166">
        <v>4.75</v>
      </c>
      <c r="EN166">
        <v>2</v>
      </c>
      <c r="EO166">
        <v>5.5560000000000009</v>
      </c>
      <c r="EP166">
        <v>8</v>
      </c>
      <c r="EQ166">
        <v>1.8299999999999996</v>
      </c>
      <c r="ER166">
        <v>5</v>
      </c>
      <c r="ES166">
        <v>17.040000000000003</v>
      </c>
      <c r="ET166">
        <v>4</v>
      </c>
      <c r="EU166">
        <v>1.2600000000000002</v>
      </c>
      <c r="EV166">
        <v>11</v>
      </c>
      <c r="EW166">
        <v>14.333333333333334</v>
      </c>
      <c r="EX166">
        <v>12</v>
      </c>
      <c r="EY166">
        <v>0.39600000000000007</v>
      </c>
      <c r="EZ166">
        <v>18</v>
      </c>
      <c r="FA166">
        <v>-3.0000000000000027E-2</v>
      </c>
      <c r="FB166">
        <v>13</v>
      </c>
      <c r="FC166">
        <v>0.38999999999999985</v>
      </c>
      <c r="FD166">
        <v>25</v>
      </c>
      <c r="FE166">
        <v>-0.59</v>
      </c>
      <c r="FF166">
        <v>9</v>
      </c>
      <c r="FG166">
        <v>11.666666666666666</v>
      </c>
      <c r="FH166">
        <v>9</v>
      </c>
      <c r="FI166">
        <v>3.5949999999999998</v>
      </c>
      <c r="FJ166">
        <v>13</v>
      </c>
      <c r="FK166">
        <v>3.9499999999999966</v>
      </c>
      <c r="FL166">
        <v>13</v>
      </c>
      <c r="FM166">
        <v>0.36000000000000004</v>
      </c>
      <c r="FN166">
        <v>18</v>
      </c>
      <c r="FO166">
        <v>18</v>
      </c>
      <c r="FP166">
        <v>17</v>
      </c>
      <c r="FQ166">
        <v>-1.0820000000000001</v>
      </c>
      <c r="FR166">
        <v>19</v>
      </c>
      <c r="FS166">
        <v>-5.7600000000000025</v>
      </c>
      <c r="FT166">
        <v>18</v>
      </c>
      <c r="FU166">
        <v>0.15999999999999978</v>
      </c>
      <c r="FV166">
        <v>5</v>
      </c>
      <c r="FW166">
        <v>8.3333333333333339</v>
      </c>
      <c r="FX166">
        <v>4</v>
      </c>
      <c r="FY166">
        <v>3.3719999999999999</v>
      </c>
      <c r="FZ166">
        <v>12</v>
      </c>
      <c r="GA166">
        <v>4.93</v>
      </c>
      <c r="GB166">
        <v>9</v>
      </c>
      <c r="GC166">
        <v>0.57000000000000006</v>
      </c>
      <c r="GD166">
        <v>12</v>
      </c>
      <c r="GE166">
        <v>12.666666666666666</v>
      </c>
      <c r="GF166">
        <v>8</v>
      </c>
      <c r="GG166">
        <v>1.3049999999999995</v>
      </c>
      <c r="GH166">
        <v>7</v>
      </c>
      <c r="GI166">
        <v>4.7799999999999994</v>
      </c>
      <c r="GJ166">
        <v>23</v>
      </c>
      <c r="GK166">
        <v>-0.36999999999999983</v>
      </c>
      <c r="GL166">
        <v>5</v>
      </c>
      <c r="GM166">
        <v>5.333333333333333</v>
      </c>
      <c r="GN166">
        <v>2</v>
      </c>
      <c r="GO166">
        <v>8.3320000000000025</v>
      </c>
      <c r="GP166">
        <v>5</v>
      </c>
      <c r="GQ166">
        <v>21.32</v>
      </c>
      <c r="GR166">
        <v>9</v>
      </c>
      <c r="GS166">
        <v>0.54000000000000026</v>
      </c>
      <c r="GT166">
        <v>19</v>
      </c>
      <c r="GU166">
        <v>18.666666666666668</v>
      </c>
      <c r="GV166">
        <v>13</v>
      </c>
      <c r="GW166">
        <v>0.27900000000000008</v>
      </c>
      <c r="GX166">
        <v>14</v>
      </c>
      <c r="GY166">
        <v>0.78999999999999915</v>
      </c>
      <c r="GZ166">
        <v>29</v>
      </c>
      <c r="HA166">
        <v>-1.31</v>
      </c>
      <c r="HB166">
        <v>17</v>
      </c>
      <c r="HC166">
        <v>15</v>
      </c>
      <c r="HD166">
        <v>13</v>
      </c>
      <c r="HE166">
        <v>0.35999999999999976</v>
      </c>
      <c r="HF166">
        <v>17</v>
      </c>
      <c r="HG166">
        <v>-0.1999999999999999</v>
      </c>
      <c r="HH166">
        <v>0.73000000000000009</v>
      </c>
      <c r="HI166">
        <v>32</v>
      </c>
      <c r="HJ166">
        <v>29</v>
      </c>
      <c r="HK166">
        <v>27</v>
      </c>
      <c r="HL166">
        <v>-4.3621805188359494E-2</v>
      </c>
      <c r="HM166">
        <v>31</v>
      </c>
      <c r="HN166">
        <v>-3.1898065105927929E-2</v>
      </c>
      <c r="HO166">
        <v>27</v>
      </c>
      <c r="HP166">
        <v>7.1105672105672063E-2</v>
      </c>
      <c r="HQ166">
        <v>31</v>
      </c>
      <c r="HR166">
        <v>-2.95</v>
      </c>
      <c r="HS166">
        <v>-1.7200000000000002</v>
      </c>
      <c r="HT166">
        <v>5.3400000000000007</v>
      </c>
      <c r="HU166">
        <v>-0.91999999999999993</v>
      </c>
      <c r="HV166">
        <v>51.179999999999993</v>
      </c>
      <c r="HW166">
        <v>20.279999999999994</v>
      </c>
      <c r="HX166">
        <v>17.550000000000004</v>
      </c>
      <c r="HY166">
        <v>11.4</v>
      </c>
      <c r="HZ166">
        <v>1.95</v>
      </c>
      <c r="IA166">
        <v>19</v>
      </c>
      <c r="IB166">
        <v>-1.8366000000000016</v>
      </c>
      <c r="IC166">
        <v>-1.3781200000000007</v>
      </c>
      <c r="ID166">
        <v>2.7299999999999898</v>
      </c>
      <c r="IE166">
        <v>14</v>
      </c>
      <c r="IF166">
        <v>1.7876749999999999</v>
      </c>
      <c r="IG166">
        <v>-0.95</v>
      </c>
    </row>
    <row r="167" spans="1:241" x14ac:dyDescent="0.2">
      <c r="A167" s="19">
        <v>44122</v>
      </c>
      <c r="B167" s="13" t="s">
        <v>252</v>
      </c>
      <c r="C167" s="41" t="s">
        <v>300</v>
      </c>
      <c r="D167" s="14" t="s">
        <v>284</v>
      </c>
      <c r="E167">
        <v>12.1</v>
      </c>
      <c r="F167">
        <v>6.2</v>
      </c>
      <c r="G167">
        <v>2.6</v>
      </c>
      <c r="H167">
        <v>5.5</v>
      </c>
      <c r="I167">
        <v>-2.5</v>
      </c>
      <c r="J167">
        <v>54.5</v>
      </c>
      <c r="L167" t="s">
        <v>300</v>
      </c>
      <c r="M167">
        <v>8</v>
      </c>
      <c r="N167">
        <v>1.7874999999999979</v>
      </c>
      <c r="O167">
        <v>2</v>
      </c>
      <c r="P167">
        <v>5.75</v>
      </c>
      <c r="Q167">
        <v>3</v>
      </c>
      <c r="R167">
        <v>9.3987500000000015</v>
      </c>
      <c r="S167">
        <v>15</v>
      </c>
      <c r="T167">
        <v>0.10000000000000075</v>
      </c>
      <c r="U167">
        <v>4</v>
      </c>
      <c r="V167">
        <v>17.987500000000001</v>
      </c>
      <c r="W167">
        <v>1</v>
      </c>
      <c r="X167">
        <v>2.7750000000000004</v>
      </c>
      <c r="Y167">
        <v>1</v>
      </c>
      <c r="Z167">
        <v>4.333333333333333</v>
      </c>
      <c r="AA167">
        <v>2</v>
      </c>
      <c r="AB167">
        <v>7.1000000000000014</v>
      </c>
      <c r="AC167">
        <v>15</v>
      </c>
      <c r="AD167">
        <v>-0.54999999999999938</v>
      </c>
      <c r="AE167">
        <v>6</v>
      </c>
      <c r="AF167">
        <v>16.95</v>
      </c>
      <c r="AG167">
        <v>5</v>
      </c>
      <c r="AH167">
        <v>1.25</v>
      </c>
      <c r="AI167">
        <v>3</v>
      </c>
      <c r="AJ167">
        <v>6.666666666666667</v>
      </c>
      <c r="AK167">
        <v>5</v>
      </c>
      <c r="AL167">
        <v>2.2987500000000001</v>
      </c>
      <c r="AM167">
        <v>10</v>
      </c>
      <c r="AN167">
        <v>0.65000000000000013</v>
      </c>
      <c r="AO167">
        <v>12</v>
      </c>
      <c r="AP167">
        <v>1.0375000000000001</v>
      </c>
      <c r="AQ167">
        <v>3</v>
      </c>
      <c r="AR167">
        <v>1.5250000000000001</v>
      </c>
      <c r="AS167">
        <v>18</v>
      </c>
      <c r="AT167">
        <v>17.666666666666668</v>
      </c>
      <c r="AU167">
        <v>18</v>
      </c>
      <c r="AV167">
        <v>-1.6825000000000014</v>
      </c>
      <c r="AW167">
        <v>16</v>
      </c>
      <c r="AX167">
        <v>-2.912500000000005</v>
      </c>
      <c r="AY167">
        <v>19</v>
      </c>
      <c r="AZ167">
        <v>-0.7374999999999996</v>
      </c>
      <c r="BA167">
        <v>3</v>
      </c>
      <c r="BB167">
        <v>4</v>
      </c>
      <c r="BC167">
        <v>4</v>
      </c>
      <c r="BD167">
        <v>4.9162500000000007</v>
      </c>
      <c r="BE167">
        <v>3</v>
      </c>
      <c r="BF167">
        <v>18.774999999999999</v>
      </c>
      <c r="BG167">
        <v>5</v>
      </c>
      <c r="BH167">
        <v>1.6750000000000003</v>
      </c>
      <c r="BI167">
        <v>30</v>
      </c>
      <c r="BJ167">
        <v>27</v>
      </c>
      <c r="BK167">
        <v>32</v>
      </c>
      <c r="BL167">
        <v>-6.2200000000000024</v>
      </c>
      <c r="BM167">
        <v>26</v>
      </c>
      <c r="BN167">
        <v>-16.450000000000003</v>
      </c>
      <c r="BO167">
        <v>23</v>
      </c>
      <c r="BP167">
        <v>-0.52499999999999991</v>
      </c>
      <c r="BQ167">
        <v>24</v>
      </c>
      <c r="BR167">
        <v>23</v>
      </c>
      <c r="BS167">
        <v>16</v>
      </c>
      <c r="BT167">
        <v>-0.3787499999999997</v>
      </c>
      <c r="BU167">
        <v>22</v>
      </c>
      <c r="BV167">
        <v>-5.2375000000000007</v>
      </c>
      <c r="BW167">
        <v>31</v>
      </c>
      <c r="BX167">
        <v>-1.8875</v>
      </c>
      <c r="BY167">
        <v>11</v>
      </c>
      <c r="BZ167">
        <v>11.333333333333334</v>
      </c>
      <c r="CA167">
        <v>5</v>
      </c>
      <c r="CB167">
        <v>4.5599999999999996</v>
      </c>
      <c r="CC167">
        <v>6</v>
      </c>
      <c r="CD167">
        <v>16.350000000000001</v>
      </c>
      <c r="CE167">
        <v>23</v>
      </c>
      <c r="CF167">
        <v>-1.0625</v>
      </c>
      <c r="CG167">
        <v>12</v>
      </c>
      <c r="CH167">
        <v>14.666666666666666</v>
      </c>
      <c r="CI167">
        <v>8</v>
      </c>
      <c r="CJ167">
        <v>2.7024999999999988</v>
      </c>
      <c r="CK167">
        <v>10</v>
      </c>
      <c r="CL167">
        <v>4.9000000000000004</v>
      </c>
      <c r="CM167">
        <v>26</v>
      </c>
      <c r="CN167">
        <v>-1.2625</v>
      </c>
      <c r="CO167">
        <v>8</v>
      </c>
      <c r="CP167">
        <v>9</v>
      </c>
      <c r="CQ167">
        <v>4</v>
      </c>
      <c r="CR167">
        <v>2.1</v>
      </c>
      <c r="CS167">
        <v>14</v>
      </c>
      <c r="CT167">
        <v>8.7499999999999967E-2</v>
      </c>
      <c r="CU167">
        <v>1.7625</v>
      </c>
      <c r="CV167">
        <v>30</v>
      </c>
      <c r="CW167">
        <v>24.5</v>
      </c>
      <c r="CX167">
        <v>30</v>
      </c>
      <c r="CY167">
        <v>-7.320284127007963E-2</v>
      </c>
      <c r="CZ167">
        <v>30</v>
      </c>
      <c r="DA167">
        <v>-2.5008671690300667E-2</v>
      </c>
      <c r="DB167">
        <v>6</v>
      </c>
      <c r="DC167">
        <v>-0.10195283882783876</v>
      </c>
      <c r="DD167">
        <v>32</v>
      </c>
      <c r="DE167">
        <v>-5.1124999999999998</v>
      </c>
      <c r="DF167">
        <v>-0.58750000000000036</v>
      </c>
      <c r="DG167">
        <v>5.2999999999999989</v>
      </c>
      <c r="DH167">
        <v>1.7124999999999999</v>
      </c>
      <c r="DI167">
        <v>42.612499999999997</v>
      </c>
      <c r="DJ167">
        <v>20.125</v>
      </c>
      <c r="DK167">
        <v>33.975000000000001</v>
      </c>
      <c r="DL167">
        <v>-2.5249999999999999</v>
      </c>
      <c r="DM167">
        <v>-8.9624999999999986</v>
      </c>
      <c r="DN167">
        <v>26</v>
      </c>
      <c r="DO167">
        <v>-7.6112500000000036</v>
      </c>
      <c r="DP167">
        <v>-4.137875000000002</v>
      </c>
      <c r="DQ167">
        <v>-13.850000000000001</v>
      </c>
      <c r="DR167">
        <v>7</v>
      </c>
      <c r="DS167">
        <v>1.7882812499999994</v>
      </c>
      <c r="DT167">
        <v>-1.9999999999999996</v>
      </c>
      <c r="DU167">
        <v>-1.1003374999999997</v>
      </c>
      <c r="DV167">
        <v>-0.80687500000000001</v>
      </c>
      <c r="DW167" t="s">
        <v>284</v>
      </c>
      <c r="DX167" t="s">
        <v>243</v>
      </c>
      <c r="DY167" t="s">
        <v>486</v>
      </c>
      <c r="DZ167">
        <v>28</v>
      </c>
      <c r="EA167">
        <v>-3.9164000000000008</v>
      </c>
      <c r="EB167">
        <v>31</v>
      </c>
      <c r="EC167">
        <v>25.25</v>
      </c>
      <c r="ED167">
        <v>28</v>
      </c>
      <c r="EE167">
        <v>-4.9359999999999991</v>
      </c>
      <c r="EF167">
        <v>32</v>
      </c>
      <c r="EG167">
        <v>-5.3599999999999985</v>
      </c>
      <c r="EH167">
        <v>32</v>
      </c>
      <c r="EI167">
        <v>-47.949999999999989</v>
      </c>
      <c r="EJ167">
        <v>9</v>
      </c>
      <c r="EK167">
        <v>1</v>
      </c>
      <c r="EL167">
        <v>32</v>
      </c>
      <c r="EM167">
        <v>27.25</v>
      </c>
      <c r="EN167">
        <v>30</v>
      </c>
      <c r="EO167">
        <v>-4.8679999999999994</v>
      </c>
      <c r="EP167">
        <v>31</v>
      </c>
      <c r="EQ167">
        <v>-4.2099999999999991</v>
      </c>
      <c r="ER167">
        <v>32</v>
      </c>
      <c r="ES167">
        <v>-34.529999999999994</v>
      </c>
      <c r="ET167">
        <v>16</v>
      </c>
      <c r="EU167">
        <v>-0.14999999999999983</v>
      </c>
      <c r="EV167">
        <v>26</v>
      </c>
      <c r="EW167">
        <v>24.333333333333332</v>
      </c>
      <c r="EX167">
        <v>18</v>
      </c>
      <c r="EY167">
        <v>-6.7999999999999797E-2</v>
      </c>
      <c r="EZ167">
        <v>24</v>
      </c>
      <c r="FA167">
        <v>-1.1499999999999997</v>
      </c>
      <c r="FB167">
        <v>31</v>
      </c>
      <c r="FC167">
        <v>-13.419999999999998</v>
      </c>
      <c r="FD167">
        <v>1</v>
      </c>
      <c r="FE167">
        <v>1.1499999999999999</v>
      </c>
      <c r="FF167">
        <v>16</v>
      </c>
      <c r="FG167">
        <v>16.666666666666668</v>
      </c>
      <c r="FH167">
        <v>15</v>
      </c>
      <c r="FI167">
        <v>-0.46300000000000019</v>
      </c>
      <c r="FJ167">
        <v>21</v>
      </c>
      <c r="FK167">
        <v>-6.6200000000000028</v>
      </c>
      <c r="FL167">
        <v>14</v>
      </c>
      <c r="FM167">
        <v>0.28000000000000036</v>
      </c>
      <c r="FN167">
        <v>14</v>
      </c>
      <c r="FO167">
        <v>15.333333333333334</v>
      </c>
      <c r="FP167">
        <v>20</v>
      </c>
      <c r="FQ167">
        <v>-2.6220000000000003</v>
      </c>
      <c r="FR167">
        <v>22</v>
      </c>
      <c r="FS167">
        <v>-8.2600000000000016</v>
      </c>
      <c r="FT167">
        <v>4</v>
      </c>
      <c r="FU167">
        <v>1.45</v>
      </c>
      <c r="FV167">
        <v>17</v>
      </c>
      <c r="FW167">
        <v>15.666666666666666</v>
      </c>
      <c r="FX167">
        <v>11</v>
      </c>
      <c r="FY167">
        <v>2.1149999999999998</v>
      </c>
      <c r="FZ167">
        <v>15</v>
      </c>
      <c r="GA167">
        <v>2.0099999999999993</v>
      </c>
      <c r="GB167">
        <v>21</v>
      </c>
      <c r="GC167">
        <v>-0.30999999999999994</v>
      </c>
      <c r="GD167">
        <v>21</v>
      </c>
      <c r="GE167">
        <v>19.333333333333332</v>
      </c>
      <c r="GF167">
        <v>15</v>
      </c>
      <c r="GG167">
        <v>4.4000000000000393E-2</v>
      </c>
      <c r="GH167">
        <v>16</v>
      </c>
      <c r="GI167">
        <v>-0.37000000000000066</v>
      </c>
      <c r="GJ167">
        <v>27</v>
      </c>
      <c r="GK167">
        <v>-0.85999999999999976</v>
      </c>
      <c r="GL167">
        <v>8</v>
      </c>
      <c r="GM167">
        <v>10</v>
      </c>
      <c r="GN167">
        <v>9</v>
      </c>
      <c r="GO167">
        <v>1.633999999999999</v>
      </c>
      <c r="GP167">
        <v>9</v>
      </c>
      <c r="GQ167">
        <v>7.5399999999999974</v>
      </c>
      <c r="GR167">
        <v>12</v>
      </c>
      <c r="GS167">
        <v>4.0000000000000216E-2</v>
      </c>
      <c r="GT167">
        <v>13</v>
      </c>
      <c r="GU167">
        <v>15.333333333333334</v>
      </c>
      <c r="GV167">
        <v>19</v>
      </c>
      <c r="GW167">
        <v>-1.3049999999999993</v>
      </c>
      <c r="GX167">
        <v>12</v>
      </c>
      <c r="GY167">
        <v>3.05</v>
      </c>
      <c r="GZ167">
        <v>15</v>
      </c>
      <c r="HA167">
        <v>5.0000000000000176E-2</v>
      </c>
      <c r="HB167">
        <v>19</v>
      </c>
      <c r="HC167">
        <v>20</v>
      </c>
      <c r="HD167">
        <v>19</v>
      </c>
      <c r="HE167">
        <v>-0.53000000000000025</v>
      </c>
      <c r="HF167">
        <v>21</v>
      </c>
      <c r="HG167">
        <v>-0.42999999999999988</v>
      </c>
      <c r="HH167">
        <v>1.9299999999999997</v>
      </c>
      <c r="HI167">
        <v>7</v>
      </c>
      <c r="HJ167">
        <v>10.5</v>
      </c>
      <c r="HK167">
        <v>4</v>
      </c>
      <c r="HL167">
        <v>4.9574741672891519E-2</v>
      </c>
      <c r="HM167">
        <v>2</v>
      </c>
      <c r="HN167">
        <v>3.8538748782998081E-2</v>
      </c>
      <c r="HO167">
        <v>32</v>
      </c>
      <c r="HP167">
        <v>0.12830768457548647</v>
      </c>
      <c r="HQ167">
        <v>4</v>
      </c>
      <c r="HR167">
        <v>3.38</v>
      </c>
      <c r="HS167">
        <v>-3.6899999999999977</v>
      </c>
      <c r="HT167">
        <v>-3.54</v>
      </c>
      <c r="HU167">
        <v>2.2399999999999998</v>
      </c>
      <c r="HV167">
        <v>-52.090000000000011</v>
      </c>
      <c r="HW167">
        <v>-1.6300000000000068</v>
      </c>
      <c r="HX167">
        <v>-46.95</v>
      </c>
      <c r="HY167">
        <v>0.3300000000000004</v>
      </c>
      <c r="HZ167">
        <v>-3.84</v>
      </c>
      <c r="IA167">
        <v>16</v>
      </c>
      <c r="IB167">
        <v>1.0195999999999983</v>
      </c>
      <c r="IC167">
        <v>1.3311199999999994</v>
      </c>
      <c r="ID167">
        <v>45.319999999999993</v>
      </c>
      <c r="IE167">
        <v>17</v>
      </c>
      <c r="IF167">
        <v>-1.3937999999999997</v>
      </c>
      <c r="IG167">
        <v>0.33000000000000052</v>
      </c>
    </row>
    <row r="168" spans="1:241" x14ac:dyDescent="0.2">
      <c r="A168" s="19">
        <v>44122</v>
      </c>
      <c r="B168" s="13" t="s">
        <v>252</v>
      </c>
      <c r="C168" s="41" t="s">
        <v>311</v>
      </c>
      <c r="D168" s="14" t="s">
        <v>310</v>
      </c>
      <c r="E168">
        <v>27.3</v>
      </c>
      <c r="F168">
        <v>21.8</v>
      </c>
      <c r="G168">
        <v>10.7</v>
      </c>
      <c r="H168">
        <v>20.5</v>
      </c>
      <c r="I168">
        <v>3.5</v>
      </c>
      <c r="J168">
        <v>52.5</v>
      </c>
      <c r="K168" t="s">
        <v>734</v>
      </c>
      <c r="L168" t="s">
        <v>311</v>
      </c>
      <c r="M168">
        <v>11</v>
      </c>
      <c r="N168">
        <v>0.83339999999999959</v>
      </c>
      <c r="O168">
        <v>31</v>
      </c>
      <c r="P168">
        <v>27.75</v>
      </c>
      <c r="Q168">
        <v>29</v>
      </c>
      <c r="R168">
        <v>-7.5619999999999994</v>
      </c>
      <c r="S168">
        <v>28</v>
      </c>
      <c r="T168">
        <v>-4.419999999999999</v>
      </c>
      <c r="U168">
        <v>26</v>
      </c>
      <c r="V168">
        <v>-17.060000000000002</v>
      </c>
      <c r="W168">
        <v>28</v>
      </c>
      <c r="X168">
        <v>-1.25</v>
      </c>
      <c r="Y168">
        <v>25</v>
      </c>
      <c r="Z168">
        <v>23</v>
      </c>
      <c r="AA168">
        <v>26</v>
      </c>
      <c r="AB168">
        <v>-4.9389999999999992</v>
      </c>
      <c r="AC168">
        <v>28</v>
      </c>
      <c r="AD168">
        <v>-2.3399999999999994</v>
      </c>
      <c r="AE168">
        <v>20</v>
      </c>
      <c r="AF168">
        <v>-5.830000000000001</v>
      </c>
      <c r="AG168">
        <v>23</v>
      </c>
      <c r="AH168">
        <v>-0.90999999999999992</v>
      </c>
      <c r="AI168">
        <v>30</v>
      </c>
      <c r="AJ168">
        <v>25</v>
      </c>
      <c r="AK168">
        <v>28</v>
      </c>
      <c r="AL168">
        <v>-2.6230000000000002</v>
      </c>
      <c r="AM168">
        <v>26</v>
      </c>
      <c r="AN168">
        <v>-2.0799999999999996</v>
      </c>
      <c r="AO168">
        <v>28</v>
      </c>
      <c r="AP168">
        <v>-11.23</v>
      </c>
      <c r="AQ168">
        <v>19</v>
      </c>
      <c r="AR168">
        <v>-0.33999999999999997</v>
      </c>
      <c r="AS168">
        <v>10</v>
      </c>
      <c r="AT168">
        <v>11.333333333333334</v>
      </c>
      <c r="AU168">
        <v>12</v>
      </c>
      <c r="AV168">
        <v>1.8989999999999991</v>
      </c>
      <c r="AW168">
        <v>5</v>
      </c>
      <c r="AX168">
        <v>26.78</v>
      </c>
      <c r="AY168">
        <v>17</v>
      </c>
      <c r="AZ168">
        <v>-0.13999999999999968</v>
      </c>
      <c r="BA168">
        <v>22</v>
      </c>
      <c r="BB168">
        <v>21.333333333333332</v>
      </c>
      <c r="BC168">
        <v>17</v>
      </c>
      <c r="BD168">
        <v>-0.49200000000000055</v>
      </c>
      <c r="BE168">
        <v>19</v>
      </c>
      <c r="BF168">
        <v>-6.4599999999999991</v>
      </c>
      <c r="BG168">
        <v>28</v>
      </c>
      <c r="BH168">
        <v>-1.5699999999999998</v>
      </c>
      <c r="BI168">
        <v>4</v>
      </c>
      <c r="BJ168">
        <v>6</v>
      </c>
      <c r="BK168">
        <v>5</v>
      </c>
      <c r="BL168">
        <v>3.5179999999999993</v>
      </c>
      <c r="BM168">
        <v>3</v>
      </c>
      <c r="BN168">
        <v>26.82</v>
      </c>
      <c r="BO168">
        <v>10</v>
      </c>
      <c r="BP168">
        <v>0.98000000000000009</v>
      </c>
      <c r="BQ168">
        <v>12</v>
      </c>
      <c r="BR168">
        <v>14</v>
      </c>
      <c r="BS168">
        <v>19</v>
      </c>
      <c r="BT168">
        <v>-1.1269999999999998</v>
      </c>
      <c r="BU168">
        <v>8</v>
      </c>
      <c r="BV168">
        <v>6.42</v>
      </c>
      <c r="BW168">
        <v>15</v>
      </c>
      <c r="BX168">
        <v>0.45000000000000007</v>
      </c>
      <c r="BY168">
        <v>2</v>
      </c>
      <c r="BZ168">
        <v>2.3333333333333335</v>
      </c>
      <c r="CA168">
        <v>1</v>
      </c>
      <c r="CB168">
        <v>9.9509999999999987</v>
      </c>
      <c r="CC168">
        <v>1</v>
      </c>
      <c r="CD168">
        <v>58.909999999999989</v>
      </c>
      <c r="CE168">
        <v>5</v>
      </c>
      <c r="CF168">
        <v>2.38</v>
      </c>
      <c r="CG168">
        <v>16</v>
      </c>
      <c r="CH168">
        <v>17.333333333333332</v>
      </c>
      <c r="CI168">
        <v>13</v>
      </c>
      <c r="CJ168">
        <v>0.52999999999999958</v>
      </c>
      <c r="CK168">
        <v>14</v>
      </c>
      <c r="CL168">
        <v>3.4000000000000012</v>
      </c>
      <c r="CM168">
        <v>25</v>
      </c>
      <c r="CN168">
        <v>-1.2499999999999998</v>
      </c>
      <c r="CO168">
        <v>14</v>
      </c>
      <c r="CP168">
        <v>14.5</v>
      </c>
      <c r="CQ168">
        <v>13</v>
      </c>
      <c r="CR168">
        <v>0.48000000000000009</v>
      </c>
      <c r="CS168">
        <v>16</v>
      </c>
      <c r="CT168">
        <v>6.9999999999999979E-2</v>
      </c>
      <c r="CU168">
        <v>-1.53</v>
      </c>
      <c r="CV168">
        <v>5</v>
      </c>
      <c r="CW168">
        <v>9.5</v>
      </c>
      <c r="CX168">
        <v>12</v>
      </c>
      <c r="CY168">
        <v>1.2055732113009332E-2</v>
      </c>
      <c r="CZ168">
        <v>6</v>
      </c>
      <c r="DA168">
        <v>1.5797808622995058E-2</v>
      </c>
      <c r="DB168">
        <v>7</v>
      </c>
      <c r="DC168">
        <v>-8.5284954811270589E-2</v>
      </c>
      <c r="DD168">
        <v>13</v>
      </c>
      <c r="DE168">
        <v>0.48</v>
      </c>
      <c r="DF168">
        <v>-7.919999999999999</v>
      </c>
      <c r="DG168">
        <v>-1.31</v>
      </c>
      <c r="DH168">
        <v>-0.36</v>
      </c>
      <c r="DI168">
        <v>-11.880000000000006</v>
      </c>
      <c r="DJ168">
        <v>20.210000000000008</v>
      </c>
      <c r="DK168">
        <v>-25.53</v>
      </c>
      <c r="DL168">
        <v>-6.33</v>
      </c>
      <c r="DM168">
        <v>-0.23000000000000043</v>
      </c>
      <c r="DN168">
        <v>4</v>
      </c>
      <c r="DO168">
        <v>8.3953999999999986</v>
      </c>
      <c r="DP168">
        <v>4.4334799999999994</v>
      </c>
      <c r="DQ168">
        <v>45.740000000000009</v>
      </c>
      <c r="DR168">
        <v>29</v>
      </c>
      <c r="DS168">
        <v>-0.47745000000000021</v>
      </c>
      <c r="DT168">
        <v>-1.3899999999999995</v>
      </c>
      <c r="DU168">
        <v>9.3850000000000378E-2</v>
      </c>
      <c r="DV168">
        <v>-0.21479999999999971</v>
      </c>
      <c r="DW168" t="s">
        <v>310</v>
      </c>
      <c r="DX168" t="s">
        <v>286</v>
      </c>
      <c r="DY168" t="s">
        <v>479</v>
      </c>
      <c r="DZ168">
        <v>17</v>
      </c>
      <c r="EA168">
        <v>-0.27749999999999764</v>
      </c>
      <c r="EB168">
        <v>7</v>
      </c>
      <c r="EC168">
        <v>10.75</v>
      </c>
      <c r="ED168">
        <v>9</v>
      </c>
      <c r="EE168">
        <v>2.910000000000001</v>
      </c>
      <c r="EF168">
        <v>9</v>
      </c>
      <c r="EG168">
        <v>1.8500000000000003</v>
      </c>
      <c r="EH168">
        <v>3</v>
      </c>
      <c r="EI168">
        <v>32.412500000000009</v>
      </c>
      <c r="EJ168">
        <v>22</v>
      </c>
      <c r="EK168">
        <v>-0.60000000000000031</v>
      </c>
      <c r="EL168">
        <v>10</v>
      </c>
      <c r="EM168">
        <v>13.25</v>
      </c>
      <c r="EN168">
        <v>14</v>
      </c>
      <c r="EO168">
        <v>0.86000000000000099</v>
      </c>
      <c r="EP168">
        <v>12</v>
      </c>
      <c r="EQ168">
        <v>0.63750000000000062</v>
      </c>
      <c r="ER168">
        <v>2</v>
      </c>
      <c r="ES168">
        <v>25.987500000000004</v>
      </c>
      <c r="ET168">
        <v>25</v>
      </c>
      <c r="EU168">
        <v>-0.68750000000000022</v>
      </c>
      <c r="EV168">
        <v>3</v>
      </c>
      <c r="EW168">
        <v>6</v>
      </c>
      <c r="EX168">
        <v>4</v>
      </c>
      <c r="EY168">
        <v>2.0500000000000003</v>
      </c>
      <c r="EZ168">
        <v>8</v>
      </c>
      <c r="FA168">
        <v>1.2124999999999997</v>
      </c>
      <c r="FB168">
        <v>6</v>
      </c>
      <c r="FC168">
        <v>6.4250000000000007</v>
      </c>
      <c r="FD168">
        <v>16</v>
      </c>
      <c r="FE168">
        <v>8.7499999999999967E-2</v>
      </c>
      <c r="FF168">
        <v>9</v>
      </c>
      <c r="FG168">
        <v>11.666666666666666</v>
      </c>
      <c r="FH168">
        <v>14</v>
      </c>
      <c r="FI168">
        <v>-0.44375000000000009</v>
      </c>
      <c r="FJ168">
        <v>14</v>
      </c>
      <c r="FK168">
        <v>3.3250000000000011</v>
      </c>
      <c r="FL168">
        <v>7</v>
      </c>
      <c r="FM168">
        <v>1.0999999999999999</v>
      </c>
      <c r="FN168">
        <v>17</v>
      </c>
      <c r="FO168">
        <v>16.333333333333332</v>
      </c>
      <c r="FP168">
        <v>21</v>
      </c>
      <c r="FQ168">
        <v>-2.6424999999999996</v>
      </c>
      <c r="FR168">
        <v>15</v>
      </c>
      <c r="FS168">
        <v>-1.6249999999999982</v>
      </c>
      <c r="FT168">
        <v>13</v>
      </c>
      <c r="FU168">
        <v>0.46249999999999969</v>
      </c>
      <c r="FV168">
        <v>3</v>
      </c>
      <c r="FW168">
        <v>5.666666666666667</v>
      </c>
      <c r="FX168">
        <v>5</v>
      </c>
      <c r="FY168">
        <v>3.2487499999999994</v>
      </c>
      <c r="FZ168">
        <v>6</v>
      </c>
      <c r="GA168">
        <v>11.462499999999999</v>
      </c>
      <c r="GB168">
        <v>6</v>
      </c>
      <c r="GC168">
        <v>0.86250000000000004</v>
      </c>
      <c r="GD168">
        <v>26</v>
      </c>
      <c r="GE168">
        <v>23</v>
      </c>
      <c r="GF168">
        <v>22</v>
      </c>
      <c r="GG168">
        <v>-1.0499999999999998</v>
      </c>
      <c r="GH168">
        <v>26</v>
      </c>
      <c r="GI168">
        <v>-6.5124999999999993</v>
      </c>
      <c r="GJ168">
        <v>21</v>
      </c>
      <c r="GK168">
        <v>-0.22499999999999987</v>
      </c>
      <c r="GL168">
        <v>4</v>
      </c>
      <c r="GM168">
        <v>4.333333333333333</v>
      </c>
      <c r="GN168">
        <v>5</v>
      </c>
      <c r="GO168">
        <v>4.5975000000000001</v>
      </c>
      <c r="GP168">
        <v>4</v>
      </c>
      <c r="GQ168">
        <v>21.974999999999998</v>
      </c>
      <c r="GR168">
        <v>4</v>
      </c>
      <c r="GS168">
        <v>1.75</v>
      </c>
      <c r="GT168">
        <v>8</v>
      </c>
      <c r="GU168">
        <v>9.3333333333333339</v>
      </c>
      <c r="GV168">
        <v>7</v>
      </c>
      <c r="GW168">
        <v>2.9937499999999999</v>
      </c>
      <c r="GX168">
        <v>10</v>
      </c>
      <c r="GY168">
        <v>5.0625</v>
      </c>
      <c r="GZ168">
        <v>11</v>
      </c>
      <c r="HA168">
        <v>0.16250000000000009</v>
      </c>
      <c r="HB168">
        <v>29</v>
      </c>
      <c r="HC168">
        <v>28</v>
      </c>
      <c r="HD168">
        <v>28</v>
      </c>
      <c r="HE168">
        <v>-1.9624999999999999</v>
      </c>
      <c r="HF168">
        <v>28</v>
      </c>
      <c r="HG168">
        <v>-0.6875</v>
      </c>
      <c r="HH168">
        <v>-2.5874999999999999</v>
      </c>
      <c r="HI168">
        <v>23</v>
      </c>
      <c r="HJ168">
        <v>20</v>
      </c>
      <c r="HK168">
        <v>13</v>
      </c>
      <c r="HL168">
        <v>4.5537139289629491E-3</v>
      </c>
      <c r="HM168">
        <v>32</v>
      </c>
      <c r="HN168">
        <v>-3.2861066671776802E-2</v>
      </c>
      <c r="HO168">
        <v>12</v>
      </c>
      <c r="HP168">
        <v>-4.3385872168766965E-2</v>
      </c>
      <c r="HQ168">
        <v>23</v>
      </c>
      <c r="HR168">
        <v>-1.4750000000000001</v>
      </c>
      <c r="HS168">
        <v>-0.26250000000000107</v>
      </c>
      <c r="HT168">
        <v>-1.625</v>
      </c>
      <c r="HU168">
        <v>0</v>
      </c>
      <c r="HV168">
        <v>40.4375</v>
      </c>
      <c r="HW168">
        <v>3.4624999999999986</v>
      </c>
      <c r="HX168">
        <v>31.162500000000001</v>
      </c>
      <c r="HY168">
        <v>5.7125000000000004</v>
      </c>
      <c r="HZ168">
        <v>0.10000000000000053</v>
      </c>
      <c r="IA168">
        <v>23</v>
      </c>
      <c r="IB168">
        <v>-3.1874999999999987</v>
      </c>
      <c r="IC168">
        <v>-1.0005000000000002</v>
      </c>
      <c r="ID168">
        <v>-27.700000000000003</v>
      </c>
      <c r="IE168">
        <v>10</v>
      </c>
      <c r="IF168">
        <v>0.40250000000000047</v>
      </c>
      <c r="IG168">
        <v>1.2625</v>
      </c>
    </row>
    <row r="169" spans="1:241" x14ac:dyDescent="0.2">
      <c r="A169" s="19">
        <v>44122</v>
      </c>
      <c r="B169" s="13" t="s">
        <v>252</v>
      </c>
      <c r="C169" s="41" t="s">
        <v>289</v>
      </c>
      <c r="D169" s="14" t="s">
        <v>272</v>
      </c>
      <c r="E169">
        <v>2.1</v>
      </c>
      <c r="F169">
        <v>15.4</v>
      </c>
      <c r="G169">
        <v>18.8</v>
      </c>
      <c r="H169">
        <v>21.9</v>
      </c>
      <c r="I169">
        <v>-7</v>
      </c>
      <c r="J169">
        <v>46</v>
      </c>
      <c r="K169" t="s">
        <v>735</v>
      </c>
      <c r="L169" t="s">
        <v>289</v>
      </c>
      <c r="M169">
        <v>32</v>
      </c>
      <c r="N169">
        <v>-8.2264000000000017</v>
      </c>
      <c r="O169">
        <v>13</v>
      </c>
      <c r="P169">
        <v>13.5</v>
      </c>
      <c r="Q169">
        <v>12</v>
      </c>
      <c r="R169">
        <v>0.84400000000000008</v>
      </c>
      <c r="S169">
        <v>9</v>
      </c>
      <c r="T169">
        <v>1.8800000000000003</v>
      </c>
      <c r="U169">
        <v>18</v>
      </c>
      <c r="V169">
        <v>-2.4800000000000022</v>
      </c>
      <c r="W169">
        <v>15</v>
      </c>
      <c r="X169">
        <v>0.19999999999999996</v>
      </c>
      <c r="Y169">
        <v>22</v>
      </c>
      <c r="Z169">
        <v>21</v>
      </c>
      <c r="AA169">
        <v>18</v>
      </c>
      <c r="AB169">
        <v>0.1</v>
      </c>
      <c r="AC169">
        <v>16</v>
      </c>
      <c r="AD169">
        <v>-0.59999999999999964</v>
      </c>
      <c r="AE169">
        <v>23</v>
      </c>
      <c r="AF169">
        <v>-8.4400000000000013</v>
      </c>
      <c r="AG169">
        <v>22</v>
      </c>
      <c r="AH169">
        <v>-0.76</v>
      </c>
      <c r="AI169">
        <v>5</v>
      </c>
      <c r="AJ169">
        <v>8.3333333333333339</v>
      </c>
      <c r="AK169">
        <v>12</v>
      </c>
      <c r="AL169">
        <v>0.74400000000000011</v>
      </c>
      <c r="AM169">
        <v>7</v>
      </c>
      <c r="AN169">
        <v>2.48</v>
      </c>
      <c r="AO169">
        <v>7</v>
      </c>
      <c r="AP169">
        <v>5.9599999999999991</v>
      </c>
      <c r="AQ169">
        <v>6</v>
      </c>
      <c r="AR169">
        <v>0.96</v>
      </c>
      <c r="AS169">
        <v>30</v>
      </c>
      <c r="AT169">
        <v>29.666666666666668</v>
      </c>
      <c r="AU169">
        <v>32</v>
      </c>
      <c r="AV169">
        <v>-13.444000000000001</v>
      </c>
      <c r="AW169">
        <v>31</v>
      </c>
      <c r="AX169">
        <v>-47.16</v>
      </c>
      <c r="AY169">
        <v>26</v>
      </c>
      <c r="AZ169">
        <v>-3.1599999999999993</v>
      </c>
      <c r="BA169">
        <v>32</v>
      </c>
      <c r="BB169">
        <v>30</v>
      </c>
      <c r="BC169">
        <v>32</v>
      </c>
      <c r="BD169">
        <v>-7.5519999999999996</v>
      </c>
      <c r="BE169">
        <v>32</v>
      </c>
      <c r="BF169">
        <v>-26.560000000000002</v>
      </c>
      <c r="BG169">
        <v>26</v>
      </c>
      <c r="BH169">
        <v>-1.3199999999999996</v>
      </c>
      <c r="BI169">
        <v>29</v>
      </c>
      <c r="BJ169">
        <v>26.666666666666668</v>
      </c>
      <c r="BK169">
        <v>29</v>
      </c>
      <c r="BL169">
        <v>-4.7000000000000011</v>
      </c>
      <c r="BM169">
        <v>29</v>
      </c>
      <c r="BN169">
        <v>-18.839999999999996</v>
      </c>
      <c r="BO169">
        <v>22</v>
      </c>
      <c r="BP169">
        <v>-0.47999999999999987</v>
      </c>
      <c r="BQ169">
        <v>21</v>
      </c>
      <c r="BR169">
        <v>21.333333333333332</v>
      </c>
      <c r="BS169">
        <v>20</v>
      </c>
      <c r="BT169">
        <v>-1.1919999999999997</v>
      </c>
      <c r="BU169">
        <v>19</v>
      </c>
      <c r="BV169">
        <v>-1.7600000000000002</v>
      </c>
      <c r="BW169">
        <v>25</v>
      </c>
      <c r="BX169">
        <v>-1.3599999999999999</v>
      </c>
      <c r="BY169">
        <v>28</v>
      </c>
      <c r="BZ169">
        <v>27</v>
      </c>
      <c r="CA169">
        <v>30</v>
      </c>
      <c r="CB169">
        <v>-6.4640000000000031</v>
      </c>
      <c r="CC169">
        <v>25</v>
      </c>
      <c r="CD169">
        <v>-17.04</v>
      </c>
      <c r="CE169">
        <v>26</v>
      </c>
      <c r="CF169">
        <v>-1.5200000000000002</v>
      </c>
      <c r="CG169">
        <v>16</v>
      </c>
      <c r="CH169">
        <v>17.333333333333332</v>
      </c>
      <c r="CI169">
        <v>18</v>
      </c>
      <c r="CJ169">
        <v>-0.54799999999999971</v>
      </c>
      <c r="CK169">
        <v>12</v>
      </c>
      <c r="CL169">
        <v>4.5200000000000005</v>
      </c>
      <c r="CM169">
        <v>22</v>
      </c>
      <c r="CN169">
        <v>-0.88000000000000012</v>
      </c>
      <c r="CO169">
        <v>4</v>
      </c>
      <c r="CP169">
        <v>6.5</v>
      </c>
      <c r="CQ169">
        <v>10</v>
      </c>
      <c r="CR169">
        <v>0.91999999999999993</v>
      </c>
      <c r="CS169">
        <v>3</v>
      </c>
      <c r="CT169">
        <v>0.76</v>
      </c>
      <c r="CU169">
        <v>5.64</v>
      </c>
      <c r="CV169">
        <v>28</v>
      </c>
      <c r="CW169">
        <v>23.25</v>
      </c>
      <c r="CX169">
        <v>24</v>
      </c>
      <c r="CY169">
        <v>-4.422687056042534E-2</v>
      </c>
      <c r="CZ169">
        <v>26</v>
      </c>
      <c r="DA169">
        <v>-1.4101422701022714E-2</v>
      </c>
      <c r="DB169">
        <v>31</v>
      </c>
      <c r="DC169">
        <v>0.12545054945054948</v>
      </c>
      <c r="DD169">
        <v>12</v>
      </c>
      <c r="DE169">
        <v>0.59999999999999987</v>
      </c>
      <c r="DF169">
        <v>-3.2400000000000007</v>
      </c>
      <c r="DG169">
        <v>-7.08</v>
      </c>
      <c r="DH169">
        <v>3.6</v>
      </c>
      <c r="DI169">
        <v>-44.720000000000006</v>
      </c>
      <c r="DJ169">
        <v>-31</v>
      </c>
      <c r="DK169">
        <v>2.9599999999999995</v>
      </c>
      <c r="DL169">
        <v>-1.9599999999999997</v>
      </c>
      <c r="DM169">
        <v>-14.719999999999999</v>
      </c>
      <c r="DN169">
        <v>28</v>
      </c>
      <c r="DO169">
        <v>-9.0704000000000011</v>
      </c>
      <c r="DP169">
        <v>-4.8656799999999993</v>
      </c>
      <c r="DQ169">
        <v>-33.96</v>
      </c>
      <c r="DR169">
        <v>5</v>
      </c>
      <c r="DS169">
        <v>-2.5568</v>
      </c>
      <c r="DT169">
        <v>-4.0399999999999991</v>
      </c>
      <c r="DU169">
        <v>-1.0473999999999999</v>
      </c>
      <c r="DV169">
        <v>-2.3668</v>
      </c>
      <c r="DW169" t="s">
        <v>272</v>
      </c>
      <c r="DX169" t="s">
        <v>277</v>
      </c>
      <c r="DY169" t="s">
        <v>528</v>
      </c>
      <c r="DZ169">
        <v>21</v>
      </c>
      <c r="EA169">
        <v>-1.7879999999999989</v>
      </c>
      <c r="EB169">
        <v>10</v>
      </c>
      <c r="EC169">
        <v>13</v>
      </c>
      <c r="ED169">
        <v>13</v>
      </c>
      <c r="EE169">
        <v>0.9479999999999994</v>
      </c>
      <c r="EF169">
        <v>7</v>
      </c>
      <c r="EG169">
        <v>2.2800000000000002</v>
      </c>
      <c r="EH169">
        <v>5</v>
      </c>
      <c r="EI169">
        <v>27.84</v>
      </c>
      <c r="EJ169">
        <v>27</v>
      </c>
      <c r="EK169">
        <v>-1.3200000000000003</v>
      </c>
      <c r="EL169">
        <v>8</v>
      </c>
      <c r="EM169">
        <v>11</v>
      </c>
      <c r="EN169">
        <v>18</v>
      </c>
      <c r="EO169">
        <v>-0.4680000000000003</v>
      </c>
      <c r="EP169">
        <v>1</v>
      </c>
      <c r="EQ169">
        <v>4</v>
      </c>
      <c r="ER169">
        <v>4</v>
      </c>
      <c r="ES169">
        <v>21.28</v>
      </c>
      <c r="ET169">
        <v>21</v>
      </c>
      <c r="EU169">
        <v>-0.44000000000000006</v>
      </c>
      <c r="EV169">
        <v>10</v>
      </c>
      <c r="EW169">
        <v>13.333333333333334</v>
      </c>
      <c r="EX169">
        <v>7</v>
      </c>
      <c r="EY169">
        <v>1.4159999999999997</v>
      </c>
      <c r="EZ169">
        <v>28</v>
      </c>
      <c r="FA169">
        <v>-1.72</v>
      </c>
      <c r="FB169">
        <v>5</v>
      </c>
      <c r="FC169">
        <v>6.56</v>
      </c>
      <c r="FD169">
        <v>29</v>
      </c>
      <c r="FE169">
        <v>-0.88000000000000012</v>
      </c>
      <c r="FF169">
        <v>8</v>
      </c>
      <c r="FG169">
        <v>10.666666666666666</v>
      </c>
      <c r="FH169">
        <v>12</v>
      </c>
      <c r="FI169">
        <v>0.15199999999999947</v>
      </c>
      <c r="FJ169">
        <v>11</v>
      </c>
      <c r="FK169">
        <v>4.4000000000000004</v>
      </c>
      <c r="FL169">
        <v>9</v>
      </c>
      <c r="FM169">
        <v>0.64000000000000035</v>
      </c>
      <c r="FN169">
        <v>7</v>
      </c>
      <c r="FO169">
        <v>8.3333333333333339</v>
      </c>
      <c r="FP169">
        <v>6</v>
      </c>
      <c r="FQ169">
        <v>3.9231999999999991</v>
      </c>
      <c r="FR169">
        <v>11</v>
      </c>
      <c r="FS169">
        <v>7.24</v>
      </c>
      <c r="FT169">
        <v>8</v>
      </c>
      <c r="FU169">
        <v>0.88000000000000023</v>
      </c>
      <c r="FV169">
        <v>22</v>
      </c>
      <c r="FW169">
        <v>21</v>
      </c>
      <c r="FX169">
        <v>23</v>
      </c>
      <c r="FY169">
        <v>-2.4032</v>
      </c>
      <c r="FZ169">
        <v>21</v>
      </c>
      <c r="GA169">
        <v>-1.7600000000000002</v>
      </c>
      <c r="GB169">
        <v>19</v>
      </c>
      <c r="GC169">
        <v>-0.23999999999999985</v>
      </c>
      <c r="GD169">
        <v>21</v>
      </c>
      <c r="GE169">
        <v>19.333333333333332</v>
      </c>
      <c r="GF169">
        <v>24</v>
      </c>
      <c r="GG169">
        <v>-1.3679999999999997</v>
      </c>
      <c r="GH169">
        <v>18</v>
      </c>
      <c r="GI169">
        <v>-1.0799999999999996</v>
      </c>
      <c r="GJ169">
        <v>16</v>
      </c>
      <c r="GK169">
        <v>4.4408920985006264E-17</v>
      </c>
      <c r="GL169">
        <v>15</v>
      </c>
      <c r="GM169">
        <v>17</v>
      </c>
      <c r="GN169">
        <v>24</v>
      </c>
      <c r="GO169">
        <v>-2.7680000000000007</v>
      </c>
      <c r="GP169">
        <v>16</v>
      </c>
      <c r="GQ169">
        <v>-2.0800000000000041</v>
      </c>
      <c r="GR169">
        <v>11</v>
      </c>
      <c r="GS169">
        <v>0.36000000000000015</v>
      </c>
      <c r="GT169">
        <v>7</v>
      </c>
      <c r="GU169">
        <v>9</v>
      </c>
      <c r="GV169">
        <v>14</v>
      </c>
      <c r="GW169">
        <v>0.10400000000000027</v>
      </c>
      <c r="GX169">
        <v>8</v>
      </c>
      <c r="GY169">
        <v>7.6</v>
      </c>
      <c r="GZ169">
        <v>5</v>
      </c>
      <c r="HA169">
        <v>1.36</v>
      </c>
      <c r="HB169">
        <v>1</v>
      </c>
      <c r="HC169">
        <v>2</v>
      </c>
      <c r="HD169">
        <v>3</v>
      </c>
      <c r="HE169">
        <v>2.7600000000000002</v>
      </c>
      <c r="HF169">
        <v>1</v>
      </c>
      <c r="HG169">
        <v>1.1199999999999999</v>
      </c>
      <c r="HH169">
        <v>3.3600000000000003</v>
      </c>
      <c r="HI169">
        <v>31</v>
      </c>
      <c r="HJ169">
        <v>26.75</v>
      </c>
      <c r="HK169">
        <v>30</v>
      </c>
      <c r="HL169">
        <v>-5.9267428381285944E-2</v>
      </c>
      <c r="HM169">
        <v>30</v>
      </c>
      <c r="HN169">
        <v>-2.8129321137902129E-2</v>
      </c>
      <c r="HO169">
        <v>17</v>
      </c>
      <c r="HP169">
        <v>3.0017302958479262E-3</v>
      </c>
      <c r="HQ169">
        <v>30</v>
      </c>
      <c r="HR169">
        <v>-2.6399999999999997</v>
      </c>
      <c r="HS169">
        <v>3.0000000000000044</v>
      </c>
      <c r="HT169">
        <v>7.999999999999971E-2</v>
      </c>
      <c r="HU169">
        <v>-0.36</v>
      </c>
      <c r="HV169">
        <v>20.840000000000011</v>
      </c>
      <c r="HW169">
        <v>-2.680000000000001</v>
      </c>
      <c r="HX169">
        <v>25.56</v>
      </c>
      <c r="HY169">
        <v>1.2799999999999996</v>
      </c>
      <c r="HZ169">
        <v>-3.3199999999999994</v>
      </c>
      <c r="IA169">
        <v>21</v>
      </c>
      <c r="IB169">
        <v>-2.7359999999999984</v>
      </c>
      <c r="IC169">
        <v>-0.78039999999999954</v>
      </c>
      <c r="ID169">
        <v>-28.24</v>
      </c>
      <c r="IE169">
        <v>12</v>
      </c>
      <c r="IF169">
        <v>0.27200000000000008</v>
      </c>
      <c r="IG169">
        <v>2.0000000000000004</v>
      </c>
    </row>
    <row r="170" spans="1:241" x14ac:dyDescent="0.2">
      <c r="A170" s="19">
        <v>44122</v>
      </c>
      <c r="B170" s="13" t="s">
        <v>252</v>
      </c>
      <c r="C170" s="41" t="s">
        <v>297</v>
      </c>
      <c r="D170" s="14" t="s">
        <v>299</v>
      </c>
      <c r="E170">
        <v>11.5</v>
      </c>
      <c r="F170">
        <v>23.3</v>
      </c>
      <c r="G170">
        <v>4.0999999999999996</v>
      </c>
      <c r="H170">
        <v>0</v>
      </c>
      <c r="I170">
        <v>3</v>
      </c>
      <c r="J170">
        <v>53</v>
      </c>
      <c r="K170" t="s">
        <v>734</v>
      </c>
      <c r="L170" t="s">
        <v>297</v>
      </c>
      <c r="M170">
        <v>6</v>
      </c>
      <c r="N170">
        <v>3.6328000000000005</v>
      </c>
      <c r="O170">
        <v>24</v>
      </c>
      <c r="P170">
        <v>20.5</v>
      </c>
      <c r="Q170">
        <v>17</v>
      </c>
      <c r="R170">
        <v>0.12699999999999967</v>
      </c>
      <c r="S170">
        <v>31</v>
      </c>
      <c r="T170">
        <v>-4.84</v>
      </c>
      <c r="U170">
        <v>32</v>
      </c>
      <c r="V170">
        <v>-34.879999999999995</v>
      </c>
      <c r="W170">
        <v>2</v>
      </c>
      <c r="X170">
        <v>2.5099999999999998</v>
      </c>
      <c r="Y170">
        <v>16</v>
      </c>
      <c r="Z170">
        <v>15.333333333333334</v>
      </c>
      <c r="AA170">
        <v>15</v>
      </c>
      <c r="AB170">
        <v>0.91999999999999993</v>
      </c>
      <c r="AC170">
        <v>20</v>
      </c>
      <c r="AD170">
        <v>-1.0799999999999994</v>
      </c>
      <c r="AE170">
        <v>25</v>
      </c>
      <c r="AF170">
        <v>-12.9</v>
      </c>
      <c r="AG170">
        <v>6</v>
      </c>
      <c r="AH170">
        <v>1.23</v>
      </c>
      <c r="AI170">
        <v>20</v>
      </c>
      <c r="AJ170">
        <v>18.666666666666668</v>
      </c>
      <c r="AK170">
        <v>20</v>
      </c>
      <c r="AL170">
        <v>-0.79300000000000026</v>
      </c>
      <c r="AM170">
        <v>32</v>
      </c>
      <c r="AN170">
        <v>-3.7600000000000007</v>
      </c>
      <c r="AO170">
        <v>32</v>
      </c>
      <c r="AP170">
        <v>-21.979999999999997</v>
      </c>
      <c r="AQ170">
        <v>4</v>
      </c>
      <c r="AR170">
        <v>1.28</v>
      </c>
      <c r="AS170">
        <v>16</v>
      </c>
      <c r="AT170">
        <v>14.666666666666666</v>
      </c>
      <c r="AU170">
        <v>11</v>
      </c>
      <c r="AV170">
        <v>3.4221999999999988</v>
      </c>
      <c r="AW170">
        <v>15</v>
      </c>
      <c r="AX170">
        <v>-2.7199999999999989</v>
      </c>
      <c r="AY170">
        <v>18</v>
      </c>
      <c r="AZ170">
        <v>-0.49</v>
      </c>
      <c r="BA170">
        <v>27</v>
      </c>
      <c r="BB170">
        <v>26.333333333333332</v>
      </c>
      <c r="BC170">
        <v>22</v>
      </c>
      <c r="BD170">
        <v>-1.823800000000001</v>
      </c>
      <c r="BE170">
        <v>25</v>
      </c>
      <c r="BF170">
        <v>-10.99</v>
      </c>
      <c r="BG170">
        <v>32</v>
      </c>
      <c r="BH170">
        <v>-2.4500000000000002</v>
      </c>
      <c r="BI170">
        <v>10</v>
      </c>
      <c r="BJ170">
        <v>12</v>
      </c>
      <c r="BK170">
        <v>10</v>
      </c>
      <c r="BL170">
        <v>1.6010000000000002</v>
      </c>
      <c r="BM170">
        <v>13</v>
      </c>
      <c r="BN170">
        <v>0.81000000000000227</v>
      </c>
      <c r="BO170">
        <v>13</v>
      </c>
      <c r="BP170">
        <v>0.33000000000000007</v>
      </c>
      <c r="BQ170">
        <v>3</v>
      </c>
      <c r="BR170">
        <v>4.666666666666667</v>
      </c>
      <c r="BS170">
        <v>4</v>
      </c>
      <c r="BT170">
        <v>3.6449999999999996</v>
      </c>
      <c r="BU170">
        <v>7</v>
      </c>
      <c r="BV170">
        <v>7.4599999999999991</v>
      </c>
      <c r="BW170">
        <v>3</v>
      </c>
      <c r="BX170">
        <v>1.6300000000000001</v>
      </c>
      <c r="BY170">
        <v>6</v>
      </c>
      <c r="BZ170">
        <v>7.666666666666667</v>
      </c>
      <c r="CA170">
        <v>7</v>
      </c>
      <c r="CB170">
        <v>3.5279999999999987</v>
      </c>
      <c r="CC170">
        <v>7</v>
      </c>
      <c r="CD170">
        <v>15.979999999999999</v>
      </c>
      <c r="CE170">
        <v>9</v>
      </c>
      <c r="CF170">
        <v>1.06</v>
      </c>
      <c r="CG170">
        <v>24</v>
      </c>
      <c r="CH170">
        <v>24.666666666666668</v>
      </c>
      <c r="CI170">
        <v>26</v>
      </c>
      <c r="CJ170">
        <v>-2.9329999999999998</v>
      </c>
      <c r="CK170">
        <v>28</v>
      </c>
      <c r="CL170">
        <v>-16.029999999999998</v>
      </c>
      <c r="CM170">
        <v>20</v>
      </c>
      <c r="CN170">
        <v>-0.58000000000000007</v>
      </c>
      <c r="CO170">
        <v>12</v>
      </c>
      <c r="CP170">
        <v>12.5</v>
      </c>
      <c r="CQ170">
        <v>17</v>
      </c>
      <c r="CR170">
        <v>-0.26999999999999991</v>
      </c>
      <c r="CS170">
        <v>8</v>
      </c>
      <c r="CT170">
        <v>0.28000000000000003</v>
      </c>
      <c r="CU170">
        <v>-2.95</v>
      </c>
      <c r="CV170">
        <v>12</v>
      </c>
      <c r="CW170">
        <v>14.25</v>
      </c>
      <c r="CX170">
        <v>25</v>
      </c>
      <c r="CY170">
        <v>-5.6304330958634061E-2</v>
      </c>
      <c r="CZ170">
        <v>17</v>
      </c>
      <c r="DA170">
        <v>-3.2968263194284599E-3</v>
      </c>
      <c r="DB170">
        <v>4</v>
      </c>
      <c r="DC170">
        <v>-0.12734776334776335</v>
      </c>
      <c r="DD170">
        <v>11</v>
      </c>
      <c r="DE170">
        <v>0.73000000000000009</v>
      </c>
      <c r="DF170">
        <v>-1.2100000000000009</v>
      </c>
      <c r="DG170">
        <v>-0.46000000000000085</v>
      </c>
      <c r="DH170">
        <v>-0.91999999999999993</v>
      </c>
      <c r="DI170">
        <v>6.5600000000000023</v>
      </c>
      <c r="DJ170">
        <v>44.370000000000005</v>
      </c>
      <c r="DK170">
        <v>-43.44</v>
      </c>
      <c r="DL170">
        <v>4.8699999999999992</v>
      </c>
      <c r="DM170">
        <v>0.76000000000000012</v>
      </c>
      <c r="DN170">
        <v>10</v>
      </c>
      <c r="DO170">
        <v>3.5058000000000007</v>
      </c>
      <c r="DP170">
        <v>0.76090000000000013</v>
      </c>
      <c r="DQ170">
        <v>87.81</v>
      </c>
      <c r="DR170">
        <v>23</v>
      </c>
      <c r="DS170">
        <v>0.49737499999999985</v>
      </c>
      <c r="DT170">
        <v>-1.07</v>
      </c>
      <c r="DU170">
        <v>0.74149374999999995</v>
      </c>
      <c r="DV170">
        <v>1.7876749999999999</v>
      </c>
      <c r="DW170" t="s">
        <v>299</v>
      </c>
      <c r="DX170" t="s">
        <v>258</v>
      </c>
      <c r="DY170" t="s">
        <v>478</v>
      </c>
      <c r="DZ170">
        <v>22</v>
      </c>
      <c r="EA170">
        <v>-1.8537500000000016</v>
      </c>
      <c r="EB170">
        <v>5</v>
      </c>
      <c r="EC170">
        <v>10.25</v>
      </c>
      <c r="ED170">
        <v>6</v>
      </c>
      <c r="EE170">
        <v>3.6350000000000007</v>
      </c>
      <c r="EF170">
        <v>2</v>
      </c>
      <c r="EG170">
        <v>4.7375000000000007</v>
      </c>
      <c r="EH170">
        <v>1</v>
      </c>
      <c r="EI170">
        <v>51.237499999999997</v>
      </c>
      <c r="EJ170">
        <v>32</v>
      </c>
      <c r="EK170">
        <v>-2.5124999999999997</v>
      </c>
      <c r="EL170">
        <v>6</v>
      </c>
      <c r="EM170">
        <v>10.25</v>
      </c>
      <c r="EN170">
        <v>9</v>
      </c>
      <c r="EO170">
        <v>1.7287499999999998</v>
      </c>
      <c r="EP170">
        <v>3</v>
      </c>
      <c r="EQ170">
        <v>2.4875000000000003</v>
      </c>
      <c r="ER170">
        <v>1</v>
      </c>
      <c r="ES170">
        <v>31.524999999999999</v>
      </c>
      <c r="ET170">
        <v>28</v>
      </c>
      <c r="EU170">
        <v>-1.1375</v>
      </c>
      <c r="EV170">
        <v>1</v>
      </c>
      <c r="EW170">
        <v>2.6666666666666665</v>
      </c>
      <c r="EX170">
        <v>5</v>
      </c>
      <c r="EY170">
        <v>1.9062500000000011</v>
      </c>
      <c r="EZ170">
        <v>2</v>
      </c>
      <c r="FA170">
        <v>2.25</v>
      </c>
      <c r="FB170">
        <v>1</v>
      </c>
      <c r="FC170">
        <v>19.712499999999999</v>
      </c>
      <c r="FD170">
        <v>31</v>
      </c>
      <c r="FE170">
        <v>-1.3749999999999998</v>
      </c>
      <c r="FF170">
        <v>18</v>
      </c>
      <c r="FG170">
        <v>18</v>
      </c>
      <c r="FH170">
        <v>11</v>
      </c>
      <c r="FI170">
        <v>0.19250000000000123</v>
      </c>
      <c r="FJ170">
        <v>15</v>
      </c>
      <c r="FK170">
        <v>2.4375</v>
      </c>
      <c r="FL170">
        <v>28</v>
      </c>
      <c r="FM170">
        <v>-2.5</v>
      </c>
      <c r="FN170">
        <v>26</v>
      </c>
      <c r="FO170">
        <v>26</v>
      </c>
      <c r="FP170">
        <v>25</v>
      </c>
      <c r="FQ170">
        <v>-3.4649999999999999</v>
      </c>
      <c r="FR170">
        <v>24</v>
      </c>
      <c r="FS170">
        <v>-9.85</v>
      </c>
      <c r="FT170">
        <v>29</v>
      </c>
      <c r="FU170">
        <v>-2.125</v>
      </c>
      <c r="FV170">
        <v>1</v>
      </c>
      <c r="FW170">
        <v>2</v>
      </c>
      <c r="FX170">
        <v>1</v>
      </c>
      <c r="FY170">
        <v>5.9675000000000011</v>
      </c>
      <c r="FZ170">
        <v>1</v>
      </c>
      <c r="GA170">
        <v>28.824999999999999</v>
      </c>
      <c r="GB170">
        <v>4</v>
      </c>
      <c r="GC170">
        <v>1.2500000000000002</v>
      </c>
      <c r="GD170">
        <v>31</v>
      </c>
      <c r="GE170">
        <v>30.666666666666668</v>
      </c>
      <c r="GF170">
        <v>29</v>
      </c>
      <c r="GG170">
        <v>-2.31</v>
      </c>
      <c r="GH170">
        <v>31</v>
      </c>
      <c r="GI170">
        <v>-16.537500000000001</v>
      </c>
      <c r="GJ170">
        <v>32</v>
      </c>
      <c r="GK170">
        <v>-1.625</v>
      </c>
      <c r="GL170">
        <v>16</v>
      </c>
      <c r="GM170">
        <v>17.333333333333332</v>
      </c>
      <c r="GN170">
        <v>13</v>
      </c>
      <c r="GO170">
        <v>0.66624999999999979</v>
      </c>
      <c r="GP170">
        <v>10</v>
      </c>
      <c r="GQ170">
        <v>6.9125000000000014</v>
      </c>
      <c r="GR170">
        <v>29</v>
      </c>
      <c r="GS170">
        <v>-1.375</v>
      </c>
      <c r="GT170">
        <v>29</v>
      </c>
      <c r="GU170">
        <v>28.333333333333332</v>
      </c>
      <c r="GV170">
        <v>29</v>
      </c>
      <c r="GW170">
        <v>-3.63625</v>
      </c>
      <c r="GX170">
        <v>29</v>
      </c>
      <c r="GY170">
        <v>-18.362500000000001</v>
      </c>
      <c r="GZ170">
        <v>27</v>
      </c>
      <c r="HA170">
        <v>-0.79999999999999982</v>
      </c>
      <c r="HB170">
        <v>22</v>
      </c>
      <c r="HC170">
        <v>23</v>
      </c>
      <c r="HD170">
        <v>21</v>
      </c>
      <c r="HE170">
        <v>-0.77500000000000013</v>
      </c>
      <c r="HF170">
        <v>25</v>
      </c>
      <c r="HG170">
        <v>-0.60000000000000009</v>
      </c>
      <c r="HH170">
        <v>0.23749999999999982</v>
      </c>
      <c r="HI170">
        <v>26</v>
      </c>
      <c r="HJ170">
        <v>21</v>
      </c>
      <c r="HK170">
        <v>19</v>
      </c>
      <c r="HL170">
        <v>-2.6148235069413453E-3</v>
      </c>
      <c r="HM170">
        <v>16</v>
      </c>
      <c r="HN170">
        <v>-1.4550090186385067E-3</v>
      </c>
      <c r="HO170">
        <v>28</v>
      </c>
      <c r="HP170">
        <v>7.1160714285714285E-2</v>
      </c>
      <c r="HQ170">
        <v>21</v>
      </c>
      <c r="HR170">
        <v>-0.92499999999999993</v>
      </c>
      <c r="HS170">
        <v>8.7499999999998579E-2</v>
      </c>
      <c r="HT170">
        <v>2.1124999999999998</v>
      </c>
      <c r="HU170">
        <v>0.83750000000000002</v>
      </c>
      <c r="HV170">
        <v>22.837499999999991</v>
      </c>
      <c r="HW170">
        <v>-21.775000000000006</v>
      </c>
      <c r="HX170">
        <v>51.012500000000003</v>
      </c>
      <c r="HY170">
        <v>-0.71249999999999991</v>
      </c>
      <c r="HZ170">
        <v>-5.6874999999999982</v>
      </c>
      <c r="IA170">
        <v>28</v>
      </c>
      <c r="IB170">
        <v>-5.4887500000000022</v>
      </c>
      <c r="IC170">
        <v>-2.8770000000000007</v>
      </c>
      <c r="ID170">
        <v>-72.787500000000009</v>
      </c>
      <c r="IE170">
        <v>5</v>
      </c>
      <c r="IF170">
        <v>-0.3046875</v>
      </c>
      <c r="IG170">
        <v>-3.3</v>
      </c>
    </row>
    <row r="171" spans="1:241" x14ac:dyDescent="0.2">
      <c r="A171" s="19">
        <v>44122</v>
      </c>
      <c r="B171" s="13" t="s">
        <v>252</v>
      </c>
      <c r="C171" s="41" t="s">
        <v>288</v>
      </c>
      <c r="D171" s="14" t="s">
        <v>276</v>
      </c>
      <c r="E171">
        <v>5.5</v>
      </c>
      <c r="F171">
        <v>11.9</v>
      </c>
      <c r="G171">
        <v>0</v>
      </c>
      <c r="H171">
        <v>22.5</v>
      </c>
      <c r="I171">
        <v>-5</v>
      </c>
      <c r="J171">
        <v>56.5</v>
      </c>
      <c r="L171" t="s">
        <v>288</v>
      </c>
      <c r="M171">
        <v>2</v>
      </c>
      <c r="N171">
        <v>8.1826000000000008</v>
      </c>
      <c r="O171">
        <v>23</v>
      </c>
      <c r="P171">
        <v>20.25</v>
      </c>
      <c r="Q171">
        <v>25</v>
      </c>
      <c r="R171">
        <v>-4.4420000000000011</v>
      </c>
      <c r="S171">
        <v>19</v>
      </c>
      <c r="T171">
        <v>-1.0499999999999996</v>
      </c>
      <c r="U171">
        <v>20</v>
      </c>
      <c r="V171">
        <v>-12.360000000000001</v>
      </c>
      <c r="W171">
        <v>17</v>
      </c>
      <c r="X171">
        <v>-0.11999999999999994</v>
      </c>
      <c r="Y171">
        <v>20</v>
      </c>
      <c r="Z171">
        <v>18.666666666666668</v>
      </c>
      <c r="AA171">
        <v>23</v>
      </c>
      <c r="AB171">
        <v>-2.596000000000001</v>
      </c>
      <c r="AC171">
        <v>10</v>
      </c>
      <c r="AD171">
        <v>0.78000000000000047</v>
      </c>
      <c r="AE171">
        <v>16</v>
      </c>
      <c r="AF171">
        <v>1.5700000000000003</v>
      </c>
      <c r="AG171">
        <v>17</v>
      </c>
      <c r="AH171">
        <v>-1.9999999999999928E-2</v>
      </c>
      <c r="AI171">
        <v>26</v>
      </c>
      <c r="AJ171">
        <v>23.666666666666668</v>
      </c>
      <c r="AK171">
        <v>25</v>
      </c>
      <c r="AL171">
        <v>-1.8460000000000001</v>
      </c>
      <c r="AM171">
        <v>24</v>
      </c>
      <c r="AN171">
        <v>-1.83</v>
      </c>
      <c r="AO171">
        <v>31</v>
      </c>
      <c r="AP171">
        <v>-13.930000000000001</v>
      </c>
      <c r="AQ171">
        <v>15</v>
      </c>
      <c r="AR171">
        <v>-0.1</v>
      </c>
      <c r="AS171">
        <v>8</v>
      </c>
      <c r="AT171">
        <v>10</v>
      </c>
      <c r="AU171">
        <v>7</v>
      </c>
      <c r="AV171">
        <v>6.52</v>
      </c>
      <c r="AW171">
        <v>11</v>
      </c>
      <c r="AX171">
        <v>8.9</v>
      </c>
      <c r="AY171">
        <v>12</v>
      </c>
      <c r="AZ171">
        <v>0.61000000000000032</v>
      </c>
      <c r="BA171">
        <v>10</v>
      </c>
      <c r="BB171">
        <v>11</v>
      </c>
      <c r="BC171">
        <v>9</v>
      </c>
      <c r="BD171">
        <v>2.7479999999999998</v>
      </c>
      <c r="BE171">
        <v>11</v>
      </c>
      <c r="BF171">
        <v>5.3</v>
      </c>
      <c r="BG171">
        <v>13</v>
      </c>
      <c r="BH171">
        <v>0.2900000000000002</v>
      </c>
      <c r="BI171">
        <v>11</v>
      </c>
      <c r="BJ171">
        <v>14.666666666666666</v>
      </c>
      <c r="BK171">
        <v>9</v>
      </c>
      <c r="BL171">
        <v>2.31</v>
      </c>
      <c r="BM171">
        <v>14</v>
      </c>
      <c r="BN171">
        <v>-1.3599999999999994</v>
      </c>
      <c r="BO171">
        <v>21</v>
      </c>
      <c r="BP171">
        <v>-0.39</v>
      </c>
      <c r="BQ171">
        <v>9</v>
      </c>
      <c r="BR171">
        <v>10</v>
      </c>
      <c r="BS171">
        <v>8</v>
      </c>
      <c r="BT171">
        <v>1.4619999999999995</v>
      </c>
      <c r="BU171">
        <v>10</v>
      </c>
      <c r="BV171">
        <v>4.96</v>
      </c>
      <c r="BW171">
        <v>12</v>
      </c>
      <c r="BX171">
        <v>0.71000000000000008</v>
      </c>
      <c r="BY171">
        <v>4</v>
      </c>
      <c r="BZ171">
        <v>4</v>
      </c>
      <c r="CA171">
        <v>3</v>
      </c>
      <c r="CB171">
        <v>8.6879999999999988</v>
      </c>
      <c r="CC171">
        <v>3</v>
      </c>
      <c r="CD171">
        <v>36.680000000000007</v>
      </c>
      <c r="CE171">
        <v>6</v>
      </c>
      <c r="CF171">
        <v>2.1399999999999997</v>
      </c>
      <c r="CG171">
        <v>1</v>
      </c>
      <c r="CH171">
        <v>1</v>
      </c>
      <c r="CI171">
        <v>1</v>
      </c>
      <c r="CJ171">
        <v>9.7749999999999986</v>
      </c>
      <c r="CK171">
        <v>1</v>
      </c>
      <c r="CL171">
        <v>43.75</v>
      </c>
      <c r="CM171">
        <v>1</v>
      </c>
      <c r="CN171">
        <v>4.16</v>
      </c>
      <c r="CO171">
        <v>17</v>
      </c>
      <c r="CP171">
        <v>18.5</v>
      </c>
      <c r="CQ171">
        <v>14</v>
      </c>
      <c r="CR171">
        <v>0.3999999999999998</v>
      </c>
      <c r="CS171">
        <v>23</v>
      </c>
      <c r="CT171">
        <v>-0.22000000000000003</v>
      </c>
      <c r="CU171">
        <v>1.8200000000000003</v>
      </c>
      <c r="CV171">
        <v>25</v>
      </c>
      <c r="CW171">
        <v>21.5</v>
      </c>
      <c r="CX171">
        <v>10</v>
      </c>
      <c r="CY171">
        <v>1.5137692053602447E-2</v>
      </c>
      <c r="CZ171">
        <v>31</v>
      </c>
      <c r="DA171">
        <v>-2.6082245130638115E-2</v>
      </c>
      <c r="DB171">
        <v>15</v>
      </c>
      <c r="DC171">
        <v>1.6194805194805217E-2</v>
      </c>
      <c r="DD171">
        <v>30</v>
      </c>
      <c r="DE171">
        <v>-2.96</v>
      </c>
      <c r="DF171">
        <v>0.85</v>
      </c>
      <c r="DG171">
        <v>4.99</v>
      </c>
      <c r="DH171">
        <v>0.49000000000000005</v>
      </c>
      <c r="DI171">
        <v>35.589999999999996</v>
      </c>
      <c r="DJ171">
        <v>31.840000000000003</v>
      </c>
      <c r="DK171">
        <v>-9.6599999999999966</v>
      </c>
      <c r="DL171">
        <v>5.839999999999999</v>
      </c>
      <c r="DM171">
        <v>7.5699999999999985</v>
      </c>
      <c r="DN171">
        <v>3</v>
      </c>
      <c r="DO171">
        <v>12.624600000000001</v>
      </c>
      <c r="DP171">
        <v>7.1165199999999995</v>
      </c>
      <c r="DQ171">
        <v>41.5</v>
      </c>
      <c r="DR171">
        <v>30</v>
      </c>
      <c r="DS171">
        <v>2.5544499999999997</v>
      </c>
      <c r="DT171">
        <v>4.7700000000000005</v>
      </c>
      <c r="DU171">
        <v>0.33574999999999988</v>
      </c>
      <c r="DV171">
        <v>-0.38037499999999974</v>
      </c>
      <c r="DW171" t="s">
        <v>276</v>
      </c>
      <c r="DX171" t="s">
        <v>261</v>
      </c>
      <c r="DY171" t="s">
        <v>455</v>
      </c>
      <c r="DZ171">
        <v>7</v>
      </c>
      <c r="EA171">
        <v>2.7209999999999988</v>
      </c>
      <c r="EB171">
        <v>24</v>
      </c>
      <c r="EC171">
        <v>21.75</v>
      </c>
      <c r="ED171">
        <v>21</v>
      </c>
      <c r="EE171">
        <v>-1.1279999999999994</v>
      </c>
      <c r="EF171">
        <v>30</v>
      </c>
      <c r="EG171">
        <v>-4.12</v>
      </c>
      <c r="EH171">
        <v>25</v>
      </c>
      <c r="EI171">
        <v>-16.809999999999999</v>
      </c>
      <c r="EJ171">
        <v>11</v>
      </c>
      <c r="EK171">
        <v>0.59000000000000008</v>
      </c>
      <c r="EL171">
        <v>25</v>
      </c>
      <c r="EM171">
        <v>22</v>
      </c>
      <c r="EN171">
        <v>20</v>
      </c>
      <c r="EO171">
        <v>-1.1599999999999997</v>
      </c>
      <c r="EP171">
        <v>30</v>
      </c>
      <c r="EQ171">
        <v>-4.13</v>
      </c>
      <c r="ER171">
        <v>24</v>
      </c>
      <c r="ES171">
        <v>-10.959999999999999</v>
      </c>
      <c r="ET171">
        <v>14</v>
      </c>
      <c r="EU171">
        <v>0.18</v>
      </c>
      <c r="EV171">
        <v>22</v>
      </c>
      <c r="EW171">
        <v>19.333333333333332</v>
      </c>
      <c r="EX171">
        <v>16</v>
      </c>
      <c r="EY171">
        <v>3.2000000000000209E-2</v>
      </c>
      <c r="EZ171">
        <v>17</v>
      </c>
      <c r="FA171">
        <v>9.9999999999999638E-3</v>
      </c>
      <c r="FB171">
        <v>25</v>
      </c>
      <c r="FC171">
        <v>-5.85</v>
      </c>
      <c r="FD171">
        <v>9</v>
      </c>
      <c r="FE171">
        <v>0.41000000000000003</v>
      </c>
      <c r="FF171">
        <v>6</v>
      </c>
      <c r="FG171">
        <v>7</v>
      </c>
      <c r="FH171">
        <v>8</v>
      </c>
      <c r="FI171">
        <v>3.8229999999999968</v>
      </c>
      <c r="FJ171">
        <v>10</v>
      </c>
      <c r="FK171">
        <v>4.5500000000000025</v>
      </c>
      <c r="FL171">
        <v>3</v>
      </c>
      <c r="FM171">
        <v>2.72</v>
      </c>
      <c r="FN171">
        <v>7</v>
      </c>
      <c r="FO171">
        <v>8.3333333333333339</v>
      </c>
      <c r="FP171">
        <v>9</v>
      </c>
      <c r="FQ171">
        <v>2.9299999999999979</v>
      </c>
      <c r="FR171">
        <v>13</v>
      </c>
      <c r="FS171">
        <v>6.0400000000000018</v>
      </c>
      <c r="FT171">
        <v>3</v>
      </c>
      <c r="FU171">
        <v>1.9600000000000002</v>
      </c>
      <c r="FV171">
        <v>14</v>
      </c>
      <c r="FW171">
        <v>13.666666666666666</v>
      </c>
      <c r="FX171">
        <v>13</v>
      </c>
      <c r="FY171">
        <v>1.5399999999999987</v>
      </c>
      <c r="FZ171">
        <v>17</v>
      </c>
      <c r="GA171">
        <v>0.32999999999999974</v>
      </c>
      <c r="GB171">
        <v>11</v>
      </c>
      <c r="GC171">
        <v>0.36999999999999994</v>
      </c>
      <c r="GD171">
        <v>17</v>
      </c>
      <c r="GE171">
        <v>17.333333333333332</v>
      </c>
      <c r="GF171">
        <v>20</v>
      </c>
      <c r="GG171">
        <v>-0.64700000000000024</v>
      </c>
      <c r="GH171">
        <v>22</v>
      </c>
      <c r="GI171">
        <v>-1.8199999999999996</v>
      </c>
      <c r="GJ171">
        <v>10</v>
      </c>
      <c r="GK171">
        <v>0.39</v>
      </c>
      <c r="GL171">
        <v>3</v>
      </c>
      <c r="GM171">
        <v>3</v>
      </c>
      <c r="GN171">
        <v>3</v>
      </c>
      <c r="GO171">
        <v>5.7200000000000006</v>
      </c>
      <c r="GP171">
        <v>3</v>
      </c>
      <c r="GQ171">
        <v>30.8</v>
      </c>
      <c r="GR171">
        <v>3</v>
      </c>
      <c r="GS171">
        <v>3.46</v>
      </c>
      <c r="GT171">
        <v>2</v>
      </c>
      <c r="GU171">
        <v>3</v>
      </c>
      <c r="GV171">
        <v>4</v>
      </c>
      <c r="GW171">
        <v>4.5190000000000001</v>
      </c>
      <c r="GX171">
        <v>3</v>
      </c>
      <c r="GY171">
        <v>19.189999999999998</v>
      </c>
      <c r="GZ171">
        <v>2</v>
      </c>
      <c r="HA171">
        <v>1.81</v>
      </c>
      <c r="HB171">
        <v>27</v>
      </c>
      <c r="HC171">
        <v>26.5</v>
      </c>
      <c r="HD171">
        <v>24</v>
      </c>
      <c r="HE171">
        <v>-1.52</v>
      </c>
      <c r="HF171">
        <v>29</v>
      </c>
      <c r="HG171">
        <v>-0.72</v>
      </c>
      <c r="HH171">
        <v>-0.98999999999999988</v>
      </c>
      <c r="HI171">
        <v>22</v>
      </c>
      <c r="HJ171">
        <v>19.75</v>
      </c>
      <c r="HK171">
        <v>14</v>
      </c>
      <c r="HL171">
        <v>2.4105222850828055E-3</v>
      </c>
      <c r="HM171">
        <v>14</v>
      </c>
      <c r="HN171">
        <v>4.2895709916117384E-3</v>
      </c>
      <c r="HO171">
        <v>29</v>
      </c>
      <c r="HP171">
        <v>8.0226551226551202E-2</v>
      </c>
      <c r="HQ171">
        <v>22</v>
      </c>
      <c r="HR171">
        <v>-1.0699999999999998</v>
      </c>
      <c r="HS171">
        <v>-4.08</v>
      </c>
      <c r="HT171">
        <v>2.6600000000000006</v>
      </c>
      <c r="HU171">
        <v>-0.27999999999999997</v>
      </c>
      <c r="HV171">
        <v>6.1399999999999979</v>
      </c>
      <c r="HW171">
        <v>17.360000000000007</v>
      </c>
      <c r="HX171">
        <v>-10.809999999999999</v>
      </c>
      <c r="HY171">
        <v>-0.11999999999999975</v>
      </c>
      <c r="HZ171">
        <v>-0.28999999999999843</v>
      </c>
      <c r="IA171">
        <v>9</v>
      </c>
      <c r="IB171">
        <v>3.8489999999999984</v>
      </c>
      <c r="IC171">
        <v>2.7765999999999988</v>
      </c>
      <c r="ID171">
        <v>28.170000000000005</v>
      </c>
      <c r="IE171">
        <v>24</v>
      </c>
      <c r="IF171">
        <v>1.0518749999999994</v>
      </c>
      <c r="IG171">
        <v>4.53</v>
      </c>
    </row>
    <row r="172" spans="1:241" x14ac:dyDescent="0.2">
      <c r="A172" s="19">
        <v>44122</v>
      </c>
      <c r="B172" s="13" t="s">
        <v>252</v>
      </c>
      <c r="C172" s="41" t="s">
        <v>304</v>
      </c>
      <c r="D172" s="14" t="s">
        <v>256</v>
      </c>
      <c r="E172">
        <v>14</v>
      </c>
      <c r="F172">
        <v>4.0999999999999996</v>
      </c>
      <c r="G172">
        <v>12.5</v>
      </c>
      <c r="H172">
        <v>8.6</v>
      </c>
      <c r="I172">
        <v>-2</v>
      </c>
      <c r="J172">
        <v>51</v>
      </c>
      <c r="L172" t="s">
        <v>304</v>
      </c>
      <c r="M172">
        <v>21</v>
      </c>
      <c r="N172">
        <v>-1.4807999999999992</v>
      </c>
      <c r="O172">
        <v>4</v>
      </c>
      <c r="P172">
        <v>8</v>
      </c>
      <c r="Q172">
        <v>8</v>
      </c>
      <c r="R172">
        <v>2.7679999999999998</v>
      </c>
      <c r="S172">
        <v>7</v>
      </c>
      <c r="T172">
        <v>2.84</v>
      </c>
      <c r="U172">
        <v>3</v>
      </c>
      <c r="V172">
        <v>21.560000000000002</v>
      </c>
      <c r="W172">
        <v>14</v>
      </c>
      <c r="X172">
        <v>0.23999999999999977</v>
      </c>
      <c r="Y172">
        <v>6</v>
      </c>
      <c r="Z172">
        <v>9.6666666666666661</v>
      </c>
      <c r="AA172">
        <v>7</v>
      </c>
      <c r="AB172">
        <v>4.1920000000000002</v>
      </c>
      <c r="AC172">
        <v>13</v>
      </c>
      <c r="AD172">
        <v>-3.9999999999999855E-2</v>
      </c>
      <c r="AE172">
        <v>14</v>
      </c>
      <c r="AF172">
        <v>8.48</v>
      </c>
      <c r="AG172">
        <v>8</v>
      </c>
      <c r="AH172">
        <v>1.1199999999999999</v>
      </c>
      <c r="AI172">
        <v>18</v>
      </c>
      <c r="AJ172">
        <v>18</v>
      </c>
      <c r="AK172">
        <v>23</v>
      </c>
      <c r="AL172">
        <v>-1.4240000000000004</v>
      </c>
      <c r="AM172">
        <v>6</v>
      </c>
      <c r="AN172">
        <v>2.88</v>
      </c>
      <c r="AO172">
        <v>5</v>
      </c>
      <c r="AP172">
        <v>13.080000000000002</v>
      </c>
      <c r="AQ172">
        <v>26</v>
      </c>
      <c r="AR172">
        <v>-0.88000000000000012</v>
      </c>
      <c r="AS172">
        <v>11</v>
      </c>
      <c r="AT172">
        <v>12</v>
      </c>
      <c r="AU172">
        <v>13</v>
      </c>
      <c r="AV172">
        <v>1.7552000000000008</v>
      </c>
      <c r="AW172">
        <v>7</v>
      </c>
      <c r="AX172">
        <v>24.119999999999997</v>
      </c>
      <c r="AY172">
        <v>16</v>
      </c>
      <c r="AZ172">
        <v>-8.0000000000000182E-2</v>
      </c>
      <c r="BA172">
        <v>25</v>
      </c>
      <c r="BB172">
        <v>25</v>
      </c>
      <c r="BC172">
        <v>24</v>
      </c>
      <c r="BD172">
        <v>-2.5159999999999991</v>
      </c>
      <c r="BE172">
        <v>22</v>
      </c>
      <c r="BF172">
        <v>-8.52</v>
      </c>
      <c r="BG172">
        <v>29</v>
      </c>
      <c r="BH172">
        <v>-1.7200000000000002</v>
      </c>
      <c r="BI172">
        <v>4</v>
      </c>
      <c r="BJ172">
        <v>6</v>
      </c>
      <c r="BK172">
        <v>4</v>
      </c>
      <c r="BL172">
        <v>3.7808000000000002</v>
      </c>
      <c r="BM172">
        <v>7</v>
      </c>
      <c r="BN172">
        <v>17.68</v>
      </c>
      <c r="BO172">
        <v>7</v>
      </c>
      <c r="BP172">
        <v>1.04</v>
      </c>
      <c r="BQ172">
        <v>8</v>
      </c>
      <c r="BR172">
        <v>9</v>
      </c>
      <c r="BS172">
        <v>11</v>
      </c>
      <c r="BT172">
        <v>0.49039999999999961</v>
      </c>
      <c r="BU172">
        <v>3</v>
      </c>
      <c r="BV172">
        <v>14.959999999999999</v>
      </c>
      <c r="BW172">
        <v>13</v>
      </c>
      <c r="BX172">
        <v>0.6</v>
      </c>
      <c r="BY172">
        <v>16</v>
      </c>
      <c r="BZ172">
        <v>16.333333333333332</v>
      </c>
      <c r="CA172">
        <v>12</v>
      </c>
      <c r="CB172">
        <v>1.1080000000000005</v>
      </c>
      <c r="CC172">
        <v>10</v>
      </c>
      <c r="CD172">
        <v>9.4799999999999986</v>
      </c>
      <c r="CE172">
        <v>27</v>
      </c>
      <c r="CF172">
        <v>-1.5599999999999998</v>
      </c>
      <c r="CG172">
        <v>22</v>
      </c>
      <c r="CH172">
        <v>22.333333333333332</v>
      </c>
      <c r="CI172">
        <v>19</v>
      </c>
      <c r="CJ172">
        <v>-0.77200000000000091</v>
      </c>
      <c r="CK172">
        <v>18</v>
      </c>
      <c r="CL172">
        <v>-1.4400000000000006</v>
      </c>
      <c r="CM172">
        <v>30</v>
      </c>
      <c r="CN172">
        <v>-1.8800000000000001</v>
      </c>
      <c r="CO172">
        <v>31</v>
      </c>
      <c r="CP172">
        <v>30.5</v>
      </c>
      <c r="CQ172">
        <v>32</v>
      </c>
      <c r="CR172">
        <v>-3.04</v>
      </c>
      <c r="CS172">
        <v>29</v>
      </c>
      <c r="CT172">
        <v>-0.40000000000000008</v>
      </c>
      <c r="CU172">
        <v>-0.12000000000000029</v>
      </c>
      <c r="CV172">
        <v>22</v>
      </c>
      <c r="CW172">
        <v>20</v>
      </c>
      <c r="CX172">
        <v>29</v>
      </c>
      <c r="CY172">
        <v>-7.2422323824070475E-2</v>
      </c>
      <c r="CZ172">
        <v>29</v>
      </c>
      <c r="DA172">
        <v>-2.2357815062890671E-2</v>
      </c>
      <c r="DB172">
        <v>2</v>
      </c>
      <c r="DC172">
        <v>-0.21353391053391055</v>
      </c>
      <c r="DD172">
        <v>20</v>
      </c>
      <c r="DE172">
        <v>-0.96000000000000019</v>
      </c>
      <c r="DF172">
        <v>-0.31999999999999745</v>
      </c>
      <c r="DG172">
        <v>-1.8399999999999999</v>
      </c>
      <c r="DH172">
        <v>-0.64</v>
      </c>
      <c r="DI172">
        <v>34.319999999999993</v>
      </c>
      <c r="DJ172">
        <v>18.079999999999995</v>
      </c>
      <c r="DK172">
        <v>20.88</v>
      </c>
      <c r="DL172">
        <v>2.2800000000000002</v>
      </c>
      <c r="DM172">
        <v>-6.919999999999999</v>
      </c>
      <c r="DN172">
        <v>24</v>
      </c>
      <c r="DO172">
        <v>-4.2487999999999992</v>
      </c>
      <c r="DP172">
        <v>-1.4835199999999999</v>
      </c>
      <c r="DQ172">
        <v>-2.8000000000000043</v>
      </c>
      <c r="DR172">
        <v>9</v>
      </c>
      <c r="DS172">
        <v>-9.6199999999999952E-2</v>
      </c>
      <c r="DT172">
        <v>-1.9600000000000004</v>
      </c>
      <c r="DU172">
        <v>-0.84400000000000031</v>
      </c>
      <c r="DV172">
        <v>-1.6147000000000002</v>
      </c>
      <c r="DW172" t="s">
        <v>256</v>
      </c>
      <c r="DX172" t="s">
        <v>257</v>
      </c>
      <c r="DY172" t="s">
        <v>547</v>
      </c>
      <c r="DZ172">
        <v>14</v>
      </c>
      <c r="EA172">
        <v>0.89759999999999951</v>
      </c>
      <c r="EB172">
        <v>18</v>
      </c>
      <c r="EC172">
        <v>18.25</v>
      </c>
      <c r="ED172">
        <v>22</v>
      </c>
      <c r="EE172">
        <v>-1.532</v>
      </c>
      <c r="EF172">
        <v>15</v>
      </c>
      <c r="EG172">
        <v>0.28000000000000008</v>
      </c>
      <c r="EH172">
        <v>18</v>
      </c>
      <c r="EI172">
        <v>-5.3199999999999985</v>
      </c>
      <c r="EJ172">
        <v>18</v>
      </c>
      <c r="EK172">
        <v>-0.11999999999999986</v>
      </c>
      <c r="EL172">
        <v>22</v>
      </c>
      <c r="EM172">
        <v>19.5</v>
      </c>
      <c r="EN172">
        <v>19</v>
      </c>
      <c r="EO172">
        <v>-0.98000000000000043</v>
      </c>
      <c r="EP172">
        <v>20</v>
      </c>
      <c r="EQ172">
        <v>-0.28000000000000008</v>
      </c>
      <c r="ER172">
        <v>19</v>
      </c>
      <c r="ES172">
        <v>-5.0799999999999983</v>
      </c>
      <c r="ET172">
        <v>20</v>
      </c>
      <c r="EU172">
        <v>-0.31999999999999995</v>
      </c>
      <c r="EV172">
        <v>15</v>
      </c>
      <c r="EW172">
        <v>15.333333333333334</v>
      </c>
      <c r="EX172">
        <v>21</v>
      </c>
      <c r="EY172">
        <v>-0.5519999999999996</v>
      </c>
      <c r="EZ172">
        <v>10</v>
      </c>
      <c r="FA172">
        <v>0.56000000000000016</v>
      </c>
      <c r="FB172">
        <v>15</v>
      </c>
      <c r="FC172">
        <v>-0.24000000000000021</v>
      </c>
      <c r="FD172">
        <v>12</v>
      </c>
      <c r="FE172">
        <v>0.20000000000000009</v>
      </c>
      <c r="FF172">
        <v>14</v>
      </c>
      <c r="FG172">
        <v>15</v>
      </c>
      <c r="FH172">
        <v>13</v>
      </c>
      <c r="FI172">
        <v>-4.400000000000262E-2</v>
      </c>
      <c r="FJ172">
        <v>9</v>
      </c>
      <c r="FK172">
        <v>4.6799999999999944</v>
      </c>
      <c r="FL172">
        <v>23</v>
      </c>
      <c r="FM172">
        <v>-1.0399999999999998</v>
      </c>
      <c r="FN172">
        <v>23</v>
      </c>
      <c r="FO172">
        <v>23.333333333333332</v>
      </c>
      <c r="FP172">
        <v>23</v>
      </c>
      <c r="FQ172">
        <v>-2.8440000000000012</v>
      </c>
      <c r="FR172">
        <v>25</v>
      </c>
      <c r="FS172">
        <v>-11.479999999999999</v>
      </c>
      <c r="FT172">
        <v>22</v>
      </c>
      <c r="FU172">
        <v>-0.6399999999999999</v>
      </c>
      <c r="FV172">
        <v>6</v>
      </c>
      <c r="FW172">
        <v>9</v>
      </c>
      <c r="FX172">
        <v>6</v>
      </c>
      <c r="FY172">
        <v>3.0439999999999987</v>
      </c>
      <c r="FZ172">
        <v>2</v>
      </c>
      <c r="GA172">
        <v>17.799999999999994</v>
      </c>
      <c r="GB172">
        <v>19</v>
      </c>
      <c r="GC172">
        <v>-0.23999999999999985</v>
      </c>
      <c r="GD172">
        <v>18</v>
      </c>
      <c r="GE172">
        <v>18</v>
      </c>
      <c r="GF172">
        <v>17</v>
      </c>
      <c r="GG172">
        <v>-0.24400000000000013</v>
      </c>
      <c r="GH172">
        <v>19</v>
      </c>
      <c r="GI172">
        <v>-1.6400000000000006</v>
      </c>
      <c r="GJ172">
        <v>18</v>
      </c>
      <c r="GK172">
        <v>-0.15999999999999998</v>
      </c>
      <c r="GL172">
        <v>25</v>
      </c>
      <c r="GM172">
        <v>23.333333333333332</v>
      </c>
      <c r="GN172">
        <v>20</v>
      </c>
      <c r="GO172">
        <v>-1.9399999999999995</v>
      </c>
      <c r="GP172">
        <v>19</v>
      </c>
      <c r="GQ172">
        <v>-3.3999999999999986</v>
      </c>
      <c r="GR172">
        <v>31</v>
      </c>
      <c r="GS172">
        <v>-2.12</v>
      </c>
      <c r="GT172">
        <v>27</v>
      </c>
      <c r="GU172">
        <v>23.666666666666668</v>
      </c>
      <c r="GV172">
        <v>24</v>
      </c>
      <c r="GW172">
        <v>-1.8679999999999999</v>
      </c>
      <c r="GX172">
        <v>19</v>
      </c>
      <c r="GY172">
        <v>-1.7600000000000002</v>
      </c>
      <c r="GZ172">
        <v>28</v>
      </c>
      <c r="HA172">
        <v>-0.92000000000000015</v>
      </c>
      <c r="HB172">
        <v>7</v>
      </c>
      <c r="HC172">
        <v>7.5</v>
      </c>
      <c r="HD172">
        <v>6</v>
      </c>
      <c r="HE172">
        <v>1.9599999999999995</v>
      </c>
      <c r="HF172">
        <v>9</v>
      </c>
      <c r="HG172">
        <v>0.6</v>
      </c>
      <c r="HH172">
        <v>2.12</v>
      </c>
      <c r="HI172">
        <v>17</v>
      </c>
      <c r="HJ172">
        <v>16.25</v>
      </c>
      <c r="HK172">
        <v>5</v>
      </c>
      <c r="HL172">
        <v>2.9312884651620942E-2</v>
      </c>
      <c r="HM172">
        <v>22</v>
      </c>
      <c r="HN172">
        <v>-8.4284882505910562E-3</v>
      </c>
      <c r="HO172">
        <v>9</v>
      </c>
      <c r="HP172">
        <v>-5.3505050505050535E-2</v>
      </c>
      <c r="HQ172">
        <v>29</v>
      </c>
      <c r="HR172">
        <v>-2.4800000000000004</v>
      </c>
      <c r="HS172">
        <v>-2.7200000000000015</v>
      </c>
      <c r="HT172">
        <v>0.91999999999999993</v>
      </c>
      <c r="HU172">
        <v>0.55999999999999983</v>
      </c>
      <c r="HV172">
        <v>-13.039999999999997</v>
      </c>
      <c r="HW172">
        <v>-12.319999999999999</v>
      </c>
      <c r="HX172">
        <v>-8.7199999999999971</v>
      </c>
      <c r="HY172">
        <v>-1.6</v>
      </c>
      <c r="HZ172">
        <v>9.6000000000000014</v>
      </c>
      <c r="IA172">
        <v>12</v>
      </c>
      <c r="IB172">
        <v>2.4295999999999998</v>
      </c>
      <c r="IC172">
        <v>0.5631199999999994</v>
      </c>
      <c r="ID172">
        <v>-3.6000000000000014</v>
      </c>
      <c r="IE172">
        <v>21</v>
      </c>
      <c r="IF172">
        <v>-7.330000000000042E-2</v>
      </c>
      <c r="IG172">
        <v>-1.96</v>
      </c>
    </row>
    <row r="173" spans="1:241" x14ac:dyDescent="0.2">
      <c r="A173" s="19">
        <v>44122</v>
      </c>
      <c r="B173" s="13" t="s">
        <v>252</v>
      </c>
      <c r="C173" s="41" t="s">
        <v>293</v>
      </c>
      <c r="D173" s="14" t="s">
        <v>298</v>
      </c>
      <c r="E173">
        <v>6.5</v>
      </c>
      <c r="F173">
        <v>9.8000000000000007</v>
      </c>
      <c r="G173">
        <v>8.8000000000000007</v>
      </c>
      <c r="H173">
        <v>14.1</v>
      </c>
      <c r="I173">
        <v>-8.5</v>
      </c>
      <c r="J173">
        <v>46.5</v>
      </c>
      <c r="L173" t="s">
        <v>293</v>
      </c>
      <c r="M173">
        <v>15</v>
      </c>
      <c r="N173">
        <v>0.34100000000000075</v>
      </c>
      <c r="O173">
        <v>20</v>
      </c>
      <c r="P173">
        <v>18.75</v>
      </c>
      <c r="Q173">
        <v>15</v>
      </c>
      <c r="R173">
        <v>0.46999999999999931</v>
      </c>
      <c r="S173">
        <v>18</v>
      </c>
      <c r="T173">
        <v>-0.81</v>
      </c>
      <c r="U173">
        <v>23</v>
      </c>
      <c r="V173">
        <v>-13.879999999999999</v>
      </c>
      <c r="W173">
        <v>19</v>
      </c>
      <c r="X173">
        <v>-0.28000000000000014</v>
      </c>
      <c r="Y173">
        <v>18</v>
      </c>
      <c r="Z173">
        <v>17</v>
      </c>
      <c r="AA173">
        <v>20</v>
      </c>
      <c r="AB173">
        <v>-0.5600000000000005</v>
      </c>
      <c r="AC173">
        <v>23</v>
      </c>
      <c r="AD173">
        <v>-1.78</v>
      </c>
      <c r="AE173">
        <v>22</v>
      </c>
      <c r="AF173">
        <v>-8.3099999999999987</v>
      </c>
      <c r="AG173">
        <v>9</v>
      </c>
      <c r="AH173">
        <v>0.9</v>
      </c>
      <c r="AI173">
        <v>25</v>
      </c>
      <c r="AJ173">
        <v>22</v>
      </c>
      <c r="AK173">
        <v>10</v>
      </c>
      <c r="AL173">
        <v>1.0299999999999998</v>
      </c>
      <c r="AM173">
        <v>8</v>
      </c>
      <c r="AN173">
        <v>0.97</v>
      </c>
      <c r="AO173">
        <v>24</v>
      </c>
      <c r="AP173">
        <v>-5.57</v>
      </c>
      <c r="AQ173">
        <v>32</v>
      </c>
      <c r="AR173">
        <v>-1.1800000000000002</v>
      </c>
      <c r="AS173">
        <v>31</v>
      </c>
      <c r="AT173">
        <v>30</v>
      </c>
      <c r="AU173">
        <v>30</v>
      </c>
      <c r="AV173">
        <v>-7.9359999999999999</v>
      </c>
      <c r="AW173">
        <v>30</v>
      </c>
      <c r="AX173">
        <v>-35.020000000000003</v>
      </c>
      <c r="AY173">
        <v>30</v>
      </c>
      <c r="AZ173">
        <v>-3.7100000000000004</v>
      </c>
      <c r="BA173">
        <v>28</v>
      </c>
      <c r="BB173">
        <v>27.666666666666668</v>
      </c>
      <c r="BC173">
        <v>25</v>
      </c>
      <c r="BD173">
        <v>-3.2280000000000002</v>
      </c>
      <c r="BE173">
        <v>28</v>
      </c>
      <c r="BF173">
        <v>-14.900000000000002</v>
      </c>
      <c r="BG173">
        <v>30</v>
      </c>
      <c r="BH173">
        <v>-2.1100000000000003</v>
      </c>
      <c r="BI173">
        <v>20</v>
      </c>
      <c r="BJ173">
        <v>19.333333333333332</v>
      </c>
      <c r="BK173">
        <v>20</v>
      </c>
      <c r="BL173">
        <v>-1.6059999999999992</v>
      </c>
      <c r="BM173">
        <v>18</v>
      </c>
      <c r="BN173">
        <v>-6.0000000000000018</v>
      </c>
      <c r="BO173">
        <v>20</v>
      </c>
      <c r="BP173">
        <v>-0.18999999999999986</v>
      </c>
      <c r="BQ173">
        <v>31</v>
      </c>
      <c r="BR173">
        <v>29.333333333333332</v>
      </c>
      <c r="BS173">
        <v>31</v>
      </c>
      <c r="BT173">
        <v>-3.1019999999999999</v>
      </c>
      <c r="BU173">
        <v>30</v>
      </c>
      <c r="BV173">
        <v>-14.12</v>
      </c>
      <c r="BW173">
        <v>27</v>
      </c>
      <c r="BX173">
        <v>-1.4100000000000001</v>
      </c>
      <c r="BY173">
        <v>23</v>
      </c>
      <c r="BZ173">
        <v>22.333333333333332</v>
      </c>
      <c r="CA173">
        <v>21</v>
      </c>
      <c r="CB173">
        <v>-1.9480000000000008</v>
      </c>
      <c r="CC173">
        <v>26</v>
      </c>
      <c r="CD173">
        <v>-17.68</v>
      </c>
      <c r="CE173">
        <v>20</v>
      </c>
      <c r="CF173">
        <v>-0.73999999999999988</v>
      </c>
      <c r="CG173">
        <v>7</v>
      </c>
      <c r="CH173">
        <v>7.666666666666667</v>
      </c>
      <c r="CI173">
        <v>7</v>
      </c>
      <c r="CJ173">
        <v>2.8390000000000004</v>
      </c>
      <c r="CK173">
        <v>6</v>
      </c>
      <c r="CL173">
        <v>12.95</v>
      </c>
      <c r="CM173">
        <v>10</v>
      </c>
      <c r="CN173">
        <v>0.76</v>
      </c>
      <c r="CO173">
        <v>3</v>
      </c>
      <c r="CP173">
        <v>3.5</v>
      </c>
      <c r="CQ173">
        <v>2</v>
      </c>
      <c r="CR173">
        <v>3.1199999999999997</v>
      </c>
      <c r="CS173">
        <v>5</v>
      </c>
      <c r="CT173">
        <v>0.57999999999999985</v>
      </c>
      <c r="CU173">
        <v>0.69999999999999984</v>
      </c>
      <c r="CV173">
        <v>24</v>
      </c>
      <c r="CW173">
        <v>20.5</v>
      </c>
      <c r="CX173">
        <v>18</v>
      </c>
      <c r="CY173">
        <v>-5.481008531598941E-3</v>
      </c>
      <c r="CZ173">
        <v>11</v>
      </c>
      <c r="DA173">
        <v>2.6787841118853335E-3</v>
      </c>
      <c r="DB173">
        <v>27</v>
      </c>
      <c r="DC173">
        <v>8.0966810966810979E-2</v>
      </c>
      <c r="DD173">
        <v>26</v>
      </c>
      <c r="DE173">
        <v>-2</v>
      </c>
      <c r="DF173">
        <v>-0.9899999999999991</v>
      </c>
      <c r="DG173">
        <v>1.9900000000000007</v>
      </c>
      <c r="DH173">
        <v>-0.90999999999999992</v>
      </c>
      <c r="DI173">
        <v>-17.21</v>
      </c>
      <c r="DJ173">
        <v>-12.2</v>
      </c>
      <c r="DK173">
        <v>-6.6599999999999993</v>
      </c>
      <c r="DL173">
        <v>0.6</v>
      </c>
      <c r="DM173">
        <v>1.0499999999999994</v>
      </c>
      <c r="DN173">
        <v>18</v>
      </c>
      <c r="DO173">
        <v>-0.12899999999999856</v>
      </c>
      <c r="DP173">
        <v>-1.1861999999999995</v>
      </c>
      <c r="DQ173">
        <v>-5.54</v>
      </c>
      <c r="DR173">
        <v>15</v>
      </c>
      <c r="DS173">
        <v>-0.14574999999999999</v>
      </c>
      <c r="DT173">
        <v>-2.95</v>
      </c>
      <c r="DU173">
        <v>-2.1487499999999882E-2</v>
      </c>
      <c r="DV173">
        <v>-1.2401749999999998</v>
      </c>
      <c r="DW173" t="s">
        <v>298</v>
      </c>
      <c r="DX173" t="s">
        <v>262</v>
      </c>
      <c r="DY173" t="s">
        <v>473</v>
      </c>
      <c r="DZ173">
        <v>15</v>
      </c>
      <c r="EA173">
        <v>0.86360000000000026</v>
      </c>
      <c r="EB173">
        <v>7</v>
      </c>
      <c r="EC173">
        <v>10.75</v>
      </c>
      <c r="ED173">
        <v>5</v>
      </c>
      <c r="EE173">
        <v>3.7759999999999989</v>
      </c>
      <c r="EF173">
        <v>12</v>
      </c>
      <c r="EG173">
        <v>1.32</v>
      </c>
      <c r="EH173">
        <v>14</v>
      </c>
      <c r="EI173">
        <v>5.8100000000000005</v>
      </c>
      <c r="EJ173">
        <v>12</v>
      </c>
      <c r="EK173">
        <v>0.52</v>
      </c>
      <c r="EL173">
        <v>15</v>
      </c>
      <c r="EM173">
        <v>17</v>
      </c>
      <c r="EN173">
        <v>11</v>
      </c>
      <c r="EO173">
        <v>1.379999999999999</v>
      </c>
      <c r="EP173">
        <v>21</v>
      </c>
      <c r="EQ173">
        <v>-0.36999999999999994</v>
      </c>
      <c r="ER173">
        <v>12</v>
      </c>
      <c r="ES173">
        <v>7.7900000000000009</v>
      </c>
      <c r="ET173">
        <v>24</v>
      </c>
      <c r="EU173">
        <v>-0.59000000000000008</v>
      </c>
      <c r="EV173">
        <v>7</v>
      </c>
      <c r="EW173">
        <v>8.6666666666666661</v>
      </c>
      <c r="EX173">
        <v>2</v>
      </c>
      <c r="EY173">
        <v>2.3959999999999999</v>
      </c>
      <c r="EZ173">
        <v>7</v>
      </c>
      <c r="FA173">
        <v>1.69</v>
      </c>
      <c r="FB173">
        <v>17</v>
      </c>
      <c r="FC173">
        <v>-1.9800000000000004</v>
      </c>
      <c r="FD173">
        <v>2</v>
      </c>
      <c r="FE173">
        <v>1.1100000000000001</v>
      </c>
      <c r="FF173">
        <v>11</v>
      </c>
      <c r="FG173">
        <v>13.666666666666666</v>
      </c>
      <c r="FH173">
        <v>10</v>
      </c>
      <c r="FI173">
        <v>1.9249999999999998</v>
      </c>
      <c r="FJ173">
        <v>6</v>
      </c>
      <c r="FK173">
        <v>17.860000000000007</v>
      </c>
      <c r="FL173">
        <v>25</v>
      </c>
      <c r="FM173">
        <v>-1.2799999999999998</v>
      </c>
      <c r="FN173">
        <v>19</v>
      </c>
      <c r="FO173">
        <v>18.666666666666668</v>
      </c>
      <c r="FP173">
        <v>11</v>
      </c>
      <c r="FQ173">
        <v>0.7819999999999997</v>
      </c>
      <c r="FR173">
        <v>14</v>
      </c>
      <c r="FS173">
        <v>5.8600000000000021</v>
      </c>
      <c r="FT173">
        <v>31</v>
      </c>
      <c r="FU173">
        <v>-2.27</v>
      </c>
      <c r="FV173">
        <v>6</v>
      </c>
      <c r="FW173">
        <v>9</v>
      </c>
      <c r="FX173">
        <v>12</v>
      </c>
      <c r="FY173">
        <v>1.7429999999999999</v>
      </c>
      <c r="FZ173">
        <v>5</v>
      </c>
      <c r="GA173">
        <v>14.450000000000003</v>
      </c>
      <c r="GB173">
        <v>10</v>
      </c>
      <c r="GC173">
        <v>0.41000000000000014</v>
      </c>
      <c r="GD173">
        <v>16</v>
      </c>
      <c r="GE173">
        <v>17</v>
      </c>
      <c r="GF173">
        <v>19</v>
      </c>
      <c r="GG173">
        <v>-0.59999999999999976</v>
      </c>
      <c r="GH173">
        <v>24</v>
      </c>
      <c r="GI173">
        <v>-2.4499999999999993</v>
      </c>
      <c r="GJ173">
        <v>8</v>
      </c>
      <c r="GK173">
        <v>0.57999999999999996</v>
      </c>
      <c r="GL173">
        <v>19</v>
      </c>
      <c r="GM173">
        <v>18.333333333333332</v>
      </c>
      <c r="GN173">
        <v>14</v>
      </c>
      <c r="GO173">
        <v>-0.10199999999999924</v>
      </c>
      <c r="GP173">
        <v>14</v>
      </c>
      <c r="GQ173">
        <v>0.18000000000000113</v>
      </c>
      <c r="GR173">
        <v>27</v>
      </c>
      <c r="GS173">
        <v>-1.2000000000000004</v>
      </c>
      <c r="GT173">
        <v>23</v>
      </c>
      <c r="GU173">
        <v>21</v>
      </c>
      <c r="GV173">
        <v>12</v>
      </c>
      <c r="GW173">
        <v>0.46299999999999991</v>
      </c>
      <c r="GX173">
        <v>25</v>
      </c>
      <c r="GY173">
        <v>-5.39</v>
      </c>
      <c r="GZ173">
        <v>26</v>
      </c>
      <c r="HA173">
        <v>-0.74999999999999989</v>
      </c>
      <c r="HB173">
        <v>6</v>
      </c>
      <c r="HC173">
        <v>6</v>
      </c>
      <c r="HD173">
        <v>4</v>
      </c>
      <c r="HE173">
        <v>2.5499999999999998</v>
      </c>
      <c r="HF173">
        <v>8</v>
      </c>
      <c r="HG173">
        <v>0.61</v>
      </c>
      <c r="HH173">
        <v>4.2099999999999991</v>
      </c>
      <c r="HI173">
        <v>25</v>
      </c>
      <c r="HJ173">
        <v>20.75</v>
      </c>
      <c r="HK173">
        <v>24</v>
      </c>
      <c r="HL173">
        <v>-1.8836010232579092E-2</v>
      </c>
      <c r="HM173">
        <v>29</v>
      </c>
      <c r="HN173">
        <v>-2.0487905685038842E-2</v>
      </c>
      <c r="HO173">
        <v>3</v>
      </c>
      <c r="HP173">
        <v>-0.12253409456041039</v>
      </c>
      <c r="HQ173">
        <v>27</v>
      </c>
      <c r="HR173">
        <v>-2.06</v>
      </c>
      <c r="HS173">
        <v>0.70999999999999797</v>
      </c>
      <c r="HT173">
        <v>5.22</v>
      </c>
      <c r="HU173">
        <v>2.2800000000000002</v>
      </c>
      <c r="HV173">
        <v>24.029999999999994</v>
      </c>
      <c r="HW173">
        <v>7.1299999999999955</v>
      </c>
      <c r="HX173">
        <v>21.370000000000005</v>
      </c>
      <c r="HY173">
        <v>-4.7499999999999991</v>
      </c>
      <c r="HZ173">
        <v>0.27999999999999969</v>
      </c>
      <c r="IA173">
        <v>22</v>
      </c>
      <c r="IB173">
        <v>-2.9123999999999985</v>
      </c>
      <c r="IC173">
        <v>-1.2376799999999994</v>
      </c>
      <c r="ID173">
        <v>-14.240000000000009</v>
      </c>
      <c r="IE173">
        <v>11</v>
      </c>
      <c r="IF173">
        <v>1.1972</v>
      </c>
      <c r="IG173">
        <v>-2.0299999999999998</v>
      </c>
    </row>
    <row r="174" spans="1:241" x14ac:dyDescent="0.2">
      <c r="A174" s="19">
        <v>44122</v>
      </c>
      <c r="B174" s="13" t="s">
        <v>252</v>
      </c>
      <c r="C174" s="41" t="s">
        <v>312</v>
      </c>
      <c r="D174" s="14" t="s">
        <v>295</v>
      </c>
      <c r="E174">
        <v>14.1</v>
      </c>
      <c r="F174">
        <v>42.6</v>
      </c>
      <c r="G174">
        <v>3.3</v>
      </c>
      <c r="H174">
        <v>11.5</v>
      </c>
      <c r="I174">
        <v>-4</v>
      </c>
      <c r="J174">
        <v>53.5</v>
      </c>
      <c r="L174" t="s">
        <v>312</v>
      </c>
      <c r="M174">
        <v>28</v>
      </c>
      <c r="N174">
        <v>-4.5375999999999994</v>
      </c>
      <c r="O174">
        <v>6</v>
      </c>
      <c r="P174">
        <v>8.75</v>
      </c>
      <c r="Q174">
        <v>4</v>
      </c>
      <c r="R174">
        <v>7.6570000000000009</v>
      </c>
      <c r="S174">
        <v>2</v>
      </c>
      <c r="T174">
        <v>7.21</v>
      </c>
      <c r="U174">
        <v>2</v>
      </c>
      <c r="V174">
        <v>47.8</v>
      </c>
      <c r="W174">
        <v>27</v>
      </c>
      <c r="X174">
        <v>-1.2399999999999998</v>
      </c>
      <c r="Y174">
        <v>6</v>
      </c>
      <c r="Z174">
        <v>9.6666666666666661</v>
      </c>
      <c r="AA174">
        <v>5</v>
      </c>
      <c r="AB174">
        <v>6.0280000000000005</v>
      </c>
      <c r="AC174">
        <v>4</v>
      </c>
      <c r="AD174">
        <v>3.9400000000000004</v>
      </c>
      <c r="AE174">
        <v>1</v>
      </c>
      <c r="AF174">
        <v>29.65</v>
      </c>
      <c r="AG174">
        <v>23</v>
      </c>
      <c r="AH174">
        <v>-0.90999999999999992</v>
      </c>
      <c r="AI174">
        <v>6</v>
      </c>
      <c r="AJ174">
        <v>9.6666666666666661</v>
      </c>
      <c r="AK174">
        <v>8</v>
      </c>
      <c r="AL174">
        <v>1.6290000000000007</v>
      </c>
      <c r="AM174">
        <v>4</v>
      </c>
      <c r="AN174">
        <v>3.2699999999999996</v>
      </c>
      <c r="AO174">
        <v>3</v>
      </c>
      <c r="AP174">
        <v>18.149999999999999</v>
      </c>
      <c r="AQ174">
        <v>18</v>
      </c>
      <c r="AR174">
        <v>-0.32999999999999996</v>
      </c>
      <c r="AS174">
        <v>19</v>
      </c>
      <c r="AT174">
        <v>18.333333333333332</v>
      </c>
      <c r="AU174">
        <v>14</v>
      </c>
      <c r="AV174">
        <v>1.0231999999999992</v>
      </c>
      <c r="AW174">
        <v>13</v>
      </c>
      <c r="AX174">
        <v>1.4499999999999957</v>
      </c>
      <c r="AY174">
        <v>28</v>
      </c>
      <c r="AZ174">
        <v>-3.42</v>
      </c>
      <c r="BA174">
        <v>8</v>
      </c>
      <c r="BB174">
        <v>9.6666666666666661</v>
      </c>
      <c r="BC174">
        <v>5</v>
      </c>
      <c r="BD174">
        <v>4.8731999999999989</v>
      </c>
      <c r="BE174">
        <v>15</v>
      </c>
      <c r="BF174">
        <v>1.9199999999999988</v>
      </c>
      <c r="BG174">
        <v>9</v>
      </c>
      <c r="BH174">
        <v>0.88000000000000012</v>
      </c>
      <c r="BI174">
        <v>16</v>
      </c>
      <c r="BJ174">
        <v>17</v>
      </c>
      <c r="BK174">
        <v>13</v>
      </c>
      <c r="BL174">
        <v>0.9680000000000003</v>
      </c>
      <c r="BM174">
        <v>9</v>
      </c>
      <c r="BN174">
        <v>15.2</v>
      </c>
      <c r="BO174">
        <v>29</v>
      </c>
      <c r="BP174">
        <v>-1.6799999999999997</v>
      </c>
      <c r="BQ174">
        <v>32</v>
      </c>
      <c r="BR174">
        <v>31.666666666666668</v>
      </c>
      <c r="BS174">
        <v>32</v>
      </c>
      <c r="BT174">
        <v>-4.8179999999999996</v>
      </c>
      <c r="BU174">
        <v>31</v>
      </c>
      <c r="BV174">
        <v>-15.670000000000002</v>
      </c>
      <c r="BW174">
        <v>32</v>
      </c>
      <c r="BX174">
        <v>-2.62</v>
      </c>
      <c r="BY174">
        <v>31</v>
      </c>
      <c r="BZ174">
        <v>30.333333333333332</v>
      </c>
      <c r="CA174">
        <v>31</v>
      </c>
      <c r="CB174">
        <v>-7.0930000000000009</v>
      </c>
      <c r="CC174">
        <v>28</v>
      </c>
      <c r="CD174">
        <v>-24.23</v>
      </c>
      <c r="CE174">
        <v>32</v>
      </c>
      <c r="CF174">
        <v>-5.7099999999999991</v>
      </c>
      <c r="CG174">
        <v>26</v>
      </c>
      <c r="CH174">
        <v>25</v>
      </c>
      <c r="CI174">
        <v>23</v>
      </c>
      <c r="CJ174">
        <v>-1.9229999999999996</v>
      </c>
      <c r="CK174">
        <v>23</v>
      </c>
      <c r="CL174">
        <v>-8.3299999999999983</v>
      </c>
      <c r="CM174">
        <v>29</v>
      </c>
      <c r="CN174">
        <v>-1.7700000000000002</v>
      </c>
      <c r="CO174">
        <v>24</v>
      </c>
      <c r="CP174">
        <v>23</v>
      </c>
      <c r="CQ174">
        <v>24</v>
      </c>
      <c r="CR174">
        <v>-1.06</v>
      </c>
      <c r="CS174">
        <v>22</v>
      </c>
      <c r="CT174">
        <v>-0.18</v>
      </c>
      <c r="CU174">
        <v>-9.9999999999999638E-3</v>
      </c>
      <c r="CV174">
        <v>6</v>
      </c>
      <c r="CW174">
        <v>9.75</v>
      </c>
      <c r="CX174">
        <v>1</v>
      </c>
      <c r="CY174">
        <v>0.11368361073408387</v>
      </c>
      <c r="CZ174">
        <v>2</v>
      </c>
      <c r="DA174">
        <v>3.1818299722654424E-2</v>
      </c>
      <c r="DB174">
        <v>22</v>
      </c>
      <c r="DC174">
        <v>4.54963924963925E-2</v>
      </c>
      <c r="DD174">
        <v>14</v>
      </c>
      <c r="DE174">
        <v>0.36</v>
      </c>
      <c r="DF174">
        <v>-4.339999999999999</v>
      </c>
      <c r="DG174">
        <v>3.2499999999999991</v>
      </c>
      <c r="DH174">
        <v>-0.91999999999999993</v>
      </c>
      <c r="DI174">
        <v>-3.4299999999999953</v>
      </c>
      <c r="DJ174">
        <v>-43.790000000000006</v>
      </c>
      <c r="DK174">
        <v>45.45</v>
      </c>
      <c r="DL174">
        <v>-0.59000000000000008</v>
      </c>
      <c r="DM174">
        <v>-4.5</v>
      </c>
      <c r="DN174">
        <v>31</v>
      </c>
      <c r="DO174">
        <v>-12.194600000000001</v>
      </c>
      <c r="DP174">
        <v>-4.9159800000000002</v>
      </c>
      <c r="DQ174">
        <v>-89.240000000000009</v>
      </c>
      <c r="DR174">
        <v>2</v>
      </c>
      <c r="DS174">
        <v>0.14495000000000025</v>
      </c>
      <c r="DT174">
        <v>-5.19</v>
      </c>
      <c r="DU174">
        <v>1.6179375</v>
      </c>
      <c r="DV174">
        <v>1.0921250000000002</v>
      </c>
      <c r="DW174" t="s">
        <v>295</v>
      </c>
      <c r="DX174" t="s">
        <v>280</v>
      </c>
      <c r="DY174" t="s">
        <v>489</v>
      </c>
      <c r="DZ174">
        <v>1</v>
      </c>
      <c r="EA174">
        <v>7.9025999999999996</v>
      </c>
      <c r="EB174">
        <v>12</v>
      </c>
      <c r="EC174">
        <v>13.25</v>
      </c>
      <c r="ED174">
        <v>11</v>
      </c>
      <c r="EE174">
        <v>1.4240000000000006</v>
      </c>
      <c r="EF174">
        <v>18</v>
      </c>
      <c r="EG174">
        <v>-0.44999999999999973</v>
      </c>
      <c r="EH174">
        <v>20</v>
      </c>
      <c r="EI174">
        <v>-10.649999999999999</v>
      </c>
      <c r="EJ174">
        <v>4</v>
      </c>
      <c r="EK174">
        <v>1.5500000000000003</v>
      </c>
      <c r="EL174">
        <v>14</v>
      </c>
      <c r="EM174">
        <v>16.75</v>
      </c>
      <c r="EN174">
        <v>15</v>
      </c>
      <c r="EO174">
        <v>0.11900000000000013</v>
      </c>
      <c r="EP174">
        <v>23</v>
      </c>
      <c r="EQ174">
        <v>-0.60999999999999976</v>
      </c>
      <c r="ER174">
        <v>21</v>
      </c>
      <c r="ES174">
        <v>-6.6999999999999984</v>
      </c>
      <c r="ET174">
        <v>8</v>
      </c>
      <c r="EU174">
        <v>0.57000000000000006</v>
      </c>
      <c r="EV174">
        <v>14</v>
      </c>
      <c r="EW174">
        <v>15</v>
      </c>
      <c r="EX174">
        <v>8</v>
      </c>
      <c r="EY174">
        <v>1.3050000000000004</v>
      </c>
      <c r="EZ174">
        <v>14</v>
      </c>
      <c r="FA174">
        <v>0.16000000000000006</v>
      </c>
      <c r="FB174">
        <v>23</v>
      </c>
      <c r="FC174">
        <v>-3.9500000000000006</v>
      </c>
      <c r="FD174">
        <v>4</v>
      </c>
      <c r="FE174">
        <v>0.98000000000000009</v>
      </c>
      <c r="FF174">
        <v>12</v>
      </c>
      <c r="FG174">
        <v>14.333333333333334</v>
      </c>
      <c r="FH174">
        <v>17</v>
      </c>
      <c r="FI174">
        <v>-1.3795999999999997</v>
      </c>
      <c r="FJ174">
        <v>8</v>
      </c>
      <c r="FK174">
        <v>6.1099999999999959</v>
      </c>
      <c r="FL174">
        <v>18</v>
      </c>
      <c r="FM174">
        <v>-0.19999999999999998</v>
      </c>
      <c r="FN174">
        <v>13</v>
      </c>
      <c r="FO174">
        <v>13.333333333333334</v>
      </c>
      <c r="FP174">
        <v>16</v>
      </c>
      <c r="FQ174">
        <v>-0.10399999999999991</v>
      </c>
      <c r="FR174">
        <v>9</v>
      </c>
      <c r="FS174">
        <v>7.76</v>
      </c>
      <c r="FT174">
        <v>15</v>
      </c>
      <c r="FU174">
        <v>0.41999999999999993</v>
      </c>
      <c r="FV174">
        <v>20</v>
      </c>
      <c r="FW174">
        <v>20</v>
      </c>
      <c r="FX174">
        <v>17</v>
      </c>
      <c r="FY174">
        <v>0.48999999999999988</v>
      </c>
      <c r="FZ174">
        <v>18</v>
      </c>
      <c r="GA174">
        <v>9.9999999999997161E-2</v>
      </c>
      <c r="GB174">
        <v>25</v>
      </c>
      <c r="GC174">
        <v>-0.64</v>
      </c>
      <c r="GD174">
        <v>23</v>
      </c>
      <c r="GE174">
        <v>20.333333333333332</v>
      </c>
      <c r="GF174">
        <v>27</v>
      </c>
      <c r="GG174">
        <v>-1.7655999999999996</v>
      </c>
      <c r="GH174">
        <v>20</v>
      </c>
      <c r="GI174">
        <v>-1.7500000000000013</v>
      </c>
      <c r="GJ174">
        <v>14</v>
      </c>
      <c r="GK174">
        <v>2.0000000000000108E-2</v>
      </c>
      <c r="GL174">
        <v>22</v>
      </c>
      <c r="GM174">
        <v>21</v>
      </c>
      <c r="GN174">
        <v>15</v>
      </c>
      <c r="GO174">
        <v>-0.55100000000000049</v>
      </c>
      <c r="GP174">
        <v>22</v>
      </c>
      <c r="GQ174">
        <v>-11.310000000000002</v>
      </c>
      <c r="GR174">
        <v>26</v>
      </c>
      <c r="GS174">
        <v>-1.1399999999999995</v>
      </c>
      <c r="GT174">
        <v>1</v>
      </c>
      <c r="GU174">
        <v>1.6666666666666667</v>
      </c>
      <c r="GV174">
        <v>1</v>
      </c>
      <c r="GW174">
        <v>8.8629999999999978</v>
      </c>
      <c r="GX174">
        <v>1</v>
      </c>
      <c r="GY174">
        <v>22.23</v>
      </c>
      <c r="GZ174">
        <v>3</v>
      </c>
      <c r="HA174">
        <v>1.7200000000000002</v>
      </c>
      <c r="HB174">
        <v>13</v>
      </c>
      <c r="HC174">
        <v>13.5</v>
      </c>
      <c r="HD174">
        <v>14</v>
      </c>
      <c r="HE174">
        <v>0.33999999999999986</v>
      </c>
      <c r="HF174">
        <v>13</v>
      </c>
      <c r="HG174">
        <v>4.0000000000000015E-2</v>
      </c>
      <c r="HH174">
        <v>-1.4500000000000002</v>
      </c>
      <c r="HI174">
        <v>30</v>
      </c>
      <c r="HJ174">
        <v>25.75</v>
      </c>
      <c r="HK174">
        <v>23</v>
      </c>
      <c r="HL174">
        <v>-1.7420898681411567E-2</v>
      </c>
      <c r="HM174">
        <v>24</v>
      </c>
      <c r="HN174">
        <v>-1.4481318091573239E-2</v>
      </c>
      <c r="HO174">
        <v>30</v>
      </c>
      <c r="HP174">
        <v>9.844083694083694E-2</v>
      </c>
      <c r="HQ174">
        <v>26</v>
      </c>
      <c r="HR174">
        <v>-1.9799999999999998</v>
      </c>
      <c r="HS174">
        <v>2.1900000000000022</v>
      </c>
      <c r="HT174">
        <v>3.0500000000000007</v>
      </c>
      <c r="HU174">
        <v>-0.80999999999999994</v>
      </c>
      <c r="HV174">
        <v>34.029999999999994</v>
      </c>
      <c r="HW174">
        <v>38.140000000000008</v>
      </c>
      <c r="HX174">
        <v>-13.670000000000002</v>
      </c>
      <c r="HY174">
        <v>7.75</v>
      </c>
      <c r="HZ174">
        <v>1.8099999999999998</v>
      </c>
      <c r="IA174">
        <v>4</v>
      </c>
      <c r="IB174">
        <v>6.4785999999999992</v>
      </c>
      <c r="IC174">
        <v>2.3651999999999993</v>
      </c>
      <c r="ID174">
        <v>51.810000000000009</v>
      </c>
      <c r="IE174">
        <v>29</v>
      </c>
      <c r="IF174">
        <v>2.1437499999999998</v>
      </c>
      <c r="IG174">
        <v>1.5200000000000002</v>
      </c>
    </row>
    <row r="175" spans="1:241" x14ac:dyDescent="0.2">
      <c r="A175" s="19">
        <v>44122</v>
      </c>
      <c r="B175" s="13" t="s">
        <v>252</v>
      </c>
      <c r="C175" s="41" t="s">
        <v>302</v>
      </c>
      <c r="D175" s="14" t="s">
        <v>278</v>
      </c>
      <c r="E175">
        <v>4.32</v>
      </c>
      <c r="F175">
        <v>6.8</v>
      </c>
      <c r="G175">
        <v>0</v>
      </c>
      <c r="H175">
        <v>5.8</v>
      </c>
      <c r="I175">
        <v>-7</v>
      </c>
      <c r="J175">
        <v>44</v>
      </c>
      <c r="K175" t="s">
        <v>735</v>
      </c>
      <c r="L175" t="s">
        <v>302</v>
      </c>
      <c r="M175">
        <v>22</v>
      </c>
      <c r="N175">
        <v>-1.6410000000000009</v>
      </c>
      <c r="O175">
        <v>18</v>
      </c>
      <c r="P175">
        <v>18</v>
      </c>
      <c r="Q175">
        <v>18</v>
      </c>
      <c r="R175">
        <v>-0.20500000000000007</v>
      </c>
      <c r="S175">
        <v>26</v>
      </c>
      <c r="T175">
        <v>-2.9</v>
      </c>
      <c r="U175">
        <v>16</v>
      </c>
      <c r="V175">
        <v>4.1499999999999986</v>
      </c>
      <c r="W175">
        <v>12</v>
      </c>
      <c r="X175">
        <v>0.3999999999999998</v>
      </c>
      <c r="Y175">
        <v>29</v>
      </c>
      <c r="Z175">
        <v>25</v>
      </c>
      <c r="AA175">
        <v>27</v>
      </c>
      <c r="AB175">
        <v>-5.2249999999999996</v>
      </c>
      <c r="AC175">
        <v>32</v>
      </c>
      <c r="AD175">
        <v>-6</v>
      </c>
      <c r="AE175">
        <v>30</v>
      </c>
      <c r="AF175">
        <v>-25.55</v>
      </c>
      <c r="AG175">
        <v>18</v>
      </c>
      <c r="AH175">
        <v>-0.15000000000000013</v>
      </c>
      <c r="AI175">
        <v>2</v>
      </c>
      <c r="AJ175">
        <v>4</v>
      </c>
      <c r="AK175">
        <v>2</v>
      </c>
      <c r="AL175">
        <v>5.0199999999999996</v>
      </c>
      <c r="AM175">
        <v>5</v>
      </c>
      <c r="AN175">
        <v>3.1</v>
      </c>
      <c r="AO175">
        <v>2</v>
      </c>
      <c r="AP175">
        <v>29.7</v>
      </c>
      <c r="AQ175">
        <v>8</v>
      </c>
      <c r="AR175">
        <v>0.54999999999999993</v>
      </c>
      <c r="AS175">
        <v>22</v>
      </c>
      <c r="AT175">
        <v>21.666666666666668</v>
      </c>
      <c r="AU175">
        <v>29</v>
      </c>
      <c r="AV175">
        <v>-7.75</v>
      </c>
      <c r="AW175">
        <v>25</v>
      </c>
      <c r="AX175">
        <v>-19.55</v>
      </c>
      <c r="AY175">
        <v>11</v>
      </c>
      <c r="AZ175">
        <v>0.84999999999999987</v>
      </c>
      <c r="BA175">
        <v>26</v>
      </c>
      <c r="BB175">
        <v>25.333333333333332</v>
      </c>
      <c r="BC175">
        <v>29</v>
      </c>
      <c r="BD175">
        <v>-4.2350000000000012</v>
      </c>
      <c r="BE175">
        <v>24</v>
      </c>
      <c r="BF175">
        <v>-10.3</v>
      </c>
      <c r="BG175">
        <v>23</v>
      </c>
      <c r="BH175">
        <v>-0.84999999999999987</v>
      </c>
      <c r="BI175">
        <v>18</v>
      </c>
      <c r="BJ175">
        <v>18.333333333333332</v>
      </c>
      <c r="BK175">
        <v>23</v>
      </c>
      <c r="BL175">
        <v>-1.6749999999999994</v>
      </c>
      <c r="BM175">
        <v>21</v>
      </c>
      <c r="BN175">
        <v>-11.25</v>
      </c>
      <c r="BO175">
        <v>11</v>
      </c>
      <c r="BP175">
        <v>0.75</v>
      </c>
      <c r="BQ175">
        <v>17</v>
      </c>
      <c r="BR175">
        <v>17</v>
      </c>
      <c r="BS175">
        <v>26</v>
      </c>
      <c r="BT175">
        <v>-1.8399999999999996</v>
      </c>
      <c r="BU175">
        <v>15</v>
      </c>
      <c r="BV175">
        <v>2</v>
      </c>
      <c r="BW175">
        <v>10</v>
      </c>
      <c r="BX175">
        <v>0.94999999999999973</v>
      </c>
      <c r="BY175">
        <v>15</v>
      </c>
      <c r="BZ175">
        <v>15.666666666666666</v>
      </c>
      <c r="CA175">
        <v>17</v>
      </c>
      <c r="CB175">
        <v>-0.9650000000000003</v>
      </c>
      <c r="CC175">
        <v>13</v>
      </c>
      <c r="CD175">
        <v>5.3499999999999979</v>
      </c>
      <c r="CE175">
        <v>17</v>
      </c>
      <c r="CF175">
        <v>-0.39999999999999991</v>
      </c>
      <c r="CG175">
        <v>31</v>
      </c>
      <c r="CH175">
        <v>30.666666666666668</v>
      </c>
      <c r="CI175">
        <v>30</v>
      </c>
      <c r="CJ175">
        <v>-5.6999999999999993</v>
      </c>
      <c r="CK175">
        <v>31</v>
      </c>
      <c r="CL175">
        <v>-23</v>
      </c>
      <c r="CM175">
        <v>31</v>
      </c>
      <c r="CN175">
        <v>-2.7499999999999996</v>
      </c>
      <c r="CO175">
        <v>22</v>
      </c>
      <c r="CP175">
        <v>22.5</v>
      </c>
      <c r="CQ175">
        <v>28</v>
      </c>
      <c r="CR175">
        <v>-1.6500000000000001</v>
      </c>
      <c r="CS175">
        <v>17</v>
      </c>
      <c r="CT175">
        <v>4.9999999999999933E-2</v>
      </c>
      <c r="CU175">
        <v>5.3500000000000005</v>
      </c>
      <c r="CV175">
        <v>23</v>
      </c>
      <c r="CW175">
        <v>20.25</v>
      </c>
      <c r="CX175">
        <v>31</v>
      </c>
      <c r="CY175">
        <v>-7.4024078600046755E-2</v>
      </c>
      <c r="CZ175">
        <v>12</v>
      </c>
      <c r="DA175">
        <v>2.2190256037134459E-3</v>
      </c>
      <c r="DB175">
        <v>30</v>
      </c>
      <c r="DC175">
        <v>0.12264610389610389</v>
      </c>
      <c r="DD175">
        <v>8</v>
      </c>
      <c r="DE175">
        <v>1.9</v>
      </c>
      <c r="DF175">
        <v>2.25</v>
      </c>
      <c r="DG175">
        <v>-3.7000000000000011</v>
      </c>
      <c r="DH175">
        <v>2.4499999999999997</v>
      </c>
      <c r="DI175">
        <v>-13.549999999999997</v>
      </c>
      <c r="DJ175">
        <v>-65.400000000000006</v>
      </c>
      <c r="DK175">
        <v>28.950000000000003</v>
      </c>
      <c r="DL175">
        <v>6.0500000000000007</v>
      </c>
      <c r="DM175">
        <v>16.850000000000001</v>
      </c>
      <c r="DN175">
        <v>21</v>
      </c>
      <c r="DO175">
        <v>-1.4360000000000008</v>
      </c>
      <c r="DP175">
        <v>-2.9157000000000002</v>
      </c>
      <c r="DQ175">
        <v>-94.350000000000009</v>
      </c>
      <c r="DR175">
        <v>12</v>
      </c>
      <c r="DS175">
        <v>-2.1182500000000002</v>
      </c>
      <c r="DT175">
        <v>-1.8999999999999997</v>
      </c>
      <c r="DU175">
        <v>-1.432765625</v>
      </c>
      <c r="DV175">
        <v>-3.2098750000000003</v>
      </c>
      <c r="DW175" t="s">
        <v>278</v>
      </c>
      <c r="DX175" t="s">
        <v>240</v>
      </c>
      <c r="DY175" t="s">
        <v>540</v>
      </c>
      <c r="DZ175">
        <v>8</v>
      </c>
      <c r="EA175">
        <v>2.3247499999999999</v>
      </c>
      <c r="EB175">
        <v>25</v>
      </c>
      <c r="EC175">
        <v>22</v>
      </c>
      <c r="ED175">
        <v>26</v>
      </c>
      <c r="EE175">
        <v>-3.7137499999999988</v>
      </c>
      <c r="EF175">
        <v>24</v>
      </c>
      <c r="EG175">
        <v>-1.5875000000000001</v>
      </c>
      <c r="EH175">
        <v>21</v>
      </c>
      <c r="EI175">
        <v>-11.487499999999999</v>
      </c>
      <c r="EJ175">
        <v>17</v>
      </c>
      <c r="EK175">
        <v>-0.10000000000000009</v>
      </c>
      <c r="EL175">
        <v>18</v>
      </c>
      <c r="EM175">
        <v>18.25</v>
      </c>
      <c r="EN175">
        <v>22</v>
      </c>
      <c r="EO175">
        <v>-1.9524999999999988</v>
      </c>
      <c r="EP175">
        <v>14</v>
      </c>
      <c r="EQ175">
        <v>0.33749999999999991</v>
      </c>
      <c r="ER175">
        <v>18</v>
      </c>
      <c r="ES175">
        <v>-3.6499999999999986</v>
      </c>
      <c r="ET175">
        <v>19</v>
      </c>
      <c r="EU175">
        <v>-0.26250000000000007</v>
      </c>
      <c r="EV175">
        <v>31</v>
      </c>
      <c r="EW175">
        <v>29.666666666666668</v>
      </c>
      <c r="EX175">
        <v>30</v>
      </c>
      <c r="EY175">
        <v>-1.76125</v>
      </c>
      <c r="EZ175">
        <v>29</v>
      </c>
      <c r="FA175">
        <v>-1.925</v>
      </c>
      <c r="FB175">
        <v>30</v>
      </c>
      <c r="FC175">
        <v>-7.8375000000000004</v>
      </c>
      <c r="FD175">
        <v>13</v>
      </c>
      <c r="FE175">
        <v>0.16249999999999998</v>
      </c>
      <c r="FF175">
        <v>2</v>
      </c>
      <c r="FG175">
        <v>3.3333333333333335</v>
      </c>
      <c r="FH175">
        <v>6</v>
      </c>
      <c r="FI175">
        <v>5.862499999999998</v>
      </c>
      <c r="FJ175">
        <v>2</v>
      </c>
      <c r="FK175">
        <v>34.950000000000003</v>
      </c>
      <c r="FL175">
        <v>2</v>
      </c>
      <c r="FM175">
        <v>4</v>
      </c>
      <c r="FN175">
        <v>10</v>
      </c>
      <c r="FO175">
        <v>11.333333333333334</v>
      </c>
      <c r="FP175">
        <v>19</v>
      </c>
      <c r="FQ175">
        <v>-1.302500000000002</v>
      </c>
      <c r="FR175">
        <v>8</v>
      </c>
      <c r="FS175">
        <v>8.7250000000000014</v>
      </c>
      <c r="FT175">
        <v>7</v>
      </c>
      <c r="FU175">
        <v>1.0625</v>
      </c>
      <c r="FV175">
        <v>8</v>
      </c>
      <c r="FW175">
        <v>10.333333333333334</v>
      </c>
      <c r="FX175">
        <v>9</v>
      </c>
      <c r="FY175">
        <v>2.6262499999999998</v>
      </c>
      <c r="FZ175">
        <v>20</v>
      </c>
      <c r="GA175">
        <v>-0.80000000000000071</v>
      </c>
      <c r="GB175">
        <v>2</v>
      </c>
      <c r="GC175">
        <v>1.4375</v>
      </c>
      <c r="GD175">
        <v>2</v>
      </c>
      <c r="GE175">
        <v>2</v>
      </c>
      <c r="GF175">
        <v>2</v>
      </c>
      <c r="GG175">
        <v>4.5387500000000003</v>
      </c>
      <c r="GH175">
        <v>1</v>
      </c>
      <c r="GI175">
        <v>27.024999999999999</v>
      </c>
      <c r="GJ175">
        <v>3</v>
      </c>
      <c r="GK175">
        <v>1.5</v>
      </c>
      <c r="GL175">
        <v>18</v>
      </c>
      <c r="GM175">
        <v>18</v>
      </c>
      <c r="GN175">
        <v>28</v>
      </c>
      <c r="GO175">
        <v>-3.2174999999999998</v>
      </c>
      <c r="GP175">
        <v>11</v>
      </c>
      <c r="GQ175">
        <v>3.9499999999999993</v>
      </c>
      <c r="GR175">
        <v>15</v>
      </c>
      <c r="GS175">
        <v>-0.28749999999999964</v>
      </c>
      <c r="GT175">
        <v>21</v>
      </c>
      <c r="GU175">
        <v>19.666666666666668</v>
      </c>
      <c r="GV175">
        <v>23</v>
      </c>
      <c r="GW175">
        <v>-1.6187499999999995</v>
      </c>
      <c r="GX175">
        <v>22</v>
      </c>
      <c r="GY175">
        <v>-3.8125</v>
      </c>
      <c r="GZ175">
        <v>14</v>
      </c>
      <c r="HA175">
        <v>6.25E-2</v>
      </c>
      <c r="HB175">
        <v>10</v>
      </c>
      <c r="HC175">
        <v>10.5</v>
      </c>
      <c r="HD175">
        <v>17</v>
      </c>
      <c r="HE175">
        <v>-9.9999999999999645E-2</v>
      </c>
      <c r="HF175">
        <v>4</v>
      </c>
      <c r="HG175">
        <v>0.875</v>
      </c>
      <c r="HH175">
        <v>3.5625</v>
      </c>
      <c r="HI175">
        <v>15</v>
      </c>
      <c r="HJ175">
        <v>16</v>
      </c>
      <c r="HK175">
        <v>25</v>
      </c>
      <c r="HL175">
        <v>-2.3460217192864181E-2</v>
      </c>
      <c r="HM175">
        <v>9</v>
      </c>
      <c r="HN175">
        <v>1.092186582766156E-2</v>
      </c>
      <c r="HO175">
        <v>13</v>
      </c>
      <c r="HP175">
        <v>-2.6011904761904736E-2</v>
      </c>
      <c r="HQ175">
        <v>17</v>
      </c>
      <c r="HR175">
        <v>-0.30000000000000004</v>
      </c>
      <c r="HS175">
        <v>3.7624999999999993</v>
      </c>
      <c r="HT175">
        <v>-3.3749999999999996</v>
      </c>
      <c r="HU175">
        <v>2.1749999999999998</v>
      </c>
      <c r="HV175">
        <v>22.012500000000003</v>
      </c>
      <c r="HW175">
        <v>30.6</v>
      </c>
      <c r="HX175">
        <v>-13.024999999999999</v>
      </c>
      <c r="HY175">
        <v>-7.4749999999999996</v>
      </c>
      <c r="HZ175">
        <v>11.9125</v>
      </c>
      <c r="IA175">
        <v>5</v>
      </c>
      <c r="IB175">
        <v>6.0384999999999991</v>
      </c>
      <c r="IC175">
        <v>3.1705749999999995</v>
      </c>
      <c r="ID175">
        <v>43.625</v>
      </c>
      <c r="IE175">
        <v>28</v>
      </c>
      <c r="IF175">
        <v>0.34434375000000006</v>
      </c>
      <c r="IG175">
        <v>4.0625</v>
      </c>
    </row>
    <row r="176" spans="1:241" x14ac:dyDescent="0.2">
      <c r="A176" s="19">
        <v>44122</v>
      </c>
      <c r="B176" s="13" t="s">
        <v>252</v>
      </c>
      <c r="C176" s="41" t="s">
        <v>296</v>
      </c>
      <c r="D176" s="14" t="s">
        <v>306</v>
      </c>
      <c r="E176">
        <v>11.8</v>
      </c>
      <c r="F176">
        <v>2.1</v>
      </c>
      <c r="G176">
        <v>1.8</v>
      </c>
      <c r="H176">
        <v>5</v>
      </c>
      <c r="I176">
        <v>-2</v>
      </c>
      <c r="J176">
        <v>42</v>
      </c>
      <c r="L176" t="s">
        <v>296</v>
      </c>
      <c r="M176">
        <v>31</v>
      </c>
      <c r="N176">
        <v>-6.3089999999999984</v>
      </c>
      <c r="O176">
        <v>27</v>
      </c>
      <c r="P176">
        <v>24.5</v>
      </c>
      <c r="Q176">
        <v>27</v>
      </c>
      <c r="R176">
        <v>-4.9779999999999998</v>
      </c>
      <c r="S176">
        <v>29</v>
      </c>
      <c r="T176">
        <v>-4.46</v>
      </c>
      <c r="U176">
        <v>31</v>
      </c>
      <c r="V176">
        <v>-34.14</v>
      </c>
      <c r="W176">
        <v>11</v>
      </c>
      <c r="X176">
        <v>0.47</v>
      </c>
      <c r="Y176">
        <v>22</v>
      </c>
      <c r="Z176">
        <v>21</v>
      </c>
      <c r="AA176">
        <v>24</v>
      </c>
      <c r="AB176">
        <v>-3.3109999999999999</v>
      </c>
      <c r="AC176">
        <v>30</v>
      </c>
      <c r="AD176">
        <v>-3.9799999999999995</v>
      </c>
      <c r="AE176">
        <v>32</v>
      </c>
      <c r="AF176">
        <v>-35.15</v>
      </c>
      <c r="AG176">
        <v>7</v>
      </c>
      <c r="AH176">
        <v>1.17</v>
      </c>
      <c r="AI176">
        <v>23</v>
      </c>
      <c r="AJ176">
        <v>20.666666666666668</v>
      </c>
      <c r="AK176">
        <v>24</v>
      </c>
      <c r="AL176">
        <v>-1.6670000000000003</v>
      </c>
      <c r="AM176">
        <v>15</v>
      </c>
      <c r="AN176">
        <v>-0.48000000000000009</v>
      </c>
      <c r="AO176">
        <v>13</v>
      </c>
      <c r="AP176">
        <v>1.0100000000000002</v>
      </c>
      <c r="AQ176">
        <v>25</v>
      </c>
      <c r="AR176">
        <v>-0.7</v>
      </c>
      <c r="AS176">
        <v>28</v>
      </c>
      <c r="AT176">
        <v>26</v>
      </c>
      <c r="AU176">
        <v>27</v>
      </c>
      <c r="AV176">
        <v>-7.0562000000000005</v>
      </c>
      <c r="AW176">
        <v>27</v>
      </c>
      <c r="AX176">
        <v>-21.660000000000004</v>
      </c>
      <c r="AY176">
        <v>24</v>
      </c>
      <c r="AZ176">
        <v>-1.5</v>
      </c>
      <c r="BA176">
        <v>18</v>
      </c>
      <c r="BB176">
        <v>18.666666666666668</v>
      </c>
      <c r="BC176">
        <v>23</v>
      </c>
      <c r="BD176">
        <v>-2.0600000000000009</v>
      </c>
      <c r="BE176">
        <v>16</v>
      </c>
      <c r="BF176">
        <v>0.85999999999999943</v>
      </c>
      <c r="BG176">
        <v>17</v>
      </c>
      <c r="BH176">
        <v>-0.36999999999999994</v>
      </c>
      <c r="BI176">
        <v>25</v>
      </c>
      <c r="BJ176">
        <v>23</v>
      </c>
      <c r="BK176">
        <v>27</v>
      </c>
      <c r="BL176">
        <v>-3.4171999999999998</v>
      </c>
      <c r="BM176">
        <v>27</v>
      </c>
      <c r="BN176">
        <v>-16.580000000000002</v>
      </c>
      <c r="BO176">
        <v>15</v>
      </c>
      <c r="BP176">
        <v>0.30000000000000016</v>
      </c>
      <c r="BQ176">
        <v>26</v>
      </c>
      <c r="BR176">
        <v>25.333333333333332</v>
      </c>
      <c r="BS176">
        <v>25</v>
      </c>
      <c r="BT176">
        <v>-1.579</v>
      </c>
      <c r="BU176">
        <v>23</v>
      </c>
      <c r="BV176">
        <v>-5.9400000000000013</v>
      </c>
      <c r="BW176">
        <v>28</v>
      </c>
      <c r="BX176">
        <v>-1.4300000000000002</v>
      </c>
      <c r="BY176">
        <v>29</v>
      </c>
      <c r="BZ176">
        <v>27.666666666666668</v>
      </c>
      <c r="CA176">
        <v>29</v>
      </c>
      <c r="CB176">
        <v>-5.7330000000000014</v>
      </c>
      <c r="CC176">
        <v>30</v>
      </c>
      <c r="CD176">
        <v>-26.73</v>
      </c>
      <c r="CE176">
        <v>24</v>
      </c>
      <c r="CF176">
        <v>-1.1000000000000001</v>
      </c>
      <c r="CG176">
        <v>14</v>
      </c>
      <c r="CH176">
        <v>15.666666666666666</v>
      </c>
      <c r="CI176">
        <v>20</v>
      </c>
      <c r="CJ176">
        <v>-0.84200000000000053</v>
      </c>
      <c r="CK176">
        <v>20</v>
      </c>
      <c r="CL176">
        <v>-3.5999999999999992</v>
      </c>
      <c r="CM176">
        <v>7</v>
      </c>
      <c r="CN176">
        <v>1.23</v>
      </c>
      <c r="CO176">
        <v>4</v>
      </c>
      <c r="CP176">
        <v>6.5</v>
      </c>
      <c r="CQ176">
        <v>6</v>
      </c>
      <c r="CR176">
        <v>1.7599999999999998</v>
      </c>
      <c r="CS176">
        <v>7</v>
      </c>
      <c r="CT176">
        <v>0.43</v>
      </c>
      <c r="CU176">
        <v>0.2700000000000003</v>
      </c>
      <c r="CV176">
        <v>7</v>
      </c>
      <c r="CW176">
        <v>10</v>
      </c>
      <c r="CX176">
        <v>6</v>
      </c>
      <c r="CY176">
        <v>6.7893751141854558E-2</v>
      </c>
      <c r="CZ176">
        <v>14</v>
      </c>
      <c r="DA176">
        <v>5.2228055067586601E-5</v>
      </c>
      <c r="DB176">
        <v>19</v>
      </c>
      <c r="DC176">
        <v>2.0983221456905655E-2</v>
      </c>
      <c r="DD176">
        <v>1</v>
      </c>
      <c r="DE176">
        <v>4.6400000000000006</v>
      </c>
      <c r="DF176">
        <v>-3.6</v>
      </c>
      <c r="DG176">
        <v>-8.27</v>
      </c>
      <c r="DH176">
        <v>0.76</v>
      </c>
      <c r="DI176">
        <v>-51.719999999999992</v>
      </c>
      <c r="DJ176">
        <v>-21.35</v>
      </c>
      <c r="DK176">
        <v>-36.370000000000005</v>
      </c>
      <c r="DL176">
        <v>-1.65</v>
      </c>
      <c r="DM176">
        <v>7.65</v>
      </c>
      <c r="DN176">
        <v>20</v>
      </c>
      <c r="DO176">
        <v>-1.3309999999999982</v>
      </c>
      <c r="DP176">
        <v>-0.35244000000000009</v>
      </c>
      <c r="DQ176">
        <v>15.020000000000003</v>
      </c>
      <c r="DR176">
        <v>13</v>
      </c>
      <c r="DS176">
        <v>-2.1781500000000005</v>
      </c>
      <c r="DT176">
        <v>-0.27</v>
      </c>
      <c r="DU176">
        <v>-0.83555000000000068</v>
      </c>
      <c r="DV176">
        <v>-1.8088000000000009</v>
      </c>
      <c r="DW176" t="s">
        <v>306</v>
      </c>
      <c r="DX176" t="s">
        <v>283</v>
      </c>
      <c r="DY176" t="s">
        <v>454</v>
      </c>
      <c r="DZ176">
        <v>6</v>
      </c>
      <c r="EA176">
        <v>3.1895999999999995</v>
      </c>
      <c r="EB176">
        <v>18</v>
      </c>
      <c r="EC176">
        <v>18.25</v>
      </c>
      <c r="ED176">
        <v>19</v>
      </c>
      <c r="EE176">
        <v>-0.46000000000000107</v>
      </c>
      <c r="EF176">
        <v>11</v>
      </c>
      <c r="EG176">
        <v>1.6400000000000003</v>
      </c>
      <c r="EH176">
        <v>19</v>
      </c>
      <c r="EI176">
        <v>-5.92</v>
      </c>
      <c r="EJ176">
        <v>24</v>
      </c>
      <c r="EK176">
        <v>-0.72</v>
      </c>
      <c r="EL176">
        <v>17</v>
      </c>
      <c r="EM176">
        <v>18</v>
      </c>
      <c r="EN176">
        <v>12</v>
      </c>
      <c r="EO176">
        <v>1.0359999999999996</v>
      </c>
      <c r="EP176">
        <v>17</v>
      </c>
      <c r="EQ176">
        <v>-7.999999999999971E-2</v>
      </c>
      <c r="ER176">
        <v>20</v>
      </c>
      <c r="ES176">
        <v>-5.9599999999999991</v>
      </c>
      <c r="ET176">
        <v>23</v>
      </c>
      <c r="EU176">
        <v>-0.48</v>
      </c>
      <c r="EV176">
        <v>17</v>
      </c>
      <c r="EW176">
        <v>15.666666666666666</v>
      </c>
      <c r="EX176">
        <v>27</v>
      </c>
      <c r="EY176">
        <v>-1.4960000000000007</v>
      </c>
      <c r="EZ176">
        <v>6</v>
      </c>
      <c r="FA176">
        <v>1.72</v>
      </c>
      <c r="FB176">
        <v>14</v>
      </c>
      <c r="FC176">
        <v>3.9999999999998793E-2</v>
      </c>
      <c r="FD176">
        <v>21</v>
      </c>
      <c r="FE176">
        <v>-0.23999999999999994</v>
      </c>
      <c r="FF176">
        <v>24</v>
      </c>
      <c r="FG176">
        <v>22.333333333333332</v>
      </c>
      <c r="FH176">
        <v>28</v>
      </c>
      <c r="FI176">
        <v>-5.9400000000000013</v>
      </c>
      <c r="FJ176">
        <v>18</v>
      </c>
      <c r="FK176">
        <v>-3.9999999999999147E-2</v>
      </c>
      <c r="FL176">
        <v>21</v>
      </c>
      <c r="FM176">
        <v>-0.83999999999999975</v>
      </c>
      <c r="FN176">
        <v>25</v>
      </c>
      <c r="FO176">
        <v>24.333333333333332</v>
      </c>
      <c r="FP176">
        <v>27</v>
      </c>
      <c r="FQ176">
        <v>-3.6448000000000009</v>
      </c>
      <c r="FR176">
        <v>21</v>
      </c>
      <c r="FS176">
        <v>-6.4799999999999986</v>
      </c>
      <c r="FT176">
        <v>25</v>
      </c>
      <c r="FU176">
        <v>-1.1999999999999997</v>
      </c>
      <c r="FV176">
        <v>19</v>
      </c>
      <c r="FW176">
        <v>18.333333333333332</v>
      </c>
      <c r="FX176">
        <v>25</v>
      </c>
      <c r="FY176">
        <v>-2.7312000000000003</v>
      </c>
      <c r="FZ176">
        <v>23</v>
      </c>
      <c r="GA176">
        <v>-5.3999999999999995</v>
      </c>
      <c r="GB176">
        <v>7</v>
      </c>
      <c r="GC176">
        <v>0.64000000000000012</v>
      </c>
      <c r="GD176">
        <v>11</v>
      </c>
      <c r="GE176">
        <v>12.333333333333334</v>
      </c>
      <c r="GF176">
        <v>12</v>
      </c>
      <c r="GG176">
        <v>0.43599999999999983</v>
      </c>
      <c r="GH176">
        <v>3</v>
      </c>
      <c r="GI176">
        <v>11.84</v>
      </c>
      <c r="GJ176">
        <v>22</v>
      </c>
      <c r="GK176">
        <v>-0.28000000000000014</v>
      </c>
      <c r="GL176">
        <v>10</v>
      </c>
      <c r="GM176">
        <v>13.666666666666666</v>
      </c>
      <c r="GN176">
        <v>10</v>
      </c>
      <c r="GO176">
        <v>1.5760000000000005</v>
      </c>
      <c r="GP176">
        <v>13</v>
      </c>
      <c r="GQ176">
        <v>1.3599999999999965</v>
      </c>
      <c r="GR176">
        <v>18</v>
      </c>
      <c r="GS176">
        <v>-0.4</v>
      </c>
      <c r="GT176">
        <v>9</v>
      </c>
      <c r="GU176">
        <v>9.6666666666666661</v>
      </c>
      <c r="GV176">
        <v>6</v>
      </c>
      <c r="GW176">
        <v>3.6319999999999992</v>
      </c>
      <c r="GX176">
        <v>4</v>
      </c>
      <c r="GY176">
        <v>18.080000000000002</v>
      </c>
      <c r="GZ176">
        <v>19</v>
      </c>
      <c r="HA176">
        <v>-0.27999999999999992</v>
      </c>
      <c r="HB176">
        <v>11</v>
      </c>
      <c r="HC176">
        <v>12</v>
      </c>
      <c r="HD176">
        <v>10</v>
      </c>
      <c r="HE176">
        <v>0.68000000000000027</v>
      </c>
      <c r="HF176">
        <v>14</v>
      </c>
      <c r="HG176">
        <v>3.9999999999999945E-2</v>
      </c>
      <c r="HH176">
        <v>0.83999999999999986</v>
      </c>
      <c r="HI176">
        <v>5</v>
      </c>
      <c r="HJ176">
        <v>9.75</v>
      </c>
      <c r="HK176">
        <v>10</v>
      </c>
      <c r="HL176">
        <v>1.5296075413298593E-2</v>
      </c>
      <c r="HM176">
        <v>5</v>
      </c>
      <c r="HN176">
        <v>2.0000486763816487E-2</v>
      </c>
      <c r="HO176">
        <v>14</v>
      </c>
      <c r="HP176">
        <v>-2.1919191919191915E-2</v>
      </c>
      <c r="HQ176">
        <v>10</v>
      </c>
      <c r="HR176">
        <v>0.4</v>
      </c>
      <c r="HS176">
        <v>-0.39999999999999714</v>
      </c>
      <c r="HT176">
        <v>2.6</v>
      </c>
      <c r="HU176">
        <v>-1.48</v>
      </c>
      <c r="HV176">
        <v>-7.4</v>
      </c>
      <c r="HW176">
        <v>10.360000000000008</v>
      </c>
      <c r="HX176">
        <v>-6.8800000000000008</v>
      </c>
      <c r="HY176">
        <v>-6.3999999999999995</v>
      </c>
      <c r="HZ176">
        <v>-4.4799999999999986</v>
      </c>
      <c r="IA176">
        <v>10</v>
      </c>
      <c r="IB176">
        <v>3.6496000000000004</v>
      </c>
      <c r="IC176">
        <v>0.40632000000000001</v>
      </c>
      <c r="ID176">
        <v>17.240000000000009</v>
      </c>
      <c r="IE176">
        <v>23</v>
      </c>
      <c r="IF176">
        <v>0.1376999999999996</v>
      </c>
      <c r="IG176">
        <v>-1.1199999999999997</v>
      </c>
    </row>
    <row r="177" spans="1:241" x14ac:dyDescent="0.2">
      <c r="A177" s="19">
        <v>44122</v>
      </c>
      <c r="B177" s="13" t="s">
        <v>252</v>
      </c>
      <c r="C177" s="41" t="s">
        <v>298</v>
      </c>
      <c r="D177" s="14" t="s">
        <v>293</v>
      </c>
      <c r="E177">
        <v>11.8</v>
      </c>
      <c r="F177">
        <v>10.199999999999999</v>
      </c>
      <c r="G177">
        <v>1.8</v>
      </c>
      <c r="H177">
        <v>3.7</v>
      </c>
      <c r="I177">
        <v>8.5</v>
      </c>
      <c r="J177">
        <v>46.5</v>
      </c>
      <c r="L177" t="s">
        <v>298</v>
      </c>
      <c r="M177">
        <v>29</v>
      </c>
      <c r="N177">
        <v>-5.0563999999999991</v>
      </c>
      <c r="O177">
        <v>29</v>
      </c>
      <c r="P177">
        <v>26.75</v>
      </c>
      <c r="Q177">
        <v>28</v>
      </c>
      <c r="R177">
        <v>-5.9789999999999992</v>
      </c>
      <c r="S177">
        <v>25</v>
      </c>
      <c r="T177">
        <v>-2.8000000000000003</v>
      </c>
      <c r="U177">
        <v>28</v>
      </c>
      <c r="V177">
        <v>-20.16</v>
      </c>
      <c r="W177">
        <v>26</v>
      </c>
      <c r="X177">
        <v>-0.9900000000000001</v>
      </c>
      <c r="Y177">
        <v>31</v>
      </c>
      <c r="Z177">
        <v>28.333333333333332</v>
      </c>
      <c r="AA177">
        <v>29</v>
      </c>
      <c r="AB177">
        <v>-6.9169999999999989</v>
      </c>
      <c r="AC177">
        <v>22</v>
      </c>
      <c r="AD177">
        <v>-1.5700000000000003</v>
      </c>
      <c r="AE177">
        <v>28</v>
      </c>
      <c r="AF177">
        <v>-15.09</v>
      </c>
      <c r="AG177">
        <v>28</v>
      </c>
      <c r="AH177">
        <v>-1.47</v>
      </c>
      <c r="AI177">
        <v>11</v>
      </c>
      <c r="AJ177">
        <v>13.666666666666666</v>
      </c>
      <c r="AK177">
        <v>11</v>
      </c>
      <c r="AL177">
        <v>0.9379999999999995</v>
      </c>
      <c r="AM177">
        <v>20</v>
      </c>
      <c r="AN177">
        <v>-1.23</v>
      </c>
      <c r="AO177">
        <v>20</v>
      </c>
      <c r="AP177">
        <v>-5.07</v>
      </c>
      <c r="AQ177">
        <v>10</v>
      </c>
      <c r="AR177">
        <v>0.47999999999999987</v>
      </c>
      <c r="AS177">
        <v>13</v>
      </c>
      <c r="AT177">
        <v>13.333333333333334</v>
      </c>
      <c r="AU177">
        <v>15</v>
      </c>
      <c r="AV177">
        <v>-0.48080000000000034</v>
      </c>
      <c r="AW177">
        <v>17</v>
      </c>
      <c r="AX177">
        <v>-5.1600000000000019</v>
      </c>
      <c r="AY177">
        <v>8</v>
      </c>
      <c r="AZ177">
        <v>2.67</v>
      </c>
      <c r="BA177">
        <v>6</v>
      </c>
      <c r="BB177">
        <v>7</v>
      </c>
      <c r="BC177">
        <v>6</v>
      </c>
      <c r="BD177">
        <v>4.3121999999999998</v>
      </c>
      <c r="BE177">
        <v>5</v>
      </c>
      <c r="BF177">
        <v>15.829999999999998</v>
      </c>
      <c r="BG177">
        <v>10</v>
      </c>
      <c r="BH177">
        <v>0.71</v>
      </c>
      <c r="BI177">
        <v>11</v>
      </c>
      <c r="BJ177">
        <v>14.666666666666666</v>
      </c>
      <c r="BK177">
        <v>24</v>
      </c>
      <c r="BL177">
        <v>-2.0839999999999996</v>
      </c>
      <c r="BM177">
        <v>15</v>
      </c>
      <c r="BN177">
        <v>-1.5400000000000005</v>
      </c>
      <c r="BO177">
        <v>5</v>
      </c>
      <c r="BP177">
        <v>1.4300000000000002</v>
      </c>
      <c r="BQ177">
        <v>26</v>
      </c>
      <c r="BR177">
        <v>25.333333333333332</v>
      </c>
      <c r="BS177">
        <v>30</v>
      </c>
      <c r="BT177">
        <v>-2.7090000000000005</v>
      </c>
      <c r="BU177">
        <v>32</v>
      </c>
      <c r="BV177">
        <v>-19.45</v>
      </c>
      <c r="BW177">
        <v>14</v>
      </c>
      <c r="BX177">
        <v>0.53</v>
      </c>
      <c r="BY177">
        <v>6</v>
      </c>
      <c r="BZ177">
        <v>7.666666666666667</v>
      </c>
      <c r="CA177">
        <v>11</v>
      </c>
      <c r="CB177">
        <v>2.198999999999999</v>
      </c>
      <c r="CC177">
        <v>5</v>
      </c>
      <c r="CD177">
        <v>16.690000000000001</v>
      </c>
      <c r="CE177">
        <v>7</v>
      </c>
      <c r="CF177">
        <v>1.52</v>
      </c>
      <c r="CG177">
        <v>30</v>
      </c>
      <c r="CH177">
        <v>27.333333333333332</v>
      </c>
      <c r="CI177">
        <v>29</v>
      </c>
      <c r="CJ177">
        <v>-4.5019999999999998</v>
      </c>
      <c r="CK177">
        <v>29</v>
      </c>
      <c r="CL177">
        <v>-18.5</v>
      </c>
      <c r="CM177">
        <v>24</v>
      </c>
      <c r="CN177">
        <v>-1.1800000000000002</v>
      </c>
      <c r="CO177">
        <v>26</v>
      </c>
      <c r="CP177">
        <v>24</v>
      </c>
      <c r="CQ177">
        <v>22</v>
      </c>
      <c r="CR177">
        <v>-1.0200000000000002</v>
      </c>
      <c r="CS177">
        <v>26</v>
      </c>
      <c r="CT177">
        <v>-0.36</v>
      </c>
      <c r="CU177">
        <v>-2.06</v>
      </c>
      <c r="CV177">
        <v>3</v>
      </c>
      <c r="CW177">
        <v>8.25</v>
      </c>
      <c r="CX177">
        <v>2</v>
      </c>
      <c r="CY177">
        <v>0.10682389534736222</v>
      </c>
      <c r="CZ177">
        <v>9</v>
      </c>
      <c r="DA177">
        <v>1.2876759508007807E-2</v>
      </c>
      <c r="DB177">
        <v>20</v>
      </c>
      <c r="DC177">
        <v>3.6301587301587321E-2</v>
      </c>
      <c r="DD177">
        <v>2</v>
      </c>
      <c r="DE177">
        <v>4.2099999999999991</v>
      </c>
      <c r="DF177">
        <v>1.5899999999999992</v>
      </c>
      <c r="DG177">
        <v>-7.95</v>
      </c>
      <c r="DH177">
        <v>0.21000000000000005</v>
      </c>
      <c r="DI177">
        <v>-44.629999999999995</v>
      </c>
      <c r="DJ177">
        <v>-41.51</v>
      </c>
      <c r="DK177">
        <v>-11.6</v>
      </c>
      <c r="DL177">
        <v>2.7199999999999998</v>
      </c>
      <c r="DM177">
        <v>5.7599999999999989</v>
      </c>
      <c r="DN177">
        <v>16</v>
      </c>
      <c r="DO177">
        <v>0.92260000000000031</v>
      </c>
      <c r="DP177">
        <v>0.98165999999999976</v>
      </c>
      <c r="DQ177">
        <v>-29.909999999999997</v>
      </c>
      <c r="DR177">
        <v>17</v>
      </c>
      <c r="DS177">
        <v>-2.1297749999999995</v>
      </c>
      <c r="DT177">
        <v>1.4899999999999998</v>
      </c>
      <c r="DU177">
        <v>-2.1487499999999882E-2</v>
      </c>
      <c r="DV177">
        <v>1.1972</v>
      </c>
      <c r="DW177" t="s">
        <v>293</v>
      </c>
      <c r="DX177" t="s">
        <v>264</v>
      </c>
      <c r="DY177" t="s">
        <v>468</v>
      </c>
      <c r="DZ177">
        <v>25</v>
      </c>
      <c r="EA177">
        <v>-2.6923999999999992</v>
      </c>
      <c r="EB177">
        <v>21</v>
      </c>
      <c r="EC177">
        <v>19.25</v>
      </c>
      <c r="ED177">
        <v>17</v>
      </c>
      <c r="EE177">
        <v>-4.7999999999999599E-2</v>
      </c>
      <c r="EF177">
        <v>19</v>
      </c>
      <c r="EG177">
        <v>-0.90999999999999981</v>
      </c>
      <c r="EH177">
        <v>15</v>
      </c>
      <c r="EI177">
        <v>2.8900000000000023</v>
      </c>
      <c r="EJ177">
        <v>26</v>
      </c>
      <c r="EK177">
        <v>-1.26</v>
      </c>
      <c r="EL177">
        <v>15</v>
      </c>
      <c r="EM177">
        <v>17</v>
      </c>
      <c r="EN177">
        <v>10</v>
      </c>
      <c r="EO177">
        <v>1.579</v>
      </c>
      <c r="EP177">
        <v>16</v>
      </c>
      <c r="EQ177">
        <v>2.0000000000000285E-2</v>
      </c>
      <c r="ER177">
        <v>11</v>
      </c>
      <c r="ES177">
        <v>7.9400000000000022</v>
      </c>
      <c r="ET177">
        <v>31</v>
      </c>
      <c r="EU177">
        <v>-1.35</v>
      </c>
      <c r="EV177">
        <v>27</v>
      </c>
      <c r="EW177">
        <v>25.333333333333332</v>
      </c>
      <c r="EX177">
        <v>29</v>
      </c>
      <c r="EY177">
        <v>-1.6269999999999996</v>
      </c>
      <c r="EZ177">
        <v>23</v>
      </c>
      <c r="FA177">
        <v>-0.93</v>
      </c>
      <c r="FB177">
        <v>24</v>
      </c>
      <c r="FC177">
        <v>-5.05</v>
      </c>
      <c r="FD177">
        <v>15</v>
      </c>
      <c r="FE177">
        <v>0.09</v>
      </c>
      <c r="FF177">
        <v>22</v>
      </c>
      <c r="FG177">
        <v>19.333333333333332</v>
      </c>
      <c r="FH177">
        <v>22</v>
      </c>
      <c r="FI177">
        <v>-3.0310000000000006</v>
      </c>
      <c r="FJ177">
        <v>16</v>
      </c>
      <c r="FK177">
        <v>1.4899999999999993</v>
      </c>
      <c r="FL177">
        <v>20</v>
      </c>
      <c r="FM177">
        <v>-0.35999999999999976</v>
      </c>
      <c r="FN177">
        <v>20</v>
      </c>
      <c r="FO177">
        <v>19.666666666666668</v>
      </c>
      <c r="FP177">
        <v>22</v>
      </c>
      <c r="FQ177">
        <v>-2.7860000000000005</v>
      </c>
      <c r="FR177">
        <v>20</v>
      </c>
      <c r="FS177">
        <v>-6.3800000000000008</v>
      </c>
      <c r="FT177">
        <v>17</v>
      </c>
      <c r="FU177">
        <v>0.21999999999999992</v>
      </c>
      <c r="FV177">
        <v>20</v>
      </c>
      <c r="FW177">
        <v>20</v>
      </c>
      <c r="FX177">
        <v>21</v>
      </c>
      <c r="FY177">
        <v>-1.3430000000000004</v>
      </c>
      <c r="FZ177">
        <v>16</v>
      </c>
      <c r="GA177">
        <v>1.5700000000000003</v>
      </c>
      <c r="GB177">
        <v>23</v>
      </c>
      <c r="GC177">
        <v>-0.38999999999999985</v>
      </c>
      <c r="GD177">
        <v>8</v>
      </c>
      <c r="GE177">
        <v>11.333333333333334</v>
      </c>
      <c r="GF177">
        <v>9</v>
      </c>
      <c r="GG177">
        <v>1.0980000000000005</v>
      </c>
      <c r="GH177">
        <v>6</v>
      </c>
      <c r="GI177">
        <v>6.3</v>
      </c>
      <c r="GJ177">
        <v>19</v>
      </c>
      <c r="GK177">
        <v>-0.18999999999999986</v>
      </c>
      <c r="GL177">
        <v>20</v>
      </c>
      <c r="GM177">
        <v>19.333333333333332</v>
      </c>
      <c r="GN177">
        <v>21</v>
      </c>
      <c r="GO177">
        <v>-2.0979999999999999</v>
      </c>
      <c r="GP177">
        <v>24</v>
      </c>
      <c r="GQ177">
        <v>-12.479999999999999</v>
      </c>
      <c r="GR177">
        <v>13</v>
      </c>
      <c r="GS177">
        <v>-0.16999999999999993</v>
      </c>
      <c r="GT177">
        <v>15</v>
      </c>
      <c r="GU177">
        <v>17.666666666666668</v>
      </c>
      <c r="GV177">
        <v>26</v>
      </c>
      <c r="GW177">
        <v>-2.5100000000000002</v>
      </c>
      <c r="GX177">
        <v>15</v>
      </c>
      <c r="GY177">
        <v>0.28000000000000042</v>
      </c>
      <c r="GZ177">
        <v>12</v>
      </c>
      <c r="HA177">
        <v>0.12000000000000019</v>
      </c>
      <c r="HB177">
        <v>27</v>
      </c>
      <c r="HC177">
        <v>26.5</v>
      </c>
      <c r="HD177">
        <v>27</v>
      </c>
      <c r="HE177">
        <v>-1.64</v>
      </c>
      <c r="HF177">
        <v>26</v>
      </c>
      <c r="HG177">
        <v>-0.63</v>
      </c>
      <c r="HH177">
        <v>-2</v>
      </c>
      <c r="HI177">
        <v>11</v>
      </c>
      <c r="HJ177">
        <v>14.5</v>
      </c>
      <c r="HK177">
        <v>16</v>
      </c>
      <c r="HL177">
        <v>1.2972281323759937E-3</v>
      </c>
      <c r="HM177">
        <v>10</v>
      </c>
      <c r="HN177">
        <v>1.0403541169815608E-2</v>
      </c>
      <c r="HO177">
        <v>23</v>
      </c>
      <c r="HP177">
        <v>4.915417915417912E-2</v>
      </c>
      <c r="HQ177">
        <v>9</v>
      </c>
      <c r="HR177">
        <v>0.69999999999999984</v>
      </c>
      <c r="HS177">
        <v>-3.1900000000000004</v>
      </c>
      <c r="HT177">
        <v>-3.1100000000000003</v>
      </c>
      <c r="HU177">
        <v>-0.78</v>
      </c>
      <c r="HV177">
        <v>3.2100000000000022</v>
      </c>
      <c r="HW177">
        <v>-4.6399999999999979</v>
      </c>
      <c r="HX177">
        <v>8.86</v>
      </c>
      <c r="HY177">
        <v>-3.2899999999999991</v>
      </c>
      <c r="HZ177">
        <v>2.2800000000000002</v>
      </c>
      <c r="IA177">
        <v>20</v>
      </c>
      <c r="IB177">
        <v>-2.6443999999999996</v>
      </c>
      <c r="IC177">
        <v>-1.6226800000000001</v>
      </c>
      <c r="ID177">
        <v>-13.499999999999996</v>
      </c>
      <c r="IE177">
        <v>13</v>
      </c>
      <c r="IF177">
        <v>-1.2401749999999998</v>
      </c>
      <c r="IG177">
        <v>-0.23999999999999957</v>
      </c>
    </row>
    <row r="178" spans="1:241" x14ac:dyDescent="0.2">
      <c r="A178" s="19">
        <v>44122</v>
      </c>
      <c r="B178" s="13" t="s">
        <v>252</v>
      </c>
      <c r="C178" s="41" t="s">
        <v>294</v>
      </c>
      <c r="D178" s="14" t="s">
        <v>305</v>
      </c>
      <c r="E178">
        <v>19.5</v>
      </c>
      <c r="F178">
        <v>5.9</v>
      </c>
      <c r="G178">
        <v>6</v>
      </c>
      <c r="H178">
        <v>7.3</v>
      </c>
      <c r="I178">
        <v>10</v>
      </c>
      <c r="J178">
        <v>47</v>
      </c>
      <c r="K178" t="s">
        <v>734</v>
      </c>
      <c r="L178" t="s">
        <v>294</v>
      </c>
      <c r="M178">
        <v>19</v>
      </c>
      <c r="N178">
        <v>-0.72179999999999789</v>
      </c>
      <c r="O178">
        <v>17</v>
      </c>
      <c r="P178">
        <v>17.25</v>
      </c>
      <c r="Q178">
        <v>22</v>
      </c>
      <c r="R178">
        <v>-2.7460000000000004</v>
      </c>
      <c r="S178">
        <v>23</v>
      </c>
      <c r="T178">
        <v>-2.0599999999999996</v>
      </c>
      <c r="U178">
        <v>17</v>
      </c>
      <c r="V178">
        <v>-1.6600000000000037</v>
      </c>
      <c r="W178">
        <v>7</v>
      </c>
      <c r="X178">
        <v>0.79</v>
      </c>
      <c r="Y178">
        <v>8</v>
      </c>
      <c r="Z178">
        <v>11</v>
      </c>
      <c r="AA178">
        <v>17</v>
      </c>
      <c r="AB178">
        <v>0.43299999999999983</v>
      </c>
      <c r="AC178">
        <v>18</v>
      </c>
      <c r="AD178">
        <v>-0.77999999999999969</v>
      </c>
      <c r="AE178">
        <v>13</v>
      </c>
      <c r="AF178">
        <v>9.889999999999997</v>
      </c>
      <c r="AG178">
        <v>3</v>
      </c>
      <c r="AH178">
        <v>1.45</v>
      </c>
      <c r="AI178">
        <v>32</v>
      </c>
      <c r="AJ178">
        <v>28</v>
      </c>
      <c r="AK178">
        <v>31</v>
      </c>
      <c r="AL178">
        <v>-3.1790000000000003</v>
      </c>
      <c r="AM178">
        <v>21</v>
      </c>
      <c r="AN178">
        <v>-1.28</v>
      </c>
      <c r="AO178">
        <v>29</v>
      </c>
      <c r="AP178">
        <v>-11.55</v>
      </c>
      <c r="AQ178">
        <v>24</v>
      </c>
      <c r="AR178">
        <v>-0.65999999999999992</v>
      </c>
      <c r="AS178">
        <v>20</v>
      </c>
      <c r="AT178">
        <v>19</v>
      </c>
      <c r="AU178">
        <v>20</v>
      </c>
      <c r="AV178">
        <v>-2.1770000000000005</v>
      </c>
      <c r="AW178">
        <v>24</v>
      </c>
      <c r="AX178">
        <v>-18.060000000000002</v>
      </c>
      <c r="AY178">
        <v>13</v>
      </c>
      <c r="AZ178">
        <v>0.5</v>
      </c>
      <c r="BA178">
        <v>10</v>
      </c>
      <c r="BB178">
        <v>11</v>
      </c>
      <c r="BC178">
        <v>13</v>
      </c>
      <c r="BD178">
        <v>-0.15600000000000006</v>
      </c>
      <c r="BE178">
        <v>13</v>
      </c>
      <c r="BF178">
        <v>3.5399999999999991</v>
      </c>
      <c r="BG178">
        <v>7</v>
      </c>
      <c r="BH178">
        <v>1.0699999999999998</v>
      </c>
      <c r="BI178">
        <v>26</v>
      </c>
      <c r="BJ178">
        <v>23.666666666666668</v>
      </c>
      <c r="BK178">
        <v>19</v>
      </c>
      <c r="BL178">
        <v>-1.5020000000000002</v>
      </c>
      <c r="BM178">
        <v>28</v>
      </c>
      <c r="BN178">
        <v>-16.940000000000001</v>
      </c>
      <c r="BO178">
        <v>24</v>
      </c>
      <c r="BP178">
        <v>-0.57999999999999985</v>
      </c>
      <c r="BQ178">
        <v>19</v>
      </c>
      <c r="BR178">
        <v>19</v>
      </c>
      <c r="BS178">
        <v>18</v>
      </c>
      <c r="BT178">
        <v>-0.51900000000000013</v>
      </c>
      <c r="BU178">
        <v>21</v>
      </c>
      <c r="BV178">
        <v>-4.660000000000001</v>
      </c>
      <c r="BW178">
        <v>18</v>
      </c>
      <c r="BX178">
        <v>1.0000000000000054E-2</v>
      </c>
      <c r="BY178">
        <v>8</v>
      </c>
      <c r="BZ178">
        <v>9.3333333333333339</v>
      </c>
      <c r="CA178">
        <v>8</v>
      </c>
      <c r="CB178">
        <v>3.1589999999999998</v>
      </c>
      <c r="CC178">
        <v>16</v>
      </c>
      <c r="CD178">
        <v>-3.4099999999999993</v>
      </c>
      <c r="CE178">
        <v>4</v>
      </c>
      <c r="CF178">
        <v>2.74</v>
      </c>
      <c r="CG178">
        <v>6</v>
      </c>
      <c r="CH178">
        <v>7</v>
      </c>
      <c r="CI178">
        <v>9</v>
      </c>
      <c r="CJ178">
        <v>2.5859999999999999</v>
      </c>
      <c r="CK178">
        <v>7</v>
      </c>
      <c r="CL178">
        <v>12.520000000000001</v>
      </c>
      <c r="CM178">
        <v>5</v>
      </c>
      <c r="CN178">
        <v>1.8299999999999996</v>
      </c>
      <c r="CO178">
        <v>29</v>
      </c>
      <c r="CP178">
        <v>26</v>
      </c>
      <c r="CQ178">
        <v>27</v>
      </c>
      <c r="CR178">
        <v>-1.5200000000000002</v>
      </c>
      <c r="CS178">
        <v>25</v>
      </c>
      <c r="CT178">
        <v>-0.28999999999999998</v>
      </c>
      <c r="CU178">
        <v>-0.64999999999999991</v>
      </c>
      <c r="CV178">
        <v>9</v>
      </c>
      <c r="CW178">
        <v>12.75</v>
      </c>
      <c r="CX178">
        <v>20</v>
      </c>
      <c r="CY178">
        <v>-2.3830278451668102E-2</v>
      </c>
      <c r="CZ178">
        <v>10</v>
      </c>
      <c r="DA178">
        <v>8.5852142426352945E-3</v>
      </c>
      <c r="DB178">
        <v>16</v>
      </c>
      <c r="DC178">
        <v>1.7916843390527591E-2</v>
      </c>
      <c r="DD178">
        <v>5</v>
      </c>
      <c r="DE178">
        <v>2.4400000000000004</v>
      </c>
      <c r="DF178">
        <v>4.0400000000000009</v>
      </c>
      <c r="DG178">
        <v>-1.4699999999999995</v>
      </c>
      <c r="DH178">
        <v>0.83999999999999986</v>
      </c>
      <c r="DI178">
        <v>-5.9599999999999911</v>
      </c>
      <c r="DJ178">
        <v>0.53000000000000114</v>
      </c>
      <c r="DK178">
        <v>-7.4900000000000038</v>
      </c>
      <c r="DL178">
        <v>-4.01</v>
      </c>
      <c r="DM178">
        <v>5.0099999999999989</v>
      </c>
      <c r="DN178">
        <v>12</v>
      </c>
      <c r="DO178">
        <v>2.0242000000000027</v>
      </c>
      <c r="DP178">
        <v>1.3104400000000005</v>
      </c>
      <c r="DQ178">
        <v>8.0200000000000049</v>
      </c>
      <c r="DR178">
        <v>21</v>
      </c>
      <c r="DS178">
        <v>-0.5723499999999998</v>
      </c>
      <c r="DT178">
        <v>2.3299999999999996</v>
      </c>
      <c r="DU178">
        <v>-0.10650000000000048</v>
      </c>
      <c r="DV178">
        <v>1.4369999999999994</v>
      </c>
      <c r="DW178" t="s">
        <v>305</v>
      </c>
      <c r="DX178" t="s">
        <v>268</v>
      </c>
      <c r="DY178" t="s">
        <v>500</v>
      </c>
      <c r="DZ178">
        <v>18</v>
      </c>
      <c r="EA178">
        <v>-0.3680000000000021</v>
      </c>
      <c r="EB178">
        <v>20</v>
      </c>
      <c r="EC178">
        <v>18.75</v>
      </c>
      <c r="ED178">
        <v>23</v>
      </c>
      <c r="EE178">
        <v>-2.3879999999999999</v>
      </c>
      <c r="EF178">
        <v>22</v>
      </c>
      <c r="EG178">
        <v>-1.4799999999999993</v>
      </c>
      <c r="EH178">
        <v>28</v>
      </c>
      <c r="EI178">
        <v>-19.800000000000004</v>
      </c>
      <c r="EJ178">
        <v>2</v>
      </c>
      <c r="EK178">
        <v>1.88</v>
      </c>
      <c r="EL178">
        <v>21</v>
      </c>
      <c r="EM178">
        <v>19</v>
      </c>
      <c r="EN178">
        <v>24</v>
      </c>
      <c r="EO178">
        <v>-2.0919999999999996</v>
      </c>
      <c r="EP178">
        <v>19</v>
      </c>
      <c r="EQ178">
        <v>-0.19999999999999929</v>
      </c>
      <c r="ER178">
        <v>28</v>
      </c>
      <c r="ES178">
        <v>-13.48</v>
      </c>
      <c r="ET178">
        <v>5</v>
      </c>
      <c r="EU178">
        <v>1.2</v>
      </c>
      <c r="EV178">
        <v>25</v>
      </c>
      <c r="EW178">
        <v>23.666666666666668</v>
      </c>
      <c r="EX178">
        <v>19</v>
      </c>
      <c r="EY178">
        <v>-0.29600000000000043</v>
      </c>
      <c r="EZ178">
        <v>25</v>
      </c>
      <c r="FA178">
        <v>-1.28</v>
      </c>
      <c r="FB178">
        <v>27</v>
      </c>
      <c r="FC178">
        <v>-6.3200000000000021</v>
      </c>
      <c r="FD178">
        <v>6</v>
      </c>
      <c r="FE178">
        <v>0.67999999999999994</v>
      </c>
      <c r="FF178">
        <v>19</v>
      </c>
      <c r="FG178">
        <v>18.666666666666668</v>
      </c>
      <c r="FH178">
        <v>26</v>
      </c>
      <c r="FI178">
        <v>-4.9800000000000004</v>
      </c>
      <c r="FJ178">
        <v>19</v>
      </c>
      <c r="FK178">
        <v>-0.83999999999999986</v>
      </c>
      <c r="FL178">
        <v>11</v>
      </c>
      <c r="FM178">
        <v>0.48000000000000043</v>
      </c>
      <c r="FN178">
        <v>27</v>
      </c>
      <c r="FO178">
        <v>26.333333333333332</v>
      </c>
      <c r="FP178">
        <v>30</v>
      </c>
      <c r="FQ178">
        <v>-4.4008000000000003</v>
      </c>
      <c r="FR178">
        <v>29</v>
      </c>
      <c r="FS178">
        <v>-15.6</v>
      </c>
      <c r="FT178">
        <v>20</v>
      </c>
      <c r="FU178">
        <v>-0.19999999999999982</v>
      </c>
      <c r="FV178">
        <v>12</v>
      </c>
      <c r="FW178">
        <v>11.666666666666666</v>
      </c>
      <c r="FX178">
        <v>16</v>
      </c>
      <c r="FY178">
        <v>0.64480000000000004</v>
      </c>
      <c r="FZ178">
        <v>7</v>
      </c>
      <c r="GA178">
        <v>10.48</v>
      </c>
      <c r="GB178">
        <v>12</v>
      </c>
      <c r="GC178">
        <v>0.36000000000000015</v>
      </c>
      <c r="GD178">
        <v>14</v>
      </c>
      <c r="GE178">
        <v>14</v>
      </c>
      <c r="GF178">
        <v>23</v>
      </c>
      <c r="GG178">
        <v>-1.224</v>
      </c>
      <c r="GH178">
        <v>8</v>
      </c>
      <c r="GI178">
        <v>4.2799999999999994</v>
      </c>
      <c r="GJ178">
        <v>11</v>
      </c>
      <c r="GK178">
        <v>0.32000000000000006</v>
      </c>
      <c r="GL178">
        <v>12</v>
      </c>
      <c r="GM178">
        <v>14</v>
      </c>
      <c r="GN178">
        <v>23</v>
      </c>
      <c r="GO178">
        <v>-2.5519999999999992</v>
      </c>
      <c r="GP178">
        <v>12</v>
      </c>
      <c r="GQ178">
        <v>2.8800000000000012</v>
      </c>
      <c r="GR178">
        <v>7</v>
      </c>
      <c r="GS178">
        <v>0.60000000000000031</v>
      </c>
      <c r="GT178">
        <v>26</v>
      </c>
      <c r="GU178">
        <v>22.666666666666668</v>
      </c>
      <c r="GV178">
        <v>21</v>
      </c>
      <c r="GW178">
        <v>-1.3839999999999999</v>
      </c>
      <c r="GX178">
        <v>17</v>
      </c>
      <c r="GY178">
        <v>-0.6399999999999999</v>
      </c>
      <c r="GZ178">
        <v>30</v>
      </c>
      <c r="HA178">
        <v>-1.4</v>
      </c>
      <c r="HB178">
        <v>31</v>
      </c>
      <c r="HC178">
        <v>29</v>
      </c>
      <c r="HD178">
        <v>31</v>
      </c>
      <c r="HE178">
        <v>-4.08</v>
      </c>
      <c r="HF178">
        <v>27</v>
      </c>
      <c r="HG178">
        <v>-0.6399999999999999</v>
      </c>
      <c r="HH178">
        <v>-1.6800000000000002</v>
      </c>
      <c r="HI178">
        <v>2</v>
      </c>
      <c r="HJ178">
        <v>9.25</v>
      </c>
      <c r="HK178">
        <v>18</v>
      </c>
      <c r="HL178">
        <v>-2.4039971427737505E-3</v>
      </c>
      <c r="HM178">
        <v>13</v>
      </c>
      <c r="HN178">
        <v>5.840740063167189E-3</v>
      </c>
      <c r="HO178">
        <v>5</v>
      </c>
      <c r="HP178">
        <v>-7.2140359640359641E-2</v>
      </c>
      <c r="HQ178">
        <v>1</v>
      </c>
      <c r="HR178">
        <v>6.839999999999999</v>
      </c>
      <c r="HS178">
        <v>1.7600000000000009</v>
      </c>
      <c r="HT178">
        <v>-8.4</v>
      </c>
      <c r="HU178">
        <v>-0.64</v>
      </c>
      <c r="HV178">
        <v>-3.9600000000000022</v>
      </c>
      <c r="HW178">
        <v>19</v>
      </c>
      <c r="HX178">
        <v>-19.36</v>
      </c>
      <c r="HY178">
        <v>-0.72</v>
      </c>
      <c r="HZ178">
        <v>-2.8800000000000003</v>
      </c>
      <c r="IA178">
        <v>13</v>
      </c>
      <c r="IB178">
        <v>2.0199999999999978</v>
      </c>
      <c r="IC178">
        <v>-0.15240000000000054</v>
      </c>
      <c r="ID178">
        <v>38.36</v>
      </c>
      <c r="IE178">
        <v>20</v>
      </c>
      <c r="IF178">
        <v>-1.6500000000000004</v>
      </c>
      <c r="IG178">
        <v>-0.91999999999999948</v>
      </c>
    </row>
    <row r="179" spans="1:241" x14ac:dyDescent="0.2">
      <c r="A179" s="19">
        <v>44122</v>
      </c>
      <c r="B179" s="13" t="s">
        <v>252</v>
      </c>
      <c r="C179" s="41" t="s">
        <v>309</v>
      </c>
      <c r="D179" s="14" t="s">
        <v>281</v>
      </c>
      <c r="E179">
        <v>18.100000000000001</v>
      </c>
      <c r="F179">
        <v>16.8</v>
      </c>
      <c r="G179">
        <v>2.6</v>
      </c>
      <c r="H179">
        <v>2.9</v>
      </c>
      <c r="I179">
        <v>-3</v>
      </c>
      <c r="J179">
        <v>50.5</v>
      </c>
      <c r="L179" t="s">
        <v>309</v>
      </c>
      <c r="M179">
        <v>9</v>
      </c>
      <c r="N179">
        <v>1.6634999999999991</v>
      </c>
      <c r="O179">
        <v>14</v>
      </c>
      <c r="P179">
        <v>14</v>
      </c>
      <c r="Q179">
        <v>14</v>
      </c>
      <c r="R179">
        <v>0.52124999999999977</v>
      </c>
      <c r="S179">
        <v>16</v>
      </c>
      <c r="T179">
        <v>-0.39999999999999991</v>
      </c>
      <c r="U179">
        <v>5</v>
      </c>
      <c r="V179">
        <v>17.700000000000003</v>
      </c>
      <c r="W179">
        <v>21</v>
      </c>
      <c r="X179">
        <v>-0.33749999999999997</v>
      </c>
      <c r="Y179">
        <v>10</v>
      </c>
      <c r="Z179">
        <v>11.333333333333334</v>
      </c>
      <c r="AA179">
        <v>9</v>
      </c>
      <c r="AB179">
        <v>2.7737500000000002</v>
      </c>
      <c r="AC179">
        <v>12</v>
      </c>
      <c r="AD179">
        <v>0.23750000000000027</v>
      </c>
      <c r="AE179">
        <v>4</v>
      </c>
      <c r="AF179">
        <v>19.037500000000001</v>
      </c>
      <c r="AG179">
        <v>21</v>
      </c>
      <c r="AH179">
        <v>-0.58750000000000002</v>
      </c>
      <c r="AI179">
        <v>16</v>
      </c>
      <c r="AJ179">
        <v>17.333333333333332</v>
      </c>
      <c r="AK179">
        <v>26</v>
      </c>
      <c r="AL179">
        <v>-2.2525000000000004</v>
      </c>
      <c r="AM179">
        <v>16</v>
      </c>
      <c r="AN179">
        <v>-0.63750000000000018</v>
      </c>
      <c r="AO179">
        <v>14</v>
      </c>
      <c r="AP179">
        <v>-1.3375000000000004</v>
      </c>
      <c r="AQ179">
        <v>12</v>
      </c>
      <c r="AR179">
        <v>0.25000000000000006</v>
      </c>
      <c r="AS179">
        <v>9</v>
      </c>
      <c r="AT179">
        <v>10.333333333333334</v>
      </c>
      <c r="AU179">
        <v>5</v>
      </c>
      <c r="AV179">
        <v>7.6030000000000015</v>
      </c>
      <c r="AW179">
        <v>12</v>
      </c>
      <c r="AX179">
        <v>4.9000000000000021</v>
      </c>
      <c r="AY179">
        <v>14</v>
      </c>
      <c r="AZ179">
        <v>0.3875000000000004</v>
      </c>
      <c r="BA179">
        <v>5</v>
      </c>
      <c r="BB179">
        <v>5.333333333333333</v>
      </c>
      <c r="BC179">
        <v>1</v>
      </c>
      <c r="BD179">
        <v>10.026250000000001</v>
      </c>
      <c r="BE179">
        <v>7</v>
      </c>
      <c r="BF179">
        <v>14.987500000000001</v>
      </c>
      <c r="BG179">
        <v>8</v>
      </c>
      <c r="BH179">
        <v>0.98750000000000027</v>
      </c>
      <c r="BI179">
        <v>19</v>
      </c>
      <c r="BJ179">
        <v>18.666666666666668</v>
      </c>
      <c r="BK179">
        <v>25</v>
      </c>
      <c r="BL179">
        <v>-2.504999999999999</v>
      </c>
      <c r="BM179">
        <v>22</v>
      </c>
      <c r="BN179">
        <v>-12.424999999999999</v>
      </c>
      <c r="BO179">
        <v>9</v>
      </c>
      <c r="BP179">
        <v>0.98750000000000004</v>
      </c>
      <c r="BQ179">
        <v>18</v>
      </c>
      <c r="BR179">
        <v>18.333333333333332</v>
      </c>
      <c r="BS179">
        <v>13</v>
      </c>
      <c r="BT179">
        <v>8.1749999999999545E-2</v>
      </c>
      <c r="BU179">
        <v>13</v>
      </c>
      <c r="BV179">
        <v>2.3375000000000004</v>
      </c>
      <c r="BW179">
        <v>29</v>
      </c>
      <c r="BX179">
        <v>-1.5874999999999999</v>
      </c>
      <c r="BY179">
        <v>20</v>
      </c>
      <c r="BZ179">
        <v>19</v>
      </c>
      <c r="CA179">
        <v>10</v>
      </c>
      <c r="CB179">
        <v>2.6137499999999987</v>
      </c>
      <c r="CC179">
        <v>22</v>
      </c>
      <c r="CD179">
        <v>-13.487500000000001</v>
      </c>
      <c r="CE179">
        <v>25</v>
      </c>
      <c r="CF179">
        <v>-1.1999999999999997</v>
      </c>
      <c r="CG179">
        <v>16</v>
      </c>
      <c r="CH179">
        <v>17.333333333333332</v>
      </c>
      <c r="CI179">
        <v>22</v>
      </c>
      <c r="CJ179">
        <v>-1.3425000000000002</v>
      </c>
      <c r="CK179">
        <v>15</v>
      </c>
      <c r="CL179">
        <v>1.4750000000000005</v>
      </c>
      <c r="CM179">
        <v>15</v>
      </c>
      <c r="CN179">
        <v>-0.22500000000000009</v>
      </c>
      <c r="CO179">
        <v>28</v>
      </c>
      <c r="CP179">
        <v>25</v>
      </c>
      <c r="CQ179">
        <v>19</v>
      </c>
      <c r="CR179">
        <v>-0.32499999999999996</v>
      </c>
      <c r="CS179">
        <v>31</v>
      </c>
      <c r="CT179">
        <v>-0.85</v>
      </c>
      <c r="CU179">
        <v>-0.22500000000000009</v>
      </c>
      <c r="CV179">
        <v>32</v>
      </c>
      <c r="CW179">
        <v>30</v>
      </c>
      <c r="CX179">
        <v>32</v>
      </c>
      <c r="CY179">
        <v>-7.4651622806064313E-2</v>
      </c>
      <c r="CZ179">
        <v>32</v>
      </c>
      <c r="DA179">
        <v>-2.9230843049474892E-2</v>
      </c>
      <c r="DB179">
        <v>29</v>
      </c>
      <c r="DC179">
        <v>9.2738095238095203E-2</v>
      </c>
      <c r="DD179">
        <v>27</v>
      </c>
      <c r="DE179">
        <v>-2.5375000000000001</v>
      </c>
      <c r="DF179">
        <v>-0.46249999999999858</v>
      </c>
      <c r="DG179">
        <v>3.3624999999999998</v>
      </c>
      <c r="DH179">
        <v>-0.88749999999999996</v>
      </c>
      <c r="DI179">
        <v>9.4124999999999943</v>
      </c>
      <c r="DJ179">
        <v>-4.2875000000000014</v>
      </c>
      <c r="DK179">
        <v>16.100000000000001</v>
      </c>
      <c r="DL179">
        <v>9.6000000000000014</v>
      </c>
      <c r="DM179">
        <v>-12</v>
      </c>
      <c r="DN179">
        <v>14</v>
      </c>
      <c r="DO179">
        <v>1.1422499999999993</v>
      </c>
      <c r="DP179">
        <v>1.3241750000000001</v>
      </c>
      <c r="DQ179">
        <v>-20.387500000000003</v>
      </c>
      <c r="DR179">
        <v>19</v>
      </c>
      <c r="DS179">
        <v>1.0150312499999998</v>
      </c>
      <c r="DT179">
        <v>0.16250000000000031</v>
      </c>
      <c r="DU179">
        <v>1.3101374999999997</v>
      </c>
      <c r="DV179">
        <v>0.5968749999999996</v>
      </c>
      <c r="DW179" t="s">
        <v>281</v>
      </c>
      <c r="DX179" t="s">
        <v>266</v>
      </c>
      <c r="DY179" t="s">
        <v>498</v>
      </c>
      <c r="DZ179">
        <v>3</v>
      </c>
      <c r="EA179">
        <v>4.3528000000000002</v>
      </c>
      <c r="EB179">
        <v>25</v>
      </c>
      <c r="EC179">
        <v>22</v>
      </c>
      <c r="ED179">
        <v>20</v>
      </c>
      <c r="EE179">
        <v>-0.66400000000000015</v>
      </c>
      <c r="EF179">
        <v>29</v>
      </c>
      <c r="EG179">
        <v>-3.6</v>
      </c>
      <c r="EH179">
        <v>26</v>
      </c>
      <c r="EI179">
        <v>-18.36</v>
      </c>
      <c r="EJ179">
        <v>13</v>
      </c>
      <c r="EK179">
        <v>0.47999999999999993</v>
      </c>
      <c r="EL179">
        <v>29</v>
      </c>
      <c r="EM179">
        <v>24</v>
      </c>
      <c r="EN179">
        <v>26</v>
      </c>
      <c r="EO179">
        <v>-2.7679999999999998</v>
      </c>
      <c r="EP179">
        <v>29</v>
      </c>
      <c r="EQ179">
        <v>-3.12</v>
      </c>
      <c r="ER179">
        <v>26</v>
      </c>
      <c r="ES179">
        <v>-11.48</v>
      </c>
      <c r="ET179">
        <v>15</v>
      </c>
      <c r="EU179">
        <v>3.9999999999999994E-2</v>
      </c>
      <c r="EV179">
        <v>21</v>
      </c>
      <c r="EW179">
        <v>17</v>
      </c>
      <c r="EX179">
        <v>3</v>
      </c>
      <c r="EY179">
        <v>2.1039999999999996</v>
      </c>
      <c r="EZ179">
        <v>20</v>
      </c>
      <c r="FA179">
        <v>-0.47999999999999987</v>
      </c>
      <c r="FB179">
        <v>28</v>
      </c>
      <c r="FC179">
        <v>-6.8800000000000008</v>
      </c>
      <c r="FD179">
        <v>8</v>
      </c>
      <c r="FE179">
        <v>0.43999999999999995</v>
      </c>
      <c r="FF179">
        <v>4</v>
      </c>
      <c r="FG179">
        <v>4.333333333333333</v>
      </c>
      <c r="FH179">
        <v>5</v>
      </c>
      <c r="FI179">
        <v>8.1224000000000007</v>
      </c>
      <c r="FJ179">
        <v>4</v>
      </c>
      <c r="FK179">
        <v>22.84</v>
      </c>
      <c r="FL179">
        <v>4</v>
      </c>
      <c r="FM179">
        <v>2.3199999999999998</v>
      </c>
      <c r="FN179">
        <v>3</v>
      </c>
      <c r="FO179">
        <v>4.333333333333333</v>
      </c>
      <c r="FP179">
        <v>4</v>
      </c>
      <c r="FQ179">
        <v>5.5400000000000009</v>
      </c>
      <c r="FR179">
        <v>3</v>
      </c>
      <c r="FS179">
        <v>21.04</v>
      </c>
      <c r="FT179">
        <v>6</v>
      </c>
      <c r="FU179">
        <v>1.1599999999999999</v>
      </c>
      <c r="FV179">
        <v>13</v>
      </c>
      <c r="FW179">
        <v>12.333333333333334</v>
      </c>
      <c r="FX179">
        <v>7</v>
      </c>
      <c r="FY179">
        <v>3.0360000000000005</v>
      </c>
      <c r="FZ179">
        <v>22</v>
      </c>
      <c r="GA179">
        <v>-2.160000000000001</v>
      </c>
      <c r="GB179">
        <v>8</v>
      </c>
      <c r="GC179">
        <v>0.59999999999999987</v>
      </c>
      <c r="GD179">
        <v>10</v>
      </c>
      <c r="GE179">
        <v>12</v>
      </c>
      <c r="GF179">
        <v>18</v>
      </c>
      <c r="GG179">
        <v>-0.45359999999999967</v>
      </c>
      <c r="GH179">
        <v>9</v>
      </c>
      <c r="GI179">
        <v>3.9599999999999995</v>
      </c>
      <c r="GJ179">
        <v>9</v>
      </c>
      <c r="GK179">
        <v>0.55999999999999994</v>
      </c>
      <c r="GL179">
        <v>1</v>
      </c>
      <c r="GM179">
        <v>1</v>
      </c>
      <c r="GN179">
        <v>1</v>
      </c>
      <c r="GO179">
        <v>13.187999999999999</v>
      </c>
      <c r="GP179">
        <v>1</v>
      </c>
      <c r="GQ179">
        <v>49.879999999999995</v>
      </c>
      <c r="GR179">
        <v>1</v>
      </c>
      <c r="GS179">
        <v>4.5599999999999996</v>
      </c>
      <c r="GT179">
        <v>2</v>
      </c>
      <c r="GU179">
        <v>3</v>
      </c>
      <c r="GV179">
        <v>3</v>
      </c>
      <c r="GW179">
        <v>5.895999999999999</v>
      </c>
      <c r="GX179">
        <v>5</v>
      </c>
      <c r="GY179">
        <v>15.760000000000002</v>
      </c>
      <c r="GZ179">
        <v>1</v>
      </c>
      <c r="HA179">
        <v>2.7600000000000002</v>
      </c>
      <c r="HB179">
        <v>29</v>
      </c>
      <c r="HC179">
        <v>28</v>
      </c>
      <c r="HD179">
        <v>24</v>
      </c>
      <c r="HE179">
        <v>-1.52</v>
      </c>
      <c r="HF179">
        <v>32</v>
      </c>
      <c r="HG179">
        <v>-0.88000000000000012</v>
      </c>
      <c r="HH179">
        <v>-2.7600000000000002</v>
      </c>
      <c r="HI179">
        <v>20</v>
      </c>
      <c r="HJ179">
        <v>18.75</v>
      </c>
      <c r="HK179">
        <v>17</v>
      </c>
      <c r="HL179">
        <v>-2.0668770480358478E-3</v>
      </c>
      <c r="HM179">
        <v>25</v>
      </c>
      <c r="HN179">
        <v>-1.5408300420698587E-2</v>
      </c>
      <c r="HO179">
        <v>22</v>
      </c>
      <c r="HP179">
        <v>3.7912087912087868E-2</v>
      </c>
      <c r="HQ179">
        <v>11</v>
      </c>
      <c r="HR179">
        <v>0.31999999999999984</v>
      </c>
      <c r="HS179">
        <v>1.6000000000000014</v>
      </c>
      <c r="HT179">
        <v>5.36</v>
      </c>
      <c r="HU179">
        <v>-0.6399999999999999</v>
      </c>
      <c r="HV179">
        <v>27.840000000000011</v>
      </c>
      <c r="HW179">
        <v>52.879999999999995</v>
      </c>
      <c r="HX179">
        <v>-23.56</v>
      </c>
      <c r="HY179">
        <v>1.5599999999999998</v>
      </c>
      <c r="HZ179">
        <v>-3.04</v>
      </c>
      <c r="IA179">
        <v>6</v>
      </c>
      <c r="IB179">
        <v>5.0167999999999999</v>
      </c>
      <c r="IC179">
        <v>4.00624</v>
      </c>
      <c r="ID179">
        <v>76.44</v>
      </c>
      <c r="IE179">
        <v>27</v>
      </c>
      <c r="IF179">
        <v>2.0234000000000001</v>
      </c>
      <c r="IG179">
        <v>5.08</v>
      </c>
    </row>
    <row r="180" spans="1:241" x14ac:dyDescent="0.2">
      <c r="A180" s="19">
        <v>44122</v>
      </c>
      <c r="B180" s="14" t="s">
        <v>252</v>
      </c>
      <c r="C180" s="40" t="s">
        <v>256</v>
      </c>
      <c r="D180" s="13" t="s">
        <v>304</v>
      </c>
      <c r="E180">
        <v>18</v>
      </c>
      <c r="F180">
        <v>9.1999999999999993</v>
      </c>
      <c r="G180">
        <v>6.4</v>
      </c>
      <c r="H180">
        <v>26.9</v>
      </c>
      <c r="I180">
        <v>2</v>
      </c>
      <c r="J180">
        <v>51</v>
      </c>
      <c r="L180" t="s">
        <v>256</v>
      </c>
      <c r="M180">
        <v>27</v>
      </c>
      <c r="N180">
        <v>-4.0856000000000003</v>
      </c>
      <c r="O180">
        <v>9</v>
      </c>
      <c r="P180">
        <v>12.25</v>
      </c>
      <c r="Q180">
        <v>6</v>
      </c>
      <c r="R180">
        <v>4.8119999999999994</v>
      </c>
      <c r="S180">
        <v>20</v>
      </c>
      <c r="T180">
        <v>-1.1599999999999999</v>
      </c>
      <c r="U180">
        <v>19</v>
      </c>
      <c r="V180">
        <v>-3.4799999999999995</v>
      </c>
      <c r="W180">
        <v>4</v>
      </c>
      <c r="X180">
        <v>1.6</v>
      </c>
      <c r="Y180">
        <v>5</v>
      </c>
      <c r="Z180">
        <v>9</v>
      </c>
      <c r="AA180">
        <v>8</v>
      </c>
      <c r="AB180">
        <v>2.9080000000000004</v>
      </c>
      <c r="AC180">
        <v>25</v>
      </c>
      <c r="AD180">
        <v>-2</v>
      </c>
      <c r="AE180">
        <v>15</v>
      </c>
      <c r="AF180">
        <v>1.8000000000000014</v>
      </c>
      <c r="AG180">
        <v>4</v>
      </c>
      <c r="AH180">
        <v>1.44</v>
      </c>
      <c r="AI180">
        <v>11</v>
      </c>
      <c r="AJ180">
        <v>13.666666666666666</v>
      </c>
      <c r="AK180">
        <v>6</v>
      </c>
      <c r="AL180">
        <v>1.9039999999999995</v>
      </c>
      <c r="AM180">
        <v>9</v>
      </c>
      <c r="AN180">
        <v>0.84000000000000008</v>
      </c>
      <c r="AO180">
        <v>22</v>
      </c>
      <c r="AP180">
        <v>-5.2800000000000011</v>
      </c>
      <c r="AQ180">
        <v>13</v>
      </c>
      <c r="AR180">
        <v>0.16000000000000006</v>
      </c>
      <c r="AS180">
        <v>32</v>
      </c>
      <c r="AT180">
        <v>31.333333333333332</v>
      </c>
      <c r="AU180">
        <v>31</v>
      </c>
      <c r="AV180">
        <v>-12.253599999999999</v>
      </c>
      <c r="AW180">
        <v>32</v>
      </c>
      <c r="AX180">
        <v>-57.24</v>
      </c>
      <c r="AY180">
        <v>31</v>
      </c>
      <c r="AZ180">
        <v>-3.8799999999999994</v>
      </c>
      <c r="BA180">
        <v>29</v>
      </c>
      <c r="BB180">
        <v>28.333333333333332</v>
      </c>
      <c r="BC180">
        <v>30</v>
      </c>
      <c r="BD180">
        <v>-5.6079999999999997</v>
      </c>
      <c r="BE180">
        <v>31</v>
      </c>
      <c r="BF180">
        <v>-25.080000000000002</v>
      </c>
      <c r="BG180">
        <v>24</v>
      </c>
      <c r="BH180">
        <v>-1.1999999999999997</v>
      </c>
      <c r="BI180">
        <v>31</v>
      </c>
      <c r="BJ180">
        <v>28</v>
      </c>
      <c r="BK180">
        <v>28</v>
      </c>
      <c r="BL180">
        <v>-4.1639999999999997</v>
      </c>
      <c r="BM180">
        <v>31</v>
      </c>
      <c r="BN180">
        <v>-20.559999999999995</v>
      </c>
      <c r="BO180">
        <v>25</v>
      </c>
      <c r="BP180">
        <v>-1.3599999999999999</v>
      </c>
      <c r="BQ180">
        <v>30</v>
      </c>
      <c r="BR180">
        <v>26.666666666666668</v>
      </c>
      <c r="BS180">
        <v>29</v>
      </c>
      <c r="BT180">
        <v>-2.4816000000000003</v>
      </c>
      <c r="BU180">
        <v>27</v>
      </c>
      <c r="BV180">
        <v>-11.6</v>
      </c>
      <c r="BW180">
        <v>24</v>
      </c>
      <c r="BX180">
        <v>-1.3199999999999998</v>
      </c>
      <c r="BY180">
        <v>12</v>
      </c>
      <c r="BZ180">
        <v>13.333333333333334</v>
      </c>
      <c r="CA180">
        <v>13</v>
      </c>
      <c r="CB180">
        <v>0.97199999999999953</v>
      </c>
      <c r="CC180">
        <v>11</v>
      </c>
      <c r="CD180">
        <v>9.3200000000000021</v>
      </c>
      <c r="CE180">
        <v>16</v>
      </c>
      <c r="CF180">
        <v>-0.16000000000000014</v>
      </c>
      <c r="CG180">
        <v>2</v>
      </c>
      <c r="CH180">
        <v>2</v>
      </c>
      <c r="CI180">
        <v>2</v>
      </c>
      <c r="CJ180">
        <v>8.4920000000000009</v>
      </c>
      <c r="CK180">
        <v>2</v>
      </c>
      <c r="CL180">
        <v>32.600000000000009</v>
      </c>
      <c r="CM180">
        <v>2</v>
      </c>
      <c r="CN180">
        <v>3.56</v>
      </c>
      <c r="CO180">
        <v>21</v>
      </c>
      <c r="CP180">
        <v>22</v>
      </c>
      <c r="CQ180">
        <v>20</v>
      </c>
      <c r="CR180">
        <v>-0.36000000000000015</v>
      </c>
      <c r="CS180">
        <v>24</v>
      </c>
      <c r="CT180">
        <v>-0.28000000000000003</v>
      </c>
      <c r="CU180">
        <v>-2.4800000000000004</v>
      </c>
      <c r="CV180">
        <v>7</v>
      </c>
      <c r="CW180">
        <v>10</v>
      </c>
      <c r="CX180">
        <v>7</v>
      </c>
      <c r="CY180">
        <v>4.7355545070397131E-2</v>
      </c>
      <c r="CZ180">
        <v>4</v>
      </c>
      <c r="DA180">
        <v>2.5800125245570162E-2</v>
      </c>
      <c r="DB180">
        <v>23</v>
      </c>
      <c r="DC180">
        <v>5.2747474747474724E-2</v>
      </c>
      <c r="DD180">
        <v>6</v>
      </c>
      <c r="DE180">
        <v>2.12</v>
      </c>
      <c r="DF180">
        <v>-0.52000000000000024</v>
      </c>
      <c r="DG180">
        <v>-0.43999999999999984</v>
      </c>
      <c r="DH180">
        <v>-0.91999999999999993</v>
      </c>
      <c r="DI180">
        <v>6.9199999999999928</v>
      </c>
      <c r="DJ180">
        <v>1.0800000000000012</v>
      </c>
      <c r="DK180">
        <v>11.559999999999999</v>
      </c>
      <c r="DL180">
        <v>6.2</v>
      </c>
      <c r="DM180">
        <v>-11.919999999999998</v>
      </c>
      <c r="DN180">
        <v>27</v>
      </c>
      <c r="DO180">
        <v>-8.8976000000000006</v>
      </c>
      <c r="DP180">
        <v>-3.975439999999999</v>
      </c>
      <c r="DQ180">
        <v>-10.479999999999997</v>
      </c>
      <c r="DR180">
        <v>6</v>
      </c>
      <c r="DS180">
        <v>-0.4244</v>
      </c>
      <c r="DT180">
        <v>-0.3199999999999994</v>
      </c>
      <c r="DU180">
        <v>-0.84400000000000031</v>
      </c>
      <c r="DV180">
        <v>-7.330000000000042E-2</v>
      </c>
      <c r="DW180" t="s">
        <v>304</v>
      </c>
      <c r="DX180" t="s">
        <v>251</v>
      </c>
      <c r="DY180" t="s">
        <v>456</v>
      </c>
      <c r="DZ180">
        <v>26</v>
      </c>
      <c r="EA180">
        <v>-3.1679999999999997</v>
      </c>
      <c r="EB180">
        <v>5</v>
      </c>
      <c r="EC180">
        <v>10.25</v>
      </c>
      <c r="ED180">
        <v>10</v>
      </c>
      <c r="EE180">
        <v>2.8079999999999994</v>
      </c>
      <c r="EF180">
        <v>13</v>
      </c>
      <c r="EG180">
        <v>1.08</v>
      </c>
      <c r="EH180">
        <v>10</v>
      </c>
      <c r="EI180">
        <v>14.359999999999998</v>
      </c>
      <c r="EJ180">
        <v>8</v>
      </c>
      <c r="EK180">
        <v>1.0399999999999998</v>
      </c>
      <c r="EL180">
        <v>4</v>
      </c>
      <c r="EM180">
        <v>8.25</v>
      </c>
      <c r="EN180">
        <v>8</v>
      </c>
      <c r="EO180">
        <v>1.9199999999999988</v>
      </c>
      <c r="EP180">
        <v>7</v>
      </c>
      <c r="EQ180">
        <v>1.8800000000000001</v>
      </c>
      <c r="ER180">
        <v>6</v>
      </c>
      <c r="ES180">
        <v>13.319999999999999</v>
      </c>
      <c r="ET180">
        <v>12</v>
      </c>
      <c r="EU180">
        <v>0.27999999999999992</v>
      </c>
      <c r="EV180">
        <v>12</v>
      </c>
      <c r="EW180">
        <v>14.666666666666666</v>
      </c>
      <c r="EX180">
        <v>10</v>
      </c>
      <c r="EY180">
        <v>0.88800000000000046</v>
      </c>
      <c r="EZ180">
        <v>22</v>
      </c>
      <c r="FA180">
        <v>-0.8</v>
      </c>
      <c r="FB180">
        <v>12</v>
      </c>
      <c r="FC180">
        <v>1.0399999999999991</v>
      </c>
      <c r="FD180">
        <v>5</v>
      </c>
      <c r="FE180">
        <v>0.7599999999999999</v>
      </c>
      <c r="FF180">
        <v>32</v>
      </c>
      <c r="FG180">
        <v>31.666666666666668</v>
      </c>
      <c r="FH180">
        <v>32</v>
      </c>
      <c r="FI180">
        <v>-11.1496</v>
      </c>
      <c r="FJ180">
        <v>32</v>
      </c>
      <c r="FK180">
        <v>-41.359999999999992</v>
      </c>
      <c r="FL180">
        <v>31</v>
      </c>
      <c r="FM180">
        <v>-3.5199999999999996</v>
      </c>
      <c r="FN180">
        <v>31</v>
      </c>
      <c r="FO180">
        <v>29.333333333333332</v>
      </c>
      <c r="FP180">
        <v>32</v>
      </c>
      <c r="FQ180">
        <v>-6.0879999999999992</v>
      </c>
      <c r="FR180">
        <v>32</v>
      </c>
      <c r="FS180">
        <v>-29.079999999999995</v>
      </c>
      <c r="FT180">
        <v>24</v>
      </c>
      <c r="FU180">
        <v>-0.95999999999999974</v>
      </c>
      <c r="FV180">
        <v>28</v>
      </c>
      <c r="FW180">
        <v>28.333333333333332</v>
      </c>
      <c r="FX180">
        <v>28</v>
      </c>
      <c r="FY180">
        <v>-3.5480000000000005</v>
      </c>
      <c r="FZ180">
        <v>28</v>
      </c>
      <c r="GA180">
        <v>-12.24</v>
      </c>
      <c r="GB180">
        <v>29</v>
      </c>
      <c r="GC180">
        <v>-1.0799999999999998</v>
      </c>
      <c r="GD180">
        <v>27</v>
      </c>
      <c r="GE180">
        <v>23.333333333333332</v>
      </c>
      <c r="GF180">
        <v>25</v>
      </c>
      <c r="GG180">
        <v>-1.5135999999999998</v>
      </c>
      <c r="GH180">
        <v>15</v>
      </c>
      <c r="GI180">
        <v>-4.000000000000057E-2</v>
      </c>
      <c r="GJ180">
        <v>30</v>
      </c>
      <c r="GK180">
        <v>-1.4800000000000002</v>
      </c>
      <c r="GL180">
        <v>32</v>
      </c>
      <c r="GM180">
        <v>31.333333333333332</v>
      </c>
      <c r="GN180">
        <v>32</v>
      </c>
      <c r="GO180">
        <v>-6.5039999999999996</v>
      </c>
      <c r="GP180">
        <v>30</v>
      </c>
      <c r="GQ180">
        <v>-20.240000000000002</v>
      </c>
      <c r="GR180">
        <v>32</v>
      </c>
      <c r="GS180">
        <v>-2.16</v>
      </c>
      <c r="GT180">
        <v>20</v>
      </c>
      <c r="GU180">
        <v>19.333333333333332</v>
      </c>
      <c r="GV180">
        <v>15</v>
      </c>
      <c r="GW180">
        <v>-0.44800000000000073</v>
      </c>
      <c r="GX180">
        <v>27</v>
      </c>
      <c r="GY180">
        <v>-10.76</v>
      </c>
      <c r="GZ180">
        <v>16</v>
      </c>
      <c r="HA180">
        <v>3.9999999999999772E-2</v>
      </c>
      <c r="HB180">
        <v>19</v>
      </c>
      <c r="HC180">
        <v>20</v>
      </c>
      <c r="HD180">
        <v>22</v>
      </c>
      <c r="HE180">
        <v>-0.96000000000000019</v>
      </c>
      <c r="HF180">
        <v>18</v>
      </c>
      <c r="HG180">
        <v>-0.19999999999999996</v>
      </c>
      <c r="HH180">
        <v>-0.96000000000000019</v>
      </c>
      <c r="HI180">
        <v>8</v>
      </c>
      <c r="HJ180">
        <v>11</v>
      </c>
      <c r="HK180">
        <v>8</v>
      </c>
      <c r="HL180">
        <v>1.9602086655718359E-2</v>
      </c>
      <c r="HM180">
        <v>3</v>
      </c>
      <c r="HN180">
        <v>2.6467625308963072E-2</v>
      </c>
      <c r="HO180">
        <v>19</v>
      </c>
      <c r="HP180">
        <v>1.7614163614163625E-2</v>
      </c>
      <c r="HQ180">
        <v>14</v>
      </c>
      <c r="HR180">
        <v>-0.12000000000000029</v>
      </c>
      <c r="HS180">
        <v>-3.3999999999999986</v>
      </c>
      <c r="HT180">
        <v>-4.5600000000000005</v>
      </c>
      <c r="HU180">
        <v>-0.83999999999999986</v>
      </c>
      <c r="HV180">
        <v>-39.159999999999989</v>
      </c>
      <c r="HW180">
        <v>-53.79999999999999</v>
      </c>
      <c r="HX180">
        <v>16.760000000000002</v>
      </c>
      <c r="HY180">
        <v>-1.52</v>
      </c>
      <c r="HZ180">
        <v>-0.60000000000000075</v>
      </c>
      <c r="IA180">
        <v>29</v>
      </c>
      <c r="IB180">
        <v>-5.9759999999999991</v>
      </c>
      <c r="IC180">
        <v>-4.3571199999999992</v>
      </c>
      <c r="ID180">
        <v>-70.559999999999988</v>
      </c>
      <c r="IE180">
        <v>4</v>
      </c>
      <c r="IF180">
        <v>-1.6147000000000002</v>
      </c>
      <c r="IG180">
        <v>-3.48</v>
      </c>
    </row>
    <row r="181" spans="1:241" x14ac:dyDescent="0.2">
      <c r="A181" s="19">
        <v>44122</v>
      </c>
      <c r="B181" s="13" t="s">
        <v>252</v>
      </c>
      <c r="C181" s="41" t="s">
        <v>284</v>
      </c>
      <c r="D181" s="14" t="s">
        <v>300</v>
      </c>
      <c r="E181">
        <v>2</v>
      </c>
      <c r="F181">
        <v>9.8000000000000007</v>
      </c>
      <c r="G181">
        <v>7.7</v>
      </c>
      <c r="H181">
        <v>18.8</v>
      </c>
      <c r="I181">
        <v>2.5</v>
      </c>
      <c r="J181">
        <v>54.5</v>
      </c>
      <c r="L181" t="s">
        <v>284</v>
      </c>
      <c r="M181">
        <v>10</v>
      </c>
      <c r="N181">
        <v>1.0556000000000001</v>
      </c>
      <c r="O181">
        <v>9</v>
      </c>
      <c r="P181">
        <v>12.25</v>
      </c>
      <c r="Q181">
        <v>13</v>
      </c>
      <c r="R181">
        <v>0.78099999999999992</v>
      </c>
      <c r="S181">
        <v>14</v>
      </c>
      <c r="T181">
        <v>0.28000000000000042</v>
      </c>
      <c r="U181">
        <v>13</v>
      </c>
      <c r="V181">
        <v>7.879999999999999</v>
      </c>
      <c r="W181">
        <v>9</v>
      </c>
      <c r="X181">
        <v>0.56999999999999995</v>
      </c>
      <c r="Y181">
        <v>8</v>
      </c>
      <c r="Z181">
        <v>11</v>
      </c>
      <c r="AA181">
        <v>14</v>
      </c>
      <c r="AB181">
        <v>1.2309999999999999</v>
      </c>
      <c r="AC181">
        <v>14</v>
      </c>
      <c r="AD181">
        <v>-0.12999999999999973</v>
      </c>
      <c r="AE181">
        <v>7</v>
      </c>
      <c r="AF181">
        <v>15.87</v>
      </c>
      <c r="AG181">
        <v>12</v>
      </c>
      <c r="AH181">
        <v>0.69</v>
      </c>
      <c r="AI181">
        <v>21</v>
      </c>
      <c r="AJ181">
        <v>19.666666666666668</v>
      </c>
      <c r="AK181">
        <v>18</v>
      </c>
      <c r="AL181">
        <v>-0.4499999999999999</v>
      </c>
      <c r="AM181">
        <v>13</v>
      </c>
      <c r="AN181">
        <v>0.41000000000000014</v>
      </c>
      <c r="AO181">
        <v>25</v>
      </c>
      <c r="AP181">
        <v>-7.99</v>
      </c>
      <c r="AQ181">
        <v>16</v>
      </c>
      <c r="AR181">
        <v>-0.12000000000000002</v>
      </c>
      <c r="AS181">
        <v>12</v>
      </c>
      <c r="AT181">
        <v>13</v>
      </c>
      <c r="AU181">
        <v>8</v>
      </c>
      <c r="AV181">
        <v>5.5039999999999996</v>
      </c>
      <c r="AW181">
        <v>10</v>
      </c>
      <c r="AX181">
        <v>12.199999999999994</v>
      </c>
      <c r="AY181">
        <v>21</v>
      </c>
      <c r="AZ181">
        <v>-0.84999999999999964</v>
      </c>
      <c r="BA181">
        <v>13</v>
      </c>
      <c r="BB181">
        <v>12</v>
      </c>
      <c r="BC181">
        <v>8</v>
      </c>
      <c r="BD181">
        <v>2.9769999999999994</v>
      </c>
      <c r="BE181">
        <v>10</v>
      </c>
      <c r="BF181">
        <v>6.07</v>
      </c>
      <c r="BG181">
        <v>18</v>
      </c>
      <c r="BH181">
        <v>-0.44999999999999962</v>
      </c>
      <c r="BI181">
        <v>23</v>
      </c>
      <c r="BJ181">
        <v>22</v>
      </c>
      <c r="BK181">
        <v>16</v>
      </c>
      <c r="BL181">
        <v>-0.17999999999999988</v>
      </c>
      <c r="BM181">
        <v>24</v>
      </c>
      <c r="BN181">
        <v>-13.180000000000001</v>
      </c>
      <c r="BO181">
        <v>26</v>
      </c>
      <c r="BP181">
        <v>-1.4099999999999997</v>
      </c>
      <c r="BQ181">
        <v>5</v>
      </c>
      <c r="BR181">
        <v>5.666666666666667</v>
      </c>
      <c r="BS181">
        <v>7</v>
      </c>
      <c r="BT181">
        <v>2.7069999999999999</v>
      </c>
      <c r="BU181">
        <v>2</v>
      </c>
      <c r="BV181">
        <v>19.309999999999995</v>
      </c>
      <c r="BW181">
        <v>8</v>
      </c>
      <c r="BX181">
        <v>1.0099999999999998</v>
      </c>
      <c r="BY181">
        <v>10</v>
      </c>
      <c r="BZ181">
        <v>10.333333333333334</v>
      </c>
      <c r="CA181">
        <v>9</v>
      </c>
      <c r="CB181">
        <v>3.0669999999999997</v>
      </c>
      <c r="CC181">
        <v>9</v>
      </c>
      <c r="CD181">
        <v>12.170000000000002</v>
      </c>
      <c r="CE181">
        <v>13</v>
      </c>
      <c r="CF181">
        <v>0.6</v>
      </c>
      <c r="CG181">
        <v>20</v>
      </c>
      <c r="CH181">
        <v>17.666666666666668</v>
      </c>
      <c r="CI181">
        <v>21</v>
      </c>
      <c r="CJ181">
        <v>-1.2259999999999995</v>
      </c>
      <c r="CK181">
        <v>16</v>
      </c>
      <c r="CL181">
        <v>0.13999999999999915</v>
      </c>
      <c r="CM181">
        <v>16</v>
      </c>
      <c r="CN181">
        <v>-0.33999999999999986</v>
      </c>
      <c r="CO181">
        <v>27</v>
      </c>
      <c r="CP181">
        <v>24.5</v>
      </c>
      <c r="CQ181">
        <v>22</v>
      </c>
      <c r="CR181">
        <v>-1.0200000000000002</v>
      </c>
      <c r="CS181">
        <v>27</v>
      </c>
      <c r="CT181">
        <v>-0.36000000000000004</v>
      </c>
      <c r="CU181">
        <v>3.38</v>
      </c>
      <c r="CV181">
        <v>16</v>
      </c>
      <c r="CW181">
        <v>15.5</v>
      </c>
      <c r="CX181">
        <v>27</v>
      </c>
      <c r="CY181">
        <v>-6.4089079852385294E-2</v>
      </c>
      <c r="CZ181">
        <v>20</v>
      </c>
      <c r="DA181">
        <v>-8.4628367415951443E-3</v>
      </c>
      <c r="DB181">
        <v>8</v>
      </c>
      <c r="DC181">
        <v>-5.5261617467499823E-2</v>
      </c>
      <c r="DD181">
        <v>7</v>
      </c>
      <c r="DE181">
        <v>1.9299999999999997</v>
      </c>
      <c r="DF181">
        <v>-1.3700000000000003</v>
      </c>
      <c r="DG181">
        <v>3.3299999999999996</v>
      </c>
      <c r="DH181">
        <v>-0.15</v>
      </c>
      <c r="DI181">
        <v>3.8500000000000112</v>
      </c>
      <c r="DJ181">
        <v>17.29</v>
      </c>
      <c r="DK181">
        <v>3.1599999999999993</v>
      </c>
      <c r="DL181">
        <v>-0.72000000000000008</v>
      </c>
      <c r="DM181">
        <v>-15.879999999999999</v>
      </c>
      <c r="DN181">
        <v>17</v>
      </c>
      <c r="DO181">
        <v>0.27460000000000012</v>
      </c>
      <c r="DP181">
        <v>0.67622000000000015</v>
      </c>
      <c r="DQ181">
        <v>14.129999999999999</v>
      </c>
      <c r="DR181">
        <v>16</v>
      </c>
      <c r="DS181">
        <v>0.63682499999999986</v>
      </c>
      <c r="DT181">
        <v>-1.1899999999999995</v>
      </c>
      <c r="DU181">
        <v>-1.1003374999999997</v>
      </c>
      <c r="DV181">
        <v>-1.3937999999999997</v>
      </c>
      <c r="DW181" t="s">
        <v>300</v>
      </c>
      <c r="DX181" t="s">
        <v>253</v>
      </c>
      <c r="DY181" t="s">
        <v>458</v>
      </c>
      <c r="DZ181">
        <v>16</v>
      </c>
      <c r="EA181">
        <v>0.51374999999999904</v>
      </c>
      <c r="EB181">
        <v>16</v>
      </c>
      <c r="EC181">
        <v>17.75</v>
      </c>
      <c r="ED181">
        <v>4</v>
      </c>
      <c r="EE181">
        <v>4.4625000000000012</v>
      </c>
      <c r="EF181">
        <v>31</v>
      </c>
      <c r="EG181">
        <v>-5.1749999999999998</v>
      </c>
      <c r="EH181">
        <v>29</v>
      </c>
      <c r="EI181">
        <v>-23.774999999999999</v>
      </c>
      <c r="EJ181">
        <v>7</v>
      </c>
      <c r="EK181">
        <v>1.2250000000000001</v>
      </c>
      <c r="EL181">
        <v>19</v>
      </c>
      <c r="EM181">
        <v>18.5</v>
      </c>
      <c r="EN181">
        <v>5</v>
      </c>
      <c r="EO181">
        <v>4.1712500000000015</v>
      </c>
      <c r="EP181">
        <v>32</v>
      </c>
      <c r="EQ181">
        <v>-4.5374999999999996</v>
      </c>
      <c r="ER181">
        <v>31</v>
      </c>
      <c r="ES181">
        <v>-22.75</v>
      </c>
      <c r="ET181">
        <v>6</v>
      </c>
      <c r="EU181">
        <v>1.1125</v>
      </c>
      <c r="EV181">
        <v>20</v>
      </c>
      <c r="EW181">
        <v>16.666666666666668</v>
      </c>
      <c r="EX181">
        <v>13</v>
      </c>
      <c r="EY181">
        <v>0.29125000000000001</v>
      </c>
      <c r="EZ181">
        <v>21</v>
      </c>
      <c r="FA181">
        <v>-0.63750000000000018</v>
      </c>
      <c r="FB181">
        <v>16</v>
      </c>
      <c r="FC181">
        <v>-1.0249999999999995</v>
      </c>
      <c r="FD181">
        <v>14</v>
      </c>
      <c r="FE181">
        <v>0.11250000000000004</v>
      </c>
      <c r="FF181">
        <v>31</v>
      </c>
      <c r="FG181">
        <v>30.666666666666668</v>
      </c>
      <c r="FH181">
        <v>31</v>
      </c>
      <c r="FI181">
        <v>-7.2537499999999993</v>
      </c>
      <c r="FJ181">
        <v>31</v>
      </c>
      <c r="FK181">
        <v>-40.637500000000003</v>
      </c>
      <c r="FL181">
        <v>30</v>
      </c>
      <c r="FM181">
        <v>-3.3999999999999995</v>
      </c>
      <c r="FN181">
        <v>24</v>
      </c>
      <c r="FO181">
        <v>24</v>
      </c>
      <c r="FP181">
        <v>15</v>
      </c>
      <c r="FQ181">
        <v>-5.6249999999999023E-2</v>
      </c>
      <c r="FR181">
        <v>27</v>
      </c>
      <c r="FS181">
        <v>-13.612500000000001</v>
      </c>
      <c r="FT181">
        <v>30</v>
      </c>
      <c r="FU181">
        <v>-2.1625000000000001</v>
      </c>
      <c r="FV181">
        <v>30</v>
      </c>
      <c r="FW181">
        <v>29.333333333333332</v>
      </c>
      <c r="FX181">
        <v>32</v>
      </c>
      <c r="FY181">
        <v>-7.3625000000000007</v>
      </c>
      <c r="FZ181">
        <v>32</v>
      </c>
      <c r="GA181">
        <v>-33.575000000000003</v>
      </c>
      <c r="GB181">
        <v>24</v>
      </c>
      <c r="GC181">
        <v>-0.44999999999999996</v>
      </c>
      <c r="GD181">
        <v>15</v>
      </c>
      <c r="GE181">
        <v>14.333333333333334</v>
      </c>
      <c r="GF181">
        <v>13</v>
      </c>
      <c r="GG181">
        <v>0.16500000000000026</v>
      </c>
      <c r="GH181">
        <v>5</v>
      </c>
      <c r="GI181">
        <v>6.5499999999999989</v>
      </c>
      <c r="GJ181">
        <v>25</v>
      </c>
      <c r="GK181">
        <v>-0.78749999999999987</v>
      </c>
      <c r="GL181">
        <v>22</v>
      </c>
      <c r="GM181">
        <v>21</v>
      </c>
      <c r="GN181">
        <v>16</v>
      </c>
      <c r="GO181">
        <v>-0.97875000000000112</v>
      </c>
      <c r="GP181">
        <v>25</v>
      </c>
      <c r="GQ181">
        <v>-13.662500000000001</v>
      </c>
      <c r="GR181">
        <v>22</v>
      </c>
      <c r="GS181">
        <v>-0.875</v>
      </c>
      <c r="GT181">
        <v>16</v>
      </c>
      <c r="GU181">
        <v>18</v>
      </c>
      <c r="GV181">
        <v>22</v>
      </c>
      <c r="GW181">
        <v>-1.6025000000000007</v>
      </c>
      <c r="GX181">
        <v>9</v>
      </c>
      <c r="GY181">
        <v>5.6</v>
      </c>
      <c r="GZ181">
        <v>23</v>
      </c>
      <c r="HA181">
        <v>-0.49999999999999989</v>
      </c>
      <c r="HB181">
        <v>26</v>
      </c>
      <c r="HC181">
        <v>26</v>
      </c>
      <c r="HD181">
        <v>29</v>
      </c>
      <c r="HE181">
        <v>-2.5750000000000002</v>
      </c>
      <c r="HF181">
        <v>23</v>
      </c>
      <c r="HG181">
        <v>-0.5625</v>
      </c>
      <c r="HH181">
        <v>-5.1124999999999998</v>
      </c>
      <c r="HI181">
        <v>14</v>
      </c>
      <c r="HJ181">
        <v>15.25</v>
      </c>
      <c r="HK181">
        <v>31</v>
      </c>
      <c r="HL181">
        <v>-8.2734912674989225E-2</v>
      </c>
      <c r="HM181">
        <v>8</v>
      </c>
      <c r="HN181">
        <v>1.1137505693814546E-2</v>
      </c>
      <c r="HO181">
        <v>16</v>
      </c>
      <c r="HP181">
        <v>-7.2222222222222271E-3</v>
      </c>
      <c r="HQ181">
        <v>6</v>
      </c>
      <c r="HR181">
        <v>1.7625</v>
      </c>
      <c r="HS181">
        <v>-6.1000000000000014</v>
      </c>
      <c r="HT181">
        <v>-0.93749999999999911</v>
      </c>
      <c r="HU181">
        <v>-0.35</v>
      </c>
      <c r="HV181">
        <v>-10.350000000000009</v>
      </c>
      <c r="HW181">
        <v>6.7875000000000014</v>
      </c>
      <c r="HX181">
        <v>-18.524999999999999</v>
      </c>
      <c r="HY181">
        <v>-3.2</v>
      </c>
      <c r="HZ181">
        <v>4.5875000000000004</v>
      </c>
      <c r="IA181">
        <v>25</v>
      </c>
      <c r="IB181">
        <v>-3.9487500000000022</v>
      </c>
      <c r="IC181">
        <v>-3.8997500000000009</v>
      </c>
      <c r="ID181">
        <v>25.3125</v>
      </c>
      <c r="IE181">
        <v>8</v>
      </c>
      <c r="IF181">
        <v>-0.80687500000000001</v>
      </c>
      <c r="IG181">
        <v>-3.8999999999999995</v>
      </c>
    </row>
    <row r="182" spans="1:241" x14ac:dyDescent="0.2">
      <c r="A182" s="19">
        <v>44122</v>
      </c>
      <c r="B182" s="13" t="s">
        <v>252</v>
      </c>
      <c r="C182" s="41" t="s">
        <v>310</v>
      </c>
      <c r="D182" s="14" t="s">
        <v>311</v>
      </c>
      <c r="E182">
        <v>22.8</v>
      </c>
      <c r="F182">
        <v>18.399999999999999</v>
      </c>
      <c r="G182">
        <v>6.2</v>
      </c>
      <c r="H182">
        <v>28.3</v>
      </c>
      <c r="I182">
        <v>-3.5</v>
      </c>
      <c r="J182">
        <v>52.5</v>
      </c>
      <c r="K182" t="s">
        <v>734</v>
      </c>
      <c r="L182" t="s">
        <v>310</v>
      </c>
      <c r="M182">
        <v>16</v>
      </c>
      <c r="N182">
        <v>0.26350000000000051</v>
      </c>
      <c r="O182">
        <v>15</v>
      </c>
      <c r="P182">
        <v>14.75</v>
      </c>
      <c r="Q182">
        <v>19</v>
      </c>
      <c r="R182">
        <v>-0.80374999999999952</v>
      </c>
      <c r="S182">
        <v>3</v>
      </c>
      <c r="T182">
        <v>6.9</v>
      </c>
      <c r="U182">
        <v>6</v>
      </c>
      <c r="V182">
        <v>16.850000000000001</v>
      </c>
      <c r="W182">
        <v>31</v>
      </c>
      <c r="X182">
        <v>-2.3875000000000002</v>
      </c>
      <c r="Y182">
        <v>14</v>
      </c>
      <c r="Z182">
        <v>14</v>
      </c>
      <c r="AA182">
        <v>12</v>
      </c>
      <c r="AB182">
        <v>1.608750000000001</v>
      </c>
      <c r="AC182">
        <v>1</v>
      </c>
      <c r="AD182">
        <v>7.9375</v>
      </c>
      <c r="AE182">
        <v>3</v>
      </c>
      <c r="AF182">
        <v>19.6875</v>
      </c>
      <c r="AG182">
        <v>27</v>
      </c>
      <c r="AH182">
        <v>-1.3875000000000002</v>
      </c>
      <c r="AI182">
        <v>27</v>
      </c>
      <c r="AJ182">
        <v>24</v>
      </c>
      <c r="AK182">
        <v>27</v>
      </c>
      <c r="AL182">
        <v>-2.4125000000000005</v>
      </c>
      <c r="AM182">
        <v>17</v>
      </c>
      <c r="AN182">
        <v>-1.0374999999999999</v>
      </c>
      <c r="AO182">
        <v>16</v>
      </c>
      <c r="AP182">
        <v>-2.8375000000000004</v>
      </c>
      <c r="AQ182">
        <v>29</v>
      </c>
      <c r="AR182">
        <v>-1</v>
      </c>
      <c r="AS182">
        <v>25</v>
      </c>
      <c r="AT182">
        <v>24.333333333333332</v>
      </c>
      <c r="AU182">
        <v>25</v>
      </c>
      <c r="AV182">
        <v>-5.7649999999999997</v>
      </c>
      <c r="AW182">
        <v>21</v>
      </c>
      <c r="AX182">
        <v>-12.05</v>
      </c>
      <c r="AY182">
        <v>27</v>
      </c>
      <c r="AZ182">
        <v>-3.3624999999999998</v>
      </c>
      <c r="BA182">
        <v>21</v>
      </c>
      <c r="BB182">
        <v>21</v>
      </c>
      <c r="BC182">
        <v>20</v>
      </c>
      <c r="BD182">
        <v>-1.598749999999999</v>
      </c>
      <c r="BE182">
        <v>18</v>
      </c>
      <c r="BF182">
        <v>-4.6625000000000014</v>
      </c>
      <c r="BG182">
        <v>25</v>
      </c>
      <c r="BH182">
        <v>-1.2625000000000002</v>
      </c>
      <c r="BI182">
        <v>23</v>
      </c>
      <c r="BJ182">
        <v>22</v>
      </c>
      <c r="BK182">
        <v>26</v>
      </c>
      <c r="BL182">
        <v>-2.7800000000000002</v>
      </c>
      <c r="BM182">
        <v>12</v>
      </c>
      <c r="BN182">
        <v>0.875</v>
      </c>
      <c r="BO182">
        <v>28</v>
      </c>
      <c r="BP182">
        <v>-1.6624999999999999</v>
      </c>
      <c r="BQ182">
        <v>22</v>
      </c>
      <c r="BR182">
        <v>22.666666666666668</v>
      </c>
      <c r="BS182">
        <v>24</v>
      </c>
      <c r="BT182">
        <v>-1.3862500000000004</v>
      </c>
      <c r="BU182">
        <v>24</v>
      </c>
      <c r="BV182">
        <v>-8.2624999999999993</v>
      </c>
      <c r="BW182">
        <v>20</v>
      </c>
      <c r="BX182">
        <v>-0.4375</v>
      </c>
      <c r="BY182">
        <v>26</v>
      </c>
      <c r="BZ182">
        <v>25.333333333333332</v>
      </c>
      <c r="CA182">
        <v>24</v>
      </c>
      <c r="CB182">
        <v>-3.4712500000000008</v>
      </c>
      <c r="CC182">
        <v>31</v>
      </c>
      <c r="CD182">
        <v>-26.837500000000002</v>
      </c>
      <c r="CE182">
        <v>21</v>
      </c>
      <c r="CF182">
        <v>-0.79999999999999982</v>
      </c>
      <c r="CG182">
        <v>5</v>
      </c>
      <c r="CH182">
        <v>6.666666666666667</v>
      </c>
      <c r="CI182">
        <v>3</v>
      </c>
      <c r="CJ182">
        <v>5.6325000000000003</v>
      </c>
      <c r="CK182">
        <v>11</v>
      </c>
      <c r="CL182">
        <v>4.8250000000000011</v>
      </c>
      <c r="CM182">
        <v>6</v>
      </c>
      <c r="CN182">
        <v>1.4750000000000001</v>
      </c>
      <c r="CO182">
        <v>8</v>
      </c>
      <c r="CP182">
        <v>9</v>
      </c>
      <c r="CQ182">
        <v>12</v>
      </c>
      <c r="CR182">
        <v>0.67500000000000027</v>
      </c>
      <c r="CS182">
        <v>6</v>
      </c>
      <c r="CT182">
        <v>0.44999999999999996</v>
      </c>
      <c r="CU182">
        <v>-1.4750000000000001</v>
      </c>
      <c r="CV182">
        <v>27</v>
      </c>
      <c r="CW182">
        <v>22.75</v>
      </c>
      <c r="CX182">
        <v>17</v>
      </c>
      <c r="CY182">
        <v>-4.3789614918050418E-3</v>
      </c>
      <c r="CZ182">
        <v>28</v>
      </c>
      <c r="DA182">
        <v>-2.0895522267521931E-2</v>
      </c>
      <c r="DB182">
        <v>18</v>
      </c>
      <c r="DC182">
        <v>1.9087301587301625E-2</v>
      </c>
      <c r="DD182">
        <v>28</v>
      </c>
      <c r="DE182">
        <v>-2.5874999999999999</v>
      </c>
      <c r="DF182">
        <v>2.8375000000000004</v>
      </c>
      <c r="DG182">
        <v>3.2125000000000004</v>
      </c>
      <c r="DH182">
        <v>-0.78749999999999998</v>
      </c>
      <c r="DI182">
        <v>-18.487500000000011</v>
      </c>
      <c r="DJ182">
        <v>-28.287499999999994</v>
      </c>
      <c r="DK182">
        <v>13.45</v>
      </c>
      <c r="DL182">
        <v>-4.3</v>
      </c>
      <c r="DM182">
        <v>0.64999999999999947</v>
      </c>
      <c r="DN182">
        <v>15</v>
      </c>
      <c r="DO182">
        <v>1.06725</v>
      </c>
      <c r="DP182">
        <v>0.42807499999999998</v>
      </c>
      <c r="DQ182">
        <v>-41.737499999999997</v>
      </c>
      <c r="DR182">
        <v>18</v>
      </c>
      <c r="DS182">
        <v>2.8125000000017719E-4</v>
      </c>
      <c r="DT182">
        <v>-1.8874999999999997</v>
      </c>
      <c r="DU182">
        <v>9.3850000000000378E-2</v>
      </c>
      <c r="DV182">
        <v>0.40250000000000047</v>
      </c>
      <c r="DW182" t="s">
        <v>311</v>
      </c>
      <c r="DX182" t="s">
        <v>275</v>
      </c>
      <c r="DY182" t="s">
        <v>477</v>
      </c>
      <c r="DZ182">
        <v>23</v>
      </c>
      <c r="EA182">
        <v>-2.4443999999999995</v>
      </c>
      <c r="EB182">
        <v>1</v>
      </c>
      <c r="EC182">
        <v>6.25</v>
      </c>
      <c r="ED182">
        <v>3</v>
      </c>
      <c r="EE182">
        <v>5.221000000000001</v>
      </c>
      <c r="EF182">
        <v>1</v>
      </c>
      <c r="EG182">
        <v>5.2900000000000009</v>
      </c>
      <c r="EH182">
        <v>2</v>
      </c>
      <c r="EI182">
        <v>33.940000000000005</v>
      </c>
      <c r="EJ182">
        <v>19</v>
      </c>
      <c r="EK182">
        <v>-0.15000000000000013</v>
      </c>
      <c r="EL182">
        <v>1</v>
      </c>
      <c r="EM182">
        <v>4.5</v>
      </c>
      <c r="EN182">
        <v>4</v>
      </c>
      <c r="EO182">
        <v>4.7220000000000013</v>
      </c>
      <c r="EP182">
        <v>2</v>
      </c>
      <c r="EQ182">
        <v>3.3600000000000008</v>
      </c>
      <c r="ER182">
        <v>3</v>
      </c>
      <c r="ES182">
        <v>22.560000000000002</v>
      </c>
      <c r="ET182">
        <v>9</v>
      </c>
      <c r="EU182">
        <v>0.48999999999999988</v>
      </c>
      <c r="EV182">
        <v>4</v>
      </c>
      <c r="EW182">
        <v>6.666666666666667</v>
      </c>
      <c r="EX182">
        <v>11</v>
      </c>
      <c r="EY182">
        <v>0.49899999999999967</v>
      </c>
      <c r="EZ182">
        <v>5</v>
      </c>
      <c r="FA182">
        <v>1.9299999999999997</v>
      </c>
      <c r="FB182">
        <v>4</v>
      </c>
      <c r="FC182">
        <v>11.38</v>
      </c>
      <c r="FD182">
        <v>26</v>
      </c>
      <c r="FE182">
        <v>-0.64</v>
      </c>
      <c r="FF182">
        <v>19</v>
      </c>
      <c r="FG182">
        <v>18.666666666666668</v>
      </c>
      <c r="FH182">
        <v>23</v>
      </c>
      <c r="FI182">
        <v>-3.524999999999999</v>
      </c>
      <c r="FJ182">
        <v>23</v>
      </c>
      <c r="FK182">
        <v>-9.3500000000000014</v>
      </c>
      <c r="FL182">
        <v>10</v>
      </c>
      <c r="FM182">
        <v>0.63999999999999968</v>
      </c>
      <c r="FN182">
        <v>27</v>
      </c>
      <c r="FO182">
        <v>26.333333333333332</v>
      </c>
      <c r="FP182">
        <v>28</v>
      </c>
      <c r="FQ182">
        <v>-3.8639999999999999</v>
      </c>
      <c r="FR182">
        <v>28</v>
      </c>
      <c r="FS182">
        <v>-15.5</v>
      </c>
      <c r="FT182">
        <v>23</v>
      </c>
      <c r="FU182">
        <v>-0.71000000000000019</v>
      </c>
      <c r="FV182">
        <v>3</v>
      </c>
      <c r="FW182">
        <v>5.666666666666667</v>
      </c>
      <c r="FX182">
        <v>10</v>
      </c>
      <c r="FY182">
        <v>2.2330000000000005</v>
      </c>
      <c r="FZ182">
        <v>4</v>
      </c>
      <c r="GA182">
        <v>15.629999999999999</v>
      </c>
      <c r="GB182">
        <v>3</v>
      </c>
      <c r="GC182">
        <v>1.2599999999999998</v>
      </c>
      <c r="GD182">
        <v>25</v>
      </c>
      <c r="GE182">
        <v>22.666666666666668</v>
      </c>
      <c r="GF182">
        <v>28</v>
      </c>
      <c r="GG182">
        <v>-1.8939999999999997</v>
      </c>
      <c r="GH182">
        <v>28</v>
      </c>
      <c r="GI182">
        <v>-9.48</v>
      </c>
      <c r="GJ182">
        <v>12</v>
      </c>
      <c r="GK182">
        <v>9.000000000000008E-2</v>
      </c>
      <c r="GL182">
        <v>29</v>
      </c>
      <c r="GM182">
        <v>27.666666666666668</v>
      </c>
      <c r="GN182">
        <v>27</v>
      </c>
      <c r="GO182">
        <v>-3.2060000000000004</v>
      </c>
      <c r="GP182">
        <v>31</v>
      </c>
      <c r="GQ182">
        <v>-20.759999999999998</v>
      </c>
      <c r="GR182">
        <v>25</v>
      </c>
      <c r="GS182">
        <v>-1.1299999999999997</v>
      </c>
      <c r="GT182">
        <v>25</v>
      </c>
      <c r="GU182">
        <v>21.333333333333332</v>
      </c>
      <c r="GV182">
        <v>18</v>
      </c>
      <c r="GW182">
        <v>-1.2100000000000004</v>
      </c>
      <c r="GX182">
        <v>26</v>
      </c>
      <c r="GY182">
        <v>-7</v>
      </c>
      <c r="GZ182">
        <v>20</v>
      </c>
      <c r="HA182">
        <v>-0.39999999999999991</v>
      </c>
      <c r="HB182">
        <v>12</v>
      </c>
      <c r="HC182">
        <v>12.5</v>
      </c>
      <c r="HD182">
        <v>15</v>
      </c>
      <c r="HE182">
        <v>0.24000000000000021</v>
      </c>
      <c r="HF182">
        <v>10</v>
      </c>
      <c r="HG182">
        <v>0.57999999999999985</v>
      </c>
      <c r="HH182">
        <v>0.48</v>
      </c>
      <c r="HI182">
        <v>24</v>
      </c>
      <c r="HJ182">
        <v>20.5</v>
      </c>
      <c r="HK182">
        <v>21</v>
      </c>
      <c r="HL182">
        <v>-1.4354125397705197E-2</v>
      </c>
      <c r="HM182">
        <v>6</v>
      </c>
      <c r="HN182">
        <v>1.7937742734553383E-2</v>
      </c>
      <c r="HO182">
        <v>31</v>
      </c>
      <c r="HP182">
        <v>0.11666161616161616</v>
      </c>
      <c r="HQ182">
        <v>24</v>
      </c>
      <c r="HR182">
        <v>-1.53</v>
      </c>
      <c r="HS182">
        <v>5.7299999999999995</v>
      </c>
      <c r="HT182">
        <v>0.36000000000000015</v>
      </c>
      <c r="HU182">
        <v>0.18</v>
      </c>
      <c r="HV182">
        <v>16.910000000000004</v>
      </c>
      <c r="HW182">
        <v>-8.3200000000000038</v>
      </c>
      <c r="HX182">
        <v>37.549999999999997</v>
      </c>
      <c r="HY182">
        <v>-6.62</v>
      </c>
      <c r="HZ182">
        <v>-5.6999999999999993</v>
      </c>
      <c r="IA182">
        <v>31</v>
      </c>
      <c r="IB182">
        <v>-7.6654</v>
      </c>
      <c r="IC182">
        <v>-4.0463800000000001</v>
      </c>
      <c r="ID182">
        <v>-45.870000000000005</v>
      </c>
      <c r="IE182">
        <v>2</v>
      </c>
      <c r="IF182">
        <v>-0.21479999999999971</v>
      </c>
      <c r="IG182">
        <v>0.23999999999999977</v>
      </c>
    </row>
    <row r="183" spans="1:241" x14ac:dyDescent="0.2">
      <c r="A183" s="19">
        <v>44122</v>
      </c>
      <c r="B183" s="13" t="s">
        <v>252</v>
      </c>
      <c r="C183" s="41" t="s">
        <v>306</v>
      </c>
      <c r="D183" s="14" t="s">
        <v>296</v>
      </c>
      <c r="E183">
        <v>14.4</v>
      </c>
      <c r="F183">
        <v>9.5</v>
      </c>
      <c r="G183">
        <v>6.6</v>
      </c>
      <c r="H183">
        <v>13.2</v>
      </c>
      <c r="I183">
        <v>2</v>
      </c>
      <c r="J183">
        <v>42</v>
      </c>
      <c r="L183" t="s">
        <v>306</v>
      </c>
      <c r="M183">
        <v>30</v>
      </c>
      <c r="N183">
        <v>-5.4304000000000006</v>
      </c>
      <c r="O183">
        <v>15</v>
      </c>
      <c r="P183">
        <v>14.75</v>
      </c>
      <c r="Q183">
        <v>11</v>
      </c>
      <c r="R183">
        <v>0.99199999999999977</v>
      </c>
      <c r="S183">
        <v>22</v>
      </c>
      <c r="T183">
        <v>-1.6800000000000002</v>
      </c>
      <c r="U183">
        <v>21</v>
      </c>
      <c r="V183">
        <v>-13.320000000000004</v>
      </c>
      <c r="W183">
        <v>5</v>
      </c>
      <c r="X183">
        <v>0.92000000000000037</v>
      </c>
      <c r="Y183">
        <v>26</v>
      </c>
      <c r="Z183">
        <v>23.666666666666668</v>
      </c>
      <c r="AA183">
        <v>19</v>
      </c>
      <c r="AB183">
        <v>-0.42400000000000021</v>
      </c>
      <c r="AC183">
        <v>27</v>
      </c>
      <c r="AD183">
        <v>-2.12</v>
      </c>
      <c r="AE183">
        <v>27</v>
      </c>
      <c r="AF183">
        <v>-15.080000000000002</v>
      </c>
      <c r="AG183">
        <v>25</v>
      </c>
      <c r="AH183">
        <v>-1</v>
      </c>
      <c r="AI183">
        <v>3</v>
      </c>
      <c r="AJ183">
        <v>6.666666666666667</v>
      </c>
      <c r="AK183">
        <v>9</v>
      </c>
      <c r="AL183">
        <v>1.4159999999999999</v>
      </c>
      <c r="AM183">
        <v>12</v>
      </c>
      <c r="AN183">
        <v>0.44000000000000006</v>
      </c>
      <c r="AO183">
        <v>9</v>
      </c>
      <c r="AP183">
        <v>1.7599999999999987</v>
      </c>
      <c r="AQ183">
        <v>2</v>
      </c>
      <c r="AR183">
        <v>1.9200000000000004</v>
      </c>
      <c r="AS183">
        <v>21</v>
      </c>
      <c r="AT183">
        <v>21</v>
      </c>
      <c r="AU183">
        <v>21</v>
      </c>
      <c r="AV183">
        <v>-3.488</v>
      </c>
      <c r="AW183">
        <v>22</v>
      </c>
      <c r="AX183">
        <v>-14.48</v>
      </c>
      <c r="AY183">
        <v>20</v>
      </c>
      <c r="AZ183">
        <v>-0.79999999999999971</v>
      </c>
      <c r="BA183">
        <v>14</v>
      </c>
      <c r="BB183">
        <v>12.333333333333334</v>
      </c>
      <c r="BC183">
        <v>18</v>
      </c>
      <c r="BD183">
        <v>-0.50399999999999989</v>
      </c>
      <c r="BE183">
        <v>8</v>
      </c>
      <c r="BF183">
        <v>11.960000000000003</v>
      </c>
      <c r="BG183">
        <v>11</v>
      </c>
      <c r="BH183">
        <v>0.68000000000000038</v>
      </c>
      <c r="BI183">
        <v>27</v>
      </c>
      <c r="BJ183">
        <v>25</v>
      </c>
      <c r="BK183">
        <v>22</v>
      </c>
      <c r="BL183">
        <v>-1.6639999999999993</v>
      </c>
      <c r="BM183">
        <v>23</v>
      </c>
      <c r="BN183">
        <v>-12.960000000000003</v>
      </c>
      <c r="BO183">
        <v>30</v>
      </c>
      <c r="BP183">
        <v>-1.7600000000000002</v>
      </c>
      <c r="BQ183">
        <v>22</v>
      </c>
      <c r="BR183">
        <v>22.666666666666668</v>
      </c>
      <c r="BS183">
        <v>22</v>
      </c>
      <c r="BT183">
        <v>-1.3200000000000007</v>
      </c>
      <c r="BU183">
        <v>29</v>
      </c>
      <c r="BV183">
        <v>-13.48</v>
      </c>
      <c r="BW183">
        <v>17</v>
      </c>
      <c r="BX183">
        <v>0.28000000000000014</v>
      </c>
      <c r="BY183">
        <v>25</v>
      </c>
      <c r="BZ183">
        <v>24.666666666666668</v>
      </c>
      <c r="CA183">
        <v>27</v>
      </c>
      <c r="CB183">
        <v>-4.8880000000000008</v>
      </c>
      <c r="CC183">
        <v>29</v>
      </c>
      <c r="CD183">
        <v>-24.479999999999997</v>
      </c>
      <c r="CE183">
        <v>18</v>
      </c>
      <c r="CF183">
        <v>-0.48000000000000043</v>
      </c>
      <c r="CG183">
        <v>26</v>
      </c>
      <c r="CH183">
        <v>25</v>
      </c>
      <c r="CI183">
        <v>31</v>
      </c>
      <c r="CJ183">
        <v>-5.9440000000000017</v>
      </c>
      <c r="CK183">
        <v>30</v>
      </c>
      <c r="CL183">
        <v>-22.359999999999996</v>
      </c>
      <c r="CM183">
        <v>14</v>
      </c>
      <c r="CN183">
        <v>0</v>
      </c>
      <c r="CO183">
        <v>30</v>
      </c>
      <c r="CP183">
        <v>28.5</v>
      </c>
      <c r="CQ183">
        <v>30</v>
      </c>
      <c r="CR183">
        <v>-2.4799999999999995</v>
      </c>
      <c r="CS183">
        <v>27</v>
      </c>
      <c r="CT183">
        <v>-0.36000000000000004</v>
      </c>
      <c r="CU183">
        <v>0.4</v>
      </c>
      <c r="CV183">
        <v>4</v>
      </c>
      <c r="CW183">
        <v>9</v>
      </c>
      <c r="CX183">
        <v>22</v>
      </c>
      <c r="CY183">
        <v>-3.9175164186657181E-2</v>
      </c>
      <c r="CZ183">
        <v>3</v>
      </c>
      <c r="DA183">
        <v>2.9627888493106536E-2</v>
      </c>
      <c r="DB183">
        <v>1</v>
      </c>
      <c r="DC183">
        <v>-0.21430724830724829</v>
      </c>
      <c r="DD183">
        <v>10</v>
      </c>
      <c r="DE183">
        <v>0.83999999999999986</v>
      </c>
      <c r="DF183">
        <v>-3.1199999999999974</v>
      </c>
      <c r="DG183">
        <v>-4.3999999999999995</v>
      </c>
      <c r="DH183">
        <v>-0.27999999999999997</v>
      </c>
      <c r="DI183">
        <v>-77.2</v>
      </c>
      <c r="DJ183">
        <v>-53.720000000000006</v>
      </c>
      <c r="DK183">
        <v>-15.920000000000002</v>
      </c>
      <c r="DL183">
        <v>-2.1199999999999997</v>
      </c>
      <c r="DM183">
        <v>-5.4399999999999995</v>
      </c>
      <c r="DN183">
        <v>25</v>
      </c>
      <c r="DO183">
        <v>-6.4223999999999997</v>
      </c>
      <c r="DP183">
        <v>-3.46848</v>
      </c>
      <c r="DQ183">
        <v>-37.800000000000004</v>
      </c>
      <c r="DR183">
        <v>8</v>
      </c>
      <c r="DS183">
        <v>-2.0438000000000005</v>
      </c>
      <c r="DT183">
        <v>-0.79999999999999971</v>
      </c>
      <c r="DU183">
        <v>-0.83555000000000068</v>
      </c>
      <c r="DV183">
        <v>0.1376999999999996</v>
      </c>
      <c r="DW183" t="s">
        <v>296</v>
      </c>
      <c r="DX183" t="s">
        <v>245</v>
      </c>
      <c r="DY183" t="s">
        <v>472</v>
      </c>
      <c r="DZ183">
        <v>27</v>
      </c>
      <c r="EA183">
        <v>-3.8868000000000018</v>
      </c>
      <c r="EB183">
        <v>15</v>
      </c>
      <c r="EC183">
        <v>14.25</v>
      </c>
      <c r="ED183">
        <v>12</v>
      </c>
      <c r="EE183">
        <v>0.95699999999999696</v>
      </c>
      <c r="EF183">
        <v>6</v>
      </c>
      <c r="EG183">
        <v>2.4499999999999993</v>
      </c>
      <c r="EH183">
        <v>16</v>
      </c>
      <c r="EI183">
        <v>-0.21999999999999886</v>
      </c>
      <c r="EJ183">
        <v>23</v>
      </c>
      <c r="EK183">
        <v>-0.67</v>
      </c>
      <c r="EL183">
        <v>23</v>
      </c>
      <c r="EM183">
        <v>20</v>
      </c>
      <c r="EN183">
        <v>21</v>
      </c>
      <c r="EO183">
        <v>-1.8500000000000025</v>
      </c>
      <c r="EP183">
        <v>13</v>
      </c>
      <c r="EQ183">
        <v>0.4799999999999997</v>
      </c>
      <c r="ER183">
        <v>16</v>
      </c>
      <c r="ES183">
        <v>2.0000000000000013</v>
      </c>
      <c r="ET183">
        <v>30</v>
      </c>
      <c r="EU183">
        <v>-1.27</v>
      </c>
      <c r="EV183">
        <v>6</v>
      </c>
      <c r="EW183">
        <v>7.666666666666667</v>
      </c>
      <c r="EX183">
        <v>1</v>
      </c>
      <c r="EY183">
        <v>2.8069999999999995</v>
      </c>
      <c r="EZ183">
        <v>4</v>
      </c>
      <c r="FA183">
        <v>1.9699999999999995</v>
      </c>
      <c r="FB183">
        <v>18</v>
      </c>
      <c r="FC183">
        <v>-2.2200000000000002</v>
      </c>
      <c r="FD183">
        <v>7</v>
      </c>
      <c r="FE183">
        <v>0.6</v>
      </c>
      <c r="FF183">
        <v>28</v>
      </c>
      <c r="FG183">
        <v>26.666666666666668</v>
      </c>
      <c r="FH183">
        <v>25</v>
      </c>
      <c r="FI183">
        <v>-4.5706000000000007</v>
      </c>
      <c r="FJ183">
        <v>28</v>
      </c>
      <c r="FK183">
        <v>-25.07</v>
      </c>
      <c r="FL183">
        <v>27</v>
      </c>
      <c r="FM183">
        <v>-1.92</v>
      </c>
      <c r="FN183">
        <v>32</v>
      </c>
      <c r="FO183">
        <v>30</v>
      </c>
      <c r="FP183">
        <v>31</v>
      </c>
      <c r="FQ183">
        <v>-5.3040000000000003</v>
      </c>
      <c r="FR183">
        <v>31</v>
      </c>
      <c r="FS183">
        <v>-23.82</v>
      </c>
      <c r="FT183">
        <v>28</v>
      </c>
      <c r="FU183">
        <v>-1.9100000000000001</v>
      </c>
      <c r="FV183">
        <v>10</v>
      </c>
      <c r="FW183">
        <v>11.333333333333334</v>
      </c>
      <c r="FX183">
        <v>19</v>
      </c>
      <c r="FY183">
        <v>1.2999999999999724E-2</v>
      </c>
      <c r="FZ183">
        <v>10</v>
      </c>
      <c r="GA183">
        <v>6.1099999999999994</v>
      </c>
      <c r="GB183">
        <v>5</v>
      </c>
      <c r="GC183">
        <v>0.94000000000000006</v>
      </c>
      <c r="GD183">
        <v>24</v>
      </c>
      <c r="GE183">
        <v>22.333333333333332</v>
      </c>
      <c r="GF183">
        <v>11</v>
      </c>
      <c r="GG183">
        <v>0.72040000000000004</v>
      </c>
      <c r="GH183">
        <v>27</v>
      </c>
      <c r="GI183">
        <v>-7.3600000000000012</v>
      </c>
      <c r="GJ183">
        <v>29</v>
      </c>
      <c r="GK183">
        <v>-0.95</v>
      </c>
      <c r="GL183">
        <v>31</v>
      </c>
      <c r="GM183">
        <v>29.333333333333332</v>
      </c>
      <c r="GN183">
        <v>30</v>
      </c>
      <c r="GO183">
        <v>-3.7660000000000005</v>
      </c>
      <c r="GP183">
        <v>28</v>
      </c>
      <c r="GQ183">
        <v>-15.560000000000002</v>
      </c>
      <c r="GR183">
        <v>30</v>
      </c>
      <c r="GS183">
        <v>-1.4499999999999997</v>
      </c>
      <c r="GT183">
        <v>31</v>
      </c>
      <c r="GU183">
        <v>31.333333333333332</v>
      </c>
      <c r="GV183">
        <v>31</v>
      </c>
      <c r="GW183">
        <v>-8.8500000000000014</v>
      </c>
      <c r="GX183">
        <v>32</v>
      </c>
      <c r="GY183">
        <v>-29.919999999999998</v>
      </c>
      <c r="GZ183">
        <v>31</v>
      </c>
      <c r="HA183">
        <v>-2.6399999999999997</v>
      </c>
      <c r="HB183">
        <v>7</v>
      </c>
      <c r="HC183">
        <v>7.5</v>
      </c>
      <c r="HD183">
        <v>8</v>
      </c>
      <c r="HE183">
        <v>1.8800000000000001</v>
      </c>
      <c r="HF183">
        <v>7</v>
      </c>
      <c r="HG183">
        <v>0.74</v>
      </c>
      <c r="HH183">
        <v>4.6400000000000006</v>
      </c>
      <c r="HI183">
        <v>4</v>
      </c>
      <c r="HJ183">
        <v>9.5</v>
      </c>
      <c r="HK183">
        <v>12</v>
      </c>
      <c r="HL183">
        <v>6.6190141166122488E-3</v>
      </c>
      <c r="HM183">
        <v>7</v>
      </c>
      <c r="HN183">
        <v>1.4828662333970432E-2</v>
      </c>
      <c r="HO183">
        <v>7</v>
      </c>
      <c r="HP183">
        <v>-5.6158730158730165E-2</v>
      </c>
      <c r="HQ183">
        <v>12</v>
      </c>
      <c r="HR183">
        <v>0.2700000000000003</v>
      </c>
      <c r="HS183">
        <v>-2.8699999999999988</v>
      </c>
      <c r="HT183">
        <v>-1.44</v>
      </c>
      <c r="HU183">
        <v>1.02</v>
      </c>
      <c r="HV183">
        <v>-51.489999999999995</v>
      </c>
      <c r="HW183">
        <v>-38.719999999999992</v>
      </c>
      <c r="HX183">
        <v>-8.1300000000000008</v>
      </c>
      <c r="HY183">
        <v>-1.8999999999999992</v>
      </c>
      <c r="HZ183">
        <v>-2.7399999999999998</v>
      </c>
      <c r="IA183">
        <v>27</v>
      </c>
      <c r="IB183">
        <v>-4.843799999999999</v>
      </c>
      <c r="IC183">
        <v>-3.9399799999999994</v>
      </c>
      <c r="ID183">
        <v>-30.589999999999989</v>
      </c>
      <c r="IE183">
        <v>6</v>
      </c>
      <c r="IF183">
        <v>-1.8088000000000009</v>
      </c>
      <c r="IG183">
        <v>-4.5599999999999996</v>
      </c>
    </row>
    <row r="184" spans="1:241" x14ac:dyDescent="0.2">
      <c r="A184" s="19">
        <v>44129</v>
      </c>
      <c r="B184" s="13" t="s">
        <v>250</v>
      </c>
      <c r="C184" s="41" t="s">
        <v>285</v>
      </c>
      <c r="D184" s="14" t="s">
        <v>308</v>
      </c>
      <c r="E184">
        <v>28.3</v>
      </c>
      <c r="F184">
        <v>20.7</v>
      </c>
      <c r="G184">
        <v>14.2</v>
      </c>
      <c r="H184">
        <v>7.7</v>
      </c>
      <c r="I184">
        <v>3.5</v>
      </c>
      <c r="J184">
        <v>55</v>
      </c>
      <c r="K184" t="s">
        <v>734</v>
      </c>
      <c r="L184" t="s">
        <v>285</v>
      </c>
      <c r="M184">
        <v>2</v>
      </c>
      <c r="N184">
        <v>8.1740000000000013</v>
      </c>
      <c r="O184">
        <v>23</v>
      </c>
      <c r="P184">
        <v>20.25</v>
      </c>
      <c r="Q184">
        <v>26</v>
      </c>
      <c r="R184">
        <v>-3.2959999999999972</v>
      </c>
      <c r="S184">
        <v>21</v>
      </c>
      <c r="T184">
        <v>-0.7200000000000002</v>
      </c>
      <c r="U184">
        <v>20</v>
      </c>
      <c r="V184">
        <v>-5.0500000000000016</v>
      </c>
      <c r="W184">
        <v>14</v>
      </c>
      <c r="X184">
        <v>-9.9999999999997868E-3</v>
      </c>
      <c r="Y184">
        <v>27</v>
      </c>
      <c r="Z184">
        <v>24.666666666666668</v>
      </c>
      <c r="AA184">
        <v>28</v>
      </c>
      <c r="AB184">
        <v>-5.5129999999999981</v>
      </c>
      <c r="AC184">
        <v>9</v>
      </c>
      <c r="AD184">
        <v>1.9299999999999997</v>
      </c>
      <c r="AE184">
        <v>15</v>
      </c>
      <c r="AF184">
        <v>4.669999999999999</v>
      </c>
      <c r="AG184">
        <v>31</v>
      </c>
      <c r="AH184">
        <v>-1.85</v>
      </c>
      <c r="AI184">
        <v>9</v>
      </c>
      <c r="AJ184">
        <v>12.666666666666666</v>
      </c>
      <c r="AK184">
        <v>6</v>
      </c>
      <c r="AL184">
        <v>2.217000000000001</v>
      </c>
      <c r="AM184">
        <v>29</v>
      </c>
      <c r="AN184">
        <v>-2.65</v>
      </c>
      <c r="AO184">
        <v>30</v>
      </c>
      <c r="AP184">
        <v>-9.7200000000000006</v>
      </c>
      <c r="AQ184">
        <v>2</v>
      </c>
      <c r="AR184">
        <v>1.8400000000000003</v>
      </c>
      <c r="AS184">
        <v>10</v>
      </c>
      <c r="AT184">
        <v>9.6666666666666661</v>
      </c>
      <c r="AU184">
        <v>10</v>
      </c>
      <c r="AV184">
        <v>5.4277999999999995</v>
      </c>
      <c r="AW184">
        <v>10</v>
      </c>
      <c r="AX184">
        <v>20.479999999999997</v>
      </c>
      <c r="AY184">
        <v>9</v>
      </c>
      <c r="AZ184">
        <v>1.5999999999999996</v>
      </c>
      <c r="BA184">
        <v>8</v>
      </c>
      <c r="BB184">
        <v>7.333333333333333</v>
      </c>
      <c r="BC184">
        <v>10</v>
      </c>
      <c r="BD184">
        <v>1.3489999999999995</v>
      </c>
      <c r="BE184">
        <v>5</v>
      </c>
      <c r="BF184">
        <v>14.189999999999998</v>
      </c>
      <c r="BG184">
        <v>7</v>
      </c>
      <c r="BH184">
        <v>0.84999999999999964</v>
      </c>
      <c r="BI184">
        <v>11</v>
      </c>
      <c r="BJ184">
        <v>11.666666666666666</v>
      </c>
      <c r="BK184">
        <v>7</v>
      </c>
      <c r="BL184">
        <v>3.1518000000000002</v>
      </c>
      <c r="BM184">
        <v>12</v>
      </c>
      <c r="BN184">
        <v>0.4099999999999987</v>
      </c>
      <c r="BO184">
        <v>16</v>
      </c>
      <c r="BP184">
        <v>-0.20999999999999996</v>
      </c>
      <c r="BQ184">
        <v>9</v>
      </c>
      <c r="BR184">
        <v>10</v>
      </c>
      <c r="BS184">
        <v>13</v>
      </c>
      <c r="BT184">
        <v>0.92699999999999994</v>
      </c>
      <c r="BU184">
        <v>10</v>
      </c>
      <c r="BV184">
        <v>5.8800000000000008</v>
      </c>
      <c r="BW184">
        <v>7</v>
      </c>
      <c r="BX184">
        <v>0.96</v>
      </c>
      <c r="BY184">
        <v>11</v>
      </c>
      <c r="BZ184">
        <v>11.666666666666666</v>
      </c>
      <c r="CA184">
        <v>9</v>
      </c>
      <c r="CB184">
        <v>2.4309999999999996</v>
      </c>
      <c r="CC184">
        <v>19</v>
      </c>
      <c r="CD184">
        <v>-6.5899999999999981</v>
      </c>
      <c r="CE184">
        <v>7</v>
      </c>
      <c r="CF184">
        <v>1.48</v>
      </c>
      <c r="CG184">
        <v>29</v>
      </c>
      <c r="CH184">
        <v>26.333333333333332</v>
      </c>
      <c r="CI184">
        <v>30</v>
      </c>
      <c r="CJ184">
        <v>-4.4590000000000005</v>
      </c>
      <c r="CK184">
        <v>23</v>
      </c>
      <c r="CL184">
        <v>-10.43</v>
      </c>
      <c r="CM184">
        <v>26</v>
      </c>
      <c r="CN184">
        <v>-1.3800000000000001</v>
      </c>
      <c r="CO184">
        <v>28</v>
      </c>
      <c r="CP184">
        <v>24.5</v>
      </c>
      <c r="CQ184">
        <v>24</v>
      </c>
      <c r="CR184">
        <v>-1.1399999999999995</v>
      </c>
      <c r="CS184">
        <v>25</v>
      </c>
      <c r="CT184">
        <v>-0.37000000000000005</v>
      </c>
      <c r="CU184">
        <v>-1.4100000000000001</v>
      </c>
      <c r="CV184">
        <v>28</v>
      </c>
      <c r="CW184">
        <v>22</v>
      </c>
      <c r="CX184">
        <v>30</v>
      </c>
      <c r="CY184">
        <v>-8.0965691413225543E-2</v>
      </c>
      <c r="CZ184">
        <v>22</v>
      </c>
      <c r="DA184">
        <v>-3.4809004474758197E-3</v>
      </c>
      <c r="DB184">
        <v>22</v>
      </c>
      <c r="DC184">
        <v>2.0010665804783456E-2</v>
      </c>
      <c r="DD184">
        <v>14</v>
      </c>
      <c r="DE184">
        <v>-0.37999999999999989</v>
      </c>
      <c r="DF184">
        <v>0.2899999999999977</v>
      </c>
      <c r="DG184">
        <v>-8.999999999999915E-2</v>
      </c>
      <c r="DH184">
        <v>-1.6300000000000001</v>
      </c>
      <c r="DI184">
        <v>32.25</v>
      </c>
      <c r="DJ184">
        <v>18.21</v>
      </c>
      <c r="DK184">
        <v>-16.900000000000002</v>
      </c>
      <c r="DL184">
        <v>-4.33</v>
      </c>
      <c r="DM184">
        <v>35.269999999999996</v>
      </c>
      <c r="DN184">
        <v>2</v>
      </c>
      <c r="DO184">
        <v>11.469999999999999</v>
      </c>
      <c r="DP184">
        <v>3.4765599999999988</v>
      </c>
      <c r="DQ184">
        <v>35.11</v>
      </c>
      <c r="DR184">
        <v>31</v>
      </c>
      <c r="DS184">
        <v>0.58835000000000037</v>
      </c>
      <c r="DT184">
        <v>0.21999999999999953</v>
      </c>
      <c r="DU184">
        <v>0.56882812500000024</v>
      </c>
      <c r="DV184">
        <v>-0.79112499999999986</v>
      </c>
      <c r="DW184" t="s">
        <v>308</v>
      </c>
      <c r="DX184" t="s">
        <v>238</v>
      </c>
      <c r="DY184" t="s">
        <v>451</v>
      </c>
      <c r="DZ184">
        <v>3</v>
      </c>
      <c r="EA184">
        <v>5.5497499999999986</v>
      </c>
      <c r="EB184">
        <v>20</v>
      </c>
      <c r="EC184">
        <v>18.75</v>
      </c>
      <c r="ED184">
        <v>23</v>
      </c>
      <c r="EE184">
        <v>-3.2262499999999998</v>
      </c>
      <c r="EF184">
        <v>19</v>
      </c>
      <c r="EG184">
        <v>-0.77500000000000013</v>
      </c>
      <c r="EH184">
        <v>27</v>
      </c>
      <c r="EI184">
        <v>-20.1875</v>
      </c>
      <c r="EJ184">
        <v>6</v>
      </c>
      <c r="EK184">
        <v>1.0875000000000001</v>
      </c>
      <c r="EL184">
        <v>31</v>
      </c>
      <c r="EM184">
        <v>26.25</v>
      </c>
      <c r="EN184">
        <v>31</v>
      </c>
      <c r="EO184">
        <v>-5.1362500000000004</v>
      </c>
      <c r="EP184">
        <v>24</v>
      </c>
      <c r="EQ184">
        <v>-1.35</v>
      </c>
      <c r="ER184">
        <v>30</v>
      </c>
      <c r="ES184">
        <v>-20.662500000000001</v>
      </c>
      <c r="ET184">
        <v>20</v>
      </c>
      <c r="EU184">
        <v>-0.44999999999999996</v>
      </c>
      <c r="EV184">
        <v>9</v>
      </c>
      <c r="EW184">
        <v>12.333333333333334</v>
      </c>
      <c r="EX184">
        <v>4</v>
      </c>
      <c r="EY184">
        <v>1.9100000000000006</v>
      </c>
      <c r="EZ184">
        <v>14</v>
      </c>
      <c r="FA184">
        <v>0.57499999999999996</v>
      </c>
      <c r="FB184">
        <v>19</v>
      </c>
      <c r="FC184">
        <v>0.47499999999999964</v>
      </c>
      <c r="FD184">
        <v>1</v>
      </c>
      <c r="FE184">
        <v>1.5375000000000001</v>
      </c>
      <c r="FF184">
        <v>1</v>
      </c>
      <c r="FG184">
        <v>1</v>
      </c>
      <c r="FH184">
        <v>1</v>
      </c>
      <c r="FI184">
        <v>13.015500000000003</v>
      </c>
      <c r="FJ184">
        <v>1</v>
      </c>
      <c r="FK184">
        <v>62.887499999999989</v>
      </c>
      <c r="FL184">
        <v>1</v>
      </c>
      <c r="FM184">
        <v>6.7125000000000004</v>
      </c>
      <c r="FN184">
        <v>1</v>
      </c>
      <c r="FO184">
        <v>1</v>
      </c>
      <c r="FP184">
        <v>1</v>
      </c>
      <c r="FQ184">
        <v>9.1700000000000017</v>
      </c>
      <c r="FR184">
        <v>1</v>
      </c>
      <c r="FS184">
        <v>46.737499999999997</v>
      </c>
      <c r="FT184">
        <v>1</v>
      </c>
      <c r="FU184">
        <v>3.7875000000000005</v>
      </c>
      <c r="FV184">
        <v>16</v>
      </c>
      <c r="FW184">
        <v>16</v>
      </c>
      <c r="FX184">
        <v>25</v>
      </c>
      <c r="FY184">
        <v>-2.0049999999999999</v>
      </c>
      <c r="FZ184">
        <v>22</v>
      </c>
      <c r="GA184">
        <v>-3.2750000000000021</v>
      </c>
      <c r="GB184">
        <v>1</v>
      </c>
      <c r="GC184">
        <v>1.9875</v>
      </c>
      <c r="GD184">
        <v>1</v>
      </c>
      <c r="GE184">
        <v>2</v>
      </c>
      <c r="GF184">
        <v>1</v>
      </c>
      <c r="GG184">
        <v>5.8505000000000003</v>
      </c>
      <c r="GH184">
        <v>1</v>
      </c>
      <c r="GI184">
        <v>19.424999999999997</v>
      </c>
      <c r="GJ184">
        <v>4</v>
      </c>
      <c r="GK184">
        <v>0.9375</v>
      </c>
      <c r="GL184">
        <v>5</v>
      </c>
      <c r="GM184">
        <v>5.666666666666667</v>
      </c>
      <c r="GN184">
        <v>11</v>
      </c>
      <c r="GO184">
        <v>1.3724999999999978</v>
      </c>
      <c r="GP184">
        <v>4</v>
      </c>
      <c r="GQ184">
        <v>16.224999999999998</v>
      </c>
      <c r="GR184">
        <v>2</v>
      </c>
      <c r="GS184">
        <v>3.0625</v>
      </c>
      <c r="GT184">
        <v>20</v>
      </c>
      <c r="GU184">
        <v>20.666666666666668</v>
      </c>
      <c r="GV184">
        <v>24</v>
      </c>
      <c r="GW184">
        <v>-2.3462499999999991</v>
      </c>
      <c r="GX184">
        <v>19</v>
      </c>
      <c r="GY184">
        <v>-2.4624999999999986</v>
      </c>
      <c r="GZ184">
        <v>19</v>
      </c>
      <c r="HA184">
        <v>-0.26250000000000018</v>
      </c>
      <c r="HB184">
        <v>3</v>
      </c>
      <c r="HC184">
        <v>5</v>
      </c>
      <c r="HD184">
        <v>4</v>
      </c>
      <c r="HE184">
        <v>2.4375</v>
      </c>
      <c r="HF184">
        <v>6</v>
      </c>
      <c r="HG184">
        <v>0.75</v>
      </c>
      <c r="HH184">
        <v>-1.0000000000000002</v>
      </c>
      <c r="HI184">
        <v>28</v>
      </c>
      <c r="HJ184">
        <v>25</v>
      </c>
      <c r="HK184">
        <v>32</v>
      </c>
      <c r="HL184">
        <v>-6.9485241675346476E-2</v>
      </c>
      <c r="HM184">
        <v>29</v>
      </c>
      <c r="HN184">
        <v>-2.2085351089000439E-2</v>
      </c>
      <c r="HO184">
        <v>20</v>
      </c>
      <c r="HP184">
        <v>1.4760101010101001E-2</v>
      </c>
      <c r="HQ184">
        <v>19</v>
      </c>
      <c r="HR184">
        <v>-0.7</v>
      </c>
      <c r="HS184">
        <v>8.6000000000000014</v>
      </c>
      <c r="HT184">
        <v>0.17499999999999982</v>
      </c>
      <c r="HU184">
        <v>0.52500000000000002</v>
      </c>
      <c r="HV184">
        <v>57.437499999999986</v>
      </c>
      <c r="HW184">
        <v>74.825000000000003</v>
      </c>
      <c r="HX184">
        <v>-25.849999999999994</v>
      </c>
      <c r="HY184">
        <v>-1.7250000000000001</v>
      </c>
      <c r="HZ184">
        <v>10.1875</v>
      </c>
      <c r="IA184">
        <v>4</v>
      </c>
      <c r="IB184">
        <v>8.775999999999998</v>
      </c>
      <c r="IC184">
        <v>4.8569250000000013</v>
      </c>
      <c r="ID184">
        <v>100.675</v>
      </c>
      <c r="IE184">
        <v>29</v>
      </c>
      <c r="IF184">
        <v>1.9287812500000003</v>
      </c>
      <c r="IG184">
        <v>6.45</v>
      </c>
    </row>
    <row r="185" spans="1:241" x14ac:dyDescent="0.2">
      <c r="A185" s="19">
        <v>44129</v>
      </c>
      <c r="B185" s="13" t="s">
        <v>250</v>
      </c>
      <c r="C185" s="41" t="s">
        <v>295</v>
      </c>
      <c r="D185" s="14" t="s">
        <v>299</v>
      </c>
      <c r="E185">
        <v>17.7</v>
      </c>
      <c r="F185">
        <v>19.899999999999999</v>
      </c>
      <c r="G185">
        <v>11.4</v>
      </c>
      <c r="H185">
        <v>12.8</v>
      </c>
      <c r="I185">
        <v>-1</v>
      </c>
      <c r="J185">
        <v>54.5</v>
      </c>
      <c r="K185" t="s">
        <v>734</v>
      </c>
      <c r="L185" t="s">
        <v>295</v>
      </c>
      <c r="M185">
        <v>13</v>
      </c>
      <c r="N185">
        <v>0.96120000000000094</v>
      </c>
      <c r="O185">
        <v>19</v>
      </c>
      <c r="P185">
        <v>17.75</v>
      </c>
      <c r="Q185">
        <v>23</v>
      </c>
      <c r="R185">
        <v>-2.4209999999999976</v>
      </c>
      <c r="S185">
        <v>10</v>
      </c>
      <c r="T185">
        <v>1.87</v>
      </c>
      <c r="U185">
        <v>15</v>
      </c>
      <c r="V185">
        <v>2.009999999999998</v>
      </c>
      <c r="W185">
        <v>23</v>
      </c>
      <c r="X185">
        <v>-0.84000000000000019</v>
      </c>
      <c r="Y185">
        <v>26</v>
      </c>
      <c r="Z185">
        <v>24.333333333333332</v>
      </c>
      <c r="AA185">
        <v>26</v>
      </c>
      <c r="AB185">
        <v>-3.7849999999999979</v>
      </c>
      <c r="AC185">
        <v>12</v>
      </c>
      <c r="AD185">
        <v>1.35</v>
      </c>
      <c r="AE185">
        <v>18</v>
      </c>
      <c r="AF185">
        <v>3.9999999999997725E-2</v>
      </c>
      <c r="AG185">
        <v>29</v>
      </c>
      <c r="AH185">
        <v>-1.4600000000000002</v>
      </c>
      <c r="AI185">
        <v>4</v>
      </c>
      <c r="AJ185">
        <v>8.3333333333333339</v>
      </c>
      <c r="AK185">
        <v>8</v>
      </c>
      <c r="AL185">
        <v>1.3640000000000005</v>
      </c>
      <c r="AM185">
        <v>11</v>
      </c>
      <c r="AN185">
        <v>0.51999999999999991</v>
      </c>
      <c r="AO185">
        <v>10</v>
      </c>
      <c r="AP185">
        <v>1.9700000000000002</v>
      </c>
      <c r="AQ185">
        <v>7</v>
      </c>
      <c r="AR185">
        <v>0.62</v>
      </c>
      <c r="AS185">
        <v>3</v>
      </c>
      <c r="AT185">
        <v>6</v>
      </c>
      <c r="AU185">
        <v>6</v>
      </c>
      <c r="AV185">
        <v>5.6508000000000003</v>
      </c>
      <c r="AW185">
        <v>7</v>
      </c>
      <c r="AX185">
        <v>26.68</v>
      </c>
      <c r="AY185">
        <v>5</v>
      </c>
      <c r="AZ185">
        <v>2.6399999999999997</v>
      </c>
      <c r="BA185">
        <v>5</v>
      </c>
      <c r="BB185">
        <v>7</v>
      </c>
      <c r="BC185">
        <v>8</v>
      </c>
      <c r="BD185">
        <v>1.8690000000000004</v>
      </c>
      <c r="BE185">
        <v>3</v>
      </c>
      <c r="BF185">
        <v>19.389999999999997</v>
      </c>
      <c r="BG185">
        <v>10</v>
      </c>
      <c r="BH185">
        <v>0.46999999999999992</v>
      </c>
      <c r="BI185">
        <v>17</v>
      </c>
      <c r="BJ185">
        <v>16.333333333333332</v>
      </c>
      <c r="BK185">
        <v>13</v>
      </c>
      <c r="BL185">
        <v>0.68379999999999941</v>
      </c>
      <c r="BM185">
        <v>22</v>
      </c>
      <c r="BN185">
        <v>-5.669999999999999</v>
      </c>
      <c r="BO185">
        <v>14</v>
      </c>
      <c r="BP185">
        <v>0.46999999999999992</v>
      </c>
      <c r="BQ185">
        <v>2</v>
      </c>
      <c r="BR185">
        <v>4.333333333333333</v>
      </c>
      <c r="BS185">
        <v>3</v>
      </c>
      <c r="BT185">
        <v>3.0979999999999999</v>
      </c>
      <c r="BU185">
        <v>6</v>
      </c>
      <c r="BV185">
        <v>12.959999999999999</v>
      </c>
      <c r="BW185">
        <v>4</v>
      </c>
      <c r="BX185">
        <v>1.7</v>
      </c>
      <c r="BY185">
        <v>16</v>
      </c>
      <c r="BZ185">
        <v>14.666666666666666</v>
      </c>
      <c r="CA185">
        <v>14</v>
      </c>
      <c r="CB185">
        <v>-0.25500000000000045</v>
      </c>
      <c r="CC185">
        <v>14</v>
      </c>
      <c r="CD185">
        <v>5.0000000000001418E-2</v>
      </c>
      <c r="CE185">
        <v>16</v>
      </c>
      <c r="CF185">
        <v>-0.2299999999999999</v>
      </c>
      <c r="CG185">
        <v>14</v>
      </c>
      <c r="CH185">
        <v>14</v>
      </c>
      <c r="CI185">
        <v>14</v>
      </c>
      <c r="CJ185">
        <v>1.0339999999999994</v>
      </c>
      <c r="CK185">
        <v>16</v>
      </c>
      <c r="CL185">
        <v>-3.1999999999999984</v>
      </c>
      <c r="CM185">
        <v>12</v>
      </c>
      <c r="CN185">
        <v>0.59000000000000008</v>
      </c>
      <c r="CO185">
        <v>6</v>
      </c>
      <c r="CP185">
        <v>6.5</v>
      </c>
      <c r="CQ185">
        <v>7</v>
      </c>
      <c r="CR185">
        <v>1.5900000000000005</v>
      </c>
      <c r="CS185">
        <v>6</v>
      </c>
      <c r="CT185">
        <v>0.53999999999999992</v>
      </c>
      <c r="CU185">
        <v>-3.3299999999999996</v>
      </c>
      <c r="CV185">
        <v>14</v>
      </c>
      <c r="CW185">
        <v>16.25</v>
      </c>
      <c r="CX185">
        <v>12</v>
      </c>
      <c r="CY185">
        <v>6.1744358941614452E-3</v>
      </c>
      <c r="CZ185">
        <v>18</v>
      </c>
      <c r="DA185">
        <v>-6.6116597625820168E-4</v>
      </c>
      <c r="DB185">
        <v>8</v>
      </c>
      <c r="DC185">
        <v>-5.7643790849673179E-2</v>
      </c>
      <c r="DD185">
        <v>27</v>
      </c>
      <c r="DE185">
        <v>-1.95</v>
      </c>
      <c r="DF185">
        <v>4.7299999999999986</v>
      </c>
      <c r="DG185">
        <v>1.0600000000000009</v>
      </c>
      <c r="DH185">
        <v>-0.71</v>
      </c>
      <c r="DI185">
        <v>28.9</v>
      </c>
      <c r="DJ185">
        <v>36.33</v>
      </c>
      <c r="DK185">
        <v>3.25</v>
      </c>
      <c r="DL185">
        <v>-1.6599999999999997</v>
      </c>
      <c r="DM185">
        <v>-9.02</v>
      </c>
      <c r="DN185">
        <v>11</v>
      </c>
      <c r="DO185">
        <v>3.3821999999999983</v>
      </c>
      <c r="DP185">
        <v>2.7396999999999987</v>
      </c>
      <c r="DQ185">
        <v>33.08</v>
      </c>
      <c r="DR185">
        <v>22</v>
      </c>
      <c r="DS185">
        <v>0.85187500000000049</v>
      </c>
      <c r="DT185">
        <v>3.2299999999999995</v>
      </c>
      <c r="DU185">
        <v>1.3569562500000001</v>
      </c>
      <c r="DV185">
        <v>3.0394749999999999</v>
      </c>
      <c r="DW185" t="s">
        <v>299</v>
      </c>
      <c r="DX185" t="s">
        <v>258</v>
      </c>
      <c r="DY185" t="s">
        <v>478</v>
      </c>
      <c r="DZ185">
        <v>21</v>
      </c>
      <c r="EA185">
        <v>-2.112000000000001</v>
      </c>
      <c r="EB185">
        <v>9</v>
      </c>
      <c r="EC185">
        <v>12.25</v>
      </c>
      <c r="ED185">
        <v>10</v>
      </c>
      <c r="EE185">
        <v>2.1675000000000009</v>
      </c>
      <c r="EF185">
        <v>4</v>
      </c>
      <c r="EG185">
        <v>3.5249999999999995</v>
      </c>
      <c r="EH185">
        <v>4</v>
      </c>
      <c r="EI185">
        <v>27.525000000000002</v>
      </c>
      <c r="EJ185">
        <v>31</v>
      </c>
      <c r="EK185">
        <v>-1.9624999999999999</v>
      </c>
      <c r="EL185">
        <v>10</v>
      </c>
      <c r="EM185">
        <v>13</v>
      </c>
      <c r="EN185">
        <v>12</v>
      </c>
      <c r="EO185">
        <v>1.0487500000000001</v>
      </c>
      <c r="EP185">
        <v>5</v>
      </c>
      <c r="EQ185">
        <v>2.0999999999999996</v>
      </c>
      <c r="ER185">
        <v>5</v>
      </c>
      <c r="ES185">
        <v>15.600000000000001</v>
      </c>
      <c r="ET185">
        <v>30</v>
      </c>
      <c r="EU185">
        <v>-0.98750000000000004</v>
      </c>
      <c r="EV185">
        <v>5</v>
      </c>
      <c r="EW185">
        <v>6</v>
      </c>
      <c r="EX185">
        <v>10</v>
      </c>
      <c r="EY185">
        <v>1.1187500000000008</v>
      </c>
      <c r="EZ185">
        <v>4</v>
      </c>
      <c r="FA185">
        <v>1.4249999999999998</v>
      </c>
      <c r="FB185">
        <v>4</v>
      </c>
      <c r="FC185">
        <v>11.925000000000001</v>
      </c>
      <c r="FD185">
        <v>29</v>
      </c>
      <c r="FE185">
        <v>-0.97499999999999998</v>
      </c>
      <c r="FF185">
        <v>5</v>
      </c>
      <c r="FG185">
        <v>5.666666666666667</v>
      </c>
      <c r="FH185">
        <v>7</v>
      </c>
      <c r="FI185">
        <v>3.5037500000000001</v>
      </c>
      <c r="FJ185">
        <v>6</v>
      </c>
      <c r="FK185">
        <v>16.8125</v>
      </c>
      <c r="FL185">
        <v>4</v>
      </c>
      <c r="FM185">
        <v>1.7499999999999998</v>
      </c>
      <c r="FN185">
        <v>13</v>
      </c>
      <c r="FO185">
        <v>14</v>
      </c>
      <c r="FP185">
        <v>15</v>
      </c>
      <c r="FQ185">
        <v>0.19875000000000043</v>
      </c>
      <c r="FR185">
        <v>18</v>
      </c>
      <c r="FS185">
        <v>-2.6500000000000004</v>
      </c>
      <c r="FT185">
        <v>9</v>
      </c>
      <c r="FU185">
        <v>0.83749999999999991</v>
      </c>
      <c r="FV185">
        <v>1</v>
      </c>
      <c r="FW185">
        <v>2</v>
      </c>
      <c r="FX185">
        <v>3</v>
      </c>
      <c r="FY185">
        <v>5.7537500000000001</v>
      </c>
      <c r="FZ185">
        <v>1</v>
      </c>
      <c r="GA185">
        <v>32.987499999999997</v>
      </c>
      <c r="GB185">
        <v>2</v>
      </c>
      <c r="GC185">
        <v>1.4624999999999999</v>
      </c>
      <c r="GD185">
        <v>31</v>
      </c>
      <c r="GE185">
        <v>29.666666666666668</v>
      </c>
      <c r="GF185">
        <v>30</v>
      </c>
      <c r="GG185">
        <v>-2.4487500000000004</v>
      </c>
      <c r="GH185">
        <v>31</v>
      </c>
      <c r="GI185">
        <v>-13.525</v>
      </c>
      <c r="GJ185">
        <v>28</v>
      </c>
      <c r="GK185">
        <v>-0.55000000000000004</v>
      </c>
      <c r="GL185">
        <v>19</v>
      </c>
      <c r="GM185">
        <v>19.666666666666668</v>
      </c>
      <c r="GN185">
        <v>17</v>
      </c>
      <c r="GO185">
        <v>-0.81125000000000069</v>
      </c>
      <c r="GP185">
        <v>16</v>
      </c>
      <c r="GQ185">
        <v>0.51249999999999929</v>
      </c>
      <c r="GR185">
        <v>26</v>
      </c>
      <c r="GS185">
        <v>-1.2250000000000001</v>
      </c>
      <c r="GT185">
        <v>30</v>
      </c>
      <c r="GU185">
        <v>30</v>
      </c>
      <c r="GV185">
        <v>30</v>
      </c>
      <c r="GW185">
        <v>-4.6012500000000003</v>
      </c>
      <c r="GX185">
        <v>30</v>
      </c>
      <c r="GY185">
        <v>-17.387499999999999</v>
      </c>
      <c r="GZ185">
        <v>30</v>
      </c>
      <c r="HA185">
        <v>-2.125</v>
      </c>
      <c r="HB185">
        <v>26</v>
      </c>
      <c r="HC185">
        <v>26</v>
      </c>
      <c r="HD185">
        <v>26</v>
      </c>
      <c r="HE185">
        <v>-1.5624999999999998</v>
      </c>
      <c r="HF185">
        <v>26</v>
      </c>
      <c r="HG185">
        <v>-0.47499999999999998</v>
      </c>
      <c r="HH185">
        <v>1.4125000000000001</v>
      </c>
      <c r="HI185">
        <v>27</v>
      </c>
      <c r="HJ185">
        <v>22.75</v>
      </c>
      <c r="HK185">
        <v>23</v>
      </c>
      <c r="HL185">
        <v>-1.9523930867991653E-2</v>
      </c>
      <c r="HM185">
        <v>22</v>
      </c>
      <c r="HN185">
        <v>-6.3912190014208947E-3</v>
      </c>
      <c r="HO185">
        <v>25</v>
      </c>
      <c r="HP185">
        <v>5.8183760683760716E-2</v>
      </c>
      <c r="HQ185">
        <v>21</v>
      </c>
      <c r="HR185">
        <v>-1.3125</v>
      </c>
      <c r="HS185">
        <v>1.0875000000000021</v>
      </c>
      <c r="HT185">
        <v>0.8125</v>
      </c>
      <c r="HU185">
        <v>1.3125</v>
      </c>
      <c r="HV185">
        <v>-6.9125000000000085</v>
      </c>
      <c r="HW185">
        <v>-24.862500000000004</v>
      </c>
      <c r="HX185">
        <v>28.337499999999999</v>
      </c>
      <c r="HY185">
        <v>-2.0874999999999999</v>
      </c>
      <c r="HZ185">
        <v>-8.2999999999999989</v>
      </c>
      <c r="IA185">
        <v>24</v>
      </c>
      <c r="IB185">
        <v>-4.2795000000000023</v>
      </c>
      <c r="IC185">
        <v>-1.7256500000000008</v>
      </c>
      <c r="ID185">
        <v>-53.2</v>
      </c>
      <c r="IE185">
        <v>9</v>
      </c>
      <c r="IF185">
        <v>-0.32556249999999998</v>
      </c>
      <c r="IG185">
        <v>-0.37500000000000022</v>
      </c>
    </row>
    <row r="186" spans="1:241" x14ac:dyDescent="0.2">
      <c r="A186" s="19">
        <v>44129</v>
      </c>
      <c r="B186" s="13" t="s">
        <v>250</v>
      </c>
      <c r="C186" s="41" t="s">
        <v>276</v>
      </c>
      <c r="D186" s="14" t="s">
        <v>298</v>
      </c>
      <c r="E186">
        <v>10.8</v>
      </c>
      <c r="F186">
        <v>25.2</v>
      </c>
      <c r="G186">
        <v>2.1</v>
      </c>
      <c r="H186">
        <v>10.4</v>
      </c>
      <c r="I186">
        <v>-9</v>
      </c>
      <c r="J186">
        <v>47</v>
      </c>
      <c r="L186" t="s">
        <v>276</v>
      </c>
      <c r="M186">
        <v>4</v>
      </c>
      <c r="N186">
        <v>6.7204000000000006</v>
      </c>
      <c r="O186">
        <v>31</v>
      </c>
      <c r="P186">
        <v>29</v>
      </c>
      <c r="Q186">
        <v>32</v>
      </c>
      <c r="R186">
        <v>-9.1739999999999995</v>
      </c>
      <c r="S186">
        <v>24</v>
      </c>
      <c r="T186">
        <v>-1.9700000000000004</v>
      </c>
      <c r="U186">
        <v>28</v>
      </c>
      <c r="V186">
        <v>-21.94</v>
      </c>
      <c r="W186">
        <v>32</v>
      </c>
      <c r="X186">
        <v>-2.6799999999999997</v>
      </c>
      <c r="Y186">
        <v>31</v>
      </c>
      <c r="Z186">
        <v>27.333333333333332</v>
      </c>
      <c r="AA186">
        <v>30</v>
      </c>
      <c r="AB186">
        <v>-6.2969999999999997</v>
      </c>
      <c r="AC186">
        <v>20</v>
      </c>
      <c r="AD186">
        <v>-0.9500000000000004</v>
      </c>
      <c r="AE186">
        <v>26</v>
      </c>
      <c r="AF186">
        <v>-16.080000000000002</v>
      </c>
      <c r="AG186">
        <v>26</v>
      </c>
      <c r="AH186">
        <v>-1.25</v>
      </c>
      <c r="AI186">
        <v>31</v>
      </c>
      <c r="AJ186">
        <v>28.666666666666668</v>
      </c>
      <c r="AK186">
        <v>30</v>
      </c>
      <c r="AL186">
        <v>-2.8770000000000002</v>
      </c>
      <c r="AM186">
        <v>20</v>
      </c>
      <c r="AN186">
        <v>-1.02</v>
      </c>
      <c r="AO186">
        <v>24</v>
      </c>
      <c r="AP186">
        <v>-5.86</v>
      </c>
      <c r="AQ186">
        <v>32</v>
      </c>
      <c r="AR186">
        <v>-1.43</v>
      </c>
      <c r="AS186">
        <v>1</v>
      </c>
      <c r="AT186">
        <v>1.6666666666666667</v>
      </c>
      <c r="AU186">
        <v>2</v>
      </c>
      <c r="AV186">
        <v>12.068999999999999</v>
      </c>
      <c r="AW186">
        <v>1</v>
      </c>
      <c r="AX186">
        <v>58.889999999999993</v>
      </c>
      <c r="AY186">
        <v>2</v>
      </c>
      <c r="AZ186">
        <v>4.3599999999999994</v>
      </c>
      <c r="BA186">
        <v>1</v>
      </c>
      <c r="BB186">
        <v>1.3333333333333333</v>
      </c>
      <c r="BC186">
        <v>1</v>
      </c>
      <c r="BD186">
        <v>7.4859999999999989</v>
      </c>
      <c r="BE186">
        <v>1</v>
      </c>
      <c r="BF186">
        <v>28.829999999999995</v>
      </c>
      <c r="BG186">
        <v>2</v>
      </c>
      <c r="BH186">
        <v>2.42</v>
      </c>
      <c r="BI186">
        <v>8</v>
      </c>
      <c r="BJ186">
        <v>9</v>
      </c>
      <c r="BK186">
        <v>10</v>
      </c>
      <c r="BL186">
        <v>2.3769999999999998</v>
      </c>
      <c r="BM186">
        <v>8</v>
      </c>
      <c r="BN186">
        <v>14.669999999999998</v>
      </c>
      <c r="BO186">
        <v>9</v>
      </c>
      <c r="BP186">
        <v>0.99999999999999978</v>
      </c>
      <c r="BQ186">
        <v>4</v>
      </c>
      <c r="BR186">
        <v>6</v>
      </c>
      <c r="BS186">
        <v>6</v>
      </c>
      <c r="BT186">
        <v>2.2060000000000004</v>
      </c>
      <c r="BU186">
        <v>4</v>
      </c>
      <c r="BV186">
        <v>15.39</v>
      </c>
      <c r="BW186">
        <v>8</v>
      </c>
      <c r="BX186">
        <v>0.93999999999999984</v>
      </c>
      <c r="BY186">
        <v>3</v>
      </c>
      <c r="BZ186">
        <v>3.6666666666666665</v>
      </c>
      <c r="CA186">
        <v>4</v>
      </c>
      <c r="CB186">
        <v>6.4989999999999997</v>
      </c>
      <c r="CC186">
        <v>4</v>
      </c>
      <c r="CD186">
        <v>17.089999999999996</v>
      </c>
      <c r="CE186">
        <v>3</v>
      </c>
      <c r="CF186">
        <v>1.9400000000000002</v>
      </c>
      <c r="CG186">
        <v>30</v>
      </c>
      <c r="CH186">
        <v>28.666666666666668</v>
      </c>
      <c r="CI186">
        <v>28</v>
      </c>
      <c r="CJ186">
        <v>-3.4980000000000002</v>
      </c>
      <c r="CK186">
        <v>28</v>
      </c>
      <c r="CL186">
        <v>-15.280000000000001</v>
      </c>
      <c r="CM186">
        <v>30</v>
      </c>
      <c r="CN186">
        <v>-2.3200000000000003</v>
      </c>
      <c r="CO186">
        <v>21</v>
      </c>
      <c r="CP186">
        <v>21.5</v>
      </c>
      <c r="CQ186">
        <v>19</v>
      </c>
      <c r="CR186">
        <v>-0.76999999999999991</v>
      </c>
      <c r="CS186">
        <v>24</v>
      </c>
      <c r="CT186">
        <v>-0.35</v>
      </c>
      <c r="CU186">
        <v>-0.95000000000000018</v>
      </c>
      <c r="CV186">
        <v>21</v>
      </c>
      <c r="CW186">
        <v>19.75</v>
      </c>
      <c r="CX186">
        <v>6</v>
      </c>
      <c r="CY186">
        <v>4.5159965993298821E-2</v>
      </c>
      <c r="CZ186">
        <v>27</v>
      </c>
      <c r="DA186">
        <v>-2.0215723699290741E-2</v>
      </c>
      <c r="DB186">
        <v>15</v>
      </c>
      <c r="DC186">
        <v>-4.2595737595737425E-3</v>
      </c>
      <c r="DD186">
        <v>31</v>
      </c>
      <c r="DE186">
        <v>-2.4300000000000002</v>
      </c>
      <c r="DF186">
        <v>-4.4699999999999989</v>
      </c>
      <c r="DG186">
        <v>2.8900000000000006</v>
      </c>
      <c r="DH186">
        <v>-0.63</v>
      </c>
      <c r="DI186">
        <v>-10.739999999999998</v>
      </c>
      <c r="DJ186">
        <v>24.76</v>
      </c>
      <c r="DK186">
        <v>-32.130000000000003</v>
      </c>
      <c r="DL186">
        <v>-2.8899999999999997</v>
      </c>
      <c r="DM186">
        <v>-0.4799999999999997</v>
      </c>
      <c r="DN186">
        <v>1</v>
      </c>
      <c r="DO186">
        <v>15.894400000000001</v>
      </c>
      <c r="DP186">
        <v>7.6452799999999987</v>
      </c>
      <c r="DQ186">
        <v>56.89</v>
      </c>
      <c r="DR186">
        <v>32</v>
      </c>
      <c r="DS186">
        <v>0.66842499999999994</v>
      </c>
      <c r="DT186">
        <v>2.0399999999999991</v>
      </c>
      <c r="DU186">
        <v>0.35889999999999989</v>
      </c>
      <c r="DV186">
        <v>0.27059999999999973</v>
      </c>
      <c r="DW186" t="s">
        <v>298</v>
      </c>
      <c r="DX186" t="s">
        <v>262</v>
      </c>
      <c r="DY186" t="s">
        <v>473</v>
      </c>
      <c r="DZ186">
        <v>17</v>
      </c>
      <c r="EA186">
        <v>-0.64440000000000064</v>
      </c>
      <c r="EB186">
        <v>4</v>
      </c>
      <c r="EC186">
        <v>9.75</v>
      </c>
      <c r="ED186">
        <v>5</v>
      </c>
      <c r="EE186">
        <v>4.5080000000000009</v>
      </c>
      <c r="EF186">
        <v>11</v>
      </c>
      <c r="EG186">
        <v>1.47</v>
      </c>
      <c r="EH186">
        <v>9</v>
      </c>
      <c r="EI186">
        <v>12.920000000000002</v>
      </c>
      <c r="EJ186">
        <v>14</v>
      </c>
      <c r="EK186">
        <v>0.1599999999999997</v>
      </c>
      <c r="EL186">
        <v>12</v>
      </c>
      <c r="EM186">
        <v>14</v>
      </c>
      <c r="EN186">
        <v>7</v>
      </c>
      <c r="EO186">
        <v>2.5630000000000002</v>
      </c>
      <c r="EP186">
        <v>14</v>
      </c>
      <c r="EQ186">
        <v>0.10999999999999979</v>
      </c>
      <c r="ER186">
        <v>7</v>
      </c>
      <c r="ES186">
        <v>10.520000000000001</v>
      </c>
      <c r="ET186">
        <v>28</v>
      </c>
      <c r="EU186">
        <v>-0.88000000000000012</v>
      </c>
      <c r="EV186">
        <v>6</v>
      </c>
      <c r="EW186">
        <v>7.333333333333333</v>
      </c>
      <c r="EX186">
        <v>3</v>
      </c>
      <c r="EY186">
        <v>1.945000000000001</v>
      </c>
      <c r="EZ186">
        <v>6</v>
      </c>
      <c r="FA186">
        <v>1.36</v>
      </c>
      <c r="FB186">
        <v>13</v>
      </c>
      <c r="FC186">
        <v>2.4000000000000004</v>
      </c>
      <c r="FD186">
        <v>3</v>
      </c>
      <c r="FE186">
        <v>1.0399999999999998</v>
      </c>
      <c r="FF186">
        <v>19</v>
      </c>
      <c r="FG186">
        <v>18</v>
      </c>
      <c r="FH186">
        <v>18</v>
      </c>
      <c r="FI186">
        <v>-0.56499999999999995</v>
      </c>
      <c r="FJ186">
        <v>11</v>
      </c>
      <c r="FK186">
        <v>8.0800000000000018</v>
      </c>
      <c r="FL186">
        <v>25</v>
      </c>
      <c r="FM186">
        <v>-1.59</v>
      </c>
      <c r="FN186">
        <v>16</v>
      </c>
      <c r="FO186">
        <v>16</v>
      </c>
      <c r="FP186">
        <v>12</v>
      </c>
      <c r="FQ186">
        <v>0.74200000000000033</v>
      </c>
      <c r="FR186">
        <v>8</v>
      </c>
      <c r="FS186">
        <v>11.06</v>
      </c>
      <c r="FT186">
        <v>28</v>
      </c>
      <c r="FU186">
        <v>-1.44</v>
      </c>
      <c r="FV186">
        <v>19</v>
      </c>
      <c r="FW186">
        <v>19.333333333333332</v>
      </c>
      <c r="FX186">
        <v>19</v>
      </c>
      <c r="FY186">
        <v>-0.73900000000000043</v>
      </c>
      <c r="FZ186">
        <v>14</v>
      </c>
      <c r="GA186">
        <v>-2.9999999999999714E-2</v>
      </c>
      <c r="GB186">
        <v>25</v>
      </c>
      <c r="GC186">
        <v>-0.54</v>
      </c>
      <c r="GD186">
        <v>14</v>
      </c>
      <c r="GE186">
        <v>16.333333333333332</v>
      </c>
      <c r="GF186">
        <v>19</v>
      </c>
      <c r="GG186">
        <v>-0.56799999999999984</v>
      </c>
      <c r="GH186">
        <v>21</v>
      </c>
      <c r="GI186">
        <v>-2.9499999999999984</v>
      </c>
      <c r="GJ186">
        <v>9</v>
      </c>
      <c r="GK186">
        <v>0.38999999999999985</v>
      </c>
      <c r="GL186">
        <v>26</v>
      </c>
      <c r="GM186">
        <v>24</v>
      </c>
      <c r="GN186">
        <v>24</v>
      </c>
      <c r="GO186">
        <v>-2.0439999999999992</v>
      </c>
      <c r="GP186">
        <v>18</v>
      </c>
      <c r="GQ186">
        <v>-2.5400000000000005</v>
      </c>
      <c r="GR186">
        <v>30</v>
      </c>
      <c r="GS186">
        <v>-2.2599999999999998</v>
      </c>
      <c r="GT186">
        <v>24</v>
      </c>
      <c r="GU186">
        <v>23.333333333333332</v>
      </c>
      <c r="GV186">
        <v>16</v>
      </c>
      <c r="GW186">
        <v>0.38900000000000057</v>
      </c>
      <c r="GX186">
        <v>26</v>
      </c>
      <c r="GY186">
        <v>-8.15</v>
      </c>
      <c r="GZ186">
        <v>28</v>
      </c>
      <c r="HA186">
        <v>-1.31</v>
      </c>
      <c r="HB186">
        <v>19</v>
      </c>
      <c r="HC186">
        <v>18.5</v>
      </c>
      <c r="HD186">
        <v>15</v>
      </c>
      <c r="HE186">
        <v>-0.11000000000000014</v>
      </c>
      <c r="HF186">
        <v>22</v>
      </c>
      <c r="HG186">
        <v>-0.36999999999999994</v>
      </c>
      <c r="HH186">
        <v>3.63</v>
      </c>
      <c r="HI186">
        <v>17</v>
      </c>
      <c r="HJ186">
        <v>17.25</v>
      </c>
      <c r="HK186">
        <v>17</v>
      </c>
      <c r="HL186">
        <v>6.649989579673582E-3</v>
      </c>
      <c r="HM186">
        <v>27</v>
      </c>
      <c r="HN186">
        <v>-1.841222774586463E-2</v>
      </c>
      <c r="HO186">
        <v>2</v>
      </c>
      <c r="HP186">
        <v>-0.13781814384445967</v>
      </c>
      <c r="HQ186">
        <v>23</v>
      </c>
      <c r="HR186">
        <v>-1.4600000000000002</v>
      </c>
      <c r="HS186">
        <v>-2.85</v>
      </c>
      <c r="HT186">
        <v>2.8600000000000003</v>
      </c>
      <c r="HU186">
        <v>2.2800000000000002</v>
      </c>
      <c r="HV186">
        <v>9.5799999999999947</v>
      </c>
      <c r="HW186">
        <v>-2.6000000000000112</v>
      </c>
      <c r="HX186">
        <v>27.04</v>
      </c>
      <c r="HY186">
        <v>-5.2</v>
      </c>
      <c r="HZ186">
        <v>-9.66</v>
      </c>
      <c r="IA186">
        <v>25</v>
      </c>
      <c r="IB186">
        <v>-5.1524000000000019</v>
      </c>
      <c r="IC186">
        <v>-2.4180800000000002</v>
      </c>
      <c r="ID186">
        <v>-29.640000000000011</v>
      </c>
      <c r="IE186">
        <v>8</v>
      </c>
      <c r="IF186">
        <v>0.4472000000000001</v>
      </c>
      <c r="IG186">
        <v>-2.9000000000000004</v>
      </c>
    </row>
    <row r="187" spans="1:241" x14ac:dyDescent="0.2">
      <c r="A187" s="19">
        <v>44129</v>
      </c>
      <c r="B187" s="13" t="s">
        <v>250</v>
      </c>
      <c r="C187" s="41" t="s">
        <v>301</v>
      </c>
      <c r="D187" s="14" t="s">
        <v>307</v>
      </c>
      <c r="E187">
        <v>13.4</v>
      </c>
      <c r="F187">
        <v>25.3</v>
      </c>
      <c r="G187">
        <v>17.3</v>
      </c>
      <c r="H187">
        <v>2.1</v>
      </c>
      <c r="I187">
        <v>7</v>
      </c>
      <c r="J187">
        <v>49.5</v>
      </c>
      <c r="K187" t="s">
        <v>735</v>
      </c>
      <c r="L187" t="s">
        <v>301</v>
      </c>
      <c r="M187">
        <v>21</v>
      </c>
      <c r="N187">
        <v>-2.4065999999999996</v>
      </c>
      <c r="O187">
        <v>5</v>
      </c>
      <c r="P187">
        <v>8.5</v>
      </c>
      <c r="Q187">
        <v>4</v>
      </c>
      <c r="R187">
        <v>8.4130000000000003</v>
      </c>
      <c r="S187">
        <v>11</v>
      </c>
      <c r="T187">
        <v>1.3700000000000003</v>
      </c>
      <c r="U187">
        <v>12</v>
      </c>
      <c r="V187">
        <v>8.1399999999999988</v>
      </c>
      <c r="W187">
        <v>7</v>
      </c>
      <c r="X187">
        <v>1.4599999999999997</v>
      </c>
      <c r="Y187">
        <v>2</v>
      </c>
      <c r="Z187">
        <v>6</v>
      </c>
      <c r="AA187">
        <v>3</v>
      </c>
      <c r="AB187">
        <v>6.9980000000000002</v>
      </c>
      <c r="AC187">
        <v>8</v>
      </c>
      <c r="AD187">
        <v>2.4200000000000004</v>
      </c>
      <c r="AE187">
        <v>10</v>
      </c>
      <c r="AF187">
        <v>9.6</v>
      </c>
      <c r="AG187">
        <v>5</v>
      </c>
      <c r="AH187">
        <v>1.2799999999999998</v>
      </c>
      <c r="AI187">
        <v>8</v>
      </c>
      <c r="AJ187">
        <v>11.666666666666666</v>
      </c>
      <c r="AK187">
        <v>7</v>
      </c>
      <c r="AL187">
        <v>1.4150000000000003</v>
      </c>
      <c r="AM187">
        <v>22</v>
      </c>
      <c r="AN187">
        <v>-1.05</v>
      </c>
      <c r="AO187">
        <v>15</v>
      </c>
      <c r="AP187">
        <v>-1.4600000000000002</v>
      </c>
      <c r="AQ187">
        <v>13</v>
      </c>
      <c r="AR187">
        <v>0.17999999999999988</v>
      </c>
      <c r="AS187">
        <v>7</v>
      </c>
      <c r="AT187">
        <v>8.3333333333333339</v>
      </c>
      <c r="AU187">
        <v>11</v>
      </c>
      <c r="AV187">
        <v>3.3529999999999989</v>
      </c>
      <c r="AW187">
        <v>3</v>
      </c>
      <c r="AX187">
        <v>37.1</v>
      </c>
      <c r="AY187">
        <v>11</v>
      </c>
      <c r="AZ187">
        <v>0.82000000000000017</v>
      </c>
      <c r="BA187">
        <v>16</v>
      </c>
      <c r="BB187">
        <v>18.333333333333332</v>
      </c>
      <c r="BC187">
        <v>24</v>
      </c>
      <c r="BD187">
        <v>-1.3010000000000008</v>
      </c>
      <c r="BE187">
        <v>10</v>
      </c>
      <c r="BF187">
        <v>7.1399999999999979</v>
      </c>
      <c r="BG187">
        <v>21</v>
      </c>
      <c r="BH187">
        <v>-0.73999999999999988</v>
      </c>
      <c r="BI187">
        <v>5</v>
      </c>
      <c r="BJ187">
        <v>5.666666666666667</v>
      </c>
      <c r="BK187">
        <v>8</v>
      </c>
      <c r="BL187">
        <v>2.899</v>
      </c>
      <c r="BM187">
        <v>5</v>
      </c>
      <c r="BN187">
        <v>25.96</v>
      </c>
      <c r="BO187">
        <v>4</v>
      </c>
      <c r="BP187">
        <v>1.92</v>
      </c>
      <c r="BQ187">
        <v>15</v>
      </c>
      <c r="BR187">
        <v>14.666666666666666</v>
      </c>
      <c r="BS187">
        <v>9</v>
      </c>
      <c r="BT187">
        <v>1.7549999999999997</v>
      </c>
      <c r="BU187">
        <v>15</v>
      </c>
      <c r="BV187">
        <v>4</v>
      </c>
      <c r="BW187">
        <v>20</v>
      </c>
      <c r="BX187">
        <v>-0.36</v>
      </c>
      <c r="BY187">
        <v>25</v>
      </c>
      <c r="BZ187">
        <v>25.333333333333332</v>
      </c>
      <c r="CA187">
        <v>25</v>
      </c>
      <c r="CB187">
        <v>-4.0939999999999994</v>
      </c>
      <c r="CC187">
        <v>22</v>
      </c>
      <c r="CD187">
        <v>-8.2399999999999984</v>
      </c>
      <c r="CE187">
        <v>29</v>
      </c>
      <c r="CF187">
        <v>-1.7200000000000002</v>
      </c>
      <c r="CG187">
        <v>32</v>
      </c>
      <c r="CH187">
        <v>32</v>
      </c>
      <c r="CI187">
        <v>32</v>
      </c>
      <c r="CJ187">
        <v>-8.1829999999999998</v>
      </c>
      <c r="CK187">
        <v>32</v>
      </c>
      <c r="CL187">
        <v>-34.53</v>
      </c>
      <c r="CM187">
        <v>32</v>
      </c>
      <c r="CN187">
        <v>-3.7299999999999995</v>
      </c>
      <c r="CO187">
        <v>9</v>
      </c>
      <c r="CP187">
        <v>8</v>
      </c>
      <c r="CQ187">
        <v>12</v>
      </c>
      <c r="CR187">
        <v>0.98000000000000009</v>
      </c>
      <c r="CS187">
        <v>4</v>
      </c>
      <c r="CT187">
        <v>0.63</v>
      </c>
      <c r="CU187">
        <v>0.79</v>
      </c>
      <c r="CV187">
        <v>20</v>
      </c>
      <c r="CW187">
        <v>19.5</v>
      </c>
      <c r="CX187">
        <v>28</v>
      </c>
      <c r="CY187">
        <v>-6.5359545910952568E-2</v>
      </c>
      <c r="CZ187">
        <v>19</v>
      </c>
      <c r="DA187">
        <v>-1.459539977263058E-3</v>
      </c>
      <c r="DB187">
        <v>14</v>
      </c>
      <c r="DC187">
        <v>-4.4172077922077554E-3</v>
      </c>
      <c r="DD187">
        <v>17</v>
      </c>
      <c r="DE187">
        <v>-0.65999999999999992</v>
      </c>
      <c r="DF187">
        <v>-1.45</v>
      </c>
      <c r="DG187">
        <v>-0.4799999999999997</v>
      </c>
      <c r="DH187">
        <v>-0.27999999999999997</v>
      </c>
      <c r="DI187">
        <v>19.529999999999994</v>
      </c>
      <c r="DJ187">
        <v>3.6099999999999968</v>
      </c>
      <c r="DK187">
        <v>3.6400000000000006</v>
      </c>
      <c r="DL187">
        <v>6.45</v>
      </c>
      <c r="DM187">
        <v>5.8300000000000018</v>
      </c>
      <c r="DN187">
        <v>30</v>
      </c>
      <c r="DO187">
        <v>-10.819600000000001</v>
      </c>
      <c r="DP187">
        <v>-5.6538199999999996</v>
      </c>
      <c r="DQ187">
        <v>-3.0000000000003801E-2</v>
      </c>
      <c r="DR187">
        <v>3</v>
      </c>
      <c r="DS187">
        <v>0.2695499999999999</v>
      </c>
      <c r="DT187">
        <v>-2.9099999999999993</v>
      </c>
      <c r="DU187">
        <v>-0.40395625000000002</v>
      </c>
      <c r="DV187">
        <v>-1.231975</v>
      </c>
      <c r="DW187" t="s">
        <v>307</v>
      </c>
      <c r="DX187" t="s">
        <v>269</v>
      </c>
      <c r="DY187" t="s">
        <v>457</v>
      </c>
      <c r="DZ187">
        <v>9</v>
      </c>
      <c r="EA187">
        <v>2.955000000000001</v>
      </c>
      <c r="EB187">
        <v>28</v>
      </c>
      <c r="EC187">
        <v>23.5</v>
      </c>
      <c r="ED187">
        <v>29</v>
      </c>
      <c r="EE187">
        <v>-4.4312500000000004</v>
      </c>
      <c r="EF187">
        <v>17</v>
      </c>
      <c r="EG187">
        <v>-0.125</v>
      </c>
      <c r="EH187">
        <v>22</v>
      </c>
      <c r="EI187">
        <v>-10.625</v>
      </c>
      <c r="EJ187">
        <v>26</v>
      </c>
      <c r="EK187">
        <v>-1</v>
      </c>
      <c r="EL187">
        <v>18</v>
      </c>
      <c r="EM187">
        <v>18.25</v>
      </c>
      <c r="EN187">
        <v>30</v>
      </c>
      <c r="EO187">
        <v>-4.1312499999999996</v>
      </c>
      <c r="EP187">
        <v>2</v>
      </c>
      <c r="EQ187">
        <v>2.25</v>
      </c>
      <c r="ER187">
        <v>19</v>
      </c>
      <c r="ES187">
        <v>-2.8125</v>
      </c>
      <c r="ET187">
        <v>22</v>
      </c>
      <c r="EU187">
        <v>-0.625</v>
      </c>
      <c r="EV187">
        <v>28</v>
      </c>
      <c r="EW187">
        <v>24.333333333333332</v>
      </c>
      <c r="EX187">
        <v>17</v>
      </c>
      <c r="EY187">
        <v>-0.30000000000000071</v>
      </c>
      <c r="EZ187">
        <v>30</v>
      </c>
      <c r="FA187">
        <v>-2.375</v>
      </c>
      <c r="FB187">
        <v>26</v>
      </c>
      <c r="FC187">
        <v>-7.8125</v>
      </c>
      <c r="FD187">
        <v>22</v>
      </c>
      <c r="FE187">
        <v>-0.375</v>
      </c>
      <c r="FF187">
        <v>22</v>
      </c>
      <c r="FG187">
        <v>22</v>
      </c>
      <c r="FH187">
        <v>14</v>
      </c>
      <c r="FI187">
        <v>0.78124999999999956</v>
      </c>
      <c r="FJ187">
        <v>23</v>
      </c>
      <c r="FK187">
        <v>-6.0625</v>
      </c>
      <c r="FL187">
        <v>29</v>
      </c>
      <c r="FM187">
        <v>-2.3125</v>
      </c>
      <c r="FN187">
        <v>27</v>
      </c>
      <c r="FO187">
        <v>26</v>
      </c>
      <c r="FP187">
        <v>20</v>
      </c>
      <c r="FQ187">
        <v>-1.3000000000000007</v>
      </c>
      <c r="FR187">
        <v>27</v>
      </c>
      <c r="FS187">
        <v>-10.125</v>
      </c>
      <c r="FT187">
        <v>31</v>
      </c>
      <c r="FU187">
        <v>-2.5</v>
      </c>
      <c r="FV187">
        <v>7</v>
      </c>
      <c r="FW187">
        <v>8.6666666666666661</v>
      </c>
      <c r="FX187">
        <v>4</v>
      </c>
      <c r="FY187">
        <v>3.2875000000000001</v>
      </c>
      <c r="FZ187">
        <v>9</v>
      </c>
      <c r="GA187">
        <v>5.375</v>
      </c>
      <c r="GB187">
        <v>13</v>
      </c>
      <c r="GC187">
        <v>0.25</v>
      </c>
      <c r="GD187">
        <v>20</v>
      </c>
      <c r="GE187">
        <v>18.333333333333332</v>
      </c>
      <c r="GF187">
        <v>24</v>
      </c>
      <c r="GG187">
        <v>-1.2062499999999998</v>
      </c>
      <c r="GH187">
        <v>16</v>
      </c>
      <c r="GI187">
        <v>-1.3125</v>
      </c>
      <c r="GJ187">
        <v>15</v>
      </c>
      <c r="GK187">
        <v>-6.25E-2</v>
      </c>
      <c r="GL187">
        <v>27</v>
      </c>
      <c r="GM187">
        <v>26.333333333333332</v>
      </c>
      <c r="GN187">
        <v>25</v>
      </c>
      <c r="GO187">
        <v>-2.0500000000000007</v>
      </c>
      <c r="GP187">
        <v>27</v>
      </c>
      <c r="GQ187">
        <v>-10.5</v>
      </c>
      <c r="GR187">
        <v>27</v>
      </c>
      <c r="GS187">
        <v>-1.3125</v>
      </c>
      <c r="GT187">
        <v>7</v>
      </c>
      <c r="GU187">
        <v>8</v>
      </c>
      <c r="GV187">
        <v>3</v>
      </c>
      <c r="GW187">
        <v>4.2125000000000004</v>
      </c>
      <c r="GX187">
        <v>18</v>
      </c>
      <c r="GY187">
        <v>-2.25</v>
      </c>
      <c r="GZ187">
        <v>3</v>
      </c>
      <c r="HA187">
        <v>1.8125</v>
      </c>
      <c r="HB187">
        <v>22</v>
      </c>
      <c r="HC187">
        <v>20.5</v>
      </c>
      <c r="HD187">
        <v>16</v>
      </c>
      <c r="HE187">
        <v>-0.125</v>
      </c>
      <c r="HF187">
        <v>25</v>
      </c>
      <c r="HG187">
        <v>-0.4375</v>
      </c>
      <c r="HH187">
        <v>-1.25</v>
      </c>
      <c r="HI187">
        <v>8</v>
      </c>
      <c r="HJ187">
        <v>12.5</v>
      </c>
      <c r="HK187">
        <v>4</v>
      </c>
      <c r="HL187">
        <v>4.4042753518949707E-2</v>
      </c>
      <c r="HM187">
        <v>12</v>
      </c>
      <c r="HN187">
        <v>7.9525191375591289E-3</v>
      </c>
      <c r="HO187">
        <v>4</v>
      </c>
      <c r="HP187">
        <v>-9.5240768218709415E-2</v>
      </c>
      <c r="HQ187">
        <v>30</v>
      </c>
      <c r="HR187">
        <v>-3.1875</v>
      </c>
      <c r="HS187">
        <v>0.5</v>
      </c>
      <c r="HT187">
        <v>5.125</v>
      </c>
      <c r="HU187">
        <v>-0.875</v>
      </c>
      <c r="HV187">
        <v>-28.75</v>
      </c>
      <c r="HW187">
        <v>-12.6875</v>
      </c>
      <c r="HX187">
        <v>-16.5625</v>
      </c>
      <c r="HY187">
        <v>-0.125</v>
      </c>
      <c r="HZ187">
        <v>0.625</v>
      </c>
      <c r="IA187">
        <v>6</v>
      </c>
      <c r="IB187">
        <v>7.3862500000000013</v>
      </c>
      <c r="IC187">
        <v>3.8053750000000006</v>
      </c>
      <c r="ID187">
        <v>3.875</v>
      </c>
      <c r="IE187">
        <v>27</v>
      </c>
      <c r="IF187">
        <v>0.42406250000000006</v>
      </c>
      <c r="IG187">
        <v>-0.5</v>
      </c>
    </row>
    <row r="188" spans="1:241" x14ac:dyDescent="0.2">
      <c r="A188" s="19">
        <v>44129</v>
      </c>
      <c r="B188" s="13" t="s">
        <v>250</v>
      </c>
      <c r="C188" s="41" t="s">
        <v>265</v>
      </c>
      <c r="D188" s="13" t="s">
        <v>304</v>
      </c>
      <c r="E188">
        <v>11</v>
      </c>
      <c r="F188">
        <v>5</v>
      </c>
      <c r="G188">
        <v>7</v>
      </c>
      <c r="H188">
        <v>8.1</v>
      </c>
      <c r="I188">
        <v>6</v>
      </c>
      <c r="J188">
        <v>44.5</v>
      </c>
      <c r="L188" t="s">
        <v>265</v>
      </c>
      <c r="M188">
        <v>15</v>
      </c>
      <c r="N188">
        <v>0.16480000000000139</v>
      </c>
      <c r="O188">
        <v>28</v>
      </c>
      <c r="P188">
        <v>25.25</v>
      </c>
      <c r="Q188">
        <v>29</v>
      </c>
      <c r="R188">
        <v>-6.8920000000000012</v>
      </c>
      <c r="S188">
        <v>25</v>
      </c>
      <c r="T188">
        <v>-2.9600000000000004</v>
      </c>
      <c r="U188">
        <v>25</v>
      </c>
      <c r="V188">
        <v>-16.440000000000001</v>
      </c>
      <c r="W188">
        <v>22</v>
      </c>
      <c r="X188">
        <v>-0.84</v>
      </c>
      <c r="Y188">
        <v>22</v>
      </c>
      <c r="Z188">
        <v>19.333333333333332</v>
      </c>
      <c r="AA188">
        <v>23</v>
      </c>
      <c r="AB188">
        <v>-1.9560000000000008</v>
      </c>
      <c r="AC188">
        <v>15</v>
      </c>
      <c r="AD188">
        <v>0.23999999999999985</v>
      </c>
      <c r="AE188">
        <v>22</v>
      </c>
      <c r="AF188">
        <v>-7.32</v>
      </c>
      <c r="AG188">
        <v>13</v>
      </c>
      <c r="AH188">
        <v>0.43999999999999984</v>
      </c>
      <c r="AI188">
        <v>32</v>
      </c>
      <c r="AJ188">
        <v>30</v>
      </c>
      <c r="AK188">
        <v>32</v>
      </c>
      <c r="AL188">
        <v>-4.9359999999999999</v>
      </c>
      <c r="AM188">
        <v>30</v>
      </c>
      <c r="AN188">
        <v>-3.2</v>
      </c>
      <c r="AO188">
        <v>28</v>
      </c>
      <c r="AP188">
        <v>-9.120000000000001</v>
      </c>
      <c r="AQ188">
        <v>30</v>
      </c>
      <c r="AR188">
        <v>-1.2799999999999998</v>
      </c>
      <c r="AS188">
        <v>20</v>
      </c>
      <c r="AT188">
        <v>19.333333333333332</v>
      </c>
      <c r="AU188">
        <v>23</v>
      </c>
      <c r="AV188">
        <v>-3.3624000000000001</v>
      </c>
      <c r="AW188">
        <v>27</v>
      </c>
      <c r="AX188">
        <v>-27.680000000000007</v>
      </c>
      <c r="AY188">
        <v>8</v>
      </c>
      <c r="AZ188">
        <v>1.6400000000000001</v>
      </c>
      <c r="BA188">
        <v>5</v>
      </c>
      <c r="BB188">
        <v>7</v>
      </c>
      <c r="BC188">
        <v>7</v>
      </c>
      <c r="BD188">
        <v>2.2712000000000003</v>
      </c>
      <c r="BE188">
        <v>9</v>
      </c>
      <c r="BF188">
        <v>7.3199999999999976</v>
      </c>
      <c r="BG188">
        <v>5</v>
      </c>
      <c r="BH188">
        <v>1.7600000000000002</v>
      </c>
      <c r="BI188">
        <v>32</v>
      </c>
      <c r="BJ188">
        <v>30.333333333333332</v>
      </c>
      <c r="BK188">
        <v>31</v>
      </c>
      <c r="BL188">
        <v>-6.6120000000000001</v>
      </c>
      <c r="BM188">
        <v>32</v>
      </c>
      <c r="BN188">
        <v>-39.200000000000003</v>
      </c>
      <c r="BO188">
        <v>28</v>
      </c>
      <c r="BP188">
        <v>-1.6</v>
      </c>
      <c r="BQ188">
        <v>10</v>
      </c>
      <c r="BR188">
        <v>10.333333333333334</v>
      </c>
      <c r="BS188">
        <v>12</v>
      </c>
      <c r="BT188">
        <v>0.97839999999999971</v>
      </c>
      <c r="BU188">
        <v>14</v>
      </c>
      <c r="BV188">
        <v>4.2</v>
      </c>
      <c r="BW188">
        <v>5</v>
      </c>
      <c r="BX188">
        <v>1.48</v>
      </c>
      <c r="BY188">
        <v>14</v>
      </c>
      <c r="BZ188">
        <v>13.333333333333334</v>
      </c>
      <c r="CA188">
        <v>16</v>
      </c>
      <c r="CB188">
        <v>-0.84000000000000052</v>
      </c>
      <c r="CC188">
        <v>18</v>
      </c>
      <c r="CD188">
        <v>-5.1999999999999975</v>
      </c>
      <c r="CE188">
        <v>6</v>
      </c>
      <c r="CF188">
        <v>1.5199999999999996</v>
      </c>
      <c r="CG188">
        <v>7</v>
      </c>
      <c r="CH188">
        <v>9.6666666666666661</v>
      </c>
      <c r="CI188">
        <v>7</v>
      </c>
      <c r="CJ188">
        <v>2.6920000000000002</v>
      </c>
      <c r="CK188">
        <v>14</v>
      </c>
      <c r="CL188">
        <v>3.3199999999999994</v>
      </c>
      <c r="CM188">
        <v>8</v>
      </c>
      <c r="CN188">
        <v>0.95999999999999974</v>
      </c>
      <c r="CO188">
        <v>12</v>
      </c>
      <c r="CP188">
        <v>13.5</v>
      </c>
      <c r="CQ188">
        <v>15</v>
      </c>
      <c r="CR188">
        <v>-4.0000000000000036E-2</v>
      </c>
      <c r="CS188">
        <v>12</v>
      </c>
      <c r="CT188">
        <v>0.23999999999999994</v>
      </c>
      <c r="CU188">
        <v>1.8800000000000001</v>
      </c>
      <c r="CV188">
        <v>21</v>
      </c>
      <c r="CW188">
        <v>19.75</v>
      </c>
      <c r="CX188">
        <v>26</v>
      </c>
      <c r="CY188">
        <v>-3.5377721825560191E-2</v>
      </c>
      <c r="CZ188">
        <v>21</v>
      </c>
      <c r="DA188">
        <v>-2.7822707864564615E-3</v>
      </c>
      <c r="DB188">
        <v>2</v>
      </c>
      <c r="DC188">
        <v>-0.1568984806043629</v>
      </c>
      <c r="DD188">
        <v>30</v>
      </c>
      <c r="DE188">
        <v>-2.2799999999999998</v>
      </c>
      <c r="DF188">
        <v>0.32000000000000173</v>
      </c>
      <c r="DG188">
        <v>-1.0799999999999996</v>
      </c>
      <c r="DH188">
        <v>-0.91999999999999993</v>
      </c>
      <c r="DI188">
        <v>-36.319999999999993</v>
      </c>
      <c r="DJ188">
        <v>-21.680000000000007</v>
      </c>
      <c r="DK188">
        <v>-20.519999999999996</v>
      </c>
      <c r="DL188">
        <v>4.68</v>
      </c>
      <c r="DM188">
        <v>1.2000000000000004</v>
      </c>
      <c r="DN188">
        <v>7</v>
      </c>
      <c r="DO188">
        <v>7.0568000000000026</v>
      </c>
      <c r="DP188">
        <v>3.3448800000000007</v>
      </c>
      <c r="DQ188">
        <v>-1.1600000000000108</v>
      </c>
      <c r="DR188">
        <v>26</v>
      </c>
      <c r="DS188">
        <v>-0.92970000000000008</v>
      </c>
      <c r="DT188">
        <v>2.5999999999999996</v>
      </c>
      <c r="DU188">
        <v>-1.3545</v>
      </c>
      <c r="DV188">
        <v>-2.1737000000000002</v>
      </c>
      <c r="DW188" t="s">
        <v>304</v>
      </c>
      <c r="DX188" t="s">
        <v>251</v>
      </c>
      <c r="DY188" t="s">
        <v>456</v>
      </c>
      <c r="DZ188">
        <v>22</v>
      </c>
      <c r="EA188">
        <v>-2.1703999999999999</v>
      </c>
      <c r="EB188">
        <v>6</v>
      </c>
      <c r="EC188">
        <v>11.5</v>
      </c>
      <c r="ED188">
        <v>16</v>
      </c>
      <c r="EE188">
        <v>0.24000000000000069</v>
      </c>
      <c r="EF188">
        <v>13</v>
      </c>
      <c r="EG188">
        <v>1.3600000000000003</v>
      </c>
      <c r="EH188">
        <v>13</v>
      </c>
      <c r="EI188">
        <v>4.9200000000000017</v>
      </c>
      <c r="EJ188">
        <v>4</v>
      </c>
      <c r="EK188">
        <v>1.3199999999999998</v>
      </c>
      <c r="EL188">
        <v>7</v>
      </c>
      <c r="EM188">
        <v>11</v>
      </c>
      <c r="EN188">
        <v>17</v>
      </c>
      <c r="EO188">
        <v>-0.12799999999999975</v>
      </c>
      <c r="EP188">
        <v>6</v>
      </c>
      <c r="EQ188">
        <v>2.04</v>
      </c>
      <c r="ER188">
        <v>15</v>
      </c>
      <c r="ES188">
        <v>2.4800000000000026</v>
      </c>
      <c r="ET188">
        <v>6</v>
      </c>
      <c r="EU188">
        <v>0.64</v>
      </c>
      <c r="EV188">
        <v>13</v>
      </c>
      <c r="EW188">
        <v>14.333333333333334</v>
      </c>
      <c r="EX188">
        <v>11</v>
      </c>
      <c r="EY188">
        <v>0.36800000000000044</v>
      </c>
      <c r="EZ188">
        <v>20</v>
      </c>
      <c r="FA188">
        <v>-0.67999999999999983</v>
      </c>
      <c r="FB188">
        <v>12</v>
      </c>
      <c r="FC188">
        <v>2.4399999999999995</v>
      </c>
      <c r="FD188">
        <v>6</v>
      </c>
      <c r="FE188">
        <v>0.67999999999999994</v>
      </c>
      <c r="FF188">
        <v>30</v>
      </c>
      <c r="FG188">
        <v>29</v>
      </c>
      <c r="FH188">
        <v>28</v>
      </c>
      <c r="FI188">
        <v>-5.62</v>
      </c>
      <c r="FJ188">
        <v>28</v>
      </c>
      <c r="FK188">
        <v>-21.240000000000002</v>
      </c>
      <c r="FL188">
        <v>31</v>
      </c>
      <c r="FM188">
        <v>-3.4400000000000004</v>
      </c>
      <c r="FN188">
        <v>31</v>
      </c>
      <c r="FO188">
        <v>30.333333333333332</v>
      </c>
      <c r="FP188">
        <v>30</v>
      </c>
      <c r="FQ188">
        <v>-4.7799999999999994</v>
      </c>
      <c r="FR188">
        <v>31</v>
      </c>
      <c r="FS188">
        <v>-23</v>
      </c>
      <c r="FT188">
        <v>30</v>
      </c>
      <c r="FU188">
        <v>-1.6800000000000002</v>
      </c>
      <c r="FV188">
        <v>24</v>
      </c>
      <c r="FW188">
        <v>21.333333333333332</v>
      </c>
      <c r="FX188">
        <v>18</v>
      </c>
      <c r="FY188">
        <v>-0.62000000000000066</v>
      </c>
      <c r="FZ188">
        <v>23</v>
      </c>
      <c r="GA188">
        <v>-4.6000000000000005</v>
      </c>
      <c r="GB188">
        <v>23</v>
      </c>
      <c r="GC188">
        <v>-0.48000000000000009</v>
      </c>
      <c r="GD188">
        <v>20</v>
      </c>
      <c r="GE188">
        <v>18.333333333333332</v>
      </c>
      <c r="GF188">
        <v>17</v>
      </c>
      <c r="GG188">
        <v>-0.21999999999999975</v>
      </c>
      <c r="GH188">
        <v>7</v>
      </c>
      <c r="GI188">
        <v>6.3599999999999985</v>
      </c>
      <c r="GJ188">
        <v>31</v>
      </c>
      <c r="GK188">
        <v>-1.28</v>
      </c>
      <c r="GL188">
        <v>13</v>
      </c>
      <c r="GM188">
        <v>13.333333333333334</v>
      </c>
      <c r="GN188">
        <v>12</v>
      </c>
      <c r="GO188">
        <v>0.7600000000000019</v>
      </c>
      <c r="GP188">
        <v>13</v>
      </c>
      <c r="GQ188">
        <v>6.400000000000003</v>
      </c>
      <c r="GR188">
        <v>15</v>
      </c>
      <c r="GS188">
        <v>0.15999999999999998</v>
      </c>
      <c r="GT188">
        <v>8</v>
      </c>
      <c r="GU188">
        <v>9.3333333333333339</v>
      </c>
      <c r="GV188">
        <v>6</v>
      </c>
      <c r="GW188">
        <v>3.1879999999999988</v>
      </c>
      <c r="GX188">
        <v>14</v>
      </c>
      <c r="GY188">
        <v>3.9199999999999995</v>
      </c>
      <c r="GZ188">
        <v>8</v>
      </c>
      <c r="HA188">
        <v>0.88000000000000023</v>
      </c>
      <c r="HB188">
        <v>14</v>
      </c>
      <c r="HC188">
        <v>15</v>
      </c>
      <c r="HD188">
        <v>13</v>
      </c>
      <c r="HE188">
        <v>8.0000000000000154E-2</v>
      </c>
      <c r="HF188">
        <v>17</v>
      </c>
      <c r="HG188">
        <v>-0.24</v>
      </c>
      <c r="HH188">
        <v>-1.08</v>
      </c>
      <c r="HI188">
        <v>20</v>
      </c>
      <c r="HJ188">
        <v>18.25</v>
      </c>
      <c r="HK188">
        <v>29</v>
      </c>
      <c r="HL188">
        <v>-5.9930515180701048E-2</v>
      </c>
      <c r="HM188">
        <v>9</v>
      </c>
      <c r="HN188">
        <v>1.1331305407784658E-2</v>
      </c>
      <c r="HO188">
        <v>17</v>
      </c>
      <c r="HP188">
        <v>-5.4623154623154703E-3</v>
      </c>
      <c r="HQ188">
        <v>18</v>
      </c>
      <c r="HR188">
        <v>-0.6399999999999999</v>
      </c>
      <c r="HS188">
        <v>0.63999999999999913</v>
      </c>
      <c r="HT188">
        <v>-1.64</v>
      </c>
      <c r="HU188">
        <v>-0.83999999999999986</v>
      </c>
      <c r="HV188">
        <v>-18.399999999999999</v>
      </c>
      <c r="HW188">
        <v>-15.160000000000007</v>
      </c>
      <c r="HX188">
        <v>7.44</v>
      </c>
      <c r="HY188">
        <v>-5.24</v>
      </c>
      <c r="HZ188">
        <v>-5.4399999999999995</v>
      </c>
      <c r="IA188">
        <v>22</v>
      </c>
      <c r="IB188">
        <v>-2.4104000000000005</v>
      </c>
      <c r="IC188">
        <v>-1.0404800000000005</v>
      </c>
      <c r="ID188">
        <v>-22.600000000000009</v>
      </c>
      <c r="IE188">
        <v>11</v>
      </c>
      <c r="IF188">
        <v>-0.5353</v>
      </c>
      <c r="IG188">
        <v>-2.56</v>
      </c>
    </row>
    <row r="189" spans="1:241" x14ac:dyDescent="0.2">
      <c r="A189" s="19">
        <v>44129</v>
      </c>
      <c r="B189" s="13" t="s">
        <v>250</v>
      </c>
      <c r="C189" s="17" t="s">
        <v>272</v>
      </c>
      <c r="D189" s="14" t="s">
        <v>281</v>
      </c>
      <c r="E189">
        <v>30.74</v>
      </c>
      <c r="F189">
        <v>18.8</v>
      </c>
      <c r="G189">
        <v>15.2</v>
      </c>
      <c r="H189">
        <v>10.199999999999999</v>
      </c>
      <c r="I189">
        <v>4</v>
      </c>
      <c r="J189">
        <v>50</v>
      </c>
      <c r="L189" t="s">
        <v>272</v>
      </c>
      <c r="M189">
        <v>18</v>
      </c>
      <c r="N189">
        <v>-0.81760000000000088</v>
      </c>
      <c r="O189">
        <v>7</v>
      </c>
      <c r="P189">
        <v>9.25</v>
      </c>
      <c r="Q189">
        <v>5</v>
      </c>
      <c r="R189">
        <v>3.2519999999999993</v>
      </c>
      <c r="S189">
        <v>9</v>
      </c>
      <c r="T189">
        <v>2.319999999999999</v>
      </c>
      <c r="U189">
        <v>18</v>
      </c>
      <c r="V189">
        <v>-7.9999999999999183E-2</v>
      </c>
      <c r="W189">
        <v>5</v>
      </c>
      <c r="X189">
        <v>1.6799999999999997</v>
      </c>
      <c r="Y189">
        <v>9</v>
      </c>
      <c r="Z189">
        <v>11.666666666666666</v>
      </c>
      <c r="AA189">
        <v>11</v>
      </c>
      <c r="AB189">
        <v>2.5959999999999992</v>
      </c>
      <c r="AC189">
        <v>3</v>
      </c>
      <c r="AD189">
        <v>4.0799999999999992</v>
      </c>
      <c r="AE189">
        <v>13</v>
      </c>
      <c r="AF189">
        <v>5.080000000000001</v>
      </c>
      <c r="AG189">
        <v>11</v>
      </c>
      <c r="AH189">
        <v>0.83999999999999986</v>
      </c>
      <c r="AI189">
        <v>9</v>
      </c>
      <c r="AJ189">
        <v>12.666666666666666</v>
      </c>
      <c r="AK189">
        <v>11</v>
      </c>
      <c r="AL189">
        <v>0.65600000000000025</v>
      </c>
      <c r="AM189">
        <v>28</v>
      </c>
      <c r="AN189">
        <v>-1.7600000000000002</v>
      </c>
      <c r="AO189">
        <v>22</v>
      </c>
      <c r="AP189">
        <v>-5.16</v>
      </c>
      <c r="AQ189">
        <v>5</v>
      </c>
      <c r="AR189">
        <v>0.83999999999999986</v>
      </c>
      <c r="AS189">
        <v>5</v>
      </c>
      <c r="AT189">
        <v>7</v>
      </c>
      <c r="AU189">
        <v>12</v>
      </c>
      <c r="AV189">
        <v>2.5712000000000015</v>
      </c>
      <c r="AW189">
        <v>8</v>
      </c>
      <c r="AX189">
        <v>24.52</v>
      </c>
      <c r="AY189">
        <v>1</v>
      </c>
      <c r="AZ189">
        <v>5.120000000000001</v>
      </c>
      <c r="BA189">
        <v>11</v>
      </c>
      <c r="BB189">
        <v>11</v>
      </c>
      <c r="BC189">
        <v>19</v>
      </c>
      <c r="BD189">
        <v>-0.10879999999999904</v>
      </c>
      <c r="BE189">
        <v>8</v>
      </c>
      <c r="BF189">
        <v>10.839999999999998</v>
      </c>
      <c r="BG189">
        <v>6</v>
      </c>
      <c r="BH189">
        <v>1.2000000000000002</v>
      </c>
      <c r="BI189">
        <v>13</v>
      </c>
      <c r="BJ189">
        <v>15.333333333333334</v>
      </c>
      <c r="BK189">
        <v>25</v>
      </c>
      <c r="BL189">
        <v>-2.1720000000000006</v>
      </c>
      <c r="BM189">
        <v>18</v>
      </c>
      <c r="BN189">
        <v>-3.5600000000000009</v>
      </c>
      <c r="BO189">
        <v>3</v>
      </c>
      <c r="BP189">
        <v>1.9200000000000004</v>
      </c>
      <c r="BQ189">
        <v>1</v>
      </c>
      <c r="BR189">
        <v>2</v>
      </c>
      <c r="BS189">
        <v>1</v>
      </c>
      <c r="BT189">
        <v>4.8520000000000012</v>
      </c>
      <c r="BU189">
        <v>3</v>
      </c>
      <c r="BV189">
        <v>17.240000000000002</v>
      </c>
      <c r="BW189">
        <v>2</v>
      </c>
      <c r="BX189">
        <v>2</v>
      </c>
      <c r="BY189">
        <v>13</v>
      </c>
      <c r="BZ189">
        <v>12.666666666666666</v>
      </c>
      <c r="CA189">
        <v>18</v>
      </c>
      <c r="CB189">
        <v>-1.3319999999999983</v>
      </c>
      <c r="CC189">
        <v>12</v>
      </c>
      <c r="CD189">
        <v>4.6800000000000015</v>
      </c>
      <c r="CE189">
        <v>8</v>
      </c>
      <c r="CF189">
        <v>1.44</v>
      </c>
      <c r="CG189">
        <v>24</v>
      </c>
      <c r="CH189">
        <v>24.666666666666668</v>
      </c>
      <c r="CI189">
        <v>26</v>
      </c>
      <c r="CJ189">
        <v>-3.2119999999999989</v>
      </c>
      <c r="CK189">
        <v>25</v>
      </c>
      <c r="CL189">
        <v>-11.399999999999999</v>
      </c>
      <c r="CM189">
        <v>23</v>
      </c>
      <c r="CN189">
        <v>-0.96000000000000019</v>
      </c>
      <c r="CO189">
        <v>2</v>
      </c>
      <c r="CP189">
        <v>3.5</v>
      </c>
      <c r="CQ189">
        <v>5</v>
      </c>
      <c r="CR189">
        <v>2</v>
      </c>
      <c r="CS189">
        <v>2</v>
      </c>
      <c r="CT189">
        <v>1.08</v>
      </c>
      <c r="CU189">
        <v>-2.2000000000000002</v>
      </c>
      <c r="CV189">
        <v>7</v>
      </c>
      <c r="CW189">
        <v>11.25</v>
      </c>
      <c r="CX189">
        <v>8</v>
      </c>
      <c r="CY189">
        <v>4.0786849990737332E-2</v>
      </c>
      <c r="CZ189">
        <v>3</v>
      </c>
      <c r="DA189">
        <v>2.5142342988967455E-2</v>
      </c>
      <c r="DB189">
        <v>23</v>
      </c>
      <c r="DC189">
        <v>2.9613386613386659E-2</v>
      </c>
      <c r="DD189">
        <v>11</v>
      </c>
      <c r="DE189">
        <v>0.96000000000000019</v>
      </c>
      <c r="DF189">
        <v>7.2800000000000011</v>
      </c>
      <c r="DG189">
        <v>-1.6400000000000012</v>
      </c>
      <c r="DH189">
        <v>-0.91999999999999993</v>
      </c>
      <c r="DI189">
        <v>6.9600000000000026</v>
      </c>
      <c r="DJ189">
        <v>23.319999999999993</v>
      </c>
      <c r="DK189">
        <v>-4.9599999999999964</v>
      </c>
      <c r="DL189">
        <v>-2.88</v>
      </c>
      <c r="DM189">
        <v>-8.5200000000000014</v>
      </c>
      <c r="DN189">
        <v>23</v>
      </c>
      <c r="DO189">
        <v>-4.0696000000000003</v>
      </c>
      <c r="DP189">
        <v>-1.9176799999999994</v>
      </c>
      <c r="DQ189">
        <v>28.27999999999999</v>
      </c>
      <c r="DR189">
        <v>10</v>
      </c>
      <c r="DS189">
        <v>0.47420000000000007</v>
      </c>
      <c r="DT189">
        <v>4.160000000000001</v>
      </c>
      <c r="DU189">
        <v>1.2544625</v>
      </c>
      <c r="DV189">
        <v>1.8836000000000002</v>
      </c>
      <c r="DW189" t="s">
        <v>281</v>
      </c>
      <c r="DX189" t="s">
        <v>266</v>
      </c>
      <c r="DY189" t="s">
        <v>498</v>
      </c>
      <c r="DZ189">
        <v>13</v>
      </c>
      <c r="EA189">
        <v>0.87519999999999809</v>
      </c>
      <c r="EB189">
        <v>25</v>
      </c>
      <c r="EC189">
        <v>20.5</v>
      </c>
      <c r="ED189">
        <v>15</v>
      </c>
      <c r="EE189">
        <v>0.40399999999999925</v>
      </c>
      <c r="EF189">
        <v>28</v>
      </c>
      <c r="EG189">
        <v>-2.92</v>
      </c>
      <c r="EH189">
        <v>23</v>
      </c>
      <c r="EI189">
        <v>-11.059999999999999</v>
      </c>
      <c r="EJ189">
        <v>16</v>
      </c>
      <c r="EK189">
        <v>8.0000000000000016E-2</v>
      </c>
      <c r="EL189">
        <v>27</v>
      </c>
      <c r="EM189">
        <v>23.5</v>
      </c>
      <c r="EN189">
        <v>20</v>
      </c>
      <c r="EO189">
        <v>-1.1890000000000007</v>
      </c>
      <c r="EP189">
        <v>31</v>
      </c>
      <c r="EQ189">
        <v>-2.21</v>
      </c>
      <c r="ER189">
        <v>22</v>
      </c>
      <c r="ES189">
        <v>-5.7199999999999989</v>
      </c>
      <c r="ET189">
        <v>21</v>
      </c>
      <c r="EU189">
        <v>-0.46999999999999992</v>
      </c>
      <c r="EV189">
        <v>17</v>
      </c>
      <c r="EW189">
        <v>17</v>
      </c>
      <c r="EX189">
        <v>7</v>
      </c>
      <c r="EY189">
        <v>1.593</v>
      </c>
      <c r="EZ189">
        <v>21</v>
      </c>
      <c r="FA189">
        <v>-0.71</v>
      </c>
      <c r="FB189">
        <v>23</v>
      </c>
      <c r="FC189">
        <v>-5.3400000000000007</v>
      </c>
      <c r="FD189">
        <v>7</v>
      </c>
      <c r="FE189">
        <v>0.54999999999999993</v>
      </c>
      <c r="FF189">
        <v>12</v>
      </c>
      <c r="FG189">
        <v>14</v>
      </c>
      <c r="FH189">
        <v>12</v>
      </c>
      <c r="FI189">
        <v>1.9404000000000017</v>
      </c>
      <c r="FJ189">
        <v>19</v>
      </c>
      <c r="FK189">
        <v>-3.3900000000000015</v>
      </c>
      <c r="FL189">
        <v>11</v>
      </c>
      <c r="FM189">
        <v>1.0800000000000003</v>
      </c>
      <c r="FN189">
        <v>8</v>
      </c>
      <c r="FO189">
        <v>8.6666666666666661</v>
      </c>
      <c r="FP189">
        <v>7</v>
      </c>
      <c r="FQ189">
        <v>2.7199999999999998</v>
      </c>
      <c r="FR189">
        <v>6</v>
      </c>
      <c r="FS189">
        <v>12.85</v>
      </c>
      <c r="FT189">
        <v>13</v>
      </c>
      <c r="FU189">
        <v>0.55000000000000038</v>
      </c>
      <c r="FV189">
        <v>11</v>
      </c>
      <c r="FW189">
        <v>13.666666666666666</v>
      </c>
      <c r="FX189">
        <v>6</v>
      </c>
      <c r="FY189">
        <v>2.0600000000000009</v>
      </c>
      <c r="FZ189">
        <v>24</v>
      </c>
      <c r="GA189">
        <v>-6.4800000000000013</v>
      </c>
      <c r="GB189">
        <v>11</v>
      </c>
      <c r="GC189">
        <v>0.41</v>
      </c>
      <c r="GD189">
        <v>26</v>
      </c>
      <c r="GE189">
        <v>24</v>
      </c>
      <c r="GF189">
        <v>31</v>
      </c>
      <c r="GG189">
        <v>-2.8395999999999995</v>
      </c>
      <c r="GH189">
        <v>29</v>
      </c>
      <c r="GI189">
        <v>-9.76</v>
      </c>
      <c r="GJ189">
        <v>12</v>
      </c>
      <c r="GK189">
        <v>0.11999999999999993</v>
      </c>
      <c r="GL189">
        <v>1</v>
      </c>
      <c r="GM189">
        <v>2.3333333333333335</v>
      </c>
      <c r="GN189">
        <v>3</v>
      </c>
      <c r="GO189">
        <v>5.9019999999999992</v>
      </c>
      <c r="GP189">
        <v>3</v>
      </c>
      <c r="GQ189">
        <v>20.02</v>
      </c>
      <c r="GR189">
        <v>1</v>
      </c>
      <c r="GS189">
        <v>3.09</v>
      </c>
      <c r="GT189">
        <v>5</v>
      </c>
      <c r="GU189">
        <v>6.666666666666667</v>
      </c>
      <c r="GV189">
        <v>10</v>
      </c>
      <c r="GW189">
        <v>2.5730000000000013</v>
      </c>
      <c r="GX189">
        <v>9</v>
      </c>
      <c r="GY189">
        <v>7.7700000000000014</v>
      </c>
      <c r="GZ189">
        <v>1</v>
      </c>
      <c r="HA189">
        <v>2.6599999999999997</v>
      </c>
      <c r="HB189">
        <v>26</v>
      </c>
      <c r="HC189">
        <v>26</v>
      </c>
      <c r="HD189">
        <v>23</v>
      </c>
      <c r="HE189">
        <v>-0.78999999999999981</v>
      </c>
      <c r="HF189">
        <v>29</v>
      </c>
      <c r="HG189">
        <v>-0.61</v>
      </c>
      <c r="HH189">
        <v>-1.02</v>
      </c>
      <c r="HI189">
        <v>12</v>
      </c>
      <c r="HJ189">
        <v>14.5</v>
      </c>
      <c r="HK189">
        <v>25</v>
      </c>
      <c r="HL189">
        <v>-2.9415754277779104E-2</v>
      </c>
      <c r="HM189">
        <v>19</v>
      </c>
      <c r="HN189">
        <v>-5.5823316262243695E-3</v>
      </c>
      <c r="HO189">
        <v>1</v>
      </c>
      <c r="HP189">
        <v>-0.17942124542124541</v>
      </c>
      <c r="HQ189">
        <v>13</v>
      </c>
      <c r="HR189">
        <v>0.41999999999999993</v>
      </c>
      <c r="HS189">
        <v>0.26999999999999885</v>
      </c>
      <c r="HT189">
        <v>2.6300000000000003</v>
      </c>
      <c r="HU189">
        <v>1.1499999999999999</v>
      </c>
      <c r="HV189">
        <v>-1.4600000000000022</v>
      </c>
      <c r="HW189">
        <v>11.05</v>
      </c>
      <c r="HX189">
        <v>-13.91</v>
      </c>
      <c r="HY189">
        <v>-0.28999999999999987</v>
      </c>
      <c r="HZ189">
        <v>1.6900000000000002</v>
      </c>
      <c r="IA189">
        <v>14</v>
      </c>
      <c r="IB189">
        <v>0.47119999999999884</v>
      </c>
      <c r="IC189">
        <v>0.87572000000000039</v>
      </c>
      <c r="ID189">
        <v>24.96</v>
      </c>
      <c r="IE189">
        <v>19</v>
      </c>
      <c r="IF189">
        <v>0.62532500000000002</v>
      </c>
      <c r="IG189">
        <v>3.74</v>
      </c>
    </row>
    <row r="190" spans="1:241" x14ac:dyDescent="0.2">
      <c r="A190" s="19">
        <v>44129</v>
      </c>
      <c r="B190" s="13" t="s">
        <v>250</v>
      </c>
      <c r="C190" s="41" t="s">
        <v>281</v>
      </c>
      <c r="D190" s="14" t="s">
        <v>272</v>
      </c>
      <c r="E190">
        <v>10.96</v>
      </c>
      <c r="F190">
        <v>20</v>
      </c>
      <c r="G190">
        <v>14.6</v>
      </c>
      <c r="H190">
        <v>21.6</v>
      </c>
      <c r="I190">
        <v>-4</v>
      </c>
      <c r="J190">
        <v>50</v>
      </c>
      <c r="L190" t="s">
        <v>281</v>
      </c>
      <c r="M190">
        <v>29</v>
      </c>
      <c r="N190">
        <v>-5.1680000000000001</v>
      </c>
      <c r="O190">
        <v>4</v>
      </c>
      <c r="P190">
        <v>7.75</v>
      </c>
      <c r="Q190">
        <v>2</v>
      </c>
      <c r="R190">
        <v>10.562000000000001</v>
      </c>
      <c r="S190">
        <v>1</v>
      </c>
      <c r="T190">
        <v>7.1199999999999992</v>
      </c>
      <c r="U190">
        <v>1</v>
      </c>
      <c r="V190">
        <v>49.59</v>
      </c>
      <c r="W190">
        <v>27</v>
      </c>
      <c r="X190">
        <v>-1.2200000000000002</v>
      </c>
      <c r="Y190">
        <v>7</v>
      </c>
      <c r="Z190">
        <v>11.333333333333334</v>
      </c>
      <c r="AA190">
        <v>4</v>
      </c>
      <c r="AB190">
        <v>4.8620000000000019</v>
      </c>
      <c r="AC190">
        <v>11</v>
      </c>
      <c r="AD190">
        <v>1.3999999999999997</v>
      </c>
      <c r="AE190">
        <v>8</v>
      </c>
      <c r="AF190">
        <v>15.109999999999996</v>
      </c>
      <c r="AG190">
        <v>22</v>
      </c>
      <c r="AH190">
        <v>-0.89</v>
      </c>
      <c r="AI190">
        <v>3</v>
      </c>
      <c r="AJ190">
        <v>7.333333333333333</v>
      </c>
      <c r="AK190">
        <v>1</v>
      </c>
      <c r="AL190">
        <v>5.7</v>
      </c>
      <c r="AM190">
        <v>2</v>
      </c>
      <c r="AN190">
        <v>5.72</v>
      </c>
      <c r="AO190">
        <v>1</v>
      </c>
      <c r="AP190">
        <v>34.480000000000004</v>
      </c>
      <c r="AQ190">
        <v>20</v>
      </c>
      <c r="AR190">
        <v>-0.33000000000000007</v>
      </c>
      <c r="AS190">
        <v>28</v>
      </c>
      <c r="AT190">
        <v>28</v>
      </c>
      <c r="AU190">
        <v>25</v>
      </c>
      <c r="AV190">
        <v>-4.0869999999999997</v>
      </c>
      <c r="AW190">
        <v>28</v>
      </c>
      <c r="AX190">
        <v>-27.82</v>
      </c>
      <c r="AY190">
        <v>31</v>
      </c>
      <c r="AZ190">
        <v>-3.6700000000000004</v>
      </c>
      <c r="BA190">
        <v>28</v>
      </c>
      <c r="BB190">
        <v>25.666666666666668</v>
      </c>
      <c r="BC190">
        <v>23</v>
      </c>
      <c r="BD190">
        <v>-0.88180000000000081</v>
      </c>
      <c r="BE190">
        <v>26</v>
      </c>
      <c r="BF190">
        <v>-10.210000000000001</v>
      </c>
      <c r="BG190">
        <v>28</v>
      </c>
      <c r="BH190">
        <v>-1.19</v>
      </c>
      <c r="BI190">
        <v>21</v>
      </c>
      <c r="BJ190">
        <v>19.333333333333332</v>
      </c>
      <c r="BK190">
        <v>22</v>
      </c>
      <c r="BL190">
        <v>-2.0161999999999995</v>
      </c>
      <c r="BM190">
        <v>21</v>
      </c>
      <c r="BN190">
        <v>-3.87</v>
      </c>
      <c r="BO190">
        <v>15</v>
      </c>
      <c r="BP190">
        <v>6.9999999999999923E-2</v>
      </c>
      <c r="BQ190">
        <v>29</v>
      </c>
      <c r="BR190">
        <v>27.333333333333332</v>
      </c>
      <c r="BS190">
        <v>21</v>
      </c>
      <c r="BT190">
        <v>-1.1889999999999996</v>
      </c>
      <c r="BU190">
        <v>29</v>
      </c>
      <c r="BV190">
        <v>-13.739999999999998</v>
      </c>
      <c r="BW190">
        <v>32</v>
      </c>
      <c r="BX190">
        <v>-2.5500000000000003</v>
      </c>
      <c r="BY190">
        <v>31</v>
      </c>
      <c r="BZ190">
        <v>29.666666666666668</v>
      </c>
      <c r="CA190">
        <v>31</v>
      </c>
      <c r="CB190">
        <v>-5.8439999999999994</v>
      </c>
      <c r="CC190">
        <v>28</v>
      </c>
      <c r="CD190">
        <v>-20.64</v>
      </c>
      <c r="CE190">
        <v>30</v>
      </c>
      <c r="CF190">
        <v>-3.5</v>
      </c>
      <c r="CG190">
        <v>12</v>
      </c>
      <c r="CH190">
        <v>12.666666666666666</v>
      </c>
      <c r="CI190">
        <v>16</v>
      </c>
      <c r="CJ190">
        <v>-0.23900000000000005</v>
      </c>
      <c r="CK190">
        <v>15</v>
      </c>
      <c r="CL190">
        <v>0.80999999999999939</v>
      </c>
      <c r="CM190">
        <v>7</v>
      </c>
      <c r="CN190">
        <v>1.2800000000000002</v>
      </c>
      <c r="CO190">
        <v>19</v>
      </c>
      <c r="CP190">
        <v>20</v>
      </c>
      <c r="CQ190">
        <v>14</v>
      </c>
      <c r="CR190">
        <v>0.63000000000000045</v>
      </c>
      <c r="CS190">
        <v>26</v>
      </c>
      <c r="CT190">
        <v>-0.4</v>
      </c>
      <c r="CU190">
        <v>0.41999999999999993</v>
      </c>
      <c r="CV190">
        <v>24</v>
      </c>
      <c r="CW190">
        <v>20.75</v>
      </c>
      <c r="CX190">
        <v>20</v>
      </c>
      <c r="CY190">
        <v>-1.7586368207202097E-2</v>
      </c>
      <c r="CZ190">
        <v>24</v>
      </c>
      <c r="DA190">
        <v>-8.2978309504699744E-3</v>
      </c>
      <c r="DB190">
        <v>18</v>
      </c>
      <c r="DC190">
        <v>9.0137464874307065E-3</v>
      </c>
      <c r="DD190">
        <v>21</v>
      </c>
      <c r="DE190">
        <v>-1.02</v>
      </c>
      <c r="DF190">
        <v>0.83999999999999919</v>
      </c>
      <c r="DG190">
        <v>4.0999999999999996</v>
      </c>
      <c r="DH190">
        <v>0.52</v>
      </c>
      <c r="DI190">
        <v>6.0100000000000025</v>
      </c>
      <c r="DJ190">
        <v>-44.849999999999994</v>
      </c>
      <c r="DK190">
        <v>54.370000000000005</v>
      </c>
      <c r="DL190">
        <v>8.39</v>
      </c>
      <c r="DM190">
        <v>-11.9</v>
      </c>
      <c r="DN190">
        <v>32</v>
      </c>
      <c r="DO190">
        <v>-15.73</v>
      </c>
      <c r="DP190">
        <v>-7.1798000000000011</v>
      </c>
      <c r="DQ190">
        <v>-99.22</v>
      </c>
      <c r="DR190">
        <v>1</v>
      </c>
      <c r="DS190">
        <v>0.21225000000000027</v>
      </c>
      <c r="DT190">
        <v>-2.39</v>
      </c>
      <c r="DU190">
        <v>1.2544625</v>
      </c>
      <c r="DV190">
        <v>0.62532500000000002</v>
      </c>
      <c r="DW190" t="s">
        <v>272</v>
      </c>
      <c r="DX190" t="s">
        <v>277</v>
      </c>
      <c r="DY190" t="s">
        <v>528</v>
      </c>
      <c r="DZ190">
        <v>10</v>
      </c>
      <c r="EA190">
        <v>2.9087999999999998</v>
      </c>
      <c r="EB190">
        <v>8</v>
      </c>
      <c r="EC190">
        <v>11.75</v>
      </c>
      <c r="ED190">
        <v>11</v>
      </c>
      <c r="EE190">
        <v>1.5720000000000014</v>
      </c>
      <c r="EF190">
        <v>18</v>
      </c>
      <c r="EG190">
        <v>-0.43999999999999995</v>
      </c>
      <c r="EH190">
        <v>7</v>
      </c>
      <c r="EI190">
        <v>15.400000000000004</v>
      </c>
      <c r="EJ190">
        <v>11</v>
      </c>
      <c r="EK190">
        <v>0.28000000000000003</v>
      </c>
      <c r="EL190">
        <v>5</v>
      </c>
      <c r="EM190">
        <v>9.75</v>
      </c>
      <c r="EN190">
        <v>16</v>
      </c>
      <c r="EO190">
        <v>-3.9999999999999147E-2</v>
      </c>
      <c r="EP190">
        <v>8</v>
      </c>
      <c r="EQ190">
        <v>1.8399999999999999</v>
      </c>
      <c r="ER190">
        <v>6</v>
      </c>
      <c r="ES190">
        <v>14.360000000000003</v>
      </c>
      <c r="ET190">
        <v>9</v>
      </c>
      <c r="EU190">
        <v>0.44000000000000006</v>
      </c>
      <c r="EV190">
        <v>15</v>
      </c>
      <c r="EW190">
        <v>16.666666666666668</v>
      </c>
      <c r="EX190">
        <v>6</v>
      </c>
      <c r="EY190">
        <v>1.6120000000000005</v>
      </c>
      <c r="EZ190">
        <v>28</v>
      </c>
      <c r="FA190">
        <v>-2.2799999999999998</v>
      </c>
      <c r="FB190">
        <v>16</v>
      </c>
      <c r="FC190">
        <v>1.0400000000000005</v>
      </c>
      <c r="FD190">
        <v>18</v>
      </c>
      <c r="FE190">
        <v>-0.16</v>
      </c>
      <c r="FF190">
        <v>6</v>
      </c>
      <c r="FG190">
        <v>6</v>
      </c>
      <c r="FH190">
        <v>5</v>
      </c>
      <c r="FI190">
        <v>5.8719999999999999</v>
      </c>
      <c r="FJ190">
        <v>3</v>
      </c>
      <c r="FK190">
        <v>21.759999999999998</v>
      </c>
      <c r="FL190">
        <v>10</v>
      </c>
      <c r="FM190">
        <v>1.1999999999999995</v>
      </c>
      <c r="FN190">
        <v>7</v>
      </c>
      <c r="FO190">
        <v>7.666666666666667</v>
      </c>
      <c r="FP190">
        <v>5</v>
      </c>
      <c r="FQ190">
        <v>4.5992000000000006</v>
      </c>
      <c r="FR190">
        <v>11</v>
      </c>
      <c r="FS190">
        <v>8.4</v>
      </c>
      <c r="FT190">
        <v>7</v>
      </c>
      <c r="FU190">
        <v>0.91999999999999971</v>
      </c>
      <c r="FV190">
        <v>26</v>
      </c>
      <c r="FW190">
        <v>21.666666666666668</v>
      </c>
      <c r="FX190">
        <v>16</v>
      </c>
      <c r="FY190">
        <v>-0.44320000000000076</v>
      </c>
      <c r="FZ190">
        <v>21</v>
      </c>
      <c r="GA190">
        <v>-1.7599999999999993</v>
      </c>
      <c r="GB190">
        <v>28</v>
      </c>
      <c r="GC190">
        <v>-0.60000000000000009</v>
      </c>
      <c r="GD190">
        <v>5</v>
      </c>
      <c r="GE190">
        <v>6</v>
      </c>
      <c r="GF190">
        <v>7</v>
      </c>
      <c r="GG190">
        <v>1.7160000000000004</v>
      </c>
      <c r="GH190">
        <v>5</v>
      </c>
      <c r="GI190">
        <v>15.12</v>
      </c>
      <c r="GJ190">
        <v>6</v>
      </c>
      <c r="GK190">
        <v>0.87999999999999989</v>
      </c>
      <c r="GL190">
        <v>3</v>
      </c>
      <c r="GM190">
        <v>5.333333333333333</v>
      </c>
      <c r="GN190">
        <v>7</v>
      </c>
      <c r="GO190">
        <v>2.984</v>
      </c>
      <c r="GP190">
        <v>5</v>
      </c>
      <c r="GQ190">
        <v>13.440000000000001</v>
      </c>
      <c r="GR190">
        <v>4</v>
      </c>
      <c r="GS190">
        <v>1.8400000000000003</v>
      </c>
      <c r="GT190">
        <v>4</v>
      </c>
      <c r="GU190">
        <v>6</v>
      </c>
      <c r="GV190">
        <v>7</v>
      </c>
      <c r="GW190">
        <v>3.1159999999999997</v>
      </c>
      <c r="GX190">
        <v>5</v>
      </c>
      <c r="GY190">
        <v>9.16</v>
      </c>
      <c r="GZ190">
        <v>6</v>
      </c>
      <c r="HA190">
        <v>1.1999999999999997</v>
      </c>
      <c r="HB190">
        <v>10</v>
      </c>
      <c r="HC190">
        <v>10.5</v>
      </c>
      <c r="HD190">
        <v>10</v>
      </c>
      <c r="HE190">
        <v>1.5999999999999996</v>
      </c>
      <c r="HF190">
        <v>11</v>
      </c>
      <c r="HG190">
        <v>0.27999999999999997</v>
      </c>
      <c r="HH190">
        <v>0.96000000000000019</v>
      </c>
      <c r="HI190">
        <v>31</v>
      </c>
      <c r="HJ190">
        <v>27</v>
      </c>
      <c r="HK190">
        <v>27</v>
      </c>
      <c r="HL190">
        <v>-4.6446120457651417E-2</v>
      </c>
      <c r="HM190">
        <v>30</v>
      </c>
      <c r="HN190">
        <v>-2.6171667229371764E-2</v>
      </c>
      <c r="HO190">
        <v>24</v>
      </c>
      <c r="HP190">
        <v>3.8554445554445552E-2</v>
      </c>
      <c r="HQ190">
        <v>27</v>
      </c>
      <c r="HR190">
        <v>-2.2000000000000002</v>
      </c>
      <c r="HS190">
        <v>2.4</v>
      </c>
      <c r="HT190">
        <v>3</v>
      </c>
      <c r="HU190">
        <v>-1</v>
      </c>
      <c r="HV190">
        <v>45.280000000000008</v>
      </c>
      <c r="HW190">
        <v>40.319999999999993</v>
      </c>
      <c r="HX190">
        <v>10.68</v>
      </c>
      <c r="HY190">
        <v>1.8399999999999992</v>
      </c>
      <c r="HZ190">
        <v>-7.5600000000000005</v>
      </c>
      <c r="IA190">
        <v>13</v>
      </c>
      <c r="IB190">
        <v>1.3367999999999984</v>
      </c>
      <c r="IC190">
        <v>1.5933599999999994</v>
      </c>
      <c r="ID190">
        <v>29.639999999999993</v>
      </c>
      <c r="IE190">
        <v>20</v>
      </c>
      <c r="IF190">
        <v>1.8836000000000002</v>
      </c>
      <c r="IG190">
        <v>2.3999999999999995</v>
      </c>
    </row>
    <row r="191" spans="1:241" x14ac:dyDescent="0.2">
      <c r="A191" s="19">
        <v>44129</v>
      </c>
      <c r="B191" s="13" t="s">
        <v>250</v>
      </c>
      <c r="C191" s="41" t="s">
        <v>291</v>
      </c>
      <c r="D191" s="14" t="s">
        <v>306</v>
      </c>
      <c r="E191">
        <v>15.5</v>
      </c>
      <c r="F191">
        <v>0.1</v>
      </c>
      <c r="G191">
        <v>0</v>
      </c>
      <c r="H191">
        <v>4.2</v>
      </c>
      <c r="I191">
        <v>-1</v>
      </c>
      <c r="J191">
        <v>44.5</v>
      </c>
      <c r="K191" t="s">
        <v>734</v>
      </c>
      <c r="L191" t="s">
        <v>291</v>
      </c>
      <c r="M191">
        <v>3</v>
      </c>
      <c r="N191">
        <v>6.9364000000000008</v>
      </c>
      <c r="O191">
        <v>9</v>
      </c>
      <c r="P191">
        <v>12.25</v>
      </c>
      <c r="Q191">
        <v>12</v>
      </c>
      <c r="R191">
        <v>1.6640000000000006</v>
      </c>
      <c r="S191">
        <v>18</v>
      </c>
      <c r="T191">
        <v>0.14999999999999991</v>
      </c>
      <c r="U191">
        <v>17</v>
      </c>
      <c r="V191">
        <v>0.83000000000000096</v>
      </c>
      <c r="W191">
        <v>2</v>
      </c>
      <c r="X191">
        <v>2.46</v>
      </c>
      <c r="Y191">
        <v>1</v>
      </c>
      <c r="Z191">
        <v>5.666666666666667</v>
      </c>
      <c r="AA191">
        <v>5</v>
      </c>
      <c r="AB191">
        <v>4.8480000000000008</v>
      </c>
      <c r="AC191">
        <v>10</v>
      </c>
      <c r="AD191">
        <v>1.8399999999999999</v>
      </c>
      <c r="AE191">
        <v>11</v>
      </c>
      <c r="AF191">
        <v>6.3800000000000008</v>
      </c>
      <c r="AG191">
        <v>1</v>
      </c>
      <c r="AH191">
        <v>3.11</v>
      </c>
      <c r="AI191">
        <v>29</v>
      </c>
      <c r="AJ191">
        <v>26</v>
      </c>
      <c r="AK191">
        <v>31</v>
      </c>
      <c r="AL191">
        <v>-3.1840000000000002</v>
      </c>
      <c r="AM191">
        <v>27</v>
      </c>
      <c r="AN191">
        <v>-1.69</v>
      </c>
      <c r="AO191">
        <v>23</v>
      </c>
      <c r="AP191">
        <v>-5.55</v>
      </c>
      <c r="AQ191">
        <v>24</v>
      </c>
      <c r="AR191">
        <v>-0.65</v>
      </c>
      <c r="AS191">
        <v>2</v>
      </c>
      <c r="AT191">
        <v>2</v>
      </c>
      <c r="AU191">
        <v>1</v>
      </c>
      <c r="AV191">
        <v>12.5184</v>
      </c>
      <c r="AW191">
        <v>2</v>
      </c>
      <c r="AX191">
        <v>52.48</v>
      </c>
      <c r="AY191">
        <v>3</v>
      </c>
      <c r="AZ191">
        <v>3.2400000000000007</v>
      </c>
      <c r="BA191">
        <v>12</v>
      </c>
      <c r="BB191">
        <v>14.333333333333334</v>
      </c>
      <c r="BC191">
        <v>17</v>
      </c>
      <c r="BD191">
        <v>1.7999999999998552E-2</v>
      </c>
      <c r="BE191">
        <v>17</v>
      </c>
      <c r="BF191">
        <v>-1.3100000000000023</v>
      </c>
      <c r="BG191">
        <v>9</v>
      </c>
      <c r="BH191">
        <v>0.52000000000000024</v>
      </c>
      <c r="BI191">
        <v>1</v>
      </c>
      <c r="BJ191">
        <v>1.3333333333333333</v>
      </c>
      <c r="BK191">
        <v>1</v>
      </c>
      <c r="BL191">
        <v>8.4009999999999998</v>
      </c>
      <c r="BM191">
        <v>1</v>
      </c>
      <c r="BN191">
        <v>40.42</v>
      </c>
      <c r="BO191">
        <v>2</v>
      </c>
      <c r="BP191">
        <v>2.2000000000000002</v>
      </c>
      <c r="BQ191">
        <v>5</v>
      </c>
      <c r="BR191">
        <v>6.333333333333333</v>
      </c>
      <c r="BS191">
        <v>2</v>
      </c>
      <c r="BT191">
        <v>4.0994000000000002</v>
      </c>
      <c r="BU191">
        <v>5</v>
      </c>
      <c r="BV191">
        <v>13.37</v>
      </c>
      <c r="BW191">
        <v>12</v>
      </c>
      <c r="BX191">
        <v>0.52</v>
      </c>
      <c r="BY191">
        <v>1</v>
      </c>
      <c r="BZ191">
        <v>1</v>
      </c>
      <c r="CA191">
        <v>1</v>
      </c>
      <c r="CB191">
        <v>13.089999999999998</v>
      </c>
      <c r="CC191">
        <v>1</v>
      </c>
      <c r="CD191">
        <v>59.8</v>
      </c>
      <c r="CE191">
        <v>1</v>
      </c>
      <c r="CF191">
        <v>6.56</v>
      </c>
      <c r="CG191">
        <v>6</v>
      </c>
      <c r="CH191">
        <v>9.3333333333333339</v>
      </c>
      <c r="CI191">
        <v>11</v>
      </c>
      <c r="CJ191">
        <v>1.6360000000000003</v>
      </c>
      <c r="CK191">
        <v>8</v>
      </c>
      <c r="CL191">
        <v>11.059999999999999</v>
      </c>
      <c r="CM191">
        <v>9</v>
      </c>
      <c r="CN191">
        <v>0.88000000000000012</v>
      </c>
      <c r="CO191">
        <v>16</v>
      </c>
      <c r="CP191">
        <v>18.5</v>
      </c>
      <c r="CQ191">
        <v>16</v>
      </c>
      <c r="CR191">
        <v>-7.0000000000000104E-2</v>
      </c>
      <c r="CS191">
        <v>21</v>
      </c>
      <c r="CT191">
        <v>-0.27</v>
      </c>
      <c r="CU191">
        <v>-4.17</v>
      </c>
      <c r="CV191">
        <v>19</v>
      </c>
      <c r="CW191">
        <v>19</v>
      </c>
      <c r="CX191">
        <v>18</v>
      </c>
      <c r="CY191">
        <v>-5.7529861885932069E-3</v>
      </c>
      <c r="CZ191">
        <v>23</v>
      </c>
      <c r="DA191">
        <v>-7.8686701210353462E-3</v>
      </c>
      <c r="DB191">
        <v>29</v>
      </c>
      <c r="DC191">
        <v>0.12572183372183376</v>
      </c>
      <c r="DD191">
        <v>6</v>
      </c>
      <c r="DE191">
        <v>2.6999999999999997</v>
      </c>
      <c r="DF191">
        <v>8.9100000000000019</v>
      </c>
      <c r="DG191">
        <v>4.9700000000000006</v>
      </c>
      <c r="DH191">
        <v>0.20999999999999996</v>
      </c>
      <c r="DI191">
        <v>87.83</v>
      </c>
      <c r="DJ191">
        <v>92.86999999999999</v>
      </c>
      <c r="DK191">
        <v>0.43000000000000116</v>
      </c>
      <c r="DL191">
        <v>-5.17</v>
      </c>
      <c r="DM191">
        <v>-0.29999999999999982</v>
      </c>
      <c r="DN191">
        <v>8</v>
      </c>
      <c r="DO191">
        <v>5.2724000000000002</v>
      </c>
      <c r="DP191">
        <v>3.3861599999999989</v>
      </c>
      <c r="DQ191">
        <v>92.439999999999984</v>
      </c>
      <c r="DR191">
        <v>25</v>
      </c>
      <c r="DS191">
        <v>2.8355999999999995</v>
      </c>
      <c r="DT191">
        <v>4.120000000000001</v>
      </c>
      <c r="DU191">
        <v>1.381975</v>
      </c>
      <c r="DV191">
        <v>2.5660499999999997</v>
      </c>
      <c r="DW191" t="s">
        <v>306</v>
      </c>
      <c r="DX191" t="s">
        <v>283</v>
      </c>
      <c r="DY191" t="s">
        <v>454</v>
      </c>
      <c r="DZ191">
        <v>6</v>
      </c>
      <c r="EA191">
        <v>4.2552000000000003</v>
      </c>
      <c r="EB191">
        <v>15</v>
      </c>
      <c r="EC191">
        <v>15.75</v>
      </c>
      <c r="ED191">
        <v>14</v>
      </c>
      <c r="EE191">
        <v>0.65599999999999992</v>
      </c>
      <c r="EF191">
        <v>7</v>
      </c>
      <c r="EG191">
        <v>3.1999999999999993</v>
      </c>
      <c r="EH191">
        <v>19</v>
      </c>
      <c r="EI191">
        <v>-0.11999999999999655</v>
      </c>
      <c r="EJ191">
        <v>23</v>
      </c>
      <c r="EK191">
        <v>-0.48</v>
      </c>
      <c r="EL191">
        <v>8</v>
      </c>
      <c r="EM191">
        <v>11.25</v>
      </c>
      <c r="EN191">
        <v>9</v>
      </c>
      <c r="EO191">
        <v>1.6159999999999997</v>
      </c>
      <c r="EP191">
        <v>7</v>
      </c>
      <c r="EQ191">
        <v>1.9999999999999996</v>
      </c>
      <c r="ER191">
        <v>14</v>
      </c>
      <c r="ES191">
        <v>2.7200000000000033</v>
      </c>
      <c r="ET191">
        <v>15</v>
      </c>
      <c r="EU191">
        <v>-8.0000000000000029E-2</v>
      </c>
      <c r="EV191">
        <v>19</v>
      </c>
      <c r="EW191">
        <v>17.333333333333332</v>
      </c>
      <c r="EX191">
        <v>22</v>
      </c>
      <c r="EY191">
        <v>-0.95999999999999974</v>
      </c>
      <c r="EZ191">
        <v>9</v>
      </c>
      <c r="FA191">
        <v>1.2</v>
      </c>
      <c r="FB191">
        <v>21</v>
      </c>
      <c r="FC191">
        <v>-2.84</v>
      </c>
      <c r="FD191">
        <v>23</v>
      </c>
      <c r="FE191">
        <v>-0.39999999999999997</v>
      </c>
      <c r="FF191">
        <v>25</v>
      </c>
      <c r="FG191">
        <v>23.333333333333332</v>
      </c>
      <c r="FH191">
        <v>26</v>
      </c>
      <c r="FI191">
        <v>-4.3799999999999981</v>
      </c>
      <c r="FJ191">
        <v>17</v>
      </c>
      <c r="FK191">
        <v>-2.44</v>
      </c>
      <c r="FL191">
        <v>27</v>
      </c>
      <c r="FM191">
        <v>-1.64</v>
      </c>
      <c r="FN191">
        <v>18</v>
      </c>
      <c r="FO191">
        <v>17.333333333333332</v>
      </c>
      <c r="FP191">
        <v>16</v>
      </c>
      <c r="FQ191">
        <v>-7.2799999999998727E-2</v>
      </c>
      <c r="FR191">
        <v>14</v>
      </c>
      <c r="FS191">
        <v>3.0400000000000005</v>
      </c>
      <c r="FT191">
        <v>22</v>
      </c>
      <c r="FU191">
        <v>-0.84000000000000008</v>
      </c>
      <c r="FV191">
        <v>30</v>
      </c>
      <c r="FW191">
        <v>26.666666666666668</v>
      </c>
      <c r="FX191">
        <v>28</v>
      </c>
      <c r="FY191">
        <v>-3.3671999999999995</v>
      </c>
      <c r="FZ191">
        <v>26</v>
      </c>
      <c r="GA191">
        <v>-7.76</v>
      </c>
      <c r="GB191">
        <v>26</v>
      </c>
      <c r="GC191">
        <v>-0.55999999999999994</v>
      </c>
      <c r="GD191">
        <v>18</v>
      </c>
      <c r="GE191">
        <v>17</v>
      </c>
      <c r="GF191">
        <v>21</v>
      </c>
      <c r="GG191">
        <v>-0.94000000000000017</v>
      </c>
      <c r="GH191">
        <v>10</v>
      </c>
      <c r="GI191">
        <v>2.2799999999999989</v>
      </c>
      <c r="GJ191">
        <v>20</v>
      </c>
      <c r="GK191">
        <v>-0.24000000000000005</v>
      </c>
      <c r="GL191">
        <v>16</v>
      </c>
      <c r="GM191">
        <v>17.666666666666668</v>
      </c>
      <c r="GN191">
        <v>15</v>
      </c>
      <c r="GO191">
        <v>0.10399999999999991</v>
      </c>
      <c r="GP191">
        <v>15</v>
      </c>
      <c r="GQ191">
        <v>4.24</v>
      </c>
      <c r="GR191">
        <v>23</v>
      </c>
      <c r="GS191">
        <v>-1.04</v>
      </c>
      <c r="GT191">
        <v>16</v>
      </c>
      <c r="GU191">
        <v>15.666666666666666</v>
      </c>
      <c r="GV191">
        <v>14</v>
      </c>
      <c r="GW191">
        <v>0.85199999999999965</v>
      </c>
      <c r="GX191">
        <v>7</v>
      </c>
      <c r="GY191">
        <v>8.879999999999999</v>
      </c>
      <c r="GZ191">
        <v>26</v>
      </c>
      <c r="HA191">
        <v>-1.1199999999999999</v>
      </c>
      <c r="HB191">
        <v>12</v>
      </c>
      <c r="HC191">
        <v>13</v>
      </c>
      <c r="HD191">
        <v>12</v>
      </c>
      <c r="HE191">
        <v>0.20000000000000034</v>
      </c>
      <c r="HF191">
        <v>14</v>
      </c>
      <c r="HG191">
        <v>-0.11999999999999993</v>
      </c>
      <c r="HH191">
        <v>2.8</v>
      </c>
      <c r="HI191">
        <v>13</v>
      </c>
      <c r="HJ191">
        <v>15</v>
      </c>
      <c r="HK191">
        <v>12</v>
      </c>
      <c r="HL191">
        <v>1.35924097559808E-2</v>
      </c>
      <c r="HM191">
        <v>16</v>
      </c>
      <c r="HN191">
        <v>-3.1395292693843654E-3</v>
      </c>
      <c r="HO191">
        <v>6</v>
      </c>
      <c r="HP191">
        <v>-7.9095238095238107E-2</v>
      </c>
      <c r="HQ191">
        <v>26</v>
      </c>
      <c r="HR191">
        <v>-1.9999999999999996</v>
      </c>
      <c r="HS191">
        <v>-1.0400000000000005</v>
      </c>
      <c r="HT191">
        <v>3.0800000000000005</v>
      </c>
      <c r="HU191">
        <v>-0.36</v>
      </c>
      <c r="HV191">
        <v>-4.2799999999999958</v>
      </c>
      <c r="HW191">
        <v>-1.1200000000000045</v>
      </c>
      <c r="HX191">
        <v>-2.1599999999999993</v>
      </c>
      <c r="HY191">
        <v>-7.7200000000000006</v>
      </c>
      <c r="HZ191">
        <v>6.7200000000000015</v>
      </c>
      <c r="IA191">
        <v>9</v>
      </c>
      <c r="IB191">
        <v>3.5992000000000006</v>
      </c>
      <c r="IC191">
        <v>-0.18255999999999972</v>
      </c>
      <c r="ID191">
        <v>1.0399999999999947</v>
      </c>
      <c r="IE191">
        <v>24</v>
      </c>
      <c r="IF191">
        <v>0.19790000000000016</v>
      </c>
      <c r="IG191">
        <v>-2.76</v>
      </c>
    </row>
    <row r="192" spans="1:241" x14ac:dyDescent="0.2">
      <c r="A192" s="19">
        <v>44129</v>
      </c>
      <c r="B192" s="13" t="s">
        <v>250</v>
      </c>
      <c r="C192" s="41" t="s">
        <v>278</v>
      </c>
      <c r="D192" s="14" t="s">
        <v>288</v>
      </c>
      <c r="E192">
        <v>4</v>
      </c>
      <c r="F192">
        <v>7.4</v>
      </c>
      <c r="G192">
        <v>5.4</v>
      </c>
      <c r="H192">
        <v>6.8</v>
      </c>
      <c r="I192">
        <v>7</v>
      </c>
      <c r="J192">
        <v>45.5</v>
      </c>
      <c r="K192" t="s">
        <v>735</v>
      </c>
      <c r="L192" t="s">
        <v>278</v>
      </c>
      <c r="M192">
        <v>26</v>
      </c>
      <c r="N192">
        <v>-3.8144999999999998</v>
      </c>
      <c r="O192">
        <v>14</v>
      </c>
      <c r="P192">
        <v>15</v>
      </c>
      <c r="Q192">
        <v>19</v>
      </c>
      <c r="R192">
        <v>9.2500000000000915E-2</v>
      </c>
      <c r="S192">
        <v>4</v>
      </c>
      <c r="T192">
        <v>3.9625000000000004</v>
      </c>
      <c r="U192">
        <v>9</v>
      </c>
      <c r="V192">
        <v>15.887499999999999</v>
      </c>
      <c r="W192">
        <v>28</v>
      </c>
      <c r="X192">
        <v>-1.2250000000000001</v>
      </c>
      <c r="Y192">
        <v>14</v>
      </c>
      <c r="Z192">
        <v>13.333333333333334</v>
      </c>
      <c r="AA192">
        <v>15</v>
      </c>
      <c r="AB192">
        <v>1.4562500000000005</v>
      </c>
      <c r="AC192">
        <v>4</v>
      </c>
      <c r="AD192">
        <v>3.85</v>
      </c>
      <c r="AE192">
        <v>7</v>
      </c>
      <c r="AF192">
        <v>15.9375</v>
      </c>
      <c r="AG192">
        <v>18</v>
      </c>
      <c r="AH192">
        <v>-0.23750000000000004</v>
      </c>
      <c r="AI192">
        <v>23</v>
      </c>
      <c r="AJ192">
        <v>21.666666666666668</v>
      </c>
      <c r="AK192">
        <v>24</v>
      </c>
      <c r="AL192">
        <v>-1.3637499999999996</v>
      </c>
      <c r="AM192">
        <v>12</v>
      </c>
      <c r="AN192">
        <v>0.11250000000000004</v>
      </c>
      <c r="AO192">
        <v>12</v>
      </c>
      <c r="AP192">
        <v>-4.9999999999999822E-2</v>
      </c>
      <c r="AQ192">
        <v>29</v>
      </c>
      <c r="AR192">
        <v>-0.98749999999999993</v>
      </c>
      <c r="AS192">
        <v>18</v>
      </c>
      <c r="AT192">
        <v>18</v>
      </c>
      <c r="AU192">
        <v>22</v>
      </c>
      <c r="AV192">
        <v>-3.1737500000000001</v>
      </c>
      <c r="AW192">
        <v>15</v>
      </c>
      <c r="AX192">
        <v>-0.3500000000000032</v>
      </c>
      <c r="AY192">
        <v>17</v>
      </c>
      <c r="AZ192">
        <v>6.2499999999999778E-2</v>
      </c>
      <c r="BA192">
        <v>31</v>
      </c>
      <c r="BB192">
        <v>30</v>
      </c>
      <c r="BC192">
        <v>29</v>
      </c>
      <c r="BD192">
        <v>-5.2525000000000004</v>
      </c>
      <c r="BE192">
        <v>30</v>
      </c>
      <c r="BF192">
        <v>-16.650000000000002</v>
      </c>
      <c r="BG192">
        <v>31</v>
      </c>
      <c r="BH192">
        <v>-1.6375000000000002</v>
      </c>
      <c r="BI192">
        <v>6</v>
      </c>
      <c r="BJ192">
        <v>6.333333333333333</v>
      </c>
      <c r="BK192">
        <v>5</v>
      </c>
      <c r="BL192">
        <v>4.6887500000000006</v>
      </c>
      <c r="BM192">
        <v>6</v>
      </c>
      <c r="BN192">
        <v>21.512499999999999</v>
      </c>
      <c r="BO192">
        <v>8</v>
      </c>
      <c r="BP192">
        <v>1.1375</v>
      </c>
      <c r="BQ192">
        <v>21</v>
      </c>
      <c r="BR192">
        <v>20</v>
      </c>
      <c r="BS192">
        <v>28</v>
      </c>
      <c r="BT192">
        <v>-2.6100000000000003</v>
      </c>
      <c r="BU192">
        <v>22</v>
      </c>
      <c r="BV192">
        <v>-5.2125000000000004</v>
      </c>
      <c r="BW192">
        <v>10</v>
      </c>
      <c r="BX192">
        <v>0.5625</v>
      </c>
      <c r="BY192">
        <v>29</v>
      </c>
      <c r="BZ192">
        <v>29.333333333333332</v>
      </c>
      <c r="CA192">
        <v>30</v>
      </c>
      <c r="CB192">
        <v>-5.8325000000000014</v>
      </c>
      <c r="CC192">
        <v>31</v>
      </c>
      <c r="CD192">
        <v>-32.825000000000003</v>
      </c>
      <c r="CE192">
        <v>27</v>
      </c>
      <c r="CF192">
        <v>-1.4125000000000001</v>
      </c>
      <c r="CG192">
        <v>5</v>
      </c>
      <c r="CH192">
        <v>7.333333333333333</v>
      </c>
      <c r="CI192">
        <v>8</v>
      </c>
      <c r="CJ192">
        <v>2.2387499999999996</v>
      </c>
      <c r="CK192">
        <v>10</v>
      </c>
      <c r="CL192">
        <v>10.762499999999999</v>
      </c>
      <c r="CM192">
        <v>4</v>
      </c>
      <c r="CN192">
        <v>2.2374999999999998</v>
      </c>
      <c r="CO192">
        <v>1</v>
      </c>
      <c r="CP192">
        <v>1</v>
      </c>
      <c r="CQ192">
        <v>1</v>
      </c>
      <c r="CR192">
        <v>5.9375</v>
      </c>
      <c r="CS192">
        <v>1</v>
      </c>
      <c r="CT192">
        <v>1.4624999999999999</v>
      </c>
      <c r="CU192">
        <v>0.62499999999999978</v>
      </c>
      <c r="CV192">
        <v>3</v>
      </c>
      <c r="CW192">
        <v>7.5</v>
      </c>
      <c r="CX192">
        <v>9</v>
      </c>
      <c r="CY192">
        <v>3.0772902583162398E-2</v>
      </c>
      <c r="CZ192">
        <v>10</v>
      </c>
      <c r="DA192">
        <v>7.429968467323177E-3</v>
      </c>
      <c r="DB192">
        <v>4</v>
      </c>
      <c r="DC192">
        <v>-0.10740905293536873</v>
      </c>
      <c r="DD192">
        <v>7</v>
      </c>
      <c r="DE192">
        <v>2.4750000000000001</v>
      </c>
      <c r="DF192">
        <v>5.8250000000000011</v>
      </c>
      <c r="DG192">
        <v>-0.27499999999999947</v>
      </c>
      <c r="DH192">
        <v>-1.5874999999999999</v>
      </c>
      <c r="DI192">
        <v>-9.0249999999999915</v>
      </c>
      <c r="DJ192">
        <v>-15.537500000000001</v>
      </c>
      <c r="DK192">
        <v>9.9624999999999986</v>
      </c>
      <c r="DL192">
        <v>1.3250000000000002</v>
      </c>
      <c r="DM192">
        <v>-4.7749999999999995</v>
      </c>
      <c r="DN192">
        <v>22</v>
      </c>
      <c r="DO192">
        <v>-3.9070000000000009</v>
      </c>
      <c r="DP192">
        <v>-0.99615000000000054</v>
      </c>
      <c r="DQ192">
        <v>-25.5</v>
      </c>
      <c r="DR192">
        <v>11</v>
      </c>
      <c r="DS192">
        <v>0.16006250000000011</v>
      </c>
      <c r="DT192">
        <v>2.2999999999999998</v>
      </c>
      <c r="DU192">
        <v>-0.35693124999999992</v>
      </c>
      <c r="DV192">
        <v>0.35031249999999997</v>
      </c>
      <c r="DW192" t="s">
        <v>288</v>
      </c>
      <c r="DX192" t="s">
        <v>270</v>
      </c>
      <c r="DY192" t="s">
        <v>508</v>
      </c>
      <c r="DZ192">
        <v>28</v>
      </c>
      <c r="EA192">
        <v>-4.1744000000000003</v>
      </c>
      <c r="EB192">
        <v>11</v>
      </c>
      <c r="EC192">
        <v>12.75</v>
      </c>
      <c r="ED192">
        <v>12</v>
      </c>
      <c r="EE192">
        <v>1.2410000000000005</v>
      </c>
      <c r="EF192">
        <v>3</v>
      </c>
      <c r="EG192">
        <v>3.5399999999999991</v>
      </c>
      <c r="EH192">
        <v>8</v>
      </c>
      <c r="EI192">
        <v>14.270000000000003</v>
      </c>
      <c r="EJ192">
        <v>28</v>
      </c>
      <c r="EK192">
        <v>-1.0900000000000001</v>
      </c>
      <c r="EL192">
        <v>18</v>
      </c>
      <c r="EM192">
        <v>18.25</v>
      </c>
      <c r="EN192">
        <v>18</v>
      </c>
      <c r="EO192">
        <v>-0.29199999999999982</v>
      </c>
      <c r="EP192">
        <v>15</v>
      </c>
      <c r="EQ192">
        <v>5.999999999999979E-2</v>
      </c>
      <c r="ER192">
        <v>16</v>
      </c>
      <c r="ES192">
        <v>2.160000000000001</v>
      </c>
      <c r="ET192">
        <v>24</v>
      </c>
      <c r="EU192">
        <v>-0.64</v>
      </c>
      <c r="EV192">
        <v>1</v>
      </c>
      <c r="EW192">
        <v>4</v>
      </c>
      <c r="EX192">
        <v>8</v>
      </c>
      <c r="EY192">
        <v>1.5330000000000004</v>
      </c>
      <c r="EZ192">
        <v>1</v>
      </c>
      <c r="FA192">
        <v>3.4799999999999995</v>
      </c>
      <c r="FB192">
        <v>3</v>
      </c>
      <c r="FC192">
        <v>12.110000000000001</v>
      </c>
      <c r="FD192">
        <v>24</v>
      </c>
      <c r="FE192">
        <v>-0.45</v>
      </c>
      <c r="FF192">
        <v>29</v>
      </c>
      <c r="FG192">
        <v>27.333333333333332</v>
      </c>
      <c r="FH192">
        <v>23</v>
      </c>
      <c r="FI192">
        <v>-3.3279999999999994</v>
      </c>
      <c r="FJ192">
        <v>31</v>
      </c>
      <c r="FK192">
        <v>-29.910000000000004</v>
      </c>
      <c r="FL192">
        <v>28</v>
      </c>
      <c r="FM192">
        <v>-2.1100000000000003</v>
      </c>
      <c r="FN192">
        <v>26</v>
      </c>
      <c r="FO192">
        <v>25.666666666666668</v>
      </c>
      <c r="FP192">
        <v>23</v>
      </c>
      <c r="FQ192">
        <v>-2.0959999999999992</v>
      </c>
      <c r="FR192">
        <v>25</v>
      </c>
      <c r="FS192">
        <v>-9.51</v>
      </c>
      <c r="FT192">
        <v>29</v>
      </c>
      <c r="FU192">
        <v>-1.59</v>
      </c>
      <c r="FV192">
        <v>24</v>
      </c>
      <c r="FW192">
        <v>21.333333333333332</v>
      </c>
      <c r="FX192">
        <v>17</v>
      </c>
      <c r="FY192">
        <v>-0.49999999999999983</v>
      </c>
      <c r="FZ192">
        <v>29</v>
      </c>
      <c r="GA192">
        <v>-13.620000000000001</v>
      </c>
      <c r="GB192">
        <v>18</v>
      </c>
      <c r="GC192">
        <v>-7.0000000000000021E-2</v>
      </c>
      <c r="GD192">
        <v>25</v>
      </c>
      <c r="GE192">
        <v>23.666666666666668</v>
      </c>
      <c r="GF192">
        <v>20</v>
      </c>
      <c r="GG192">
        <v>-0.73199999999999998</v>
      </c>
      <c r="GH192">
        <v>26</v>
      </c>
      <c r="GI192">
        <v>-6.7800000000000011</v>
      </c>
      <c r="GJ192">
        <v>25</v>
      </c>
      <c r="GK192">
        <v>-0.45</v>
      </c>
      <c r="GL192">
        <v>29</v>
      </c>
      <c r="GM192">
        <v>28.333333333333332</v>
      </c>
      <c r="GN192">
        <v>31</v>
      </c>
      <c r="GO192">
        <v>-6.0109999999999983</v>
      </c>
      <c r="GP192">
        <v>30</v>
      </c>
      <c r="GQ192">
        <v>-21.31</v>
      </c>
      <c r="GR192">
        <v>24</v>
      </c>
      <c r="GS192">
        <v>-1.1000000000000001</v>
      </c>
      <c r="GT192">
        <v>18</v>
      </c>
      <c r="GU192">
        <v>19.333333333333332</v>
      </c>
      <c r="GV192">
        <v>22</v>
      </c>
      <c r="GW192">
        <v>-1.8119999999999998</v>
      </c>
      <c r="GX192">
        <v>21</v>
      </c>
      <c r="GY192">
        <v>-4.42</v>
      </c>
      <c r="GZ192">
        <v>15</v>
      </c>
      <c r="HA192">
        <v>0.17999999999999988</v>
      </c>
      <c r="HB192">
        <v>16</v>
      </c>
      <c r="HC192">
        <v>16.5</v>
      </c>
      <c r="HD192">
        <v>18</v>
      </c>
      <c r="HE192">
        <v>-0.43999999999999984</v>
      </c>
      <c r="HF192">
        <v>15</v>
      </c>
      <c r="HG192">
        <v>-0.12000000000000002</v>
      </c>
      <c r="HH192">
        <v>-1.47</v>
      </c>
      <c r="HI192">
        <v>10</v>
      </c>
      <c r="HJ192">
        <v>13.75</v>
      </c>
      <c r="HK192">
        <v>15</v>
      </c>
      <c r="HL192">
        <v>8.7143529525698146E-3</v>
      </c>
      <c r="HM192">
        <v>23</v>
      </c>
      <c r="HN192">
        <v>-8.6128487663332774E-3</v>
      </c>
      <c r="HO192">
        <v>8</v>
      </c>
      <c r="HP192">
        <v>-3.6349429981782935E-2</v>
      </c>
      <c r="HQ192">
        <v>9</v>
      </c>
      <c r="HR192">
        <v>0.86999999999999988</v>
      </c>
      <c r="HS192">
        <v>0.27999999999999969</v>
      </c>
      <c r="HT192">
        <v>-3.8600000000000003</v>
      </c>
      <c r="HU192">
        <v>-0.49000000000000005</v>
      </c>
      <c r="HV192">
        <v>-22.8</v>
      </c>
      <c r="HW192">
        <v>-43.04</v>
      </c>
      <c r="HX192">
        <v>17.95</v>
      </c>
      <c r="HY192">
        <v>-0.65</v>
      </c>
      <c r="HZ192">
        <v>2.94</v>
      </c>
      <c r="IA192">
        <v>26</v>
      </c>
      <c r="IB192">
        <v>-5.4154000000000009</v>
      </c>
      <c r="IC192">
        <v>-2.4833800000000004</v>
      </c>
      <c r="ID192">
        <v>-60.989999999999995</v>
      </c>
      <c r="IE192">
        <v>7</v>
      </c>
      <c r="IF192">
        <v>-1.0641749999999999</v>
      </c>
      <c r="IG192">
        <v>-1.9300000000000004</v>
      </c>
    </row>
    <row r="193" spans="1:241" x14ac:dyDescent="0.2">
      <c r="A193" s="19">
        <v>44129</v>
      </c>
      <c r="B193" s="13" t="s">
        <v>250</v>
      </c>
      <c r="C193" s="41" t="s">
        <v>299</v>
      </c>
      <c r="D193" s="14" t="s">
        <v>295</v>
      </c>
      <c r="E193">
        <v>20.399999999999999</v>
      </c>
      <c r="F193">
        <v>13</v>
      </c>
      <c r="G193">
        <v>9.1999999999999993</v>
      </c>
      <c r="H193">
        <v>16.899999999999999</v>
      </c>
      <c r="I193">
        <v>1</v>
      </c>
      <c r="J193">
        <v>54.5</v>
      </c>
      <c r="K193" t="s">
        <v>734</v>
      </c>
      <c r="L193" t="s">
        <v>299</v>
      </c>
      <c r="M193">
        <v>20</v>
      </c>
      <c r="N193">
        <v>-2.2469999999999999</v>
      </c>
      <c r="O193">
        <v>25</v>
      </c>
      <c r="P193">
        <v>22</v>
      </c>
      <c r="Q193">
        <v>18</v>
      </c>
      <c r="R193">
        <v>0.13874999999999993</v>
      </c>
      <c r="S193">
        <v>23</v>
      </c>
      <c r="T193">
        <v>-1.9500000000000002</v>
      </c>
      <c r="U193">
        <v>23</v>
      </c>
      <c r="V193">
        <v>-12.612499999999997</v>
      </c>
      <c r="W193">
        <v>24</v>
      </c>
      <c r="X193">
        <v>-0.875</v>
      </c>
      <c r="Y193">
        <v>28</v>
      </c>
      <c r="Z193">
        <v>26.333333333333332</v>
      </c>
      <c r="AA193">
        <v>27</v>
      </c>
      <c r="AB193">
        <v>-4.1675000000000004</v>
      </c>
      <c r="AC193">
        <v>28</v>
      </c>
      <c r="AD193">
        <v>-2.8250000000000002</v>
      </c>
      <c r="AE193">
        <v>24</v>
      </c>
      <c r="AF193">
        <v>-9.7999999999999972</v>
      </c>
      <c r="AG193">
        <v>28</v>
      </c>
      <c r="AH193">
        <v>-1.3625</v>
      </c>
      <c r="AI193">
        <v>7</v>
      </c>
      <c r="AJ193">
        <v>9.6666666666666661</v>
      </c>
      <c r="AK193">
        <v>2</v>
      </c>
      <c r="AL193">
        <v>4.3062500000000004</v>
      </c>
      <c r="AM193">
        <v>10</v>
      </c>
      <c r="AN193">
        <v>0.875</v>
      </c>
      <c r="AO193">
        <v>18</v>
      </c>
      <c r="AP193">
        <v>-2.8125</v>
      </c>
      <c r="AQ193">
        <v>9</v>
      </c>
      <c r="AR193">
        <v>0.48750000000000004</v>
      </c>
      <c r="AS193">
        <v>24</v>
      </c>
      <c r="AT193">
        <v>21.666666666666668</v>
      </c>
      <c r="AU193">
        <v>26</v>
      </c>
      <c r="AV193">
        <v>-4.2550000000000008</v>
      </c>
      <c r="AW193">
        <v>19</v>
      </c>
      <c r="AX193">
        <v>-8.9749999999999979</v>
      </c>
      <c r="AY193">
        <v>20</v>
      </c>
      <c r="AZ193">
        <v>-1.2250000000000001</v>
      </c>
      <c r="BA193">
        <v>12</v>
      </c>
      <c r="BB193">
        <v>14.333333333333334</v>
      </c>
      <c r="BC193">
        <v>14</v>
      </c>
      <c r="BD193">
        <v>0.59750000000000014</v>
      </c>
      <c r="BE193">
        <v>18</v>
      </c>
      <c r="BF193">
        <v>-2.0749999999999993</v>
      </c>
      <c r="BG193">
        <v>11</v>
      </c>
      <c r="BH193">
        <v>0.375</v>
      </c>
      <c r="BI193">
        <v>24</v>
      </c>
      <c r="BJ193">
        <v>25.333333333333332</v>
      </c>
      <c r="BK193">
        <v>29</v>
      </c>
      <c r="BL193">
        <v>-3.5187500000000007</v>
      </c>
      <c r="BM193">
        <v>16</v>
      </c>
      <c r="BN193">
        <v>-3.0625</v>
      </c>
      <c r="BO193">
        <v>31</v>
      </c>
      <c r="BP193">
        <v>-1.9125000000000001</v>
      </c>
      <c r="BQ193">
        <v>18</v>
      </c>
      <c r="BR193">
        <v>18.666666666666668</v>
      </c>
      <c r="BS193">
        <v>22</v>
      </c>
      <c r="BT193">
        <v>-1.3337500000000002</v>
      </c>
      <c r="BU193">
        <v>20</v>
      </c>
      <c r="BV193">
        <v>-3.8374999999999986</v>
      </c>
      <c r="BW193">
        <v>14</v>
      </c>
      <c r="BX193">
        <v>0.3125</v>
      </c>
      <c r="BY193">
        <v>24</v>
      </c>
      <c r="BZ193">
        <v>25</v>
      </c>
      <c r="CA193">
        <v>22</v>
      </c>
      <c r="CB193">
        <v>-2.0525000000000002</v>
      </c>
      <c r="CC193">
        <v>29</v>
      </c>
      <c r="CD193">
        <v>-22.4</v>
      </c>
      <c r="CE193">
        <v>24</v>
      </c>
      <c r="CF193">
        <v>-1.1000000000000001</v>
      </c>
      <c r="CG193">
        <v>21</v>
      </c>
      <c r="CH193">
        <v>20.333333333333332</v>
      </c>
      <c r="CI193">
        <v>20</v>
      </c>
      <c r="CJ193">
        <v>-2.0462500000000001</v>
      </c>
      <c r="CK193">
        <v>19</v>
      </c>
      <c r="CL193">
        <v>-7.8375000000000004</v>
      </c>
      <c r="CM193">
        <v>22</v>
      </c>
      <c r="CN193">
        <v>-0.82499999999999996</v>
      </c>
      <c r="CO193">
        <v>15</v>
      </c>
      <c r="CP193">
        <v>18</v>
      </c>
      <c r="CQ193">
        <v>23</v>
      </c>
      <c r="CR193">
        <v>-1.0750000000000002</v>
      </c>
      <c r="CS193">
        <v>13</v>
      </c>
      <c r="CT193">
        <v>9.9999999999999978E-2</v>
      </c>
      <c r="CU193">
        <v>-1.3125</v>
      </c>
      <c r="CV193">
        <v>8</v>
      </c>
      <c r="CW193">
        <v>11.5</v>
      </c>
      <c r="CX193">
        <v>14</v>
      </c>
      <c r="CY193">
        <v>2.6040680653880571E-3</v>
      </c>
      <c r="CZ193">
        <v>4</v>
      </c>
      <c r="DA193">
        <v>2.2599949522189376E-2</v>
      </c>
      <c r="DB193">
        <v>19</v>
      </c>
      <c r="DC193">
        <v>1.2169566544566607E-2</v>
      </c>
      <c r="DD193">
        <v>9</v>
      </c>
      <c r="DE193">
        <v>1.4125000000000001</v>
      </c>
      <c r="DF193">
        <v>-3.0375000000000014</v>
      </c>
      <c r="DG193">
        <v>0.78749999999999964</v>
      </c>
      <c r="DH193">
        <v>-0.4375</v>
      </c>
      <c r="DI193">
        <v>-26.174999999999997</v>
      </c>
      <c r="DJ193">
        <v>-16.049999999999997</v>
      </c>
      <c r="DK193">
        <v>-4.2875000000000014</v>
      </c>
      <c r="DL193">
        <v>-2.6625000000000001</v>
      </c>
      <c r="DM193">
        <v>-3.1749999999999998</v>
      </c>
      <c r="DN193">
        <v>19</v>
      </c>
      <c r="DO193">
        <v>-2.3857499999999998</v>
      </c>
      <c r="DP193">
        <v>-1.7790250000000003</v>
      </c>
      <c r="DQ193">
        <v>-11.762499999999996</v>
      </c>
      <c r="DR193">
        <v>14</v>
      </c>
      <c r="DS193">
        <v>-1.1855625000000001</v>
      </c>
      <c r="DT193">
        <v>-2.0499999999999998</v>
      </c>
      <c r="DU193">
        <v>1.3569562500000001</v>
      </c>
      <c r="DV193">
        <v>-0.32556249999999998</v>
      </c>
      <c r="DW193" t="s">
        <v>295</v>
      </c>
      <c r="DX193" t="s">
        <v>280</v>
      </c>
      <c r="DY193" t="s">
        <v>489</v>
      </c>
      <c r="DZ193">
        <v>1</v>
      </c>
      <c r="EA193">
        <v>12.093399999999999</v>
      </c>
      <c r="EB193">
        <v>23</v>
      </c>
      <c r="EC193">
        <v>19.75</v>
      </c>
      <c r="ED193">
        <v>24</v>
      </c>
      <c r="EE193">
        <v>-3.258999999999999</v>
      </c>
      <c r="EF193">
        <v>23</v>
      </c>
      <c r="EG193">
        <v>-1.9200000000000004</v>
      </c>
      <c r="EH193">
        <v>25</v>
      </c>
      <c r="EI193">
        <v>-18.990000000000002</v>
      </c>
      <c r="EJ193">
        <v>7</v>
      </c>
      <c r="EK193">
        <v>1.03</v>
      </c>
      <c r="EL193">
        <v>24</v>
      </c>
      <c r="EM193">
        <v>22</v>
      </c>
      <c r="EN193">
        <v>27</v>
      </c>
      <c r="EO193">
        <v>-3.1919999999999993</v>
      </c>
      <c r="EP193">
        <v>19</v>
      </c>
      <c r="EQ193">
        <v>-0.31000000000000016</v>
      </c>
      <c r="ER193">
        <v>23</v>
      </c>
      <c r="ES193">
        <v>-6.2700000000000005</v>
      </c>
      <c r="ET193">
        <v>19</v>
      </c>
      <c r="EU193">
        <v>-0.17999999999999988</v>
      </c>
      <c r="EV193">
        <v>27</v>
      </c>
      <c r="EW193">
        <v>23.666666666666668</v>
      </c>
      <c r="EX193">
        <v>15</v>
      </c>
      <c r="EY193">
        <v>-6.6999999999999907E-2</v>
      </c>
      <c r="EZ193">
        <v>25</v>
      </c>
      <c r="FA193">
        <v>-1.61</v>
      </c>
      <c r="FB193">
        <v>31</v>
      </c>
      <c r="FC193">
        <v>-12.720000000000002</v>
      </c>
      <c r="FD193">
        <v>2</v>
      </c>
      <c r="FE193">
        <v>1.21</v>
      </c>
      <c r="FF193">
        <v>2</v>
      </c>
      <c r="FG193">
        <v>3.6666666666666665</v>
      </c>
      <c r="FH193">
        <v>3</v>
      </c>
      <c r="FI193">
        <v>7.559400000000001</v>
      </c>
      <c r="FJ193">
        <v>2</v>
      </c>
      <c r="FK193">
        <v>29.489999999999991</v>
      </c>
      <c r="FL193">
        <v>6</v>
      </c>
      <c r="FM193">
        <v>1.5100000000000002</v>
      </c>
      <c r="FN193">
        <v>12</v>
      </c>
      <c r="FO193">
        <v>12.333333333333334</v>
      </c>
      <c r="FP193">
        <v>10</v>
      </c>
      <c r="FQ193">
        <v>1.5450000000000006</v>
      </c>
      <c r="FR193">
        <v>12</v>
      </c>
      <c r="FS193">
        <v>8.1899999999999977</v>
      </c>
      <c r="FT193">
        <v>15</v>
      </c>
      <c r="FU193">
        <v>0.33000000000000007</v>
      </c>
      <c r="FV193">
        <v>4</v>
      </c>
      <c r="FW193">
        <v>6.333333333333333</v>
      </c>
      <c r="FX193">
        <v>2</v>
      </c>
      <c r="FY193">
        <v>6.048</v>
      </c>
      <c r="FZ193">
        <v>3</v>
      </c>
      <c r="GA193">
        <v>17.859999999999996</v>
      </c>
      <c r="GB193">
        <v>14</v>
      </c>
      <c r="GC193">
        <v>9.0000000000000038E-2</v>
      </c>
      <c r="GD193">
        <v>7</v>
      </c>
      <c r="GE193">
        <v>9.3333333333333339</v>
      </c>
      <c r="GF193">
        <v>16</v>
      </c>
      <c r="GG193">
        <v>-3.3599999999999589E-2</v>
      </c>
      <c r="GH193">
        <v>9</v>
      </c>
      <c r="GI193">
        <v>3.4399999999999991</v>
      </c>
      <c r="GJ193">
        <v>3</v>
      </c>
      <c r="GK193">
        <v>1.0900000000000001</v>
      </c>
      <c r="GL193">
        <v>7</v>
      </c>
      <c r="GM193">
        <v>7</v>
      </c>
      <c r="GN193">
        <v>4</v>
      </c>
      <c r="GO193">
        <v>4.7169999999999987</v>
      </c>
      <c r="GP193">
        <v>6</v>
      </c>
      <c r="GQ193">
        <v>11.569999999999999</v>
      </c>
      <c r="GR193">
        <v>11</v>
      </c>
      <c r="GS193">
        <v>0.54</v>
      </c>
      <c r="GT193">
        <v>1</v>
      </c>
      <c r="GU193">
        <v>1.3333333333333333</v>
      </c>
      <c r="GV193">
        <v>1</v>
      </c>
      <c r="GW193">
        <v>8.7020000000000017</v>
      </c>
      <c r="GX193">
        <v>1</v>
      </c>
      <c r="GY193">
        <v>26.020000000000003</v>
      </c>
      <c r="GZ193">
        <v>2</v>
      </c>
      <c r="HA193">
        <v>1.9</v>
      </c>
      <c r="HB193">
        <v>24</v>
      </c>
      <c r="HC193">
        <v>23</v>
      </c>
      <c r="HD193">
        <v>22</v>
      </c>
      <c r="HE193">
        <v>-0.78</v>
      </c>
      <c r="HF193">
        <v>24</v>
      </c>
      <c r="HG193">
        <v>-0.39</v>
      </c>
      <c r="HH193">
        <v>-1.95</v>
      </c>
      <c r="HI193">
        <v>32</v>
      </c>
      <c r="HJ193">
        <v>27.75</v>
      </c>
      <c r="HK193">
        <v>26</v>
      </c>
      <c r="HL193">
        <v>-4.024662684341436E-2</v>
      </c>
      <c r="HM193">
        <v>31</v>
      </c>
      <c r="HN193">
        <v>-3.1277801836282954E-2</v>
      </c>
      <c r="HO193">
        <v>23</v>
      </c>
      <c r="HP193">
        <v>3.4123376623376653E-2</v>
      </c>
      <c r="HQ193">
        <v>31</v>
      </c>
      <c r="HR193">
        <v>-3.3299999999999996</v>
      </c>
      <c r="HS193">
        <v>0.7000000000000014</v>
      </c>
      <c r="HT193">
        <v>4.4399999999999995</v>
      </c>
      <c r="HU193">
        <v>-0.63</v>
      </c>
      <c r="HV193">
        <v>54.429999999999986</v>
      </c>
      <c r="HW193">
        <v>67.860000000000014</v>
      </c>
      <c r="HX193">
        <v>-22.119999999999997</v>
      </c>
      <c r="HY193">
        <v>7.06</v>
      </c>
      <c r="HZ193">
        <v>1.6300000000000001</v>
      </c>
      <c r="IA193">
        <v>1</v>
      </c>
      <c r="IB193">
        <v>15.352399999999998</v>
      </c>
      <c r="IC193">
        <v>7.3004599999999993</v>
      </c>
      <c r="ID193">
        <v>89.980000000000018</v>
      </c>
      <c r="IE193">
        <v>32</v>
      </c>
      <c r="IF193">
        <v>3.0394749999999999</v>
      </c>
      <c r="IG193">
        <v>3.41</v>
      </c>
    </row>
    <row r="194" spans="1:241" x14ac:dyDescent="0.2">
      <c r="A194" s="19">
        <v>44129</v>
      </c>
      <c r="B194" s="13" t="s">
        <v>250</v>
      </c>
      <c r="C194" s="41" t="s">
        <v>300</v>
      </c>
      <c r="D194" s="14" t="s">
        <v>311</v>
      </c>
      <c r="E194">
        <v>47.6</v>
      </c>
      <c r="F194">
        <v>0.9</v>
      </c>
      <c r="G194">
        <v>8.6</v>
      </c>
      <c r="H194">
        <v>5.2</v>
      </c>
      <c r="I194">
        <v>-3</v>
      </c>
      <c r="J194">
        <v>55</v>
      </c>
      <c r="L194" t="s">
        <v>300</v>
      </c>
      <c r="M194">
        <v>22</v>
      </c>
      <c r="N194">
        <v>-2.6859999999999999</v>
      </c>
      <c r="O194">
        <v>2</v>
      </c>
      <c r="P194">
        <v>6.75</v>
      </c>
      <c r="Q194">
        <v>3</v>
      </c>
      <c r="R194">
        <v>9.1500000000000021</v>
      </c>
      <c r="S194">
        <v>12</v>
      </c>
      <c r="T194">
        <v>1.0625</v>
      </c>
      <c r="U194">
        <v>4</v>
      </c>
      <c r="V194">
        <v>29.0625</v>
      </c>
      <c r="W194">
        <v>8</v>
      </c>
      <c r="X194">
        <v>1.2124999999999999</v>
      </c>
      <c r="Y194">
        <v>2</v>
      </c>
      <c r="Z194">
        <v>6</v>
      </c>
      <c r="AA194">
        <v>2</v>
      </c>
      <c r="AB194">
        <v>8.182500000000001</v>
      </c>
      <c r="AC194">
        <v>16</v>
      </c>
      <c r="AD194">
        <v>0</v>
      </c>
      <c r="AE194">
        <v>6</v>
      </c>
      <c r="AF194">
        <v>19.137499999999999</v>
      </c>
      <c r="AG194">
        <v>10</v>
      </c>
      <c r="AH194">
        <v>0.89999999999999991</v>
      </c>
      <c r="AI194">
        <v>6</v>
      </c>
      <c r="AJ194">
        <v>9</v>
      </c>
      <c r="AK194">
        <v>9</v>
      </c>
      <c r="AL194">
        <v>0.96750000000000047</v>
      </c>
      <c r="AM194">
        <v>8</v>
      </c>
      <c r="AN194">
        <v>1.0625</v>
      </c>
      <c r="AO194">
        <v>7</v>
      </c>
      <c r="AP194">
        <v>9.9250000000000007</v>
      </c>
      <c r="AQ194">
        <v>11</v>
      </c>
      <c r="AR194">
        <v>0.3125</v>
      </c>
      <c r="AS194">
        <v>32</v>
      </c>
      <c r="AT194">
        <v>32</v>
      </c>
      <c r="AU194">
        <v>32</v>
      </c>
      <c r="AV194">
        <v>-15.248749999999999</v>
      </c>
      <c r="AW194">
        <v>32</v>
      </c>
      <c r="AX194">
        <v>-49.524999999999999</v>
      </c>
      <c r="AY194">
        <v>32</v>
      </c>
      <c r="AZ194">
        <v>-4.4249999999999998</v>
      </c>
      <c r="BA194">
        <v>22</v>
      </c>
      <c r="BB194">
        <v>21.333333333333332</v>
      </c>
      <c r="BC194">
        <v>26</v>
      </c>
      <c r="BD194">
        <v>-2.0924999999999998</v>
      </c>
      <c r="BE194">
        <v>14</v>
      </c>
      <c r="BF194">
        <v>1.2249999999999979</v>
      </c>
      <c r="BG194">
        <v>24</v>
      </c>
      <c r="BH194">
        <v>-1</v>
      </c>
      <c r="BI194">
        <v>31</v>
      </c>
      <c r="BJ194">
        <v>28.666666666666668</v>
      </c>
      <c r="BK194">
        <v>32</v>
      </c>
      <c r="BL194">
        <v>-10.19375</v>
      </c>
      <c r="BM194">
        <v>31</v>
      </c>
      <c r="BN194">
        <v>-38.912500000000001</v>
      </c>
      <c r="BO194">
        <v>23</v>
      </c>
      <c r="BP194">
        <v>-1.0625</v>
      </c>
      <c r="BQ194">
        <v>30</v>
      </c>
      <c r="BR194">
        <v>28.666666666666668</v>
      </c>
      <c r="BS194">
        <v>29</v>
      </c>
      <c r="BT194">
        <v>-2.9625000000000004</v>
      </c>
      <c r="BU194">
        <v>27</v>
      </c>
      <c r="BV194">
        <v>-11.837499999999999</v>
      </c>
      <c r="BW194">
        <v>30</v>
      </c>
      <c r="BX194">
        <v>-2.3624999999999998</v>
      </c>
      <c r="BY194">
        <v>22</v>
      </c>
      <c r="BZ194">
        <v>21.333333333333332</v>
      </c>
      <c r="CA194">
        <v>19</v>
      </c>
      <c r="CB194">
        <v>-1.4749999999999996</v>
      </c>
      <c r="CC194">
        <v>20</v>
      </c>
      <c r="CD194">
        <v>-7</v>
      </c>
      <c r="CE194">
        <v>25</v>
      </c>
      <c r="CF194">
        <v>-1.2125000000000004</v>
      </c>
      <c r="CG194">
        <v>7</v>
      </c>
      <c r="CH194">
        <v>9.6666666666666661</v>
      </c>
      <c r="CI194">
        <v>4</v>
      </c>
      <c r="CJ194">
        <v>4.8674999999999997</v>
      </c>
      <c r="CK194">
        <v>6</v>
      </c>
      <c r="CL194">
        <v>12.924999999999999</v>
      </c>
      <c r="CM194">
        <v>19</v>
      </c>
      <c r="CN194">
        <v>-0.58750000000000013</v>
      </c>
      <c r="CO194">
        <v>8</v>
      </c>
      <c r="CP194">
        <v>7</v>
      </c>
      <c r="CQ194">
        <v>3</v>
      </c>
      <c r="CR194">
        <v>2.4624999999999999</v>
      </c>
      <c r="CS194">
        <v>11</v>
      </c>
      <c r="CT194">
        <v>0.3125</v>
      </c>
      <c r="CU194">
        <v>1.5874999999999999</v>
      </c>
      <c r="CV194">
        <v>24</v>
      </c>
      <c r="CW194">
        <v>20.75</v>
      </c>
      <c r="CX194">
        <v>27</v>
      </c>
      <c r="CY194">
        <v>-4.4979971394914026E-2</v>
      </c>
      <c r="CZ194">
        <v>25</v>
      </c>
      <c r="DA194">
        <v>-8.5193707845681241E-3</v>
      </c>
      <c r="DB194">
        <v>5</v>
      </c>
      <c r="DC194">
        <v>-9.8134296259296233E-2</v>
      </c>
      <c r="DD194">
        <v>26</v>
      </c>
      <c r="DE194">
        <v>-1.7749999999999999</v>
      </c>
      <c r="DF194">
        <v>-2.7874999999999979</v>
      </c>
      <c r="DG194">
        <v>1.9000000000000004</v>
      </c>
      <c r="DH194">
        <v>0.96250000000000002</v>
      </c>
      <c r="DI194">
        <v>6.0625</v>
      </c>
      <c r="DJ194">
        <v>-26.650000000000006</v>
      </c>
      <c r="DK194">
        <v>39.924999999999997</v>
      </c>
      <c r="DL194">
        <v>-5.75</v>
      </c>
      <c r="DM194">
        <v>-1.4624999999999999</v>
      </c>
      <c r="DN194">
        <v>31</v>
      </c>
      <c r="DO194">
        <v>-11.836000000000002</v>
      </c>
      <c r="DP194">
        <v>-7.1884500000000013</v>
      </c>
      <c r="DQ194">
        <v>-66.575000000000003</v>
      </c>
      <c r="DR194">
        <v>2</v>
      </c>
      <c r="DS194">
        <v>-0.18184374999999992</v>
      </c>
      <c r="DT194">
        <v>-5.0125000000000002</v>
      </c>
      <c r="DU194">
        <v>-0.34553125000000018</v>
      </c>
      <c r="DV194">
        <v>-1.6578125000000001</v>
      </c>
      <c r="DW194" t="s">
        <v>311</v>
      </c>
      <c r="DX194" t="s">
        <v>275</v>
      </c>
      <c r="DY194" t="s">
        <v>477</v>
      </c>
      <c r="DZ194">
        <v>12</v>
      </c>
      <c r="EA194">
        <v>0.90700000000000036</v>
      </c>
      <c r="EB194">
        <v>1</v>
      </c>
      <c r="EC194">
        <v>3.75</v>
      </c>
      <c r="ED194">
        <v>1</v>
      </c>
      <c r="EE194">
        <v>8.4979999999999993</v>
      </c>
      <c r="EF194">
        <v>8</v>
      </c>
      <c r="EG194">
        <v>2.6799999999999997</v>
      </c>
      <c r="EH194">
        <v>1</v>
      </c>
      <c r="EI194">
        <v>45.66</v>
      </c>
      <c r="EJ194">
        <v>5</v>
      </c>
      <c r="EK194">
        <v>1.19</v>
      </c>
      <c r="EL194">
        <v>1</v>
      </c>
      <c r="EM194">
        <v>3.5</v>
      </c>
      <c r="EN194">
        <v>1</v>
      </c>
      <c r="EO194">
        <v>6.855999999999999</v>
      </c>
      <c r="EP194">
        <v>9</v>
      </c>
      <c r="EQ194">
        <v>1.4299999999999997</v>
      </c>
      <c r="ER194">
        <v>1</v>
      </c>
      <c r="ES194">
        <v>30.52</v>
      </c>
      <c r="ET194">
        <v>3</v>
      </c>
      <c r="EU194">
        <v>1.45</v>
      </c>
      <c r="EV194">
        <v>3</v>
      </c>
      <c r="EW194">
        <v>4.666666666666667</v>
      </c>
      <c r="EX194">
        <v>5</v>
      </c>
      <c r="EY194">
        <v>1.6420000000000001</v>
      </c>
      <c r="EZ194">
        <v>7</v>
      </c>
      <c r="FA194">
        <v>1.25</v>
      </c>
      <c r="FB194">
        <v>2</v>
      </c>
      <c r="FC194">
        <v>15.14</v>
      </c>
      <c r="FD194">
        <v>20</v>
      </c>
      <c r="FE194">
        <v>-0.26</v>
      </c>
      <c r="FF194">
        <v>24</v>
      </c>
      <c r="FG194">
        <v>22.666666666666668</v>
      </c>
      <c r="FH194">
        <v>21</v>
      </c>
      <c r="FI194">
        <v>-1.0079999999999998</v>
      </c>
      <c r="FJ194">
        <v>25</v>
      </c>
      <c r="FK194">
        <v>-7.83</v>
      </c>
      <c r="FL194">
        <v>22</v>
      </c>
      <c r="FM194">
        <v>-0.77999999999999992</v>
      </c>
      <c r="FN194">
        <v>23</v>
      </c>
      <c r="FO194">
        <v>22.333333333333332</v>
      </c>
      <c r="FP194">
        <v>19</v>
      </c>
      <c r="FQ194">
        <v>-0.64499999999999924</v>
      </c>
      <c r="FR194">
        <v>22</v>
      </c>
      <c r="FS194">
        <v>-7.7200000000000006</v>
      </c>
      <c r="FT194">
        <v>26</v>
      </c>
      <c r="FU194">
        <v>-1.1599999999999999</v>
      </c>
      <c r="FV194">
        <v>9</v>
      </c>
      <c r="FW194">
        <v>11.333333333333334</v>
      </c>
      <c r="FX194">
        <v>14</v>
      </c>
      <c r="FY194">
        <v>-0.41500000000000059</v>
      </c>
      <c r="FZ194">
        <v>12</v>
      </c>
      <c r="GA194">
        <v>0.56000000000000016</v>
      </c>
      <c r="GB194">
        <v>8</v>
      </c>
      <c r="GC194">
        <v>0.56000000000000005</v>
      </c>
      <c r="GD194">
        <v>13</v>
      </c>
      <c r="GE194">
        <v>16</v>
      </c>
      <c r="GF194">
        <v>14</v>
      </c>
      <c r="GG194">
        <v>5.1999999999999956E-2</v>
      </c>
      <c r="GH194">
        <v>15</v>
      </c>
      <c r="GI194">
        <v>-0.6699999999999996</v>
      </c>
      <c r="GJ194">
        <v>19</v>
      </c>
      <c r="GK194">
        <v>-0.18000000000000008</v>
      </c>
      <c r="GL194">
        <v>22</v>
      </c>
      <c r="GM194">
        <v>21</v>
      </c>
      <c r="GN194">
        <v>19</v>
      </c>
      <c r="GO194">
        <v>-0.98999999999999988</v>
      </c>
      <c r="GP194">
        <v>23</v>
      </c>
      <c r="GQ194">
        <v>-8</v>
      </c>
      <c r="GR194">
        <v>21</v>
      </c>
      <c r="GS194">
        <v>-0.77999999999999992</v>
      </c>
      <c r="GT194">
        <v>11</v>
      </c>
      <c r="GU194">
        <v>10.666666666666666</v>
      </c>
      <c r="GV194">
        <v>12</v>
      </c>
      <c r="GW194">
        <v>1.0970000000000002</v>
      </c>
      <c r="GX194">
        <v>8</v>
      </c>
      <c r="GY194">
        <v>8.07</v>
      </c>
      <c r="GZ194">
        <v>12</v>
      </c>
      <c r="HA194">
        <v>0.44999999999999984</v>
      </c>
      <c r="HB194">
        <v>18</v>
      </c>
      <c r="HC194">
        <v>17.5</v>
      </c>
      <c r="HD194">
        <v>27</v>
      </c>
      <c r="HE194">
        <v>-1.7600000000000002</v>
      </c>
      <c r="HF194">
        <v>8</v>
      </c>
      <c r="HG194">
        <v>0.45</v>
      </c>
      <c r="HH194">
        <v>-0.83999999999999986</v>
      </c>
      <c r="HI194">
        <v>15</v>
      </c>
      <c r="HJ194">
        <v>15.25</v>
      </c>
      <c r="HK194">
        <v>11</v>
      </c>
      <c r="HL194">
        <v>1.5532956135234088E-2</v>
      </c>
      <c r="HM194">
        <v>4</v>
      </c>
      <c r="HN194">
        <v>2.19789541558385E-2</v>
      </c>
      <c r="HO194">
        <v>30</v>
      </c>
      <c r="HP194">
        <v>0.10175213675213682</v>
      </c>
      <c r="HQ194">
        <v>16</v>
      </c>
      <c r="HR194">
        <v>-0.25</v>
      </c>
      <c r="HS194">
        <v>5.830000000000001</v>
      </c>
      <c r="HT194">
        <v>1.19</v>
      </c>
      <c r="HU194">
        <v>0.10999999999999996</v>
      </c>
      <c r="HV194">
        <v>65.22</v>
      </c>
      <c r="HW194">
        <v>26.4</v>
      </c>
      <c r="HX194">
        <v>48.17</v>
      </c>
      <c r="HY194">
        <v>-5.01</v>
      </c>
      <c r="HZ194">
        <v>-4.34</v>
      </c>
      <c r="IA194">
        <v>31</v>
      </c>
      <c r="IB194">
        <v>-7.5909999999999993</v>
      </c>
      <c r="IC194">
        <v>-4.0497999999999994</v>
      </c>
      <c r="ID194">
        <v>-21.770000000000003</v>
      </c>
      <c r="IE194">
        <v>2</v>
      </c>
      <c r="IF194">
        <v>0.96674999999999978</v>
      </c>
      <c r="IG194">
        <v>-0.33000000000000007</v>
      </c>
    </row>
    <row r="195" spans="1:241" x14ac:dyDescent="0.2">
      <c r="A195" s="19">
        <v>44129</v>
      </c>
      <c r="B195" s="13" t="s">
        <v>250</v>
      </c>
      <c r="C195" s="41" t="s">
        <v>311</v>
      </c>
      <c r="D195" s="14" t="s">
        <v>300</v>
      </c>
      <c r="E195">
        <v>12.5</v>
      </c>
      <c r="F195">
        <v>13</v>
      </c>
      <c r="G195">
        <v>17.5</v>
      </c>
      <c r="H195">
        <v>0</v>
      </c>
      <c r="I195">
        <v>3</v>
      </c>
      <c r="J195">
        <v>55</v>
      </c>
      <c r="L195" t="s">
        <v>311</v>
      </c>
      <c r="M195">
        <v>10</v>
      </c>
      <c r="N195">
        <v>2.2605999999999988</v>
      </c>
      <c r="O195">
        <v>29</v>
      </c>
      <c r="P195">
        <v>26.75</v>
      </c>
      <c r="Q195">
        <v>30</v>
      </c>
      <c r="R195">
        <v>-8.26</v>
      </c>
      <c r="S195">
        <v>27</v>
      </c>
      <c r="T195">
        <v>-3.37</v>
      </c>
      <c r="U195">
        <v>30</v>
      </c>
      <c r="V195">
        <v>-29.810000000000002</v>
      </c>
      <c r="W195">
        <v>20</v>
      </c>
      <c r="X195">
        <v>-0.51</v>
      </c>
      <c r="Y195">
        <v>29</v>
      </c>
      <c r="Z195">
        <v>26.666666666666668</v>
      </c>
      <c r="AA195">
        <v>31</v>
      </c>
      <c r="AB195">
        <v>-6.5629999999999997</v>
      </c>
      <c r="AC195">
        <v>25</v>
      </c>
      <c r="AD195">
        <v>-2.04</v>
      </c>
      <c r="AE195">
        <v>28</v>
      </c>
      <c r="AF195">
        <v>-22.94</v>
      </c>
      <c r="AG195">
        <v>21</v>
      </c>
      <c r="AH195">
        <v>-0.65</v>
      </c>
      <c r="AI195">
        <v>26</v>
      </c>
      <c r="AJ195">
        <v>22.666666666666668</v>
      </c>
      <c r="AK195">
        <v>27</v>
      </c>
      <c r="AL195">
        <v>-1.6969999999999998</v>
      </c>
      <c r="AM195">
        <v>23</v>
      </c>
      <c r="AN195">
        <v>-1.33</v>
      </c>
      <c r="AO195">
        <v>27</v>
      </c>
      <c r="AP195">
        <v>-6.8699999999999992</v>
      </c>
      <c r="AQ195">
        <v>14</v>
      </c>
      <c r="AR195">
        <v>0.14000000000000004</v>
      </c>
      <c r="AS195">
        <v>9</v>
      </c>
      <c r="AT195">
        <v>9.3333333333333339</v>
      </c>
      <c r="AU195">
        <v>9</v>
      </c>
      <c r="AV195">
        <v>5.447000000000001</v>
      </c>
      <c r="AW195">
        <v>6</v>
      </c>
      <c r="AX195">
        <v>27.360000000000003</v>
      </c>
      <c r="AY195">
        <v>13</v>
      </c>
      <c r="AZ195">
        <v>0.72000000000000008</v>
      </c>
      <c r="BA195">
        <v>20</v>
      </c>
      <c r="BB195">
        <v>20.666666666666668</v>
      </c>
      <c r="BC195">
        <v>15</v>
      </c>
      <c r="BD195">
        <v>0.3549999999999997</v>
      </c>
      <c r="BE195">
        <v>21</v>
      </c>
      <c r="BF195">
        <v>-5.99</v>
      </c>
      <c r="BG195">
        <v>26</v>
      </c>
      <c r="BH195">
        <v>-1.0699999999999998</v>
      </c>
      <c r="BI195">
        <v>3</v>
      </c>
      <c r="BJ195">
        <v>4.666666666666667</v>
      </c>
      <c r="BK195">
        <v>4</v>
      </c>
      <c r="BL195">
        <v>5.3110000000000017</v>
      </c>
      <c r="BM195">
        <v>3</v>
      </c>
      <c r="BN195">
        <v>28.910000000000004</v>
      </c>
      <c r="BO195">
        <v>7</v>
      </c>
      <c r="BP195">
        <v>1.44</v>
      </c>
      <c r="BQ195">
        <v>14</v>
      </c>
      <c r="BR195">
        <v>14</v>
      </c>
      <c r="BS195">
        <v>16</v>
      </c>
      <c r="BT195">
        <v>-0.21900000000000014</v>
      </c>
      <c r="BU195">
        <v>13</v>
      </c>
      <c r="BV195">
        <v>4.4400000000000004</v>
      </c>
      <c r="BW195">
        <v>13</v>
      </c>
      <c r="BX195">
        <v>0.35</v>
      </c>
      <c r="BY195">
        <v>2</v>
      </c>
      <c r="BZ195">
        <v>2</v>
      </c>
      <c r="CA195">
        <v>2</v>
      </c>
      <c r="CB195">
        <v>7.3820000000000006</v>
      </c>
      <c r="CC195">
        <v>2</v>
      </c>
      <c r="CD195">
        <v>51.220000000000006</v>
      </c>
      <c r="CE195">
        <v>2</v>
      </c>
      <c r="CF195">
        <v>2.79</v>
      </c>
      <c r="CG195">
        <v>12</v>
      </c>
      <c r="CH195">
        <v>12.666666666666666</v>
      </c>
      <c r="CI195">
        <v>12</v>
      </c>
      <c r="CJ195">
        <v>1.194</v>
      </c>
      <c r="CK195">
        <v>9</v>
      </c>
      <c r="CL195">
        <v>10.940000000000001</v>
      </c>
      <c r="CM195">
        <v>17</v>
      </c>
      <c r="CN195">
        <v>-0.43000000000000005</v>
      </c>
      <c r="CO195">
        <v>11</v>
      </c>
      <c r="CP195">
        <v>11</v>
      </c>
      <c r="CQ195">
        <v>8</v>
      </c>
      <c r="CR195">
        <v>1.48</v>
      </c>
      <c r="CS195">
        <v>14</v>
      </c>
      <c r="CT195">
        <v>7.0000000000000021E-2</v>
      </c>
      <c r="CU195">
        <v>-0.25</v>
      </c>
      <c r="CV195">
        <v>15</v>
      </c>
      <c r="CW195">
        <v>17.5</v>
      </c>
      <c r="CX195">
        <v>24</v>
      </c>
      <c r="CY195">
        <v>-2.4331035188046791E-2</v>
      </c>
      <c r="CZ195">
        <v>12</v>
      </c>
      <c r="DA195">
        <v>2.5094265580226107E-3</v>
      </c>
      <c r="DB195">
        <v>16</v>
      </c>
      <c r="DC195">
        <v>2.4769499506341664E-3</v>
      </c>
      <c r="DD195">
        <v>18</v>
      </c>
      <c r="DE195">
        <v>-0.83999999999999986</v>
      </c>
      <c r="DF195">
        <v>-5.5299999999999985</v>
      </c>
      <c r="DG195">
        <v>-0.54000000000000059</v>
      </c>
      <c r="DH195">
        <v>0</v>
      </c>
      <c r="DI195">
        <v>-6.3099999999999907</v>
      </c>
      <c r="DJ195">
        <v>34.089999999999996</v>
      </c>
      <c r="DK195">
        <v>-32.07</v>
      </c>
      <c r="DL195">
        <v>-6.9799999999999995</v>
      </c>
      <c r="DM195">
        <v>-1.35</v>
      </c>
      <c r="DN195">
        <v>3</v>
      </c>
      <c r="DO195">
        <v>10.520599999999998</v>
      </c>
      <c r="DP195">
        <v>5.9103200000000005</v>
      </c>
      <c r="DQ195">
        <v>66.16</v>
      </c>
      <c r="DR195">
        <v>30</v>
      </c>
      <c r="DS195">
        <v>0.2652000000000001</v>
      </c>
      <c r="DT195">
        <v>0.29000000000000004</v>
      </c>
      <c r="DU195">
        <v>-0.34553125000000018</v>
      </c>
      <c r="DV195">
        <v>0.96674999999999978</v>
      </c>
      <c r="DW195" t="s">
        <v>300</v>
      </c>
      <c r="DX195" t="s">
        <v>253</v>
      </c>
      <c r="DY195" t="s">
        <v>458</v>
      </c>
      <c r="DZ195">
        <v>25</v>
      </c>
      <c r="EA195">
        <v>-3.1087499999999992</v>
      </c>
      <c r="EB195">
        <v>19</v>
      </c>
      <c r="EC195">
        <v>17.75</v>
      </c>
      <c r="ED195">
        <v>8</v>
      </c>
      <c r="EE195">
        <v>3.9662500000000001</v>
      </c>
      <c r="EF195">
        <v>26</v>
      </c>
      <c r="EG195">
        <v>-2.35</v>
      </c>
      <c r="EH195">
        <v>20</v>
      </c>
      <c r="EI195">
        <v>-9.1500000000000021</v>
      </c>
      <c r="EJ195">
        <v>17</v>
      </c>
      <c r="EK195">
        <v>6.2499999999999889E-2</v>
      </c>
      <c r="EL195">
        <v>16</v>
      </c>
      <c r="EM195">
        <v>15.25</v>
      </c>
      <c r="EN195">
        <v>2</v>
      </c>
      <c r="EO195">
        <v>5.3512500000000003</v>
      </c>
      <c r="EP195">
        <v>27</v>
      </c>
      <c r="EQ195">
        <v>-1.75</v>
      </c>
      <c r="ER195">
        <v>25</v>
      </c>
      <c r="ES195">
        <v>-10.350000000000001</v>
      </c>
      <c r="ET195">
        <v>7</v>
      </c>
      <c r="EU195">
        <v>0.58749999999999991</v>
      </c>
      <c r="EV195">
        <v>21</v>
      </c>
      <c r="EW195">
        <v>20</v>
      </c>
      <c r="EX195">
        <v>28</v>
      </c>
      <c r="EY195">
        <v>-1.3850000000000002</v>
      </c>
      <c r="EZ195">
        <v>18</v>
      </c>
      <c r="FA195">
        <v>-0.60000000000000009</v>
      </c>
      <c r="FB195">
        <v>14</v>
      </c>
      <c r="FC195">
        <v>1.2000000000000002</v>
      </c>
      <c r="FD195">
        <v>25</v>
      </c>
      <c r="FE195">
        <v>-0.52500000000000002</v>
      </c>
      <c r="FF195">
        <v>32</v>
      </c>
      <c r="FG195">
        <v>31.333333333333332</v>
      </c>
      <c r="FH195">
        <v>32</v>
      </c>
      <c r="FI195">
        <v>-12.655000000000001</v>
      </c>
      <c r="FJ195">
        <v>32</v>
      </c>
      <c r="FK195">
        <v>-62.349999999999994</v>
      </c>
      <c r="FL195">
        <v>30</v>
      </c>
      <c r="FM195">
        <v>-3.3875000000000002</v>
      </c>
      <c r="FN195">
        <v>32</v>
      </c>
      <c r="FO195">
        <v>32</v>
      </c>
      <c r="FP195">
        <v>32</v>
      </c>
      <c r="FQ195">
        <v>-8.6537500000000005</v>
      </c>
      <c r="FR195">
        <v>32</v>
      </c>
      <c r="FS195">
        <v>-42.875</v>
      </c>
      <c r="FT195">
        <v>32</v>
      </c>
      <c r="FU195">
        <v>-3.1124999999999998</v>
      </c>
      <c r="FV195">
        <v>20</v>
      </c>
      <c r="FW195">
        <v>20</v>
      </c>
      <c r="FX195">
        <v>29</v>
      </c>
      <c r="FY195">
        <v>-3.6487500000000002</v>
      </c>
      <c r="FZ195">
        <v>28</v>
      </c>
      <c r="GA195">
        <v>-13.5875</v>
      </c>
      <c r="GB195">
        <v>3</v>
      </c>
      <c r="GC195">
        <v>1.2625</v>
      </c>
      <c r="GD195">
        <v>29</v>
      </c>
      <c r="GE195">
        <v>25</v>
      </c>
      <c r="GF195">
        <v>18</v>
      </c>
      <c r="GG195">
        <v>-0.35250000000000004</v>
      </c>
      <c r="GH195">
        <v>25</v>
      </c>
      <c r="GI195">
        <v>-5.8874999999999993</v>
      </c>
      <c r="GJ195">
        <v>32</v>
      </c>
      <c r="GK195">
        <v>-1.5375000000000001</v>
      </c>
      <c r="GL195">
        <v>25</v>
      </c>
      <c r="GM195">
        <v>23</v>
      </c>
      <c r="GN195">
        <v>23</v>
      </c>
      <c r="GO195">
        <v>-1.7875000000000019</v>
      </c>
      <c r="GP195">
        <v>28</v>
      </c>
      <c r="GQ195">
        <v>-12.25</v>
      </c>
      <c r="GR195">
        <v>18</v>
      </c>
      <c r="GS195">
        <v>-0.25</v>
      </c>
      <c r="GT195">
        <v>8</v>
      </c>
      <c r="GU195">
        <v>9.3333333333333339</v>
      </c>
      <c r="GV195">
        <v>13</v>
      </c>
      <c r="GW195">
        <v>0.93499999999999939</v>
      </c>
      <c r="GX195">
        <v>2</v>
      </c>
      <c r="GY195">
        <v>16.975000000000001</v>
      </c>
      <c r="GZ195">
        <v>13</v>
      </c>
      <c r="HA195">
        <v>0.39999999999999991</v>
      </c>
      <c r="HB195">
        <v>29</v>
      </c>
      <c r="HC195">
        <v>29</v>
      </c>
      <c r="HD195">
        <v>28</v>
      </c>
      <c r="HE195">
        <v>-2.4</v>
      </c>
      <c r="HF195">
        <v>30</v>
      </c>
      <c r="HG195">
        <v>-0.6875</v>
      </c>
      <c r="HH195">
        <v>-1.7749999999999999</v>
      </c>
      <c r="HI195">
        <v>13</v>
      </c>
      <c r="HJ195">
        <v>15</v>
      </c>
      <c r="HK195">
        <v>30</v>
      </c>
      <c r="HL195">
        <v>-6.0960677253048649E-2</v>
      </c>
      <c r="HM195">
        <v>8</v>
      </c>
      <c r="HN195">
        <v>1.3546783106408947E-2</v>
      </c>
      <c r="HO195">
        <v>15</v>
      </c>
      <c r="HP195">
        <v>-1.3070436507936503E-2</v>
      </c>
      <c r="HQ195">
        <v>7</v>
      </c>
      <c r="HR195">
        <v>1.5874999999999999</v>
      </c>
      <c r="HS195">
        <v>-3.7124999999999986</v>
      </c>
      <c r="HT195">
        <v>-3.9124999999999996</v>
      </c>
      <c r="HU195">
        <v>1.3</v>
      </c>
      <c r="HV195">
        <v>-26.650000000000006</v>
      </c>
      <c r="HW195">
        <v>-21.125</v>
      </c>
      <c r="HX195">
        <v>-2.4624999999999986</v>
      </c>
      <c r="HY195">
        <v>-2.8250000000000002</v>
      </c>
      <c r="HZ195">
        <v>-0.23750000000000004</v>
      </c>
      <c r="IA195">
        <v>28</v>
      </c>
      <c r="IB195">
        <v>-7.0749999999999993</v>
      </c>
      <c r="IC195">
        <v>-4.9488750000000001</v>
      </c>
      <c r="ID195">
        <v>-18.662500000000001</v>
      </c>
      <c r="IE195">
        <v>5</v>
      </c>
      <c r="IF195">
        <v>-1.6578125000000001</v>
      </c>
      <c r="IG195">
        <v>-2.9875000000000003</v>
      </c>
    </row>
    <row r="196" spans="1:241" x14ac:dyDescent="0.2">
      <c r="A196" s="19">
        <v>44129</v>
      </c>
      <c r="B196" s="13" t="s">
        <v>250</v>
      </c>
      <c r="C196" s="41" t="s">
        <v>297</v>
      </c>
      <c r="D196" s="14" t="s">
        <v>287</v>
      </c>
      <c r="E196">
        <v>3.6</v>
      </c>
      <c r="F196">
        <v>7.4</v>
      </c>
      <c r="G196">
        <v>9.8000000000000007</v>
      </c>
      <c r="H196">
        <v>6.2</v>
      </c>
      <c r="I196">
        <v>7.5</v>
      </c>
      <c r="J196">
        <v>48</v>
      </c>
      <c r="L196" t="s">
        <v>297</v>
      </c>
      <c r="M196">
        <v>16</v>
      </c>
      <c r="N196">
        <v>5.5399999999999491E-2</v>
      </c>
      <c r="O196">
        <v>25</v>
      </c>
      <c r="P196">
        <v>22</v>
      </c>
      <c r="Q196">
        <v>24</v>
      </c>
      <c r="R196">
        <v>-2.4659999999999989</v>
      </c>
      <c r="S196">
        <v>31</v>
      </c>
      <c r="T196">
        <v>-5.9300000000000006</v>
      </c>
      <c r="U196">
        <v>32</v>
      </c>
      <c r="V196">
        <v>-52.25</v>
      </c>
      <c r="W196">
        <v>1</v>
      </c>
      <c r="X196">
        <v>2.54</v>
      </c>
      <c r="Y196">
        <v>21</v>
      </c>
      <c r="Z196">
        <v>18.666666666666668</v>
      </c>
      <c r="AA196">
        <v>19</v>
      </c>
      <c r="AB196">
        <v>-1.1459999999999986</v>
      </c>
      <c r="AC196">
        <v>26</v>
      </c>
      <c r="AD196">
        <v>-2.0700000000000003</v>
      </c>
      <c r="AE196">
        <v>30</v>
      </c>
      <c r="AF196">
        <v>-27.22</v>
      </c>
      <c r="AG196">
        <v>7</v>
      </c>
      <c r="AH196">
        <v>1.19</v>
      </c>
      <c r="AI196">
        <v>21</v>
      </c>
      <c r="AJ196">
        <v>19.333333333333332</v>
      </c>
      <c r="AK196">
        <v>23</v>
      </c>
      <c r="AL196">
        <v>-1.3200000000000003</v>
      </c>
      <c r="AM196">
        <v>32</v>
      </c>
      <c r="AN196">
        <v>-3.8600000000000003</v>
      </c>
      <c r="AO196">
        <v>32</v>
      </c>
      <c r="AP196">
        <v>-25.029999999999998</v>
      </c>
      <c r="AQ196">
        <v>3</v>
      </c>
      <c r="AR196">
        <v>1.35</v>
      </c>
      <c r="AS196">
        <v>11</v>
      </c>
      <c r="AT196">
        <v>12.666666666666666</v>
      </c>
      <c r="AU196">
        <v>17</v>
      </c>
      <c r="AV196">
        <v>-0.83500000000000041</v>
      </c>
      <c r="AW196">
        <v>14</v>
      </c>
      <c r="AX196">
        <v>0.54000000000000203</v>
      </c>
      <c r="AY196">
        <v>7</v>
      </c>
      <c r="AZ196">
        <v>1.9099999999999997</v>
      </c>
      <c r="BA196">
        <v>29</v>
      </c>
      <c r="BB196">
        <v>26.333333333333332</v>
      </c>
      <c r="BC196">
        <v>28</v>
      </c>
      <c r="BD196">
        <v>-3.2190000000000003</v>
      </c>
      <c r="BE196">
        <v>28</v>
      </c>
      <c r="BF196">
        <v>-12.309999999999999</v>
      </c>
      <c r="BG196">
        <v>23</v>
      </c>
      <c r="BH196">
        <v>-0.83000000000000007</v>
      </c>
      <c r="BI196">
        <v>9</v>
      </c>
      <c r="BJ196">
        <v>10.666666666666666</v>
      </c>
      <c r="BK196">
        <v>12</v>
      </c>
      <c r="BL196">
        <v>0.98300000000000021</v>
      </c>
      <c r="BM196">
        <v>10</v>
      </c>
      <c r="BN196">
        <v>11.91</v>
      </c>
      <c r="BO196">
        <v>10</v>
      </c>
      <c r="BP196">
        <v>0.79999999999999982</v>
      </c>
      <c r="BQ196">
        <v>8</v>
      </c>
      <c r="BR196">
        <v>9.6666666666666661</v>
      </c>
      <c r="BS196">
        <v>10</v>
      </c>
      <c r="BT196">
        <v>1.4009999999999998</v>
      </c>
      <c r="BU196">
        <v>16</v>
      </c>
      <c r="BV196">
        <v>0.94000000000000061</v>
      </c>
      <c r="BW196">
        <v>3</v>
      </c>
      <c r="BX196">
        <v>1.94</v>
      </c>
      <c r="BY196">
        <v>5</v>
      </c>
      <c r="BZ196">
        <v>6.666666666666667</v>
      </c>
      <c r="CA196">
        <v>8</v>
      </c>
      <c r="CB196">
        <v>2.5969999999999995</v>
      </c>
      <c r="CC196">
        <v>7</v>
      </c>
      <c r="CD196">
        <v>15.069999999999999</v>
      </c>
      <c r="CE196">
        <v>5</v>
      </c>
      <c r="CF196">
        <v>1.65</v>
      </c>
      <c r="CG196">
        <v>25</v>
      </c>
      <c r="CH196">
        <v>25</v>
      </c>
      <c r="CI196">
        <v>29</v>
      </c>
      <c r="CJ196">
        <v>-3.9260000000000006</v>
      </c>
      <c r="CK196">
        <v>30</v>
      </c>
      <c r="CL196">
        <v>-16.82</v>
      </c>
      <c r="CM196">
        <v>16</v>
      </c>
      <c r="CN196">
        <v>-0.28999999999999987</v>
      </c>
      <c r="CO196">
        <v>18</v>
      </c>
      <c r="CP196">
        <v>19.5</v>
      </c>
      <c r="CQ196">
        <v>29</v>
      </c>
      <c r="CR196">
        <v>-1.7700000000000002</v>
      </c>
      <c r="CS196">
        <v>10</v>
      </c>
      <c r="CT196">
        <v>0.38000000000000006</v>
      </c>
      <c r="CU196">
        <v>-3.16</v>
      </c>
      <c r="CV196">
        <v>9</v>
      </c>
      <c r="CW196">
        <v>11.75</v>
      </c>
      <c r="CX196">
        <v>16</v>
      </c>
      <c r="CY196">
        <v>-2.9063460856067038E-3</v>
      </c>
      <c r="CZ196">
        <v>15</v>
      </c>
      <c r="DA196">
        <v>-3.9200775257890176E-5</v>
      </c>
      <c r="DB196">
        <v>11</v>
      </c>
      <c r="DC196">
        <v>-3.4509546009546012E-2</v>
      </c>
      <c r="DD196">
        <v>5</v>
      </c>
      <c r="DE196">
        <v>2.76</v>
      </c>
      <c r="DF196">
        <v>-0.91999999999999882</v>
      </c>
      <c r="DG196">
        <v>-6.13</v>
      </c>
      <c r="DH196">
        <v>-0.90999999999999992</v>
      </c>
      <c r="DI196">
        <v>-27.429999999999996</v>
      </c>
      <c r="DJ196">
        <v>26.51</v>
      </c>
      <c r="DK196">
        <v>-59.58</v>
      </c>
      <c r="DL196">
        <v>4.26</v>
      </c>
      <c r="DM196">
        <v>1.3799999999999997</v>
      </c>
      <c r="DN196">
        <v>12</v>
      </c>
      <c r="DO196">
        <v>2.5213999999999981</v>
      </c>
      <c r="DP196">
        <v>0.29187999999999914</v>
      </c>
      <c r="DQ196">
        <v>86.09</v>
      </c>
      <c r="DR196">
        <v>21</v>
      </c>
      <c r="DS196">
        <v>-1.1176999999999999</v>
      </c>
      <c r="DT196">
        <v>1.6199999999999999</v>
      </c>
      <c r="DU196">
        <v>0.95682187499999993</v>
      </c>
      <c r="DV196">
        <v>0.6643</v>
      </c>
      <c r="DW196" t="s">
        <v>287</v>
      </c>
      <c r="DX196" t="s">
        <v>267</v>
      </c>
      <c r="DY196" t="s">
        <v>502</v>
      </c>
      <c r="DZ196">
        <v>2</v>
      </c>
      <c r="EA196">
        <v>5.7722499999999979</v>
      </c>
      <c r="EB196">
        <v>26</v>
      </c>
      <c r="EC196">
        <v>22.25</v>
      </c>
      <c r="ED196">
        <v>30</v>
      </c>
      <c r="EE196">
        <v>-5.2837500000000004</v>
      </c>
      <c r="EF196">
        <v>29</v>
      </c>
      <c r="EG196">
        <v>-3.4249999999999998</v>
      </c>
      <c r="EH196">
        <v>28</v>
      </c>
      <c r="EI196">
        <v>-22.837500000000002</v>
      </c>
      <c r="EJ196">
        <v>2</v>
      </c>
      <c r="EK196">
        <v>1.8000000000000003</v>
      </c>
      <c r="EL196">
        <v>23</v>
      </c>
      <c r="EM196">
        <v>21</v>
      </c>
      <c r="EN196">
        <v>28</v>
      </c>
      <c r="EO196">
        <v>-3.4862500000000005</v>
      </c>
      <c r="EP196">
        <v>28</v>
      </c>
      <c r="EQ196">
        <v>-1.9624999999999995</v>
      </c>
      <c r="ER196">
        <v>27</v>
      </c>
      <c r="ES196">
        <v>-15.712500000000002</v>
      </c>
      <c r="ET196">
        <v>1</v>
      </c>
      <c r="EU196">
        <v>2.3375000000000004</v>
      </c>
      <c r="EV196">
        <v>30</v>
      </c>
      <c r="EW196">
        <v>25.666666666666668</v>
      </c>
      <c r="EX196">
        <v>29</v>
      </c>
      <c r="EY196">
        <v>-1.7974999999999999</v>
      </c>
      <c r="EZ196">
        <v>24</v>
      </c>
      <c r="FA196">
        <v>-1.4625000000000001</v>
      </c>
      <c r="FB196">
        <v>24</v>
      </c>
      <c r="FC196">
        <v>-7.125</v>
      </c>
      <c r="FD196">
        <v>26</v>
      </c>
      <c r="FE196">
        <v>-0.53750000000000009</v>
      </c>
      <c r="FF196">
        <v>6</v>
      </c>
      <c r="FG196">
        <v>6</v>
      </c>
      <c r="FH196">
        <v>9</v>
      </c>
      <c r="FI196">
        <v>2.7975000000000003</v>
      </c>
      <c r="FJ196">
        <v>4</v>
      </c>
      <c r="FK196">
        <v>20.799999999999997</v>
      </c>
      <c r="FL196">
        <v>5</v>
      </c>
      <c r="FM196">
        <v>1.7124999999999999</v>
      </c>
      <c r="FN196">
        <v>2</v>
      </c>
      <c r="FO196">
        <v>4</v>
      </c>
      <c r="FP196">
        <v>6</v>
      </c>
      <c r="FQ196">
        <v>4.222500000000001</v>
      </c>
      <c r="FR196">
        <v>2</v>
      </c>
      <c r="FS196">
        <v>24.262499999999999</v>
      </c>
      <c r="FT196">
        <v>4</v>
      </c>
      <c r="FU196">
        <v>2.0749999999999997</v>
      </c>
      <c r="FV196">
        <v>21</v>
      </c>
      <c r="FW196">
        <v>20.666666666666668</v>
      </c>
      <c r="FX196">
        <v>15</v>
      </c>
      <c r="FY196">
        <v>-0.43625000000000003</v>
      </c>
      <c r="FZ196">
        <v>18</v>
      </c>
      <c r="GA196">
        <v>-1.0875000000000004</v>
      </c>
      <c r="GB196">
        <v>29</v>
      </c>
      <c r="GC196">
        <v>-0.7</v>
      </c>
      <c r="GD196">
        <v>16</v>
      </c>
      <c r="GE196">
        <v>16.666666666666668</v>
      </c>
      <c r="GF196">
        <v>22</v>
      </c>
      <c r="GG196">
        <v>-0.98875000000000057</v>
      </c>
      <c r="GH196">
        <v>18</v>
      </c>
      <c r="GI196">
        <v>-2.375</v>
      </c>
      <c r="GJ196">
        <v>10</v>
      </c>
      <c r="GK196">
        <v>0.33750000000000002</v>
      </c>
      <c r="GL196">
        <v>2</v>
      </c>
      <c r="GM196">
        <v>4</v>
      </c>
      <c r="GN196">
        <v>1</v>
      </c>
      <c r="GO196">
        <v>9.1475000000000009</v>
      </c>
      <c r="GP196">
        <v>1</v>
      </c>
      <c r="GQ196">
        <v>31.099999999999998</v>
      </c>
      <c r="GR196">
        <v>10</v>
      </c>
      <c r="GS196">
        <v>1.2000000000000002</v>
      </c>
      <c r="GT196">
        <v>2</v>
      </c>
      <c r="GU196">
        <v>4.666666666666667</v>
      </c>
      <c r="GV196">
        <v>5</v>
      </c>
      <c r="GW196">
        <v>3.2462499999999994</v>
      </c>
      <c r="GX196">
        <v>4</v>
      </c>
      <c r="GY196">
        <v>10.3375</v>
      </c>
      <c r="GZ196">
        <v>5</v>
      </c>
      <c r="HA196">
        <v>1.3000000000000003</v>
      </c>
      <c r="HB196">
        <v>2</v>
      </c>
      <c r="HC196">
        <v>2</v>
      </c>
      <c r="HD196">
        <v>2</v>
      </c>
      <c r="HE196">
        <v>3.4624999999999999</v>
      </c>
      <c r="HF196">
        <v>2</v>
      </c>
      <c r="HG196">
        <v>1.1125</v>
      </c>
      <c r="HH196">
        <v>-0.29999999999999982</v>
      </c>
      <c r="HI196">
        <v>7</v>
      </c>
      <c r="HJ196">
        <v>11.75</v>
      </c>
      <c r="HK196">
        <v>6</v>
      </c>
      <c r="HL196">
        <v>2.9528823051633998E-2</v>
      </c>
      <c r="HM196">
        <v>21</v>
      </c>
      <c r="HN196">
        <v>-5.9668329971730586E-3</v>
      </c>
      <c r="HO196">
        <v>3</v>
      </c>
      <c r="HP196">
        <v>-0.10867153679653678</v>
      </c>
      <c r="HQ196">
        <v>17</v>
      </c>
      <c r="HR196">
        <v>-0.35000000000000009</v>
      </c>
      <c r="HS196">
        <v>1.7124999999999986</v>
      </c>
      <c r="HT196">
        <v>1.2124999999999995</v>
      </c>
      <c r="HU196">
        <v>-0.8</v>
      </c>
      <c r="HV196">
        <v>7.0499999999999972</v>
      </c>
      <c r="HW196">
        <v>24.712500000000006</v>
      </c>
      <c r="HX196">
        <v>-19.512499999999999</v>
      </c>
      <c r="HY196">
        <v>-2.5124999999999997</v>
      </c>
      <c r="HZ196">
        <v>4.3624999999999998</v>
      </c>
      <c r="IA196">
        <v>3</v>
      </c>
      <c r="IB196">
        <v>11.055999999999997</v>
      </c>
      <c r="IC196">
        <v>5.0050749999999997</v>
      </c>
      <c r="ID196">
        <v>44.225000000000009</v>
      </c>
      <c r="IE196">
        <v>30</v>
      </c>
      <c r="IF196">
        <v>1.2493437499999998</v>
      </c>
      <c r="IG196">
        <v>3.0125000000000002</v>
      </c>
    </row>
    <row r="197" spans="1:241" x14ac:dyDescent="0.2">
      <c r="A197" s="19">
        <v>44129</v>
      </c>
      <c r="B197" s="13" t="s">
        <v>250</v>
      </c>
      <c r="C197" s="41" t="s">
        <v>288</v>
      </c>
      <c r="D197" s="14" t="s">
        <v>278</v>
      </c>
      <c r="E197">
        <v>17.5</v>
      </c>
      <c r="F197">
        <v>9</v>
      </c>
      <c r="G197">
        <v>1.4</v>
      </c>
      <c r="H197">
        <v>6.1</v>
      </c>
      <c r="I197">
        <v>-7</v>
      </c>
      <c r="J197">
        <v>45.5</v>
      </c>
      <c r="K197" t="s">
        <v>735</v>
      </c>
      <c r="L197" t="s">
        <v>288</v>
      </c>
      <c r="M197">
        <v>6</v>
      </c>
      <c r="N197">
        <v>5.9039999999999999</v>
      </c>
      <c r="O197">
        <v>22</v>
      </c>
      <c r="P197">
        <v>20</v>
      </c>
      <c r="Q197">
        <v>25</v>
      </c>
      <c r="R197">
        <v>-2.4750000000000023</v>
      </c>
      <c r="S197">
        <v>19</v>
      </c>
      <c r="T197">
        <v>-0.37999999999999967</v>
      </c>
      <c r="U197">
        <v>19</v>
      </c>
      <c r="V197">
        <v>-5.0000000000000018</v>
      </c>
      <c r="W197">
        <v>17</v>
      </c>
      <c r="X197">
        <v>-0.17000000000000004</v>
      </c>
      <c r="Y197">
        <v>20</v>
      </c>
      <c r="Z197">
        <v>18</v>
      </c>
      <c r="AA197">
        <v>24</v>
      </c>
      <c r="AB197">
        <v>-2.3550000000000022</v>
      </c>
      <c r="AC197">
        <v>14</v>
      </c>
      <c r="AD197">
        <v>1.1900000000000002</v>
      </c>
      <c r="AE197">
        <v>14</v>
      </c>
      <c r="AF197">
        <v>4.9699999999999989</v>
      </c>
      <c r="AG197">
        <v>16</v>
      </c>
      <c r="AH197">
        <v>0.05</v>
      </c>
      <c r="AI197">
        <v>23</v>
      </c>
      <c r="AJ197">
        <v>21.666666666666668</v>
      </c>
      <c r="AK197">
        <v>15</v>
      </c>
      <c r="AL197">
        <v>-0.11999999999999993</v>
      </c>
      <c r="AM197">
        <v>26</v>
      </c>
      <c r="AN197">
        <v>-1.5699999999999998</v>
      </c>
      <c r="AO197">
        <v>31</v>
      </c>
      <c r="AP197">
        <v>-9.9700000000000006</v>
      </c>
      <c r="AQ197">
        <v>19</v>
      </c>
      <c r="AR197">
        <v>-0.22000000000000003</v>
      </c>
      <c r="AS197">
        <v>17</v>
      </c>
      <c r="AT197">
        <v>17.666666666666668</v>
      </c>
      <c r="AU197">
        <v>13</v>
      </c>
      <c r="AV197">
        <v>0.84800000000000009</v>
      </c>
      <c r="AW197">
        <v>18</v>
      </c>
      <c r="AX197">
        <v>-7.6100000000000039</v>
      </c>
      <c r="AY197">
        <v>22</v>
      </c>
      <c r="AZ197">
        <v>-1.5699999999999998</v>
      </c>
      <c r="BA197">
        <v>20</v>
      </c>
      <c r="BB197">
        <v>20.666666666666668</v>
      </c>
      <c r="BC197">
        <v>16</v>
      </c>
      <c r="BD197">
        <v>0.3079999999999995</v>
      </c>
      <c r="BE197">
        <v>19</v>
      </c>
      <c r="BF197">
        <v>-3.1200000000000019</v>
      </c>
      <c r="BG197">
        <v>27</v>
      </c>
      <c r="BH197">
        <v>-1.0799999999999998</v>
      </c>
      <c r="BI197">
        <v>19</v>
      </c>
      <c r="BJ197">
        <v>17.333333333333332</v>
      </c>
      <c r="BK197">
        <v>14</v>
      </c>
      <c r="BL197">
        <v>-3.1999999999999321E-2</v>
      </c>
      <c r="BM197">
        <v>20</v>
      </c>
      <c r="BN197">
        <v>-3.6700000000000017</v>
      </c>
      <c r="BO197">
        <v>18</v>
      </c>
      <c r="BP197">
        <v>-0.41</v>
      </c>
      <c r="BQ197">
        <v>16</v>
      </c>
      <c r="BR197">
        <v>16.666666666666668</v>
      </c>
      <c r="BS197">
        <v>15</v>
      </c>
      <c r="BT197">
        <v>0.57199999999999995</v>
      </c>
      <c r="BU197">
        <v>17</v>
      </c>
      <c r="BV197">
        <v>-0.82000000000000028</v>
      </c>
      <c r="BW197">
        <v>18</v>
      </c>
      <c r="BX197">
        <v>-7.9999999999999988E-2</v>
      </c>
      <c r="BY197">
        <v>6</v>
      </c>
      <c r="BZ197">
        <v>8</v>
      </c>
      <c r="CA197">
        <v>6</v>
      </c>
      <c r="CB197">
        <v>4.456999999999999</v>
      </c>
      <c r="CC197">
        <v>5</v>
      </c>
      <c r="CD197">
        <v>15.570000000000002</v>
      </c>
      <c r="CE197">
        <v>13</v>
      </c>
      <c r="CF197">
        <v>0.26000000000000012</v>
      </c>
      <c r="CG197">
        <v>2</v>
      </c>
      <c r="CH197">
        <v>2</v>
      </c>
      <c r="CI197">
        <v>2</v>
      </c>
      <c r="CJ197">
        <v>8.588000000000001</v>
      </c>
      <c r="CK197">
        <v>2</v>
      </c>
      <c r="CL197">
        <v>38.18</v>
      </c>
      <c r="CM197">
        <v>2</v>
      </c>
      <c r="CN197">
        <v>3.29</v>
      </c>
      <c r="CO197">
        <v>25</v>
      </c>
      <c r="CP197">
        <v>22.5</v>
      </c>
      <c r="CQ197">
        <v>22</v>
      </c>
      <c r="CR197">
        <v>-1.0399999999999998</v>
      </c>
      <c r="CS197">
        <v>23</v>
      </c>
      <c r="CT197">
        <v>-0.33999999999999997</v>
      </c>
      <c r="CU197">
        <v>0.86999999999999988</v>
      </c>
      <c r="CV197">
        <v>15</v>
      </c>
      <c r="CW197">
        <v>17.5</v>
      </c>
      <c r="CX197">
        <v>7</v>
      </c>
      <c r="CY197">
        <v>4.407042096704207E-2</v>
      </c>
      <c r="CZ197">
        <v>30</v>
      </c>
      <c r="DA197">
        <v>-2.2993206368968247E-2</v>
      </c>
      <c r="DB197">
        <v>9</v>
      </c>
      <c r="DC197">
        <v>-5.0192099567099559E-2</v>
      </c>
      <c r="DD197">
        <v>24</v>
      </c>
      <c r="DE197">
        <v>-1.47</v>
      </c>
      <c r="DF197">
        <v>3.4700000000000015</v>
      </c>
      <c r="DG197">
        <v>0.8899999999999999</v>
      </c>
      <c r="DH197">
        <v>0.7</v>
      </c>
      <c r="DI197">
        <v>40.720000000000006</v>
      </c>
      <c r="DJ197">
        <v>22.25</v>
      </c>
      <c r="DK197">
        <v>0.75</v>
      </c>
      <c r="DL197">
        <v>4.8</v>
      </c>
      <c r="DM197">
        <v>12.919999999999998</v>
      </c>
      <c r="DN197">
        <v>4</v>
      </c>
      <c r="DO197">
        <v>8.3790000000000013</v>
      </c>
      <c r="DP197">
        <v>4.3055000000000021</v>
      </c>
      <c r="DQ197">
        <v>21.5</v>
      </c>
      <c r="DR197">
        <v>29</v>
      </c>
      <c r="DS197">
        <v>1.4781249999999999</v>
      </c>
      <c r="DT197">
        <v>1.7200000000000002</v>
      </c>
      <c r="DU197">
        <v>-0.35693124999999992</v>
      </c>
      <c r="DV197">
        <v>-1.0641749999999999</v>
      </c>
      <c r="DW197" t="s">
        <v>278</v>
      </c>
      <c r="DX197" t="s">
        <v>240</v>
      </c>
      <c r="DY197" t="s">
        <v>540</v>
      </c>
      <c r="DZ197">
        <v>4</v>
      </c>
      <c r="EA197">
        <v>4.7837499999999995</v>
      </c>
      <c r="EB197">
        <v>31</v>
      </c>
      <c r="EC197">
        <v>27.75</v>
      </c>
      <c r="ED197">
        <v>32</v>
      </c>
      <c r="EE197">
        <v>-6.6262499999999989</v>
      </c>
      <c r="EF197">
        <v>30</v>
      </c>
      <c r="EG197">
        <v>-4.3249999999999993</v>
      </c>
      <c r="EH197">
        <v>31</v>
      </c>
      <c r="EI197">
        <v>-35.362499999999997</v>
      </c>
      <c r="EJ197">
        <v>18</v>
      </c>
      <c r="EK197">
        <v>-1.2500000000000067E-2</v>
      </c>
      <c r="EL197">
        <v>29</v>
      </c>
      <c r="EM197">
        <v>24</v>
      </c>
      <c r="EN197">
        <v>26</v>
      </c>
      <c r="EO197">
        <v>-3.0674999999999999</v>
      </c>
      <c r="EP197">
        <v>29</v>
      </c>
      <c r="EQ197">
        <v>-1.9624999999999999</v>
      </c>
      <c r="ER197">
        <v>28</v>
      </c>
      <c r="ES197">
        <v>-16.412500000000001</v>
      </c>
      <c r="ET197">
        <v>13</v>
      </c>
      <c r="EU197">
        <v>6.25E-2</v>
      </c>
      <c r="EV197">
        <v>32</v>
      </c>
      <c r="EW197">
        <v>31</v>
      </c>
      <c r="EX197">
        <v>32</v>
      </c>
      <c r="EY197">
        <v>-3.5587499999999994</v>
      </c>
      <c r="EZ197">
        <v>29</v>
      </c>
      <c r="FA197">
        <v>-2.3624999999999998</v>
      </c>
      <c r="FB197">
        <v>32</v>
      </c>
      <c r="FC197">
        <v>-18.95</v>
      </c>
      <c r="FD197">
        <v>17</v>
      </c>
      <c r="FE197">
        <v>-7.5000000000000067E-2</v>
      </c>
      <c r="FF197">
        <v>10</v>
      </c>
      <c r="FG197">
        <v>11</v>
      </c>
      <c r="FH197">
        <v>11</v>
      </c>
      <c r="FI197">
        <v>2.0549999999999997</v>
      </c>
      <c r="FJ197">
        <v>10</v>
      </c>
      <c r="FK197">
        <v>9.0999999999999979</v>
      </c>
      <c r="FL197">
        <v>12</v>
      </c>
      <c r="FM197">
        <v>0.76249999999999996</v>
      </c>
      <c r="FN197">
        <v>17</v>
      </c>
      <c r="FO197">
        <v>17</v>
      </c>
      <c r="FP197">
        <v>22</v>
      </c>
      <c r="FQ197">
        <v>-2.0750000000000011</v>
      </c>
      <c r="FR197">
        <v>21</v>
      </c>
      <c r="FS197">
        <v>-5.3500000000000014</v>
      </c>
      <c r="FT197">
        <v>8</v>
      </c>
      <c r="FU197">
        <v>0.875</v>
      </c>
      <c r="FV197">
        <v>13</v>
      </c>
      <c r="FW197">
        <v>15.666666666666666</v>
      </c>
      <c r="FX197">
        <v>10</v>
      </c>
      <c r="FY197">
        <v>1.8150000000000002</v>
      </c>
      <c r="FZ197">
        <v>20</v>
      </c>
      <c r="GA197">
        <v>-1.7250000000000014</v>
      </c>
      <c r="GB197">
        <v>17</v>
      </c>
      <c r="GC197">
        <v>-5.0000000000000044E-2</v>
      </c>
      <c r="GD197">
        <v>6</v>
      </c>
      <c r="GE197">
        <v>7</v>
      </c>
      <c r="GF197">
        <v>4</v>
      </c>
      <c r="GG197">
        <v>2.3150000000000004</v>
      </c>
      <c r="GH197">
        <v>2</v>
      </c>
      <c r="GI197">
        <v>16.175000000000001</v>
      </c>
      <c r="GJ197">
        <v>15</v>
      </c>
      <c r="GK197">
        <v>-6.25E-2</v>
      </c>
      <c r="GL197">
        <v>18</v>
      </c>
      <c r="GM197">
        <v>19.333333333333332</v>
      </c>
      <c r="GN197">
        <v>22</v>
      </c>
      <c r="GO197">
        <v>-1.7599999999999998</v>
      </c>
      <c r="GP197">
        <v>17</v>
      </c>
      <c r="GQ197">
        <v>-0.35000000000000142</v>
      </c>
      <c r="GR197">
        <v>19</v>
      </c>
      <c r="GS197">
        <v>-0.32499999999999973</v>
      </c>
      <c r="GT197">
        <v>15</v>
      </c>
      <c r="GU197">
        <v>14.333333333333334</v>
      </c>
      <c r="GV197">
        <v>17</v>
      </c>
      <c r="GW197">
        <v>0.1900000000000005</v>
      </c>
      <c r="GX197">
        <v>10</v>
      </c>
      <c r="GY197">
        <v>6.4</v>
      </c>
      <c r="GZ197">
        <v>16</v>
      </c>
      <c r="HA197">
        <v>0.16249999999999998</v>
      </c>
      <c r="HB197">
        <v>5</v>
      </c>
      <c r="HC197">
        <v>6</v>
      </c>
      <c r="HD197">
        <v>5</v>
      </c>
      <c r="HE197">
        <v>2.4</v>
      </c>
      <c r="HF197">
        <v>7</v>
      </c>
      <c r="HG197">
        <v>0.73750000000000004</v>
      </c>
      <c r="HH197">
        <v>2.4750000000000001</v>
      </c>
      <c r="HI197">
        <v>4</v>
      </c>
      <c r="HJ197">
        <v>8</v>
      </c>
      <c r="HK197">
        <v>8</v>
      </c>
      <c r="HL197">
        <v>2.1927708873742499E-2</v>
      </c>
      <c r="HM197">
        <v>3</v>
      </c>
      <c r="HN197">
        <v>2.8276342250716714E-2</v>
      </c>
      <c r="HO197">
        <v>9</v>
      </c>
      <c r="HP197">
        <v>-3.5595238095238096E-2</v>
      </c>
      <c r="HQ197">
        <v>12</v>
      </c>
      <c r="HR197">
        <v>0.62499999999999978</v>
      </c>
      <c r="HS197">
        <v>-2.3625000000000007</v>
      </c>
      <c r="HT197">
        <v>-1.875</v>
      </c>
      <c r="HU197">
        <v>0.51249999999999996</v>
      </c>
      <c r="HV197">
        <v>-1.6375000000000028</v>
      </c>
      <c r="HW197">
        <v>22.637500000000003</v>
      </c>
      <c r="HX197">
        <v>-39.537499999999994</v>
      </c>
      <c r="HY197">
        <v>-7.9874999999999998</v>
      </c>
      <c r="HZ197">
        <v>23.25</v>
      </c>
      <c r="IA197">
        <v>2</v>
      </c>
      <c r="IB197">
        <v>11.409999999999998</v>
      </c>
      <c r="IC197">
        <v>4.7188749999999988</v>
      </c>
      <c r="ID197">
        <v>62.174999999999997</v>
      </c>
      <c r="IE197">
        <v>31</v>
      </c>
      <c r="IF197">
        <v>0.35031249999999997</v>
      </c>
      <c r="IG197">
        <v>0.92499999999999993</v>
      </c>
    </row>
    <row r="198" spans="1:241" x14ac:dyDescent="0.2">
      <c r="A198" s="19">
        <v>44129</v>
      </c>
      <c r="B198" s="13" t="s">
        <v>250</v>
      </c>
      <c r="C198" s="41" t="s">
        <v>303</v>
      </c>
      <c r="D198" s="14" t="s">
        <v>284</v>
      </c>
      <c r="E198">
        <v>6.5</v>
      </c>
      <c r="F198">
        <v>24.7</v>
      </c>
      <c r="G198">
        <v>8.1999999999999993</v>
      </c>
      <c r="H198">
        <v>17</v>
      </c>
      <c r="I198">
        <v>4</v>
      </c>
      <c r="J198">
        <v>52.5</v>
      </c>
      <c r="L198" t="s">
        <v>303</v>
      </c>
      <c r="M198">
        <v>11</v>
      </c>
      <c r="N198">
        <v>1.2760000000000016</v>
      </c>
      <c r="O198">
        <v>14</v>
      </c>
      <c r="P198">
        <v>15</v>
      </c>
      <c r="Q198">
        <v>20</v>
      </c>
      <c r="R198">
        <v>-0.49500000000000044</v>
      </c>
      <c r="S198">
        <v>14</v>
      </c>
      <c r="T198">
        <v>0.77500000000000036</v>
      </c>
      <c r="U198">
        <v>14</v>
      </c>
      <c r="V198">
        <v>2.9249999999999989</v>
      </c>
      <c r="W198">
        <v>12</v>
      </c>
      <c r="X198">
        <v>0.52500000000000002</v>
      </c>
      <c r="Y198">
        <v>18</v>
      </c>
      <c r="Z198">
        <v>16.333333333333332</v>
      </c>
      <c r="AA198">
        <v>17</v>
      </c>
      <c r="AB198">
        <v>-0.30750000000000011</v>
      </c>
      <c r="AC198">
        <v>2</v>
      </c>
      <c r="AD198">
        <v>4.1375000000000002</v>
      </c>
      <c r="AE198">
        <v>17</v>
      </c>
      <c r="AF198">
        <v>1.2999999999999989</v>
      </c>
      <c r="AG198">
        <v>15</v>
      </c>
      <c r="AH198">
        <v>8.7500000000000022E-2</v>
      </c>
      <c r="AI198">
        <v>9</v>
      </c>
      <c r="AJ198">
        <v>12.666666666666666</v>
      </c>
      <c r="AK198">
        <v>17</v>
      </c>
      <c r="AL198">
        <v>-0.18750000000000033</v>
      </c>
      <c r="AM198">
        <v>31</v>
      </c>
      <c r="AN198">
        <v>-3.3624999999999998</v>
      </c>
      <c r="AO198">
        <v>11</v>
      </c>
      <c r="AP198">
        <v>1.625</v>
      </c>
      <c r="AQ198">
        <v>10</v>
      </c>
      <c r="AR198">
        <v>0.4375</v>
      </c>
      <c r="AS198">
        <v>22</v>
      </c>
      <c r="AT198">
        <v>20.666666666666668</v>
      </c>
      <c r="AU198">
        <v>20</v>
      </c>
      <c r="AV198">
        <v>-1.7475000000000003</v>
      </c>
      <c r="AW198">
        <v>13</v>
      </c>
      <c r="AX198">
        <v>2.1499999999999968</v>
      </c>
      <c r="AY198">
        <v>29</v>
      </c>
      <c r="AZ198">
        <v>-3.0750000000000002</v>
      </c>
      <c r="BA198">
        <v>16</v>
      </c>
      <c r="BB198">
        <v>18.333333333333332</v>
      </c>
      <c r="BC198">
        <v>22</v>
      </c>
      <c r="BD198">
        <v>-0.69500000000000073</v>
      </c>
      <c r="BE198">
        <v>13</v>
      </c>
      <c r="BF198">
        <v>5.5499999999999972</v>
      </c>
      <c r="BG198">
        <v>20</v>
      </c>
      <c r="BH198">
        <v>-0.66249999999999987</v>
      </c>
      <c r="BI198">
        <v>25</v>
      </c>
      <c r="BJ198">
        <v>25.666666666666668</v>
      </c>
      <c r="BK198">
        <v>21</v>
      </c>
      <c r="BL198">
        <v>-1.7174999999999996</v>
      </c>
      <c r="BM198">
        <v>24</v>
      </c>
      <c r="BN198">
        <v>-12.675000000000001</v>
      </c>
      <c r="BO198">
        <v>32</v>
      </c>
      <c r="BP198">
        <v>-2.6500000000000004</v>
      </c>
      <c r="BQ198">
        <v>12</v>
      </c>
      <c r="BR198">
        <v>13</v>
      </c>
      <c r="BS198">
        <v>14</v>
      </c>
      <c r="BT198">
        <v>0.66500000000000026</v>
      </c>
      <c r="BU198">
        <v>9</v>
      </c>
      <c r="BV198">
        <v>9.2750000000000004</v>
      </c>
      <c r="BW198">
        <v>16</v>
      </c>
      <c r="BX198">
        <v>0.23749999999999993</v>
      </c>
      <c r="BY198">
        <v>26</v>
      </c>
      <c r="BZ198">
        <v>25.666666666666668</v>
      </c>
      <c r="CA198">
        <v>24</v>
      </c>
      <c r="CB198">
        <v>-4.0262500000000001</v>
      </c>
      <c r="CC198">
        <v>25</v>
      </c>
      <c r="CD198">
        <v>-19.137499999999999</v>
      </c>
      <c r="CE198">
        <v>28</v>
      </c>
      <c r="CF198">
        <v>-1.6999999999999997</v>
      </c>
      <c r="CG198">
        <v>4</v>
      </c>
      <c r="CH198">
        <v>4</v>
      </c>
      <c r="CI198">
        <v>5</v>
      </c>
      <c r="CJ198">
        <v>4.3537499999999998</v>
      </c>
      <c r="CK198">
        <v>4</v>
      </c>
      <c r="CL198">
        <v>16.912500000000001</v>
      </c>
      <c r="CM198">
        <v>3</v>
      </c>
      <c r="CN198">
        <v>3.2750000000000004</v>
      </c>
      <c r="CO198">
        <v>6</v>
      </c>
      <c r="CP198">
        <v>6.5</v>
      </c>
      <c r="CQ198">
        <v>6</v>
      </c>
      <c r="CR198">
        <v>1.8375000000000001</v>
      </c>
      <c r="CS198">
        <v>7</v>
      </c>
      <c r="CT198">
        <v>0.53749999999999998</v>
      </c>
      <c r="CU198">
        <v>-2.65</v>
      </c>
      <c r="CV198">
        <v>21</v>
      </c>
      <c r="CW198">
        <v>19.75</v>
      </c>
      <c r="CX198">
        <v>22</v>
      </c>
      <c r="CY198">
        <v>-2.1755232689819839E-2</v>
      </c>
      <c r="CZ198">
        <v>20</v>
      </c>
      <c r="DA198">
        <v>-1.9052633599658478E-3</v>
      </c>
      <c r="DB198">
        <v>27</v>
      </c>
      <c r="DC198">
        <v>8.6178404928404923E-2</v>
      </c>
      <c r="DD198">
        <v>10</v>
      </c>
      <c r="DE198">
        <v>1.2000000000000002</v>
      </c>
      <c r="DF198">
        <v>3.5750000000000028</v>
      </c>
      <c r="DG198">
        <v>3.0125000000000002</v>
      </c>
      <c r="DH198">
        <v>-0.78749999999999998</v>
      </c>
      <c r="DI198">
        <v>43.962500000000006</v>
      </c>
      <c r="DJ198">
        <v>52.712499999999999</v>
      </c>
      <c r="DK198">
        <v>7</v>
      </c>
      <c r="DL198">
        <v>-3.3</v>
      </c>
      <c r="DM198">
        <v>-12.45</v>
      </c>
      <c r="DN198">
        <v>14</v>
      </c>
      <c r="DO198">
        <v>1.7710000000000021</v>
      </c>
      <c r="DP198">
        <v>1.0239500000000006</v>
      </c>
      <c r="DQ198">
        <v>45.712499999999999</v>
      </c>
      <c r="DR198">
        <v>19</v>
      </c>
      <c r="DS198">
        <v>0.65309375000000014</v>
      </c>
      <c r="DT198">
        <v>0.20000000000000018</v>
      </c>
      <c r="DU198">
        <v>-1.0976749999999997</v>
      </c>
      <c r="DV198">
        <v>-0.34924999999999984</v>
      </c>
      <c r="DW198" t="s">
        <v>284</v>
      </c>
      <c r="DX198" t="s">
        <v>243</v>
      </c>
      <c r="DY198" t="s">
        <v>486</v>
      </c>
      <c r="DZ198">
        <v>30</v>
      </c>
      <c r="EA198">
        <v>-5.0648</v>
      </c>
      <c r="EB198">
        <v>30</v>
      </c>
      <c r="EC198">
        <v>26</v>
      </c>
      <c r="ED198">
        <v>31</v>
      </c>
      <c r="EE198">
        <v>-5.5279999999999987</v>
      </c>
      <c r="EF198">
        <v>32</v>
      </c>
      <c r="EG198">
        <v>-7.41</v>
      </c>
      <c r="EH198">
        <v>32</v>
      </c>
      <c r="EI198">
        <v>-48.769999999999996</v>
      </c>
      <c r="EJ198">
        <v>9</v>
      </c>
      <c r="EK198">
        <v>0.77</v>
      </c>
      <c r="EL198">
        <v>32</v>
      </c>
      <c r="EM198">
        <v>28.25</v>
      </c>
      <c r="EN198">
        <v>32</v>
      </c>
      <c r="EO198">
        <v>-5.661999999999999</v>
      </c>
      <c r="EP198">
        <v>32</v>
      </c>
      <c r="EQ198">
        <v>-5.25</v>
      </c>
      <c r="ER198">
        <v>32</v>
      </c>
      <c r="ES198">
        <v>-37.739999999999995</v>
      </c>
      <c r="ET198">
        <v>17</v>
      </c>
      <c r="EU198">
        <v>-0.11999999999999993</v>
      </c>
      <c r="EV198">
        <v>24</v>
      </c>
      <c r="EW198">
        <v>23.333333333333332</v>
      </c>
      <c r="EX198">
        <v>13</v>
      </c>
      <c r="EY198">
        <v>0.13400000000000017</v>
      </c>
      <c r="EZ198">
        <v>27</v>
      </c>
      <c r="FA198">
        <v>-2.16</v>
      </c>
      <c r="FB198">
        <v>30</v>
      </c>
      <c r="FC198">
        <v>-11.030000000000001</v>
      </c>
      <c r="FD198">
        <v>4</v>
      </c>
      <c r="FE198">
        <v>0.8899999999999999</v>
      </c>
      <c r="FF198">
        <v>8</v>
      </c>
      <c r="FG198">
        <v>8.3333333333333339</v>
      </c>
      <c r="FH198">
        <v>10</v>
      </c>
      <c r="FI198">
        <v>2.0679999999999996</v>
      </c>
      <c r="FJ198">
        <v>13</v>
      </c>
      <c r="FK198">
        <v>5.3099999999999969</v>
      </c>
      <c r="FL198">
        <v>2</v>
      </c>
      <c r="FM198">
        <v>2.14</v>
      </c>
      <c r="FN198">
        <v>11</v>
      </c>
      <c r="FO198">
        <v>11.666666666666666</v>
      </c>
      <c r="FP198">
        <v>17</v>
      </c>
      <c r="FQ198">
        <v>-0.2000000000000007</v>
      </c>
      <c r="FR198">
        <v>16</v>
      </c>
      <c r="FS198">
        <v>-0.18000000000000113</v>
      </c>
      <c r="FT198">
        <v>2</v>
      </c>
      <c r="FU198">
        <v>2.46</v>
      </c>
      <c r="FV198">
        <v>10</v>
      </c>
      <c r="FW198">
        <v>11.666666666666666</v>
      </c>
      <c r="FX198">
        <v>11</v>
      </c>
      <c r="FY198">
        <v>1.7170000000000001</v>
      </c>
      <c r="FZ198">
        <v>8</v>
      </c>
      <c r="GA198">
        <v>5.5299999999999994</v>
      </c>
      <c r="GB198">
        <v>16</v>
      </c>
      <c r="GC198">
        <v>-9.9999999999999638E-3</v>
      </c>
      <c r="GD198">
        <v>16</v>
      </c>
      <c r="GE198">
        <v>16.666666666666668</v>
      </c>
      <c r="GF198">
        <v>13</v>
      </c>
      <c r="GG198">
        <v>0.55100000000000038</v>
      </c>
      <c r="GH198">
        <v>14</v>
      </c>
      <c r="GI198">
        <v>-4.000000000000057E-2</v>
      </c>
      <c r="GJ198">
        <v>23</v>
      </c>
      <c r="GK198">
        <v>-0.31000000000000005</v>
      </c>
      <c r="GL198">
        <v>10</v>
      </c>
      <c r="GM198">
        <v>9.6666666666666661</v>
      </c>
      <c r="GN198">
        <v>14</v>
      </c>
      <c r="GO198">
        <v>0.40499999999999969</v>
      </c>
      <c r="GP198">
        <v>9</v>
      </c>
      <c r="GQ198">
        <v>10.35</v>
      </c>
      <c r="GR198">
        <v>6</v>
      </c>
      <c r="GS198">
        <v>1.3700000000000003</v>
      </c>
      <c r="GT198">
        <v>29</v>
      </c>
      <c r="GU198">
        <v>27</v>
      </c>
      <c r="GV198">
        <v>29</v>
      </c>
      <c r="GW198">
        <v>-3.5539999999999994</v>
      </c>
      <c r="GX198">
        <v>28</v>
      </c>
      <c r="GY198">
        <v>-8.24</v>
      </c>
      <c r="GZ198">
        <v>24</v>
      </c>
      <c r="HA198">
        <v>-0.63</v>
      </c>
      <c r="HB198">
        <v>31</v>
      </c>
      <c r="HC198">
        <v>30</v>
      </c>
      <c r="HD198">
        <v>29</v>
      </c>
      <c r="HE198">
        <v>-2.6900000000000004</v>
      </c>
      <c r="HF198">
        <v>31</v>
      </c>
      <c r="HG198">
        <v>-0.9</v>
      </c>
      <c r="HH198">
        <v>-2.2600000000000002</v>
      </c>
      <c r="HI198">
        <v>5</v>
      </c>
      <c r="HJ198">
        <v>8.25</v>
      </c>
      <c r="HK198">
        <v>1</v>
      </c>
      <c r="HL198">
        <v>8.7770006152495639E-2</v>
      </c>
      <c r="HM198">
        <v>2</v>
      </c>
      <c r="HN198">
        <v>3.3965587745336555E-2</v>
      </c>
      <c r="HO198">
        <v>29</v>
      </c>
      <c r="HP198">
        <v>8.7733081074412397E-2</v>
      </c>
      <c r="HQ198">
        <v>1</v>
      </c>
      <c r="HR198">
        <v>6.04</v>
      </c>
      <c r="HS198">
        <v>-3.9099999999999993</v>
      </c>
      <c r="HT198">
        <v>-6.4099999999999993</v>
      </c>
      <c r="HU198">
        <v>0.7</v>
      </c>
      <c r="HV198">
        <v>-51.030000000000008</v>
      </c>
      <c r="HW198">
        <v>-3.369999999999993</v>
      </c>
      <c r="HX198">
        <v>-43.910000000000004</v>
      </c>
      <c r="HY198">
        <v>0.15</v>
      </c>
      <c r="HZ198">
        <v>-3.9</v>
      </c>
      <c r="IA198">
        <v>15</v>
      </c>
      <c r="IB198">
        <v>0.46319999999999872</v>
      </c>
      <c r="IC198">
        <v>1.4538399999999994</v>
      </c>
      <c r="ID198">
        <v>40.540000000000013</v>
      </c>
      <c r="IE198">
        <v>18</v>
      </c>
      <c r="IF198">
        <v>-1.8460999999999999</v>
      </c>
      <c r="IG198">
        <v>1.5100000000000002</v>
      </c>
    </row>
    <row r="199" spans="1:241" x14ac:dyDescent="0.2">
      <c r="A199" s="19">
        <v>44129</v>
      </c>
      <c r="B199" s="13" t="s">
        <v>250</v>
      </c>
      <c r="C199" s="41" t="s">
        <v>287</v>
      </c>
      <c r="D199" s="14" t="s">
        <v>297</v>
      </c>
      <c r="E199">
        <v>25.5</v>
      </c>
      <c r="F199">
        <v>16.399999999999999</v>
      </c>
      <c r="G199">
        <v>1.4</v>
      </c>
      <c r="H199">
        <v>5.3</v>
      </c>
      <c r="I199">
        <v>-7.5</v>
      </c>
      <c r="J199">
        <v>48</v>
      </c>
      <c r="L199" t="s">
        <v>287</v>
      </c>
      <c r="M199">
        <v>5</v>
      </c>
      <c r="N199">
        <v>6.0275000000000007</v>
      </c>
      <c r="O199">
        <v>6</v>
      </c>
      <c r="P199">
        <v>9</v>
      </c>
      <c r="Q199">
        <v>14</v>
      </c>
      <c r="R199">
        <v>1.2900000000000007</v>
      </c>
      <c r="S199">
        <v>3</v>
      </c>
      <c r="T199">
        <v>5.0125000000000011</v>
      </c>
      <c r="U199">
        <v>10</v>
      </c>
      <c r="V199">
        <v>13.925000000000001</v>
      </c>
      <c r="W199">
        <v>9</v>
      </c>
      <c r="X199">
        <v>1.0750000000000002</v>
      </c>
      <c r="Y199">
        <v>12</v>
      </c>
      <c r="Z199">
        <v>13</v>
      </c>
      <c r="AA199">
        <v>14</v>
      </c>
      <c r="AB199">
        <v>1.5037500000000006</v>
      </c>
      <c r="AC199">
        <v>24</v>
      </c>
      <c r="AD199">
        <v>-1.9125000000000001</v>
      </c>
      <c r="AE199">
        <v>16</v>
      </c>
      <c r="AF199">
        <v>3.7499999999999991</v>
      </c>
      <c r="AG199">
        <v>9</v>
      </c>
      <c r="AH199">
        <v>1.1625000000000001</v>
      </c>
      <c r="AI199">
        <v>15</v>
      </c>
      <c r="AJ199">
        <v>13.666666666666666</v>
      </c>
      <c r="AK199">
        <v>18</v>
      </c>
      <c r="AL199">
        <v>-0.21374999999999988</v>
      </c>
      <c r="AM199">
        <v>1</v>
      </c>
      <c r="AN199">
        <v>6.9250000000000007</v>
      </c>
      <c r="AO199">
        <v>6</v>
      </c>
      <c r="AP199">
        <v>10.175000000000001</v>
      </c>
      <c r="AQ199">
        <v>17</v>
      </c>
      <c r="AR199">
        <v>-8.7499999999999911E-2</v>
      </c>
      <c r="AS199">
        <v>6</v>
      </c>
      <c r="AT199">
        <v>8</v>
      </c>
      <c r="AU199">
        <v>4</v>
      </c>
      <c r="AV199">
        <v>8.1424999999999983</v>
      </c>
      <c r="AW199">
        <v>4</v>
      </c>
      <c r="AX199">
        <v>31.424999999999997</v>
      </c>
      <c r="AY199">
        <v>16</v>
      </c>
      <c r="AZ199">
        <v>0.57499999999999973</v>
      </c>
      <c r="BA199">
        <v>4</v>
      </c>
      <c r="BB199">
        <v>6.666666666666667</v>
      </c>
      <c r="BC199">
        <v>6</v>
      </c>
      <c r="BD199">
        <v>2.8512500000000003</v>
      </c>
      <c r="BE199">
        <v>11</v>
      </c>
      <c r="BF199">
        <v>7.1374999999999975</v>
      </c>
      <c r="BG199">
        <v>3</v>
      </c>
      <c r="BH199">
        <v>2.0874999999999999</v>
      </c>
      <c r="BI199">
        <v>10</v>
      </c>
      <c r="BJ199">
        <v>11</v>
      </c>
      <c r="BK199">
        <v>9</v>
      </c>
      <c r="BL199">
        <v>2.8474999999999988</v>
      </c>
      <c r="BM199">
        <v>7</v>
      </c>
      <c r="BN199">
        <v>14.725000000000001</v>
      </c>
      <c r="BO199">
        <v>17</v>
      </c>
      <c r="BP199">
        <v>-0.40000000000000013</v>
      </c>
      <c r="BQ199">
        <v>12</v>
      </c>
      <c r="BR199">
        <v>13</v>
      </c>
      <c r="BS199">
        <v>5</v>
      </c>
      <c r="BT199">
        <v>2.4437500000000001</v>
      </c>
      <c r="BU199">
        <v>8</v>
      </c>
      <c r="BV199">
        <v>9.5625000000000018</v>
      </c>
      <c r="BW199">
        <v>26</v>
      </c>
      <c r="BX199">
        <v>-1.1125</v>
      </c>
      <c r="BY199">
        <v>12</v>
      </c>
      <c r="BZ199">
        <v>12.333333333333334</v>
      </c>
      <c r="CA199">
        <v>7</v>
      </c>
      <c r="CB199">
        <v>4.28125</v>
      </c>
      <c r="CC199">
        <v>11</v>
      </c>
      <c r="CD199">
        <v>9.1875</v>
      </c>
      <c r="CE199">
        <v>19</v>
      </c>
      <c r="CF199">
        <v>-0.61250000000000027</v>
      </c>
      <c r="CG199">
        <v>11</v>
      </c>
      <c r="CH199">
        <v>10.333333333333334</v>
      </c>
      <c r="CI199">
        <v>13</v>
      </c>
      <c r="CJ199">
        <v>1.1312499999999999</v>
      </c>
      <c r="CK199">
        <v>5</v>
      </c>
      <c r="CL199">
        <v>14.8125</v>
      </c>
      <c r="CM199">
        <v>13</v>
      </c>
      <c r="CN199">
        <v>0.53750000000000009</v>
      </c>
      <c r="CO199">
        <v>23</v>
      </c>
      <c r="CP199">
        <v>22</v>
      </c>
      <c r="CQ199">
        <v>27</v>
      </c>
      <c r="CR199">
        <v>-1.6624999999999999</v>
      </c>
      <c r="CS199">
        <v>17</v>
      </c>
      <c r="CT199">
        <v>-7.5000000000000011E-2</v>
      </c>
      <c r="CU199">
        <v>-0.35000000000000009</v>
      </c>
      <c r="CV199">
        <v>12</v>
      </c>
      <c r="CW199">
        <v>14.5</v>
      </c>
      <c r="CX199">
        <v>4</v>
      </c>
      <c r="CY199">
        <v>7.3313165913744163E-2</v>
      </c>
      <c r="CZ199">
        <v>13</v>
      </c>
      <c r="DA199">
        <v>1.536372415681754E-3</v>
      </c>
      <c r="DB199">
        <v>28</v>
      </c>
      <c r="DC199">
        <v>0.1142021377315495</v>
      </c>
      <c r="DD199">
        <v>13</v>
      </c>
      <c r="DE199">
        <v>-0.29999999999999982</v>
      </c>
      <c r="DF199">
        <v>4.3000000000000007</v>
      </c>
      <c r="DG199">
        <v>-0.58749999999999947</v>
      </c>
      <c r="DH199">
        <v>1.0499999999999998</v>
      </c>
      <c r="DI199">
        <v>66.600000000000009</v>
      </c>
      <c r="DJ199">
        <v>60.937499999999993</v>
      </c>
      <c r="DK199">
        <v>9.1500000000000021</v>
      </c>
      <c r="DL199">
        <v>0.11249999999999982</v>
      </c>
      <c r="DM199">
        <v>-3.5999999999999996</v>
      </c>
      <c r="DN199">
        <v>9</v>
      </c>
      <c r="DO199">
        <v>4.7374999999999998</v>
      </c>
      <c r="DP199">
        <v>2.415249999999999</v>
      </c>
      <c r="DQ199">
        <v>51.787499999999994</v>
      </c>
      <c r="DR199">
        <v>24</v>
      </c>
      <c r="DS199">
        <v>1.8660937500000003</v>
      </c>
      <c r="DT199">
        <v>1.1124999999999998</v>
      </c>
      <c r="DU199">
        <v>0.95682187499999993</v>
      </c>
      <c r="DV199">
        <v>1.2493437499999998</v>
      </c>
      <c r="DW199" t="s">
        <v>297</v>
      </c>
      <c r="DX199" t="s">
        <v>474</v>
      </c>
      <c r="DY199" t="s">
        <v>475</v>
      </c>
      <c r="DZ199">
        <v>14</v>
      </c>
      <c r="EA199">
        <v>-4.6599999999999399E-2</v>
      </c>
      <c r="EB199">
        <v>3</v>
      </c>
      <c r="EC199">
        <v>9.25</v>
      </c>
      <c r="ED199">
        <v>7</v>
      </c>
      <c r="EE199">
        <v>4.0820000000000007</v>
      </c>
      <c r="EF199">
        <v>2</v>
      </c>
      <c r="EG199">
        <v>4.18</v>
      </c>
      <c r="EH199">
        <v>3</v>
      </c>
      <c r="EI199">
        <v>29.870000000000005</v>
      </c>
      <c r="EJ199">
        <v>25</v>
      </c>
      <c r="EK199">
        <v>-0.95999999999999985</v>
      </c>
      <c r="EL199">
        <v>2</v>
      </c>
      <c r="EM199">
        <v>4.5</v>
      </c>
      <c r="EN199">
        <v>4</v>
      </c>
      <c r="EO199">
        <v>5.1710000000000012</v>
      </c>
      <c r="EP199">
        <v>1</v>
      </c>
      <c r="EQ199">
        <v>3.2900000000000005</v>
      </c>
      <c r="ER199">
        <v>2</v>
      </c>
      <c r="ES199">
        <v>28.770000000000003</v>
      </c>
      <c r="ET199">
        <v>11</v>
      </c>
      <c r="EU199">
        <v>0.4</v>
      </c>
      <c r="EV199">
        <v>15</v>
      </c>
      <c r="EW199">
        <v>16.666666666666668</v>
      </c>
      <c r="EX199">
        <v>24</v>
      </c>
      <c r="EY199">
        <v>-1.089</v>
      </c>
      <c r="EZ199">
        <v>11</v>
      </c>
      <c r="FA199">
        <v>0.88999999999999968</v>
      </c>
      <c r="FB199">
        <v>15</v>
      </c>
      <c r="FC199">
        <v>1.1000000000000001</v>
      </c>
      <c r="FD199">
        <v>31</v>
      </c>
      <c r="FE199">
        <v>-1.3599999999999999</v>
      </c>
      <c r="FF199">
        <v>20</v>
      </c>
      <c r="FG199">
        <v>20</v>
      </c>
      <c r="FH199">
        <v>16</v>
      </c>
      <c r="FI199">
        <v>-0.41600000000000048</v>
      </c>
      <c r="FJ199">
        <v>20</v>
      </c>
      <c r="FK199">
        <v>-3.7199999999999966</v>
      </c>
      <c r="FL199">
        <v>24</v>
      </c>
      <c r="FM199">
        <v>-1.3</v>
      </c>
      <c r="FN199">
        <v>20</v>
      </c>
      <c r="FO199">
        <v>19</v>
      </c>
      <c r="FP199">
        <v>21</v>
      </c>
      <c r="FQ199">
        <v>-1.4180000000000006</v>
      </c>
      <c r="FR199">
        <v>15</v>
      </c>
      <c r="FS199">
        <v>2.8800000000000026</v>
      </c>
      <c r="FT199">
        <v>21</v>
      </c>
      <c r="FU199">
        <v>-0.78</v>
      </c>
      <c r="FV199">
        <v>21</v>
      </c>
      <c r="FW199">
        <v>20.666666666666668</v>
      </c>
      <c r="FX199">
        <v>13</v>
      </c>
      <c r="FY199">
        <v>0.25499999999999989</v>
      </c>
      <c r="FZ199">
        <v>27</v>
      </c>
      <c r="GA199">
        <v>-8.7199999999999989</v>
      </c>
      <c r="GB199">
        <v>22</v>
      </c>
      <c r="GC199">
        <v>-0.36</v>
      </c>
      <c r="GD199">
        <v>8</v>
      </c>
      <c r="GE199">
        <v>13</v>
      </c>
      <c r="GF199">
        <v>11</v>
      </c>
      <c r="GG199">
        <v>0.74700000000000022</v>
      </c>
      <c r="GH199">
        <v>11</v>
      </c>
      <c r="GI199">
        <v>2.1199999999999997</v>
      </c>
      <c r="GJ199">
        <v>17</v>
      </c>
      <c r="GK199">
        <v>-0.15999999999999998</v>
      </c>
      <c r="GL199">
        <v>12</v>
      </c>
      <c r="GM199">
        <v>11.666666666666666</v>
      </c>
      <c r="GN199">
        <v>2</v>
      </c>
      <c r="GO199">
        <v>6.0520000000000014</v>
      </c>
      <c r="GP199">
        <v>11</v>
      </c>
      <c r="GQ199">
        <v>8.2200000000000024</v>
      </c>
      <c r="GR199">
        <v>22</v>
      </c>
      <c r="GS199">
        <v>-0.95</v>
      </c>
      <c r="GT199">
        <v>24</v>
      </c>
      <c r="GU199">
        <v>23.333333333333332</v>
      </c>
      <c r="GV199">
        <v>18</v>
      </c>
      <c r="GW199">
        <v>-0.12500000000000053</v>
      </c>
      <c r="GX199">
        <v>23</v>
      </c>
      <c r="GY199">
        <v>-7.15</v>
      </c>
      <c r="GZ199">
        <v>29</v>
      </c>
      <c r="HA199">
        <v>-1.33</v>
      </c>
      <c r="HB199">
        <v>9</v>
      </c>
      <c r="HC199">
        <v>10</v>
      </c>
      <c r="HD199">
        <v>8</v>
      </c>
      <c r="HE199">
        <v>1.8199999999999998</v>
      </c>
      <c r="HF199">
        <v>12</v>
      </c>
      <c r="HG199">
        <v>0.18000000000000008</v>
      </c>
      <c r="HH199">
        <v>2.76</v>
      </c>
      <c r="HI199">
        <v>30</v>
      </c>
      <c r="HJ199">
        <v>26</v>
      </c>
      <c r="HK199">
        <v>22</v>
      </c>
      <c r="HL199">
        <v>-1.6915585433024051E-2</v>
      </c>
      <c r="HM199">
        <v>32</v>
      </c>
      <c r="HN199">
        <v>-4.1189659275339074E-2</v>
      </c>
      <c r="HO199">
        <v>21</v>
      </c>
      <c r="HP199">
        <v>1.6022338772338763E-2</v>
      </c>
      <c r="HQ199">
        <v>29</v>
      </c>
      <c r="HR199">
        <v>-3.16</v>
      </c>
      <c r="HS199">
        <v>-0.90000000000000147</v>
      </c>
      <c r="HT199">
        <v>3.66</v>
      </c>
      <c r="HU199">
        <v>0</v>
      </c>
      <c r="HV199">
        <v>23.2</v>
      </c>
      <c r="HW199">
        <v>-19.400000000000013</v>
      </c>
      <c r="HX199">
        <v>27.840000000000003</v>
      </c>
      <c r="HY199">
        <v>9.3099999999999987</v>
      </c>
      <c r="HZ199">
        <v>5.4500000000000011</v>
      </c>
      <c r="IA199">
        <v>23</v>
      </c>
      <c r="IB199">
        <v>-4.1286000000000005</v>
      </c>
      <c r="IC199">
        <v>-2.1585200000000002</v>
      </c>
      <c r="ID199">
        <v>-47.240000000000016</v>
      </c>
      <c r="IE199">
        <v>10</v>
      </c>
      <c r="IF199">
        <v>0.6643</v>
      </c>
      <c r="IG199">
        <v>-2.63</v>
      </c>
    </row>
    <row r="200" spans="1:241" x14ac:dyDescent="0.2">
      <c r="A200" s="19">
        <v>44129</v>
      </c>
      <c r="B200" s="13" t="s">
        <v>250</v>
      </c>
      <c r="C200" s="41" t="s">
        <v>304</v>
      </c>
      <c r="D200" s="14" t="s">
        <v>265</v>
      </c>
      <c r="E200">
        <v>6.5</v>
      </c>
      <c r="F200">
        <v>11.9</v>
      </c>
      <c r="G200">
        <v>15.2</v>
      </c>
      <c r="H200">
        <v>12.8</v>
      </c>
      <c r="I200">
        <v>-6</v>
      </c>
      <c r="J200">
        <v>44.5</v>
      </c>
      <c r="L200" t="s">
        <v>304</v>
      </c>
      <c r="M200">
        <v>19</v>
      </c>
      <c r="N200">
        <v>-0.9088000000000005</v>
      </c>
      <c r="O200">
        <v>16</v>
      </c>
      <c r="P200">
        <v>15.25</v>
      </c>
      <c r="Q200">
        <v>17</v>
      </c>
      <c r="R200">
        <v>0.39999999999999969</v>
      </c>
      <c r="S200">
        <v>16</v>
      </c>
      <c r="T200">
        <v>0.48</v>
      </c>
      <c r="U200">
        <v>7</v>
      </c>
      <c r="V200">
        <v>20.68</v>
      </c>
      <c r="W200">
        <v>21</v>
      </c>
      <c r="X200">
        <v>-0.6</v>
      </c>
      <c r="Y200">
        <v>12</v>
      </c>
      <c r="Z200">
        <v>13</v>
      </c>
      <c r="AA200">
        <v>13</v>
      </c>
      <c r="AB200">
        <v>1.8639999999999997</v>
      </c>
      <c r="AC200">
        <v>19</v>
      </c>
      <c r="AD200">
        <v>-0.83999999999999986</v>
      </c>
      <c r="AE200">
        <v>9</v>
      </c>
      <c r="AF200">
        <v>10.039999999999999</v>
      </c>
      <c r="AG200">
        <v>17</v>
      </c>
      <c r="AH200">
        <v>-7.9999999999999988E-2</v>
      </c>
      <c r="AI200">
        <v>17</v>
      </c>
      <c r="AJ200">
        <v>17</v>
      </c>
      <c r="AK200">
        <v>25</v>
      </c>
      <c r="AL200">
        <v>-1.464</v>
      </c>
      <c r="AM200">
        <v>7</v>
      </c>
      <c r="AN200">
        <v>1.3199999999999998</v>
      </c>
      <c r="AO200">
        <v>5</v>
      </c>
      <c r="AP200">
        <v>10.639999999999999</v>
      </c>
      <c r="AQ200">
        <v>21</v>
      </c>
      <c r="AR200">
        <v>-0.52</v>
      </c>
      <c r="AS200">
        <v>3</v>
      </c>
      <c r="AT200">
        <v>6</v>
      </c>
      <c r="AU200">
        <v>5</v>
      </c>
      <c r="AV200">
        <v>6.1824000000000021</v>
      </c>
      <c r="AW200">
        <v>9</v>
      </c>
      <c r="AX200">
        <v>20.72</v>
      </c>
      <c r="AY200">
        <v>4</v>
      </c>
      <c r="AZ200">
        <v>2.7600000000000002</v>
      </c>
      <c r="BA200">
        <v>22</v>
      </c>
      <c r="BB200">
        <v>21.333333333333332</v>
      </c>
      <c r="BC200">
        <v>18</v>
      </c>
      <c r="BD200">
        <v>-4.3999999999999061E-2</v>
      </c>
      <c r="BE200">
        <v>27</v>
      </c>
      <c r="BF200">
        <v>-11.36</v>
      </c>
      <c r="BG200">
        <v>19</v>
      </c>
      <c r="BH200">
        <v>-0.6</v>
      </c>
      <c r="BI200">
        <v>4</v>
      </c>
      <c r="BJ200">
        <v>5.333333333333333</v>
      </c>
      <c r="BK200">
        <v>6</v>
      </c>
      <c r="BL200">
        <v>4.0320000000000009</v>
      </c>
      <c r="BM200">
        <v>9</v>
      </c>
      <c r="BN200">
        <v>14.399999999999997</v>
      </c>
      <c r="BO200">
        <v>1</v>
      </c>
      <c r="BP200">
        <v>2.2800000000000002</v>
      </c>
      <c r="BQ200">
        <v>3</v>
      </c>
      <c r="BR200">
        <v>5</v>
      </c>
      <c r="BS200">
        <v>7</v>
      </c>
      <c r="BT200">
        <v>2.1944000000000004</v>
      </c>
      <c r="BU200">
        <v>2</v>
      </c>
      <c r="BV200">
        <v>17.68</v>
      </c>
      <c r="BW200">
        <v>6</v>
      </c>
      <c r="BX200">
        <v>1.08</v>
      </c>
      <c r="BY200">
        <v>7</v>
      </c>
      <c r="BZ200">
        <v>9.6666666666666661</v>
      </c>
      <c r="CA200">
        <v>5</v>
      </c>
      <c r="CB200">
        <v>4.4720000000000004</v>
      </c>
      <c r="CC200">
        <v>6</v>
      </c>
      <c r="CD200">
        <v>15.120000000000001</v>
      </c>
      <c r="CE200">
        <v>18</v>
      </c>
      <c r="CF200">
        <v>-0.51999999999999991</v>
      </c>
      <c r="CG200">
        <v>19</v>
      </c>
      <c r="CH200">
        <v>18.333333333333332</v>
      </c>
      <c r="CI200">
        <v>15</v>
      </c>
      <c r="CJ200">
        <v>0.80399999999999905</v>
      </c>
      <c r="CK200">
        <v>13</v>
      </c>
      <c r="CL200">
        <v>3.7200000000000015</v>
      </c>
      <c r="CM200">
        <v>27</v>
      </c>
      <c r="CN200">
        <v>-1.44</v>
      </c>
      <c r="CO200">
        <v>31</v>
      </c>
      <c r="CP200">
        <v>31</v>
      </c>
      <c r="CQ200">
        <v>31</v>
      </c>
      <c r="CR200">
        <v>-3.6</v>
      </c>
      <c r="CS200">
        <v>31</v>
      </c>
      <c r="CT200">
        <v>-0.84000000000000019</v>
      </c>
      <c r="CU200">
        <v>-0.6399999999999999</v>
      </c>
      <c r="CV200">
        <v>24</v>
      </c>
      <c r="CW200">
        <v>20.75</v>
      </c>
      <c r="CX200">
        <v>31</v>
      </c>
      <c r="CY200">
        <v>-8.3052055533158378E-2</v>
      </c>
      <c r="CZ200">
        <v>29</v>
      </c>
      <c r="DA200">
        <v>-2.1855348402633933E-2</v>
      </c>
      <c r="DB200">
        <v>1</v>
      </c>
      <c r="DC200">
        <v>-0.18677777777777779</v>
      </c>
      <c r="DD200">
        <v>22</v>
      </c>
      <c r="DE200">
        <v>-1.08</v>
      </c>
      <c r="DF200">
        <v>-0.99999999999999856</v>
      </c>
      <c r="DG200">
        <v>0.19999999999999929</v>
      </c>
      <c r="DH200">
        <v>-0.83999999999999986</v>
      </c>
      <c r="DI200">
        <v>20.119999999999994</v>
      </c>
      <c r="DJ200">
        <v>12.279999999999996</v>
      </c>
      <c r="DK200">
        <v>21.52</v>
      </c>
      <c r="DL200">
        <v>5.1199999999999992</v>
      </c>
      <c r="DM200">
        <v>-18.8</v>
      </c>
      <c r="DN200">
        <v>17</v>
      </c>
      <c r="DO200">
        <v>-1.3088000000000002</v>
      </c>
      <c r="DP200">
        <v>1.0155200000000004</v>
      </c>
      <c r="DQ200">
        <v>-9.2400000000000038</v>
      </c>
      <c r="DR200">
        <v>16</v>
      </c>
      <c r="DS200">
        <v>0.35970000000000008</v>
      </c>
      <c r="DT200">
        <v>1.3200000000000003</v>
      </c>
      <c r="DU200">
        <v>-1.3545</v>
      </c>
      <c r="DV200">
        <v>-0.5353</v>
      </c>
      <c r="DW200" t="s">
        <v>265</v>
      </c>
      <c r="DX200" t="s">
        <v>236</v>
      </c>
      <c r="DY200" t="s">
        <v>539</v>
      </c>
      <c r="DZ200">
        <v>31</v>
      </c>
      <c r="EA200">
        <v>-5.1056000000000008</v>
      </c>
      <c r="EB200">
        <v>22</v>
      </c>
      <c r="EC200">
        <v>19.5</v>
      </c>
      <c r="ED200">
        <v>21</v>
      </c>
      <c r="EE200">
        <v>-3.1080000000000001</v>
      </c>
      <c r="EF200">
        <v>15</v>
      </c>
      <c r="EG200">
        <v>4.0000000000000036E-2</v>
      </c>
      <c r="EH200">
        <v>18</v>
      </c>
      <c r="EI200">
        <v>1.2799999999999985</v>
      </c>
      <c r="EJ200">
        <v>24</v>
      </c>
      <c r="EK200">
        <v>-0.87999999999999989</v>
      </c>
      <c r="EL200">
        <v>25</v>
      </c>
      <c r="EM200">
        <v>22.75</v>
      </c>
      <c r="EN200">
        <v>25</v>
      </c>
      <c r="EO200">
        <v>-2.9319999999999999</v>
      </c>
      <c r="EP200">
        <v>20</v>
      </c>
      <c r="EQ200">
        <v>-0.31999999999999995</v>
      </c>
      <c r="ER200">
        <v>20</v>
      </c>
      <c r="ES200">
        <v>-2.8400000000000007</v>
      </c>
      <c r="ET200">
        <v>26</v>
      </c>
      <c r="EU200">
        <v>-0.71999999999999986</v>
      </c>
      <c r="EV200">
        <v>12</v>
      </c>
      <c r="EW200">
        <v>14</v>
      </c>
      <c r="EX200">
        <v>16</v>
      </c>
      <c r="EY200">
        <v>-0.17600000000000007</v>
      </c>
      <c r="EZ200">
        <v>17</v>
      </c>
      <c r="FA200">
        <v>0.36</v>
      </c>
      <c r="FB200">
        <v>9</v>
      </c>
      <c r="FC200">
        <v>4.1199999999999992</v>
      </c>
      <c r="FD200">
        <v>18</v>
      </c>
      <c r="FE200">
        <v>-0.16</v>
      </c>
      <c r="FF200">
        <v>27</v>
      </c>
      <c r="FG200">
        <v>25.333333333333332</v>
      </c>
      <c r="FH200">
        <v>31</v>
      </c>
      <c r="FI200">
        <v>-6.8800000000000008</v>
      </c>
      <c r="FJ200">
        <v>26</v>
      </c>
      <c r="FK200">
        <v>-12.28</v>
      </c>
      <c r="FL200">
        <v>19</v>
      </c>
      <c r="FM200">
        <v>-4.0000000000000036E-2</v>
      </c>
      <c r="FN200">
        <v>22</v>
      </c>
      <c r="FO200">
        <v>21.666666666666668</v>
      </c>
      <c r="FP200">
        <v>25</v>
      </c>
      <c r="FQ200">
        <v>-2.5880000000000001</v>
      </c>
      <c r="FR200">
        <v>24</v>
      </c>
      <c r="FS200">
        <v>-9.4</v>
      </c>
      <c r="FT200">
        <v>16</v>
      </c>
      <c r="FU200">
        <v>0.28000000000000008</v>
      </c>
      <c r="FV200">
        <v>23</v>
      </c>
      <c r="FW200">
        <v>21</v>
      </c>
      <c r="FX200">
        <v>27</v>
      </c>
      <c r="FY200">
        <v>-3.036</v>
      </c>
      <c r="FZ200">
        <v>17</v>
      </c>
      <c r="GA200">
        <v>-0.83999999999999986</v>
      </c>
      <c r="GB200">
        <v>19</v>
      </c>
      <c r="GC200">
        <v>-0.15999999999999998</v>
      </c>
      <c r="GD200">
        <v>23</v>
      </c>
      <c r="GE200">
        <v>20</v>
      </c>
      <c r="GF200">
        <v>25</v>
      </c>
      <c r="GG200">
        <v>-1.2560000000000007</v>
      </c>
      <c r="GH200">
        <v>17</v>
      </c>
      <c r="GI200">
        <v>-2.0399999999999991</v>
      </c>
      <c r="GJ200">
        <v>18</v>
      </c>
      <c r="GK200">
        <v>-0.16000000000000014</v>
      </c>
      <c r="GL200">
        <v>30</v>
      </c>
      <c r="GM200">
        <v>29.666666666666668</v>
      </c>
      <c r="GN200">
        <v>30</v>
      </c>
      <c r="GO200">
        <v>-5.4039999999999999</v>
      </c>
      <c r="GP200">
        <v>31</v>
      </c>
      <c r="GQ200">
        <v>-21.64</v>
      </c>
      <c r="GR200">
        <v>28</v>
      </c>
      <c r="GS200">
        <v>-1.3199999999999998</v>
      </c>
      <c r="GT200">
        <v>23</v>
      </c>
      <c r="GU200">
        <v>22.666666666666668</v>
      </c>
      <c r="GV200">
        <v>21</v>
      </c>
      <c r="GW200">
        <v>-1.6960000000000002</v>
      </c>
      <c r="GX200">
        <v>24</v>
      </c>
      <c r="GY200">
        <v>-7.3599999999999977</v>
      </c>
      <c r="GZ200">
        <v>23</v>
      </c>
      <c r="HA200">
        <v>-0.6</v>
      </c>
      <c r="HB200">
        <v>11</v>
      </c>
      <c r="HC200">
        <v>12</v>
      </c>
      <c r="HD200">
        <v>20</v>
      </c>
      <c r="HE200">
        <v>-0.6</v>
      </c>
      <c r="HF200">
        <v>4</v>
      </c>
      <c r="HG200">
        <v>0.8</v>
      </c>
      <c r="HH200">
        <v>-2.2799999999999998</v>
      </c>
      <c r="HI200">
        <v>3</v>
      </c>
      <c r="HJ200">
        <v>6.25</v>
      </c>
      <c r="HK200">
        <v>7</v>
      </c>
      <c r="HL200">
        <v>2.5041536432986167E-2</v>
      </c>
      <c r="HM200">
        <v>5</v>
      </c>
      <c r="HN200">
        <v>2.0722675154759319E-2</v>
      </c>
      <c r="HO200">
        <v>7</v>
      </c>
      <c r="HP200">
        <v>-6.7170274170274172E-2</v>
      </c>
      <c r="HQ200">
        <v>6</v>
      </c>
      <c r="HR200">
        <v>1.8800000000000001</v>
      </c>
      <c r="HS200">
        <v>0.7600000000000009</v>
      </c>
      <c r="HT200">
        <v>-4.3199999999999994</v>
      </c>
      <c r="HU200">
        <v>-1.8399999999999999</v>
      </c>
      <c r="HV200">
        <v>-25.8</v>
      </c>
      <c r="HW200">
        <v>-24.32</v>
      </c>
      <c r="HX200">
        <v>-0.64000000000000057</v>
      </c>
      <c r="HY200">
        <v>-1.4399999999999995</v>
      </c>
      <c r="HZ200">
        <v>0.6</v>
      </c>
      <c r="IA200">
        <v>21</v>
      </c>
      <c r="IB200">
        <v>-1.9976000000000007</v>
      </c>
      <c r="IC200">
        <v>-1.18232</v>
      </c>
      <c r="ID200">
        <v>-23.68</v>
      </c>
      <c r="IE200">
        <v>12</v>
      </c>
      <c r="IF200">
        <v>-2.1737000000000002</v>
      </c>
      <c r="IG200">
        <v>-0.64</v>
      </c>
    </row>
    <row r="201" spans="1:241" x14ac:dyDescent="0.2">
      <c r="A201" s="19">
        <v>44129</v>
      </c>
      <c r="B201" s="13" t="s">
        <v>250</v>
      </c>
      <c r="C201" s="41" t="s">
        <v>302</v>
      </c>
      <c r="D201" s="14" t="s">
        <v>256</v>
      </c>
      <c r="E201">
        <v>2.2999999999999998</v>
      </c>
      <c r="F201">
        <v>10.199999999999999</v>
      </c>
      <c r="G201">
        <v>2.6</v>
      </c>
      <c r="H201">
        <v>1.8</v>
      </c>
      <c r="I201">
        <v>-3</v>
      </c>
      <c r="J201">
        <v>44</v>
      </c>
      <c r="K201" t="s">
        <v>735</v>
      </c>
      <c r="L201" t="s">
        <v>302</v>
      </c>
      <c r="M201">
        <v>23</v>
      </c>
      <c r="N201">
        <v>-3.1302500000000002</v>
      </c>
      <c r="O201">
        <v>12</v>
      </c>
      <c r="P201">
        <v>13.5</v>
      </c>
      <c r="Q201">
        <v>9</v>
      </c>
      <c r="R201">
        <v>2.663749999999999</v>
      </c>
      <c r="S201">
        <v>26</v>
      </c>
      <c r="T201">
        <v>-3.35</v>
      </c>
      <c r="U201">
        <v>13</v>
      </c>
      <c r="V201">
        <v>4.625</v>
      </c>
      <c r="W201">
        <v>6</v>
      </c>
      <c r="X201">
        <v>1.6749999999999998</v>
      </c>
      <c r="Y201">
        <v>19</v>
      </c>
      <c r="Z201">
        <v>17.666666666666668</v>
      </c>
      <c r="AA201">
        <v>21</v>
      </c>
      <c r="AB201">
        <v>-1.5287500000000001</v>
      </c>
      <c r="AC201">
        <v>32</v>
      </c>
      <c r="AD201">
        <v>-6.7625000000000002</v>
      </c>
      <c r="AE201">
        <v>29</v>
      </c>
      <c r="AF201">
        <v>-24.524999999999999</v>
      </c>
      <c r="AG201">
        <v>3</v>
      </c>
      <c r="AH201">
        <v>1.7124999999999999</v>
      </c>
      <c r="AI201">
        <v>2</v>
      </c>
      <c r="AJ201">
        <v>7</v>
      </c>
      <c r="AK201">
        <v>3</v>
      </c>
      <c r="AL201">
        <v>4.192499999999999</v>
      </c>
      <c r="AM201">
        <v>4</v>
      </c>
      <c r="AN201">
        <v>3.4125000000000001</v>
      </c>
      <c r="AO201">
        <v>2</v>
      </c>
      <c r="AP201">
        <v>29.15</v>
      </c>
      <c r="AQ201">
        <v>16</v>
      </c>
      <c r="AR201">
        <v>-3.7499999999999978E-2</v>
      </c>
      <c r="AS201">
        <v>22</v>
      </c>
      <c r="AT201">
        <v>20.666666666666668</v>
      </c>
      <c r="AU201">
        <v>28</v>
      </c>
      <c r="AV201">
        <v>-8.3350000000000009</v>
      </c>
      <c r="AW201">
        <v>24</v>
      </c>
      <c r="AX201">
        <v>-14.449999999999998</v>
      </c>
      <c r="AY201">
        <v>10</v>
      </c>
      <c r="AZ201">
        <v>1.3875000000000002</v>
      </c>
      <c r="BA201">
        <v>30</v>
      </c>
      <c r="BB201">
        <v>29.666666666666668</v>
      </c>
      <c r="BC201">
        <v>31</v>
      </c>
      <c r="BD201">
        <v>-6.1675000000000013</v>
      </c>
      <c r="BE201">
        <v>29</v>
      </c>
      <c r="BF201">
        <v>-16.524999999999999</v>
      </c>
      <c r="BG201">
        <v>29</v>
      </c>
      <c r="BH201">
        <v>-1.2124999999999999</v>
      </c>
      <c r="BI201">
        <v>16</v>
      </c>
      <c r="BJ201">
        <v>16</v>
      </c>
      <c r="BK201">
        <v>18</v>
      </c>
      <c r="BL201">
        <v>-1.2512499999999998</v>
      </c>
      <c r="BM201">
        <v>17</v>
      </c>
      <c r="BN201">
        <v>-3.3250000000000002</v>
      </c>
      <c r="BO201">
        <v>13</v>
      </c>
      <c r="BP201">
        <v>0.52499999999999991</v>
      </c>
      <c r="BQ201">
        <v>11</v>
      </c>
      <c r="BR201">
        <v>10.666666666666666</v>
      </c>
      <c r="BS201">
        <v>20</v>
      </c>
      <c r="BT201">
        <v>-0.91625000000000023</v>
      </c>
      <c r="BU201">
        <v>11</v>
      </c>
      <c r="BV201">
        <v>5.4</v>
      </c>
      <c r="BW201">
        <v>1</v>
      </c>
      <c r="BX201">
        <v>2.0750000000000002</v>
      </c>
      <c r="BY201">
        <v>17</v>
      </c>
      <c r="BZ201">
        <v>16</v>
      </c>
      <c r="CA201">
        <v>20</v>
      </c>
      <c r="CB201">
        <v>-1.5737499999999995</v>
      </c>
      <c r="CC201">
        <v>13</v>
      </c>
      <c r="CD201">
        <v>2.3874999999999993</v>
      </c>
      <c r="CE201">
        <v>15</v>
      </c>
      <c r="CF201">
        <v>0.10000000000000009</v>
      </c>
      <c r="CG201">
        <v>31</v>
      </c>
      <c r="CH201">
        <v>31</v>
      </c>
      <c r="CI201">
        <v>31</v>
      </c>
      <c r="CJ201">
        <v>-5.1937500000000005</v>
      </c>
      <c r="CK201">
        <v>31</v>
      </c>
      <c r="CL201">
        <v>-20.1875</v>
      </c>
      <c r="CM201">
        <v>31</v>
      </c>
      <c r="CN201">
        <v>-2.5874999999999999</v>
      </c>
      <c r="CO201">
        <v>26</v>
      </c>
      <c r="CP201">
        <v>24</v>
      </c>
      <c r="CQ201">
        <v>28</v>
      </c>
      <c r="CR201">
        <v>-1.7625</v>
      </c>
      <c r="CS201">
        <v>20</v>
      </c>
      <c r="CT201">
        <v>-0.13750000000000001</v>
      </c>
      <c r="CU201">
        <v>1.5125</v>
      </c>
      <c r="CV201">
        <v>10</v>
      </c>
      <c r="CW201">
        <v>13.75</v>
      </c>
      <c r="CX201">
        <v>21</v>
      </c>
      <c r="CY201">
        <v>-2.0554430189545926E-2</v>
      </c>
      <c r="CZ201">
        <v>6</v>
      </c>
      <c r="DA201">
        <v>1.4614498673567761E-2</v>
      </c>
      <c r="DB201">
        <v>26</v>
      </c>
      <c r="DC201">
        <v>4.2383658008658009E-2</v>
      </c>
      <c r="DD201">
        <v>2</v>
      </c>
      <c r="DE201">
        <v>4.3</v>
      </c>
      <c r="DF201">
        <v>0.22500000000000142</v>
      </c>
      <c r="DG201">
        <v>-5.3125</v>
      </c>
      <c r="DH201">
        <v>1.5874999999999999</v>
      </c>
      <c r="DI201">
        <v>-16.362499999999997</v>
      </c>
      <c r="DJ201">
        <v>-48.475000000000001</v>
      </c>
      <c r="DK201">
        <v>19.412500000000001</v>
      </c>
      <c r="DL201">
        <v>1.1375</v>
      </c>
      <c r="DM201">
        <v>11.5625</v>
      </c>
      <c r="DN201">
        <v>25</v>
      </c>
      <c r="DO201">
        <v>-5.7939999999999987</v>
      </c>
      <c r="DP201">
        <v>-4.6636749999999996</v>
      </c>
      <c r="DQ201">
        <v>-67.887500000000003</v>
      </c>
      <c r="DR201">
        <v>8</v>
      </c>
      <c r="DS201">
        <v>-1.9697187500000002</v>
      </c>
      <c r="DT201">
        <v>-1.1999999999999997</v>
      </c>
      <c r="DU201">
        <v>-1.2971218749999998</v>
      </c>
      <c r="DV201">
        <v>-2.0018437499999999</v>
      </c>
      <c r="DW201" t="s">
        <v>256</v>
      </c>
      <c r="DX201" t="s">
        <v>257</v>
      </c>
      <c r="DY201" t="s">
        <v>547</v>
      </c>
      <c r="DZ201">
        <v>15</v>
      </c>
      <c r="EA201">
        <v>-0.27520000000000022</v>
      </c>
      <c r="EB201">
        <v>29</v>
      </c>
      <c r="EC201">
        <v>23.75</v>
      </c>
      <c r="ED201">
        <v>27</v>
      </c>
      <c r="EE201">
        <v>-4.2919999999999998</v>
      </c>
      <c r="EF201">
        <v>22</v>
      </c>
      <c r="EG201">
        <v>-1.6799999999999997</v>
      </c>
      <c r="EH201">
        <v>24</v>
      </c>
      <c r="EI201">
        <v>-17.52</v>
      </c>
      <c r="EJ201">
        <v>22</v>
      </c>
      <c r="EK201">
        <v>-0.47999999999999982</v>
      </c>
      <c r="EL201">
        <v>30</v>
      </c>
      <c r="EM201">
        <v>26</v>
      </c>
      <c r="EN201">
        <v>29</v>
      </c>
      <c r="EO201">
        <v>-3.8560000000000003</v>
      </c>
      <c r="EP201">
        <v>22</v>
      </c>
      <c r="EQ201">
        <v>-0.75999999999999979</v>
      </c>
      <c r="ER201">
        <v>24</v>
      </c>
      <c r="ES201">
        <v>-10.079999999999998</v>
      </c>
      <c r="ET201">
        <v>29</v>
      </c>
      <c r="EU201">
        <v>-0.91999999999999993</v>
      </c>
      <c r="EV201">
        <v>23</v>
      </c>
      <c r="EW201">
        <v>22</v>
      </c>
      <c r="EX201">
        <v>18</v>
      </c>
      <c r="EY201">
        <v>-0.43599999999999967</v>
      </c>
      <c r="EZ201">
        <v>23</v>
      </c>
      <c r="FA201">
        <v>-0.91999999999999993</v>
      </c>
      <c r="FB201">
        <v>25</v>
      </c>
      <c r="FC201">
        <v>-7.44</v>
      </c>
      <c r="FD201">
        <v>9</v>
      </c>
      <c r="FE201">
        <v>0.44000000000000011</v>
      </c>
      <c r="FF201">
        <v>22</v>
      </c>
      <c r="FG201">
        <v>22</v>
      </c>
      <c r="FH201">
        <v>19</v>
      </c>
      <c r="FI201">
        <v>-0.63999999999999946</v>
      </c>
      <c r="FJ201">
        <v>24</v>
      </c>
      <c r="FK201">
        <v>-7.5600000000000023</v>
      </c>
      <c r="FL201">
        <v>23</v>
      </c>
      <c r="FM201">
        <v>-0.91999999999999993</v>
      </c>
      <c r="FN201">
        <v>29</v>
      </c>
      <c r="FO201">
        <v>27.333333333333332</v>
      </c>
      <c r="FP201">
        <v>28</v>
      </c>
      <c r="FQ201">
        <v>-3.6759999999999993</v>
      </c>
      <c r="FR201">
        <v>29</v>
      </c>
      <c r="FS201">
        <v>-19.240000000000002</v>
      </c>
      <c r="FT201">
        <v>25</v>
      </c>
      <c r="FU201">
        <v>-1.1200000000000001</v>
      </c>
      <c r="FV201">
        <v>6</v>
      </c>
      <c r="FW201">
        <v>7.333333333333333</v>
      </c>
      <c r="FX201">
        <v>8</v>
      </c>
      <c r="FY201">
        <v>1.9319999999999999</v>
      </c>
      <c r="FZ201">
        <v>5</v>
      </c>
      <c r="GA201">
        <v>10</v>
      </c>
      <c r="GB201">
        <v>9</v>
      </c>
      <c r="GC201">
        <v>0.48000000000000009</v>
      </c>
      <c r="GD201">
        <v>10</v>
      </c>
      <c r="GE201">
        <v>14.333333333333334</v>
      </c>
      <c r="GF201">
        <v>9</v>
      </c>
      <c r="GG201">
        <v>1.1039999999999999</v>
      </c>
      <c r="GH201">
        <v>12</v>
      </c>
      <c r="GI201">
        <v>1.6799999999999993</v>
      </c>
      <c r="GJ201">
        <v>22</v>
      </c>
      <c r="GK201">
        <v>-0.27999999999999992</v>
      </c>
      <c r="GL201">
        <v>19</v>
      </c>
      <c r="GM201">
        <v>19.666666666666668</v>
      </c>
      <c r="GN201">
        <v>13</v>
      </c>
      <c r="GO201">
        <v>0.65999999999999948</v>
      </c>
      <c r="GP201">
        <v>21</v>
      </c>
      <c r="GQ201">
        <v>-5.8</v>
      </c>
      <c r="GR201">
        <v>25</v>
      </c>
      <c r="GS201">
        <v>-1.1599999999999999</v>
      </c>
      <c r="GT201">
        <v>19</v>
      </c>
      <c r="GU201">
        <v>20.333333333333332</v>
      </c>
      <c r="GV201">
        <v>23</v>
      </c>
      <c r="GW201">
        <v>-1.9319999999999999</v>
      </c>
      <c r="GX201">
        <v>16</v>
      </c>
      <c r="GY201">
        <v>1.9999999999999989</v>
      </c>
      <c r="GZ201">
        <v>22</v>
      </c>
      <c r="HA201">
        <v>-0.35999999999999988</v>
      </c>
      <c r="HB201">
        <v>8</v>
      </c>
      <c r="HC201">
        <v>7.5</v>
      </c>
      <c r="HD201">
        <v>5</v>
      </c>
      <c r="HE201">
        <v>2.4</v>
      </c>
      <c r="HF201">
        <v>10</v>
      </c>
      <c r="HG201">
        <v>0.31999999999999995</v>
      </c>
      <c r="HH201">
        <v>-0.11999999999999993</v>
      </c>
      <c r="HI201">
        <v>21</v>
      </c>
      <c r="HJ201">
        <v>19.25</v>
      </c>
      <c r="HK201">
        <v>14</v>
      </c>
      <c r="HL201">
        <v>9.0727545423678006E-3</v>
      </c>
      <c r="HM201">
        <v>24</v>
      </c>
      <c r="HN201">
        <v>-1.1631407178454491E-2</v>
      </c>
      <c r="HO201">
        <v>14</v>
      </c>
      <c r="HP201">
        <v>-1.5256854256854292E-2</v>
      </c>
      <c r="HQ201">
        <v>25</v>
      </c>
      <c r="HR201">
        <v>-1.8</v>
      </c>
      <c r="HS201">
        <v>-5.0400000000000009</v>
      </c>
      <c r="HT201">
        <v>-1.5099999999999993</v>
      </c>
      <c r="HU201">
        <v>0.27999999999999997</v>
      </c>
      <c r="HV201">
        <v>-33.879999999999995</v>
      </c>
      <c r="HW201">
        <v>-8.8000000000000114</v>
      </c>
      <c r="HX201">
        <v>-22.279999999999998</v>
      </c>
      <c r="HY201">
        <v>-2.5199999999999996</v>
      </c>
      <c r="HZ201">
        <v>-0.27999999999999969</v>
      </c>
      <c r="IA201">
        <v>8</v>
      </c>
      <c r="IB201">
        <v>4.0167999999999999</v>
      </c>
      <c r="IC201">
        <v>1.57656</v>
      </c>
      <c r="ID201">
        <v>13.479999999999986</v>
      </c>
      <c r="IE201">
        <v>25</v>
      </c>
      <c r="IF201">
        <v>-0.59239999999999982</v>
      </c>
      <c r="IG201">
        <v>-1.2799999999999998</v>
      </c>
    </row>
    <row r="202" spans="1:241" x14ac:dyDescent="0.2">
      <c r="A202" s="19">
        <v>44129</v>
      </c>
      <c r="B202" s="13" t="s">
        <v>250</v>
      </c>
      <c r="C202" s="41" t="s">
        <v>307</v>
      </c>
      <c r="D202" s="14" t="s">
        <v>301</v>
      </c>
      <c r="E202">
        <v>9.4</v>
      </c>
      <c r="F202">
        <v>15.5</v>
      </c>
      <c r="G202">
        <v>14.6</v>
      </c>
      <c r="H202">
        <v>12.2</v>
      </c>
      <c r="I202">
        <v>-7</v>
      </c>
      <c r="J202">
        <v>49.5</v>
      </c>
      <c r="K202" t="s">
        <v>735</v>
      </c>
      <c r="L202" t="s">
        <v>307</v>
      </c>
      <c r="M202">
        <v>12</v>
      </c>
      <c r="N202">
        <v>0.99749999999999783</v>
      </c>
      <c r="O202">
        <v>1</v>
      </c>
      <c r="P202">
        <v>5.25</v>
      </c>
      <c r="Q202">
        <v>1</v>
      </c>
      <c r="R202">
        <v>11.549999999999997</v>
      </c>
      <c r="S202">
        <v>6</v>
      </c>
      <c r="T202">
        <v>3</v>
      </c>
      <c r="U202">
        <v>11</v>
      </c>
      <c r="V202">
        <v>13.75</v>
      </c>
      <c r="W202">
        <v>3</v>
      </c>
      <c r="X202">
        <v>2.375</v>
      </c>
      <c r="Y202">
        <v>5</v>
      </c>
      <c r="Z202">
        <v>7.333333333333333</v>
      </c>
      <c r="AA202">
        <v>1</v>
      </c>
      <c r="AB202">
        <v>8.6249999999999964</v>
      </c>
      <c r="AC202">
        <v>23</v>
      </c>
      <c r="AD202">
        <v>-1.5625</v>
      </c>
      <c r="AE202">
        <v>19</v>
      </c>
      <c r="AF202">
        <v>-1</v>
      </c>
      <c r="AG202">
        <v>2</v>
      </c>
      <c r="AH202">
        <v>2.5</v>
      </c>
      <c r="AI202">
        <v>4</v>
      </c>
      <c r="AJ202">
        <v>8.3333333333333339</v>
      </c>
      <c r="AK202">
        <v>4</v>
      </c>
      <c r="AL202">
        <v>2.9250000000000007</v>
      </c>
      <c r="AM202">
        <v>3</v>
      </c>
      <c r="AN202">
        <v>4.5625</v>
      </c>
      <c r="AO202">
        <v>3</v>
      </c>
      <c r="AP202">
        <v>14.75</v>
      </c>
      <c r="AQ202">
        <v>18</v>
      </c>
      <c r="AR202">
        <v>-0.125</v>
      </c>
      <c r="AS202">
        <v>14</v>
      </c>
      <c r="AT202">
        <v>15</v>
      </c>
      <c r="AU202">
        <v>14</v>
      </c>
      <c r="AV202">
        <v>0.78124999999999956</v>
      </c>
      <c r="AW202">
        <v>17</v>
      </c>
      <c r="AX202">
        <v>-6.9375</v>
      </c>
      <c r="AY202">
        <v>14</v>
      </c>
      <c r="AZ202">
        <v>0.6875</v>
      </c>
      <c r="BA202">
        <v>10</v>
      </c>
      <c r="BB202">
        <v>9.3333333333333339</v>
      </c>
      <c r="BC202">
        <v>4</v>
      </c>
      <c r="BD202">
        <v>3.9187500000000002</v>
      </c>
      <c r="BE202">
        <v>12</v>
      </c>
      <c r="BF202">
        <v>5.5625</v>
      </c>
      <c r="BG202">
        <v>12</v>
      </c>
      <c r="BH202">
        <v>0.25</v>
      </c>
      <c r="BI202">
        <v>14</v>
      </c>
      <c r="BJ202">
        <v>15.666666666666666</v>
      </c>
      <c r="BK202">
        <v>20</v>
      </c>
      <c r="BL202">
        <v>-1.5625000000000007</v>
      </c>
      <c r="BM202">
        <v>15</v>
      </c>
      <c r="BN202">
        <v>-2.0625</v>
      </c>
      <c r="BO202">
        <v>12</v>
      </c>
      <c r="BP202">
        <v>0.5625</v>
      </c>
      <c r="BQ202">
        <v>24</v>
      </c>
      <c r="BR202">
        <v>23</v>
      </c>
      <c r="BS202">
        <v>25</v>
      </c>
      <c r="BT202">
        <v>-1.5749999999999997</v>
      </c>
      <c r="BU202">
        <v>25</v>
      </c>
      <c r="BV202">
        <v>-10.4375</v>
      </c>
      <c r="BW202">
        <v>19</v>
      </c>
      <c r="BX202">
        <v>-0.125</v>
      </c>
      <c r="BY202">
        <v>21</v>
      </c>
      <c r="BZ202">
        <v>19.666666666666668</v>
      </c>
      <c r="CA202">
        <v>26</v>
      </c>
      <c r="CB202">
        <v>-4.1312499999999996</v>
      </c>
      <c r="CC202">
        <v>21</v>
      </c>
      <c r="CD202">
        <v>-8.1875</v>
      </c>
      <c r="CE202">
        <v>12</v>
      </c>
      <c r="CF202">
        <v>0.375</v>
      </c>
      <c r="CG202">
        <v>26</v>
      </c>
      <c r="CH202">
        <v>25.333333333333332</v>
      </c>
      <c r="CI202">
        <v>22</v>
      </c>
      <c r="CJ202">
        <v>-2.3187500000000001</v>
      </c>
      <c r="CK202">
        <v>26</v>
      </c>
      <c r="CL202">
        <v>-13.8125</v>
      </c>
      <c r="CM202">
        <v>28</v>
      </c>
      <c r="CN202">
        <v>-1.5625</v>
      </c>
      <c r="CO202">
        <v>14</v>
      </c>
      <c r="CP202">
        <v>14.5</v>
      </c>
      <c r="CQ202">
        <v>10</v>
      </c>
      <c r="CR202">
        <v>1.3125</v>
      </c>
      <c r="CS202">
        <v>19</v>
      </c>
      <c r="CT202">
        <v>-0.125</v>
      </c>
      <c r="CU202">
        <v>-3.1875</v>
      </c>
      <c r="CV202">
        <v>27</v>
      </c>
      <c r="CW202">
        <v>21.75</v>
      </c>
      <c r="CX202">
        <v>15</v>
      </c>
      <c r="CY202">
        <v>-1.4867682652031852E-3</v>
      </c>
      <c r="CZ202">
        <v>17</v>
      </c>
      <c r="DA202">
        <v>-6.2127603354593559E-4</v>
      </c>
      <c r="DB202">
        <v>32</v>
      </c>
      <c r="DC202">
        <v>0.22931261446886453</v>
      </c>
      <c r="DD202">
        <v>23</v>
      </c>
      <c r="DE202">
        <v>-1.25</v>
      </c>
      <c r="DF202">
        <v>0.6875</v>
      </c>
      <c r="DG202">
        <v>2.625</v>
      </c>
      <c r="DH202">
        <v>-1.3125</v>
      </c>
      <c r="DI202">
        <v>24.875</v>
      </c>
      <c r="DJ202">
        <v>23.0625</v>
      </c>
      <c r="DK202">
        <v>6.375</v>
      </c>
      <c r="DL202">
        <v>0.875</v>
      </c>
      <c r="DM202">
        <v>-5.4375</v>
      </c>
      <c r="DN202">
        <v>29</v>
      </c>
      <c r="DO202">
        <v>-10.552499999999998</v>
      </c>
      <c r="DP202">
        <v>-5.8829999999999991</v>
      </c>
      <c r="DQ202">
        <v>16.6875</v>
      </c>
      <c r="DR202">
        <v>4</v>
      </c>
      <c r="DS202">
        <v>1.5403124999999995</v>
      </c>
      <c r="DT202">
        <v>-0.875</v>
      </c>
      <c r="DU202">
        <v>-0.40395625000000002</v>
      </c>
      <c r="DV202">
        <v>0.42406250000000006</v>
      </c>
      <c r="DW202" t="s">
        <v>301</v>
      </c>
      <c r="DX202" t="s">
        <v>279</v>
      </c>
      <c r="DY202" t="s">
        <v>484</v>
      </c>
      <c r="DZ202">
        <v>32</v>
      </c>
      <c r="EA202">
        <v>-6.1417999999999999</v>
      </c>
      <c r="EB202">
        <v>5</v>
      </c>
      <c r="EC202">
        <v>10</v>
      </c>
      <c r="ED202">
        <v>2</v>
      </c>
      <c r="EE202">
        <v>6.2430000000000003</v>
      </c>
      <c r="EF202">
        <v>24</v>
      </c>
      <c r="EG202">
        <v>-2.0000000000000004</v>
      </c>
      <c r="EH202">
        <v>11</v>
      </c>
      <c r="EI202">
        <v>6.02</v>
      </c>
      <c r="EJ202">
        <v>3</v>
      </c>
      <c r="EK202">
        <v>1.3800000000000001</v>
      </c>
      <c r="EL202">
        <v>9</v>
      </c>
      <c r="EM202">
        <v>11.5</v>
      </c>
      <c r="EN202">
        <v>5</v>
      </c>
      <c r="EO202">
        <v>4.9749999999999996</v>
      </c>
      <c r="EP202">
        <v>25</v>
      </c>
      <c r="EQ202">
        <v>-1.3700000000000003</v>
      </c>
      <c r="ER202">
        <v>12</v>
      </c>
      <c r="ES202">
        <v>3.0099999999999993</v>
      </c>
      <c r="ET202">
        <v>4</v>
      </c>
      <c r="EU202">
        <v>1.3800000000000001</v>
      </c>
      <c r="EV202">
        <v>10</v>
      </c>
      <c r="EW202">
        <v>13</v>
      </c>
      <c r="EX202">
        <v>9</v>
      </c>
      <c r="EY202">
        <v>1.2680000000000002</v>
      </c>
      <c r="EZ202">
        <v>19</v>
      </c>
      <c r="FA202">
        <v>-0.63000000000000012</v>
      </c>
      <c r="FB202">
        <v>11</v>
      </c>
      <c r="FC202">
        <v>3.0100000000000007</v>
      </c>
      <c r="FD202">
        <v>16</v>
      </c>
      <c r="FE202">
        <v>0</v>
      </c>
      <c r="FF202">
        <v>26</v>
      </c>
      <c r="FG202">
        <v>25</v>
      </c>
      <c r="FH202">
        <v>30</v>
      </c>
      <c r="FI202">
        <v>-6.4320000000000004</v>
      </c>
      <c r="FJ202">
        <v>29</v>
      </c>
      <c r="FK202">
        <v>-24.14</v>
      </c>
      <c r="FL202">
        <v>16</v>
      </c>
      <c r="FM202">
        <v>0.2999999999999996</v>
      </c>
      <c r="FN202">
        <v>4</v>
      </c>
      <c r="FO202">
        <v>6</v>
      </c>
      <c r="FP202">
        <v>8</v>
      </c>
      <c r="FQ202">
        <v>2.6969999999999996</v>
      </c>
      <c r="FR202">
        <v>7</v>
      </c>
      <c r="FS202">
        <v>11.65</v>
      </c>
      <c r="FT202">
        <v>3</v>
      </c>
      <c r="FU202">
        <v>2.13</v>
      </c>
      <c r="FV202">
        <v>31</v>
      </c>
      <c r="FW202">
        <v>31</v>
      </c>
      <c r="FX202">
        <v>32</v>
      </c>
      <c r="FY202">
        <v>-5.4279999999999999</v>
      </c>
      <c r="FZ202">
        <v>31</v>
      </c>
      <c r="GA202">
        <v>-18.740000000000002</v>
      </c>
      <c r="GB202">
        <v>30</v>
      </c>
      <c r="GC202">
        <v>-0.88000000000000012</v>
      </c>
      <c r="GD202">
        <v>32</v>
      </c>
      <c r="GE202">
        <v>31</v>
      </c>
      <c r="GF202">
        <v>32</v>
      </c>
      <c r="GG202">
        <v>-3.7009999999999996</v>
      </c>
      <c r="GH202">
        <v>32</v>
      </c>
      <c r="GI202">
        <v>-17.05</v>
      </c>
      <c r="GJ202">
        <v>29</v>
      </c>
      <c r="GK202">
        <v>-0.95000000000000018</v>
      </c>
      <c r="GL202">
        <v>14</v>
      </c>
      <c r="GM202">
        <v>16.333333333333332</v>
      </c>
      <c r="GN202">
        <v>20</v>
      </c>
      <c r="GO202">
        <v>-1.3200000000000007</v>
      </c>
      <c r="GP202">
        <v>20</v>
      </c>
      <c r="GQ202">
        <v>-5.6</v>
      </c>
      <c r="GR202">
        <v>9</v>
      </c>
      <c r="GS202">
        <v>1.2100000000000002</v>
      </c>
      <c r="GT202">
        <v>26</v>
      </c>
      <c r="GU202">
        <v>23.666666666666668</v>
      </c>
      <c r="GV202">
        <v>28</v>
      </c>
      <c r="GW202">
        <v>-3.2049999999999996</v>
      </c>
      <c r="GX202">
        <v>29</v>
      </c>
      <c r="GY202">
        <v>-10.15</v>
      </c>
      <c r="GZ202">
        <v>14</v>
      </c>
      <c r="HA202">
        <v>0.33999999999999986</v>
      </c>
      <c r="HB202">
        <v>21</v>
      </c>
      <c r="HC202">
        <v>20</v>
      </c>
      <c r="HD202">
        <v>17</v>
      </c>
      <c r="HE202">
        <v>-0.31999999999999973</v>
      </c>
      <c r="HF202">
        <v>23</v>
      </c>
      <c r="HG202">
        <v>-0.38</v>
      </c>
      <c r="HH202">
        <v>-0.65999999999999992</v>
      </c>
      <c r="HI202">
        <v>18</v>
      </c>
      <c r="HJ202">
        <v>17.5</v>
      </c>
      <c r="HK202">
        <v>13</v>
      </c>
      <c r="HL202">
        <v>9.2857200416039502E-3</v>
      </c>
      <c r="HM202">
        <v>28</v>
      </c>
      <c r="HN202">
        <v>-2.0876834133487846E-2</v>
      </c>
      <c r="HO202">
        <v>19</v>
      </c>
      <c r="HP202">
        <v>1.2726889123947949E-2</v>
      </c>
      <c r="HQ202">
        <v>10</v>
      </c>
      <c r="HR202">
        <v>0.79</v>
      </c>
      <c r="HS202">
        <v>-2.0399999999999978</v>
      </c>
      <c r="HT202">
        <v>-3.9499999999999993</v>
      </c>
      <c r="HU202">
        <v>-0.71</v>
      </c>
      <c r="HV202">
        <v>-42.400000000000013</v>
      </c>
      <c r="HW202">
        <v>-44.87</v>
      </c>
      <c r="HX202">
        <v>3.7700000000000018</v>
      </c>
      <c r="HY202">
        <v>-2.95</v>
      </c>
      <c r="HZ202">
        <v>1.6500000000000004</v>
      </c>
      <c r="IA202">
        <v>32</v>
      </c>
      <c r="IB202">
        <v>-12.3848</v>
      </c>
      <c r="IC202">
        <v>-6.2772600000000001</v>
      </c>
      <c r="ID202">
        <v>-48.64</v>
      </c>
      <c r="IE202">
        <v>1</v>
      </c>
      <c r="IF202">
        <v>-1.231975</v>
      </c>
      <c r="IG202">
        <v>0.63999999999999946</v>
      </c>
    </row>
    <row r="203" spans="1:241" x14ac:dyDescent="0.2">
      <c r="A203" s="19">
        <v>44129</v>
      </c>
      <c r="B203" s="13" t="s">
        <v>250</v>
      </c>
      <c r="C203" s="41" t="s">
        <v>296</v>
      </c>
      <c r="D203" s="14" t="s">
        <v>294</v>
      </c>
      <c r="E203">
        <v>4.3</v>
      </c>
      <c r="F203">
        <v>17.899999999999999</v>
      </c>
      <c r="G203">
        <v>10.9</v>
      </c>
      <c r="H203">
        <v>10.9</v>
      </c>
      <c r="I203">
        <v>5</v>
      </c>
      <c r="J203">
        <v>44.5</v>
      </c>
      <c r="L203" t="s">
        <v>296</v>
      </c>
      <c r="M203">
        <v>31</v>
      </c>
      <c r="N203">
        <v>-7.4927999999999999</v>
      </c>
      <c r="O203">
        <v>29</v>
      </c>
      <c r="P203">
        <v>26.75</v>
      </c>
      <c r="Q203">
        <v>27</v>
      </c>
      <c r="R203">
        <v>-5.5159999999999991</v>
      </c>
      <c r="S203">
        <v>30</v>
      </c>
      <c r="T203">
        <v>-5.0400000000000009</v>
      </c>
      <c r="U203">
        <v>31</v>
      </c>
      <c r="V203">
        <v>-32.680000000000007</v>
      </c>
      <c r="W203">
        <v>19</v>
      </c>
      <c r="X203">
        <v>-0.24</v>
      </c>
      <c r="Y203">
        <v>25</v>
      </c>
      <c r="Z203">
        <v>22.666666666666668</v>
      </c>
      <c r="AA203">
        <v>25</v>
      </c>
      <c r="AB203">
        <v>-3.5279999999999987</v>
      </c>
      <c r="AC203">
        <v>30</v>
      </c>
      <c r="AD203">
        <v>-3.6400000000000006</v>
      </c>
      <c r="AE203">
        <v>31</v>
      </c>
      <c r="AF203">
        <v>-29.920000000000005</v>
      </c>
      <c r="AG203">
        <v>12</v>
      </c>
      <c r="AH203">
        <v>0.56000000000000005</v>
      </c>
      <c r="AI203">
        <v>28</v>
      </c>
      <c r="AJ203">
        <v>23.666666666666668</v>
      </c>
      <c r="AK203">
        <v>28</v>
      </c>
      <c r="AL203">
        <v>-1.9880000000000002</v>
      </c>
      <c r="AM203">
        <v>24</v>
      </c>
      <c r="AN203">
        <v>-1.4</v>
      </c>
      <c r="AO203">
        <v>17</v>
      </c>
      <c r="AP203">
        <v>-2.7600000000000007</v>
      </c>
      <c r="AQ203">
        <v>26</v>
      </c>
      <c r="AR203">
        <v>-0.8</v>
      </c>
      <c r="AS203">
        <v>27</v>
      </c>
      <c r="AT203">
        <v>25.333333333333332</v>
      </c>
      <c r="AU203">
        <v>29</v>
      </c>
      <c r="AV203">
        <v>-9.4271999999999991</v>
      </c>
      <c r="AW203">
        <v>26</v>
      </c>
      <c r="AX203">
        <v>-26.280000000000005</v>
      </c>
      <c r="AY203">
        <v>21</v>
      </c>
      <c r="AZ203">
        <v>-1.48</v>
      </c>
      <c r="BA203">
        <v>19</v>
      </c>
      <c r="BB203">
        <v>20</v>
      </c>
      <c r="BC203">
        <v>27</v>
      </c>
      <c r="BD203">
        <v>-3.2039999999999997</v>
      </c>
      <c r="BE203">
        <v>15</v>
      </c>
      <c r="BF203">
        <v>0.23999999999999916</v>
      </c>
      <c r="BG203">
        <v>18</v>
      </c>
      <c r="BH203">
        <v>-0.32000000000000012</v>
      </c>
      <c r="BI203">
        <v>29</v>
      </c>
      <c r="BJ203">
        <v>27.333333333333332</v>
      </c>
      <c r="BK203">
        <v>30</v>
      </c>
      <c r="BL203">
        <v>-4.4432</v>
      </c>
      <c r="BM203">
        <v>30</v>
      </c>
      <c r="BN203">
        <v>-19.440000000000001</v>
      </c>
      <c r="BO203">
        <v>22</v>
      </c>
      <c r="BP203">
        <v>-0.68</v>
      </c>
      <c r="BQ203">
        <v>25</v>
      </c>
      <c r="BR203">
        <v>23.333333333333332</v>
      </c>
      <c r="BS203">
        <v>26</v>
      </c>
      <c r="BT203">
        <v>-1.78</v>
      </c>
      <c r="BU203">
        <v>23</v>
      </c>
      <c r="BV203">
        <v>-7.080000000000001</v>
      </c>
      <c r="BW203">
        <v>21</v>
      </c>
      <c r="BX203">
        <v>-0.47999999999999987</v>
      </c>
      <c r="BY203">
        <v>28</v>
      </c>
      <c r="BZ203">
        <v>27.333333333333332</v>
      </c>
      <c r="CA203">
        <v>29</v>
      </c>
      <c r="CB203">
        <v>-5.7919999999999998</v>
      </c>
      <c r="CC203">
        <v>27</v>
      </c>
      <c r="CD203">
        <v>-19.52</v>
      </c>
      <c r="CE203">
        <v>26</v>
      </c>
      <c r="CF203">
        <v>-1.2799999999999998</v>
      </c>
      <c r="CG203">
        <v>17</v>
      </c>
      <c r="CH203">
        <v>16</v>
      </c>
      <c r="CI203">
        <v>19</v>
      </c>
      <c r="CJ203">
        <v>-1.3719999999999999</v>
      </c>
      <c r="CK203">
        <v>18</v>
      </c>
      <c r="CL203">
        <v>-5.3999999999999986</v>
      </c>
      <c r="CM203">
        <v>11</v>
      </c>
      <c r="CN203">
        <v>0.72</v>
      </c>
      <c r="CO203">
        <v>4</v>
      </c>
      <c r="CP203">
        <v>6</v>
      </c>
      <c r="CQ203">
        <v>9</v>
      </c>
      <c r="CR203">
        <v>1.4400000000000006</v>
      </c>
      <c r="CS203">
        <v>3</v>
      </c>
      <c r="CT203">
        <v>0.71999999999999986</v>
      </c>
      <c r="CU203">
        <v>0.24000000000000005</v>
      </c>
      <c r="CV203">
        <v>1</v>
      </c>
      <c r="CW203">
        <v>6</v>
      </c>
      <c r="CX203">
        <v>2</v>
      </c>
      <c r="CY203">
        <v>9.8796755448153417E-2</v>
      </c>
      <c r="CZ203">
        <v>9</v>
      </c>
      <c r="DA203">
        <v>1.0748725366387111E-2</v>
      </c>
      <c r="DB203">
        <v>12</v>
      </c>
      <c r="DC203">
        <v>-1.5078144078144073E-2</v>
      </c>
      <c r="DD203">
        <v>1</v>
      </c>
      <c r="DE203">
        <v>5.12</v>
      </c>
      <c r="DF203">
        <v>-5.6400000000000023</v>
      </c>
      <c r="DG203">
        <v>-10.44</v>
      </c>
      <c r="DH203">
        <v>1.8800000000000001</v>
      </c>
      <c r="DI203">
        <v>-60.000000000000014</v>
      </c>
      <c r="DJ203">
        <v>-34.32</v>
      </c>
      <c r="DK203">
        <v>-37.28</v>
      </c>
      <c r="DL203">
        <v>-1.5599999999999998</v>
      </c>
      <c r="DM203">
        <v>13.16</v>
      </c>
      <c r="DN203">
        <v>18</v>
      </c>
      <c r="DO203">
        <v>-1.976800000000001</v>
      </c>
      <c r="DP203">
        <v>-0.90040000000000076</v>
      </c>
      <c r="DQ203">
        <v>2.9600000000000009</v>
      </c>
      <c r="DR203">
        <v>15</v>
      </c>
      <c r="DS203">
        <v>-2.7959999999999998</v>
      </c>
      <c r="DT203">
        <v>-0.76</v>
      </c>
      <c r="DU203">
        <v>0.21796249999999995</v>
      </c>
      <c r="DV203">
        <v>-1.0523000000000002</v>
      </c>
      <c r="DW203" t="s">
        <v>294</v>
      </c>
      <c r="DX203" t="s">
        <v>290</v>
      </c>
      <c r="DY203" t="s">
        <v>469</v>
      </c>
      <c r="DZ203">
        <v>5</v>
      </c>
      <c r="EA203">
        <v>4.6047999999999991</v>
      </c>
      <c r="EB203">
        <v>21</v>
      </c>
      <c r="EC203">
        <v>19.25</v>
      </c>
      <c r="ED203">
        <v>20</v>
      </c>
      <c r="EE203">
        <v>-2.8639999999999999</v>
      </c>
      <c r="EF203">
        <v>16</v>
      </c>
      <c r="EG203">
        <v>0</v>
      </c>
      <c r="EH203">
        <v>26</v>
      </c>
      <c r="EI203">
        <v>-19.299999999999997</v>
      </c>
      <c r="EJ203">
        <v>15</v>
      </c>
      <c r="EK203">
        <v>0.12000000000000005</v>
      </c>
      <c r="EL203">
        <v>21</v>
      </c>
      <c r="EM203">
        <v>19.75</v>
      </c>
      <c r="EN203">
        <v>21</v>
      </c>
      <c r="EO203">
        <v>-1.5289999999999999</v>
      </c>
      <c r="EP203">
        <v>21</v>
      </c>
      <c r="EQ203">
        <v>-0.37000000000000027</v>
      </c>
      <c r="ER203">
        <v>29</v>
      </c>
      <c r="ES203">
        <v>-17.519999999999996</v>
      </c>
      <c r="ET203">
        <v>8</v>
      </c>
      <c r="EU203">
        <v>0.49000000000000005</v>
      </c>
      <c r="EV203">
        <v>22</v>
      </c>
      <c r="EW203">
        <v>21</v>
      </c>
      <c r="EX203">
        <v>27</v>
      </c>
      <c r="EY203">
        <v>-1.3349999999999997</v>
      </c>
      <c r="EZ203">
        <v>16</v>
      </c>
      <c r="FA203">
        <v>0.36999999999999994</v>
      </c>
      <c r="FB203">
        <v>20</v>
      </c>
      <c r="FC203">
        <v>-1.7799999999999998</v>
      </c>
      <c r="FD203">
        <v>21</v>
      </c>
      <c r="FE203">
        <v>-0.37</v>
      </c>
      <c r="FF203">
        <v>15</v>
      </c>
      <c r="FG203">
        <v>15.666666666666666</v>
      </c>
      <c r="FH203">
        <v>6</v>
      </c>
      <c r="FI203">
        <v>4.3300000000000018</v>
      </c>
      <c r="FJ203">
        <v>21</v>
      </c>
      <c r="FK203">
        <v>-3.9499999999999984</v>
      </c>
      <c r="FL203">
        <v>20</v>
      </c>
      <c r="FM203">
        <v>-0.43999999999999984</v>
      </c>
      <c r="FN203">
        <v>9</v>
      </c>
      <c r="FO203">
        <v>10.333333333333334</v>
      </c>
      <c r="FP203">
        <v>4</v>
      </c>
      <c r="FQ203">
        <v>4.7440000000000015</v>
      </c>
      <c r="FR203">
        <v>13</v>
      </c>
      <c r="FS203">
        <v>3.2100000000000009</v>
      </c>
      <c r="FT203">
        <v>14</v>
      </c>
      <c r="FU203">
        <v>0.51</v>
      </c>
      <c r="FV203">
        <v>27</v>
      </c>
      <c r="FW203">
        <v>24</v>
      </c>
      <c r="FX203">
        <v>22</v>
      </c>
      <c r="FY203">
        <v>-1.4239999999999999</v>
      </c>
      <c r="FZ203">
        <v>19</v>
      </c>
      <c r="GA203">
        <v>-1.3999999999999992</v>
      </c>
      <c r="GB203">
        <v>31</v>
      </c>
      <c r="GC203">
        <v>-1.39</v>
      </c>
      <c r="GD203">
        <v>9</v>
      </c>
      <c r="GE203">
        <v>14</v>
      </c>
      <c r="GF203">
        <v>10</v>
      </c>
      <c r="GG203">
        <v>1.0100000000000002</v>
      </c>
      <c r="GH203">
        <v>24</v>
      </c>
      <c r="GI203">
        <v>-5.76</v>
      </c>
      <c r="GJ203">
        <v>8</v>
      </c>
      <c r="GK203">
        <v>0.44000000000000006</v>
      </c>
      <c r="GL203">
        <v>23</v>
      </c>
      <c r="GM203">
        <v>21.666666666666668</v>
      </c>
      <c r="GN203">
        <v>21</v>
      </c>
      <c r="GO203">
        <v>-1.3979999999999986</v>
      </c>
      <c r="GP203">
        <v>24</v>
      </c>
      <c r="GQ203">
        <v>-8.9799999999999986</v>
      </c>
      <c r="GR203">
        <v>20</v>
      </c>
      <c r="GS203">
        <v>-0.71000000000000019</v>
      </c>
      <c r="GT203">
        <v>3</v>
      </c>
      <c r="GU203">
        <v>5.333333333333333</v>
      </c>
      <c r="GV203">
        <v>2</v>
      </c>
      <c r="GW203">
        <v>4.8650000000000002</v>
      </c>
      <c r="GX203">
        <v>3</v>
      </c>
      <c r="GY203">
        <v>12.57</v>
      </c>
      <c r="GZ203">
        <v>11</v>
      </c>
      <c r="HA203">
        <v>0.58000000000000007</v>
      </c>
      <c r="HB203">
        <v>13</v>
      </c>
      <c r="HC203">
        <v>14.5</v>
      </c>
      <c r="HD203">
        <v>11</v>
      </c>
      <c r="HE203">
        <v>0.97000000000000031</v>
      </c>
      <c r="HF203">
        <v>18</v>
      </c>
      <c r="HG203">
        <v>-0.24999999999999994</v>
      </c>
      <c r="HH203">
        <v>-0.97999999999999987</v>
      </c>
      <c r="HI203">
        <v>9</v>
      </c>
      <c r="HJ203">
        <v>12.75</v>
      </c>
      <c r="HK203">
        <v>2</v>
      </c>
      <c r="HL203">
        <v>8.5754308694401565E-2</v>
      </c>
      <c r="HM203">
        <v>7</v>
      </c>
      <c r="HN203">
        <v>1.6504972684694051E-2</v>
      </c>
      <c r="HO203">
        <v>31</v>
      </c>
      <c r="HP203">
        <v>0.13786324786324783</v>
      </c>
      <c r="HQ203">
        <v>11</v>
      </c>
      <c r="HR203">
        <v>0.73999999999999977</v>
      </c>
      <c r="HS203">
        <v>2.1899999999999977</v>
      </c>
      <c r="HT203">
        <v>3.71</v>
      </c>
      <c r="HU203">
        <v>-1.29</v>
      </c>
      <c r="HV203">
        <v>24.46</v>
      </c>
      <c r="HW203">
        <v>24.769999999999992</v>
      </c>
      <c r="HX203">
        <v>-25.870000000000005</v>
      </c>
      <c r="HY203">
        <v>16.669999999999998</v>
      </c>
      <c r="HZ203">
        <v>8.89</v>
      </c>
      <c r="IA203">
        <v>5</v>
      </c>
      <c r="IB203">
        <v>7.468799999999999</v>
      </c>
      <c r="IC203">
        <v>4.1919599999999999</v>
      </c>
      <c r="ID203">
        <v>50.64</v>
      </c>
      <c r="IE203">
        <v>28</v>
      </c>
      <c r="IF203">
        <v>1.4882250000000001</v>
      </c>
      <c r="IG203">
        <v>0.14000000000000024</v>
      </c>
    </row>
    <row r="204" spans="1:241" x14ac:dyDescent="0.2">
      <c r="A204" s="19">
        <v>44129</v>
      </c>
      <c r="B204" s="13" t="s">
        <v>250</v>
      </c>
      <c r="C204" s="41" t="s">
        <v>298</v>
      </c>
      <c r="D204" s="14" t="s">
        <v>276</v>
      </c>
      <c r="E204">
        <v>4.7</v>
      </c>
      <c r="F204">
        <v>7.5</v>
      </c>
      <c r="G204">
        <v>8.1999999999999993</v>
      </c>
      <c r="H204">
        <v>0</v>
      </c>
      <c r="I204">
        <v>9</v>
      </c>
      <c r="J204">
        <v>47</v>
      </c>
      <c r="L204" t="s">
        <v>298</v>
      </c>
      <c r="M204">
        <v>27</v>
      </c>
      <c r="N204">
        <v>-4.4635999999999987</v>
      </c>
      <c r="O204">
        <v>27</v>
      </c>
      <c r="P204">
        <v>23</v>
      </c>
      <c r="Q204">
        <v>28</v>
      </c>
      <c r="R204">
        <v>-6.1050000000000004</v>
      </c>
      <c r="S204">
        <v>17</v>
      </c>
      <c r="T204">
        <v>0.20999999999999974</v>
      </c>
      <c r="U204">
        <v>22</v>
      </c>
      <c r="V204">
        <v>-8.9499999999999993</v>
      </c>
      <c r="W204">
        <v>25</v>
      </c>
      <c r="X204">
        <v>-1.01</v>
      </c>
      <c r="Y204">
        <v>29</v>
      </c>
      <c r="Z204">
        <v>26.666666666666668</v>
      </c>
      <c r="AA204">
        <v>29</v>
      </c>
      <c r="AB204">
        <v>-6.1470000000000002</v>
      </c>
      <c r="AC204">
        <v>13</v>
      </c>
      <c r="AD204">
        <v>1.22</v>
      </c>
      <c r="AE204">
        <v>21</v>
      </c>
      <c r="AF204">
        <v>-5.3699999999999992</v>
      </c>
      <c r="AG204">
        <v>30</v>
      </c>
      <c r="AH204">
        <v>-1.65</v>
      </c>
      <c r="AI204">
        <v>13</v>
      </c>
      <c r="AJ204">
        <v>13</v>
      </c>
      <c r="AK204">
        <v>13</v>
      </c>
      <c r="AL204">
        <v>4.1999999999999552E-2</v>
      </c>
      <c r="AM204">
        <v>19</v>
      </c>
      <c r="AN204">
        <v>-1.0100000000000002</v>
      </c>
      <c r="AO204">
        <v>20</v>
      </c>
      <c r="AP204">
        <v>-3.5800000000000005</v>
      </c>
      <c r="AQ204">
        <v>6</v>
      </c>
      <c r="AR204">
        <v>0.6399999999999999</v>
      </c>
      <c r="AS204">
        <v>15</v>
      </c>
      <c r="AT204">
        <v>15.333333333333334</v>
      </c>
      <c r="AU204">
        <v>19</v>
      </c>
      <c r="AV204">
        <v>-1.5517999999999996</v>
      </c>
      <c r="AW204">
        <v>21</v>
      </c>
      <c r="AX204">
        <v>-11.389999999999999</v>
      </c>
      <c r="AY204">
        <v>6</v>
      </c>
      <c r="AZ204">
        <v>2.5000000000000004</v>
      </c>
      <c r="BA204">
        <v>3</v>
      </c>
      <c r="BB204">
        <v>6.333333333333333</v>
      </c>
      <c r="BC204">
        <v>5</v>
      </c>
      <c r="BD204">
        <v>3.3892000000000002</v>
      </c>
      <c r="BE204">
        <v>6</v>
      </c>
      <c r="BF204">
        <v>12.6</v>
      </c>
      <c r="BG204">
        <v>8</v>
      </c>
      <c r="BH204">
        <v>0.65</v>
      </c>
      <c r="BI204">
        <v>12</v>
      </c>
      <c r="BJ204">
        <v>12.666666666666666</v>
      </c>
      <c r="BK204">
        <v>19</v>
      </c>
      <c r="BL204">
        <v>-1.2829999999999999</v>
      </c>
      <c r="BM204">
        <v>13</v>
      </c>
      <c r="BN204">
        <v>-5.0000000000001418E-2</v>
      </c>
      <c r="BO204">
        <v>6</v>
      </c>
      <c r="BP204">
        <v>1.59</v>
      </c>
      <c r="BQ204">
        <v>28</v>
      </c>
      <c r="BR204">
        <v>26</v>
      </c>
      <c r="BS204">
        <v>31</v>
      </c>
      <c r="BT204">
        <v>-3.6579999999999999</v>
      </c>
      <c r="BU204">
        <v>32</v>
      </c>
      <c r="BV204">
        <v>-23.939999999999998</v>
      </c>
      <c r="BW204">
        <v>15</v>
      </c>
      <c r="BX204">
        <v>0.26000000000000006</v>
      </c>
      <c r="BY204">
        <v>8</v>
      </c>
      <c r="BZ204">
        <v>10.333333333333334</v>
      </c>
      <c r="CA204">
        <v>12</v>
      </c>
      <c r="CB204">
        <v>0.79000000000000026</v>
      </c>
      <c r="CC204">
        <v>10</v>
      </c>
      <c r="CD204">
        <v>10.199999999999999</v>
      </c>
      <c r="CE204">
        <v>9</v>
      </c>
      <c r="CF204">
        <v>1.27</v>
      </c>
      <c r="CG204">
        <v>27</v>
      </c>
      <c r="CH204">
        <v>25.666666666666668</v>
      </c>
      <c r="CI204">
        <v>23</v>
      </c>
      <c r="CJ204">
        <v>-2.8600000000000003</v>
      </c>
      <c r="CK204">
        <v>29</v>
      </c>
      <c r="CL204">
        <v>-15.64</v>
      </c>
      <c r="CM204">
        <v>25</v>
      </c>
      <c r="CN204">
        <v>-1.26</v>
      </c>
      <c r="CO204">
        <v>16</v>
      </c>
      <c r="CP204">
        <v>18.5</v>
      </c>
      <c r="CQ204">
        <v>21</v>
      </c>
      <c r="CR204">
        <v>-1</v>
      </c>
      <c r="CS204">
        <v>16</v>
      </c>
      <c r="CT204">
        <v>-6.0000000000000012E-2</v>
      </c>
      <c r="CU204">
        <v>-1.4600000000000002</v>
      </c>
      <c r="CV204">
        <v>5</v>
      </c>
      <c r="CW204">
        <v>10</v>
      </c>
      <c r="CX204">
        <v>3</v>
      </c>
      <c r="CY204">
        <v>9.2547016034524268E-2</v>
      </c>
      <c r="CZ204">
        <v>14</v>
      </c>
      <c r="DA204">
        <v>4.1669825547457906E-4</v>
      </c>
      <c r="DB204">
        <v>20</v>
      </c>
      <c r="DC204">
        <v>1.2842712842712855E-2</v>
      </c>
      <c r="DD204">
        <v>3</v>
      </c>
      <c r="DE204">
        <v>3.63</v>
      </c>
      <c r="DF204">
        <v>4.5699999999999985</v>
      </c>
      <c r="DG204">
        <v>-8.4299999999999979</v>
      </c>
      <c r="DH204">
        <v>0.21000000000000005</v>
      </c>
      <c r="DI204">
        <v>-35.1</v>
      </c>
      <c r="DJ204">
        <v>-48.79</v>
      </c>
      <c r="DK204">
        <v>3.7500000000000013</v>
      </c>
      <c r="DL204">
        <v>2.7199999999999998</v>
      </c>
      <c r="DM204">
        <v>7.2200000000000006</v>
      </c>
      <c r="DN204">
        <v>15</v>
      </c>
      <c r="DO204">
        <v>1.641400000000002</v>
      </c>
      <c r="DP204">
        <v>1.2774200000000004</v>
      </c>
      <c r="DQ204">
        <v>-52.54</v>
      </c>
      <c r="DR204">
        <v>18</v>
      </c>
      <c r="DS204">
        <v>-1.9975499999999995</v>
      </c>
      <c r="DT204">
        <v>1.2400000000000004</v>
      </c>
      <c r="DU204">
        <v>0.35889999999999989</v>
      </c>
      <c r="DV204">
        <v>0.4472000000000001</v>
      </c>
      <c r="DW204" t="s">
        <v>276</v>
      </c>
      <c r="DX204" t="s">
        <v>261</v>
      </c>
      <c r="DY204" t="s">
        <v>455</v>
      </c>
      <c r="DZ204">
        <v>16</v>
      </c>
      <c r="EA204">
        <v>-0.33020000000000066</v>
      </c>
      <c r="EB204">
        <v>14</v>
      </c>
      <c r="EC204">
        <v>15.25</v>
      </c>
      <c r="ED204">
        <v>13</v>
      </c>
      <c r="EE204">
        <v>0.77699999999999891</v>
      </c>
      <c r="EF204">
        <v>14</v>
      </c>
      <c r="EG204">
        <v>1.1200000000000001</v>
      </c>
      <c r="EH204">
        <v>15</v>
      </c>
      <c r="EI204">
        <v>3.5200000000000005</v>
      </c>
      <c r="EJ204">
        <v>19</v>
      </c>
      <c r="EK204">
        <v>-2.9999999999999985E-2</v>
      </c>
      <c r="EL204">
        <v>12</v>
      </c>
      <c r="EM204">
        <v>14</v>
      </c>
      <c r="EN204">
        <v>13</v>
      </c>
      <c r="EO204">
        <v>0.54699999999999882</v>
      </c>
      <c r="EP204">
        <v>18</v>
      </c>
      <c r="EQ204">
        <v>-0.24999999999999964</v>
      </c>
      <c r="ER204">
        <v>9</v>
      </c>
      <c r="ES204">
        <v>6.4</v>
      </c>
      <c r="ET204">
        <v>16</v>
      </c>
      <c r="EU204">
        <v>-0.1</v>
      </c>
      <c r="EV204">
        <v>10</v>
      </c>
      <c r="EW204">
        <v>13</v>
      </c>
      <c r="EX204">
        <v>12</v>
      </c>
      <c r="EY204">
        <v>0.23000000000000007</v>
      </c>
      <c r="EZ204">
        <v>5</v>
      </c>
      <c r="FA204">
        <v>1.3699999999999997</v>
      </c>
      <c r="FB204">
        <v>22</v>
      </c>
      <c r="FC204">
        <v>-2.88</v>
      </c>
      <c r="FD204">
        <v>14</v>
      </c>
      <c r="FE204">
        <v>7.0000000000000021E-2</v>
      </c>
      <c r="FF204">
        <v>11</v>
      </c>
      <c r="FG204">
        <v>13</v>
      </c>
      <c r="FH204">
        <v>15</v>
      </c>
      <c r="FI204">
        <v>-0.10000000000000031</v>
      </c>
      <c r="FJ204">
        <v>16</v>
      </c>
      <c r="FK204">
        <v>0.56000000000000139</v>
      </c>
      <c r="FL204">
        <v>8</v>
      </c>
      <c r="FM204">
        <v>1.3600000000000003</v>
      </c>
      <c r="FN204">
        <v>19</v>
      </c>
      <c r="FO204">
        <v>18</v>
      </c>
      <c r="FP204">
        <v>18</v>
      </c>
      <c r="FQ204">
        <v>-0.30600000000000022</v>
      </c>
      <c r="FR204">
        <v>19</v>
      </c>
      <c r="FS204">
        <v>-2.919999999999999</v>
      </c>
      <c r="FT204">
        <v>17</v>
      </c>
      <c r="FU204">
        <v>0.25999999999999995</v>
      </c>
      <c r="FV204">
        <v>3</v>
      </c>
      <c r="FW204">
        <v>5</v>
      </c>
      <c r="FX204">
        <v>7</v>
      </c>
      <c r="FY204">
        <v>2.0209999999999999</v>
      </c>
      <c r="FZ204">
        <v>4</v>
      </c>
      <c r="GA204">
        <v>10.260000000000002</v>
      </c>
      <c r="GB204">
        <v>4</v>
      </c>
      <c r="GC204">
        <v>1.1300000000000001</v>
      </c>
      <c r="GD204">
        <v>24</v>
      </c>
      <c r="GE204">
        <v>22.666666666666668</v>
      </c>
      <c r="GF204">
        <v>28</v>
      </c>
      <c r="GG204">
        <v>-1.8149999999999999</v>
      </c>
      <c r="GH204">
        <v>26</v>
      </c>
      <c r="GI204">
        <v>-6.7800000000000011</v>
      </c>
      <c r="GJ204">
        <v>14</v>
      </c>
      <c r="GK204">
        <v>-2.9999999999999895E-2</v>
      </c>
      <c r="GL204">
        <v>7</v>
      </c>
      <c r="GM204">
        <v>7</v>
      </c>
      <c r="GN204">
        <v>10</v>
      </c>
      <c r="GO204">
        <v>1.9149999999999998</v>
      </c>
      <c r="GP204">
        <v>8</v>
      </c>
      <c r="GQ204">
        <v>10.45</v>
      </c>
      <c r="GR204">
        <v>3</v>
      </c>
      <c r="GS204">
        <v>2.09</v>
      </c>
      <c r="GT204">
        <v>10</v>
      </c>
      <c r="GU204">
        <v>10.333333333333334</v>
      </c>
      <c r="GV204">
        <v>9</v>
      </c>
      <c r="GW204">
        <v>2.8180000000000001</v>
      </c>
      <c r="GX204">
        <v>12</v>
      </c>
      <c r="GY204">
        <v>5.8799999999999981</v>
      </c>
      <c r="GZ204">
        <v>10</v>
      </c>
      <c r="HA204">
        <v>0.76000000000000012</v>
      </c>
      <c r="HB204">
        <v>23</v>
      </c>
      <c r="HC204">
        <v>22.5</v>
      </c>
      <c r="HD204">
        <v>24</v>
      </c>
      <c r="HE204">
        <v>-1</v>
      </c>
      <c r="HF204">
        <v>21</v>
      </c>
      <c r="HG204">
        <v>-0.35999999999999993</v>
      </c>
      <c r="HH204">
        <v>-2.4300000000000002</v>
      </c>
      <c r="HI204">
        <v>23</v>
      </c>
      <c r="HJ204">
        <v>20</v>
      </c>
      <c r="HK204">
        <v>19</v>
      </c>
      <c r="HL204">
        <v>-1.2175516842715506E-2</v>
      </c>
      <c r="HM204">
        <v>14</v>
      </c>
      <c r="HN204">
        <v>-9.1437165228425436E-4</v>
      </c>
      <c r="HO204">
        <v>27</v>
      </c>
      <c r="HP204">
        <v>7.208658008658006E-2</v>
      </c>
      <c r="HQ204">
        <v>20</v>
      </c>
      <c r="HR204">
        <v>-0.95000000000000018</v>
      </c>
      <c r="HS204">
        <v>0.91999999999999882</v>
      </c>
      <c r="HT204">
        <v>0.35</v>
      </c>
      <c r="HU204">
        <v>-0.27999999999999997</v>
      </c>
      <c r="HV204">
        <v>10.010000000000002</v>
      </c>
      <c r="HW204">
        <v>-5.6400000000000095</v>
      </c>
      <c r="HX204">
        <v>9.7800000000000011</v>
      </c>
      <c r="HY204">
        <v>0.15999999999999998</v>
      </c>
      <c r="HZ204">
        <v>5.7100000000000009</v>
      </c>
      <c r="IA204">
        <v>18</v>
      </c>
      <c r="IB204">
        <v>-1.1071999999999995</v>
      </c>
      <c r="IC204">
        <v>8.9060000000000361E-2</v>
      </c>
      <c r="ID204">
        <v>-15.420000000000011</v>
      </c>
      <c r="IE204">
        <v>15</v>
      </c>
      <c r="IF204">
        <v>0.27059999999999973</v>
      </c>
      <c r="IG204">
        <v>2.1200000000000006</v>
      </c>
    </row>
    <row r="205" spans="1:241" x14ac:dyDescent="0.2">
      <c r="A205" s="19">
        <v>44129</v>
      </c>
      <c r="B205" s="13" t="s">
        <v>250</v>
      </c>
      <c r="C205" s="41" t="s">
        <v>294</v>
      </c>
      <c r="D205" s="14" t="s">
        <v>296</v>
      </c>
      <c r="E205">
        <v>12.3</v>
      </c>
      <c r="F205">
        <v>15.2</v>
      </c>
      <c r="G205">
        <v>7.6</v>
      </c>
      <c r="H205">
        <v>14.5</v>
      </c>
      <c r="I205">
        <v>-5</v>
      </c>
      <c r="J205">
        <v>44.5</v>
      </c>
      <c r="L205" t="s">
        <v>294</v>
      </c>
      <c r="M205">
        <v>9</v>
      </c>
      <c r="N205">
        <v>2.9288000000000012</v>
      </c>
      <c r="O205">
        <v>13</v>
      </c>
      <c r="P205">
        <v>13.75</v>
      </c>
      <c r="Q205">
        <v>16</v>
      </c>
      <c r="R205">
        <v>0.4139999999999997</v>
      </c>
      <c r="S205">
        <v>20</v>
      </c>
      <c r="T205">
        <v>-0.64000000000000012</v>
      </c>
      <c r="U205">
        <v>8</v>
      </c>
      <c r="V205">
        <v>18.350000000000001</v>
      </c>
      <c r="W205">
        <v>11</v>
      </c>
      <c r="X205">
        <v>0.53999999999999992</v>
      </c>
      <c r="Y205">
        <v>4</v>
      </c>
      <c r="Z205">
        <v>6.333333333333333</v>
      </c>
      <c r="AA205">
        <v>10</v>
      </c>
      <c r="AB205">
        <v>2.9259999999999997</v>
      </c>
      <c r="AC205">
        <v>18</v>
      </c>
      <c r="AD205">
        <v>-0.36000000000000015</v>
      </c>
      <c r="AE205">
        <v>2</v>
      </c>
      <c r="AF205">
        <v>25.07</v>
      </c>
      <c r="AG205">
        <v>7</v>
      </c>
      <c r="AH205">
        <v>1.19</v>
      </c>
      <c r="AI205">
        <v>30</v>
      </c>
      <c r="AJ205">
        <v>26.333333333333332</v>
      </c>
      <c r="AK205">
        <v>29</v>
      </c>
      <c r="AL205">
        <v>-2.512</v>
      </c>
      <c r="AM205">
        <v>16</v>
      </c>
      <c r="AN205">
        <v>-0.27999999999999997</v>
      </c>
      <c r="AO205">
        <v>26</v>
      </c>
      <c r="AP205">
        <v>-6.7200000000000006</v>
      </c>
      <c r="AQ205">
        <v>24</v>
      </c>
      <c r="AR205">
        <v>-0.65</v>
      </c>
      <c r="AS205">
        <v>16</v>
      </c>
      <c r="AT205">
        <v>16</v>
      </c>
      <c r="AU205">
        <v>16</v>
      </c>
      <c r="AV205">
        <v>0.18900000000000006</v>
      </c>
      <c r="AW205">
        <v>20</v>
      </c>
      <c r="AX205">
        <v>-9.8599999999999959</v>
      </c>
      <c r="AY205">
        <v>12</v>
      </c>
      <c r="AZ205">
        <v>0.77000000000000024</v>
      </c>
      <c r="BA205">
        <v>2</v>
      </c>
      <c r="BB205">
        <v>2</v>
      </c>
      <c r="BC205">
        <v>3</v>
      </c>
      <c r="BD205">
        <v>4.3630000000000004</v>
      </c>
      <c r="BE205">
        <v>2</v>
      </c>
      <c r="BF205">
        <v>19.630000000000003</v>
      </c>
      <c r="BG205">
        <v>1</v>
      </c>
      <c r="BH205">
        <v>2.5300000000000002</v>
      </c>
      <c r="BI205">
        <v>25</v>
      </c>
      <c r="BJ205">
        <v>25.666666666666668</v>
      </c>
      <c r="BK205">
        <v>23</v>
      </c>
      <c r="BL205">
        <v>-2.1170000000000009</v>
      </c>
      <c r="BM205">
        <v>28</v>
      </c>
      <c r="BN205">
        <v>-17.79</v>
      </c>
      <c r="BO205">
        <v>26</v>
      </c>
      <c r="BP205">
        <v>-1.21</v>
      </c>
      <c r="BQ205">
        <v>27</v>
      </c>
      <c r="BR205">
        <v>25.333333333333332</v>
      </c>
      <c r="BS205">
        <v>27</v>
      </c>
      <c r="BT205">
        <v>-2.0569999999999995</v>
      </c>
      <c r="BU205">
        <v>26</v>
      </c>
      <c r="BV205">
        <v>-11.7</v>
      </c>
      <c r="BW205">
        <v>23</v>
      </c>
      <c r="BX205">
        <v>-0.55000000000000004</v>
      </c>
      <c r="BY205">
        <v>19</v>
      </c>
      <c r="BZ205">
        <v>18</v>
      </c>
      <c r="CA205">
        <v>21</v>
      </c>
      <c r="CB205">
        <v>-1.9480000000000004</v>
      </c>
      <c r="CC205">
        <v>23</v>
      </c>
      <c r="CD205">
        <v>-15.280000000000001</v>
      </c>
      <c r="CE205">
        <v>10</v>
      </c>
      <c r="CF205">
        <v>1.22</v>
      </c>
      <c r="CG205">
        <v>16</v>
      </c>
      <c r="CH205">
        <v>14.666666666666666</v>
      </c>
      <c r="CI205">
        <v>21</v>
      </c>
      <c r="CJ205">
        <v>-2.0789999999999997</v>
      </c>
      <c r="CK205">
        <v>17</v>
      </c>
      <c r="CL205">
        <v>-4.1899999999999995</v>
      </c>
      <c r="CM205">
        <v>6</v>
      </c>
      <c r="CN205">
        <v>1.64</v>
      </c>
      <c r="CO205">
        <v>21</v>
      </c>
      <c r="CP205">
        <v>21.5</v>
      </c>
      <c r="CQ205">
        <v>25</v>
      </c>
      <c r="CR205">
        <v>-1.4099999999999997</v>
      </c>
      <c r="CS205">
        <v>18</v>
      </c>
      <c r="CT205">
        <v>-0.11999999999999993</v>
      </c>
      <c r="CU205">
        <v>0.73999999999999977</v>
      </c>
      <c r="CV205">
        <v>17</v>
      </c>
      <c r="CW205">
        <v>17.75</v>
      </c>
      <c r="CX205">
        <v>11</v>
      </c>
      <c r="CY205">
        <v>8.9748751067835145E-3</v>
      </c>
      <c r="CZ205">
        <v>16</v>
      </c>
      <c r="DA205">
        <v>-1.7540470112133166E-4</v>
      </c>
      <c r="DB205">
        <v>25</v>
      </c>
      <c r="DC205">
        <v>3.4799960273644473E-2</v>
      </c>
      <c r="DD205">
        <v>19</v>
      </c>
      <c r="DE205">
        <v>-0.97999999999999987</v>
      </c>
      <c r="DF205">
        <v>4.8800000000000008</v>
      </c>
      <c r="DG205">
        <v>2.38</v>
      </c>
      <c r="DH205">
        <v>0.83999999999999986</v>
      </c>
      <c r="DI205">
        <v>14.689999999999998</v>
      </c>
      <c r="DJ205">
        <v>-16.73</v>
      </c>
      <c r="DK205">
        <v>12.490000000000002</v>
      </c>
      <c r="DL205">
        <v>-5.41</v>
      </c>
      <c r="DM205">
        <v>24.34</v>
      </c>
      <c r="DN205">
        <v>13</v>
      </c>
      <c r="DO205">
        <v>2.5148000000000015</v>
      </c>
      <c r="DP205">
        <v>7.6000000000053802E-4</v>
      </c>
      <c r="DQ205">
        <v>-29.220000000000002</v>
      </c>
      <c r="DR205">
        <v>20</v>
      </c>
      <c r="DS205">
        <v>5.3500000000002434E-3</v>
      </c>
      <c r="DT205">
        <v>2.41</v>
      </c>
      <c r="DU205">
        <v>0.21796249999999995</v>
      </c>
      <c r="DV205">
        <v>1.4882250000000001</v>
      </c>
      <c r="DW205" t="s">
        <v>296</v>
      </c>
      <c r="DX205" t="s">
        <v>245</v>
      </c>
      <c r="DY205" t="s">
        <v>472</v>
      </c>
      <c r="DZ205">
        <v>24</v>
      </c>
      <c r="EA205">
        <v>-2.6208000000000022</v>
      </c>
      <c r="EB205">
        <v>13</v>
      </c>
      <c r="EC205">
        <v>13.25</v>
      </c>
      <c r="ED205">
        <v>6</v>
      </c>
      <c r="EE205">
        <v>4.3039999999999994</v>
      </c>
      <c r="EF205">
        <v>9</v>
      </c>
      <c r="EG205">
        <v>2.5999999999999996</v>
      </c>
      <c r="EH205">
        <v>17</v>
      </c>
      <c r="EI205">
        <v>2.5200000000000005</v>
      </c>
      <c r="EJ205">
        <v>21</v>
      </c>
      <c r="EK205">
        <v>-0.4</v>
      </c>
      <c r="EL205">
        <v>22</v>
      </c>
      <c r="EM205">
        <v>20</v>
      </c>
      <c r="EN205">
        <v>15</v>
      </c>
      <c r="EO205">
        <v>0.1039999999999992</v>
      </c>
      <c r="EP205">
        <v>17</v>
      </c>
      <c r="EQ205">
        <v>-8.0000000000000432E-2</v>
      </c>
      <c r="ER205">
        <v>21</v>
      </c>
      <c r="ES205">
        <v>-2.8799999999999981</v>
      </c>
      <c r="ET205">
        <v>27</v>
      </c>
      <c r="EU205">
        <v>-0.76</v>
      </c>
      <c r="EV205">
        <v>1</v>
      </c>
      <c r="EW205">
        <v>4</v>
      </c>
      <c r="EX205">
        <v>1</v>
      </c>
      <c r="EY205">
        <v>4.2</v>
      </c>
      <c r="EZ205">
        <v>3</v>
      </c>
      <c r="FA205">
        <v>2.68</v>
      </c>
      <c r="FB205">
        <v>8</v>
      </c>
      <c r="FC205">
        <v>5.3999999999999986</v>
      </c>
      <c r="FD205">
        <v>11</v>
      </c>
      <c r="FE205">
        <v>0.36</v>
      </c>
      <c r="FF205">
        <v>28</v>
      </c>
      <c r="FG205">
        <v>26.666666666666668</v>
      </c>
      <c r="FH205">
        <v>27</v>
      </c>
      <c r="FI205">
        <v>-5.2775999999999996</v>
      </c>
      <c r="FJ205">
        <v>27</v>
      </c>
      <c r="FK205">
        <v>-19.960000000000008</v>
      </c>
      <c r="FL205">
        <v>26</v>
      </c>
      <c r="FM205">
        <v>-1.6</v>
      </c>
      <c r="FN205">
        <v>30</v>
      </c>
      <c r="FO205">
        <v>28</v>
      </c>
      <c r="FP205">
        <v>31</v>
      </c>
      <c r="FQ205">
        <v>-5.6</v>
      </c>
      <c r="FR205">
        <v>30</v>
      </c>
      <c r="FS205">
        <v>-21.440000000000005</v>
      </c>
      <c r="FT205">
        <v>23</v>
      </c>
      <c r="FU205">
        <v>-0.95999999999999974</v>
      </c>
      <c r="FV205">
        <v>8</v>
      </c>
      <c r="FW205">
        <v>9.3333333333333339</v>
      </c>
      <c r="FX205">
        <v>12</v>
      </c>
      <c r="FY205">
        <v>0.28400000000000014</v>
      </c>
      <c r="FZ205">
        <v>6</v>
      </c>
      <c r="GA205">
        <v>9.1199999999999974</v>
      </c>
      <c r="GB205">
        <v>10</v>
      </c>
      <c r="GC205">
        <v>0.43999999999999984</v>
      </c>
      <c r="GD205">
        <v>27</v>
      </c>
      <c r="GE205">
        <v>24.333333333333332</v>
      </c>
      <c r="GF205">
        <v>15</v>
      </c>
      <c r="GG205">
        <v>3.8400000000000566E-2</v>
      </c>
      <c r="GH205">
        <v>28</v>
      </c>
      <c r="GI205">
        <v>-7.6400000000000006</v>
      </c>
      <c r="GJ205">
        <v>30</v>
      </c>
      <c r="GK205">
        <v>-1.08</v>
      </c>
      <c r="GL205">
        <v>32</v>
      </c>
      <c r="GM205">
        <v>32</v>
      </c>
      <c r="GN205">
        <v>32</v>
      </c>
      <c r="GO205">
        <v>-8.3240000000000016</v>
      </c>
      <c r="GP205">
        <v>32</v>
      </c>
      <c r="GQ205">
        <v>-29.639999999999997</v>
      </c>
      <c r="GR205">
        <v>32</v>
      </c>
      <c r="GS205">
        <v>-2.96</v>
      </c>
      <c r="GT205">
        <v>31</v>
      </c>
      <c r="GU205">
        <v>31.333333333333332</v>
      </c>
      <c r="GV205">
        <v>31</v>
      </c>
      <c r="GW205">
        <v>-7.1039999999999992</v>
      </c>
      <c r="GX205">
        <v>32</v>
      </c>
      <c r="GY205">
        <v>-26.32</v>
      </c>
      <c r="GZ205">
        <v>31</v>
      </c>
      <c r="HA205">
        <v>-2.6399999999999997</v>
      </c>
      <c r="HB205">
        <v>3</v>
      </c>
      <c r="HC205">
        <v>5</v>
      </c>
      <c r="HD205">
        <v>7</v>
      </c>
      <c r="HE205">
        <v>2.2800000000000002</v>
      </c>
      <c r="HF205">
        <v>3</v>
      </c>
      <c r="HG205">
        <v>1.08</v>
      </c>
      <c r="HH205">
        <v>5.12</v>
      </c>
      <c r="HI205">
        <v>10</v>
      </c>
      <c r="HJ205">
        <v>13.75</v>
      </c>
      <c r="HK205">
        <v>9</v>
      </c>
      <c r="HL205">
        <v>1.9372975642845451E-2</v>
      </c>
      <c r="HM205">
        <v>10</v>
      </c>
      <c r="HN205">
        <v>1.035739215837566E-2</v>
      </c>
      <c r="HO205">
        <v>22</v>
      </c>
      <c r="HP205">
        <v>2.8000000000000025E-2</v>
      </c>
      <c r="HQ205">
        <v>14</v>
      </c>
      <c r="HR205">
        <v>0.24000000000000005</v>
      </c>
      <c r="HS205">
        <v>-1.2</v>
      </c>
      <c r="HT205">
        <v>0.16000000000000014</v>
      </c>
      <c r="HU205">
        <v>1.1199999999999999</v>
      </c>
      <c r="HV205">
        <v>-23.600000000000012</v>
      </c>
      <c r="HW205">
        <v>-19.32</v>
      </c>
      <c r="HX205">
        <v>-2.9199999999999959</v>
      </c>
      <c r="HY205">
        <v>0.4799999999999997</v>
      </c>
      <c r="HZ205">
        <v>-1.8399999999999999</v>
      </c>
      <c r="IA205">
        <v>27</v>
      </c>
      <c r="IB205">
        <v>-6.9248000000000012</v>
      </c>
      <c r="IC205">
        <v>-5.1524800000000006</v>
      </c>
      <c r="ID205">
        <v>-16.400000000000006</v>
      </c>
      <c r="IE205">
        <v>6</v>
      </c>
      <c r="IF205">
        <v>-1.0523000000000002</v>
      </c>
      <c r="IG205">
        <v>-4.24</v>
      </c>
    </row>
    <row r="206" spans="1:241" x14ac:dyDescent="0.2">
      <c r="A206" s="19">
        <v>44129</v>
      </c>
      <c r="B206" s="13" t="s">
        <v>250</v>
      </c>
      <c r="C206" s="41" t="s">
        <v>309</v>
      </c>
      <c r="D206" s="14" t="s">
        <v>310</v>
      </c>
      <c r="E206">
        <v>29</v>
      </c>
      <c r="F206">
        <v>17.5</v>
      </c>
      <c r="G206">
        <v>0.8</v>
      </c>
      <c r="H206">
        <v>11</v>
      </c>
      <c r="I206">
        <v>1</v>
      </c>
      <c r="J206">
        <v>51</v>
      </c>
      <c r="L206" t="s">
        <v>309</v>
      </c>
      <c r="M206">
        <v>25</v>
      </c>
      <c r="N206">
        <v>-3.4935</v>
      </c>
      <c r="O206">
        <v>11</v>
      </c>
      <c r="P206">
        <v>12.5</v>
      </c>
      <c r="Q206">
        <v>7</v>
      </c>
      <c r="R206">
        <v>2.7287500000000002</v>
      </c>
      <c r="S206">
        <v>7</v>
      </c>
      <c r="T206">
        <v>2.9124999999999996</v>
      </c>
      <c r="U206">
        <v>6</v>
      </c>
      <c r="V206">
        <v>21.862500000000001</v>
      </c>
      <c r="W206">
        <v>30</v>
      </c>
      <c r="X206">
        <v>-2.2125000000000004</v>
      </c>
      <c r="Y206">
        <v>11</v>
      </c>
      <c r="Z206">
        <v>12.666666666666666</v>
      </c>
      <c r="AA206">
        <v>7</v>
      </c>
      <c r="AB206">
        <v>3.9262500000000005</v>
      </c>
      <c r="AC206">
        <v>6</v>
      </c>
      <c r="AD206">
        <v>2.8749999999999996</v>
      </c>
      <c r="AE206">
        <v>4</v>
      </c>
      <c r="AF206">
        <v>21.9375</v>
      </c>
      <c r="AG206">
        <v>27</v>
      </c>
      <c r="AH206">
        <v>-1.2625000000000002</v>
      </c>
      <c r="AI206">
        <v>22</v>
      </c>
      <c r="AJ206">
        <v>21</v>
      </c>
      <c r="AK206">
        <v>22</v>
      </c>
      <c r="AL206">
        <v>-1.1975000000000002</v>
      </c>
      <c r="AM206">
        <v>13</v>
      </c>
      <c r="AN206">
        <v>3.7499999999999978E-2</v>
      </c>
      <c r="AO206">
        <v>13</v>
      </c>
      <c r="AP206">
        <v>-7.5000000000000178E-2</v>
      </c>
      <c r="AQ206">
        <v>28</v>
      </c>
      <c r="AR206">
        <v>-0.95000000000000007</v>
      </c>
      <c r="AS206">
        <v>12</v>
      </c>
      <c r="AT206">
        <v>13</v>
      </c>
      <c r="AU206">
        <v>8</v>
      </c>
      <c r="AV206">
        <v>5.4912500000000035</v>
      </c>
      <c r="AW206">
        <v>12</v>
      </c>
      <c r="AX206">
        <v>5.0624999999999982</v>
      </c>
      <c r="AY206">
        <v>19</v>
      </c>
      <c r="AZ206">
        <v>-0.32499999999999996</v>
      </c>
      <c r="BA206">
        <v>9</v>
      </c>
      <c r="BB206">
        <v>7.666666666666667</v>
      </c>
      <c r="BC206">
        <v>2</v>
      </c>
      <c r="BD206">
        <v>7.3175000000000026</v>
      </c>
      <c r="BE206">
        <v>7</v>
      </c>
      <c r="BF206">
        <v>11.549999999999999</v>
      </c>
      <c r="BG206">
        <v>14</v>
      </c>
      <c r="BH206">
        <v>0.16250000000000009</v>
      </c>
      <c r="BI206">
        <v>14</v>
      </c>
      <c r="BJ206">
        <v>15.666666666666666</v>
      </c>
      <c r="BK206">
        <v>17</v>
      </c>
      <c r="BL206">
        <v>-1.0037499999999995</v>
      </c>
      <c r="BM206">
        <v>19</v>
      </c>
      <c r="BN206">
        <v>-3.5625</v>
      </c>
      <c r="BO206">
        <v>11</v>
      </c>
      <c r="BP206">
        <v>0.73750000000000004</v>
      </c>
      <c r="BQ206">
        <v>22</v>
      </c>
      <c r="BR206">
        <v>21.666666666666668</v>
      </c>
      <c r="BS206">
        <v>19</v>
      </c>
      <c r="BT206">
        <v>-0.82249999999999979</v>
      </c>
      <c r="BU206">
        <v>19</v>
      </c>
      <c r="BV206">
        <v>-2.9250000000000007</v>
      </c>
      <c r="BW206">
        <v>27</v>
      </c>
      <c r="BX206">
        <v>-1.2250000000000001</v>
      </c>
      <c r="BY206">
        <v>32</v>
      </c>
      <c r="BZ206">
        <v>30.333333333333332</v>
      </c>
      <c r="CA206">
        <v>28</v>
      </c>
      <c r="CB206">
        <v>-5.0324999999999998</v>
      </c>
      <c r="CC206">
        <v>32</v>
      </c>
      <c r="CD206">
        <v>-36.950000000000003</v>
      </c>
      <c r="CE206">
        <v>31</v>
      </c>
      <c r="CF206">
        <v>-3.6125000000000003</v>
      </c>
      <c r="CG206">
        <v>22</v>
      </c>
      <c r="CH206">
        <v>22.666666666666668</v>
      </c>
      <c r="CI206">
        <v>24</v>
      </c>
      <c r="CJ206">
        <v>-3.145</v>
      </c>
      <c r="CK206">
        <v>24</v>
      </c>
      <c r="CL206">
        <v>-10.549999999999999</v>
      </c>
      <c r="CM206">
        <v>20</v>
      </c>
      <c r="CN206">
        <v>-0.625</v>
      </c>
      <c r="CO206">
        <v>26</v>
      </c>
      <c r="CP206">
        <v>24</v>
      </c>
      <c r="CQ206">
        <v>18</v>
      </c>
      <c r="CR206">
        <v>-0.44999999999999996</v>
      </c>
      <c r="CS206">
        <v>30</v>
      </c>
      <c r="CT206">
        <v>-0.72499999999999998</v>
      </c>
      <c r="CU206">
        <v>4.1749999999999998</v>
      </c>
      <c r="CV206">
        <v>32</v>
      </c>
      <c r="CW206">
        <v>26.25</v>
      </c>
      <c r="CX206">
        <v>32</v>
      </c>
      <c r="CY206">
        <v>-0.1038318902790057</v>
      </c>
      <c r="CZ206">
        <v>31</v>
      </c>
      <c r="DA206">
        <v>-2.6467940427175533E-2</v>
      </c>
      <c r="DB206">
        <v>10</v>
      </c>
      <c r="DC206">
        <v>-4.3067765567765565E-2</v>
      </c>
      <c r="DD206">
        <v>32</v>
      </c>
      <c r="DE206">
        <v>-4.5625</v>
      </c>
      <c r="DF206">
        <v>-0.58749999999999858</v>
      </c>
      <c r="DG206">
        <v>3.8624999999999998</v>
      </c>
      <c r="DH206">
        <v>0.51250000000000007</v>
      </c>
      <c r="DI206">
        <v>-24.075000000000003</v>
      </c>
      <c r="DJ206">
        <v>-32.637500000000017</v>
      </c>
      <c r="DK206">
        <v>20.487500000000004</v>
      </c>
      <c r="DL206">
        <v>10.500000000000002</v>
      </c>
      <c r="DM206">
        <v>-22.425000000000001</v>
      </c>
      <c r="DN206">
        <v>26</v>
      </c>
      <c r="DO206">
        <v>-6.2222500000000007</v>
      </c>
      <c r="DP206">
        <v>-1.5938249999999994</v>
      </c>
      <c r="DQ206">
        <v>-53.125000000000021</v>
      </c>
      <c r="DR206">
        <v>7</v>
      </c>
      <c r="DS206">
        <v>0.14143750000000052</v>
      </c>
      <c r="DT206">
        <v>-0.95</v>
      </c>
      <c r="DU206">
        <v>0.34243749999999973</v>
      </c>
      <c r="DV206">
        <v>-1.5783750000000003</v>
      </c>
      <c r="DW206" t="s">
        <v>310</v>
      </c>
      <c r="DX206" t="s">
        <v>286</v>
      </c>
      <c r="DY206" t="s">
        <v>479</v>
      </c>
      <c r="DZ206">
        <v>8</v>
      </c>
      <c r="EA206">
        <v>3.3860000000000019</v>
      </c>
      <c r="EB206">
        <v>2</v>
      </c>
      <c r="EC206">
        <v>7.5</v>
      </c>
      <c r="ED206">
        <v>3</v>
      </c>
      <c r="EE206">
        <v>5.2099999999999991</v>
      </c>
      <c r="EF206">
        <v>5</v>
      </c>
      <c r="EG206">
        <v>3.4</v>
      </c>
      <c r="EH206">
        <v>2</v>
      </c>
      <c r="EI206">
        <v>34</v>
      </c>
      <c r="EJ206">
        <v>20</v>
      </c>
      <c r="EK206">
        <v>-0.20000000000000007</v>
      </c>
      <c r="EL206">
        <v>6</v>
      </c>
      <c r="EM206">
        <v>10</v>
      </c>
      <c r="EN206">
        <v>8</v>
      </c>
      <c r="EO206">
        <v>2.5499999999999989</v>
      </c>
      <c r="EP206">
        <v>4</v>
      </c>
      <c r="EQ206">
        <v>2.15</v>
      </c>
      <c r="ER206">
        <v>3</v>
      </c>
      <c r="ES206">
        <v>27.4</v>
      </c>
      <c r="ET206">
        <v>25</v>
      </c>
      <c r="EU206">
        <v>-0.70000000000000007</v>
      </c>
      <c r="EV206">
        <v>3</v>
      </c>
      <c r="EW206">
        <v>4.666666666666667</v>
      </c>
      <c r="EX206">
        <v>2</v>
      </c>
      <c r="EY206">
        <v>2.6599999999999997</v>
      </c>
      <c r="EZ206">
        <v>7</v>
      </c>
      <c r="FA206">
        <v>1.25</v>
      </c>
      <c r="FB206">
        <v>5</v>
      </c>
      <c r="FC206">
        <v>6.6000000000000005</v>
      </c>
      <c r="FD206">
        <v>8</v>
      </c>
      <c r="FE206">
        <v>0.5</v>
      </c>
      <c r="FF206">
        <v>3</v>
      </c>
      <c r="FG206">
        <v>4.666666666666667</v>
      </c>
      <c r="FH206">
        <v>4</v>
      </c>
      <c r="FI206">
        <v>6.339999999999999</v>
      </c>
      <c r="FJ206">
        <v>7</v>
      </c>
      <c r="FK206">
        <v>15.549999999999999</v>
      </c>
      <c r="FL206">
        <v>3</v>
      </c>
      <c r="FM206">
        <v>1.9500000000000002</v>
      </c>
      <c r="FN206">
        <v>6</v>
      </c>
      <c r="FO206">
        <v>6.666666666666667</v>
      </c>
      <c r="FP206">
        <v>11</v>
      </c>
      <c r="FQ206">
        <v>1.4200000000000004</v>
      </c>
      <c r="FR206">
        <v>3</v>
      </c>
      <c r="FS206">
        <v>16</v>
      </c>
      <c r="FT206">
        <v>6</v>
      </c>
      <c r="FU206">
        <v>1.0500000000000003</v>
      </c>
      <c r="FV206">
        <v>5</v>
      </c>
      <c r="FW206">
        <v>6.666666666666667</v>
      </c>
      <c r="FX206">
        <v>5</v>
      </c>
      <c r="FY206">
        <v>3.2649999999999988</v>
      </c>
      <c r="FZ206">
        <v>10</v>
      </c>
      <c r="GA206">
        <v>3.5</v>
      </c>
      <c r="GB206">
        <v>5</v>
      </c>
      <c r="GC206">
        <v>0.89999999999999991</v>
      </c>
      <c r="GD206">
        <v>10</v>
      </c>
      <c r="GE206">
        <v>14.333333333333334</v>
      </c>
      <c r="GF206">
        <v>8</v>
      </c>
      <c r="GG206">
        <v>1.655</v>
      </c>
      <c r="GH206">
        <v>22</v>
      </c>
      <c r="GI206">
        <v>-3.9500000000000011</v>
      </c>
      <c r="GJ206">
        <v>13</v>
      </c>
      <c r="GK206">
        <v>0</v>
      </c>
      <c r="GL206">
        <v>6</v>
      </c>
      <c r="GM206">
        <v>6.333333333333333</v>
      </c>
      <c r="GN206">
        <v>5</v>
      </c>
      <c r="GO206">
        <v>3.7600000000000011</v>
      </c>
      <c r="GP206">
        <v>7</v>
      </c>
      <c r="GQ206">
        <v>11.100000000000005</v>
      </c>
      <c r="GR206">
        <v>7</v>
      </c>
      <c r="GS206">
        <v>1.3499999999999999</v>
      </c>
      <c r="GT206">
        <v>6</v>
      </c>
      <c r="GU206">
        <v>7.333333333333333</v>
      </c>
      <c r="GV206">
        <v>4</v>
      </c>
      <c r="GW206">
        <v>3.7199999999999998</v>
      </c>
      <c r="GX206">
        <v>11</v>
      </c>
      <c r="GY206">
        <v>6.1999999999999993</v>
      </c>
      <c r="GZ206">
        <v>7</v>
      </c>
      <c r="HA206">
        <v>0.94999999999999973</v>
      </c>
      <c r="HB206">
        <v>20</v>
      </c>
      <c r="HC206">
        <v>19.5</v>
      </c>
      <c r="HD206">
        <v>19</v>
      </c>
      <c r="HE206">
        <v>-0.55000000000000004</v>
      </c>
      <c r="HF206">
        <v>20</v>
      </c>
      <c r="HG206">
        <v>-0.35</v>
      </c>
      <c r="HH206">
        <v>-2.1</v>
      </c>
      <c r="HI206">
        <v>25</v>
      </c>
      <c r="HJ206">
        <v>21</v>
      </c>
      <c r="HK206">
        <v>18</v>
      </c>
      <c r="HL206">
        <v>-2.7696330308184941E-3</v>
      </c>
      <c r="HM206">
        <v>26</v>
      </c>
      <c r="HN206">
        <v>-1.6056418797537879E-2</v>
      </c>
      <c r="HO206">
        <v>16</v>
      </c>
      <c r="HP206">
        <v>-5.5932955932955775E-3</v>
      </c>
      <c r="HQ206">
        <v>24</v>
      </c>
      <c r="HR206">
        <v>-1.55</v>
      </c>
      <c r="HS206">
        <v>4.4500000000000011</v>
      </c>
      <c r="HT206">
        <v>4.3</v>
      </c>
      <c r="HU206">
        <v>0</v>
      </c>
      <c r="HV206">
        <v>63.149999999999991</v>
      </c>
      <c r="HW206">
        <v>18.549999999999997</v>
      </c>
      <c r="HX206">
        <v>32.300000000000004</v>
      </c>
      <c r="HY206">
        <v>6.6000000000000005</v>
      </c>
      <c r="HZ206">
        <v>5.7000000000000011</v>
      </c>
      <c r="IA206">
        <v>20</v>
      </c>
      <c r="IB206">
        <v>-1.8239999999999972</v>
      </c>
      <c r="IC206">
        <v>8.4200000000000941E-2</v>
      </c>
      <c r="ID206">
        <v>-13.750000000000007</v>
      </c>
      <c r="IE206">
        <v>13</v>
      </c>
      <c r="IF206">
        <v>2.2632499999999998</v>
      </c>
      <c r="IG206">
        <v>2.9</v>
      </c>
    </row>
    <row r="207" spans="1:241" x14ac:dyDescent="0.2">
      <c r="A207" s="19">
        <v>44129</v>
      </c>
      <c r="B207" s="14" t="s">
        <v>250</v>
      </c>
      <c r="C207" s="40" t="s">
        <v>256</v>
      </c>
      <c r="D207" s="13" t="s">
        <v>302</v>
      </c>
      <c r="E207">
        <v>12.2</v>
      </c>
      <c r="F207">
        <v>20.5</v>
      </c>
      <c r="G207">
        <v>0</v>
      </c>
      <c r="H207">
        <v>10.5</v>
      </c>
      <c r="I207">
        <v>3</v>
      </c>
      <c r="J207">
        <v>44</v>
      </c>
      <c r="K207" t="s">
        <v>735</v>
      </c>
      <c r="L207" t="s">
        <v>256</v>
      </c>
      <c r="M207">
        <v>30</v>
      </c>
      <c r="N207">
        <v>-5.8304</v>
      </c>
      <c r="O207">
        <v>17</v>
      </c>
      <c r="P207">
        <v>16</v>
      </c>
      <c r="Q207">
        <v>15</v>
      </c>
      <c r="R207">
        <v>0.98399999999999999</v>
      </c>
      <c r="S207">
        <v>15</v>
      </c>
      <c r="T207">
        <v>0.72</v>
      </c>
      <c r="U207">
        <v>16</v>
      </c>
      <c r="V207">
        <v>0.91999999999999904</v>
      </c>
      <c r="W207">
        <v>18</v>
      </c>
      <c r="X207">
        <v>-0.23999999999999982</v>
      </c>
      <c r="Y207">
        <v>16</v>
      </c>
      <c r="Z207">
        <v>14</v>
      </c>
      <c r="AA207">
        <v>16</v>
      </c>
      <c r="AB207">
        <v>0.30400000000000027</v>
      </c>
      <c r="AC207">
        <v>22</v>
      </c>
      <c r="AD207">
        <v>-1.2000000000000004</v>
      </c>
      <c r="AE207">
        <v>12</v>
      </c>
      <c r="AF207">
        <v>5.8</v>
      </c>
      <c r="AG207">
        <v>14</v>
      </c>
      <c r="AH207">
        <v>0.32000000000000012</v>
      </c>
      <c r="AI207">
        <v>18</v>
      </c>
      <c r="AJ207">
        <v>17.666666666666668</v>
      </c>
      <c r="AK207">
        <v>10</v>
      </c>
      <c r="AL207">
        <v>0.67999999999999972</v>
      </c>
      <c r="AM207">
        <v>6</v>
      </c>
      <c r="AN207">
        <v>1.9200000000000004</v>
      </c>
      <c r="AO207">
        <v>21</v>
      </c>
      <c r="AP207">
        <v>-4.8800000000000008</v>
      </c>
      <c r="AQ207">
        <v>22</v>
      </c>
      <c r="AR207">
        <v>-0.55999999999999994</v>
      </c>
      <c r="AS207">
        <v>28</v>
      </c>
      <c r="AT207">
        <v>28</v>
      </c>
      <c r="AU207">
        <v>27</v>
      </c>
      <c r="AV207">
        <v>-4.8616000000000001</v>
      </c>
      <c r="AW207">
        <v>29</v>
      </c>
      <c r="AX207">
        <v>-31.040000000000003</v>
      </c>
      <c r="AY207">
        <v>28</v>
      </c>
      <c r="AZ207">
        <v>-2.8400000000000003</v>
      </c>
      <c r="BA207">
        <v>26</v>
      </c>
      <c r="BB207">
        <v>23.333333333333332</v>
      </c>
      <c r="BC207">
        <v>20</v>
      </c>
      <c r="BD207">
        <v>-0.48799999999999955</v>
      </c>
      <c r="BE207">
        <v>25</v>
      </c>
      <c r="BF207">
        <v>-10</v>
      </c>
      <c r="BG207">
        <v>25</v>
      </c>
      <c r="BH207">
        <v>-1.0400000000000003</v>
      </c>
      <c r="BI207">
        <v>27</v>
      </c>
      <c r="BJ207">
        <v>26</v>
      </c>
      <c r="BK207">
        <v>27</v>
      </c>
      <c r="BL207">
        <v>-2.992</v>
      </c>
      <c r="BM207">
        <v>27</v>
      </c>
      <c r="BN207">
        <v>-16.040000000000003</v>
      </c>
      <c r="BO207">
        <v>24</v>
      </c>
      <c r="BP207">
        <v>-1.08</v>
      </c>
      <c r="BQ207">
        <v>23</v>
      </c>
      <c r="BR207">
        <v>22.666666666666668</v>
      </c>
      <c r="BS207">
        <v>23</v>
      </c>
      <c r="BT207">
        <v>-1.3816000000000004</v>
      </c>
      <c r="BU207">
        <v>21</v>
      </c>
      <c r="BV207">
        <v>-5</v>
      </c>
      <c r="BW207">
        <v>24</v>
      </c>
      <c r="BX207">
        <v>-0.72000000000000008</v>
      </c>
      <c r="BY207">
        <v>4</v>
      </c>
      <c r="BZ207">
        <v>5.666666666666667</v>
      </c>
      <c r="CA207">
        <v>3</v>
      </c>
      <c r="CB207">
        <v>6.9759999999999991</v>
      </c>
      <c r="CC207">
        <v>3</v>
      </c>
      <c r="CD207">
        <v>26.560000000000002</v>
      </c>
      <c r="CE207">
        <v>11</v>
      </c>
      <c r="CF207">
        <v>1.1600000000000001</v>
      </c>
      <c r="CG207">
        <v>1</v>
      </c>
      <c r="CH207">
        <v>1</v>
      </c>
      <c r="CI207">
        <v>1</v>
      </c>
      <c r="CJ207">
        <v>10.5</v>
      </c>
      <c r="CK207">
        <v>1</v>
      </c>
      <c r="CL207">
        <v>42.12</v>
      </c>
      <c r="CM207">
        <v>1</v>
      </c>
      <c r="CN207">
        <v>4.32</v>
      </c>
      <c r="CO207">
        <v>20</v>
      </c>
      <c r="CP207">
        <v>21</v>
      </c>
      <c r="CQ207">
        <v>20</v>
      </c>
      <c r="CR207">
        <v>-0.79999999999999982</v>
      </c>
      <c r="CS207">
        <v>22</v>
      </c>
      <c r="CT207">
        <v>-0.28000000000000003</v>
      </c>
      <c r="CU207">
        <v>-1.8</v>
      </c>
      <c r="CV207">
        <v>13</v>
      </c>
      <c r="CW207">
        <v>15.25</v>
      </c>
      <c r="CX207">
        <v>17</v>
      </c>
      <c r="CY207">
        <v>-3.1018302782164276E-3</v>
      </c>
      <c r="CZ207">
        <v>11</v>
      </c>
      <c r="DA207">
        <v>6.3502269814248143E-3</v>
      </c>
      <c r="DB207">
        <v>21</v>
      </c>
      <c r="DC207">
        <v>1.6082029082029093E-2</v>
      </c>
      <c r="DD207">
        <v>12</v>
      </c>
      <c r="DE207">
        <v>-0.11999999999999993</v>
      </c>
      <c r="DF207">
        <v>2.3600000000000008</v>
      </c>
      <c r="DG207">
        <v>1.6800000000000004</v>
      </c>
      <c r="DH207">
        <v>-0.91999999999999993</v>
      </c>
      <c r="DI207">
        <v>20.399999999999999</v>
      </c>
      <c r="DJ207">
        <v>7.8</v>
      </c>
      <c r="DK207">
        <v>16.96</v>
      </c>
      <c r="DL207">
        <v>6.6400000000000006</v>
      </c>
      <c r="DM207">
        <v>-11</v>
      </c>
      <c r="DN207">
        <v>27</v>
      </c>
      <c r="DO207">
        <v>-6.8144</v>
      </c>
      <c r="DP207">
        <v>-0.53039999999999998</v>
      </c>
      <c r="DQ207">
        <v>-9.16</v>
      </c>
      <c r="DR207">
        <v>6</v>
      </c>
      <c r="DS207">
        <v>-1.0000000000000009E-3</v>
      </c>
      <c r="DT207">
        <v>1.48</v>
      </c>
      <c r="DU207">
        <v>-1.2971218749999998</v>
      </c>
      <c r="DV207">
        <v>-0.59239999999999982</v>
      </c>
      <c r="DW207" t="s">
        <v>302</v>
      </c>
      <c r="DX207" t="s">
        <v>292</v>
      </c>
      <c r="DY207" t="s">
        <v>464</v>
      </c>
      <c r="DZ207">
        <v>29</v>
      </c>
      <c r="EA207">
        <v>-4.8834999999999988</v>
      </c>
      <c r="EB207">
        <v>24</v>
      </c>
      <c r="EC207">
        <v>20</v>
      </c>
      <c r="ED207">
        <v>26</v>
      </c>
      <c r="EE207">
        <v>-3.6149999999999993</v>
      </c>
      <c r="EF207">
        <v>12</v>
      </c>
      <c r="EG207">
        <v>1.4500000000000004</v>
      </c>
      <c r="EH207">
        <v>12</v>
      </c>
      <c r="EI207">
        <v>5.9874999999999989</v>
      </c>
      <c r="EJ207">
        <v>30</v>
      </c>
      <c r="EK207">
        <v>-1.5874999999999999</v>
      </c>
      <c r="EL207">
        <v>20</v>
      </c>
      <c r="EM207">
        <v>19</v>
      </c>
      <c r="EN207">
        <v>22</v>
      </c>
      <c r="EO207">
        <v>-2.4699999999999993</v>
      </c>
      <c r="EP207">
        <v>12</v>
      </c>
      <c r="EQ207">
        <v>0.83750000000000036</v>
      </c>
      <c r="ER207">
        <v>10</v>
      </c>
      <c r="ES207">
        <v>5.1499999999999986</v>
      </c>
      <c r="ET207">
        <v>32</v>
      </c>
      <c r="EU207">
        <v>-1.6375</v>
      </c>
      <c r="EV207">
        <v>20</v>
      </c>
      <c r="EW207">
        <v>18.333333333333332</v>
      </c>
      <c r="EX207">
        <v>25</v>
      </c>
      <c r="EY207">
        <v>-1.1449999999999998</v>
      </c>
      <c r="EZ207">
        <v>13</v>
      </c>
      <c r="FA207">
        <v>0.61250000000000004</v>
      </c>
      <c r="FB207">
        <v>17</v>
      </c>
      <c r="FC207">
        <v>0.83749999999999991</v>
      </c>
      <c r="FD207">
        <v>15</v>
      </c>
      <c r="FE207">
        <v>4.9999999999999989E-2</v>
      </c>
      <c r="FF207">
        <v>17</v>
      </c>
      <c r="FG207">
        <v>17.333333333333332</v>
      </c>
      <c r="FH207">
        <v>17</v>
      </c>
      <c r="FI207">
        <v>-0.46625000000000183</v>
      </c>
      <c r="FJ207">
        <v>22</v>
      </c>
      <c r="FK207">
        <v>-4.9999999999999982</v>
      </c>
      <c r="FL207">
        <v>13</v>
      </c>
      <c r="FM207">
        <v>0.6875</v>
      </c>
      <c r="FN207">
        <v>13</v>
      </c>
      <c r="FO207">
        <v>14</v>
      </c>
      <c r="FP207">
        <v>13</v>
      </c>
      <c r="FQ207">
        <v>0.72124999999999928</v>
      </c>
      <c r="FR207">
        <v>17</v>
      </c>
      <c r="FS207">
        <v>-0.58749999999999858</v>
      </c>
      <c r="FT207">
        <v>12</v>
      </c>
      <c r="FU207">
        <v>0.58749999999999991</v>
      </c>
      <c r="FV207">
        <v>13</v>
      </c>
      <c r="FW207">
        <v>15.666666666666666</v>
      </c>
      <c r="FX207">
        <v>26</v>
      </c>
      <c r="FY207">
        <v>-2.912500000000001</v>
      </c>
      <c r="FZ207">
        <v>15</v>
      </c>
      <c r="GA207">
        <v>-0.22499999999999964</v>
      </c>
      <c r="GB207">
        <v>6</v>
      </c>
      <c r="GC207">
        <v>0.61250000000000004</v>
      </c>
      <c r="GD207">
        <v>20</v>
      </c>
      <c r="GE207">
        <v>18.333333333333332</v>
      </c>
      <c r="GF207">
        <v>6</v>
      </c>
      <c r="GG207">
        <v>1.7250000000000001</v>
      </c>
      <c r="GH207">
        <v>23</v>
      </c>
      <c r="GI207">
        <v>-4.1875</v>
      </c>
      <c r="GJ207">
        <v>26</v>
      </c>
      <c r="GK207">
        <v>-0.51249999999999996</v>
      </c>
      <c r="GL207">
        <v>3</v>
      </c>
      <c r="GM207">
        <v>5.333333333333333</v>
      </c>
      <c r="GN207">
        <v>6</v>
      </c>
      <c r="GO207">
        <v>3.3824999999999998</v>
      </c>
      <c r="GP207">
        <v>2</v>
      </c>
      <c r="GQ207">
        <v>21.324999999999999</v>
      </c>
      <c r="GR207">
        <v>8</v>
      </c>
      <c r="GS207">
        <v>1.2749999999999999</v>
      </c>
      <c r="GT207">
        <v>32</v>
      </c>
      <c r="GU207">
        <v>31.666666666666668</v>
      </c>
      <c r="GV207">
        <v>32</v>
      </c>
      <c r="GW207">
        <v>-8.7125000000000004</v>
      </c>
      <c r="GX207">
        <v>31</v>
      </c>
      <c r="GY207">
        <v>-24.25</v>
      </c>
      <c r="GZ207">
        <v>32</v>
      </c>
      <c r="HA207">
        <v>-3.1124999999999998</v>
      </c>
      <c r="HB207">
        <v>7</v>
      </c>
      <c r="HC207">
        <v>6.5</v>
      </c>
      <c r="HD207">
        <v>9</v>
      </c>
      <c r="HE207">
        <v>1.6625000000000001</v>
      </c>
      <c r="HF207">
        <v>4</v>
      </c>
      <c r="HG207">
        <v>0.8</v>
      </c>
      <c r="HH207">
        <v>4.3</v>
      </c>
      <c r="HI207">
        <v>24</v>
      </c>
      <c r="HJ207">
        <v>20.5</v>
      </c>
      <c r="HK207">
        <v>28</v>
      </c>
      <c r="HL207">
        <v>-5.2069023391685051E-2</v>
      </c>
      <c r="HM207">
        <v>18</v>
      </c>
      <c r="HN207">
        <v>-5.4924810918416701E-3</v>
      </c>
      <c r="HO207">
        <v>28</v>
      </c>
      <c r="HP207">
        <v>8.3023135490240763E-2</v>
      </c>
      <c r="HQ207">
        <v>8</v>
      </c>
      <c r="HR207">
        <v>1.5125</v>
      </c>
      <c r="HS207">
        <v>-6.6625000000000014</v>
      </c>
      <c r="HT207">
        <v>-4.45</v>
      </c>
      <c r="HU207">
        <v>1.2749999999999999</v>
      </c>
      <c r="HV207">
        <v>-46.862499999999997</v>
      </c>
      <c r="HW207">
        <v>-38.337500000000006</v>
      </c>
      <c r="HX207">
        <v>-6.4250000000000007</v>
      </c>
      <c r="HY207">
        <v>-1.6</v>
      </c>
      <c r="HZ207">
        <v>-0.5</v>
      </c>
      <c r="IA207">
        <v>19</v>
      </c>
      <c r="IB207">
        <v>-1.2684999999999995</v>
      </c>
      <c r="IC207">
        <v>-1.0049500000000005</v>
      </c>
      <c r="ID207">
        <v>-31.912500000000005</v>
      </c>
      <c r="IE207">
        <v>14</v>
      </c>
      <c r="IF207">
        <v>-2.0018437499999999</v>
      </c>
      <c r="IG207">
        <v>-2.4249999999999998</v>
      </c>
    </row>
    <row r="208" spans="1:241" x14ac:dyDescent="0.2">
      <c r="A208" s="19">
        <v>44129</v>
      </c>
      <c r="B208" s="13" t="s">
        <v>250</v>
      </c>
      <c r="C208" s="41" t="s">
        <v>308</v>
      </c>
      <c r="D208" s="14" t="s">
        <v>285</v>
      </c>
      <c r="E208">
        <v>56</v>
      </c>
      <c r="F208">
        <v>4.3</v>
      </c>
      <c r="G208">
        <v>8.8000000000000007</v>
      </c>
      <c r="H208">
        <v>3.8</v>
      </c>
      <c r="I208">
        <v>-3.5</v>
      </c>
      <c r="J208">
        <v>55</v>
      </c>
      <c r="K208" t="s">
        <v>734</v>
      </c>
      <c r="L208" t="s">
        <v>308</v>
      </c>
      <c r="M208">
        <v>1</v>
      </c>
      <c r="N208">
        <v>10.1965</v>
      </c>
      <c r="O208">
        <v>21</v>
      </c>
      <c r="P208">
        <v>19</v>
      </c>
      <c r="Q208">
        <v>11</v>
      </c>
      <c r="R208">
        <v>1.9200000000000019</v>
      </c>
      <c r="S208">
        <v>29</v>
      </c>
      <c r="T208">
        <v>-3.6875000000000004</v>
      </c>
      <c r="U208">
        <v>26</v>
      </c>
      <c r="V208">
        <v>-17.650000000000002</v>
      </c>
      <c r="W208">
        <v>10</v>
      </c>
      <c r="X208">
        <v>0.64999999999999991</v>
      </c>
      <c r="Y208">
        <v>15</v>
      </c>
      <c r="Z208">
        <v>13.666666666666666</v>
      </c>
      <c r="AA208">
        <v>12</v>
      </c>
      <c r="AB208">
        <v>1.9637500000000023</v>
      </c>
      <c r="AC208">
        <v>27</v>
      </c>
      <c r="AD208">
        <v>-2.6500000000000004</v>
      </c>
      <c r="AE208">
        <v>23</v>
      </c>
      <c r="AF208">
        <v>-8.2500000000000018</v>
      </c>
      <c r="AG208">
        <v>6</v>
      </c>
      <c r="AH208">
        <v>1.2749999999999999</v>
      </c>
      <c r="AI208">
        <v>25</v>
      </c>
      <c r="AJ208">
        <v>22</v>
      </c>
      <c r="AK208">
        <v>14</v>
      </c>
      <c r="AL208">
        <v>-4.37500000000004E-2</v>
      </c>
      <c r="AM208">
        <v>21</v>
      </c>
      <c r="AN208">
        <v>-1.0375000000000001</v>
      </c>
      <c r="AO208">
        <v>29</v>
      </c>
      <c r="AP208">
        <v>-9.4</v>
      </c>
      <c r="AQ208">
        <v>23</v>
      </c>
      <c r="AR208">
        <v>-0.625</v>
      </c>
      <c r="AS208">
        <v>8</v>
      </c>
      <c r="AT208">
        <v>8.6666666666666661</v>
      </c>
      <c r="AU208">
        <v>3</v>
      </c>
      <c r="AV208">
        <v>8.6010000000000009</v>
      </c>
      <c r="AW208">
        <v>5</v>
      </c>
      <c r="AX208">
        <v>28.475000000000001</v>
      </c>
      <c r="AY208">
        <v>18</v>
      </c>
      <c r="AZ208">
        <v>0</v>
      </c>
      <c r="BA208">
        <v>15</v>
      </c>
      <c r="BB208">
        <v>16.666666666666668</v>
      </c>
      <c r="BC208">
        <v>11</v>
      </c>
      <c r="BD208">
        <v>1.2837499999999995</v>
      </c>
      <c r="BE208">
        <v>22</v>
      </c>
      <c r="BF208">
        <v>-7.1875000000000018</v>
      </c>
      <c r="BG208">
        <v>17</v>
      </c>
      <c r="BH208">
        <v>-0.30000000000000027</v>
      </c>
      <c r="BI208">
        <v>2</v>
      </c>
      <c r="BJ208">
        <v>3</v>
      </c>
      <c r="BK208">
        <v>2</v>
      </c>
      <c r="BL208">
        <v>6.2160000000000011</v>
      </c>
      <c r="BM208">
        <v>2</v>
      </c>
      <c r="BN208">
        <v>30.4</v>
      </c>
      <c r="BO208">
        <v>5</v>
      </c>
      <c r="BP208">
        <v>1.5999999999999999</v>
      </c>
      <c r="BQ208">
        <v>17</v>
      </c>
      <c r="BR208">
        <v>17</v>
      </c>
      <c r="BS208">
        <v>11</v>
      </c>
      <c r="BT208">
        <v>1.1012499999999996</v>
      </c>
      <c r="BU208">
        <v>12</v>
      </c>
      <c r="BV208">
        <v>5.2625000000000011</v>
      </c>
      <c r="BW208">
        <v>28</v>
      </c>
      <c r="BX208">
        <v>-1.3</v>
      </c>
      <c r="BY208">
        <v>10</v>
      </c>
      <c r="BZ208">
        <v>11</v>
      </c>
      <c r="CA208">
        <v>11</v>
      </c>
      <c r="CB208">
        <v>1.5274999999999999</v>
      </c>
      <c r="CC208">
        <v>8</v>
      </c>
      <c r="CD208">
        <v>11.024999999999999</v>
      </c>
      <c r="CE208">
        <v>14</v>
      </c>
      <c r="CF208">
        <v>0.16250000000000053</v>
      </c>
      <c r="CG208">
        <v>20</v>
      </c>
      <c r="CH208">
        <v>20</v>
      </c>
      <c r="CI208">
        <v>17</v>
      </c>
      <c r="CJ208">
        <v>-1.2875000000000001</v>
      </c>
      <c r="CK208">
        <v>22</v>
      </c>
      <c r="CL208">
        <v>-10.049999999999999</v>
      </c>
      <c r="CM208">
        <v>21</v>
      </c>
      <c r="CN208">
        <v>-0.8125</v>
      </c>
      <c r="CO208">
        <v>32</v>
      </c>
      <c r="CP208">
        <v>32</v>
      </c>
      <c r="CQ208">
        <v>32</v>
      </c>
      <c r="CR208">
        <v>-5.3999999999999995</v>
      </c>
      <c r="CS208">
        <v>32</v>
      </c>
      <c r="CT208">
        <v>-2.0375000000000001</v>
      </c>
      <c r="CU208">
        <v>-0.7</v>
      </c>
      <c r="CV208">
        <v>11</v>
      </c>
      <c r="CW208">
        <v>14</v>
      </c>
      <c r="CX208">
        <v>5</v>
      </c>
      <c r="CY208">
        <v>4.7225842528311218E-2</v>
      </c>
      <c r="CZ208">
        <v>7</v>
      </c>
      <c r="DA208">
        <v>1.4290764183269192E-2</v>
      </c>
      <c r="DB208">
        <v>24</v>
      </c>
      <c r="DC208">
        <v>3.3295454545454517E-2</v>
      </c>
      <c r="DD208">
        <v>20</v>
      </c>
      <c r="DE208">
        <v>-1.0000000000000002</v>
      </c>
      <c r="DF208">
        <v>-2.625</v>
      </c>
      <c r="DG208">
        <v>5.1000000000000014</v>
      </c>
      <c r="DH208">
        <v>-0.38750000000000001</v>
      </c>
      <c r="DI208">
        <v>8.9625000000000057</v>
      </c>
      <c r="DJ208">
        <v>34.475000000000001</v>
      </c>
      <c r="DK208">
        <v>-34.1</v>
      </c>
      <c r="DL208">
        <v>-5.4624999999999995</v>
      </c>
      <c r="DM208">
        <v>14.05</v>
      </c>
      <c r="DN208">
        <v>5</v>
      </c>
      <c r="DO208">
        <v>8.2764999999999986</v>
      </c>
      <c r="DP208">
        <v>2.5419999999999989</v>
      </c>
      <c r="DQ208">
        <v>68.575000000000003</v>
      </c>
      <c r="DR208">
        <v>28</v>
      </c>
      <c r="DS208">
        <v>1.7537500000000001</v>
      </c>
      <c r="DT208">
        <v>-0.81250000000000044</v>
      </c>
      <c r="DU208">
        <v>0.56882812500000024</v>
      </c>
      <c r="DV208">
        <v>1.9287812500000003</v>
      </c>
      <c r="DW208" t="s">
        <v>285</v>
      </c>
      <c r="DX208" t="s">
        <v>249</v>
      </c>
      <c r="DY208" t="s">
        <v>452</v>
      </c>
      <c r="DZ208">
        <v>19</v>
      </c>
      <c r="EA208">
        <v>-1.942400000000001</v>
      </c>
      <c r="EB208">
        <v>15</v>
      </c>
      <c r="EC208">
        <v>15.75</v>
      </c>
      <c r="ED208">
        <v>25</v>
      </c>
      <c r="EE208">
        <v>-3.5079999999999991</v>
      </c>
      <c r="EF208">
        <v>1</v>
      </c>
      <c r="EG208">
        <v>4.34</v>
      </c>
      <c r="EH208">
        <v>5</v>
      </c>
      <c r="EI208">
        <v>25.15</v>
      </c>
      <c r="EJ208">
        <v>32</v>
      </c>
      <c r="EK208">
        <v>-2.0700000000000003</v>
      </c>
      <c r="EL208">
        <v>17</v>
      </c>
      <c r="EM208">
        <v>16.25</v>
      </c>
      <c r="EN208">
        <v>23</v>
      </c>
      <c r="EO208">
        <v>-2.5419999999999994</v>
      </c>
      <c r="EP208">
        <v>11</v>
      </c>
      <c r="EQ208">
        <v>0.93</v>
      </c>
      <c r="ER208">
        <v>8</v>
      </c>
      <c r="ES208">
        <v>7.25</v>
      </c>
      <c r="ET208">
        <v>23</v>
      </c>
      <c r="EU208">
        <v>-0.6399999999999999</v>
      </c>
      <c r="EV208">
        <v>7</v>
      </c>
      <c r="EW208">
        <v>8.6666666666666661</v>
      </c>
      <c r="EX208">
        <v>23</v>
      </c>
      <c r="EY208">
        <v>-0.96599999999999986</v>
      </c>
      <c r="EZ208">
        <v>2</v>
      </c>
      <c r="FA208">
        <v>3.41</v>
      </c>
      <c r="FB208">
        <v>1</v>
      </c>
      <c r="FC208">
        <v>17.899999999999999</v>
      </c>
      <c r="FD208">
        <v>32</v>
      </c>
      <c r="FE208">
        <v>-1.4300000000000002</v>
      </c>
      <c r="FF208">
        <v>17</v>
      </c>
      <c r="FG208">
        <v>17.333333333333332</v>
      </c>
      <c r="FH208">
        <v>20</v>
      </c>
      <c r="FI208">
        <v>-0.67959999999999887</v>
      </c>
      <c r="FJ208">
        <v>18</v>
      </c>
      <c r="FK208">
        <v>-2.4800000000000066</v>
      </c>
      <c r="FL208">
        <v>14</v>
      </c>
      <c r="FM208">
        <v>0.6</v>
      </c>
      <c r="FN208">
        <v>4</v>
      </c>
      <c r="FO208">
        <v>6</v>
      </c>
      <c r="FP208">
        <v>3</v>
      </c>
      <c r="FQ208">
        <v>4.9949999999999992</v>
      </c>
      <c r="FR208">
        <v>4</v>
      </c>
      <c r="FS208">
        <v>15.209999999999997</v>
      </c>
      <c r="FT208">
        <v>11</v>
      </c>
      <c r="FU208">
        <v>0.6100000000000001</v>
      </c>
      <c r="FV208">
        <v>27</v>
      </c>
      <c r="FW208">
        <v>24</v>
      </c>
      <c r="FX208">
        <v>30</v>
      </c>
      <c r="FY208">
        <v>-3.7779999999999987</v>
      </c>
      <c r="FZ208">
        <v>30</v>
      </c>
      <c r="GA208">
        <v>-14.840000000000003</v>
      </c>
      <c r="GB208">
        <v>12</v>
      </c>
      <c r="GC208">
        <v>0.36999999999999994</v>
      </c>
      <c r="GD208">
        <v>27</v>
      </c>
      <c r="GE208">
        <v>24.333333333333332</v>
      </c>
      <c r="GF208">
        <v>29</v>
      </c>
      <c r="GG208">
        <v>-1.8965999999999994</v>
      </c>
      <c r="GH208">
        <v>20</v>
      </c>
      <c r="GI208">
        <v>-2.8500000000000005</v>
      </c>
      <c r="GJ208">
        <v>24</v>
      </c>
      <c r="GK208">
        <v>-0.38</v>
      </c>
      <c r="GL208">
        <v>9</v>
      </c>
      <c r="GM208">
        <v>7.666666666666667</v>
      </c>
      <c r="GN208">
        <v>8</v>
      </c>
      <c r="GO208">
        <v>2.6760000000000006</v>
      </c>
      <c r="GP208">
        <v>10</v>
      </c>
      <c r="GQ208">
        <v>9.9599999999999973</v>
      </c>
      <c r="GR208">
        <v>5</v>
      </c>
      <c r="GS208">
        <v>1.56</v>
      </c>
      <c r="GT208">
        <v>12</v>
      </c>
      <c r="GU208">
        <v>11.333333333333334</v>
      </c>
      <c r="GV208">
        <v>15</v>
      </c>
      <c r="GW208">
        <v>0.57100000000000029</v>
      </c>
      <c r="GX208">
        <v>15</v>
      </c>
      <c r="GY208">
        <v>3.1100000000000008</v>
      </c>
      <c r="GZ208">
        <v>4</v>
      </c>
      <c r="HA208">
        <v>1.3599999999999999</v>
      </c>
      <c r="HB208">
        <v>17</v>
      </c>
      <c r="HC208">
        <v>17</v>
      </c>
      <c r="HD208">
        <v>21</v>
      </c>
      <c r="HE208">
        <v>-0.7699999999999998</v>
      </c>
      <c r="HF208">
        <v>13</v>
      </c>
      <c r="HG208">
        <v>3.9999999999999994E-2</v>
      </c>
      <c r="HH208">
        <v>-0.37999999999999989</v>
      </c>
      <c r="HI208">
        <v>26</v>
      </c>
      <c r="HJ208">
        <v>21.75</v>
      </c>
      <c r="HK208">
        <v>24</v>
      </c>
      <c r="HL208">
        <v>-2.0005437026180184E-2</v>
      </c>
      <c r="HM208">
        <v>15</v>
      </c>
      <c r="HN208">
        <v>-2.7280392043340556E-3</v>
      </c>
      <c r="HO208">
        <v>26</v>
      </c>
      <c r="HP208">
        <v>6.2317821067821119E-2</v>
      </c>
      <c r="HQ208">
        <v>22</v>
      </c>
      <c r="HR208">
        <v>-1.4100000000000001</v>
      </c>
      <c r="HS208">
        <v>1.5799999999999996</v>
      </c>
      <c r="HT208">
        <v>-3.1700000000000004</v>
      </c>
      <c r="HU208">
        <v>-0.55999999999999994</v>
      </c>
      <c r="HV208">
        <v>-6.7200000000000157</v>
      </c>
      <c r="HW208">
        <v>-21.149999999999995</v>
      </c>
      <c r="HX208">
        <v>20.200000000000003</v>
      </c>
      <c r="HY208">
        <v>-3.29</v>
      </c>
      <c r="HZ208">
        <v>-2.4799999999999995</v>
      </c>
      <c r="IA208">
        <v>12</v>
      </c>
      <c r="IB208">
        <v>1.5655999999999981</v>
      </c>
      <c r="IC208">
        <v>1.3437999999999997</v>
      </c>
      <c r="ID208">
        <v>-41.349999999999994</v>
      </c>
      <c r="IE208">
        <v>21</v>
      </c>
      <c r="IF208">
        <v>-0.79112499999999986</v>
      </c>
      <c r="IG208">
        <v>1.96</v>
      </c>
    </row>
    <row r="209" spans="1:241" x14ac:dyDescent="0.2">
      <c r="A209" s="19">
        <v>44129</v>
      </c>
      <c r="B209" s="13" t="s">
        <v>250</v>
      </c>
      <c r="C209" s="41" t="s">
        <v>284</v>
      </c>
      <c r="D209" s="14" t="s">
        <v>303</v>
      </c>
      <c r="E209">
        <v>23.8</v>
      </c>
      <c r="F209">
        <v>5.7</v>
      </c>
      <c r="G209">
        <v>25.9</v>
      </c>
      <c r="H209">
        <v>17.2</v>
      </c>
      <c r="I209">
        <v>-4</v>
      </c>
      <c r="J209">
        <v>52.5</v>
      </c>
      <c r="L209" t="s">
        <v>284</v>
      </c>
      <c r="M209">
        <v>14</v>
      </c>
      <c r="N209">
        <v>0.49580000000000091</v>
      </c>
      <c r="O209">
        <v>3</v>
      </c>
      <c r="P209">
        <v>7.5</v>
      </c>
      <c r="Q209">
        <v>6</v>
      </c>
      <c r="R209">
        <v>3.2030000000000007</v>
      </c>
      <c r="S209">
        <v>5</v>
      </c>
      <c r="T209">
        <v>3.41</v>
      </c>
      <c r="U209">
        <v>3</v>
      </c>
      <c r="V209">
        <v>31.200000000000003</v>
      </c>
      <c r="W209">
        <v>16</v>
      </c>
      <c r="X209">
        <v>-0.15000000000000008</v>
      </c>
      <c r="Y209">
        <v>6</v>
      </c>
      <c r="Z209">
        <v>10</v>
      </c>
      <c r="AA209">
        <v>9</v>
      </c>
      <c r="AB209">
        <v>2.9780000000000006</v>
      </c>
      <c r="AC209">
        <v>5</v>
      </c>
      <c r="AD209">
        <v>3.5100000000000002</v>
      </c>
      <c r="AE209">
        <v>1</v>
      </c>
      <c r="AF209">
        <v>34.270000000000003</v>
      </c>
      <c r="AG209">
        <v>20</v>
      </c>
      <c r="AH209">
        <v>-0.43000000000000005</v>
      </c>
      <c r="AI209">
        <v>16</v>
      </c>
      <c r="AJ209">
        <v>14.333333333333334</v>
      </c>
      <c r="AK209">
        <v>12</v>
      </c>
      <c r="AL209">
        <v>0.22499999999999992</v>
      </c>
      <c r="AM209">
        <v>15</v>
      </c>
      <c r="AN209">
        <v>-0.1</v>
      </c>
      <c r="AO209">
        <v>19</v>
      </c>
      <c r="AP209">
        <v>-3.0699999999999994</v>
      </c>
      <c r="AQ209">
        <v>12</v>
      </c>
      <c r="AR209">
        <v>0.27999999999999997</v>
      </c>
      <c r="AS209">
        <v>13</v>
      </c>
      <c r="AT209">
        <v>13.666666666666666</v>
      </c>
      <c r="AU209">
        <v>7</v>
      </c>
      <c r="AV209">
        <v>5.6039999999999992</v>
      </c>
      <c r="AW209">
        <v>11</v>
      </c>
      <c r="AX209">
        <v>9.3099999999999987</v>
      </c>
      <c r="AY209">
        <v>23</v>
      </c>
      <c r="AZ209">
        <v>-1.8400000000000003</v>
      </c>
      <c r="BA209">
        <v>16</v>
      </c>
      <c r="BB209">
        <v>18.333333333333332</v>
      </c>
      <c r="BC209">
        <v>9</v>
      </c>
      <c r="BD209">
        <v>1.7019999999999993</v>
      </c>
      <c r="BE209">
        <v>16</v>
      </c>
      <c r="BF209">
        <v>0.20999999999999944</v>
      </c>
      <c r="BG209">
        <v>30</v>
      </c>
      <c r="BH209">
        <v>-1.3</v>
      </c>
      <c r="BI209">
        <v>18</v>
      </c>
      <c r="BJ209">
        <v>16.666666666666668</v>
      </c>
      <c r="BK209">
        <v>11</v>
      </c>
      <c r="BL209">
        <v>1.7230000000000001</v>
      </c>
      <c r="BM209">
        <v>14</v>
      </c>
      <c r="BN209">
        <v>-1.9199999999999995</v>
      </c>
      <c r="BO209">
        <v>25</v>
      </c>
      <c r="BP209">
        <v>-1.1400000000000001</v>
      </c>
      <c r="BQ209">
        <v>7</v>
      </c>
      <c r="BR209">
        <v>8</v>
      </c>
      <c r="BS209">
        <v>8</v>
      </c>
      <c r="BT209">
        <v>2.1789999999999994</v>
      </c>
      <c r="BU209">
        <v>7</v>
      </c>
      <c r="BV209">
        <v>11.02</v>
      </c>
      <c r="BW209">
        <v>9</v>
      </c>
      <c r="BX209">
        <v>0.6</v>
      </c>
      <c r="BY209">
        <v>15</v>
      </c>
      <c r="BZ209">
        <v>13.666666666666666</v>
      </c>
      <c r="CA209">
        <v>10</v>
      </c>
      <c r="CB209">
        <v>2.2849999999999997</v>
      </c>
      <c r="CC209">
        <v>9</v>
      </c>
      <c r="CD209">
        <v>10.450000000000001</v>
      </c>
      <c r="CE209">
        <v>22</v>
      </c>
      <c r="CF209">
        <v>-0.80000000000000016</v>
      </c>
      <c r="CG209">
        <v>9</v>
      </c>
      <c r="CH209">
        <v>10</v>
      </c>
      <c r="CI209">
        <v>10</v>
      </c>
      <c r="CJ209">
        <v>1.9469999999999998</v>
      </c>
      <c r="CK209">
        <v>11</v>
      </c>
      <c r="CL209">
        <v>8.870000000000001</v>
      </c>
      <c r="CM209">
        <v>9</v>
      </c>
      <c r="CN209">
        <v>0.88000000000000012</v>
      </c>
      <c r="CO209">
        <v>23</v>
      </c>
      <c r="CP209">
        <v>22</v>
      </c>
      <c r="CQ209">
        <v>17</v>
      </c>
      <c r="CR209">
        <v>-0.2299999999999997</v>
      </c>
      <c r="CS209">
        <v>27</v>
      </c>
      <c r="CT209">
        <v>-0.49000000000000005</v>
      </c>
      <c r="CU209">
        <v>6.04</v>
      </c>
      <c r="CV209">
        <v>30</v>
      </c>
      <c r="CW209">
        <v>23.25</v>
      </c>
      <c r="CX209">
        <v>29</v>
      </c>
      <c r="CY209">
        <v>-7.4770732601855308E-2</v>
      </c>
      <c r="CZ209">
        <v>32</v>
      </c>
      <c r="DA209">
        <v>-2.8767549255843784E-2</v>
      </c>
      <c r="DB209">
        <v>3</v>
      </c>
      <c r="DC209">
        <v>-0.11177672735760966</v>
      </c>
      <c r="DD209">
        <v>29</v>
      </c>
      <c r="DE209">
        <v>-2.2600000000000002</v>
      </c>
      <c r="DF209">
        <v>1.5299999999999983</v>
      </c>
      <c r="DG209">
        <v>6.35</v>
      </c>
      <c r="DH209">
        <v>0.9</v>
      </c>
      <c r="DI209">
        <v>13.329999999999995</v>
      </c>
      <c r="DJ209">
        <v>9.4699999999999989</v>
      </c>
      <c r="DK209">
        <v>24.560000000000002</v>
      </c>
      <c r="DL209">
        <v>-1.25</v>
      </c>
      <c r="DM209">
        <v>-19.45</v>
      </c>
      <c r="DN209">
        <v>21</v>
      </c>
      <c r="DO209">
        <v>-2.7071999999999998</v>
      </c>
      <c r="DP209">
        <v>7.859999999999534E-3</v>
      </c>
      <c r="DQ209">
        <v>-15.090000000000003</v>
      </c>
      <c r="DR209">
        <v>12</v>
      </c>
      <c r="DS209">
        <v>1.377475</v>
      </c>
      <c r="DT209">
        <v>-0.96000000000000019</v>
      </c>
      <c r="DU209">
        <v>-1.0976749999999997</v>
      </c>
      <c r="DV209">
        <v>-1.8460999999999999</v>
      </c>
      <c r="DW209" t="s">
        <v>303</v>
      </c>
      <c r="DX209" t="s">
        <v>247</v>
      </c>
      <c r="DY209" t="s">
        <v>510</v>
      </c>
      <c r="DZ209">
        <v>23</v>
      </c>
      <c r="EA209">
        <v>-2.4639999999999995</v>
      </c>
      <c r="EB209">
        <v>6</v>
      </c>
      <c r="EC209">
        <v>11.5</v>
      </c>
      <c r="ED209">
        <v>4</v>
      </c>
      <c r="EE209">
        <v>4.7350000000000003</v>
      </c>
      <c r="EF209">
        <v>27</v>
      </c>
      <c r="EG209">
        <v>-2.7999999999999994</v>
      </c>
      <c r="EH209">
        <v>14</v>
      </c>
      <c r="EI209">
        <v>3.625</v>
      </c>
      <c r="EJ209">
        <v>1</v>
      </c>
      <c r="EK209">
        <v>2.7375000000000003</v>
      </c>
      <c r="EL209">
        <v>3</v>
      </c>
      <c r="EM209">
        <v>7.75</v>
      </c>
      <c r="EN209">
        <v>3</v>
      </c>
      <c r="EO209">
        <v>5.2124999999999995</v>
      </c>
      <c r="EP209">
        <v>13</v>
      </c>
      <c r="EQ209">
        <v>0.23750000000000027</v>
      </c>
      <c r="ER209">
        <v>13</v>
      </c>
      <c r="ES209">
        <v>2.8249999999999993</v>
      </c>
      <c r="ET209">
        <v>2</v>
      </c>
      <c r="EU209">
        <v>1.8875000000000002</v>
      </c>
      <c r="EV209">
        <v>24</v>
      </c>
      <c r="EW209">
        <v>23.333333333333332</v>
      </c>
      <c r="EX209">
        <v>20</v>
      </c>
      <c r="EY209">
        <v>-0.47749999999999937</v>
      </c>
      <c r="EZ209">
        <v>32</v>
      </c>
      <c r="FA209">
        <v>-3.0374999999999996</v>
      </c>
      <c r="FB209">
        <v>18</v>
      </c>
      <c r="FC209">
        <v>0.80000000000000071</v>
      </c>
      <c r="FD209">
        <v>5</v>
      </c>
      <c r="FE209">
        <v>0.85000000000000009</v>
      </c>
      <c r="FF209">
        <v>31</v>
      </c>
      <c r="FG209">
        <v>30.333333333333332</v>
      </c>
      <c r="FH209">
        <v>29</v>
      </c>
      <c r="FI209">
        <v>-6.375</v>
      </c>
      <c r="FJ209">
        <v>30</v>
      </c>
      <c r="FK209">
        <v>-27.162500000000001</v>
      </c>
      <c r="FL209">
        <v>32</v>
      </c>
      <c r="FM209">
        <v>-4.375</v>
      </c>
      <c r="FN209">
        <v>25</v>
      </c>
      <c r="FO209">
        <v>24.333333333333332</v>
      </c>
      <c r="FP209">
        <v>26</v>
      </c>
      <c r="FQ209">
        <v>-3.0124999999999993</v>
      </c>
      <c r="FR209">
        <v>20</v>
      </c>
      <c r="FS209">
        <v>-5.0999999999999979</v>
      </c>
      <c r="FT209">
        <v>27</v>
      </c>
      <c r="FU209">
        <v>-1.2875000000000001</v>
      </c>
      <c r="FV209">
        <v>32</v>
      </c>
      <c r="FW209">
        <v>31.666666666666668</v>
      </c>
      <c r="FX209">
        <v>31</v>
      </c>
      <c r="FY209">
        <v>-4.0662500000000001</v>
      </c>
      <c r="FZ209">
        <v>32</v>
      </c>
      <c r="GA209">
        <v>-22.262500000000003</v>
      </c>
      <c r="GB209">
        <v>32</v>
      </c>
      <c r="GC209">
        <v>-2.5625</v>
      </c>
      <c r="GD209">
        <v>19</v>
      </c>
      <c r="GE209">
        <v>17.333333333333332</v>
      </c>
      <c r="GF209">
        <v>12</v>
      </c>
      <c r="GG209">
        <v>0.70374999999999976</v>
      </c>
      <c r="GH209">
        <v>13</v>
      </c>
      <c r="GI209">
        <v>0.19999999999999929</v>
      </c>
      <c r="GJ209">
        <v>27</v>
      </c>
      <c r="GK209">
        <v>-0.52499999999999991</v>
      </c>
      <c r="GL209">
        <v>28</v>
      </c>
      <c r="GM209">
        <v>26.666666666666668</v>
      </c>
      <c r="GN209">
        <v>26</v>
      </c>
      <c r="GO209">
        <v>-2.1449999999999996</v>
      </c>
      <c r="GP209">
        <v>25</v>
      </c>
      <c r="GQ209">
        <v>-9.8249999999999993</v>
      </c>
      <c r="GR209">
        <v>29</v>
      </c>
      <c r="GS209">
        <v>-1.4875000000000003</v>
      </c>
      <c r="GT209">
        <v>13</v>
      </c>
      <c r="GU209">
        <v>12.333333333333334</v>
      </c>
      <c r="GV209">
        <v>11</v>
      </c>
      <c r="GW209">
        <v>1.3600000000000003</v>
      </c>
      <c r="GX209">
        <v>17</v>
      </c>
      <c r="GY209">
        <v>-1.0250000000000004</v>
      </c>
      <c r="GZ209">
        <v>9</v>
      </c>
      <c r="HA209">
        <v>0.83750000000000013</v>
      </c>
      <c r="HB209">
        <v>14</v>
      </c>
      <c r="HC209">
        <v>15</v>
      </c>
      <c r="HD209">
        <v>14</v>
      </c>
      <c r="HE209">
        <v>-4.9999999999999822E-2</v>
      </c>
      <c r="HF209">
        <v>16</v>
      </c>
      <c r="HG209">
        <v>-0.13750000000000001</v>
      </c>
      <c r="HH209">
        <v>1.2000000000000002</v>
      </c>
      <c r="HI209">
        <v>22</v>
      </c>
      <c r="HJ209">
        <v>19.5</v>
      </c>
      <c r="HK209">
        <v>21</v>
      </c>
      <c r="HL209">
        <v>-1.4053749122725091E-2</v>
      </c>
      <c r="HM209">
        <v>17</v>
      </c>
      <c r="HN209">
        <v>-4.5876361474709399E-3</v>
      </c>
      <c r="HO209">
        <v>12</v>
      </c>
      <c r="HP209">
        <v>-2.5894938394938366E-2</v>
      </c>
      <c r="HQ209">
        <v>28</v>
      </c>
      <c r="HR209">
        <v>-2.65</v>
      </c>
      <c r="HS209">
        <v>-2.0375000000000014</v>
      </c>
      <c r="HT209">
        <v>3.5374999999999996</v>
      </c>
      <c r="HU209">
        <v>0.52500000000000002</v>
      </c>
      <c r="HV209">
        <v>0.13750000000000284</v>
      </c>
      <c r="HW209">
        <v>0.23749999999999716</v>
      </c>
      <c r="HX209">
        <v>4.8374999999999986</v>
      </c>
      <c r="HY209">
        <v>5.8624999999999998</v>
      </c>
      <c r="HZ209">
        <v>-10.8</v>
      </c>
      <c r="IA209">
        <v>29</v>
      </c>
      <c r="IB209">
        <v>-7.1989999999999998</v>
      </c>
      <c r="IC209">
        <v>-3.8632999999999997</v>
      </c>
      <c r="ID209">
        <v>-4.6000000000000014</v>
      </c>
      <c r="IE209">
        <v>4</v>
      </c>
      <c r="IF209">
        <v>-0.34924999999999984</v>
      </c>
      <c r="IG209">
        <v>-3.5374999999999996</v>
      </c>
    </row>
    <row r="210" spans="1:241" x14ac:dyDescent="0.2">
      <c r="A210" s="19">
        <v>44129</v>
      </c>
      <c r="B210" s="13" t="s">
        <v>250</v>
      </c>
      <c r="C210" s="41" t="s">
        <v>310</v>
      </c>
      <c r="D210" s="14" t="s">
        <v>309</v>
      </c>
      <c r="E210">
        <v>30.3</v>
      </c>
      <c r="F210">
        <v>15.5</v>
      </c>
      <c r="G210">
        <v>2.9</v>
      </c>
      <c r="H210">
        <v>1.9</v>
      </c>
      <c r="I210">
        <v>-1</v>
      </c>
      <c r="J210">
        <v>51</v>
      </c>
      <c r="L210" t="s">
        <v>310</v>
      </c>
      <c r="M210">
        <v>7</v>
      </c>
      <c r="N210">
        <v>3.8059999999999992</v>
      </c>
      <c r="O210">
        <v>9</v>
      </c>
      <c r="P210">
        <v>12.25</v>
      </c>
      <c r="Q210">
        <v>10</v>
      </c>
      <c r="R210">
        <v>2.4249999999999998</v>
      </c>
      <c r="S210">
        <v>8</v>
      </c>
      <c r="T210">
        <v>2.75</v>
      </c>
      <c r="U210">
        <v>5</v>
      </c>
      <c r="V210">
        <v>23.45</v>
      </c>
      <c r="W210">
        <v>26</v>
      </c>
      <c r="X210">
        <v>-1.1000000000000001</v>
      </c>
      <c r="Y210">
        <v>7</v>
      </c>
      <c r="Z210">
        <v>11.333333333333334</v>
      </c>
      <c r="AA210">
        <v>6</v>
      </c>
      <c r="AB210">
        <v>4.09</v>
      </c>
      <c r="AC210">
        <v>1</v>
      </c>
      <c r="AD210">
        <v>4.25</v>
      </c>
      <c r="AE210">
        <v>3</v>
      </c>
      <c r="AF210">
        <v>24.25</v>
      </c>
      <c r="AG210">
        <v>25</v>
      </c>
      <c r="AH210">
        <v>-1.1000000000000001</v>
      </c>
      <c r="AI210">
        <v>19</v>
      </c>
      <c r="AJ210">
        <v>18.333333333333332</v>
      </c>
      <c r="AK210">
        <v>26</v>
      </c>
      <c r="AL210">
        <v>-1.665</v>
      </c>
      <c r="AM210">
        <v>25</v>
      </c>
      <c r="AN210">
        <v>-1.5</v>
      </c>
      <c r="AO210">
        <v>14</v>
      </c>
      <c r="AP210">
        <v>-0.80000000000000027</v>
      </c>
      <c r="AQ210">
        <v>15</v>
      </c>
      <c r="AR210">
        <v>-2.7755575615628914E-17</v>
      </c>
      <c r="AS210">
        <v>19</v>
      </c>
      <c r="AT210">
        <v>18.333333333333332</v>
      </c>
      <c r="AU210">
        <v>15</v>
      </c>
      <c r="AV210">
        <v>0.21000000000000041</v>
      </c>
      <c r="AW210">
        <v>16</v>
      </c>
      <c r="AX210">
        <v>-2.5500000000000007</v>
      </c>
      <c r="AY210">
        <v>24</v>
      </c>
      <c r="AZ210">
        <v>-1.9500000000000002</v>
      </c>
      <c r="BA210">
        <v>14</v>
      </c>
      <c r="BB210">
        <v>15</v>
      </c>
      <c r="BC210">
        <v>12</v>
      </c>
      <c r="BD210">
        <v>1.1250000000000004</v>
      </c>
      <c r="BE210">
        <v>20</v>
      </c>
      <c r="BF210">
        <v>-3.4000000000000004</v>
      </c>
      <c r="BG210">
        <v>13</v>
      </c>
      <c r="BH210">
        <v>0.19999999999999996</v>
      </c>
      <c r="BI210">
        <v>20</v>
      </c>
      <c r="BJ210">
        <v>18.666666666666668</v>
      </c>
      <c r="BK210">
        <v>16</v>
      </c>
      <c r="BL210">
        <v>-0.51000000000000023</v>
      </c>
      <c r="BM210">
        <v>11</v>
      </c>
      <c r="BN210">
        <v>2.8999999999999986</v>
      </c>
      <c r="BO210">
        <v>29</v>
      </c>
      <c r="BP210">
        <v>-1.6500000000000001</v>
      </c>
      <c r="BQ210">
        <v>19</v>
      </c>
      <c r="BR210">
        <v>19</v>
      </c>
      <c r="BS210">
        <v>17</v>
      </c>
      <c r="BT210">
        <v>-0.4049999999999998</v>
      </c>
      <c r="BU210">
        <v>18</v>
      </c>
      <c r="BV210">
        <v>-2.0499999999999989</v>
      </c>
      <c r="BW210">
        <v>22</v>
      </c>
      <c r="BX210">
        <v>-0.50000000000000011</v>
      </c>
      <c r="BY210">
        <v>9</v>
      </c>
      <c r="BZ210">
        <v>10.666666666666666</v>
      </c>
      <c r="CA210">
        <v>13</v>
      </c>
      <c r="CB210">
        <v>0.68000000000000105</v>
      </c>
      <c r="CC210">
        <v>15</v>
      </c>
      <c r="CD210">
        <v>-0.19999999999999574</v>
      </c>
      <c r="CE210">
        <v>4</v>
      </c>
      <c r="CF210">
        <v>1.9000000000000004</v>
      </c>
      <c r="CG210">
        <v>3</v>
      </c>
      <c r="CH210">
        <v>3.6666666666666665</v>
      </c>
      <c r="CI210">
        <v>3</v>
      </c>
      <c r="CJ210">
        <v>7.08</v>
      </c>
      <c r="CK210">
        <v>3</v>
      </c>
      <c r="CL210">
        <v>18.8</v>
      </c>
      <c r="CM210">
        <v>5</v>
      </c>
      <c r="CN210">
        <v>1.8</v>
      </c>
      <c r="CO210">
        <v>13</v>
      </c>
      <c r="CP210">
        <v>14</v>
      </c>
      <c r="CQ210">
        <v>13</v>
      </c>
      <c r="CR210">
        <v>0.75</v>
      </c>
      <c r="CS210">
        <v>15</v>
      </c>
      <c r="CT210">
        <v>-5.0000000000000044E-2</v>
      </c>
      <c r="CU210">
        <v>-1.55</v>
      </c>
      <c r="CV210">
        <v>31</v>
      </c>
      <c r="CW210">
        <v>23.5</v>
      </c>
      <c r="CX210">
        <v>25</v>
      </c>
      <c r="CY210">
        <v>-2.9923482846336419E-2</v>
      </c>
      <c r="CZ210">
        <v>28</v>
      </c>
      <c r="DA210">
        <v>-2.1355283651253526E-2</v>
      </c>
      <c r="DB210">
        <v>13</v>
      </c>
      <c r="DC210">
        <v>-1.2083333333333335E-2</v>
      </c>
      <c r="DD210">
        <v>28</v>
      </c>
      <c r="DE210">
        <v>-2.1</v>
      </c>
      <c r="DF210">
        <v>-0.24999999999999645</v>
      </c>
      <c r="DG210">
        <v>7</v>
      </c>
      <c r="DH210">
        <v>-0.35</v>
      </c>
      <c r="DI210">
        <v>21.700000000000017</v>
      </c>
      <c r="DJ210">
        <v>7.6499999999999915</v>
      </c>
      <c r="DK210">
        <v>21.6</v>
      </c>
      <c r="DL210">
        <v>-4.5500000000000007</v>
      </c>
      <c r="DM210">
        <v>-3</v>
      </c>
      <c r="DN210">
        <v>16</v>
      </c>
      <c r="DO210">
        <v>1.3809999999999993</v>
      </c>
      <c r="DP210">
        <v>1.0066999999999999</v>
      </c>
      <c r="DQ210">
        <v>-13.95000000000001</v>
      </c>
      <c r="DR210">
        <v>17</v>
      </c>
      <c r="DS210">
        <v>1.7838750000000001</v>
      </c>
      <c r="DT210">
        <v>-0.15000000000000013</v>
      </c>
      <c r="DU210">
        <v>0.34243749999999973</v>
      </c>
      <c r="DV210">
        <v>2.2632499999999998</v>
      </c>
      <c r="DW210" t="s">
        <v>309</v>
      </c>
      <c r="DX210" t="s">
        <v>271</v>
      </c>
      <c r="DY210" t="s">
        <v>521</v>
      </c>
      <c r="DZ210">
        <v>20</v>
      </c>
      <c r="EA210">
        <v>-1.9544999999999995</v>
      </c>
      <c r="EB210">
        <v>32</v>
      </c>
      <c r="EC210">
        <v>29</v>
      </c>
      <c r="ED210">
        <v>28</v>
      </c>
      <c r="EE210">
        <v>-4.4049999999999994</v>
      </c>
      <c r="EF210">
        <v>31</v>
      </c>
      <c r="EG210">
        <v>-4.9124999999999996</v>
      </c>
      <c r="EH210">
        <v>30</v>
      </c>
      <c r="EI210">
        <v>-30.650000000000002</v>
      </c>
      <c r="EJ210">
        <v>27</v>
      </c>
      <c r="EK210">
        <v>-1.0499999999999998</v>
      </c>
      <c r="EL210">
        <v>27</v>
      </c>
      <c r="EM210">
        <v>23.5</v>
      </c>
      <c r="EN210">
        <v>19</v>
      </c>
      <c r="EO210">
        <v>-1.1262500000000002</v>
      </c>
      <c r="EP210">
        <v>30</v>
      </c>
      <c r="EQ210">
        <v>-2.1624999999999996</v>
      </c>
      <c r="ER210">
        <v>31</v>
      </c>
      <c r="ES210">
        <v>-21.85</v>
      </c>
      <c r="ET210">
        <v>14</v>
      </c>
      <c r="EU210">
        <v>-5.5511151231257827E-17</v>
      </c>
      <c r="EV210">
        <v>31</v>
      </c>
      <c r="EW210">
        <v>30</v>
      </c>
      <c r="EX210">
        <v>31</v>
      </c>
      <c r="EY210">
        <v>-3.2787499999999996</v>
      </c>
      <c r="EZ210">
        <v>31</v>
      </c>
      <c r="FA210">
        <v>-2.75</v>
      </c>
      <c r="FB210">
        <v>28</v>
      </c>
      <c r="FC210">
        <v>-8.8000000000000007</v>
      </c>
      <c r="FD210">
        <v>30</v>
      </c>
      <c r="FE210">
        <v>-1.0499999999999998</v>
      </c>
      <c r="FF210">
        <v>13</v>
      </c>
      <c r="FG210">
        <v>14.666666666666666</v>
      </c>
      <c r="FH210">
        <v>13</v>
      </c>
      <c r="FI210">
        <v>0.94374999999999831</v>
      </c>
      <c r="FJ210">
        <v>14</v>
      </c>
      <c r="FK210">
        <v>4.8000000000000007</v>
      </c>
      <c r="FL210">
        <v>17</v>
      </c>
      <c r="FM210">
        <v>0.26249999999999951</v>
      </c>
      <c r="FN210">
        <v>15</v>
      </c>
      <c r="FO210">
        <v>14.333333333333334</v>
      </c>
      <c r="FP210">
        <v>14</v>
      </c>
      <c r="FQ210">
        <v>0.4415</v>
      </c>
      <c r="FR210">
        <v>10</v>
      </c>
      <c r="FS210">
        <v>8.8250000000000011</v>
      </c>
      <c r="FT210">
        <v>19</v>
      </c>
      <c r="FU210">
        <v>-0.35000000000000031</v>
      </c>
      <c r="FV210">
        <v>29</v>
      </c>
      <c r="FW210">
        <v>25.333333333333332</v>
      </c>
      <c r="FX210">
        <v>24</v>
      </c>
      <c r="FY210">
        <v>-1.6427500000000022</v>
      </c>
      <c r="FZ210">
        <v>25</v>
      </c>
      <c r="GA210">
        <v>-7.6874999999999991</v>
      </c>
      <c r="GB210">
        <v>27</v>
      </c>
      <c r="GC210">
        <v>-0.57500000000000018</v>
      </c>
      <c r="GD210">
        <v>4</v>
      </c>
      <c r="GE210">
        <v>5</v>
      </c>
      <c r="GF210">
        <v>5</v>
      </c>
      <c r="GG210">
        <v>2.1450000000000005</v>
      </c>
      <c r="GH210">
        <v>8</v>
      </c>
      <c r="GI210">
        <v>3.6624999999999988</v>
      </c>
      <c r="GJ210">
        <v>2</v>
      </c>
      <c r="GK210">
        <v>1.1875</v>
      </c>
      <c r="GL210">
        <v>11</v>
      </c>
      <c r="GM210">
        <v>11.333333333333334</v>
      </c>
      <c r="GN210">
        <v>9</v>
      </c>
      <c r="GO210">
        <v>2.5750000000000006</v>
      </c>
      <c r="GP210">
        <v>12</v>
      </c>
      <c r="GQ210">
        <v>6.6250000000000036</v>
      </c>
      <c r="GR210">
        <v>13</v>
      </c>
      <c r="GS210">
        <v>0.47500000000000009</v>
      </c>
      <c r="GT210">
        <v>27</v>
      </c>
      <c r="GU210">
        <v>24</v>
      </c>
      <c r="GV210">
        <v>20</v>
      </c>
      <c r="GW210">
        <v>-1.2237499999999999</v>
      </c>
      <c r="GX210">
        <v>25</v>
      </c>
      <c r="GY210">
        <v>-8.0375000000000014</v>
      </c>
      <c r="GZ210">
        <v>27</v>
      </c>
      <c r="HA210">
        <v>-1.2375</v>
      </c>
      <c r="HB210">
        <v>32</v>
      </c>
      <c r="HC210">
        <v>32</v>
      </c>
      <c r="HD210">
        <v>32</v>
      </c>
      <c r="HE210">
        <v>-5.9875000000000007</v>
      </c>
      <c r="HF210">
        <v>32</v>
      </c>
      <c r="HG210">
        <v>-1.0625</v>
      </c>
      <c r="HH210">
        <v>-4.5625</v>
      </c>
      <c r="HI210">
        <v>1</v>
      </c>
      <c r="HJ210">
        <v>3.25</v>
      </c>
      <c r="HK210">
        <v>3</v>
      </c>
      <c r="HL210">
        <v>7.8318388084618273E-2</v>
      </c>
      <c r="HM210">
        <v>1</v>
      </c>
      <c r="HN210">
        <v>6.2076486370942929E-2</v>
      </c>
      <c r="HO210">
        <v>5</v>
      </c>
      <c r="HP210">
        <v>-8.217727082858664E-2</v>
      </c>
      <c r="HQ210">
        <v>4</v>
      </c>
      <c r="HR210">
        <v>4.1749999999999998</v>
      </c>
      <c r="HS210">
        <v>-5.6625000000000014</v>
      </c>
      <c r="HT210">
        <v>-5.4249999999999998</v>
      </c>
      <c r="HU210">
        <v>-0.8</v>
      </c>
      <c r="HV210">
        <v>-41.724999999999994</v>
      </c>
      <c r="HW210">
        <v>5.0499999999999901</v>
      </c>
      <c r="HX210">
        <v>-33.25</v>
      </c>
      <c r="HY210">
        <v>-2.2000000000000002</v>
      </c>
      <c r="HZ210">
        <v>-11.324999999999999</v>
      </c>
      <c r="IA210">
        <v>10</v>
      </c>
      <c r="IB210">
        <v>2.4504999999999999</v>
      </c>
      <c r="IC210">
        <v>1.7555999999999994</v>
      </c>
      <c r="ID210">
        <v>38.29999999999999</v>
      </c>
      <c r="IE210">
        <v>23</v>
      </c>
      <c r="IF210">
        <v>-1.5783750000000003</v>
      </c>
      <c r="IG210">
        <v>-0.97500000000000053</v>
      </c>
    </row>
    <row r="211" spans="1:241" x14ac:dyDescent="0.2">
      <c r="A211" s="19">
        <v>44129</v>
      </c>
      <c r="B211" s="13" t="s">
        <v>250</v>
      </c>
      <c r="C211" s="41" t="s">
        <v>306</v>
      </c>
      <c r="D211" s="14" t="s">
        <v>291</v>
      </c>
      <c r="E211">
        <v>22</v>
      </c>
      <c r="F211">
        <v>3.2</v>
      </c>
      <c r="G211">
        <v>0</v>
      </c>
      <c r="H211">
        <v>16</v>
      </c>
      <c r="I211">
        <v>1</v>
      </c>
      <c r="J211">
        <v>44.5</v>
      </c>
      <c r="K211" t="s">
        <v>734</v>
      </c>
      <c r="L211" t="s">
        <v>306</v>
      </c>
      <c r="M211">
        <v>24</v>
      </c>
      <c r="N211">
        <v>-3.1983999999999999</v>
      </c>
      <c r="O211">
        <v>18</v>
      </c>
      <c r="P211">
        <v>17.25</v>
      </c>
      <c r="Q211">
        <v>13</v>
      </c>
      <c r="R211">
        <v>1.4880000000000004</v>
      </c>
      <c r="S211">
        <v>28</v>
      </c>
      <c r="T211">
        <v>-3.5200000000000005</v>
      </c>
      <c r="U211">
        <v>24</v>
      </c>
      <c r="V211">
        <v>-14.799999999999999</v>
      </c>
      <c r="W211">
        <v>4</v>
      </c>
      <c r="X211">
        <v>2.2000000000000002</v>
      </c>
      <c r="Y211">
        <v>23</v>
      </c>
      <c r="Z211">
        <v>22</v>
      </c>
      <c r="AA211">
        <v>20</v>
      </c>
      <c r="AB211">
        <v>-1.3879999999999999</v>
      </c>
      <c r="AC211">
        <v>29</v>
      </c>
      <c r="AD211">
        <v>-3.4400000000000004</v>
      </c>
      <c r="AE211">
        <v>27</v>
      </c>
      <c r="AF211">
        <v>-19.399999999999999</v>
      </c>
      <c r="AG211">
        <v>19</v>
      </c>
      <c r="AH211">
        <v>-0.27999999999999992</v>
      </c>
      <c r="AI211">
        <v>1</v>
      </c>
      <c r="AJ211">
        <v>4.666666666666667</v>
      </c>
      <c r="AK211">
        <v>5</v>
      </c>
      <c r="AL211">
        <v>2.8760000000000003</v>
      </c>
      <c r="AM211">
        <v>14</v>
      </c>
      <c r="AN211">
        <v>-7.9999999999999988E-2</v>
      </c>
      <c r="AO211">
        <v>8</v>
      </c>
      <c r="AP211">
        <v>4.5999999999999996</v>
      </c>
      <c r="AQ211">
        <v>1</v>
      </c>
      <c r="AR211">
        <v>2.48</v>
      </c>
      <c r="AS211">
        <v>20</v>
      </c>
      <c r="AT211">
        <v>19.333333333333332</v>
      </c>
      <c r="AU211">
        <v>21</v>
      </c>
      <c r="AV211">
        <v>-1.9176000000000002</v>
      </c>
      <c r="AW211">
        <v>22</v>
      </c>
      <c r="AX211">
        <v>-12.360000000000007</v>
      </c>
      <c r="AY211">
        <v>15</v>
      </c>
      <c r="AZ211">
        <v>0.64000000000000068</v>
      </c>
      <c r="BA211">
        <v>5</v>
      </c>
      <c r="BB211">
        <v>7</v>
      </c>
      <c r="BC211">
        <v>13</v>
      </c>
      <c r="BD211">
        <v>1.0279999999999998</v>
      </c>
      <c r="BE211">
        <v>4</v>
      </c>
      <c r="BF211">
        <v>16.079999999999995</v>
      </c>
      <c r="BG211">
        <v>4</v>
      </c>
      <c r="BH211">
        <v>1.9200000000000004</v>
      </c>
      <c r="BI211">
        <v>28</v>
      </c>
      <c r="BJ211">
        <v>26.333333333333332</v>
      </c>
      <c r="BK211">
        <v>24</v>
      </c>
      <c r="BL211">
        <v>-2.1719999999999997</v>
      </c>
      <c r="BM211">
        <v>25</v>
      </c>
      <c r="BN211">
        <v>-15.680000000000001</v>
      </c>
      <c r="BO211">
        <v>30</v>
      </c>
      <c r="BP211">
        <v>-1.8399999999999999</v>
      </c>
      <c r="BQ211">
        <v>19</v>
      </c>
      <c r="BR211">
        <v>19</v>
      </c>
      <c r="BS211">
        <v>18</v>
      </c>
      <c r="BT211">
        <v>-0.77360000000000029</v>
      </c>
      <c r="BU211">
        <v>28</v>
      </c>
      <c r="BV211">
        <v>-12.76</v>
      </c>
      <c r="BW211">
        <v>11</v>
      </c>
      <c r="BX211">
        <v>0.56000000000000016</v>
      </c>
      <c r="BY211">
        <v>27</v>
      </c>
      <c r="BZ211">
        <v>26.666666666666668</v>
      </c>
      <c r="CA211">
        <v>27</v>
      </c>
      <c r="CB211">
        <v>-4.3239999999999998</v>
      </c>
      <c r="CC211">
        <v>30</v>
      </c>
      <c r="CD211">
        <v>-26.439999999999998</v>
      </c>
      <c r="CE211">
        <v>23</v>
      </c>
      <c r="CF211">
        <v>-1.08</v>
      </c>
      <c r="CG211">
        <v>23</v>
      </c>
      <c r="CH211">
        <v>23.333333333333332</v>
      </c>
      <c r="CI211">
        <v>25</v>
      </c>
      <c r="CJ211">
        <v>-3.1960000000000002</v>
      </c>
      <c r="CK211">
        <v>27</v>
      </c>
      <c r="CL211">
        <v>-13.959999999999997</v>
      </c>
      <c r="CM211">
        <v>18</v>
      </c>
      <c r="CN211">
        <v>-0.52000000000000013</v>
      </c>
      <c r="CO211">
        <v>30</v>
      </c>
      <c r="CP211">
        <v>29.5</v>
      </c>
      <c r="CQ211">
        <v>30</v>
      </c>
      <c r="CR211">
        <v>-2.96</v>
      </c>
      <c r="CS211">
        <v>29</v>
      </c>
      <c r="CT211">
        <v>-0.55999999999999994</v>
      </c>
      <c r="CU211">
        <v>-1.9999999999999996</v>
      </c>
      <c r="CV211">
        <v>4</v>
      </c>
      <c r="CW211">
        <v>8.75</v>
      </c>
      <c r="CX211">
        <v>23</v>
      </c>
      <c r="CY211">
        <v>-2.3432329623482701E-2</v>
      </c>
      <c r="CZ211">
        <v>2</v>
      </c>
      <c r="DA211">
        <v>2.749897390257236E-2</v>
      </c>
      <c r="DB211">
        <v>6</v>
      </c>
      <c r="DC211">
        <v>-9.0434232434232403E-2</v>
      </c>
      <c r="DD211">
        <v>4</v>
      </c>
      <c r="DE211">
        <v>2.8</v>
      </c>
      <c r="DF211">
        <v>-3.6799999999999984</v>
      </c>
      <c r="DG211">
        <v>-5.4399999999999995</v>
      </c>
      <c r="DH211">
        <v>-0.83999999999999986</v>
      </c>
      <c r="DI211">
        <v>-49.04</v>
      </c>
      <c r="DJ211">
        <v>-28.200000000000006</v>
      </c>
      <c r="DK211">
        <v>-15.559999999999999</v>
      </c>
      <c r="DL211">
        <v>2.0000000000000004</v>
      </c>
      <c r="DM211">
        <v>-7.2799999999999985</v>
      </c>
      <c r="DN211">
        <v>24</v>
      </c>
      <c r="DO211">
        <v>-4.6864000000000008</v>
      </c>
      <c r="DP211">
        <v>-2.4064000000000001</v>
      </c>
      <c r="DQ211">
        <v>-12.640000000000008</v>
      </c>
      <c r="DR211">
        <v>9</v>
      </c>
      <c r="DS211">
        <v>-1.2229999999999999</v>
      </c>
      <c r="DT211">
        <v>0.12000000000000055</v>
      </c>
      <c r="DU211">
        <v>1.381975</v>
      </c>
      <c r="DV211">
        <v>0.19790000000000016</v>
      </c>
      <c r="DW211" t="s">
        <v>291</v>
      </c>
      <c r="DX211" t="s">
        <v>282</v>
      </c>
      <c r="DY211" t="s">
        <v>453</v>
      </c>
      <c r="DZ211">
        <v>7</v>
      </c>
      <c r="EA211">
        <v>3.3923999999999994</v>
      </c>
      <c r="EB211">
        <v>17</v>
      </c>
      <c r="EC211">
        <v>16</v>
      </c>
      <c r="ED211">
        <v>19</v>
      </c>
      <c r="EE211">
        <v>-1.0709999999999997</v>
      </c>
      <c r="EF211">
        <v>10</v>
      </c>
      <c r="EG211">
        <v>1.69</v>
      </c>
      <c r="EH211">
        <v>6</v>
      </c>
      <c r="EI211">
        <v>21.590000000000003</v>
      </c>
      <c r="EJ211">
        <v>29</v>
      </c>
      <c r="EK211">
        <v>-1.5699999999999998</v>
      </c>
      <c r="EL211">
        <v>12</v>
      </c>
      <c r="EM211">
        <v>14</v>
      </c>
      <c r="EN211">
        <v>11</v>
      </c>
      <c r="EO211">
        <v>1.0549999999999997</v>
      </c>
      <c r="EP211">
        <v>10</v>
      </c>
      <c r="EQ211">
        <v>1.2099999999999997</v>
      </c>
      <c r="ER211">
        <v>4</v>
      </c>
      <c r="ES211">
        <v>15.680000000000001</v>
      </c>
      <c r="ET211">
        <v>31</v>
      </c>
      <c r="EU211">
        <v>-1.01</v>
      </c>
      <c r="EV211">
        <v>17</v>
      </c>
      <c r="EW211">
        <v>17</v>
      </c>
      <c r="EX211">
        <v>30</v>
      </c>
      <c r="EY211">
        <v>-2.1259999999999994</v>
      </c>
      <c r="EZ211">
        <v>15</v>
      </c>
      <c r="FA211">
        <v>0.48000000000000009</v>
      </c>
      <c r="FB211">
        <v>6</v>
      </c>
      <c r="FC211">
        <v>5.910000000000001</v>
      </c>
      <c r="FD211">
        <v>27</v>
      </c>
      <c r="FE211">
        <v>-0.55999999999999994</v>
      </c>
      <c r="FF211">
        <v>3</v>
      </c>
      <c r="FG211">
        <v>4.666666666666667</v>
      </c>
      <c r="FH211">
        <v>2</v>
      </c>
      <c r="FI211">
        <v>12.061999999999996</v>
      </c>
      <c r="FJ211">
        <v>5</v>
      </c>
      <c r="FK211">
        <v>19.239999999999998</v>
      </c>
      <c r="FL211">
        <v>7</v>
      </c>
      <c r="FM211">
        <v>1.48</v>
      </c>
      <c r="FN211">
        <v>3</v>
      </c>
      <c r="FO211">
        <v>5.333333333333333</v>
      </c>
      <c r="FP211">
        <v>2</v>
      </c>
      <c r="FQ211">
        <v>6.4071999999999987</v>
      </c>
      <c r="FR211">
        <v>9</v>
      </c>
      <c r="FS211">
        <v>9.3000000000000025</v>
      </c>
      <c r="FT211">
        <v>5</v>
      </c>
      <c r="FU211">
        <v>1.1800000000000002</v>
      </c>
      <c r="FV211">
        <v>2</v>
      </c>
      <c r="FW211">
        <v>3.3333333333333335</v>
      </c>
      <c r="FX211">
        <v>1</v>
      </c>
      <c r="FY211">
        <v>7.1097999999999981</v>
      </c>
      <c r="FZ211">
        <v>2</v>
      </c>
      <c r="GA211">
        <v>22.709999999999997</v>
      </c>
      <c r="GB211">
        <v>7</v>
      </c>
      <c r="GC211">
        <v>0.56999999999999995</v>
      </c>
      <c r="GD211">
        <v>30</v>
      </c>
      <c r="GE211">
        <v>26</v>
      </c>
      <c r="GF211">
        <v>27</v>
      </c>
      <c r="GG211">
        <v>-1.4549999999999996</v>
      </c>
      <c r="GH211">
        <v>30</v>
      </c>
      <c r="GI211">
        <v>-12.77</v>
      </c>
      <c r="GJ211">
        <v>21</v>
      </c>
      <c r="GK211">
        <v>-0.27000000000000013</v>
      </c>
      <c r="GL211">
        <v>16</v>
      </c>
      <c r="GM211">
        <v>17.666666666666668</v>
      </c>
      <c r="GN211">
        <v>18</v>
      </c>
      <c r="GO211">
        <v>-0.84499999999999953</v>
      </c>
      <c r="GP211">
        <v>19</v>
      </c>
      <c r="GQ211">
        <v>-3.15</v>
      </c>
      <c r="GR211">
        <v>16</v>
      </c>
      <c r="GS211">
        <v>-0.11999999999999993</v>
      </c>
      <c r="GT211">
        <v>14</v>
      </c>
      <c r="GU211">
        <v>12.666666666666666</v>
      </c>
      <c r="GV211">
        <v>8</v>
      </c>
      <c r="GW211">
        <v>2.9949999999999997</v>
      </c>
      <c r="GX211">
        <v>13</v>
      </c>
      <c r="GY211">
        <v>4.6099999999999994</v>
      </c>
      <c r="GZ211">
        <v>17</v>
      </c>
      <c r="HA211">
        <v>9.0000000000000038E-2</v>
      </c>
      <c r="HB211">
        <v>5</v>
      </c>
      <c r="HC211">
        <v>6</v>
      </c>
      <c r="HD211">
        <v>3</v>
      </c>
      <c r="HE211">
        <v>3.1500000000000004</v>
      </c>
      <c r="HF211">
        <v>9</v>
      </c>
      <c r="HG211">
        <v>0.39</v>
      </c>
      <c r="HH211">
        <v>2.6999999999999997</v>
      </c>
      <c r="HI211">
        <v>28</v>
      </c>
      <c r="HJ211">
        <v>25</v>
      </c>
      <c r="HK211">
        <v>16</v>
      </c>
      <c r="HL211">
        <v>6.8039815316587203E-3</v>
      </c>
      <c r="HM211">
        <v>20</v>
      </c>
      <c r="HN211">
        <v>-5.9638545692727142E-3</v>
      </c>
      <c r="HO211">
        <v>32</v>
      </c>
      <c r="HP211">
        <v>0.16831746031746034</v>
      </c>
      <c r="HQ211">
        <v>32</v>
      </c>
      <c r="HR211">
        <v>-4.17</v>
      </c>
      <c r="HS211">
        <v>4.2800000000000011</v>
      </c>
      <c r="HT211">
        <v>11.43</v>
      </c>
      <c r="HU211">
        <v>0.78</v>
      </c>
      <c r="HV211">
        <v>38.239999999999995</v>
      </c>
      <c r="HW211">
        <v>-8.2400000000000091</v>
      </c>
      <c r="HX211">
        <v>39.160000000000004</v>
      </c>
      <c r="HY211">
        <v>12.399999999999999</v>
      </c>
      <c r="HZ211">
        <v>-5.08</v>
      </c>
      <c r="IA211">
        <v>7</v>
      </c>
      <c r="IB211">
        <v>4.4633999999999991</v>
      </c>
      <c r="IC211">
        <v>4.2253799999999995</v>
      </c>
      <c r="ID211">
        <v>-47.400000000000013</v>
      </c>
      <c r="IE211">
        <v>26</v>
      </c>
      <c r="IF211">
        <v>2.5660499999999997</v>
      </c>
      <c r="IG211">
        <v>1.57</v>
      </c>
    </row>
  </sheetData>
  <autoFilter ref="A1:J211" xr:uid="{3E9EABFF-D320-6F48-BA29-5EBD6BB63A47}">
    <sortState xmlns:xlrd2="http://schemas.microsoft.com/office/spreadsheetml/2017/richdata2" ref="A2:J211">
      <sortCondition ref="B1:B211"/>
    </sortState>
  </autoFilter>
  <conditionalFormatting sqref="C2:C8">
    <cfRule type="cellIs" dxfId="123" priority="29" operator="between">
      <formula>21</formula>
      <formula>26</formula>
    </cfRule>
    <cfRule type="cellIs" dxfId="122" priority="30" operator="between">
      <formula>27</formula>
      <formula>32</formula>
    </cfRule>
    <cfRule type="cellIs" dxfId="121" priority="31" operator="between">
      <formula>7</formula>
      <formula>12</formula>
    </cfRule>
    <cfRule type="cellIs" dxfId="120" priority="32" operator="between">
      <formula>1</formula>
      <formula>6</formula>
    </cfRule>
  </conditionalFormatting>
  <conditionalFormatting sqref="C43:C49">
    <cfRule type="cellIs" dxfId="119" priority="25" operator="between">
      <formula>21</formula>
      <formula>26</formula>
    </cfRule>
    <cfRule type="cellIs" dxfId="118" priority="26" operator="between">
      <formula>27</formula>
      <formula>32</formula>
    </cfRule>
    <cfRule type="cellIs" dxfId="117" priority="27" operator="between">
      <formula>7</formula>
      <formula>12</formula>
    </cfRule>
    <cfRule type="cellIs" dxfId="116" priority="28" operator="between">
      <formula>1</formula>
      <formula>6</formula>
    </cfRule>
  </conditionalFormatting>
  <conditionalFormatting sqref="C89:C95">
    <cfRule type="cellIs" dxfId="115" priority="21" operator="between">
      <formula>21</formula>
      <formula>26</formula>
    </cfRule>
    <cfRule type="cellIs" dxfId="114" priority="22" operator="between">
      <formula>27</formula>
      <formula>32</formula>
    </cfRule>
    <cfRule type="cellIs" dxfId="113" priority="23" operator="between">
      <formula>7</formula>
      <formula>12</formula>
    </cfRule>
    <cfRule type="cellIs" dxfId="112" priority="24" operator="between">
      <formula>1</formula>
      <formula>6</formula>
    </cfRule>
  </conditionalFormatting>
  <conditionalFormatting sqref="C117:C123">
    <cfRule type="cellIs" dxfId="111" priority="17" operator="between">
      <formula>21</formula>
      <formula>26</formula>
    </cfRule>
    <cfRule type="cellIs" dxfId="110" priority="18" operator="between">
      <formula>27</formula>
      <formula>32</formula>
    </cfRule>
    <cfRule type="cellIs" dxfId="109" priority="19" operator="between">
      <formula>7</formula>
      <formula>12</formula>
    </cfRule>
    <cfRule type="cellIs" dxfId="108" priority="20" operator="between">
      <formula>1</formula>
      <formula>6</formula>
    </cfRule>
  </conditionalFormatting>
  <conditionalFormatting sqref="C168:C174">
    <cfRule type="cellIs" dxfId="107" priority="13" operator="between">
      <formula>21</formula>
      <formula>26</formula>
    </cfRule>
    <cfRule type="cellIs" dxfId="106" priority="14" operator="between">
      <formula>27</formula>
      <formula>32</formula>
    </cfRule>
    <cfRule type="cellIs" dxfId="105" priority="15" operator="between">
      <formula>7</formula>
      <formula>12</formula>
    </cfRule>
    <cfRule type="cellIs" dxfId="104" priority="16" operator="between">
      <formula>1</formula>
      <formula>6</formula>
    </cfRule>
  </conditionalFormatting>
  <conditionalFormatting sqref="C181:C186">
    <cfRule type="cellIs" dxfId="103" priority="9" operator="between">
      <formula>21</formula>
      <formula>26</formula>
    </cfRule>
    <cfRule type="cellIs" dxfId="102" priority="10" operator="between">
      <formula>27</formula>
      <formula>32</formula>
    </cfRule>
    <cfRule type="cellIs" dxfId="101" priority="11" operator="between">
      <formula>7</formula>
      <formula>12</formula>
    </cfRule>
    <cfRule type="cellIs" dxfId="100" priority="12" operator="between">
      <formula>1</formula>
      <formula>6</formula>
    </cfRule>
  </conditionalFormatting>
  <conditionalFormatting sqref="C187:C192">
    <cfRule type="cellIs" dxfId="99" priority="5" operator="between">
      <formula>21</formula>
      <formula>26</formula>
    </cfRule>
    <cfRule type="cellIs" dxfId="98" priority="6" operator="between">
      <formula>27</formula>
      <formula>32</formula>
    </cfRule>
    <cfRule type="cellIs" dxfId="97" priority="7" operator="between">
      <formula>7</formula>
      <formula>12</formula>
    </cfRule>
    <cfRule type="cellIs" dxfId="96" priority="8" operator="between">
      <formula>1</formula>
      <formula>6</formula>
    </cfRule>
  </conditionalFormatting>
  <conditionalFormatting sqref="C193:C198">
    <cfRule type="cellIs" dxfId="95" priority="1" operator="between">
      <formula>21</formula>
      <formula>26</formula>
    </cfRule>
    <cfRule type="cellIs" dxfId="94" priority="2" operator="between">
      <formula>27</formula>
      <formula>32</formula>
    </cfRule>
    <cfRule type="cellIs" dxfId="93" priority="3" operator="between">
      <formula>7</formula>
      <formula>12</formula>
    </cfRule>
    <cfRule type="cellIs" dxfId="92" priority="4" operator="between">
      <formula>1</formula>
      <formula>6</formula>
    </cfRule>
  </conditionalFormatting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F9B75-9902-DA44-9031-6E11FD4C0F11}">
  <sheetPr codeName="Sheet19"/>
  <dimension ref="A1:CU211"/>
  <sheetViews>
    <sheetView topLeftCell="R1" workbookViewId="0">
      <selection activeCell="AH1" sqref="AH1:AH1048576"/>
    </sheetView>
  </sheetViews>
  <sheetFormatPr baseColWidth="10" defaultRowHeight="16" x14ac:dyDescent="0.2"/>
  <cols>
    <col min="4" max="4" width="17.5" bestFit="1" customWidth="1"/>
    <col min="5" max="5" width="19" bestFit="1" customWidth="1"/>
  </cols>
  <sheetData>
    <row r="1" spans="1:99" x14ac:dyDescent="0.2">
      <c r="A1" t="s">
        <v>226</v>
      </c>
      <c r="B1" t="s">
        <v>733</v>
      </c>
      <c r="C1" t="s">
        <v>255</v>
      </c>
      <c r="D1" t="s">
        <v>254</v>
      </c>
      <c r="E1" t="s">
        <v>227</v>
      </c>
      <c r="F1" t="s">
        <v>442</v>
      </c>
      <c r="G1" t="s">
        <v>228</v>
      </c>
      <c r="H1" t="s">
        <v>443</v>
      </c>
      <c r="I1" t="s">
        <v>385</v>
      </c>
      <c r="J1" t="s">
        <v>440</v>
      </c>
      <c r="K1" t="s">
        <v>386</v>
      </c>
      <c r="L1" t="s">
        <v>387</v>
      </c>
      <c r="M1" t="s">
        <v>444</v>
      </c>
      <c r="N1" t="s">
        <v>388</v>
      </c>
      <c r="O1" t="s">
        <v>441</v>
      </c>
      <c r="P1" t="s">
        <v>389</v>
      </c>
      <c r="Q1" t="s">
        <v>390</v>
      </c>
      <c r="R1" t="s">
        <v>445</v>
      </c>
      <c r="S1" t="s">
        <v>191</v>
      </c>
      <c r="T1" t="s">
        <v>391</v>
      </c>
      <c r="U1" t="s">
        <v>392</v>
      </c>
      <c r="V1" t="s">
        <v>446</v>
      </c>
      <c r="W1" t="s">
        <v>192</v>
      </c>
      <c r="X1" t="s">
        <v>393</v>
      </c>
      <c r="Y1" t="s">
        <v>394</v>
      </c>
      <c r="Z1" t="s">
        <v>447</v>
      </c>
      <c r="AA1" t="s">
        <v>395</v>
      </c>
      <c r="AB1" t="s">
        <v>396</v>
      </c>
      <c r="AC1" t="s">
        <v>397</v>
      </c>
      <c r="AD1" t="s">
        <v>230</v>
      </c>
      <c r="AE1" t="s">
        <v>398</v>
      </c>
      <c r="AF1" t="s">
        <v>399</v>
      </c>
      <c r="AG1" t="s">
        <v>448</v>
      </c>
      <c r="AH1" t="s">
        <v>193</v>
      </c>
      <c r="AI1" t="s">
        <v>400</v>
      </c>
      <c r="AJ1" t="s">
        <v>401</v>
      </c>
      <c r="AK1" t="s">
        <v>231</v>
      </c>
      <c r="AL1" t="s">
        <v>402</v>
      </c>
      <c r="AM1" t="s">
        <v>232</v>
      </c>
      <c r="AN1" t="s">
        <v>233</v>
      </c>
      <c r="AO1" t="s">
        <v>234</v>
      </c>
      <c r="AP1" t="s">
        <v>403</v>
      </c>
      <c r="AQ1" t="s">
        <v>404</v>
      </c>
      <c r="AR1" t="s">
        <v>405</v>
      </c>
      <c r="AS1" t="s">
        <v>406</v>
      </c>
      <c r="AT1" t="s">
        <v>407</v>
      </c>
      <c r="AU1" t="s">
        <v>408</v>
      </c>
      <c r="AV1" t="s">
        <v>409</v>
      </c>
      <c r="AW1" t="s">
        <v>410</v>
      </c>
      <c r="AX1" t="s">
        <v>411</v>
      </c>
      <c r="AY1" t="s">
        <v>412</v>
      </c>
      <c r="AZ1" t="s">
        <v>413</v>
      </c>
      <c r="BA1" t="s">
        <v>414</v>
      </c>
      <c r="BB1" t="s">
        <v>415</v>
      </c>
      <c r="BC1" t="s">
        <v>227</v>
      </c>
      <c r="BD1" t="s">
        <v>228</v>
      </c>
      <c r="BE1" t="s">
        <v>385</v>
      </c>
      <c r="BF1" t="s">
        <v>440</v>
      </c>
      <c r="BG1" t="s">
        <v>386</v>
      </c>
      <c r="BH1" t="s">
        <v>387</v>
      </c>
      <c r="BI1" t="s">
        <v>388</v>
      </c>
      <c r="BJ1" t="s">
        <v>441</v>
      </c>
      <c r="BK1" t="s">
        <v>389</v>
      </c>
      <c r="BL1" t="s">
        <v>390</v>
      </c>
      <c r="BM1" t="s">
        <v>191</v>
      </c>
      <c r="BN1" t="s">
        <v>391</v>
      </c>
      <c r="BO1" t="s">
        <v>392</v>
      </c>
      <c r="BP1" t="s">
        <v>192</v>
      </c>
      <c r="BQ1" t="s">
        <v>393</v>
      </c>
      <c r="BR1" t="s">
        <v>394</v>
      </c>
      <c r="BS1" t="s">
        <v>395</v>
      </c>
      <c r="BT1" t="s">
        <v>396</v>
      </c>
      <c r="BU1" t="s">
        <v>397</v>
      </c>
      <c r="BV1" t="s">
        <v>230</v>
      </c>
      <c r="BW1" t="s">
        <v>398</v>
      </c>
      <c r="BX1" t="s">
        <v>399</v>
      </c>
      <c r="BY1" t="s">
        <v>193</v>
      </c>
      <c r="BZ1" t="s">
        <v>400</v>
      </c>
      <c r="CA1" t="s">
        <v>401</v>
      </c>
      <c r="CB1" t="s">
        <v>231</v>
      </c>
      <c r="CC1" t="s">
        <v>402</v>
      </c>
      <c r="CD1" t="s">
        <v>232</v>
      </c>
      <c r="CE1" t="s">
        <v>233</v>
      </c>
      <c r="CF1" t="s">
        <v>234</v>
      </c>
      <c r="CG1" t="s">
        <v>403</v>
      </c>
      <c r="CH1" t="s">
        <v>404</v>
      </c>
      <c r="CI1" t="s">
        <v>405</v>
      </c>
      <c r="CJ1" t="s">
        <v>406</v>
      </c>
      <c r="CK1" t="s">
        <v>407</v>
      </c>
      <c r="CL1" t="s">
        <v>408</v>
      </c>
      <c r="CM1" t="s">
        <v>409</v>
      </c>
      <c r="CN1" t="s">
        <v>410</v>
      </c>
      <c r="CO1" t="s">
        <v>411</v>
      </c>
      <c r="CP1" t="s">
        <v>412</v>
      </c>
      <c r="CQ1" t="s">
        <v>413</v>
      </c>
      <c r="CR1" t="s">
        <v>414</v>
      </c>
      <c r="CS1" t="s">
        <v>415</v>
      </c>
      <c r="CT1" t="s">
        <v>449</v>
      </c>
      <c r="CU1" t="s">
        <v>450</v>
      </c>
    </row>
    <row r="2" spans="1:99" x14ac:dyDescent="0.2">
      <c r="A2" s="19">
        <v>44087</v>
      </c>
      <c r="B2">
        <v>1</v>
      </c>
      <c r="C2" s="14" t="s">
        <v>384</v>
      </c>
      <c r="D2" s="40" t="s">
        <v>256</v>
      </c>
      <c r="E2" t="s">
        <v>285</v>
      </c>
      <c r="F2" t="s">
        <v>459</v>
      </c>
      <c r="G2">
        <v>19.260000000000002</v>
      </c>
      <c r="H2" t="s">
        <v>465</v>
      </c>
      <c r="I2">
        <v>25.1</v>
      </c>
      <c r="J2">
        <v>15</v>
      </c>
      <c r="K2">
        <v>56</v>
      </c>
      <c r="L2">
        <v>5</v>
      </c>
      <c r="M2" t="s">
        <v>466</v>
      </c>
      <c r="N2">
        <v>13.4</v>
      </c>
      <c r="O2">
        <v>3</v>
      </c>
      <c r="P2">
        <v>24</v>
      </c>
      <c r="Q2">
        <v>5</v>
      </c>
      <c r="R2" t="s">
        <v>463</v>
      </c>
      <c r="S2">
        <v>5.4</v>
      </c>
      <c r="T2">
        <v>35</v>
      </c>
      <c r="U2">
        <v>5</v>
      </c>
      <c r="V2" t="s">
        <v>471</v>
      </c>
      <c r="W2">
        <v>2.7</v>
      </c>
      <c r="X2">
        <v>7</v>
      </c>
      <c r="Y2">
        <v>5</v>
      </c>
      <c r="AA2">
        <v>0</v>
      </c>
      <c r="AB2">
        <v>0</v>
      </c>
      <c r="AC2">
        <v>1</v>
      </c>
      <c r="AD2">
        <v>13.5</v>
      </c>
      <c r="AE2">
        <v>65</v>
      </c>
      <c r="AF2">
        <v>8</v>
      </c>
      <c r="AG2" t="s">
        <v>78</v>
      </c>
      <c r="AH2" s="14">
        <v>9.3000000000000007</v>
      </c>
      <c r="AI2">
        <v>44</v>
      </c>
      <c r="AJ2">
        <v>5</v>
      </c>
      <c r="AK2">
        <v>10</v>
      </c>
      <c r="AL2">
        <v>2</v>
      </c>
      <c r="AM2">
        <v>4</v>
      </c>
      <c r="AN2" s="21">
        <v>0.24324324324324326</v>
      </c>
      <c r="AO2" s="21">
        <v>8.1081081081081086E-2</v>
      </c>
      <c r="AP2" s="21">
        <v>0.6</v>
      </c>
      <c r="AQ2">
        <v>6</v>
      </c>
      <c r="AR2">
        <v>33</v>
      </c>
      <c r="AS2">
        <v>23</v>
      </c>
      <c r="AT2">
        <v>1</v>
      </c>
      <c r="AU2">
        <v>60</v>
      </c>
      <c r="AV2">
        <v>20</v>
      </c>
      <c r="AW2">
        <v>0</v>
      </c>
      <c r="AX2">
        <v>373</v>
      </c>
      <c r="AY2">
        <v>259</v>
      </c>
      <c r="AZ2">
        <v>105</v>
      </c>
      <c r="BA2">
        <v>0</v>
      </c>
      <c r="BB2">
        <v>9</v>
      </c>
      <c r="BC2" t="s">
        <v>285</v>
      </c>
      <c r="BD2" s="14">
        <v>2.2000000000000028</v>
      </c>
      <c r="BE2" s="14">
        <v>12.000000000000002</v>
      </c>
      <c r="BF2" s="14">
        <v>-0.19999999999999929</v>
      </c>
      <c r="BG2" s="14">
        <v>-8.5999999999999943</v>
      </c>
      <c r="BH2" s="14">
        <v>1</v>
      </c>
      <c r="BI2" s="14">
        <v>6.7200000000000006</v>
      </c>
      <c r="BJ2" s="14">
        <v>-5</v>
      </c>
      <c r="BK2" s="14">
        <v>-12.600000000000001</v>
      </c>
      <c r="BL2" s="14">
        <v>3.6</v>
      </c>
      <c r="BM2" s="14">
        <v>-17.32</v>
      </c>
      <c r="BN2" s="14">
        <v>-60.2</v>
      </c>
      <c r="BO2" s="14">
        <v>-4.5999999999999996</v>
      </c>
      <c r="BP2" s="14">
        <v>-5.8999999999999995</v>
      </c>
      <c r="BQ2" s="14">
        <v>-41</v>
      </c>
      <c r="BR2" s="14">
        <v>-2</v>
      </c>
      <c r="BS2" s="14">
        <v>-4.46</v>
      </c>
      <c r="BT2" s="14">
        <v>-23.2</v>
      </c>
      <c r="BU2" s="14">
        <v>-2.8</v>
      </c>
      <c r="BV2" s="14">
        <v>-11.080000000000002</v>
      </c>
      <c r="BW2" s="14">
        <v>-40.799999999999997</v>
      </c>
      <c r="BX2" s="14">
        <v>-5.8000000000000007</v>
      </c>
      <c r="BY2" s="48">
        <v>2.0400000000000009</v>
      </c>
      <c r="BZ2" s="14">
        <v>15.399999999999999</v>
      </c>
      <c r="CA2" s="14">
        <v>-0.79999999999999982</v>
      </c>
      <c r="CB2" s="14">
        <v>4</v>
      </c>
      <c r="CC2" s="14">
        <v>0</v>
      </c>
      <c r="CD2" s="14">
        <v>1.4</v>
      </c>
      <c r="CE2" s="14">
        <v>-4.1735909331805821E-2</v>
      </c>
      <c r="CF2" s="14">
        <v>1.6745404863156871E-2</v>
      </c>
      <c r="CG2" s="14">
        <v>-0.10222222222222221</v>
      </c>
      <c r="CH2" s="14">
        <v>-1.2000000000000002</v>
      </c>
      <c r="CI2" s="14">
        <v>-4.6000000000000014</v>
      </c>
      <c r="CJ2" s="14">
        <v>-1.1999999999999993</v>
      </c>
      <c r="CK2" s="14">
        <v>-1.7999999999999998</v>
      </c>
      <c r="CL2" s="14">
        <v>-8.4000000000000057</v>
      </c>
      <c r="CM2" s="14">
        <v>1.6000000000000014</v>
      </c>
      <c r="CN2" s="14">
        <v>0</v>
      </c>
      <c r="CO2" s="14">
        <v>8</v>
      </c>
      <c r="CP2" s="14">
        <v>13</v>
      </c>
      <c r="CQ2" s="14">
        <v>0.59999999999999432</v>
      </c>
      <c r="CR2" s="14">
        <v>-2.4</v>
      </c>
      <c r="CS2" s="14">
        <v>-3.1999999999999993</v>
      </c>
      <c r="CT2" t="s">
        <v>249</v>
      </c>
      <c r="CU2" t="s">
        <v>452</v>
      </c>
    </row>
    <row r="3" spans="1:99" x14ac:dyDescent="0.2">
      <c r="A3" s="19">
        <v>44087</v>
      </c>
      <c r="B3">
        <v>1</v>
      </c>
      <c r="C3" s="13" t="s">
        <v>384</v>
      </c>
      <c r="D3" s="41" t="s">
        <v>265</v>
      </c>
      <c r="E3" t="s">
        <v>299</v>
      </c>
      <c r="F3" t="s">
        <v>490</v>
      </c>
      <c r="G3">
        <v>24.28</v>
      </c>
      <c r="H3" t="s">
        <v>481</v>
      </c>
      <c r="I3">
        <v>8.4</v>
      </c>
      <c r="J3">
        <v>13</v>
      </c>
      <c r="K3">
        <v>64</v>
      </c>
      <c r="L3">
        <v>3</v>
      </c>
      <c r="M3" t="s">
        <v>487</v>
      </c>
      <c r="N3">
        <v>6.7</v>
      </c>
      <c r="O3">
        <v>7</v>
      </c>
      <c r="P3">
        <v>41</v>
      </c>
      <c r="Q3">
        <v>2</v>
      </c>
      <c r="R3" t="s">
        <v>56</v>
      </c>
      <c r="S3">
        <v>12.3</v>
      </c>
      <c r="T3">
        <v>74</v>
      </c>
      <c r="U3">
        <v>9</v>
      </c>
      <c r="V3" t="s">
        <v>60</v>
      </c>
      <c r="W3">
        <v>17.600000000000001</v>
      </c>
      <c r="X3">
        <v>76</v>
      </c>
      <c r="Y3">
        <v>6</v>
      </c>
      <c r="Z3" t="s">
        <v>491</v>
      </c>
      <c r="AA3">
        <v>7.1</v>
      </c>
      <c r="AB3">
        <v>1</v>
      </c>
      <c r="AC3">
        <v>2</v>
      </c>
      <c r="AD3">
        <v>25.7</v>
      </c>
      <c r="AE3">
        <v>127</v>
      </c>
      <c r="AF3">
        <v>14</v>
      </c>
      <c r="AG3" t="s">
        <v>81</v>
      </c>
      <c r="AH3" s="14">
        <v>11.5</v>
      </c>
      <c r="AI3">
        <v>25</v>
      </c>
      <c r="AJ3">
        <v>7</v>
      </c>
      <c r="AK3">
        <v>9</v>
      </c>
      <c r="AL3">
        <v>2</v>
      </c>
      <c r="AM3">
        <v>3</v>
      </c>
      <c r="AN3" s="21">
        <v>0.27500000000000002</v>
      </c>
      <c r="AO3" s="21">
        <v>2.5000000000000001E-2</v>
      </c>
      <c r="AP3" s="21">
        <v>0.42857142857142855</v>
      </c>
      <c r="AQ3">
        <v>1</v>
      </c>
      <c r="AR3">
        <v>36</v>
      </c>
      <c r="AS3">
        <v>20</v>
      </c>
      <c r="AT3">
        <v>3</v>
      </c>
      <c r="AU3">
        <v>65</v>
      </c>
      <c r="AV3">
        <v>27</v>
      </c>
      <c r="AW3">
        <v>0</v>
      </c>
      <c r="AX3">
        <v>391</v>
      </c>
      <c r="AY3">
        <v>242</v>
      </c>
      <c r="AZ3">
        <v>105</v>
      </c>
      <c r="BA3">
        <v>18</v>
      </c>
      <c r="BB3">
        <v>26</v>
      </c>
      <c r="BC3" t="s">
        <v>299</v>
      </c>
      <c r="BD3" s="14">
        <v>2.7899999999999991</v>
      </c>
      <c r="BE3" s="14">
        <v>-15.025</v>
      </c>
      <c r="BF3" s="14">
        <v>-3.75</v>
      </c>
      <c r="BG3" s="14">
        <v>-24.25</v>
      </c>
      <c r="BH3" s="14">
        <v>-1.25</v>
      </c>
      <c r="BI3" s="14">
        <v>-3.1749999999999998</v>
      </c>
      <c r="BJ3" s="14">
        <v>0.75</v>
      </c>
      <c r="BK3" s="14">
        <v>6</v>
      </c>
      <c r="BL3" s="14">
        <v>0</v>
      </c>
      <c r="BM3" s="14">
        <v>-4.4749999999999979</v>
      </c>
      <c r="BN3" s="14">
        <v>3.75</v>
      </c>
      <c r="BO3" s="14">
        <v>0.25</v>
      </c>
      <c r="BP3" s="14">
        <v>0.57499999999999929</v>
      </c>
      <c r="BQ3" s="14">
        <v>-10.75</v>
      </c>
      <c r="BR3" s="14">
        <v>-1.25</v>
      </c>
      <c r="BS3" s="14">
        <v>5.0749999999999993</v>
      </c>
      <c r="BT3" s="14">
        <v>-4</v>
      </c>
      <c r="BU3" s="14">
        <v>-1</v>
      </c>
      <c r="BV3" s="14">
        <v>7.6750000000000007</v>
      </c>
      <c r="BW3" s="14">
        <v>44.25</v>
      </c>
      <c r="BX3" s="14">
        <v>5</v>
      </c>
      <c r="BY3" s="48">
        <v>7.9249999999999998</v>
      </c>
      <c r="BZ3" s="14">
        <v>14.25</v>
      </c>
      <c r="CA3" s="14">
        <v>5.5</v>
      </c>
      <c r="CB3" s="14">
        <v>2.5</v>
      </c>
      <c r="CC3" s="14">
        <v>0.75</v>
      </c>
      <c r="CD3" s="14">
        <v>-2.25</v>
      </c>
      <c r="CE3" s="14">
        <v>1.6310943438603009E-2</v>
      </c>
      <c r="CF3" s="14">
        <v>-1.3170181787203063E-2</v>
      </c>
      <c r="CG3" s="14">
        <v>-0.33200549450549449</v>
      </c>
      <c r="CH3" s="14">
        <v>-1.5</v>
      </c>
      <c r="CI3" s="14">
        <v>2.5</v>
      </c>
      <c r="CJ3" s="14">
        <v>-4.5</v>
      </c>
      <c r="CK3" s="14">
        <v>-1.5</v>
      </c>
      <c r="CL3" s="14">
        <v>0.25</v>
      </c>
      <c r="CM3" s="14">
        <v>-0.25</v>
      </c>
      <c r="CN3" s="14">
        <v>-1.75</v>
      </c>
      <c r="CO3" s="14">
        <v>-2.75</v>
      </c>
      <c r="CP3" s="14">
        <v>-7.75</v>
      </c>
      <c r="CQ3" s="14">
        <v>-23.5</v>
      </c>
      <c r="CR3" s="14">
        <v>16.75</v>
      </c>
      <c r="CS3" s="14">
        <v>11.75</v>
      </c>
      <c r="CT3" t="s">
        <v>258</v>
      </c>
      <c r="CU3" t="s">
        <v>478</v>
      </c>
    </row>
    <row r="4" spans="1:99" x14ac:dyDescent="0.2">
      <c r="A4" s="19">
        <v>44087</v>
      </c>
      <c r="B4">
        <v>1</v>
      </c>
      <c r="C4" s="13" t="s">
        <v>384</v>
      </c>
      <c r="D4" s="17" t="s">
        <v>272</v>
      </c>
      <c r="E4" s="14" t="s">
        <v>287</v>
      </c>
      <c r="F4" t="s">
        <v>492</v>
      </c>
      <c r="G4">
        <v>17.32</v>
      </c>
      <c r="H4" t="s">
        <v>499</v>
      </c>
      <c r="I4">
        <v>7.1</v>
      </c>
      <c r="J4">
        <v>19</v>
      </c>
      <c r="K4">
        <v>69</v>
      </c>
      <c r="L4">
        <v>2</v>
      </c>
      <c r="M4" t="s">
        <v>493</v>
      </c>
      <c r="N4">
        <v>6.8</v>
      </c>
      <c r="O4">
        <v>1</v>
      </c>
      <c r="P4">
        <v>7</v>
      </c>
      <c r="Q4">
        <v>5</v>
      </c>
      <c r="R4" t="s">
        <v>91</v>
      </c>
      <c r="S4">
        <v>7.3</v>
      </c>
      <c r="T4">
        <v>33</v>
      </c>
      <c r="U4">
        <v>5</v>
      </c>
      <c r="V4" t="s">
        <v>496</v>
      </c>
      <c r="W4">
        <v>10.1</v>
      </c>
      <c r="X4">
        <v>51</v>
      </c>
      <c r="Y4">
        <v>9</v>
      </c>
      <c r="Z4" t="s">
        <v>135</v>
      </c>
      <c r="AA4">
        <v>3.7</v>
      </c>
      <c r="AB4">
        <v>17</v>
      </c>
      <c r="AC4">
        <v>5</v>
      </c>
      <c r="AD4">
        <v>9.5</v>
      </c>
      <c r="AE4">
        <v>45</v>
      </c>
      <c r="AF4">
        <v>6</v>
      </c>
      <c r="AG4" t="s">
        <v>501</v>
      </c>
      <c r="AH4" s="14">
        <v>8.5</v>
      </c>
      <c r="AI4">
        <v>45</v>
      </c>
      <c r="AJ4">
        <v>5</v>
      </c>
      <c r="AK4">
        <v>9</v>
      </c>
      <c r="AL4">
        <v>3</v>
      </c>
      <c r="AM4">
        <v>3</v>
      </c>
      <c r="AN4" s="21">
        <v>0.38636363636363635</v>
      </c>
      <c r="AO4" s="21">
        <v>6.8181818181818177E-2</v>
      </c>
      <c r="AP4" s="21">
        <v>0.33333333333333331</v>
      </c>
      <c r="AQ4">
        <v>11</v>
      </c>
      <c r="AR4">
        <v>36</v>
      </c>
      <c r="AS4">
        <v>20</v>
      </c>
      <c r="AT4">
        <v>8</v>
      </c>
      <c r="AU4">
        <v>67</v>
      </c>
      <c r="AV4">
        <v>13</v>
      </c>
      <c r="AW4">
        <v>0</v>
      </c>
      <c r="AX4">
        <v>315</v>
      </c>
      <c r="AY4">
        <v>193</v>
      </c>
      <c r="AZ4">
        <v>76</v>
      </c>
      <c r="BA4">
        <v>0</v>
      </c>
      <c r="BB4">
        <v>46</v>
      </c>
      <c r="BC4" t="s">
        <v>287</v>
      </c>
      <c r="BD4" s="14">
        <v>-11.164999999999999</v>
      </c>
      <c r="BE4" s="14">
        <v>-12.350000000000003</v>
      </c>
      <c r="BF4" s="14">
        <v>5.5</v>
      </c>
      <c r="BG4" s="14">
        <v>9</v>
      </c>
      <c r="BH4" s="14">
        <v>-7</v>
      </c>
      <c r="BI4" s="14">
        <v>1.2749999999999995</v>
      </c>
      <c r="BJ4" s="14">
        <v>-2.25</v>
      </c>
      <c r="BK4" s="14">
        <v>-6.5</v>
      </c>
      <c r="BL4" s="14">
        <v>3.5</v>
      </c>
      <c r="BM4" s="14">
        <v>-14.625</v>
      </c>
      <c r="BN4" s="14">
        <v>-66.5</v>
      </c>
      <c r="BO4" s="14">
        <v>-4.5</v>
      </c>
      <c r="BP4" s="14">
        <v>-0.52500000000000036</v>
      </c>
      <c r="BQ4" s="14">
        <v>-2</v>
      </c>
      <c r="BR4" s="14">
        <v>4</v>
      </c>
      <c r="BS4" s="14">
        <v>-1.8250000000000002</v>
      </c>
      <c r="BT4" s="14">
        <v>-9</v>
      </c>
      <c r="BU4" s="14">
        <v>1</v>
      </c>
      <c r="BV4" s="14">
        <v>-19.850000000000001</v>
      </c>
      <c r="BW4" s="14">
        <v>-81</v>
      </c>
      <c r="BX4" s="14">
        <v>-5</v>
      </c>
      <c r="BY4" s="48">
        <v>-4.7749999999999986</v>
      </c>
      <c r="BZ4" s="14">
        <v>-5.25</v>
      </c>
      <c r="CA4" s="14">
        <v>-1.25</v>
      </c>
      <c r="CB4" s="14">
        <v>-3.5</v>
      </c>
      <c r="CC4" s="14">
        <v>-0.25</v>
      </c>
      <c r="CD4" s="14">
        <v>-3.25</v>
      </c>
      <c r="CE4" s="14">
        <v>7.8750510078370806E-2</v>
      </c>
      <c r="CF4" s="14">
        <v>3.7619234725496581E-2</v>
      </c>
      <c r="CG4" s="14">
        <v>-0.20312499999999994</v>
      </c>
      <c r="CH4" s="14">
        <v>7.5</v>
      </c>
      <c r="CI4" s="14">
        <v>-6.25</v>
      </c>
      <c r="CJ4" s="14">
        <v>1.5</v>
      </c>
      <c r="CK4" s="14">
        <v>4.25</v>
      </c>
      <c r="CL4" s="14">
        <v>-0.25</v>
      </c>
      <c r="CM4" s="14">
        <v>-15</v>
      </c>
      <c r="CN4" s="14">
        <v>0</v>
      </c>
      <c r="CO4" s="14">
        <v>-96.75</v>
      </c>
      <c r="CP4" s="14">
        <v>-114.75</v>
      </c>
      <c r="CQ4" s="14">
        <v>-4</v>
      </c>
      <c r="CR4" s="14">
        <v>-4.75</v>
      </c>
      <c r="CS4" s="14">
        <v>26.75</v>
      </c>
      <c r="CT4" t="s">
        <v>267</v>
      </c>
      <c r="CU4" t="s">
        <v>502</v>
      </c>
    </row>
    <row r="5" spans="1:99" x14ac:dyDescent="0.2">
      <c r="A5" s="19">
        <v>44087</v>
      </c>
      <c r="B5">
        <v>1</v>
      </c>
      <c r="C5" s="13" t="s">
        <v>384</v>
      </c>
      <c r="D5" s="41" t="s">
        <v>276</v>
      </c>
      <c r="E5" s="14" t="s">
        <v>298</v>
      </c>
      <c r="F5" t="s">
        <v>503</v>
      </c>
      <c r="G5">
        <v>33.18</v>
      </c>
      <c r="H5" t="s">
        <v>504</v>
      </c>
      <c r="I5">
        <v>10.3</v>
      </c>
      <c r="J5">
        <v>9</v>
      </c>
      <c r="K5">
        <v>30</v>
      </c>
      <c r="L5">
        <v>7</v>
      </c>
      <c r="M5" t="s">
        <v>505</v>
      </c>
      <c r="N5">
        <v>11.7</v>
      </c>
      <c r="O5">
        <v>9</v>
      </c>
      <c r="P5">
        <v>11</v>
      </c>
      <c r="Q5">
        <v>4</v>
      </c>
      <c r="R5" t="s">
        <v>126</v>
      </c>
      <c r="S5">
        <v>19</v>
      </c>
      <c r="T5">
        <v>70</v>
      </c>
      <c r="U5">
        <v>10</v>
      </c>
      <c r="V5" t="s">
        <v>44</v>
      </c>
      <c r="W5">
        <v>16.600000000000001</v>
      </c>
      <c r="X5">
        <v>86</v>
      </c>
      <c r="Y5">
        <v>9</v>
      </c>
      <c r="Z5" t="s">
        <v>46</v>
      </c>
      <c r="AA5">
        <v>9.8000000000000007</v>
      </c>
      <c r="AB5">
        <v>58</v>
      </c>
      <c r="AC5">
        <v>7</v>
      </c>
      <c r="AD5">
        <v>21.5</v>
      </c>
      <c r="AE5">
        <v>105</v>
      </c>
      <c r="AF5">
        <v>15</v>
      </c>
      <c r="AG5" t="s">
        <v>173</v>
      </c>
      <c r="AH5" s="14">
        <v>4.5999999999999996</v>
      </c>
      <c r="AI5">
        <v>26</v>
      </c>
      <c r="AJ5">
        <v>3</v>
      </c>
      <c r="AK5">
        <v>7</v>
      </c>
      <c r="AL5">
        <v>4</v>
      </c>
      <c r="AM5">
        <v>8</v>
      </c>
      <c r="AN5" s="21">
        <v>0.28301886792452829</v>
      </c>
      <c r="AO5" s="21">
        <v>3.7735849056603772E-2</v>
      </c>
      <c r="AP5" s="21">
        <v>0.6</v>
      </c>
      <c r="AQ5">
        <v>7</v>
      </c>
      <c r="AR5">
        <v>46</v>
      </c>
      <c r="AS5">
        <v>18</v>
      </c>
      <c r="AT5">
        <v>14</v>
      </c>
      <c r="AU5">
        <v>81</v>
      </c>
      <c r="AV5">
        <v>27</v>
      </c>
      <c r="AW5">
        <v>0</v>
      </c>
      <c r="AX5">
        <v>410</v>
      </c>
      <c r="AY5">
        <v>312</v>
      </c>
      <c r="AZ5">
        <v>41</v>
      </c>
      <c r="BA5">
        <v>0</v>
      </c>
      <c r="BB5">
        <v>57</v>
      </c>
      <c r="BC5" t="s">
        <v>298</v>
      </c>
      <c r="BD5" s="14">
        <v>14.984000000000002</v>
      </c>
      <c r="BE5" s="14">
        <v>-7.5999999999999979</v>
      </c>
      <c r="BF5" s="14">
        <v>-7</v>
      </c>
      <c r="BG5" s="14">
        <v>-51.8</v>
      </c>
      <c r="BH5" s="14">
        <v>4.8</v>
      </c>
      <c r="BI5" s="14">
        <v>2.9600000000000009</v>
      </c>
      <c r="BJ5" s="14">
        <v>2.4000000000000004</v>
      </c>
      <c r="BK5" s="14">
        <v>-7</v>
      </c>
      <c r="BL5" s="14">
        <v>0.60000000000000009</v>
      </c>
      <c r="BM5" s="14">
        <v>5.4799999999999986</v>
      </c>
      <c r="BN5" s="14">
        <v>0.79999999999999716</v>
      </c>
      <c r="BO5" s="14">
        <v>4.5999999999999996</v>
      </c>
      <c r="BP5" s="14">
        <v>4.879999999999999</v>
      </c>
      <c r="BQ5" s="14">
        <v>34.799999999999997</v>
      </c>
      <c r="BR5" s="14">
        <v>4.2</v>
      </c>
      <c r="BS5" s="14">
        <v>4.4800000000000004</v>
      </c>
      <c r="BT5" s="14">
        <v>30.8</v>
      </c>
      <c r="BU5" s="14">
        <v>2.8</v>
      </c>
      <c r="BV5" s="14">
        <v>4.4399999999999977</v>
      </c>
      <c r="BW5" s="14">
        <v>26.400000000000006</v>
      </c>
      <c r="BX5" s="14">
        <v>7.4</v>
      </c>
      <c r="BY5" s="48">
        <v>-8.66</v>
      </c>
      <c r="BZ5" s="14">
        <v>-18.600000000000001</v>
      </c>
      <c r="CA5" s="14">
        <v>-1.4000000000000004</v>
      </c>
      <c r="CB5" s="14">
        <v>-3.5999999999999996</v>
      </c>
      <c r="CC5" s="14">
        <v>2</v>
      </c>
      <c r="CD5" s="14">
        <v>-3.8000000000000007</v>
      </c>
      <c r="CE5" s="14">
        <v>-4.2097713852494945E-2</v>
      </c>
      <c r="CF5" s="14">
        <v>-2.7308838133073554E-5</v>
      </c>
      <c r="CG5" s="14">
        <v>5.6666666666666643E-2</v>
      </c>
      <c r="CH5" s="14">
        <v>3</v>
      </c>
      <c r="CI5" s="14">
        <v>16.2</v>
      </c>
      <c r="CJ5" s="14">
        <v>-7.3999999999999986</v>
      </c>
      <c r="CK5" s="14">
        <v>10</v>
      </c>
      <c r="CL5" s="14">
        <v>20.6</v>
      </c>
      <c r="CM5" s="14">
        <v>-1.3999999999999986</v>
      </c>
      <c r="CN5" s="14">
        <v>-3.2</v>
      </c>
      <c r="CO5" s="14">
        <v>27.800000000000011</v>
      </c>
      <c r="CP5" s="14">
        <v>60.400000000000006</v>
      </c>
      <c r="CQ5" s="14">
        <v>-82.2</v>
      </c>
      <c r="CR5" s="14">
        <v>0</v>
      </c>
      <c r="CS5" s="14">
        <v>49.6</v>
      </c>
      <c r="CT5" t="s">
        <v>262</v>
      </c>
      <c r="CU5" t="s">
        <v>473</v>
      </c>
    </row>
    <row r="6" spans="1:99" x14ac:dyDescent="0.2">
      <c r="A6" s="19">
        <v>44087</v>
      </c>
      <c r="B6">
        <v>1</v>
      </c>
      <c r="C6" s="13" t="s">
        <v>384</v>
      </c>
      <c r="D6" s="41" t="s">
        <v>278</v>
      </c>
      <c r="E6" s="14" t="s">
        <v>310</v>
      </c>
      <c r="F6" t="s">
        <v>511</v>
      </c>
      <c r="G6">
        <v>13.14</v>
      </c>
      <c r="H6" t="s">
        <v>512</v>
      </c>
      <c r="I6">
        <v>16.600000000000001</v>
      </c>
      <c r="J6">
        <v>15</v>
      </c>
      <c r="K6">
        <v>78</v>
      </c>
      <c r="L6">
        <v>3</v>
      </c>
      <c r="M6" t="s">
        <v>513</v>
      </c>
      <c r="N6">
        <v>4.5</v>
      </c>
      <c r="O6">
        <v>7</v>
      </c>
      <c r="P6">
        <v>24</v>
      </c>
      <c r="Q6">
        <v>1</v>
      </c>
      <c r="R6" t="s">
        <v>514</v>
      </c>
      <c r="S6">
        <v>9.6</v>
      </c>
      <c r="T6">
        <v>56</v>
      </c>
      <c r="U6">
        <v>8</v>
      </c>
      <c r="V6" t="s">
        <v>170</v>
      </c>
      <c r="W6">
        <v>6.9</v>
      </c>
      <c r="X6">
        <v>29</v>
      </c>
      <c r="Y6">
        <v>5</v>
      </c>
      <c r="Z6" t="s">
        <v>517</v>
      </c>
      <c r="AA6">
        <v>2.8</v>
      </c>
      <c r="AB6">
        <v>18</v>
      </c>
      <c r="AC6">
        <v>3</v>
      </c>
      <c r="AD6">
        <v>9.1999999999999993</v>
      </c>
      <c r="AE6">
        <v>52</v>
      </c>
      <c r="AF6">
        <v>10</v>
      </c>
      <c r="AG6" t="s">
        <v>106</v>
      </c>
      <c r="AH6">
        <v>19.100000000000001</v>
      </c>
      <c r="AI6">
        <v>81</v>
      </c>
      <c r="AJ6">
        <v>6</v>
      </c>
      <c r="AK6">
        <v>2</v>
      </c>
      <c r="AL6">
        <v>0</v>
      </c>
      <c r="AM6">
        <v>4</v>
      </c>
      <c r="AN6" s="21">
        <v>0.29411764705882354</v>
      </c>
      <c r="AO6" s="21">
        <v>0</v>
      </c>
      <c r="AP6" s="21">
        <v>0.44444444444444442</v>
      </c>
      <c r="AQ6">
        <v>3</v>
      </c>
      <c r="AR6">
        <v>33</v>
      </c>
      <c r="AS6">
        <v>23</v>
      </c>
      <c r="AT6">
        <v>3</v>
      </c>
      <c r="AU6">
        <v>59</v>
      </c>
      <c r="AV6">
        <v>14</v>
      </c>
      <c r="AW6">
        <v>0</v>
      </c>
      <c r="AX6">
        <v>323</v>
      </c>
      <c r="AY6">
        <v>216</v>
      </c>
      <c r="AZ6">
        <v>102</v>
      </c>
      <c r="BA6">
        <v>0</v>
      </c>
      <c r="BB6">
        <v>5</v>
      </c>
      <c r="BC6" t="s">
        <v>310</v>
      </c>
      <c r="BD6" s="14">
        <v>-12.664999999999999</v>
      </c>
      <c r="BE6" s="14">
        <v>-1.4249999999999972</v>
      </c>
      <c r="BF6" s="14">
        <v>-2</v>
      </c>
      <c r="BG6" s="14">
        <v>-13.25</v>
      </c>
      <c r="BH6" s="14">
        <v>0</v>
      </c>
      <c r="BI6" s="14">
        <v>-3.2249999999999996</v>
      </c>
      <c r="BJ6" s="14">
        <v>1.75</v>
      </c>
      <c r="BK6" s="14">
        <v>0.25</v>
      </c>
      <c r="BL6" s="14">
        <v>-1.25</v>
      </c>
      <c r="BM6" s="14">
        <v>-9.3000000000000025</v>
      </c>
      <c r="BN6" s="14">
        <v>-29.5</v>
      </c>
      <c r="BO6" s="14">
        <v>-1</v>
      </c>
      <c r="BP6" s="14">
        <v>-14.199999999999998</v>
      </c>
      <c r="BQ6" s="14">
        <v>-59.5</v>
      </c>
      <c r="BR6" s="14">
        <v>-2.75</v>
      </c>
      <c r="BS6" s="14">
        <v>-5.55</v>
      </c>
      <c r="BT6" s="14">
        <v>-10.5</v>
      </c>
      <c r="BU6" s="14">
        <v>-1.5</v>
      </c>
      <c r="BV6" s="14">
        <v>-18.05</v>
      </c>
      <c r="BW6" s="14">
        <v>-70.5</v>
      </c>
      <c r="BX6" s="14">
        <v>-2.75</v>
      </c>
      <c r="BY6" s="48">
        <v>7.9250000000000007</v>
      </c>
      <c r="BZ6" s="14">
        <v>44.25</v>
      </c>
      <c r="CA6" s="14">
        <v>1.25</v>
      </c>
      <c r="CB6" s="14">
        <v>-3.75</v>
      </c>
      <c r="CC6" s="14">
        <v>-1.25</v>
      </c>
      <c r="CD6" s="14">
        <v>3.25</v>
      </c>
      <c r="CE6" s="14">
        <v>-7.2991196478591425E-2</v>
      </c>
      <c r="CF6" s="14">
        <v>-4.3673469387755105E-2</v>
      </c>
      <c r="CG6" s="14">
        <v>-0.2138888888888888</v>
      </c>
      <c r="CH6" s="14">
        <v>-1.5</v>
      </c>
      <c r="CI6" s="14">
        <v>-5.75</v>
      </c>
      <c r="CJ6" s="14">
        <v>0.75</v>
      </c>
      <c r="CK6" s="14">
        <v>-0.5</v>
      </c>
      <c r="CL6" s="14">
        <v>-6.25</v>
      </c>
      <c r="CM6" s="14">
        <v>-14</v>
      </c>
      <c r="CN6" s="14">
        <v>0</v>
      </c>
      <c r="CO6" s="14">
        <v>-124</v>
      </c>
      <c r="CP6" s="14">
        <v>-86.5</v>
      </c>
      <c r="CQ6" s="14">
        <v>-13</v>
      </c>
      <c r="CR6" s="14">
        <v>-10.25</v>
      </c>
      <c r="CS6" s="14">
        <v>-14.25</v>
      </c>
      <c r="CT6" t="s">
        <v>286</v>
      </c>
      <c r="CU6" t="s">
        <v>479</v>
      </c>
    </row>
    <row r="7" spans="1:99" x14ac:dyDescent="0.2">
      <c r="A7" s="19">
        <v>44087</v>
      </c>
      <c r="B7">
        <v>1</v>
      </c>
      <c r="C7" s="13" t="s">
        <v>384</v>
      </c>
      <c r="D7" s="41" t="s">
        <v>281</v>
      </c>
      <c r="E7" s="14" t="s">
        <v>305</v>
      </c>
      <c r="F7" t="s">
        <v>522</v>
      </c>
      <c r="G7">
        <v>10.86</v>
      </c>
      <c r="H7" t="s">
        <v>531</v>
      </c>
      <c r="I7">
        <v>6.6</v>
      </c>
      <c r="J7">
        <v>10</v>
      </c>
      <c r="K7">
        <v>60</v>
      </c>
      <c r="L7">
        <v>1</v>
      </c>
      <c r="M7" t="s">
        <v>523</v>
      </c>
      <c r="N7">
        <v>12.1</v>
      </c>
      <c r="O7">
        <v>13</v>
      </c>
      <c r="P7">
        <v>72</v>
      </c>
      <c r="Q7">
        <v>6</v>
      </c>
      <c r="R7" t="s">
        <v>51</v>
      </c>
      <c r="S7">
        <v>5.2</v>
      </c>
      <c r="T7">
        <v>22</v>
      </c>
      <c r="U7">
        <v>10</v>
      </c>
      <c r="V7" t="s">
        <v>52</v>
      </c>
      <c r="W7">
        <v>11.1</v>
      </c>
      <c r="X7">
        <v>61</v>
      </c>
      <c r="Y7">
        <v>6</v>
      </c>
      <c r="Z7" t="s">
        <v>532</v>
      </c>
      <c r="AA7">
        <v>2.2000000000000002</v>
      </c>
      <c r="AB7">
        <v>12</v>
      </c>
      <c r="AC7">
        <v>3</v>
      </c>
      <c r="AD7">
        <v>17.3</v>
      </c>
      <c r="AE7">
        <v>103</v>
      </c>
      <c r="AF7">
        <v>10</v>
      </c>
      <c r="AG7" t="s">
        <v>158</v>
      </c>
      <c r="AH7" s="14">
        <v>14</v>
      </c>
      <c r="AI7">
        <v>50</v>
      </c>
      <c r="AJ7">
        <v>3</v>
      </c>
      <c r="AK7">
        <v>0</v>
      </c>
      <c r="AL7">
        <v>0</v>
      </c>
      <c r="AM7">
        <v>0</v>
      </c>
      <c r="AN7" s="21">
        <v>0.2857142857142857</v>
      </c>
      <c r="AO7" s="21">
        <v>4.7619047619047616E-2</v>
      </c>
      <c r="AP7" s="21">
        <v>0.33333333333333331</v>
      </c>
      <c r="AQ7">
        <v>15</v>
      </c>
      <c r="AR7">
        <v>39</v>
      </c>
      <c r="AS7">
        <v>24</v>
      </c>
      <c r="AT7">
        <v>2</v>
      </c>
      <c r="AU7">
        <v>68</v>
      </c>
      <c r="AV7">
        <v>6</v>
      </c>
      <c r="AW7">
        <v>0</v>
      </c>
      <c r="AX7">
        <v>329</v>
      </c>
      <c r="AY7">
        <v>189</v>
      </c>
      <c r="AZ7">
        <v>137</v>
      </c>
      <c r="BA7">
        <v>0</v>
      </c>
      <c r="BB7">
        <v>3</v>
      </c>
      <c r="BC7" t="s">
        <v>305</v>
      </c>
      <c r="BD7" s="14">
        <v>-12.600000000000001</v>
      </c>
      <c r="BE7" s="14">
        <v>-9.1600000000000019</v>
      </c>
      <c r="BF7" s="14">
        <v>-5.4</v>
      </c>
      <c r="BG7" s="14">
        <v>-4.2000000000000028</v>
      </c>
      <c r="BH7" s="14">
        <v>-4</v>
      </c>
      <c r="BI7" s="14">
        <v>7.62</v>
      </c>
      <c r="BJ7" s="14">
        <v>12</v>
      </c>
      <c r="BK7" s="14">
        <v>70</v>
      </c>
      <c r="BL7" s="14">
        <v>3</v>
      </c>
      <c r="BM7" s="14">
        <v>-9.9400000000000013</v>
      </c>
      <c r="BN7" s="14">
        <v>-44.400000000000006</v>
      </c>
      <c r="BO7" s="14">
        <v>2.4000000000000004</v>
      </c>
      <c r="BP7" s="14">
        <v>0.37999999999999901</v>
      </c>
      <c r="BQ7" s="14">
        <v>7.7999999999999972</v>
      </c>
      <c r="BR7" s="14">
        <v>0.40000000000000036</v>
      </c>
      <c r="BS7" s="14">
        <v>-3.6399999999999988</v>
      </c>
      <c r="BT7" s="14">
        <v>-28.6</v>
      </c>
      <c r="BU7" s="14">
        <v>-1.7999999999999998</v>
      </c>
      <c r="BV7" s="14">
        <v>-2.379999999999999</v>
      </c>
      <c r="BW7" s="14">
        <v>-5.7999999999999972</v>
      </c>
      <c r="BX7" s="14">
        <v>-2</v>
      </c>
      <c r="BY7" s="48">
        <v>5.9</v>
      </c>
      <c r="BZ7" s="14">
        <v>9</v>
      </c>
      <c r="CA7" s="14">
        <v>-3</v>
      </c>
      <c r="CB7" s="14">
        <v>-3.6</v>
      </c>
      <c r="CC7" s="14">
        <v>-1.4</v>
      </c>
      <c r="CD7" s="14">
        <v>-4</v>
      </c>
      <c r="CE7" s="14">
        <v>-9.3373821456284756E-2</v>
      </c>
      <c r="CF7" s="14">
        <v>-4.344650547901506E-2</v>
      </c>
      <c r="CG7" s="14">
        <v>-0.23982683982683989</v>
      </c>
      <c r="CH7" s="14">
        <v>2.8000000000000007</v>
      </c>
      <c r="CI7" s="14">
        <v>0.39999999999999858</v>
      </c>
      <c r="CJ7" s="14">
        <v>6.1999999999999993</v>
      </c>
      <c r="CK7" s="14">
        <v>-2.4000000000000004</v>
      </c>
      <c r="CL7" s="14">
        <v>2.2000000000000028</v>
      </c>
      <c r="CM7" s="14">
        <v>-13.600000000000001</v>
      </c>
      <c r="CN7" s="14">
        <v>0</v>
      </c>
      <c r="CO7" s="14">
        <v>-48.199999999999989</v>
      </c>
      <c r="CP7" s="14">
        <v>-85</v>
      </c>
      <c r="CQ7" s="14">
        <v>66.400000000000006</v>
      </c>
      <c r="CR7" s="14">
        <v>-7</v>
      </c>
      <c r="CS7" s="14">
        <v>-22.6</v>
      </c>
      <c r="CT7" t="s">
        <v>268</v>
      </c>
      <c r="CU7" t="s">
        <v>500</v>
      </c>
    </row>
    <row r="8" spans="1:99" x14ac:dyDescent="0.2">
      <c r="A8" s="19">
        <v>44087</v>
      </c>
      <c r="B8">
        <v>1</v>
      </c>
      <c r="C8" s="13" t="s">
        <v>384</v>
      </c>
      <c r="D8" s="41" t="s">
        <v>284</v>
      </c>
      <c r="E8" s="14" t="s">
        <v>307</v>
      </c>
      <c r="F8" t="s">
        <v>533</v>
      </c>
      <c r="G8">
        <v>22.46</v>
      </c>
      <c r="H8" t="s">
        <v>534</v>
      </c>
      <c r="I8">
        <v>10.199999999999999</v>
      </c>
      <c r="J8">
        <v>17</v>
      </c>
      <c r="K8">
        <v>66</v>
      </c>
      <c r="L8">
        <v>3</v>
      </c>
      <c r="M8" t="s">
        <v>535</v>
      </c>
      <c r="N8">
        <v>2.9</v>
      </c>
      <c r="O8">
        <v>5</v>
      </c>
      <c r="P8">
        <v>5</v>
      </c>
      <c r="Q8">
        <v>1</v>
      </c>
      <c r="R8" t="s">
        <v>92</v>
      </c>
      <c r="S8">
        <v>13.9</v>
      </c>
      <c r="T8">
        <v>79</v>
      </c>
      <c r="U8">
        <v>7</v>
      </c>
      <c r="V8" t="s">
        <v>20</v>
      </c>
      <c r="W8">
        <v>7.2</v>
      </c>
      <c r="X8">
        <v>2</v>
      </c>
      <c r="Y8">
        <v>4</v>
      </c>
      <c r="Z8" t="s">
        <v>162</v>
      </c>
      <c r="AA8">
        <v>12.9</v>
      </c>
      <c r="AB8">
        <v>73</v>
      </c>
      <c r="AC8">
        <v>6</v>
      </c>
      <c r="AD8">
        <v>25</v>
      </c>
      <c r="AE8">
        <v>90</v>
      </c>
      <c r="AF8">
        <v>14</v>
      </c>
      <c r="AG8" t="s">
        <v>74</v>
      </c>
      <c r="AH8" s="14">
        <v>13.6</v>
      </c>
      <c r="AI8">
        <v>36</v>
      </c>
      <c r="AJ8">
        <v>6</v>
      </c>
      <c r="AK8">
        <v>4</v>
      </c>
      <c r="AL8">
        <v>2</v>
      </c>
      <c r="AM8">
        <v>0</v>
      </c>
      <c r="AN8" s="21">
        <v>0.31707317073170732</v>
      </c>
      <c r="AO8" s="21">
        <v>7.3170731707317069E-2</v>
      </c>
      <c r="AP8" s="21">
        <v>0.625</v>
      </c>
      <c r="AQ8">
        <v>17</v>
      </c>
      <c r="AR8">
        <v>36</v>
      </c>
      <c r="AS8">
        <v>22</v>
      </c>
      <c r="AT8">
        <v>3</v>
      </c>
      <c r="AU8">
        <v>57</v>
      </c>
      <c r="AV8">
        <v>23</v>
      </c>
      <c r="AW8">
        <v>0</v>
      </c>
      <c r="AX8">
        <v>325</v>
      </c>
      <c r="AY8">
        <v>239</v>
      </c>
      <c r="AZ8">
        <v>71</v>
      </c>
      <c r="BA8">
        <v>6</v>
      </c>
      <c r="BB8">
        <v>9</v>
      </c>
      <c r="BC8" t="s">
        <v>307</v>
      </c>
      <c r="BD8" s="14">
        <v>-2.009999999999998</v>
      </c>
      <c r="BE8" s="14">
        <v>-3.3250000000000011</v>
      </c>
      <c r="BF8" s="14">
        <v>-0.25</v>
      </c>
      <c r="BG8" s="14">
        <v>0</v>
      </c>
      <c r="BH8" s="14">
        <v>-0.75</v>
      </c>
      <c r="BI8" s="14">
        <v>-5.0749999999999993</v>
      </c>
      <c r="BJ8" s="14">
        <v>0.5</v>
      </c>
      <c r="BK8" s="14">
        <v>-15.5</v>
      </c>
      <c r="BL8" s="14">
        <v>-0.75</v>
      </c>
      <c r="BM8" s="14">
        <v>-0.57499999999999929</v>
      </c>
      <c r="BN8" s="14">
        <v>18.75</v>
      </c>
      <c r="BO8" s="14">
        <v>1.75</v>
      </c>
      <c r="BP8" s="14">
        <v>-4.95</v>
      </c>
      <c r="BQ8" s="14">
        <v>-44.5</v>
      </c>
      <c r="BR8" s="14">
        <v>0</v>
      </c>
      <c r="BS8" s="14">
        <v>9.375</v>
      </c>
      <c r="BT8" s="14">
        <v>49.25</v>
      </c>
      <c r="BU8" s="14">
        <v>3.75</v>
      </c>
      <c r="BV8" s="14">
        <v>9.4249999999999989</v>
      </c>
      <c r="BW8" s="14">
        <v>31.75</v>
      </c>
      <c r="BX8" s="14">
        <v>6.75</v>
      </c>
      <c r="BY8" s="48">
        <v>-4.0750000000000011</v>
      </c>
      <c r="BZ8" s="14">
        <v>-10.75</v>
      </c>
      <c r="CA8" s="14">
        <v>-2.25</v>
      </c>
      <c r="CB8" s="14">
        <v>-4.25</v>
      </c>
      <c r="CC8" s="14">
        <v>0.5</v>
      </c>
      <c r="CD8" s="14">
        <v>-2</v>
      </c>
      <c r="CE8" s="14">
        <v>-6.3046859736620331E-2</v>
      </c>
      <c r="CF8" s="14">
        <v>7.3904722351071234E-3</v>
      </c>
      <c r="CG8" s="14">
        <v>2.6098901098901117E-2</v>
      </c>
      <c r="CH8" s="14">
        <v>15</v>
      </c>
      <c r="CI8" s="14">
        <v>2.25</v>
      </c>
      <c r="CJ8" s="14">
        <v>-2.75</v>
      </c>
      <c r="CK8" s="14">
        <v>0</v>
      </c>
      <c r="CL8" s="14">
        <v>-8</v>
      </c>
      <c r="CM8" s="14">
        <v>-8.75</v>
      </c>
      <c r="CN8" s="14">
        <v>0</v>
      </c>
      <c r="CO8" s="14">
        <v>-38</v>
      </c>
      <c r="CP8" s="14">
        <v>-20.25</v>
      </c>
      <c r="CQ8" s="14">
        <v>-21</v>
      </c>
      <c r="CR8" s="14">
        <v>5.25</v>
      </c>
      <c r="CS8" s="14">
        <v>-2</v>
      </c>
      <c r="CT8" t="s">
        <v>269</v>
      </c>
      <c r="CU8" t="s">
        <v>457</v>
      </c>
    </row>
    <row r="9" spans="1:99" x14ac:dyDescent="0.2">
      <c r="A9" s="19">
        <v>44087</v>
      </c>
      <c r="B9">
        <v>1</v>
      </c>
      <c r="C9" s="13" t="s">
        <v>384</v>
      </c>
      <c r="D9" s="41" t="s">
        <v>285</v>
      </c>
      <c r="E9" s="14" t="s">
        <v>256</v>
      </c>
      <c r="F9" t="s">
        <v>541</v>
      </c>
      <c r="G9">
        <v>27.3</v>
      </c>
      <c r="H9" t="s">
        <v>542</v>
      </c>
      <c r="I9">
        <v>14.5</v>
      </c>
      <c r="J9">
        <v>16</v>
      </c>
      <c r="K9">
        <v>60</v>
      </c>
      <c r="L9">
        <v>2</v>
      </c>
      <c r="M9" t="s">
        <v>543</v>
      </c>
      <c r="N9">
        <v>13.5</v>
      </c>
      <c r="O9">
        <v>6</v>
      </c>
      <c r="P9">
        <v>26</v>
      </c>
      <c r="Q9">
        <v>5</v>
      </c>
      <c r="R9" t="s">
        <v>22</v>
      </c>
      <c r="S9">
        <v>32.1</v>
      </c>
      <c r="T9">
        <v>151</v>
      </c>
      <c r="U9">
        <v>16</v>
      </c>
      <c r="V9" t="s">
        <v>17</v>
      </c>
      <c r="W9">
        <v>7.4</v>
      </c>
      <c r="X9">
        <v>34</v>
      </c>
      <c r="Y9">
        <v>5</v>
      </c>
      <c r="Z9" t="s">
        <v>50</v>
      </c>
      <c r="AA9">
        <v>1</v>
      </c>
      <c r="AB9">
        <v>0</v>
      </c>
      <c r="AC9">
        <v>5</v>
      </c>
      <c r="AD9">
        <v>12.5</v>
      </c>
      <c r="AE9">
        <v>65</v>
      </c>
      <c r="AF9">
        <v>8</v>
      </c>
      <c r="AG9" t="s">
        <v>544</v>
      </c>
      <c r="AH9" s="14">
        <v>4.0999999999999996</v>
      </c>
      <c r="AI9">
        <v>21</v>
      </c>
      <c r="AJ9">
        <v>2</v>
      </c>
      <c r="AK9">
        <v>6</v>
      </c>
      <c r="AL9">
        <v>3</v>
      </c>
      <c r="AM9">
        <v>6</v>
      </c>
      <c r="AN9" s="21">
        <v>0.23529411764705882</v>
      </c>
      <c r="AO9" s="21">
        <v>1.9607843137254902E-2</v>
      </c>
      <c r="AP9" s="21">
        <v>0.4</v>
      </c>
      <c r="AQ9">
        <v>4</v>
      </c>
      <c r="AR9">
        <v>40</v>
      </c>
      <c r="AS9">
        <v>22</v>
      </c>
      <c r="AT9">
        <v>13</v>
      </c>
      <c r="AU9">
        <v>78</v>
      </c>
      <c r="AV9">
        <v>24</v>
      </c>
      <c r="AW9">
        <v>0</v>
      </c>
      <c r="AX9">
        <v>410</v>
      </c>
      <c r="AY9">
        <v>230</v>
      </c>
      <c r="AZ9">
        <v>86</v>
      </c>
      <c r="BA9">
        <v>0</v>
      </c>
      <c r="BB9">
        <v>94</v>
      </c>
      <c r="BC9" t="s">
        <v>256</v>
      </c>
      <c r="BD9" s="14">
        <v>9.2280000000000015</v>
      </c>
      <c r="BE9" s="14">
        <v>5.0600000000000005</v>
      </c>
      <c r="BF9" s="14">
        <v>3</v>
      </c>
      <c r="BG9" s="14">
        <v>9.2000000000000028</v>
      </c>
      <c r="BH9" s="14">
        <v>-0.79999999999999982</v>
      </c>
      <c r="BI9" s="14">
        <v>9.6</v>
      </c>
      <c r="BJ9" s="14">
        <v>2.4</v>
      </c>
      <c r="BK9" s="14">
        <v>16.600000000000001</v>
      </c>
      <c r="BL9" s="14">
        <v>3</v>
      </c>
      <c r="BM9" s="14">
        <v>20.100000000000001</v>
      </c>
      <c r="BN9" s="14">
        <v>105.2</v>
      </c>
      <c r="BO9" s="14">
        <v>9.1999999999999993</v>
      </c>
      <c r="BP9" s="14">
        <v>-5.3000000000000007</v>
      </c>
      <c r="BQ9" s="14">
        <v>-23</v>
      </c>
      <c r="BR9" s="14">
        <v>-1.5999999999999996</v>
      </c>
      <c r="BS9" s="14">
        <v>-5.34</v>
      </c>
      <c r="BT9" s="14">
        <v>-27</v>
      </c>
      <c r="BU9" s="14">
        <v>1.6</v>
      </c>
      <c r="BV9" s="14">
        <v>-6.5</v>
      </c>
      <c r="BW9" s="14">
        <v>-11</v>
      </c>
      <c r="BX9" s="14">
        <v>-1</v>
      </c>
      <c r="BY9" s="48">
        <v>-3.160000000000001</v>
      </c>
      <c r="BZ9" s="14">
        <v>-20.799999999999997</v>
      </c>
      <c r="CA9" s="14">
        <v>-2.8</v>
      </c>
      <c r="CB9" s="14">
        <v>-4.5999999999999996</v>
      </c>
      <c r="CC9" s="14">
        <v>0.60000000000000009</v>
      </c>
      <c r="CD9" s="14">
        <v>-0.40000000000000036</v>
      </c>
      <c r="CE9" s="14">
        <v>-0.13357104628451877</v>
      </c>
      <c r="CF9" s="14">
        <v>-2.8253365862474025E-2</v>
      </c>
      <c r="CG9" s="14">
        <v>-0.21904761904761905</v>
      </c>
      <c r="CH9" s="14">
        <v>-1</v>
      </c>
      <c r="CI9" s="14">
        <v>8.3999999999999986</v>
      </c>
      <c r="CJ9" s="14">
        <v>2.8000000000000007</v>
      </c>
      <c r="CK9" s="14">
        <v>8.6</v>
      </c>
      <c r="CL9" s="14">
        <v>20</v>
      </c>
      <c r="CM9" s="14">
        <v>4.1999999999999993</v>
      </c>
      <c r="CN9" s="14">
        <v>-1.4</v>
      </c>
      <c r="CO9" s="14">
        <v>97.399999999999977</v>
      </c>
      <c r="CP9" s="14">
        <v>10.199999999999989</v>
      </c>
      <c r="CQ9" s="14">
        <v>22.6</v>
      </c>
      <c r="CR9" s="14">
        <v>-3</v>
      </c>
      <c r="CS9" s="14">
        <v>67.599999999999994</v>
      </c>
      <c r="CT9" t="s">
        <v>257</v>
      </c>
      <c r="CU9" t="s">
        <v>547</v>
      </c>
    </row>
    <row r="10" spans="1:99" x14ac:dyDescent="0.2">
      <c r="A10" s="19">
        <v>44087</v>
      </c>
      <c r="B10">
        <v>1</v>
      </c>
      <c r="C10" s="13" t="s">
        <v>384</v>
      </c>
      <c r="D10" s="41" t="s">
        <v>289</v>
      </c>
      <c r="E10" s="14" t="s">
        <v>297</v>
      </c>
      <c r="F10" t="s">
        <v>548</v>
      </c>
      <c r="G10">
        <v>19.82</v>
      </c>
      <c r="H10" t="s">
        <v>550</v>
      </c>
      <c r="I10">
        <v>27.3</v>
      </c>
      <c r="J10">
        <v>7</v>
      </c>
      <c r="K10">
        <v>28</v>
      </c>
      <c r="L10">
        <v>8</v>
      </c>
      <c r="M10" t="s">
        <v>549</v>
      </c>
      <c r="N10">
        <v>14.9</v>
      </c>
      <c r="O10">
        <v>9</v>
      </c>
      <c r="P10">
        <v>22</v>
      </c>
      <c r="Q10">
        <v>6</v>
      </c>
      <c r="R10" t="s">
        <v>182</v>
      </c>
      <c r="S10">
        <v>9.3000000000000007</v>
      </c>
      <c r="T10">
        <v>53</v>
      </c>
      <c r="U10">
        <v>9</v>
      </c>
      <c r="V10" t="s">
        <v>556</v>
      </c>
      <c r="W10">
        <v>14</v>
      </c>
      <c r="X10">
        <v>71</v>
      </c>
      <c r="Y10">
        <v>9</v>
      </c>
      <c r="Z10" t="s">
        <v>96</v>
      </c>
      <c r="AA10">
        <v>3.8</v>
      </c>
      <c r="AB10">
        <v>18</v>
      </c>
      <c r="AC10">
        <v>3</v>
      </c>
      <c r="AD10">
        <v>22.9</v>
      </c>
      <c r="AE10">
        <v>119</v>
      </c>
      <c r="AF10">
        <v>15</v>
      </c>
      <c r="AG10" t="s">
        <v>136</v>
      </c>
      <c r="AH10" s="14">
        <v>7.9</v>
      </c>
      <c r="AI10">
        <v>49</v>
      </c>
      <c r="AJ10">
        <v>4</v>
      </c>
      <c r="AK10">
        <v>7</v>
      </c>
      <c r="AL10">
        <v>3</v>
      </c>
      <c r="AM10">
        <v>4</v>
      </c>
      <c r="AN10" s="21">
        <v>0.1276595744680851</v>
      </c>
      <c r="AO10" s="21">
        <v>0</v>
      </c>
      <c r="AP10" s="21">
        <v>0.8</v>
      </c>
      <c r="AQ10">
        <v>6</v>
      </c>
      <c r="AR10">
        <v>46</v>
      </c>
      <c r="AS10">
        <v>20</v>
      </c>
      <c r="AT10">
        <v>1</v>
      </c>
      <c r="AU10">
        <v>69</v>
      </c>
      <c r="AV10">
        <v>20</v>
      </c>
      <c r="AW10">
        <v>0</v>
      </c>
      <c r="AX10">
        <v>451</v>
      </c>
      <c r="AY10">
        <v>363</v>
      </c>
      <c r="AZ10">
        <v>76</v>
      </c>
      <c r="BA10">
        <v>9</v>
      </c>
      <c r="BB10">
        <v>3</v>
      </c>
      <c r="BC10" t="s">
        <v>297</v>
      </c>
      <c r="BD10" s="14">
        <v>-3.0280000000000022</v>
      </c>
      <c r="BE10" s="14">
        <v>4.9800000000000004</v>
      </c>
      <c r="BF10" s="14">
        <v>-13.600000000000001</v>
      </c>
      <c r="BG10" s="14">
        <v>-74.599999999999994</v>
      </c>
      <c r="BH10" s="14">
        <v>3.8</v>
      </c>
      <c r="BI10" s="14">
        <v>9.98</v>
      </c>
      <c r="BJ10" s="14">
        <v>4</v>
      </c>
      <c r="BK10" s="14">
        <v>6.6</v>
      </c>
      <c r="BL10" s="14">
        <v>5.6</v>
      </c>
      <c r="BM10" s="14">
        <v>-5.5399999999999974</v>
      </c>
      <c r="BN10" s="14">
        <v>-16.599999999999994</v>
      </c>
      <c r="BO10" s="14">
        <v>2.5999999999999996</v>
      </c>
      <c r="BP10" s="14">
        <v>1.1999999999999993</v>
      </c>
      <c r="BQ10" s="14">
        <v>21</v>
      </c>
      <c r="BR10" s="14">
        <v>3.5999999999999996</v>
      </c>
      <c r="BS10" s="14">
        <v>-3.8</v>
      </c>
      <c r="BT10" s="14">
        <v>-17.399999999999999</v>
      </c>
      <c r="BU10" s="14">
        <v>-1.2000000000000002</v>
      </c>
      <c r="BV10" s="14">
        <v>-5.8799999999999955</v>
      </c>
      <c r="BW10" s="14">
        <v>11.200000000000003</v>
      </c>
      <c r="BX10" s="14">
        <v>4.4000000000000004</v>
      </c>
      <c r="BY10" s="48">
        <v>-4.8999999999999986</v>
      </c>
      <c r="BZ10" s="14">
        <v>5</v>
      </c>
      <c r="CA10" s="14">
        <v>0</v>
      </c>
      <c r="CB10" s="14">
        <v>-4.8000000000000007</v>
      </c>
      <c r="CC10" s="14">
        <v>0.39999999999999991</v>
      </c>
      <c r="CD10" s="14">
        <v>-3.4000000000000004</v>
      </c>
      <c r="CE10" s="14">
        <v>-0.17641108829994609</v>
      </c>
      <c r="CF10" s="14">
        <v>-2.0670565302144249E-2</v>
      </c>
      <c r="CG10" s="14">
        <v>8.6111111111111249E-2</v>
      </c>
      <c r="CH10" s="14">
        <v>4.5999999999999996</v>
      </c>
      <c r="CI10" s="14">
        <v>16.8</v>
      </c>
      <c r="CJ10" s="14">
        <v>-7.3999999999999986</v>
      </c>
      <c r="CK10" s="14">
        <v>-3.4000000000000004</v>
      </c>
      <c r="CL10" s="14">
        <v>6</v>
      </c>
      <c r="CM10" s="14">
        <v>-12.200000000000003</v>
      </c>
      <c r="CN10" s="14">
        <v>0</v>
      </c>
      <c r="CO10" s="14">
        <v>39.800000000000011</v>
      </c>
      <c r="CP10" s="14">
        <v>106.80000000000001</v>
      </c>
      <c r="CQ10" s="14">
        <v>-46</v>
      </c>
      <c r="CR10" s="14">
        <v>-4</v>
      </c>
      <c r="CS10" s="14">
        <v>-17</v>
      </c>
      <c r="CT10" t="s">
        <v>474</v>
      </c>
      <c r="CU10" t="s">
        <v>475</v>
      </c>
    </row>
    <row r="11" spans="1:99" x14ac:dyDescent="0.2">
      <c r="A11" s="19">
        <v>44087</v>
      </c>
      <c r="B11">
        <v>1</v>
      </c>
      <c r="C11" s="13" t="s">
        <v>384</v>
      </c>
      <c r="D11" s="41" t="s">
        <v>287</v>
      </c>
      <c r="E11" s="14" t="s">
        <v>272</v>
      </c>
      <c r="F11" t="s">
        <v>563</v>
      </c>
      <c r="G11">
        <v>9.02</v>
      </c>
      <c r="H11" t="s">
        <v>561</v>
      </c>
      <c r="I11">
        <v>9.6999999999999993</v>
      </c>
      <c r="J11">
        <v>19</v>
      </c>
      <c r="K11">
        <v>84</v>
      </c>
      <c r="L11">
        <v>1</v>
      </c>
      <c r="M11" t="s">
        <v>559</v>
      </c>
      <c r="N11">
        <v>12</v>
      </c>
      <c r="O11">
        <v>12</v>
      </c>
      <c r="P11">
        <v>60</v>
      </c>
      <c r="Q11">
        <v>0</v>
      </c>
      <c r="R11" t="s">
        <v>62</v>
      </c>
      <c r="S11">
        <v>7.7</v>
      </c>
      <c r="T11">
        <v>37</v>
      </c>
      <c r="U11">
        <v>8</v>
      </c>
      <c r="V11" t="s">
        <v>83</v>
      </c>
      <c r="W11">
        <v>10.9</v>
      </c>
      <c r="X11">
        <v>69</v>
      </c>
      <c r="Y11">
        <v>9</v>
      </c>
      <c r="Z11" t="s">
        <v>560</v>
      </c>
      <c r="AA11">
        <v>2.6</v>
      </c>
      <c r="AB11">
        <v>16</v>
      </c>
      <c r="AC11">
        <v>1</v>
      </c>
      <c r="AD11">
        <v>6.3</v>
      </c>
      <c r="AE11">
        <v>43</v>
      </c>
      <c r="AF11">
        <v>5</v>
      </c>
      <c r="AG11" t="s">
        <v>117</v>
      </c>
      <c r="AH11" s="14">
        <v>12.3</v>
      </c>
      <c r="AI11">
        <v>73</v>
      </c>
      <c r="AJ11">
        <v>8</v>
      </c>
      <c r="AK11">
        <v>10</v>
      </c>
      <c r="AL11">
        <v>4</v>
      </c>
      <c r="AM11">
        <v>11</v>
      </c>
      <c r="AN11" s="21">
        <v>0.3235294117647059</v>
      </c>
      <c r="AO11" s="21">
        <v>2.9411764705882353E-2</v>
      </c>
      <c r="AP11" s="21">
        <v>0.5714285714285714</v>
      </c>
      <c r="AQ11">
        <v>3</v>
      </c>
      <c r="AR11">
        <v>30</v>
      </c>
      <c r="AS11">
        <v>31</v>
      </c>
      <c r="AT11">
        <v>6</v>
      </c>
      <c r="AU11">
        <v>71</v>
      </c>
      <c r="AV11">
        <v>16</v>
      </c>
      <c r="AW11">
        <v>0</v>
      </c>
      <c r="AX11">
        <v>363</v>
      </c>
      <c r="AY11">
        <v>208</v>
      </c>
      <c r="AZ11">
        <v>148</v>
      </c>
      <c r="BA11">
        <v>0</v>
      </c>
      <c r="BB11">
        <v>7</v>
      </c>
      <c r="BC11" t="s">
        <v>272</v>
      </c>
      <c r="BD11" s="14">
        <v>-12.568000000000001</v>
      </c>
      <c r="BE11" s="14">
        <v>-6.2799999999999994</v>
      </c>
      <c r="BF11" s="14">
        <v>3</v>
      </c>
      <c r="BG11" s="14">
        <v>1.7999999999999972</v>
      </c>
      <c r="BH11" s="14">
        <v>-2.4</v>
      </c>
      <c r="BI11" s="14">
        <v>3.7799999999999994</v>
      </c>
      <c r="BJ11" s="14">
        <v>9.1999999999999993</v>
      </c>
      <c r="BK11" s="14">
        <v>34.4</v>
      </c>
      <c r="BL11" s="14">
        <v>-2.2000000000000002</v>
      </c>
      <c r="BM11" s="14">
        <v>-10.180000000000003</v>
      </c>
      <c r="BN11" s="14">
        <v>-28.799999999999997</v>
      </c>
      <c r="BO11" s="14">
        <v>-0.19999999999999929</v>
      </c>
      <c r="BP11" s="14">
        <v>1.2799999999999994</v>
      </c>
      <c r="BQ11" s="14">
        <v>26.200000000000003</v>
      </c>
      <c r="BR11" s="14">
        <v>4.5999999999999996</v>
      </c>
      <c r="BS11" s="14">
        <v>-5.0399999999999991</v>
      </c>
      <c r="BT11" s="14">
        <v>-26.4</v>
      </c>
      <c r="BU11" s="14">
        <v>-3.4000000000000004</v>
      </c>
      <c r="BV11" s="14">
        <v>-12.739999999999998</v>
      </c>
      <c r="BW11" s="14">
        <v>-43.400000000000006</v>
      </c>
      <c r="BX11" s="14">
        <v>-6.4</v>
      </c>
      <c r="BY11" s="48">
        <v>-8.0000000000000071E-2</v>
      </c>
      <c r="BZ11" s="14">
        <v>27.4</v>
      </c>
      <c r="CA11" s="14">
        <v>1.2000000000000002</v>
      </c>
      <c r="CB11" s="14">
        <v>0</v>
      </c>
      <c r="CC11" s="14">
        <v>1.6</v>
      </c>
      <c r="CD11" s="14">
        <v>2.1999999999999993</v>
      </c>
      <c r="CE11" s="14">
        <v>4.291280614810028E-2</v>
      </c>
      <c r="CF11" s="14">
        <v>-4.2085039143862635E-3</v>
      </c>
      <c r="CG11" s="14">
        <v>-0.13142857142857145</v>
      </c>
      <c r="CH11" s="14">
        <v>-0.39999999999999991</v>
      </c>
      <c r="CI11" s="14">
        <v>-8.2000000000000028</v>
      </c>
      <c r="CJ11" s="14">
        <v>10</v>
      </c>
      <c r="CK11" s="14">
        <v>2</v>
      </c>
      <c r="CL11" s="14">
        <v>5.2000000000000028</v>
      </c>
      <c r="CM11" s="14">
        <v>-10.8</v>
      </c>
      <c r="CN11" s="14">
        <v>-1.4</v>
      </c>
      <c r="CO11" s="14">
        <v>-46</v>
      </c>
      <c r="CP11" s="14">
        <v>-61.199999999999989</v>
      </c>
      <c r="CQ11" s="14">
        <v>34.400000000000006</v>
      </c>
      <c r="CR11" s="14">
        <v>-8.6</v>
      </c>
      <c r="CS11" s="14">
        <v>-10.600000000000001</v>
      </c>
      <c r="CT11" t="s">
        <v>277</v>
      </c>
      <c r="CU11" t="s">
        <v>528</v>
      </c>
    </row>
    <row r="12" spans="1:99" x14ac:dyDescent="0.2">
      <c r="A12" s="19">
        <v>44087</v>
      </c>
      <c r="B12">
        <v>1</v>
      </c>
      <c r="C12" s="13" t="s">
        <v>384</v>
      </c>
      <c r="D12" s="41" t="s">
        <v>288</v>
      </c>
      <c r="E12" s="14" t="s">
        <v>311</v>
      </c>
      <c r="F12" t="s">
        <v>564</v>
      </c>
      <c r="G12">
        <v>20.440000000000001</v>
      </c>
      <c r="H12" t="s">
        <v>565</v>
      </c>
      <c r="I12">
        <v>22.8</v>
      </c>
      <c r="J12">
        <v>25</v>
      </c>
      <c r="K12">
        <v>138</v>
      </c>
      <c r="L12">
        <v>2</v>
      </c>
      <c r="M12" t="s">
        <v>569</v>
      </c>
      <c r="N12">
        <v>5</v>
      </c>
      <c r="O12">
        <v>7</v>
      </c>
      <c r="P12">
        <v>23</v>
      </c>
      <c r="Q12">
        <v>2</v>
      </c>
      <c r="R12" t="s">
        <v>168</v>
      </c>
      <c r="S12">
        <v>15.6</v>
      </c>
      <c r="T12">
        <v>46</v>
      </c>
      <c r="U12">
        <v>9</v>
      </c>
      <c r="V12" t="s">
        <v>18</v>
      </c>
      <c r="W12">
        <v>21.5</v>
      </c>
      <c r="X12">
        <v>82</v>
      </c>
      <c r="Y12">
        <v>9</v>
      </c>
      <c r="Z12" t="s">
        <v>568</v>
      </c>
      <c r="AA12">
        <v>5</v>
      </c>
      <c r="AB12">
        <v>20</v>
      </c>
      <c r="AC12">
        <v>6</v>
      </c>
      <c r="AD12">
        <v>28.2</v>
      </c>
      <c r="AE12">
        <v>112</v>
      </c>
      <c r="AF12">
        <v>12</v>
      </c>
      <c r="AG12" t="s">
        <v>19</v>
      </c>
      <c r="AH12" s="14">
        <v>17</v>
      </c>
      <c r="AI12">
        <v>50</v>
      </c>
      <c r="AJ12">
        <v>6</v>
      </c>
      <c r="AK12">
        <v>10</v>
      </c>
      <c r="AL12">
        <v>2</v>
      </c>
      <c r="AM12">
        <v>7</v>
      </c>
      <c r="AN12" s="21">
        <v>0.18181818181818182</v>
      </c>
      <c r="AO12" s="21">
        <v>3.0303030303030304E-2</v>
      </c>
      <c r="AP12" s="21">
        <v>1</v>
      </c>
      <c r="AQ12">
        <v>0</v>
      </c>
      <c r="AR12">
        <v>32</v>
      </c>
      <c r="AS12">
        <v>33</v>
      </c>
      <c r="AT12">
        <v>0</v>
      </c>
      <c r="AU12">
        <v>67</v>
      </c>
      <c r="AV12">
        <v>34</v>
      </c>
      <c r="AW12">
        <v>0</v>
      </c>
      <c r="AX12">
        <v>377</v>
      </c>
      <c r="AY12">
        <v>211</v>
      </c>
      <c r="AZ12">
        <v>163</v>
      </c>
      <c r="BA12">
        <v>3</v>
      </c>
      <c r="BB12">
        <v>0</v>
      </c>
      <c r="BC12" t="s">
        <v>311</v>
      </c>
      <c r="BD12" s="14">
        <v>-1.3840000000000003</v>
      </c>
      <c r="BE12" s="14">
        <v>-3.1199999999999974</v>
      </c>
      <c r="BF12" s="14">
        <v>7.1999999999999993</v>
      </c>
      <c r="BG12" s="14">
        <v>27.200000000000003</v>
      </c>
      <c r="BH12" s="14">
        <v>-2.4000000000000004</v>
      </c>
      <c r="BI12" s="14">
        <v>-2.2599999999999998</v>
      </c>
      <c r="BJ12" s="14">
        <v>1</v>
      </c>
      <c r="BK12" s="14">
        <v>-15</v>
      </c>
      <c r="BL12" s="14">
        <v>0.39999999999999991</v>
      </c>
      <c r="BM12" s="14">
        <v>-0.81999999999999851</v>
      </c>
      <c r="BN12" s="14">
        <v>-8.6000000000000014</v>
      </c>
      <c r="BO12" s="14">
        <v>2.5999999999999996</v>
      </c>
      <c r="BP12" s="14">
        <v>8.1</v>
      </c>
      <c r="BQ12" s="14">
        <v>18</v>
      </c>
      <c r="BR12" s="14">
        <v>2.8</v>
      </c>
      <c r="BS12" s="14">
        <v>-3.9999999999999147E-2</v>
      </c>
      <c r="BT12" s="14">
        <v>-2</v>
      </c>
      <c r="BU12" s="14">
        <v>2.8</v>
      </c>
      <c r="BV12" s="14">
        <v>12.04</v>
      </c>
      <c r="BW12" s="14">
        <v>46.400000000000006</v>
      </c>
      <c r="BX12" s="14">
        <v>3.5999999999999996</v>
      </c>
      <c r="BY12" s="48">
        <v>5.4600000000000009</v>
      </c>
      <c r="BZ12" s="14">
        <v>2.6000000000000014</v>
      </c>
      <c r="CA12" s="14">
        <v>0.40000000000000036</v>
      </c>
      <c r="CB12" s="14">
        <v>3.5999999999999996</v>
      </c>
      <c r="CC12" s="14">
        <v>-0.39999999999999991</v>
      </c>
      <c r="CD12" s="14">
        <v>1.2000000000000002</v>
      </c>
      <c r="CE12" s="14">
        <v>-0.15249227516669378</v>
      </c>
      <c r="CF12" s="14">
        <v>-4.8241719520789289E-2</v>
      </c>
      <c r="CG12" s="14">
        <v>0.24206349206349198</v>
      </c>
      <c r="CH12" s="14">
        <v>-4</v>
      </c>
      <c r="CI12" s="14">
        <v>-2.3999999999999986</v>
      </c>
      <c r="CJ12" s="14">
        <v>7</v>
      </c>
      <c r="CK12" s="14">
        <v>-5.8</v>
      </c>
      <c r="CL12" s="14">
        <v>-2.7999999999999972</v>
      </c>
      <c r="CM12" s="14">
        <v>5.8000000000000007</v>
      </c>
      <c r="CN12" s="14">
        <v>-1.4</v>
      </c>
      <c r="CO12" s="14">
        <v>-76.399999999999977</v>
      </c>
      <c r="CP12" s="14">
        <v>-62.600000000000023</v>
      </c>
      <c r="CQ12" s="14">
        <v>1.8000000000000114</v>
      </c>
      <c r="CR12" s="14">
        <v>-0.79999999999999982</v>
      </c>
      <c r="CS12" s="14">
        <v>-14.8</v>
      </c>
      <c r="CT12" t="s">
        <v>275</v>
      </c>
      <c r="CU12" t="s">
        <v>477</v>
      </c>
    </row>
    <row r="13" spans="1:99" x14ac:dyDescent="0.2">
      <c r="A13" s="19">
        <v>44087</v>
      </c>
      <c r="B13">
        <v>1</v>
      </c>
      <c r="C13" s="13" t="s">
        <v>384</v>
      </c>
      <c r="D13" s="41" t="s">
        <v>291</v>
      </c>
      <c r="E13" s="14" t="s">
        <v>304</v>
      </c>
      <c r="F13" t="s">
        <v>577</v>
      </c>
      <c r="G13">
        <v>17.64</v>
      </c>
      <c r="H13" t="s">
        <v>572</v>
      </c>
      <c r="I13">
        <v>27.7</v>
      </c>
      <c r="J13">
        <v>22</v>
      </c>
      <c r="K13">
        <v>96</v>
      </c>
      <c r="L13">
        <v>4</v>
      </c>
      <c r="M13" t="s">
        <v>573</v>
      </c>
      <c r="N13">
        <v>5.2</v>
      </c>
      <c r="O13">
        <v>2</v>
      </c>
      <c r="P13">
        <v>10</v>
      </c>
      <c r="Q13">
        <v>3</v>
      </c>
      <c r="R13" t="s">
        <v>116</v>
      </c>
      <c r="S13">
        <v>18.100000000000001</v>
      </c>
      <c r="T13">
        <v>81</v>
      </c>
      <c r="U13">
        <v>14</v>
      </c>
      <c r="V13" t="s">
        <v>574</v>
      </c>
      <c r="W13">
        <v>10.9</v>
      </c>
      <c r="X13">
        <v>59</v>
      </c>
      <c r="Y13">
        <v>6</v>
      </c>
      <c r="Z13" t="s">
        <v>14</v>
      </c>
      <c r="AA13">
        <v>8</v>
      </c>
      <c r="AB13">
        <v>50</v>
      </c>
      <c r="AC13">
        <v>5</v>
      </c>
      <c r="AD13">
        <v>12.3</v>
      </c>
      <c r="AE13">
        <v>53</v>
      </c>
      <c r="AF13">
        <v>11</v>
      </c>
      <c r="AG13" t="s">
        <v>575</v>
      </c>
      <c r="AH13" s="14">
        <v>2.1</v>
      </c>
      <c r="AI13">
        <v>11</v>
      </c>
      <c r="AJ13">
        <v>4</v>
      </c>
      <c r="AK13">
        <v>4</v>
      </c>
      <c r="AL13">
        <v>2</v>
      </c>
      <c r="AM13">
        <v>4</v>
      </c>
      <c r="AN13" s="21">
        <v>0.42222222222222222</v>
      </c>
      <c r="AO13" s="21">
        <v>6.6666666666666666E-2</v>
      </c>
      <c r="AP13" s="21">
        <v>0.58333333333333337</v>
      </c>
      <c r="AQ13">
        <v>4</v>
      </c>
      <c r="AR13">
        <v>39</v>
      </c>
      <c r="AS13">
        <v>24</v>
      </c>
      <c r="AT13">
        <v>3</v>
      </c>
      <c r="AU13">
        <v>69</v>
      </c>
      <c r="AV13">
        <v>17</v>
      </c>
      <c r="AW13">
        <v>0</v>
      </c>
      <c r="AX13">
        <v>412</v>
      </c>
      <c r="AY13">
        <v>266</v>
      </c>
      <c r="AZ13">
        <v>116</v>
      </c>
      <c r="BA13">
        <v>0</v>
      </c>
      <c r="BB13">
        <v>30</v>
      </c>
      <c r="BC13" t="s">
        <v>304</v>
      </c>
      <c r="BD13" s="14">
        <v>2.3439999999999994</v>
      </c>
      <c r="BE13" s="14">
        <v>14.159999999999998</v>
      </c>
      <c r="BF13" s="14">
        <v>7.6</v>
      </c>
      <c r="BG13" s="14">
        <v>37.799999999999997</v>
      </c>
      <c r="BH13" s="14">
        <v>-0.59999999999999964</v>
      </c>
      <c r="BI13" s="14">
        <v>-0.66000000000000014</v>
      </c>
      <c r="BJ13" s="14">
        <v>-2</v>
      </c>
      <c r="BK13" s="14">
        <v>-10.600000000000001</v>
      </c>
      <c r="BL13" s="14">
        <v>0.20000000000000018</v>
      </c>
      <c r="BM13" s="14">
        <v>6.3600000000000012</v>
      </c>
      <c r="BN13" s="14">
        <v>30.4</v>
      </c>
      <c r="BO13" s="14">
        <v>7</v>
      </c>
      <c r="BP13" s="14">
        <v>2.2799999999999994</v>
      </c>
      <c r="BQ13" s="14">
        <v>24.799999999999997</v>
      </c>
      <c r="BR13" s="14">
        <v>1.7999999999999998</v>
      </c>
      <c r="BS13" s="14">
        <v>2.4599999999999991</v>
      </c>
      <c r="BT13" s="14">
        <v>16</v>
      </c>
      <c r="BU13" s="14">
        <v>2.6</v>
      </c>
      <c r="BV13" s="14">
        <v>-7.52</v>
      </c>
      <c r="BW13" s="14">
        <v>-35.200000000000003</v>
      </c>
      <c r="BX13" s="14">
        <v>0</v>
      </c>
      <c r="BY13" s="48">
        <v>-10.979999999999999</v>
      </c>
      <c r="BZ13" s="14">
        <v>-31.799999999999997</v>
      </c>
      <c r="CA13" s="14">
        <v>-3.2</v>
      </c>
      <c r="CB13" s="14">
        <v>-2.5999999999999996</v>
      </c>
      <c r="CC13" s="14">
        <v>0.60000000000000009</v>
      </c>
      <c r="CD13" s="14">
        <v>0.39999999999999991</v>
      </c>
      <c r="CE13" s="14">
        <v>0.12033627210097797</v>
      </c>
      <c r="CF13" s="14">
        <v>-1.7177177177177178E-2</v>
      </c>
      <c r="CG13" s="14">
        <v>-2.0549450549450454E-2</v>
      </c>
      <c r="CH13" s="14">
        <v>-2.8</v>
      </c>
      <c r="CI13" s="14">
        <v>4</v>
      </c>
      <c r="CJ13" s="14">
        <v>3.6000000000000014</v>
      </c>
      <c r="CK13" s="14">
        <v>-0.60000000000000009</v>
      </c>
      <c r="CL13" s="14">
        <v>6</v>
      </c>
      <c r="CM13" s="14">
        <v>-2.3999999999999986</v>
      </c>
      <c r="CN13" s="14">
        <v>0</v>
      </c>
      <c r="CO13" s="14">
        <v>84</v>
      </c>
      <c r="CP13" s="14">
        <v>41.599999999999994</v>
      </c>
      <c r="CQ13" s="14">
        <v>27.799999999999997</v>
      </c>
      <c r="CR13" s="14">
        <v>-0.2</v>
      </c>
      <c r="CS13" s="14">
        <v>14.8</v>
      </c>
      <c r="CT13" t="s">
        <v>251</v>
      </c>
      <c r="CU13" t="s">
        <v>456</v>
      </c>
    </row>
    <row r="14" spans="1:99" x14ac:dyDescent="0.2">
      <c r="A14" s="19">
        <v>44087</v>
      </c>
      <c r="B14">
        <v>1</v>
      </c>
      <c r="C14" s="13" t="s">
        <v>384</v>
      </c>
      <c r="D14" s="41" t="s">
        <v>293</v>
      </c>
      <c r="E14" s="14" t="s">
        <v>302</v>
      </c>
      <c r="F14" t="s">
        <v>578</v>
      </c>
      <c r="G14">
        <v>8.44</v>
      </c>
      <c r="H14" t="s">
        <v>579</v>
      </c>
      <c r="I14">
        <v>10.6</v>
      </c>
      <c r="J14">
        <v>9</v>
      </c>
      <c r="K14">
        <v>40</v>
      </c>
      <c r="L14">
        <v>4</v>
      </c>
      <c r="M14" t="s">
        <v>584</v>
      </c>
      <c r="N14">
        <v>6.7</v>
      </c>
      <c r="O14">
        <v>8</v>
      </c>
      <c r="P14">
        <v>7</v>
      </c>
      <c r="Q14">
        <v>0</v>
      </c>
      <c r="R14" t="s">
        <v>24</v>
      </c>
      <c r="S14">
        <v>8.6999999999999993</v>
      </c>
      <c r="T14">
        <v>47</v>
      </c>
      <c r="U14">
        <v>4</v>
      </c>
      <c r="V14" t="s">
        <v>5</v>
      </c>
      <c r="W14">
        <v>6.1</v>
      </c>
      <c r="X14">
        <v>41</v>
      </c>
      <c r="Y14">
        <v>7</v>
      </c>
      <c r="Z14" t="s">
        <v>581</v>
      </c>
      <c r="AA14">
        <v>5.5</v>
      </c>
      <c r="AB14">
        <v>25</v>
      </c>
      <c r="AC14">
        <v>3</v>
      </c>
      <c r="AD14">
        <v>13.6</v>
      </c>
      <c r="AE14">
        <v>66</v>
      </c>
      <c r="AF14">
        <v>11</v>
      </c>
      <c r="AG14" t="s">
        <v>8</v>
      </c>
      <c r="AH14" s="14">
        <v>6</v>
      </c>
      <c r="AI14">
        <v>30</v>
      </c>
      <c r="AJ14">
        <v>5</v>
      </c>
      <c r="AK14">
        <v>4</v>
      </c>
      <c r="AL14">
        <v>1</v>
      </c>
      <c r="AM14">
        <v>4</v>
      </c>
      <c r="AN14" s="21">
        <v>0.23529411764705882</v>
      </c>
      <c r="AO14" s="21">
        <v>2.9411764705882353E-2</v>
      </c>
      <c r="AP14" s="21">
        <v>0.66666666666666663</v>
      </c>
      <c r="AQ14">
        <v>11</v>
      </c>
      <c r="AR14">
        <v>30</v>
      </c>
      <c r="AS14">
        <v>22</v>
      </c>
      <c r="AT14">
        <v>5</v>
      </c>
      <c r="AU14">
        <v>72</v>
      </c>
      <c r="AV14">
        <v>11</v>
      </c>
      <c r="AW14">
        <v>0</v>
      </c>
      <c r="AX14">
        <v>278</v>
      </c>
      <c r="AY14">
        <v>191</v>
      </c>
      <c r="AZ14">
        <v>69</v>
      </c>
      <c r="BA14">
        <v>0</v>
      </c>
      <c r="BB14">
        <v>18</v>
      </c>
      <c r="BC14" t="s">
        <v>302</v>
      </c>
      <c r="BD14" s="14">
        <v>-10.950000000000001</v>
      </c>
      <c r="BE14" s="14">
        <v>-3.2249999999999996</v>
      </c>
      <c r="BF14" s="14">
        <v>-9</v>
      </c>
      <c r="BG14" s="14">
        <v>-37</v>
      </c>
      <c r="BH14" s="14">
        <v>1.5</v>
      </c>
      <c r="BI14" s="14">
        <v>2.9249999999999998</v>
      </c>
      <c r="BJ14" s="14">
        <v>4.25</v>
      </c>
      <c r="BK14" s="14">
        <v>-9</v>
      </c>
      <c r="BL14" s="14">
        <v>-1.5</v>
      </c>
      <c r="BM14" s="14">
        <v>-6.7250000000000014</v>
      </c>
      <c r="BN14" s="14">
        <v>-14.75</v>
      </c>
      <c r="BO14" s="14">
        <v>-3</v>
      </c>
      <c r="BP14" s="14">
        <v>-6.1</v>
      </c>
      <c r="BQ14" s="14">
        <v>-26</v>
      </c>
      <c r="BR14" s="14">
        <v>1</v>
      </c>
      <c r="BS14" s="14">
        <v>-2.6750000000000007</v>
      </c>
      <c r="BT14" s="14">
        <v>-1.75</v>
      </c>
      <c r="BU14" s="14">
        <v>0</v>
      </c>
      <c r="BV14" s="14">
        <v>-8.4500000000000011</v>
      </c>
      <c r="BW14" s="14">
        <v>-39.5</v>
      </c>
      <c r="BX14" s="14">
        <v>0.25</v>
      </c>
      <c r="BY14" s="48">
        <v>1.1500000000000004</v>
      </c>
      <c r="BZ14" s="14">
        <v>-1</v>
      </c>
      <c r="CA14" s="14">
        <v>0.75</v>
      </c>
      <c r="CB14" s="14">
        <v>-7</v>
      </c>
      <c r="CC14" s="14">
        <v>-1.75</v>
      </c>
      <c r="CD14" s="14">
        <v>-6</v>
      </c>
      <c r="CE14" s="14">
        <v>-8.2166199813258622E-2</v>
      </c>
      <c r="CF14" s="14">
        <v>-2.4424214130096475E-2</v>
      </c>
      <c r="CG14" s="14">
        <v>-8.333333333333337E-2</v>
      </c>
      <c r="CH14" s="14">
        <v>3</v>
      </c>
      <c r="CI14" s="14">
        <v>1.75</v>
      </c>
      <c r="CJ14" s="14">
        <v>-1.25</v>
      </c>
      <c r="CK14" s="14">
        <v>0</v>
      </c>
      <c r="CL14" s="14">
        <v>13.5</v>
      </c>
      <c r="CM14" s="14">
        <v>-12</v>
      </c>
      <c r="CN14" s="14">
        <v>-1.75</v>
      </c>
      <c r="CO14" s="14">
        <v>-70.75</v>
      </c>
      <c r="CP14" s="14">
        <v>-52.5</v>
      </c>
      <c r="CQ14" s="14">
        <v>-15</v>
      </c>
      <c r="CR14" s="14">
        <v>-2.25</v>
      </c>
      <c r="CS14" s="14">
        <v>-1</v>
      </c>
      <c r="CT14" t="s">
        <v>292</v>
      </c>
      <c r="CU14" t="s">
        <v>464</v>
      </c>
    </row>
    <row r="15" spans="1:99" x14ac:dyDescent="0.2">
      <c r="A15" s="19">
        <v>44087</v>
      </c>
      <c r="B15">
        <v>1</v>
      </c>
      <c r="C15" s="13" t="s">
        <v>384</v>
      </c>
      <c r="D15" s="41" t="s">
        <v>294</v>
      </c>
      <c r="E15" s="14" t="s">
        <v>306</v>
      </c>
      <c r="F15" t="s">
        <v>585</v>
      </c>
      <c r="G15">
        <v>16</v>
      </c>
      <c r="H15" t="s">
        <v>586</v>
      </c>
      <c r="I15">
        <v>7.4</v>
      </c>
      <c r="J15">
        <v>9</v>
      </c>
      <c r="K15">
        <v>35</v>
      </c>
      <c r="L15">
        <v>2</v>
      </c>
      <c r="M15" t="s">
        <v>587</v>
      </c>
      <c r="N15">
        <v>4.0999999999999996</v>
      </c>
      <c r="O15">
        <v>6</v>
      </c>
      <c r="P15">
        <v>19</v>
      </c>
      <c r="Q15">
        <v>2</v>
      </c>
      <c r="R15" t="s">
        <v>426</v>
      </c>
      <c r="S15">
        <v>6.6</v>
      </c>
      <c r="T15">
        <v>46</v>
      </c>
      <c r="U15">
        <v>7</v>
      </c>
      <c r="V15" t="s">
        <v>184</v>
      </c>
      <c r="W15">
        <v>8.1</v>
      </c>
      <c r="X15">
        <v>31</v>
      </c>
      <c r="Y15">
        <v>7</v>
      </c>
      <c r="Z15" t="s">
        <v>593</v>
      </c>
      <c r="AA15">
        <v>6.5</v>
      </c>
      <c r="AB15">
        <v>55</v>
      </c>
      <c r="AC15">
        <v>4</v>
      </c>
      <c r="AD15">
        <v>34.200000000000003</v>
      </c>
      <c r="AE15">
        <v>112</v>
      </c>
      <c r="AF15">
        <v>15</v>
      </c>
      <c r="AG15" t="s">
        <v>594</v>
      </c>
      <c r="AH15" s="14">
        <v>27.1</v>
      </c>
      <c r="AI15">
        <v>101</v>
      </c>
      <c r="AJ15">
        <v>9</v>
      </c>
      <c r="AK15">
        <v>4</v>
      </c>
      <c r="AL15">
        <v>2</v>
      </c>
      <c r="AM15">
        <v>3</v>
      </c>
      <c r="AN15" s="21">
        <v>0.4</v>
      </c>
      <c r="AO15" s="21">
        <v>0.16</v>
      </c>
      <c r="AP15" s="21">
        <v>0.63636363636363635</v>
      </c>
      <c r="AQ15">
        <v>15</v>
      </c>
      <c r="AR15">
        <v>42</v>
      </c>
      <c r="AS15">
        <v>16</v>
      </c>
      <c r="AT15">
        <v>1</v>
      </c>
      <c r="AU15">
        <v>67</v>
      </c>
      <c r="AV15">
        <v>17</v>
      </c>
      <c r="AW15">
        <v>0</v>
      </c>
      <c r="AX15">
        <v>327</v>
      </c>
      <c r="AY15">
        <v>270</v>
      </c>
      <c r="AZ15">
        <v>55</v>
      </c>
      <c r="BA15">
        <v>0</v>
      </c>
      <c r="BB15">
        <v>2</v>
      </c>
      <c r="BC15" t="s">
        <v>306</v>
      </c>
      <c r="BD15" s="14">
        <v>-7.3480000000000025</v>
      </c>
      <c r="BE15" s="14">
        <v>-8.14</v>
      </c>
      <c r="BF15" s="14">
        <v>-7</v>
      </c>
      <c r="BG15" s="14">
        <v>-30.400000000000006</v>
      </c>
      <c r="BH15" s="14">
        <v>0</v>
      </c>
      <c r="BI15" s="14">
        <v>-2.0199999999999996</v>
      </c>
      <c r="BJ15" s="14">
        <v>-1.4000000000000004</v>
      </c>
      <c r="BK15" s="14">
        <v>-10.8</v>
      </c>
      <c r="BL15" s="14">
        <v>0.39999999999999991</v>
      </c>
      <c r="BM15" s="14">
        <v>-7.8400000000000016</v>
      </c>
      <c r="BN15" s="14">
        <v>-19</v>
      </c>
      <c r="BO15" s="14">
        <v>0.59999999999999964</v>
      </c>
      <c r="BP15" s="14">
        <v>0.47999999999999954</v>
      </c>
      <c r="BQ15" s="14">
        <v>-7.2000000000000028</v>
      </c>
      <c r="BR15" s="14">
        <v>2.2000000000000002</v>
      </c>
      <c r="BS15" s="14">
        <v>2.42</v>
      </c>
      <c r="BT15" s="14">
        <v>28.8</v>
      </c>
      <c r="BU15" s="14">
        <v>1.2000000000000002</v>
      </c>
      <c r="BV15" s="14">
        <v>19.32</v>
      </c>
      <c r="BW15" s="14">
        <v>45.2</v>
      </c>
      <c r="BX15" s="14">
        <v>8</v>
      </c>
      <c r="BY15" s="48">
        <v>17.34</v>
      </c>
      <c r="BZ15" s="14">
        <v>55.4</v>
      </c>
      <c r="CA15" s="14">
        <v>5.4</v>
      </c>
      <c r="CB15" s="14">
        <v>-5.1999999999999993</v>
      </c>
      <c r="CC15" s="14">
        <v>0.19999999999999996</v>
      </c>
      <c r="CD15" s="14">
        <v>-8</v>
      </c>
      <c r="CE15" s="14">
        <v>7.0670223187665082E-2</v>
      </c>
      <c r="CF15" s="14">
        <v>0.10688808671948208</v>
      </c>
      <c r="CG15" s="14">
        <v>0.11826839826839819</v>
      </c>
      <c r="CH15" s="14">
        <v>12</v>
      </c>
      <c r="CI15" s="14">
        <v>15.600000000000001</v>
      </c>
      <c r="CJ15" s="14">
        <v>-10</v>
      </c>
      <c r="CK15" s="14">
        <v>-4.8</v>
      </c>
      <c r="CL15" s="14">
        <v>6.3999999999999986</v>
      </c>
      <c r="CM15" s="14">
        <v>-10.600000000000001</v>
      </c>
      <c r="CN15" s="14">
        <v>-1.4</v>
      </c>
      <c r="CO15" s="14">
        <v>-28.800000000000011</v>
      </c>
      <c r="CP15" s="14">
        <v>58.800000000000011</v>
      </c>
      <c r="CQ15" s="14">
        <v>-49.400000000000006</v>
      </c>
      <c r="CR15" s="14">
        <v>-0.6</v>
      </c>
      <c r="CS15" s="14">
        <v>-37.6</v>
      </c>
      <c r="CT15" t="s">
        <v>283</v>
      </c>
      <c r="CU15" t="s">
        <v>454</v>
      </c>
    </row>
    <row r="16" spans="1:99" x14ac:dyDescent="0.2">
      <c r="A16" s="19">
        <v>44087</v>
      </c>
      <c r="B16">
        <v>1</v>
      </c>
      <c r="C16" s="13" t="s">
        <v>384</v>
      </c>
      <c r="D16" s="41" t="s">
        <v>295</v>
      </c>
      <c r="E16" s="14" t="s">
        <v>308</v>
      </c>
      <c r="F16" t="s">
        <v>595</v>
      </c>
      <c r="G16">
        <v>27.9</v>
      </c>
      <c r="H16" t="s">
        <v>596</v>
      </c>
      <c r="I16">
        <v>13.7</v>
      </c>
      <c r="J16">
        <v>14</v>
      </c>
      <c r="K16">
        <v>56</v>
      </c>
      <c r="L16">
        <v>5</v>
      </c>
      <c r="M16" t="s">
        <v>597</v>
      </c>
      <c r="N16">
        <v>4</v>
      </c>
      <c r="O16">
        <v>3</v>
      </c>
      <c r="P16">
        <v>12</v>
      </c>
      <c r="Q16">
        <v>2</v>
      </c>
      <c r="R16" t="s">
        <v>95</v>
      </c>
      <c r="S16">
        <v>27.7</v>
      </c>
      <c r="T16">
        <v>157</v>
      </c>
      <c r="U16">
        <v>12</v>
      </c>
      <c r="V16" t="s">
        <v>93</v>
      </c>
      <c r="W16">
        <v>36.9</v>
      </c>
      <c r="X16">
        <v>130</v>
      </c>
      <c r="Y16">
        <v>12</v>
      </c>
      <c r="Z16" t="s">
        <v>598</v>
      </c>
      <c r="AA16">
        <v>23.4</v>
      </c>
      <c r="AB16">
        <v>114</v>
      </c>
      <c r="AC16">
        <v>12</v>
      </c>
      <c r="AD16">
        <v>29.9</v>
      </c>
      <c r="AE16">
        <v>179</v>
      </c>
      <c r="AF16">
        <v>18</v>
      </c>
      <c r="AG16" t="s">
        <v>599</v>
      </c>
      <c r="AH16" s="14">
        <v>6.8</v>
      </c>
      <c r="AI16">
        <v>38</v>
      </c>
      <c r="AJ16">
        <v>5</v>
      </c>
      <c r="AK16">
        <v>9</v>
      </c>
      <c r="AL16">
        <v>2</v>
      </c>
      <c r="AM16">
        <v>-1</v>
      </c>
      <c r="AN16" s="21">
        <v>0.23214285714285715</v>
      </c>
      <c r="AO16" s="21">
        <v>3.5714285714285712E-2</v>
      </c>
      <c r="AP16" s="21">
        <v>0.75</v>
      </c>
      <c r="AQ16">
        <v>6</v>
      </c>
      <c r="AR16">
        <v>54</v>
      </c>
      <c r="AS16">
        <v>18</v>
      </c>
      <c r="AT16">
        <v>1</v>
      </c>
      <c r="AU16">
        <v>77</v>
      </c>
      <c r="AV16">
        <v>25</v>
      </c>
      <c r="AW16">
        <v>0</v>
      </c>
      <c r="AX16">
        <v>520</v>
      </c>
      <c r="AY16">
        <v>450</v>
      </c>
      <c r="AZ16">
        <v>72</v>
      </c>
      <c r="BA16">
        <v>-1</v>
      </c>
      <c r="BB16">
        <v>-1</v>
      </c>
      <c r="BC16" t="s">
        <v>308</v>
      </c>
      <c r="BD16" s="14">
        <v>-0.73000000000000043</v>
      </c>
      <c r="BE16" s="14">
        <v>1.5</v>
      </c>
      <c r="BF16" s="14">
        <v>2</v>
      </c>
      <c r="BG16" s="14">
        <v>16.5</v>
      </c>
      <c r="BH16" s="14">
        <v>-0.25</v>
      </c>
      <c r="BI16" s="14">
        <v>-5.2000000000000011</v>
      </c>
      <c r="BJ16" s="14">
        <v>-4.25</v>
      </c>
      <c r="BK16" s="14">
        <v>-18.75</v>
      </c>
      <c r="BL16" s="14">
        <v>-1.25</v>
      </c>
      <c r="BM16" s="14">
        <v>2.7499999999999964</v>
      </c>
      <c r="BN16" s="14">
        <v>43.25</v>
      </c>
      <c r="BO16" s="14">
        <v>0</v>
      </c>
      <c r="BP16" s="14">
        <v>22.324999999999999</v>
      </c>
      <c r="BQ16" s="14">
        <v>59.5</v>
      </c>
      <c r="BR16" s="14">
        <v>3</v>
      </c>
      <c r="BS16" s="14">
        <v>10.724999999999998</v>
      </c>
      <c r="BT16" s="14">
        <v>62.25</v>
      </c>
      <c r="BU16" s="14">
        <v>7</v>
      </c>
      <c r="BV16" s="14">
        <v>6.25</v>
      </c>
      <c r="BW16" s="14">
        <v>55</v>
      </c>
      <c r="BX16" s="14">
        <v>3</v>
      </c>
      <c r="BY16" s="48">
        <v>0.39999999999999947</v>
      </c>
      <c r="BZ16" s="14">
        <v>1.5</v>
      </c>
      <c r="CA16" s="14">
        <v>1</v>
      </c>
      <c r="CB16" s="14">
        <v>-1.75</v>
      </c>
      <c r="CC16" s="14">
        <v>-0.75</v>
      </c>
      <c r="CD16" s="14">
        <v>-5.25</v>
      </c>
      <c r="CE16" s="14">
        <v>-2.7629814134618513E-2</v>
      </c>
      <c r="CF16" s="14">
        <v>-3.3421451575191968E-4</v>
      </c>
      <c r="CG16" s="14">
        <v>-1.2770562770562766E-2</v>
      </c>
      <c r="CH16" s="14">
        <v>-0.5</v>
      </c>
      <c r="CI16" s="14">
        <v>7.75</v>
      </c>
      <c r="CJ16" s="14">
        <v>-2.5</v>
      </c>
      <c r="CK16" s="14">
        <v>-5</v>
      </c>
      <c r="CL16" s="14">
        <v>1.75</v>
      </c>
      <c r="CM16" s="14">
        <v>-0.75</v>
      </c>
      <c r="CN16" s="14">
        <v>-1.75</v>
      </c>
      <c r="CO16" s="14">
        <v>53.75</v>
      </c>
      <c r="CP16" s="14">
        <v>91.75</v>
      </c>
      <c r="CQ16" s="14">
        <v>-3.25</v>
      </c>
      <c r="CR16" s="14">
        <v>-3.25</v>
      </c>
      <c r="CS16" s="14">
        <v>-31.5</v>
      </c>
      <c r="CT16" t="s">
        <v>238</v>
      </c>
      <c r="CU16" t="s">
        <v>451</v>
      </c>
    </row>
    <row r="17" spans="1:99" x14ac:dyDescent="0.2">
      <c r="A17" s="19">
        <v>44087</v>
      </c>
      <c r="B17">
        <v>1</v>
      </c>
      <c r="C17" s="13" t="s">
        <v>384</v>
      </c>
      <c r="D17" s="41" t="s">
        <v>296</v>
      </c>
      <c r="E17" s="14" t="s">
        <v>309</v>
      </c>
      <c r="F17" t="s">
        <v>602</v>
      </c>
      <c r="G17">
        <v>19.36</v>
      </c>
      <c r="H17" t="s">
        <v>608</v>
      </c>
      <c r="I17">
        <v>12.6</v>
      </c>
      <c r="J17">
        <v>15</v>
      </c>
      <c r="K17">
        <v>6</v>
      </c>
      <c r="L17">
        <v>9</v>
      </c>
      <c r="M17" t="s">
        <v>603</v>
      </c>
      <c r="N17">
        <v>2.4</v>
      </c>
      <c r="O17">
        <v>0</v>
      </c>
      <c r="P17">
        <v>0</v>
      </c>
      <c r="Q17">
        <v>1</v>
      </c>
      <c r="R17" t="s">
        <v>115</v>
      </c>
      <c r="S17">
        <v>31.2</v>
      </c>
      <c r="T17">
        <v>102</v>
      </c>
      <c r="U17">
        <v>9</v>
      </c>
      <c r="V17" t="s">
        <v>102</v>
      </c>
      <c r="W17">
        <v>10.7</v>
      </c>
      <c r="X17">
        <v>47</v>
      </c>
      <c r="Y17">
        <v>6</v>
      </c>
      <c r="Z17" t="s">
        <v>606</v>
      </c>
      <c r="AA17">
        <v>3.7</v>
      </c>
      <c r="AB17">
        <v>17</v>
      </c>
      <c r="AC17">
        <v>2</v>
      </c>
      <c r="AD17">
        <v>11.9</v>
      </c>
      <c r="AE17">
        <v>49</v>
      </c>
      <c r="AF17">
        <v>11</v>
      </c>
      <c r="AG17" t="s">
        <v>16</v>
      </c>
      <c r="AH17" s="14">
        <v>2.9</v>
      </c>
      <c r="AI17">
        <v>9</v>
      </c>
      <c r="AJ17">
        <v>7</v>
      </c>
      <c r="AK17">
        <v>4</v>
      </c>
      <c r="AL17">
        <v>1</v>
      </c>
      <c r="AM17">
        <v>4</v>
      </c>
      <c r="AN17" s="21">
        <v>0.54166666666666663</v>
      </c>
      <c r="AO17" s="21">
        <v>6.25E-2</v>
      </c>
      <c r="AP17" s="21">
        <v>0.66666666666666663</v>
      </c>
      <c r="AQ17">
        <v>8</v>
      </c>
      <c r="AR17">
        <v>41</v>
      </c>
      <c r="AS17">
        <v>16</v>
      </c>
      <c r="AT17">
        <v>4</v>
      </c>
      <c r="AU17">
        <v>64</v>
      </c>
      <c r="AV17">
        <v>16</v>
      </c>
      <c r="AW17">
        <v>0</v>
      </c>
      <c r="AX17">
        <v>309</v>
      </c>
      <c r="AY17">
        <v>279</v>
      </c>
      <c r="AZ17">
        <v>8</v>
      </c>
      <c r="BA17">
        <v>0</v>
      </c>
      <c r="BB17">
        <v>22</v>
      </c>
      <c r="BC17" t="s">
        <v>309</v>
      </c>
      <c r="BD17" s="14">
        <v>2.7800000000000011</v>
      </c>
      <c r="BE17" s="14">
        <v>-2.5499999999999989</v>
      </c>
      <c r="BF17" s="14">
        <v>1</v>
      </c>
      <c r="BG17" s="14">
        <v>-47.25</v>
      </c>
      <c r="BH17" s="14">
        <v>5.75</v>
      </c>
      <c r="BI17" s="14">
        <v>0.7</v>
      </c>
      <c r="BJ17" s="14">
        <v>-2</v>
      </c>
      <c r="BK17" s="14">
        <v>-13</v>
      </c>
      <c r="BL17" s="14">
        <v>0.75</v>
      </c>
      <c r="BM17" s="14">
        <v>15.274999999999999</v>
      </c>
      <c r="BN17" s="14">
        <v>27.75</v>
      </c>
      <c r="BO17" s="14">
        <v>2.25</v>
      </c>
      <c r="BP17" s="14">
        <v>-1.625</v>
      </c>
      <c r="BQ17" s="14">
        <v>-8.75</v>
      </c>
      <c r="BR17" s="14">
        <v>0.75</v>
      </c>
      <c r="BS17" s="14">
        <v>-3.625</v>
      </c>
      <c r="BT17" s="14">
        <v>-11.5</v>
      </c>
      <c r="BU17" s="14">
        <v>-2.75</v>
      </c>
      <c r="BV17" s="14">
        <v>-8.8000000000000025</v>
      </c>
      <c r="BW17" s="14">
        <v>-43</v>
      </c>
      <c r="BX17" s="14">
        <v>0.5</v>
      </c>
      <c r="BY17" s="48">
        <v>-5.6749999999999989</v>
      </c>
      <c r="BZ17" s="14">
        <v>-26.75</v>
      </c>
      <c r="CA17" s="14">
        <v>2</v>
      </c>
      <c r="CB17" s="14">
        <v>0.75</v>
      </c>
      <c r="CC17" s="14">
        <v>0</v>
      </c>
      <c r="CD17" s="14">
        <v>2.5</v>
      </c>
      <c r="CE17" s="14">
        <v>0.10883812174678797</v>
      </c>
      <c r="CF17" s="14">
        <v>-7.3403665613058444E-2</v>
      </c>
      <c r="CG17" s="14">
        <v>0.14221158958001057</v>
      </c>
      <c r="CH17" s="14">
        <v>-3.5</v>
      </c>
      <c r="CI17" s="14">
        <v>8.5</v>
      </c>
      <c r="CJ17" s="14">
        <v>-1.25</v>
      </c>
      <c r="CK17" s="14">
        <v>2</v>
      </c>
      <c r="CL17" s="14">
        <v>6</v>
      </c>
      <c r="CM17" s="14">
        <v>-3.5</v>
      </c>
      <c r="CN17" s="14">
        <v>0</v>
      </c>
      <c r="CO17" s="14">
        <v>-11.75</v>
      </c>
      <c r="CP17" s="14">
        <v>33.75</v>
      </c>
      <c r="CQ17" s="14">
        <v>-58.75</v>
      </c>
      <c r="CR17" s="14">
        <v>-2.25</v>
      </c>
      <c r="CS17" s="14">
        <v>15.5</v>
      </c>
      <c r="CT17" t="s">
        <v>271</v>
      </c>
      <c r="CU17" t="s">
        <v>521</v>
      </c>
    </row>
    <row r="18" spans="1:99" x14ac:dyDescent="0.2">
      <c r="A18" s="19">
        <v>44087</v>
      </c>
      <c r="B18">
        <v>1</v>
      </c>
      <c r="C18" s="13" t="s">
        <v>384</v>
      </c>
      <c r="D18" s="41" t="s">
        <v>297</v>
      </c>
      <c r="E18" s="14" t="s">
        <v>289</v>
      </c>
      <c r="F18" t="s">
        <v>609</v>
      </c>
      <c r="G18">
        <v>20.82</v>
      </c>
      <c r="H18" t="s">
        <v>610</v>
      </c>
      <c r="I18">
        <v>10</v>
      </c>
      <c r="J18">
        <v>16</v>
      </c>
      <c r="K18">
        <v>62</v>
      </c>
      <c r="L18">
        <v>1</v>
      </c>
      <c r="M18" t="s">
        <v>615</v>
      </c>
      <c r="N18">
        <v>2.6</v>
      </c>
      <c r="O18">
        <v>0</v>
      </c>
      <c r="P18">
        <v>0</v>
      </c>
      <c r="Q18">
        <v>2</v>
      </c>
      <c r="R18" t="s">
        <v>612</v>
      </c>
      <c r="S18">
        <v>11.5</v>
      </c>
      <c r="T18">
        <v>25</v>
      </c>
      <c r="U18">
        <v>3</v>
      </c>
      <c r="V18" t="s">
        <v>613</v>
      </c>
      <c r="W18">
        <v>13.7</v>
      </c>
      <c r="X18">
        <v>37</v>
      </c>
      <c r="Y18">
        <v>4</v>
      </c>
      <c r="Z18" t="s">
        <v>616</v>
      </c>
      <c r="AA18">
        <v>15.7</v>
      </c>
      <c r="AB18">
        <v>47</v>
      </c>
      <c r="AC18">
        <v>5</v>
      </c>
      <c r="AD18">
        <v>11.1</v>
      </c>
      <c r="AE18">
        <v>51</v>
      </c>
      <c r="AF18">
        <v>7</v>
      </c>
      <c r="AG18" t="s">
        <v>617</v>
      </c>
      <c r="AH18" s="14">
        <v>1.8</v>
      </c>
      <c r="AI18">
        <v>8</v>
      </c>
      <c r="AJ18">
        <v>1</v>
      </c>
      <c r="AK18">
        <v>12</v>
      </c>
      <c r="AL18">
        <v>2</v>
      </c>
      <c r="AM18">
        <v>6</v>
      </c>
      <c r="AN18" s="21"/>
      <c r="AO18" s="21"/>
      <c r="AQ18">
        <v>4</v>
      </c>
      <c r="AR18">
        <v>20</v>
      </c>
      <c r="AS18">
        <v>16</v>
      </c>
      <c r="AT18">
        <v>5</v>
      </c>
      <c r="AU18">
        <v>55</v>
      </c>
      <c r="AV18">
        <v>27</v>
      </c>
      <c r="AW18">
        <v>0</v>
      </c>
      <c r="AX18">
        <v>264</v>
      </c>
      <c r="AY18">
        <v>173</v>
      </c>
      <c r="AZ18">
        <v>62</v>
      </c>
      <c r="BA18">
        <v>10</v>
      </c>
      <c r="BB18">
        <v>19</v>
      </c>
      <c r="BC18" t="s">
        <v>289</v>
      </c>
      <c r="BD18" s="14">
        <v>8.34</v>
      </c>
      <c r="BE18" s="14">
        <v>-3.6400000000000041</v>
      </c>
      <c r="BF18" s="14">
        <v>0.59999999999999964</v>
      </c>
      <c r="BG18" s="14">
        <v>7.3999999999999986</v>
      </c>
      <c r="BH18" s="14">
        <v>-2.2000000000000002</v>
      </c>
      <c r="BI18" s="14">
        <v>-3.2399999999999998</v>
      </c>
      <c r="BJ18" s="14">
        <v>-4.2</v>
      </c>
      <c r="BK18" s="14">
        <v>-13.6</v>
      </c>
      <c r="BL18" s="14">
        <v>-0.20000000000000018</v>
      </c>
      <c r="BM18" s="14">
        <v>-3.0839999999999979</v>
      </c>
      <c r="BN18" s="14">
        <v>-36.6</v>
      </c>
      <c r="BO18" s="14">
        <v>-4.8</v>
      </c>
      <c r="BP18" s="14">
        <v>3.2999999999999989</v>
      </c>
      <c r="BQ18" s="14">
        <v>-24.6</v>
      </c>
      <c r="BR18" s="14">
        <v>-1.7999999999999998</v>
      </c>
      <c r="BS18" s="14">
        <v>7.1</v>
      </c>
      <c r="BT18" s="14">
        <v>6.3999999999999986</v>
      </c>
      <c r="BU18" s="14">
        <v>-0.79999999999999982</v>
      </c>
      <c r="BV18" s="14">
        <v>-5.4799999999999986</v>
      </c>
      <c r="BW18" s="14">
        <v>-22.799999999999997</v>
      </c>
      <c r="BX18" s="14">
        <v>-3.4000000000000004</v>
      </c>
      <c r="BY18" s="48">
        <v>-2.8200000000000003</v>
      </c>
      <c r="BZ18" s="14">
        <v>-14.2</v>
      </c>
      <c r="CA18" s="14">
        <v>-3.4000000000000004</v>
      </c>
      <c r="CB18" s="14">
        <v>7.8</v>
      </c>
      <c r="CC18" s="14">
        <v>0.39999999999999991</v>
      </c>
      <c r="CD18" s="14">
        <v>1.4000000000000004</v>
      </c>
      <c r="CE18" s="14">
        <v>-0.29408828719173546</v>
      </c>
      <c r="CF18" s="14">
        <v>-5.0998235480994102E-2</v>
      </c>
      <c r="CG18" s="14">
        <v>-0.58928571428571419</v>
      </c>
      <c r="CH18" s="14">
        <v>-8.6</v>
      </c>
      <c r="CI18" s="14">
        <v>-14.600000000000001</v>
      </c>
      <c r="CJ18" s="14">
        <v>-5.8000000000000007</v>
      </c>
      <c r="CK18" s="14">
        <v>2.6</v>
      </c>
      <c r="CL18" s="14">
        <v>-10</v>
      </c>
      <c r="CM18" s="14">
        <v>11.2</v>
      </c>
      <c r="CN18" s="14">
        <v>-1.8</v>
      </c>
      <c r="CO18" s="14">
        <v>-41.399999999999977</v>
      </c>
      <c r="CP18" s="14">
        <v>-45</v>
      </c>
      <c r="CQ18" s="14">
        <v>-12.599999999999994</v>
      </c>
      <c r="CR18" s="14">
        <v>4.8</v>
      </c>
      <c r="CS18" s="14">
        <v>11.4</v>
      </c>
      <c r="CT18" t="s">
        <v>274</v>
      </c>
      <c r="CU18" t="s">
        <v>488</v>
      </c>
    </row>
    <row r="19" spans="1:99" x14ac:dyDescent="0.2">
      <c r="A19" s="19">
        <v>44087</v>
      </c>
      <c r="B19">
        <v>1</v>
      </c>
      <c r="C19" s="13" t="s">
        <v>384</v>
      </c>
      <c r="D19" s="41" t="s">
        <v>298</v>
      </c>
      <c r="E19" s="14" t="s">
        <v>276</v>
      </c>
      <c r="F19" t="s">
        <v>618</v>
      </c>
      <c r="G19">
        <v>12.2</v>
      </c>
      <c r="H19" t="s">
        <v>566</v>
      </c>
      <c r="I19">
        <v>6.6</v>
      </c>
      <c r="J19">
        <v>6</v>
      </c>
      <c r="K19">
        <v>14</v>
      </c>
      <c r="L19">
        <v>2</v>
      </c>
      <c r="M19" t="s">
        <v>630</v>
      </c>
      <c r="N19">
        <v>10.199999999999999</v>
      </c>
      <c r="O19">
        <v>2</v>
      </c>
      <c r="P19">
        <v>8</v>
      </c>
      <c r="Q19">
        <v>2</v>
      </c>
      <c r="R19" t="s">
        <v>26</v>
      </c>
      <c r="S19">
        <v>27.5</v>
      </c>
      <c r="T19">
        <v>115</v>
      </c>
      <c r="U19">
        <v>13</v>
      </c>
      <c r="V19" t="s">
        <v>21</v>
      </c>
      <c r="W19">
        <v>4.7</v>
      </c>
      <c r="X19">
        <v>17</v>
      </c>
      <c r="Y19">
        <v>5</v>
      </c>
      <c r="Z19" t="s">
        <v>626</v>
      </c>
      <c r="AA19">
        <v>1</v>
      </c>
      <c r="AB19">
        <v>0</v>
      </c>
      <c r="AC19">
        <v>4</v>
      </c>
      <c r="AD19">
        <v>27</v>
      </c>
      <c r="AE19">
        <v>140</v>
      </c>
      <c r="AF19">
        <v>13</v>
      </c>
      <c r="AG19" t="s">
        <v>433</v>
      </c>
      <c r="AH19" s="14">
        <v>8.6999999999999993</v>
      </c>
      <c r="AI19">
        <v>37</v>
      </c>
      <c r="AJ19">
        <v>7</v>
      </c>
      <c r="AK19">
        <v>5</v>
      </c>
      <c r="AL19">
        <v>1</v>
      </c>
      <c r="AM19">
        <v>7</v>
      </c>
      <c r="AN19" s="21">
        <v>0.38461538461538464</v>
      </c>
      <c r="AO19" s="21">
        <v>7.6923076923076927E-2</v>
      </c>
      <c r="AP19" s="21">
        <v>0.5</v>
      </c>
      <c r="AQ19">
        <v>8</v>
      </c>
      <c r="AR19">
        <v>35</v>
      </c>
      <c r="AS19">
        <v>14</v>
      </c>
      <c r="AT19">
        <v>1</v>
      </c>
      <c r="AU19">
        <v>53</v>
      </c>
      <c r="AV19">
        <v>17</v>
      </c>
      <c r="AW19">
        <v>0</v>
      </c>
      <c r="AX19">
        <v>267</v>
      </c>
      <c r="AY19">
        <v>215</v>
      </c>
      <c r="AZ19">
        <v>46</v>
      </c>
      <c r="BA19">
        <v>0</v>
      </c>
      <c r="BB19">
        <v>6</v>
      </c>
      <c r="BC19" t="s">
        <v>276</v>
      </c>
      <c r="BD19" s="14">
        <v>-12.52</v>
      </c>
      <c r="BE19" s="14">
        <v>-11.340000000000002</v>
      </c>
      <c r="BF19" s="14">
        <v>-11.399999999999999</v>
      </c>
      <c r="BG19" s="14">
        <v>-71.2</v>
      </c>
      <c r="BH19" s="14">
        <v>-2</v>
      </c>
      <c r="BI19" s="14">
        <v>4.7799999999999994</v>
      </c>
      <c r="BJ19" s="14">
        <v>-3.5999999999999996</v>
      </c>
      <c r="BK19" s="14">
        <v>-8.6000000000000014</v>
      </c>
      <c r="BL19" s="14">
        <v>0.39999999999999991</v>
      </c>
      <c r="BM19" s="14">
        <v>12.48</v>
      </c>
      <c r="BN19" s="14">
        <v>57.8</v>
      </c>
      <c r="BO19" s="14">
        <v>6.2</v>
      </c>
      <c r="BP19" s="14">
        <v>-10.139999999999997</v>
      </c>
      <c r="BQ19" s="14">
        <v>-47.400000000000006</v>
      </c>
      <c r="BR19" s="14">
        <v>-1.2000000000000002</v>
      </c>
      <c r="BS19" s="14">
        <v>-3.8</v>
      </c>
      <c r="BT19" s="14">
        <v>-26</v>
      </c>
      <c r="BU19" s="14">
        <v>0.39999999999999991</v>
      </c>
      <c r="BV19" s="14">
        <v>3.5399999999999991</v>
      </c>
      <c r="BW19" s="14">
        <v>37.400000000000006</v>
      </c>
      <c r="BX19" s="14">
        <v>0.80000000000000071</v>
      </c>
      <c r="BY19" s="48">
        <v>-10.96</v>
      </c>
      <c r="BZ19" s="14">
        <v>-35.599999999999994</v>
      </c>
      <c r="CA19" s="14">
        <v>-0.79999999999999982</v>
      </c>
      <c r="CB19" s="14">
        <v>-3.5999999999999996</v>
      </c>
      <c r="CC19" s="14">
        <v>-0.8</v>
      </c>
      <c r="CD19" s="14">
        <v>3.6</v>
      </c>
      <c r="CE19" s="14">
        <v>8.6687907917509466E-2</v>
      </c>
      <c r="CF19" s="14">
        <v>4.0073691014867484E-2</v>
      </c>
      <c r="CG19" s="14">
        <v>-0.24761904761904763</v>
      </c>
      <c r="CH19" s="14">
        <v>5.6</v>
      </c>
      <c r="CI19" s="14">
        <v>-0.39999999999999858</v>
      </c>
      <c r="CJ19" s="14">
        <v>-12</v>
      </c>
      <c r="CK19" s="14">
        <v>-3.5999999999999996</v>
      </c>
      <c r="CL19" s="14">
        <v>-12.599999999999994</v>
      </c>
      <c r="CM19" s="14">
        <v>-13.2</v>
      </c>
      <c r="CN19" s="14">
        <v>0</v>
      </c>
      <c r="CO19" s="14">
        <v>-156.19999999999999</v>
      </c>
      <c r="CP19" s="14">
        <v>-61</v>
      </c>
      <c r="CQ19" s="14">
        <v>-71.400000000000006</v>
      </c>
      <c r="CR19" s="14">
        <v>-7</v>
      </c>
      <c r="CS19" s="14">
        <v>-16.8</v>
      </c>
      <c r="CT19" t="s">
        <v>261</v>
      </c>
      <c r="CU19" t="s">
        <v>455</v>
      </c>
    </row>
    <row r="20" spans="1:99" x14ac:dyDescent="0.2">
      <c r="A20" s="19">
        <v>44087</v>
      </c>
      <c r="B20">
        <v>1</v>
      </c>
      <c r="C20" s="13" t="s">
        <v>384</v>
      </c>
      <c r="D20" s="41" t="s">
        <v>299</v>
      </c>
      <c r="E20" s="14" t="s">
        <v>265</v>
      </c>
      <c r="F20" t="s">
        <v>631</v>
      </c>
      <c r="G20">
        <v>17.18</v>
      </c>
      <c r="H20" t="s">
        <v>633</v>
      </c>
      <c r="I20">
        <v>14.4</v>
      </c>
      <c r="J20">
        <v>14</v>
      </c>
      <c r="K20">
        <v>93</v>
      </c>
      <c r="L20">
        <v>3</v>
      </c>
      <c r="M20" t="s">
        <v>632</v>
      </c>
      <c r="N20">
        <v>11.3</v>
      </c>
      <c r="O20">
        <v>3</v>
      </c>
      <c r="P20">
        <v>8</v>
      </c>
      <c r="Q20">
        <v>5</v>
      </c>
      <c r="R20" t="s">
        <v>55</v>
      </c>
      <c r="S20">
        <v>9.5</v>
      </c>
      <c r="T20">
        <v>55</v>
      </c>
      <c r="U20">
        <v>8</v>
      </c>
      <c r="V20" t="s">
        <v>98</v>
      </c>
      <c r="W20">
        <v>13.1</v>
      </c>
      <c r="X20">
        <v>81</v>
      </c>
      <c r="Y20">
        <v>7</v>
      </c>
      <c r="Z20" t="s">
        <v>636</v>
      </c>
      <c r="AA20">
        <v>7.3</v>
      </c>
      <c r="AB20">
        <v>43</v>
      </c>
      <c r="AC20">
        <v>10</v>
      </c>
      <c r="AD20">
        <v>21</v>
      </c>
      <c r="AE20">
        <v>130</v>
      </c>
      <c r="AF20">
        <v>14</v>
      </c>
      <c r="AG20" t="s">
        <v>634</v>
      </c>
      <c r="AH20" s="14">
        <v>16.600000000000001</v>
      </c>
      <c r="AI20">
        <v>56</v>
      </c>
      <c r="AJ20">
        <v>5</v>
      </c>
      <c r="AK20">
        <v>11</v>
      </c>
      <c r="AL20">
        <v>4</v>
      </c>
      <c r="AM20">
        <v>1</v>
      </c>
      <c r="AN20" s="21">
        <v>0.2978723404255319</v>
      </c>
      <c r="AO20" s="21">
        <v>2.1276595744680851E-2</v>
      </c>
      <c r="AP20" s="21">
        <v>0.75</v>
      </c>
      <c r="AQ20">
        <v>3</v>
      </c>
      <c r="AR20">
        <v>42</v>
      </c>
      <c r="AS20">
        <v>24</v>
      </c>
      <c r="AT20">
        <v>5</v>
      </c>
      <c r="AU20">
        <v>72</v>
      </c>
      <c r="AV20">
        <v>23</v>
      </c>
      <c r="AW20">
        <v>0</v>
      </c>
      <c r="AX20">
        <v>435</v>
      </c>
      <c r="AY20">
        <v>297</v>
      </c>
      <c r="AZ20">
        <v>115</v>
      </c>
      <c r="BA20">
        <v>0</v>
      </c>
      <c r="BB20">
        <v>23</v>
      </c>
      <c r="BC20" t="s">
        <v>265</v>
      </c>
      <c r="BD20" s="14">
        <v>5.7959999999999994</v>
      </c>
      <c r="BE20" s="14">
        <v>0.26000000000000334</v>
      </c>
      <c r="BF20" s="14">
        <v>-1.1999999999999993</v>
      </c>
      <c r="BG20" s="14">
        <v>27.799999999999997</v>
      </c>
      <c r="BH20" s="14">
        <v>-0.20000000000000018</v>
      </c>
      <c r="BI20" s="14">
        <v>5.2600000000000007</v>
      </c>
      <c r="BJ20" s="14">
        <v>-2</v>
      </c>
      <c r="BK20" s="14">
        <v>-16.399999999999999</v>
      </c>
      <c r="BL20" s="14">
        <v>2.8</v>
      </c>
      <c r="BM20" s="14">
        <v>-2.2399999999999984</v>
      </c>
      <c r="BN20" s="14">
        <v>-5</v>
      </c>
      <c r="BO20" s="14">
        <v>0.40000000000000036</v>
      </c>
      <c r="BP20" s="14">
        <v>5.6199999999999983</v>
      </c>
      <c r="BQ20" s="14">
        <v>36.200000000000003</v>
      </c>
      <c r="BR20" s="14">
        <v>1.5999999999999996</v>
      </c>
      <c r="BS20" s="14">
        <v>1.3600000000000003</v>
      </c>
      <c r="BT20" s="14">
        <v>8.7999999999999972</v>
      </c>
      <c r="BU20" s="14">
        <v>6.2</v>
      </c>
      <c r="BV20" s="14">
        <v>10.76</v>
      </c>
      <c r="BW20" s="14">
        <v>77.599999999999994</v>
      </c>
      <c r="BX20" s="14">
        <v>6.8</v>
      </c>
      <c r="BY20" s="48">
        <v>9.0000000000000018</v>
      </c>
      <c r="BZ20" s="14">
        <v>28</v>
      </c>
      <c r="CA20" s="14">
        <v>1</v>
      </c>
      <c r="CB20" s="14">
        <v>0.80000000000000071</v>
      </c>
      <c r="CC20" s="14">
        <v>0.39999999999999991</v>
      </c>
      <c r="CD20" s="14">
        <v>-4.8</v>
      </c>
      <c r="CE20" s="14">
        <v>-2.6386202450032203E-2</v>
      </c>
      <c r="CF20" s="14">
        <v>-4.6047711154094131E-2</v>
      </c>
      <c r="CG20" s="14">
        <v>0.20968253968253969</v>
      </c>
      <c r="CH20" s="14">
        <v>-4</v>
      </c>
      <c r="CI20" s="14">
        <v>6.6000000000000014</v>
      </c>
      <c r="CJ20" s="14">
        <v>2</v>
      </c>
      <c r="CK20" s="14">
        <v>1.4</v>
      </c>
      <c r="CL20" s="14">
        <v>7.7999999999999972</v>
      </c>
      <c r="CM20" s="14">
        <v>4.3999999999999986</v>
      </c>
      <c r="CN20" s="14">
        <v>0</v>
      </c>
      <c r="CO20" s="14">
        <v>99.399999999999977</v>
      </c>
      <c r="CP20" s="14">
        <v>69.400000000000006</v>
      </c>
      <c r="CQ20" s="14">
        <v>22.400000000000006</v>
      </c>
      <c r="CR20" s="14">
        <v>-2.6</v>
      </c>
      <c r="CS20" s="14">
        <v>10.199999999999999</v>
      </c>
      <c r="CT20" t="s">
        <v>236</v>
      </c>
      <c r="CU20" t="s">
        <v>539</v>
      </c>
    </row>
    <row r="21" spans="1:99" x14ac:dyDescent="0.2">
      <c r="A21" s="19">
        <v>44087</v>
      </c>
      <c r="B21">
        <v>1</v>
      </c>
      <c r="C21" s="13" t="s">
        <v>384</v>
      </c>
      <c r="D21" s="41" t="s">
        <v>300</v>
      </c>
      <c r="E21" s="14" t="s">
        <v>312</v>
      </c>
      <c r="F21" t="s">
        <v>637</v>
      </c>
      <c r="G21">
        <v>33.76</v>
      </c>
      <c r="H21" t="s">
        <v>642</v>
      </c>
      <c r="I21">
        <v>17.600000000000001</v>
      </c>
      <c r="J21">
        <v>16</v>
      </c>
      <c r="K21">
        <v>66</v>
      </c>
      <c r="L21">
        <v>6</v>
      </c>
      <c r="M21" t="s">
        <v>638</v>
      </c>
      <c r="N21">
        <v>8.1999999999999993</v>
      </c>
      <c r="O21">
        <v>7</v>
      </c>
      <c r="P21">
        <v>21</v>
      </c>
      <c r="Q21">
        <v>4</v>
      </c>
      <c r="R21" t="s">
        <v>57</v>
      </c>
      <c r="S21">
        <v>44.6</v>
      </c>
      <c r="T21">
        <v>156</v>
      </c>
      <c r="U21">
        <v>17</v>
      </c>
      <c r="V21" t="s">
        <v>58</v>
      </c>
      <c r="W21">
        <v>19.600000000000001</v>
      </c>
      <c r="X21">
        <v>96</v>
      </c>
      <c r="Y21">
        <v>6</v>
      </c>
      <c r="Z21" t="s">
        <v>143</v>
      </c>
      <c r="AA21">
        <v>18.2</v>
      </c>
      <c r="AB21">
        <v>63</v>
      </c>
      <c r="AC21">
        <v>4</v>
      </c>
      <c r="AD21">
        <v>41</v>
      </c>
      <c r="AE21">
        <v>160</v>
      </c>
      <c r="AF21">
        <v>14</v>
      </c>
      <c r="AG21" t="s">
        <v>644</v>
      </c>
      <c r="AH21" s="14">
        <v>2.2000000000000002</v>
      </c>
      <c r="AI21">
        <v>12</v>
      </c>
      <c r="AJ21">
        <v>2</v>
      </c>
      <c r="AK21">
        <v>12</v>
      </c>
      <c r="AL21">
        <v>2</v>
      </c>
      <c r="AM21">
        <v>5</v>
      </c>
      <c r="AN21" s="21">
        <v>0.15909090909090909</v>
      </c>
      <c r="AO21" s="21">
        <v>0</v>
      </c>
      <c r="AP21" s="21">
        <v>0.4</v>
      </c>
      <c r="AQ21">
        <v>-4</v>
      </c>
      <c r="AR21">
        <v>44</v>
      </c>
      <c r="AS21">
        <v>28</v>
      </c>
      <c r="AT21">
        <v>3</v>
      </c>
      <c r="AU21">
        <v>76</v>
      </c>
      <c r="AV21">
        <v>41</v>
      </c>
      <c r="AW21">
        <v>2</v>
      </c>
      <c r="AX21">
        <v>522</v>
      </c>
      <c r="AY21">
        <v>364</v>
      </c>
      <c r="AZ21">
        <v>139</v>
      </c>
      <c r="BA21">
        <v>19</v>
      </c>
      <c r="BB21">
        <v>0</v>
      </c>
      <c r="BC21" t="s">
        <v>312</v>
      </c>
      <c r="BD21" s="14">
        <v>11.235999999999997</v>
      </c>
      <c r="BE21" s="14">
        <v>-0.9599999999999973</v>
      </c>
      <c r="BF21" s="14">
        <v>-3.1999999999999993</v>
      </c>
      <c r="BG21" s="14">
        <v>-10.400000000000006</v>
      </c>
      <c r="BH21" s="14">
        <v>2.2000000000000002</v>
      </c>
      <c r="BI21" s="14">
        <v>4.4399999999999995</v>
      </c>
      <c r="BJ21" s="14">
        <v>1.5999999999999996</v>
      </c>
      <c r="BK21" s="14">
        <v>-0.19999999999999929</v>
      </c>
      <c r="BL21" s="14">
        <v>2.6</v>
      </c>
      <c r="BM21" s="14">
        <v>26.88</v>
      </c>
      <c r="BN21" s="14">
        <v>78.8</v>
      </c>
      <c r="BO21" s="14">
        <v>10.4</v>
      </c>
      <c r="BP21" s="14">
        <v>2.3000000000000007</v>
      </c>
      <c r="BQ21" s="14">
        <v>30</v>
      </c>
      <c r="BR21" s="14">
        <v>0.20000000000000018</v>
      </c>
      <c r="BS21" s="14">
        <v>11.819999999999999</v>
      </c>
      <c r="BT21" s="14">
        <v>27.200000000000003</v>
      </c>
      <c r="BU21" s="14">
        <v>-1</v>
      </c>
      <c r="BV21" s="14">
        <v>23.72</v>
      </c>
      <c r="BW21" s="14">
        <v>81.2</v>
      </c>
      <c r="BX21" s="14">
        <v>5.8000000000000007</v>
      </c>
      <c r="BY21" s="48">
        <v>-10.280000000000001</v>
      </c>
      <c r="BZ21" s="14">
        <v>-46.8</v>
      </c>
      <c r="CA21" s="14">
        <v>-2.4000000000000004</v>
      </c>
      <c r="CB21" s="14">
        <v>-3.1999999999999993</v>
      </c>
      <c r="CC21" s="14">
        <v>-1.4</v>
      </c>
      <c r="CD21" s="14">
        <v>-2.5999999999999996</v>
      </c>
      <c r="CE21" s="14">
        <v>-0.14639332663722907</v>
      </c>
      <c r="CF21" s="14">
        <v>-5.8546124155880251E-2</v>
      </c>
      <c r="CG21" s="14">
        <v>-0.27333333333333332</v>
      </c>
      <c r="CH21" s="14">
        <v>-7.6</v>
      </c>
      <c r="CI21" s="14">
        <v>10.600000000000001</v>
      </c>
      <c r="CJ21" s="14">
        <v>2.3999999999999986</v>
      </c>
      <c r="CK21" s="14">
        <v>-1.4000000000000004</v>
      </c>
      <c r="CL21" s="14">
        <v>9.4000000000000057</v>
      </c>
      <c r="CM21" s="14">
        <v>11.600000000000001</v>
      </c>
      <c r="CN21" s="14">
        <v>2</v>
      </c>
      <c r="CO21" s="14">
        <v>116.60000000000002</v>
      </c>
      <c r="CP21" s="14">
        <v>79.399999999999977</v>
      </c>
      <c r="CQ21" s="14">
        <v>38</v>
      </c>
      <c r="CR21" s="14">
        <v>16.600000000000001</v>
      </c>
      <c r="CS21" s="14">
        <v>-17.399999999999999</v>
      </c>
      <c r="CT21" t="s">
        <v>260</v>
      </c>
      <c r="CU21" t="s">
        <v>476</v>
      </c>
    </row>
    <row r="22" spans="1:99" x14ac:dyDescent="0.2">
      <c r="A22" s="19">
        <v>44087</v>
      </c>
      <c r="B22">
        <v>1</v>
      </c>
      <c r="C22" s="13" t="s">
        <v>384</v>
      </c>
      <c r="D22" s="41" t="s">
        <v>301</v>
      </c>
      <c r="E22" s="14" t="s">
        <v>303</v>
      </c>
      <c r="F22" t="s">
        <v>645</v>
      </c>
      <c r="G22">
        <v>19.36</v>
      </c>
      <c r="H22" t="s">
        <v>651</v>
      </c>
      <c r="I22">
        <v>28.5</v>
      </c>
      <c r="J22">
        <v>23</v>
      </c>
      <c r="K22">
        <v>97</v>
      </c>
      <c r="L22">
        <v>4</v>
      </c>
      <c r="M22" t="s">
        <v>649</v>
      </c>
      <c r="N22">
        <v>0.1</v>
      </c>
      <c r="O22">
        <v>2</v>
      </c>
      <c r="P22">
        <v>1</v>
      </c>
      <c r="Q22">
        <v>0</v>
      </c>
      <c r="R22" t="s">
        <v>27</v>
      </c>
      <c r="S22">
        <v>28.4</v>
      </c>
      <c r="T22">
        <v>114</v>
      </c>
      <c r="U22">
        <v>8</v>
      </c>
      <c r="V22" t="s">
        <v>85</v>
      </c>
      <c r="W22">
        <v>9.4</v>
      </c>
      <c r="X22">
        <v>54</v>
      </c>
      <c r="Y22">
        <v>9</v>
      </c>
      <c r="Z22" t="s">
        <v>49</v>
      </c>
      <c r="AA22">
        <v>9.3000000000000007</v>
      </c>
      <c r="AB22">
        <v>38</v>
      </c>
      <c r="AC22">
        <v>8</v>
      </c>
      <c r="AD22">
        <v>20</v>
      </c>
      <c r="AE22">
        <v>90</v>
      </c>
      <c r="AF22">
        <v>15</v>
      </c>
      <c r="AG22" t="s">
        <v>167</v>
      </c>
      <c r="AH22" s="14">
        <v>3.6</v>
      </c>
      <c r="AI22">
        <v>16</v>
      </c>
      <c r="AJ22">
        <v>2</v>
      </c>
      <c r="AK22">
        <v>12</v>
      </c>
      <c r="AL22">
        <v>3</v>
      </c>
      <c r="AM22">
        <v>-1</v>
      </c>
      <c r="AN22" s="21">
        <v>0.23076923076923078</v>
      </c>
      <c r="AO22" s="21">
        <v>2.564102564102564E-2</v>
      </c>
      <c r="AP22" s="21">
        <v>0.8</v>
      </c>
      <c r="AQ22">
        <v>0</v>
      </c>
      <c r="AR22">
        <v>34</v>
      </c>
      <c r="AS22">
        <v>25</v>
      </c>
      <c r="AT22">
        <v>4</v>
      </c>
      <c r="AU22">
        <v>65</v>
      </c>
      <c r="AV22">
        <v>30</v>
      </c>
      <c r="AW22">
        <v>0</v>
      </c>
      <c r="AX22">
        <v>398</v>
      </c>
      <c r="AY22">
        <v>269</v>
      </c>
      <c r="AZ22">
        <v>98</v>
      </c>
      <c r="BA22">
        <v>5</v>
      </c>
      <c r="BB22">
        <v>26</v>
      </c>
      <c r="BC22" t="s">
        <v>303</v>
      </c>
      <c r="BD22" s="14">
        <v>-3.0850000000000044</v>
      </c>
      <c r="BE22" s="14">
        <v>5.2999999999999972</v>
      </c>
      <c r="BF22" s="14">
        <v>11.25</v>
      </c>
      <c r="BG22" s="14">
        <v>41.25</v>
      </c>
      <c r="BH22" s="14">
        <v>-4.25</v>
      </c>
      <c r="BI22" s="14">
        <v>-7.2</v>
      </c>
      <c r="BJ22" s="14">
        <v>-1.25</v>
      </c>
      <c r="BK22" s="14">
        <v>-32.75</v>
      </c>
      <c r="BL22" s="14">
        <v>-2.5</v>
      </c>
      <c r="BM22" s="14">
        <v>14.249999999999998</v>
      </c>
      <c r="BN22" s="14">
        <v>45.25</v>
      </c>
      <c r="BO22" s="14">
        <v>1.5</v>
      </c>
      <c r="BP22" s="14">
        <v>2.625</v>
      </c>
      <c r="BQ22" s="14">
        <v>26.25</v>
      </c>
      <c r="BR22" s="14">
        <v>5.75</v>
      </c>
      <c r="BS22" s="14">
        <v>1.5000000000000018</v>
      </c>
      <c r="BT22" s="14">
        <v>3.25</v>
      </c>
      <c r="BU22" s="14">
        <v>4</v>
      </c>
      <c r="BV22" s="14">
        <v>0.72500000000000142</v>
      </c>
      <c r="BW22" s="14">
        <v>-0.25</v>
      </c>
      <c r="BX22" s="14">
        <v>5.25</v>
      </c>
      <c r="BY22" s="48">
        <v>-6.5750000000000011</v>
      </c>
      <c r="BZ22" s="14">
        <v>-18.25</v>
      </c>
      <c r="CA22" s="14">
        <v>-3.25</v>
      </c>
      <c r="CB22" s="14">
        <v>4.5</v>
      </c>
      <c r="CC22" s="14">
        <v>1.5</v>
      </c>
      <c r="CD22" s="14">
        <v>-7</v>
      </c>
      <c r="CE22" s="14">
        <v>-8.7126433438727446E-2</v>
      </c>
      <c r="CF22" s="14">
        <v>-1.2336746112837194E-2</v>
      </c>
      <c r="CG22" s="14">
        <v>0.10892857142857149</v>
      </c>
      <c r="CH22" s="14">
        <v>-2.25</v>
      </c>
      <c r="CI22" s="14">
        <v>-1.75</v>
      </c>
      <c r="CJ22" s="14">
        <v>7.25</v>
      </c>
      <c r="CK22" s="14">
        <v>-1</v>
      </c>
      <c r="CL22" s="14">
        <v>2.5</v>
      </c>
      <c r="CM22" s="14">
        <v>1.25</v>
      </c>
      <c r="CN22" s="14">
        <v>-1.75</v>
      </c>
      <c r="CO22" s="14">
        <v>-3.5</v>
      </c>
      <c r="CP22" s="14">
        <v>-6.5</v>
      </c>
      <c r="CQ22" s="14">
        <v>-2.25</v>
      </c>
      <c r="CR22" s="14">
        <v>-7</v>
      </c>
      <c r="CS22" s="14">
        <v>12.25</v>
      </c>
      <c r="CT22" t="s">
        <v>247</v>
      </c>
      <c r="CU22" t="s">
        <v>510</v>
      </c>
    </row>
    <row r="23" spans="1:99" x14ac:dyDescent="0.2">
      <c r="A23" s="19">
        <v>44087</v>
      </c>
      <c r="B23">
        <v>1</v>
      </c>
      <c r="C23" s="13" t="s">
        <v>384</v>
      </c>
      <c r="D23" s="41" t="s">
        <v>302</v>
      </c>
      <c r="E23" s="14" t="s">
        <v>293</v>
      </c>
      <c r="F23" t="s">
        <v>652</v>
      </c>
      <c r="G23">
        <v>25.7</v>
      </c>
      <c r="H23" t="s">
        <v>660</v>
      </c>
      <c r="I23">
        <v>9.6999999999999993</v>
      </c>
      <c r="J23">
        <v>10</v>
      </c>
      <c r="K23">
        <v>37</v>
      </c>
      <c r="L23">
        <v>0</v>
      </c>
      <c r="M23" t="s">
        <v>657</v>
      </c>
      <c r="N23">
        <v>8.1999999999999993</v>
      </c>
      <c r="O23">
        <v>5</v>
      </c>
      <c r="P23">
        <v>22</v>
      </c>
      <c r="Q23">
        <v>3</v>
      </c>
      <c r="R23" t="s">
        <v>159</v>
      </c>
      <c r="S23">
        <v>13</v>
      </c>
      <c r="T23">
        <v>57</v>
      </c>
      <c r="U23">
        <v>7</v>
      </c>
      <c r="V23" t="s">
        <v>658</v>
      </c>
      <c r="W23">
        <v>7.9</v>
      </c>
      <c r="X23">
        <v>39</v>
      </c>
      <c r="Y23">
        <v>6</v>
      </c>
      <c r="Z23" t="s">
        <v>73</v>
      </c>
      <c r="AA23">
        <v>0</v>
      </c>
      <c r="AB23">
        <v>0</v>
      </c>
      <c r="AC23">
        <v>0</v>
      </c>
      <c r="AD23">
        <v>13.5</v>
      </c>
      <c r="AE23">
        <v>65</v>
      </c>
      <c r="AF23">
        <v>7</v>
      </c>
      <c r="AG23" t="s">
        <v>656</v>
      </c>
      <c r="AH23" s="14">
        <v>3.5</v>
      </c>
      <c r="AI23">
        <v>25</v>
      </c>
      <c r="AJ23">
        <v>2</v>
      </c>
      <c r="AK23">
        <v>2</v>
      </c>
      <c r="AL23">
        <v>1</v>
      </c>
      <c r="AM23">
        <v>11</v>
      </c>
      <c r="AN23" s="21">
        <v>0.18181818181818182</v>
      </c>
      <c r="AO23" s="21">
        <v>9.0909090909090912E-2</v>
      </c>
      <c r="AP23" s="21">
        <v>1</v>
      </c>
      <c r="AQ23">
        <v>4</v>
      </c>
      <c r="AR23">
        <v>19</v>
      </c>
      <c r="AS23">
        <v>62</v>
      </c>
      <c r="AT23">
        <v>15</v>
      </c>
      <c r="AU23">
        <v>63</v>
      </c>
      <c r="AV23">
        <v>21</v>
      </c>
      <c r="AW23">
        <v>0</v>
      </c>
      <c r="AX23">
        <v>372</v>
      </c>
      <c r="AY23">
        <v>155</v>
      </c>
      <c r="AZ23">
        <v>119</v>
      </c>
      <c r="BA23">
        <v>23</v>
      </c>
      <c r="BB23">
        <v>75</v>
      </c>
      <c r="BC23" t="s">
        <v>293</v>
      </c>
      <c r="BD23" s="14">
        <v>8.1239999999999988</v>
      </c>
      <c r="BE23" s="14">
        <v>-8.5799999999999983</v>
      </c>
      <c r="BF23" s="14">
        <v>-1.8000000000000007</v>
      </c>
      <c r="BG23" s="14">
        <v>-26.6</v>
      </c>
      <c r="BH23" s="14">
        <v>-4</v>
      </c>
      <c r="BI23" s="14">
        <v>2.4799999999999986</v>
      </c>
      <c r="BJ23" s="14">
        <v>0</v>
      </c>
      <c r="BK23" s="14">
        <v>2.1999999999999993</v>
      </c>
      <c r="BL23" s="14">
        <v>0.79999999999999982</v>
      </c>
      <c r="BM23" s="14">
        <v>0.48000000000000043</v>
      </c>
      <c r="BN23" s="14">
        <v>-1.3999999999999986</v>
      </c>
      <c r="BO23" s="14">
        <v>-1.8000000000000007</v>
      </c>
      <c r="BP23" s="14">
        <v>-4.4399999999999995</v>
      </c>
      <c r="BQ23" s="14">
        <v>-28.400000000000006</v>
      </c>
      <c r="BR23" s="14">
        <v>-0.40000000000000036</v>
      </c>
      <c r="BS23" s="14">
        <v>-9.9400000000000013</v>
      </c>
      <c r="BT23" s="14">
        <v>-47.4</v>
      </c>
      <c r="BU23" s="14">
        <v>-5.2</v>
      </c>
      <c r="BV23" s="14">
        <v>-6.4400000000000013</v>
      </c>
      <c r="BW23" s="14">
        <v>-26.400000000000006</v>
      </c>
      <c r="BX23" s="14">
        <v>-5.1999999999999993</v>
      </c>
      <c r="BY23" s="48">
        <v>-1.9600000000000009</v>
      </c>
      <c r="BZ23" s="14">
        <v>-3.6000000000000014</v>
      </c>
      <c r="CA23" s="14">
        <v>-2.8</v>
      </c>
      <c r="CB23" s="14">
        <v>-2.2000000000000002</v>
      </c>
      <c r="CC23" s="14">
        <v>0.19999999999999996</v>
      </c>
      <c r="CD23" s="14">
        <v>8.8000000000000007</v>
      </c>
      <c r="CE23" s="14">
        <v>-0.21006408690299266</v>
      </c>
      <c r="CF23" s="14">
        <v>2.0600386633821299E-2</v>
      </c>
      <c r="CG23" s="14">
        <v>0.31484848484848482</v>
      </c>
      <c r="CH23" s="14">
        <v>-4.8000000000000007</v>
      </c>
      <c r="CI23" s="14">
        <v>-19</v>
      </c>
      <c r="CJ23" s="14">
        <v>44</v>
      </c>
      <c r="CK23" s="14">
        <v>12.6</v>
      </c>
      <c r="CL23" s="14">
        <v>1</v>
      </c>
      <c r="CM23" s="14">
        <v>2.6000000000000014</v>
      </c>
      <c r="CN23" s="14">
        <v>0</v>
      </c>
      <c r="CO23" s="14">
        <v>-16</v>
      </c>
      <c r="CP23" s="14">
        <v>-126.39999999999998</v>
      </c>
      <c r="CQ23" s="14">
        <v>22.400000000000006</v>
      </c>
      <c r="CR23" s="14">
        <v>22.2</v>
      </c>
      <c r="CS23" s="14">
        <v>65.8</v>
      </c>
      <c r="CT23" t="s">
        <v>264</v>
      </c>
      <c r="CU23" t="s">
        <v>468</v>
      </c>
    </row>
    <row r="24" spans="1:99" x14ac:dyDescent="0.2">
      <c r="A24" s="19">
        <v>44087</v>
      </c>
      <c r="B24">
        <v>1</v>
      </c>
      <c r="C24" s="13" t="s">
        <v>384</v>
      </c>
      <c r="D24" s="41" t="s">
        <v>303</v>
      </c>
      <c r="E24" s="14" t="s">
        <v>301</v>
      </c>
      <c r="F24" t="s">
        <v>661</v>
      </c>
      <c r="G24">
        <v>13.56</v>
      </c>
      <c r="H24" t="s">
        <v>662</v>
      </c>
      <c r="I24">
        <v>35.9</v>
      </c>
      <c r="J24">
        <v>25</v>
      </c>
      <c r="K24">
        <v>93</v>
      </c>
      <c r="L24">
        <v>6</v>
      </c>
      <c r="M24" t="s">
        <v>663</v>
      </c>
      <c r="N24">
        <v>8.1999999999999993</v>
      </c>
      <c r="O24">
        <v>4</v>
      </c>
      <c r="P24">
        <v>29</v>
      </c>
      <c r="Q24">
        <v>3</v>
      </c>
      <c r="R24" t="s">
        <v>664</v>
      </c>
      <c r="S24">
        <v>9.6</v>
      </c>
      <c r="T24">
        <v>55</v>
      </c>
      <c r="U24">
        <v>5</v>
      </c>
      <c r="V24" t="s">
        <v>10</v>
      </c>
      <c r="W24">
        <v>9.3000000000000007</v>
      </c>
      <c r="X24">
        <v>23</v>
      </c>
      <c r="Y24">
        <v>1</v>
      </c>
      <c r="Z24" t="s">
        <v>79</v>
      </c>
      <c r="AA24">
        <v>4.0999999999999996</v>
      </c>
      <c r="AB24">
        <v>21</v>
      </c>
      <c r="AC24">
        <v>2</v>
      </c>
      <c r="AD24">
        <v>21.5</v>
      </c>
      <c r="AE24">
        <v>95</v>
      </c>
      <c r="AF24">
        <v>7</v>
      </c>
      <c r="AG24" t="s">
        <v>107</v>
      </c>
      <c r="AH24" s="14">
        <v>10.5</v>
      </c>
      <c r="AI24">
        <v>45</v>
      </c>
      <c r="AJ24">
        <v>8</v>
      </c>
      <c r="AK24">
        <v>12</v>
      </c>
      <c r="AL24">
        <v>2</v>
      </c>
      <c r="AM24">
        <v>0</v>
      </c>
      <c r="AN24" s="21">
        <v>0.1</v>
      </c>
      <c r="AO24" s="21">
        <v>0</v>
      </c>
      <c r="AP24" s="21">
        <v>0</v>
      </c>
      <c r="AQ24">
        <v>-1</v>
      </c>
      <c r="AR24">
        <v>30</v>
      </c>
      <c r="AS24">
        <v>29</v>
      </c>
      <c r="AT24">
        <v>0</v>
      </c>
      <c r="AU24">
        <v>61</v>
      </c>
      <c r="AV24">
        <v>34</v>
      </c>
      <c r="AW24">
        <v>0</v>
      </c>
      <c r="AX24">
        <v>372</v>
      </c>
      <c r="AY24">
        <v>239</v>
      </c>
      <c r="AZ24">
        <v>122</v>
      </c>
      <c r="BA24">
        <v>11</v>
      </c>
      <c r="BB24">
        <v>0</v>
      </c>
      <c r="BC24" t="s">
        <v>301</v>
      </c>
      <c r="BD24" s="14">
        <v>-2.3919999999999977</v>
      </c>
      <c r="BE24" s="14">
        <v>14.48</v>
      </c>
      <c r="BF24" s="14">
        <v>11</v>
      </c>
      <c r="BG24" s="14">
        <v>17.799999999999997</v>
      </c>
      <c r="BH24" s="14">
        <v>0.79999999999999982</v>
      </c>
      <c r="BI24" s="14">
        <v>0.33999999999999986</v>
      </c>
      <c r="BJ24" s="14">
        <v>-1</v>
      </c>
      <c r="BK24" s="14">
        <v>4.8000000000000007</v>
      </c>
      <c r="BL24" s="14">
        <v>0.60000000000000009</v>
      </c>
      <c r="BM24" s="14">
        <v>-11.720000000000004</v>
      </c>
      <c r="BN24" s="14">
        <v>-38.200000000000003</v>
      </c>
      <c r="BO24" s="14">
        <v>-6.4</v>
      </c>
      <c r="BP24" s="14">
        <v>3.42</v>
      </c>
      <c r="BQ24" s="14">
        <v>0.19999999999999929</v>
      </c>
      <c r="BR24" s="14">
        <v>-2.8</v>
      </c>
      <c r="BS24" s="14">
        <v>0.6599999999999997</v>
      </c>
      <c r="BT24" s="14">
        <v>4.8000000000000007</v>
      </c>
      <c r="BU24" s="14">
        <v>-1.2000000000000002</v>
      </c>
      <c r="BV24" s="14">
        <v>4.84</v>
      </c>
      <c r="BW24" s="14">
        <v>26.400000000000006</v>
      </c>
      <c r="BX24" s="14">
        <v>-3.8000000000000007</v>
      </c>
      <c r="BY24" s="48">
        <v>4.26</v>
      </c>
      <c r="BZ24" s="14">
        <v>16.600000000000001</v>
      </c>
      <c r="CA24" s="14">
        <v>2.4000000000000004</v>
      </c>
      <c r="CB24" s="14">
        <v>3.8000000000000007</v>
      </c>
      <c r="CC24" s="14">
        <v>0.39999999999999991</v>
      </c>
      <c r="CD24" s="14">
        <v>-6</v>
      </c>
      <c r="CE24" s="14">
        <v>-0.2042276591333195</v>
      </c>
      <c r="CF24" s="14">
        <v>-2.3517865782016721E-2</v>
      </c>
      <c r="CG24" s="14">
        <v>-0.6029411764705882</v>
      </c>
      <c r="CH24" s="14">
        <v>-5.8</v>
      </c>
      <c r="CI24" s="14">
        <v>-8.2000000000000028</v>
      </c>
      <c r="CJ24" s="14">
        <v>9</v>
      </c>
      <c r="CK24" s="14">
        <v>-3.2</v>
      </c>
      <c r="CL24" s="14">
        <v>-3.4000000000000057</v>
      </c>
      <c r="CM24" s="14">
        <v>12.600000000000001</v>
      </c>
      <c r="CN24" s="14">
        <v>0</v>
      </c>
      <c r="CO24" s="14">
        <v>32</v>
      </c>
      <c r="CP24" s="14">
        <v>18.199999999999989</v>
      </c>
      <c r="CQ24" s="14">
        <v>22.400000000000006</v>
      </c>
      <c r="CR24" s="14">
        <v>10.6</v>
      </c>
      <c r="CS24" s="14">
        <v>-19.2</v>
      </c>
      <c r="CT24" t="s">
        <v>279</v>
      </c>
      <c r="CU24" t="s">
        <v>484</v>
      </c>
    </row>
    <row r="25" spans="1:99" x14ac:dyDescent="0.2">
      <c r="A25" s="19">
        <v>44087</v>
      </c>
      <c r="B25">
        <v>1</v>
      </c>
      <c r="C25" s="13" t="s">
        <v>384</v>
      </c>
      <c r="D25" s="41" t="s">
        <v>304</v>
      </c>
      <c r="E25" s="14" t="s">
        <v>291</v>
      </c>
      <c r="F25" t="s">
        <v>666</v>
      </c>
      <c r="G25">
        <v>11.5</v>
      </c>
      <c r="H25" t="s">
        <v>668</v>
      </c>
      <c r="I25">
        <v>26</v>
      </c>
      <c r="J25">
        <v>18</v>
      </c>
      <c r="K25">
        <v>79</v>
      </c>
      <c r="L25">
        <v>4</v>
      </c>
      <c r="M25" t="s">
        <v>671</v>
      </c>
      <c r="N25">
        <v>5.3</v>
      </c>
      <c r="O25">
        <v>14</v>
      </c>
      <c r="P25">
        <v>39</v>
      </c>
      <c r="Q25">
        <v>1</v>
      </c>
      <c r="R25" t="s">
        <v>59</v>
      </c>
      <c r="S25">
        <v>20.9</v>
      </c>
      <c r="T25">
        <v>105</v>
      </c>
      <c r="U25">
        <v>8</v>
      </c>
      <c r="V25" t="s">
        <v>146</v>
      </c>
      <c r="W25">
        <v>8</v>
      </c>
      <c r="X25">
        <v>40</v>
      </c>
      <c r="Y25">
        <v>5</v>
      </c>
      <c r="Z25" t="s">
        <v>672</v>
      </c>
      <c r="AA25">
        <v>4.0999999999999996</v>
      </c>
      <c r="AB25">
        <v>31</v>
      </c>
      <c r="AC25">
        <v>3</v>
      </c>
      <c r="AD25">
        <v>13.5</v>
      </c>
      <c r="AE25">
        <v>75</v>
      </c>
      <c r="AF25">
        <v>7</v>
      </c>
      <c r="AG25" t="s">
        <v>670</v>
      </c>
      <c r="AH25" s="14">
        <v>7</v>
      </c>
      <c r="AI25">
        <v>40</v>
      </c>
      <c r="AJ25">
        <v>4</v>
      </c>
      <c r="AK25">
        <v>7</v>
      </c>
      <c r="AL25">
        <v>3</v>
      </c>
      <c r="AM25">
        <v>4</v>
      </c>
      <c r="AN25" s="21">
        <v>0.20588235294117646</v>
      </c>
      <c r="AO25" s="21">
        <v>2.9411764705882353E-2</v>
      </c>
      <c r="AP25" s="21">
        <v>0.25</v>
      </c>
      <c r="AQ25">
        <v>4</v>
      </c>
      <c r="AR25">
        <v>31</v>
      </c>
      <c r="AS25">
        <v>35</v>
      </c>
      <c r="AT25">
        <v>4</v>
      </c>
      <c r="AU25">
        <v>72</v>
      </c>
      <c r="AV25">
        <v>20</v>
      </c>
      <c r="AW25">
        <v>0</v>
      </c>
      <c r="AX25">
        <v>428</v>
      </c>
      <c r="AY25">
        <v>275</v>
      </c>
      <c r="AZ25">
        <v>124</v>
      </c>
      <c r="BA25">
        <v>14</v>
      </c>
      <c r="BB25">
        <v>15</v>
      </c>
      <c r="BC25" t="s">
        <v>291</v>
      </c>
      <c r="BD25" s="14">
        <v>-12.823999999999998</v>
      </c>
      <c r="BE25" s="14">
        <v>9.220000000000006</v>
      </c>
      <c r="BF25" s="14">
        <v>1.3999999999999986</v>
      </c>
      <c r="BG25" s="14">
        <v>-5</v>
      </c>
      <c r="BH25" s="14">
        <v>2.4</v>
      </c>
      <c r="BI25" s="14">
        <v>0.17999999999999972</v>
      </c>
      <c r="BJ25" s="14">
        <v>8</v>
      </c>
      <c r="BK25" s="14">
        <v>5.3999999999999986</v>
      </c>
      <c r="BL25" s="14">
        <v>-0.39999999999999991</v>
      </c>
      <c r="BM25" s="14">
        <v>-2.3000000000000007</v>
      </c>
      <c r="BN25" s="14">
        <v>23.599999999999994</v>
      </c>
      <c r="BO25" s="14">
        <v>-0.80000000000000071</v>
      </c>
      <c r="BP25" s="14">
        <v>-12.395999999999997</v>
      </c>
      <c r="BQ25" s="14">
        <v>-39</v>
      </c>
      <c r="BR25" s="14">
        <v>-1.4000000000000004</v>
      </c>
      <c r="BS25" s="14">
        <v>-0.5</v>
      </c>
      <c r="BT25" s="14">
        <v>17</v>
      </c>
      <c r="BU25" s="14">
        <v>0</v>
      </c>
      <c r="BV25" s="14">
        <v>-0.41999999999999815</v>
      </c>
      <c r="BW25" s="14">
        <v>11.799999999999997</v>
      </c>
      <c r="BX25" s="14">
        <v>-1.1999999999999993</v>
      </c>
      <c r="BY25" s="48">
        <v>-3.8599999999999994</v>
      </c>
      <c r="BZ25" s="14">
        <v>3.2000000000000028</v>
      </c>
      <c r="CA25" s="14">
        <v>-0.79999999999999982</v>
      </c>
      <c r="CB25" s="14">
        <v>-5.1999999999999993</v>
      </c>
      <c r="CC25" s="14">
        <v>0.79999999999999982</v>
      </c>
      <c r="CD25" s="14">
        <v>-5</v>
      </c>
      <c r="CE25" s="14">
        <v>-0.1349298632978691</v>
      </c>
      <c r="CF25" s="14">
        <v>-2.2825591433912815E-2</v>
      </c>
      <c r="CG25" s="14">
        <v>-0.57499999999999996</v>
      </c>
      <c r="CH25" s="14">
        <v>3.4</v>
      </c>
      <c r="CI25" s="14">
        <v>-1.6000000000000014</v>
      </c>
      <c r="CJ25" s="14">
        <v>8.3999999999999986</v>
      </c>
      <c r="CK25" s="14">
        <v>-1</v>
      </c>
      <c r="CL25" s="14">
        <v>4.5999999999999943</v>
      </c>
      <c r="CM25" s="14">
        <v>-17.799999999999997</v>
      </c>
      <c r="CN25" s="14">
        <v>-1.8</v>
      </c>
      <c r="CO25" s="14">
        <v>18</v>
      </c>
      <c r="CP25" s="14">
        <v>42.400000000000006</v>
      </c>
      <c r="CQ25" s="14">
        <v>-14.800000000000011</v>
      </c>
      <c r="CR25" s="14">
        <v>-2.3999999999999986</v>
      </c>
      <c r="CS25" s="14">
        <v>-7.1999999999999993</v>
      </c>
      <c r="CT25" t="s">
        <v>282</v>
      </c>
      <c r="CU25" t="s">
        <v>453</v>
      </c>
    </row>
    <row r="26" spans="1:99" x14ac:dyDescent="0.2">
      <c r="A26" s="19">
        <v>44087</v>
      </c>
      <c r="B26">
        <v>1</v>
      </c>
      <c r="C26" s="13" t="s">
        <v>384</v>
      </c>
      <c r="D26" s="41" t="s">
        <v>305</v>
      </c>
      <c r="E26" s="14" t="s">
        <v>281</v>
      </c>
      <c r="F26" t="s">
        <v>673</v>
      </c>
      <c r="G26">
        <v>27.5</v>
      </c>
      <c r="H26" t="s">
        <v>677</v>
      </c>
      <c r="I26">
        <v>2.9</v>
      </c>
      <c r="J26">
        <v>10</v>
      </c>
      <c r="K26">
        <v>29</v>
      </c>
      <c r="L26">
        <v>0</v>
      </c>
      <c r="M26" t="s">
        <v>675</v>
      </c>
      <c r="N26">
        <v>14.2</v>
      </c>
      <c r="O26">
        <v>7</v>
      </c>
      <c r="P26">
        <v>22</v>
      </c>
      <c r="Q26">
        <v>0</v>
      </c>
      <c r="R26" t="s">
        <v>4</v>
      </c>
      <c r="S26">
        <v>18.100000000000001</v>
      </c>
      <c r="T26">
        <v>101</v>
      </c>
      <c r="U26">
        <v>6</v>
      </c>
      <c r="V26" t="s">
        <v>147</v>
      </c>
      <c r="W26">
        <v>16.399999999999999</v>
      </c>
      <c r="X26">
        <v>64</v>
      </c>
      <c r="Y26">
        <v>4</v>
      </c>
      <c r="Z26" t="s">
        <v>678</v>
      </c>
      <c r="AA26">
        <v>6.7</v>
      </c>
      <c r="AB26">
        <v>37</v>
      </c>
      <c r="AC26">
        <v>4</v>
      </c>
      <c r="AD26">
        <v>39.5</v>
      </c>
      <c r="AE26">
        <v>175</v>
      </c>
      <c r="AF26">
        <v>13</v>
      </c>
      <c r="AG26" t="s">
        <v>7</v>
      </c>
      <c r="AH26" s="14">
        <v>22.8</v>
      </c>
      <c r="AI26">
        <v>58</v>
      </c>
      <c r="AJ26">
        <v>6</v>
      </c>
      <c r="AK26">
        <v>9</v>
      </c>
      <c r="AL26">
        <v>1</v>
      </c>
      <c r="AM26">
        <v>15</v>
      </c>
      <c r="AN26" s="21">
        <v>0.48275862068965519</v>
      </c>
      <c r="AO26" s="21">
        <v>6.8965517241379309E-2</v>
      </c>
      <c r="AP26" s="21">
        <v>0.88888888888888884</v>
      </c>
      <c r="AQ26">
        <v>0</v>
      </c>
      <c r="AR26">
        <v>25</v>
      </c>
      <c r="AS26">
        <v>22</v>
      </c>
      <c r="AT26">
        <v>8</v>
      </c>
      <c r="AU26">
        <v>58</v>
      </c>
      <c r="AV26">
        <v>38</v>
      </c>
      <c r="AW26">
        <v>0</v>
      </c>
      <c r="AX26">
        <v>395</v>
      </c>
      <c r="AY26">
        <v>284</v>
      </c>
      <c r="AZ26">
        <v>67</v>
      </c>
      <c r="BA26">
        <v>0</v>
      </c>
      <c r="BB26">
        <v>44</v>
      </c>
      <c r="BC26" t="s">
        <v>281</v>
      </c>
      <c r="BD26" s="14">
        <v>7.0440000000000005</v>
      </c>
      <c r="BE26" s="14">
        <v>-13.839999999999998</v>
      </c>
      <c r="BF26" s="14">
        <v>-3.8000000000000007</v>
      </c>
      <c r="BG26" s="14">
        <v>-32.4</v>
      </c>
      <c r="BH26" s="14">
        <v>-3.8</v>
      </c>
      <c r="BI26" s="14">
        <v>6.1999999999999993</v>
      </c>
      <c r="BJ26" s="14">
        <v>3.4</v>
      </c>
      <c r="BK26" s="14">
        <v>10.199999999999999</v>
      </c>
      <c r="BL26" s="14">
        <v>-3.6</v>
      </c>
      <c r="BM26" s="14">
        <v>-1.9399999999999977</v>
      </c>
      <c r="BN26" s="14">
        <v>14.599999999999994</v>
      </c>
      <c r="BO26" s="14">
        <v>-3.1999999999999993</v>
      </c>
      <c r="BP26" s="14">
        <v>2.3599999999999977</v>
      </c>
      <c r="BQ26" s="14">
        <v>18.200000000000003</v>
      </c>
      <c r="BR26" s="14">
        <v>-3</v>
      </c>
      <c r="BS26" s="14">
        <v>0.83999999999999986</v>
      </c>
      <c r="BT26" s="14">
        <v>7.6000000000000014</v>
      </c>
      <c r="BU26" s="14">
        <v>-0.79999999999999982</v>
      </c>
      <c r="BV26" s="14">
        <v>12.719999999999999</v>
      </c>
      <c r="BW26" s="14">
        <v>63.2</v>
      </c>
      <c r="BX26" s="14">
        <v>-2</v>
      </c>
      <c r="BY26" s="48">
        <v>10.56</v>
      </c>
      <c r="BZ26" s="14">
        <v>11.600000000000001</v>
      </c>
      <c r="CA26" s="14">
        <v>-2</v>
      </c>
      <c r="CB26" s="14">
        <v>1.7999999999999998</v>
      </c>
      <c r="CC26" s="14">
        <v>-0.39999999999999991</v>
      </c>
      <c r="CD26" s="14">
        <v>9.8000000000000007</v>
      </c>
      <c r="CE26" s="14">
        <v>0.22772398685185574</v>
      </c>
      <c r="CF26" s="14">
        <v>1.3281402525469339E-2</v>
      </c>
      <c r="CG26" s="14">
        <v>0.42042735042735047</v>
      </c>
      <c r="CH26" s="14">
        <v>-7.4</v>
      </c>
      <c r="CI26" s="14">
        <v>-17.399999999999999</v>
      </c>
      <c r="CJ26" s="14">
        <v>3.1999999999999993</v>
      </c>
      <c r="CK26" s="14">
        <v>4.4000000000000004</v>
      </c>
      <c r="CL26" s="14">
        <v>-10.599999999999994</v>
      </c>
      <c r="CM26" s="14">
        <v>11</v>
      </c>
      <c r="CN26" s="14">
        <v>-2.8</v>
      </c>
      <c r="CO26" s="14">
        <v>14.199999999999989</v>
      </c>
      <c r="CP26" s="14">
        <v>-6.6000000000000227</v>
      </c>
      <c r="CQ26" s="14">
        <v>-8</v>
      </c>
      <c r="CR26" s="14">
        <v>-8.4</v>
      </c>
      <c r="CS26" s="14">
        <v>37.200000000000003</v>
      </c>
      <c r="CT26" t="s">
        <v>266</v>
      </c>
      <c r="CU26" t="s">
        <v>498</v>
      </c>
    </row>
    <row r="27" spans="1:99" x14ac:dyDescent="0.2">
      <c r="A27" s="19">
        <v>44087</v>
      </c>
      <c r="B27">
        <v>1</v>
      </c>
      <c r="C27" s="13" t="s">
        <v>384</v>
      </c>
      <c r="D27" s="41" t="s">
        <v>306</v>
      </c>
      <c r="E27" s="14" t="s">
        <v>294</v>
      </c>
      <c r="F27" t="s">
        <v>686</v>
      </c>
      <c r="G27">
        <v>12.82</v>
      </c>
      <c r="H27" t="s">
        <v>688</v>
      </c>
      <c r="I27">
        <v>14.9</v>
      </c>
      <c r="J27">
        <v>17</v>
      </c>
      <c r="K27">
        <v>29</v>
      </c>
      <c r="L27">
        <v>0</v>
      </c>
      <c r="M27" t="s">
        <v>680</v>
      </c>
      <c r="N27">
        <v>6.4</v>
      </c>
      <c r="O27">
        <v>9</v>
      </c>
      <c r="P27">
        <v>36</v>
      </c>
      <c r="Q27">
        <v>2</v>
      </c>
      <c r="R27" t="s">
        <v>94</v>
      </c>
      <c r="S27">
        <v>11.1</v>
      </c>
      <c r="T27">
        <v>61</v>
      </c>
      <c r="U27">
        <v>7</v>
      </c>
      <c r="V27" t="s">
        <v>687</v>
      </c>
      <c r="W27">
        <v>8</v>
      </c>
      <c r="X27">
        <v>50</v>
      </c>
      <c r="Y27">
        <v>3</v>
      </c>
      <c r="Z27" t="s">
        <v>684</v>
      </c>
      <c r="AA27">
        <v>4.0999999999999996</v>
      </c>
      <c r="AB27">
        <v>21</v>
      </c>
      <c r="AC27">
        <v>5</v>
      </c>
      <c r="AD27">
        <v>10.199999999999999</v>
      </c>
      <c r="AE27">
        <v>52</v>
      </c>
      <c r="AF27">
        <v>10</v>
      </c>
      <c r="AG27" t="s">
        <v>683</v>
      </c>
      <c r="AH27" s="14">
        <v>13.7</v>
      </c>
      <c r="AI27">
        <v>37</v>
      </c>
      <c r="AJ27">
        <v>8</v>
      </c>
      <c r="AK27">
        <v>9</v>
      </c>
      <c r="AL27">
        <v>3</v>
      </c>
      <c r="AM27">
        <v>15</v>
      </c>
      <c r="AN27" s="21">
        <v>0.3888888888888889</v>
      </c>
      <c r="AO27" s="21">
        <v>8.3333333333333329E-2</v>
      </c>
      <c r="AP27" s="21">
        <v>0.33333333333333331</v>
      </c>
      <c r="AQ27">
        <v>3</v>
      </c>
      <c r="AR27">
        <v>31</v>
      </c>
      <c r="AS27">
        <v>29</v>
      </c>
      <c r="AT27">
        <v>7</v>
      </c>
      <c r="AU27">
        <v>70</v>
      </c>
      <c r="AV27">
        <v>27</v>
      </c>
      <c r="AW27">
        <v>0</v>
      </c>
      <c r="AX27">
        <v>258</v>
      </c>
      <c r="AY27">
        <v>178</v>
      </c>
      <c r="AZ27">
        <v>63</v>
      </c>
      <c r="BA27">
        <v>0</v>
      </c>
      <c r="BB27">
        <v>17</v>
      </c>
      <c r="BC27" t="s">
        <v>294</v>
      </c>
      <c r="BD27" s="14">
        <v>-10.084</v>
      </c>
      <c r="BE27" s="14">
        <v>-0.16000000000000192</v>
      </c>
      <c r="BF27" s="14">
        <v>2.5999999999999996</v>
      </c>
      <c r="BG27" s="14">
        <v>-21.799999999999997</v>
      </c>
      <c r="BH27" s="14">
        <v>-3.6</v>
      </c>
      <c r="BI27" s="14">
        <v>1.8200000000000003</v>
      </c>
      <c r="BJ27" s="14">
        <v>3</v>
      </c>
      <c r="BK27" s="14">
        <v>16</v>
      </c>
      <c r="BL27" s="14">
        <v>0.39999999999999991</v>
      </c>
      <c r="BM27" s="14">
        <v>-10.039999999999997</v>
      </c>
      <c r="BN27" s="14">
        <v>-3.7999999999999972</v>
      </c>
      <c r="BO27" s="14">
        <v>-1</v>
      </c>
      <c r="BP27" s="14">
        <v>-0.59999999999999964</v>
      </c>
      <c r="BQ27" s="14">
        <v>7.7999999999999972</v>
      </c>
      <c r="BR27" s="14">
        <v>-1.5999999999999996</v>
      </c>
      <c r="BS27" s="14">
        <v>-4.0399999999999991</v>
      </c>
      <c r="BT27" s="14">
        <v>-6.8000000000000007</v>
      </c>
      <c r="BU27" s="14">
        <v>0.59999999999999964</v>
      </c>
      <c r="BV27" s="14">
        <v>-7.1400000000000006</v>
      </c>
      <c r="BW27" s="14">
        <v>-17.400000000000006</v>
      </c>
      <c r="BX27" s="14">
        <v>1.1999999999999993</v>
      </c>
      <c r="BY27" s="48">
        <v>-3.3000000000000007</v>
      </c>
      <c r="BZ27" s="14">
        <v>-23.4</v>
      </c>
      <c r="CA27" s="14">
        <v>1.5999999999999996</v>
      </c>
      <c r="CB27" s="14">
        <v>-0.19999999999999929</v>
      </c>
      <c r="CC27" s="14">
        <v>1.4</v>
      </c>
      <c r="CD27" s="14">
        <v>8.1999999999999993</v>
      </c>
      <c r="CE27" s="14">
        <v>-1.1718347012464325E-3</v>
      </c>
      <c r="CF27" s="14">
        <v>2.3934888640770868E-3</v>
      </c>
      <c r="CG27" s="14">
        <v>-0.3938888888888889</v>
      </c>
      <c r="CH27" s="14">
        <v>-2.5999999999999996</v>
      </c>
      <c r="CI27" s="14">
        <v>-4.3999999999999986</v>
      </c>
      <c r="CJ27" s="14">
        <v>6.3999999999999986</v>
      </c>
      <c r="CK27" s="14">
        <v>3.2</v>
      </c>
      <c r="CL27" s="14">
        <v>1.7999999999999972</v>
      </c>
      <c r="CM27" s="14">
        <v>-2.6000000000000014</v>
      </c>
      <c r="CN27" s="14">
        <v>0</v>
      </c>
      <c r="CO27" s="14">
        <v>-143.60000000000002</v>
      </c>
      <c r="CP27" s="14">
        <v>-90.600000000000023</v>
      </c>
      <c r="CQ27" s="14">
        <v>-15.599999999999994</v>
      </c>
      <c r="CR27" s="14">
        <v>-30.8</v>
      </c>
      <c r="CS27" s="14">
        <v>-6.6000000000000014</v>
      </c>
      <c r="CT27" t="s">
        <v>290</v>
      </c>
      <c r="CU27" t="s">
        <v>469</v>
      </c>
    </row>
    <row r="28" spans="1:99" x14ac:dyDescent="0.2">
      <c r="A28" s="19">
        <v>44087</v>
      </c>
      <c r="B28">
        <v>1</v>
      </c>
      <c r="C28" s="13" t="s">
        <v>384</v>
      </c>
      <c r="D28" s="41" t="s">
        <v>307</v>
      </c>
      <c r="E28" s="14" t="s">
        <v>284</v>
      </c>
      <c r="F28" t="s">
        <v>689</v>
      </c>
      <c r="G28">
        <v>14.4</v>
      </c>
      <c r="H28" t="s">
        <v>690</v>
      </c>
      <c r="I28">
        <v>23.7</v>
      </c>
      <c r="J28">
        <v>12</v>
      </c>
      <c r="K28">
        <v>16</v>
      </c>
      <c r="L28">
        <v>8</v>
      </c>
      <c r="M28" t="s">
        <v>691</v>
      </c>
      <c r="N28">
        <v>4.8</v>
      </c>
      <c r="O28">
        <v>15</v>
      </c>
      <c r="P28">
        <v>48</v>
      </c>
      <c r="Q28">
        <v>1</v>
      </c>
      <c r="R28" t="s">
        <v>128</v>
      </c>
      <c r="S28">
        <v>4.7</v>
      </c>
      <c r="T28">
        <v>17</v>
      </c>
      <c r="U28">
        <v>5</v>
      </c>
      <c r="V28" t="s">
        <v>129</v>
      </c>
      <c r="W28">
        <v>10.5</v>
      </c>
      <c r="X28">
        <v>15</v>
      </c>
      <c r="Y28">
        <v>5</v>
      </c>
      <c r="Z28" t="s">
        <v>694</v>
      </c>
      <c r="AA28">
        <v>3.6</v>
      </c>
      <c r="AB28">
        <v>17</v>
      </c>
      <c r="AC28">
        <v>1</v>
      </c>
      <c r="AD28">
        <v>21.7</v>
      </c>
      <c r="AE28">
        <v>67</v>
      </c>
      <c r="AF28">
        <v>12</v>
      </c>
      <c r="AG28" t="s">
        <v>80</v>
      </c>
      <c r="AH28" s="14">
        <v>13</v>
      </c>
      <c r="AI28">
        <v>80</v>
      </c>
      <c r="AJ28">
        <v>7</v>
      </c>
      <c r="AK28">
        <v>10</v>
      </c>
      <c r="AL28">
        <v>2</v>
      </c>
      <c r="AM28">
        <v>17</v>
      </c>
      <c r="AN28" s="21">
        <v>0.18181818181818182</v>
      </c>
      <c r="AO28" s="21">
        <v>9.0909090909090912E-2</v>
      </c>
      <c r="AP28" s="21">
        <v>1</v>
      </c>
      <c r="AQ28">
        <v>0</v>
      </c>
      <c r="AR28">
        <v>31</v>
      </c>
      <c r="AS28">
        <v>28</v>
      </c>
      <c r="AT28">
        <v>5</v>
      </c>
      <c r="AU28">
        <v>66</v>
      </c>
      <c r="AV28">
        <v>27</v>
      </c>
      <c r="AW28">
        <v>7</v>
      </c>
      <c r="AX28">
        <v>280</v>
      </c>
      <c r="AY28">
        <v>198</v>
      </c>
      <c r="AZ28">
        <v>60</v>
      </c>
      <c r="BA28">
        <v>9</v>
      </c>
      <c r="BB28">
        <v>13</v>
      </c>
      <c r="BC28" t="s">
        <v>284</v>
      </c>
      <c r="BD28" s="14">
        <v>0.46800000000000175</v>
      </c>
      <c r="BE28" s="14">
        <v>10.299999999999999</v>
      </c>
      <c r="BF28" s="14">
        <v>2.4000000000000004</v>
      </c>
      <c r="BG28" s="14">
        <v>-12.2</v>
      </c>
      <c r="BH28" s="14">
        <v>3</v>
      </c>
      <c r="BI28" s="14">
        <v>-1.1399999999999997</v>
      </c>
      <c r="BJ28" s="14">
        <v>11.8</v>
      </c>
      <c r="BK28" s="14">
        <v>38.799999999999997</v>
      </c>
      <c r="BL28" s="14">
        <v>-1.7999999999999998</v>
      </c>
      <c r="BM28" s="14">
        <v>-10.839999999999996</v>
      </c>
      <c r="BN28" s="14">
        <v>-58.400000000000006</v>
      </c>
      <c r="BO28" s="14">
        <v>-6.4</v>
      </c>
      <c r="BP28" s="14">
        <v>-2.4000000000000004</v>
      </c>
      <c r="BQ28" s="14">
        <v>-44</v>
      </c>
      <c r="BR28" s="14">
        <v>-0.40000000000000036</v>
      </c>
      <c r="BS28" s="14">
        <v>-2.4200000000000004</v>
      </c>
      <c r="BT28" s="14">
        <v>-8.3999999999999986</v>
      </c>
      <c r="BU28" s="14">
        <v>-1.7999999999999998</v>
      </c>
      <c r="BV28" s="14">
        <v>4.18</v>
      </c>
      <c r="BW28" s="14">
        <v>-18.200000000000003</v>
      </c>
      <c r="BX28" s="14">
        <v>1.1999999999999993</v>
      </c>
      <c r="BY28" s="48">
        <v>6.339999999999999</v>
      </c>
      <c r="BZ28" s="14">
        <v>51.4</v>
      </c>
      <c r="CA28" s="14">
        <v>2.5999999999999996</v>
      </c>
      <c r="CB28" s="14">
        <v>3.5999999999999996</v>
      </c>
      <c r="CC28" s="14">
        <v>0.60000000000000009</v>
      </c>
      <c r="CD28" s="14">
        <v>13.8</v>
      </c>
      <c r="CE28" s="14">
        <v>-0.23998522887916807</v>
      </c>
      <c r="CF28" s="14">
        <v>-2.5380516327673797E-3</v>
      </c>
      <c r="CG28" s="14">
        <v>0.32821067821067818</v>
      </c>
      <c r="CH28" s="14">
        <v>-12.6</v>
      </c>
      <c r="CI28" s="14">
        <v>-5.6000000000000014</v>
      </c>
      <c r="CJ28" s="14">
        <v>12.8</v>
      </c>
      <c r="CK28" s="14">
        <v>2.8</v>
      </c>
      <c r="CL28" s="14">
        <v>5.2000000000000028</v>
      </c>
      <c r="CM28" s="14">
        <v>10.8</v>
      </c>
      <c r="CN28" s="14">
        <v>5.6</v>
      </c>
      <c r="CO28" s="14">
        <v>-38.399999999999977</v>
      </c>
      <c r="CP28" s="14">
        <v>-59.800000000000011</v>
      </c>
      <c r="CQ28" s="14">
        <v>13.799999999999997</v>
      </c>
      <c r="CR28" s="14">
        <v>2.8</v>
      </c>
      <c r="CS28" s="14">
        <v>4.8000000000000007</v>
      </c>
      <c r="CT28" t="s">
        <v>243</v>
      </c>
      <c r="CU28" t="s">
        <v>486</v>
      </c>
    </row>
    <row r="29" spans="1:99" x14ac:dyDescent="0.2">
      <c r="A29" s="19">
        <v>44087</v>
      </c>
      <c r="B29">
        <v>1</v>
      </c>
      <c r="C29" s="13" t="s">
        <v>384</v>
      </c>
      <c r="D29" s="41" t="s">
        <v>308</v>
      </c>
      <c r="E29" s="14" t="s">
        <v>295</v>
      </c>
      <c r="F29" t="s">
        <v>696</v>
      </c>
      <c r="G29">
        <v>34.78</v>
      </c>
      <c r="H29" t="s">
        <v>698</v>
      </c>
      <c r="I29">
        <v>26.4</v>
      </c>
      <c r="J29">
        <v>6</v>
      </c>
      <c r="K29">
        <v>21</v>
      </c>
      <c r="L29">
        <v>6</v>
      </c>
      <c r="M29" t="s">
        <v>697</v>
      </c>
      <c r="N29">
        <v>8.3000000000000007</v>
      </c>
      <c r="O29">
        <v>7</v>
      </c>
      <c r="P29">
        <v>23</v>
      </c>
      <c r="Q29">
        <v>0</v>
      </c>
      <c r="R29" t="s">
        <v>163</v>
      </c>
      <c r="S29">
        <v>17.2</v>
      </c>
      <c r="T29">
        <v>92</v>
      </c>
      <c r="U29">
        <v>8</v>
      </c>
      <c r="V29" t="s">
        <v>103</v>
      </c>
      <c r="W29">
        <v>19.5</v>
      </c>
      <c r="X29">
        <v>95</v>
      </c>
      <c r="Y29">
        <v>8</v>
      </c>
      <c r="Z29" t="s">
        <v>699</v>
      </c>
      <c r="AA29">
        <v>7</v>
      </c>
      <c r="AB29">
        <v>28</v>
      </c>
      <c r="AC29">
        <v>3</v>
      </c>
      <c r="AD29">
        <v>13.5</v>
      </c>
      <c r="AE29">
        <v>65</v>
      </c>
      <c r="AF29">
        <v>8</v>
      </c>
      <c r="AG29" t="s">
        <v>68</v>
      </c>
      <c r="AH29" s="14">
        <v>12.4</v>
      </c>
      <c r="AI29">
        <v>24</v>
      </c>
      <c r="AJ29">
        <v>4</v>
      </c>
      <c r="AK29">
        <v>9</v>
      </c>
      <c r="AL29">
        <v>1</v>
      </c>
      <c r="AM29">
        <v>6</v>
      </c>
      <c r="AN29" s="21">
        <v>0.41025641025641024</v>
      </c>
      <c r="AO29" s="21">
        <v>7.6923076923076927E-2</v>
      </c>
      <c r="AP29" s="21">
        <v>1</v>
      </c>
      <c r="AQ29">
        <v>-1</v>
      </c>
      <c r="AR29">
        <v>35</v>
      </c>
      <c r="AS29">
        <v>16</v>
      </c>
      <c r="AT29">
        <v>3</v>
      </c>
      <c r="AU29">
        <v>58</v>
      </c>
      <c r="AV29">
        <v>38</v>
      </c>
      <c r="AW29">
        <v>0</v>
      </c>
      <c r="AX29">
        <v>406</v>
      </c>
      <c r="AY29">
        <v>322</v>
      </c>
      <c r="AZ29">
        <v>43</v>
      </c>
      <c r="BA29">
        <v>12</v>
      </c>
      <c r="BB29">
        <v>29</v>
      </c>
      <c r="BC29" t="s">
        <v>295</v>
      </c>
      <c r="BD29" s="14">
        <v>1.828000000000003</v>
      </c>
      <c r="BE29" s="14">
        <v>9.0799999999999983</v>
      </c>
      <c r="BF29" s="14">
        <v>-9.4</v>
      </c>
      <c r="BG29" s="14">
        <v>-43</v>
      </c>
      <c r="BH29" s="14">
        <v>0.59999999999999964</v>
      </c>
      <c r="BI29" s="14">
        <v>2.4600000000000017</v>
      </c>
      <c r="BJ29" s="14">
        <v>4.2</v>
      </c>
      <c r="BK29" s="14">
        <v>15.4</v>
      </c>
      <c r="BL29" s="14">
        <v>-3.2</v>
      </c>
      <c r="BM29" s="14">
        <v>-1.8800000000000026</v>
      </c>
      <c r="BN29" s="14">
        <v>5.7999999999999972</v>
      </c>
      <c r="BO29" s="14">
        <v>-1.5999999999999996</v>
      </c>
      <c r="BP29" s="14">
        <v>-0.39999999999999858</v>
      </c>
      <c r="BQ29" s="14">
        <v>9.5999999999999943</v>
      </c>
      <c r="BR29" s="14">
        <v>1.4000000000000004</v>
      </c>
      <c r="BS29" s="14">
        <v>1.1200000000000001</v>
      </c>
      <c r="BT29" s="14">
        <v>-1.1999999999999993</v>
      </c>
      <c r="BU29" s="14">
        <v>-1.4000000000000004</v>
      </c>
      <c r="BV29" s="14">
        <v>-11.98</v>
      </c>
      <c r="BW29" s="14">
        <v>-43.8</v>
      </c>
      <c r="BX29" s="14">
        <v>-3.8000000000000007</v>
      </c>
      <c r="BY29" s="48">
        <v>-6.0199999999999978</v>
      </c>
      <c r="BZ29" s="14">
        <v>-36.200000000000003</v>
      </c>
      <c r="CA29" s="14">
        <v>-2.2000000000000002</v>
      </c>
      <c r="CB29" s="14">
        <v>2</v>
      </c>
      <c r="CC29" s="14">
        <v>-0.60000000000000009</v>
      </c>
      <c r="CD29" s="14">
        <v>3.8</v>
      </c>
      <c r="CE29" s="14">
        <v>0.14657703857703852</v>
      </c>
      <c r="CF29" s="14">
        <v>5.43959783959784E-2</v>
      </c>
      <c r="CG29" s="14">
        <v>0.34428571428571442</v>
      </c>
      <c r="CH29" s="14">
        <v>-4</v>
      </c>
      <c r="CI29" s="14">
        <v>-6</v>
      </c>
      <c r="CJ29" s="14">
        <v>-4.1999999999999993</v>
      </c>
      <c r="CK29" s="14">
        <v>0.20000000000000018</v>
      </c>
      <c r="CL29" s="14">
        <v>-8.5999999999999943</v>
      </c>
      <c r="CM29" s="14">
        <v>8.8000000000000007</v>
      </c>
      <c r="CN29" s="14">
        <v>0</v>
      </c>
      <c r="CO29" s="14">
        <v>-43.600000000000023</v>
      </c>
      <c r="CP29" s="14">
        <v>-27.800000000000011</v>
      </c>
      <c r="CQ29" s="14">
        <v>-30.599999999999994</v>
      </c>
      <c r="CR29" s="14">
        <v>-0.80000000000000071</v>
      </c>
      <c r="CS29" s="14">
        <v>15.6</v>
      </c>
      <c r="CT29" t="s">
        <v>280</v>
      </c>
      <c r="CU29" t="s">
        <v>489</v>
      </c>
    </row>
    <row r="30" spans="1:99" x14ac:dyDescent="0.2">
      <c r="A30" s="19">
        <v>44087</v>
      </c>
      <c r="B30">
        <v>1</v>
      </c>
      <c r="C30" s="13" t="s">
        <v>384</v>
      </c>
      <c r="D30" s="41" t="s">
        <v>309</v>
      </c>
      <c r="E30" s="14" t="s">
        <v>296</v>
      </c>
      <c r="F30" t="s">
        <v>702</v>
      </c>
      <c r="G30">
        <v>22.06</v>
      </c>
      <c r="H30" t="s">
        <v>704</v>
      </c>
      <c r="I30">
        <v>14.3</v>
      </c>
      <c r="J30">
        <v>19</v>
      </c>
      <c r="K30">
        <v>113</v>
      </c>
      <c r="L30">
        <v>1</v>
      </c>
      <c r="M30" t="s">
        <v>703</v>
      </c>
      <c r="N30">
        <v>3.7</v>
      </c>
      <c r="O30">
        <v>6</v>
      </c>
      <c r="P30">
        <v>9</v>
      </c>
      <c r="Q30">
        <v>4</v>
      </c>
      <c r="R30" t="s">
        <v>705</v>
      </c>
      <c r="S30">
        <v>24.9</v>
      </c>
      <c r="T30">
        <v>69</v>
      </c>
      <c r="U30">
        <v>6</v>
      </c>
      <c r="V30" t="s">
        <v>105</v>
      </c>
      <c r="W30">
        <v>10.7</v>
      </c>
      <c r="X30">
        <v>57</v>
      </c>
      <c r="Y30">
        <v>10</v>
      </c>
      <c r="Z30" t="s">
        <v>70</v>
      </c>
      <c r="AA30">
        <v>11.4</v>
      </c>
      <c r="AB30">
        <v>34</v>
      </c>
      <c r="AC30">
        <v>3</v>
      </c>
      <c r="AD30">
        <v>29.8</v>
      </c>
      <c r="AE30">
        <v>88</v>
      </c>
      <c r="AF30">
        <v>11</v>
      </c>
      <c r="AG30" t="s">
        <v>100</v>
      </c>
      <c r="AH30" s="14">
        <v>2.8</v>
      </c>
      <c r="AI30">
        <v>18</v>
      </c>
      <c r="AJ30">
        <v>2</v>
      </c>
      <c r="AK30">
        <v>9</v>
      </c>
      <c r="AL30">
        <v>2</v>
      </c>
      <c r="AM30">
        <v>8</v>
      </c>
      <c r="AN30" s="21">
        <v>0.25</v>
      </c>
      <c r="AO30" s="21">
        <v>5.5555555555555552E-2</v>
      </c>
      <c r="AP30" s="21">
        <v>0.6</v>
      </c>
      <c r="AQ30">
        <v>4</v>
      </c>
      <c r="AR30">
        <v>32</v>
      </c>
      <c r="AS30">
        <v>26</v>
      </c>
      <c r="AT30">
        <v>3</v>
      </c>
      <c r="AU30">
        <v>64</v>
      </c>
      <c r="AV30">
        <v>26</v>
      </c>
      <c r="AW30">
        <v>0</v>
      </c>
      <c r="AX30">
        <v>360</v>
      </c>
      <c r="AY30">
        <v>229</v>
      </c>
      <c r="AZ30">
        <v>114</v>
      </c>
      <c r="BA30">
        <v>8</v>
      </c>
      <c r="BB30">
        <v>9</v>
      </c>
      <c r="BC30" t="s">
        <v>296</v>
      </c>
      <c r="BD30" s="14">
        <v>5.3599999999999994</v>
      </c>
      <c r="BE30" s="14">
        <v>-2.0999999999999979</v>
      </c>
      <c r="BF30" s="14">
        <v>5.6</v>
      </c>
      <c r="BG30" s="14">
        <v>57.4</v>
      </c>
      <c r="BH30" s="14">
        <v>-3</v>
      </c>
      <c r="BI30" s="14">
        <v>-6.3</v>
      </c>
      <c r="BJ30" s="14">
        <v>-1.7999999999999998</v>
      </c>
      <c r="BK30" s="14">
        <v>-15</v>
      </c>
      <c r="BL30" s="14">
        <v>1.2000000000000002</v>
      </c>
      <c r="BM30" s="14">
        <v>13.78</v>
      </c>
      <c r="BN30" s="14">
        <v>22</v>
      </c>
      <c r="BO30" s="14">
        <v>-2</v>
      </c>
      <c r="BP30" s="14">
        <v>-1.4799999999999986</v>
      </c>
      <c r="BQ30" s="14">
        <v>-3.2000000000000028</v>
      </c>
      <c r="BR30" s="14">
        <v>3.5999999999999996</v>
      </c>
      <c r="BS30" s="14">
        <v>3.7319999999999993</v>
      </c>
      <c r="BT30" s="14">
        <v>8.3999999999999986</v>
      </c>
      <c r="BU30" s="14">
        <v>-0.39999999999999991</v>
      </c>
      <c r="BV30" s="14">
        <v>14.540000000000001</v>
      </c>
      <c r="BW30" s="14">
        <v>15.400000000000006</v>
      </c>
      <c r="BX30" s="14">
        <v>1.4000000000000004</v>
      </c>
      <c r="BY30" s="48">
        <v>-2.6000000000000005</v>
      </c>
      <c r="BZ30" s="14">
        <v>-4</v>
      </c>
      <c r="CA30" s="14">
        <v>-1.6</v>
      </c>
      <c r="CB30" s="14">
        <v>0.59999999999999964</v>
      </c>
      <c r="CC30" s="14">
        <v>-0.60000000000000009</v>
      </c>
      <c r="CD30" s="14">
        <v>-1.5999999999999996</v>
      </c>
      <c r="CE30" s="14">
        <v>-5.4706042042185987E-2</v>
      </c>
      <c r="CF30" s="14">
        <v>-1.5508553687856766E-2</v>
      </c>
      <c r="CG30" s="14">
        <v>6.6666666666667096E-3</v>
      </c>
      <c r="CH30" s="14">
        <v>-3.4000000000000004</v>
      </c>
      <c r="CI30" s="14">
        <v>-2</v>
      </c>
      <c r="CJ30" s="14">
        <v>3.6000000000000014</v>
      </c>
      <c r="CK30" s="14">
        <v>-0.20000000000000018</v>
      </c>
      <c r="CL30" s="14">
        <v>-1.5999999999999943</v>
      </c>
      <c r="CM30" s="14">
        <v>2.1999999999999993</v>
      </c>
      <c r="CN30" s="14">
        <v>-1.4</v>
      </c>
      <c r="CO30" s="14">
        <v>2.8000000000000114</v>
      </c>
      <c r="CP30" s="14">
        <v>-29</v>
      </c>
      <c r="CQ30" s="14">
        <v>31.400000000000006</v>
      </c>
      <c r="CR30" s="14">
        <v>-3</v>
      </c>
      <c r="CS30" s="14">
        <v>3.4000000000000004</v>
      </c>
      <c r="CT30" t="s">
        <v>245</v>
      </c>
      <c r="CU30" t="s">
        <v>472</v>
      </c>
    </row>
    <row r="31" spans="1:99" x14ac:dyDescent="0.2">
      <c r="A31" s="19">
        <v>44087</v>
      </c>
      <c r="B31">
        <v>1</v>
      </c>
      <c r="C31" s="13" t="s">
        <v>384</v>
      </c>
      <c r="D31" s="41" t="s">
        <v>310</v>
      </c>
      <c r="E31" s="14" t="s">
        <v>278</v>
      </c>
      <c r="F31" t="s">
        <v>709</v>
      </c>
      <c r="G31">
        <v>19.36</v>
      </c>
      <c r="H31" t="s">
        <v>710</v>
      </c>
      <c r="I31">
        <v>19.100000000000001</v>
      </c>
      <c r="J31">
        <v>31</v>
      </c>
      <c r="K31">
        <v>116</v>
      </c>
      <c r="L31">
        <v>3</v>
      </c>
      <c r="M31" t="s">
        <v>717</v>
      </c>
      <c r="N31">
        <v>1.5</v>
      </c>
      <c r="O31">
        <v>0</v>
      </c>
      <c r="P31">
        <v>0</v>
      </c>
      <c r="Q31">
        <v>1</v>
      </c>
      <c r="R31" t="s">
        <v>53</v>
      </c>
      <c r="S31">
        <v>20.100000000000001</v>
      </c>
      <c r="T31">
        <v>101</v>
      </c>
      <c r="U31">
        <v>8</v>
      </c>
      <c r="V31" t="s">
        <v>64</v>
      </c>
      <c r="W31">
        <v>8.9</v>
      </c>
      <c r="X31">
        <v>39</v>
      </c>
      <c r="Y31">
        <v>8</v>
      </c>
      <c r="Z31" t="s">
        <v>54</v>
      </c>
      <c r="AA31">
        <v>10.7</v>
      </c>
      <c r="AB31">
        <v>47</v>
      </c>
      <c r="AC31">
        <v>7</v>
      </c>
      <c r="AD31">
        <v>12.2</v>
      </c>
      <c r="AE31">
        <v>62</v>
      </c>
      <c r="AF31">
        <v>8</v>
      </c>
      <c r="AG31" t="s">
        <v>171</v>
      </c>
      <c r="AH31" s="14">
        <v>13.6</v>
      </c>
      <c r="AI31">
        <v>36</v>
      </c>
      <c r="AJ31">
        <v>7</v>
      </c>
      <c r="AK31">
        <v>1</v>
      </c>
      <c r="AL31">
        <v>4</v>
      </c>
      <c r="AM31">
        <v>3</v>
      </c>
      <c r="AN31" s="21">
        <v>0.26666666666666666</v>
      </c>
      <c r="AO31" s="21">
        <v>2.2222222222222223E-2</v>
      </c>
      <c r="AP31" s="21">
        <v>0.7142857142857143</v>
      </c>
      <c r="AQ31">
        <v>4</v>
      </c>
      <c r="AR31">
        <v>43</v>
      </c>
      <c r="AS31">
        <v>31</v>
      </c>
      <c r="AT31">
        <v>3</v>
      </c>
      <c r="AU31">
        <v>78</v>
      </c>
      <c r="AV31">
        <v>16</v>
      </c>
      <c r="AW31">
        <v>0</v>
      </c>
      <c r="AX31">
        <v>379</v>
      </c>
      <c r="AY31">
        <v>249</v>
      </c>
      <c r="AZ31">
        <v>116</v>
      </c>
      <c r="BA31">
        <v>0</v>
      </c>
      <c r="BB31">
        <v>14</v>
      </c>
      <c r="BC31" t="s">
        <v>278</v>
      </c>
      <c r="BD31" s="14">
        <v>-3.1899999999999977</v>
      </c>
      <c r="BE31" s="14">
        <v>6.0250000000000021</v>
      </c>
      <c r="BF31" s="14">
        <v>19.5</v>
      </c>
      <c r="BG31" s="14">
        <v>66.75</v>
      </c>
      <c r="BH31" s="14">
        <v>-1.25</v>
      </c>
      <c r="BI31" s="14">
        <v>-1.7500000000000004</v>
      </c>
      <c r="BJ31" s="14">
        <v>-3.25</v>
      </c>
      <c r="BK31" s="14">
        <v>-8.5</v>
      </c>
      <c r="BL31" s="14">
        <v>-1</v>
      </c>
      <c r="BM31" s="14">
        <v>3.7700000000000031</v>
      </c>
      <c r="BN31" s="14">
        <v>34</v>
      </c>
      <c r="BO31" s="14">
        <v>-0.75</v>
      </c>
      <c r="BP31" s="14">
        <v>-3.0749999999999975</v>
      </c>
      <c r="BQ31" s="14">
        <v>-3.25</v>
      </c>
      <c r="BR31" s="14">
        <v>1.75</v>
      </c>
      <c r="BS31" s="14">
        <v>1.8499999999999979</v>
      </c>
      <c r="BT31" s="14">
        <v>-1.5</v>
      </c>
      <c r="BU31" s="14">
        <v>2.5</v>
      </c>
      <c r="BV31" s="14">
        <v>-3.4499999999999993</v>
      </c>
      <c r="BW31" s="14">
        <v>-17</v>
      </c>
      <c r="BX31" s="14">
        <v>-1.25</v>
      </c>
      <c r="BY31" s="48">
        <v>7.0999999999999988</v>
      </c>
      <c r="BZ31" s="14">
        <v>1</v>
      </c>
      <c r="CA31" s="14">
        <v>2.5</v>
      </c>
      <c r="CB31" s="14">
        <v>-9</v>
      </c>
      <c r="CC31" s="14">
        <v>1.5</v>
      </c>
      <c r="CD31" s="14">
        <v>-8.5</v>
      </c>
      <c r="CE31" s="14">
        <v>-4.28814536629194E-2</v>
      </c>
      <c r="CF31" s="14">
        <v>-5.5477167473831079E-2</v>
      </c>
      <c r="CG31" s="14">
        <v>0.14642857142857146</v>
      </c>
      <c r="CH31" s="14">
        <v>-3.25</v>
      </c>
      <c r="CI31" s="14">
        <v>6</v>
      </c>
      <c r="CJ31" s="14">
        <v>13</v>
      </c>
      <c r="CK31" s="14">
        <v>-3</v>
      </c>
      <c r="CL31" s="14">
        <v>13.25</v>
      </c>
      <c r="CM31" s="14">
        <v>-4.75</v>
      </c>
      <c r="CN31" s="14">
        <v>-2.75</v>
      </c>
      <c r="CO31" s="14">
        <v>20.5</v>
      </c>
      <c r="CP31" s="14">
        <v>-3.75</v>
      </c>
      <c r="CQ31" s="14">
        <v>49.75</v>
      </c>
      <c r="CR31" s="14">
        <v>0</v>
      </c>
      <c r="CS31" s="14">
        <v>-25.5</v>
      </c>
      <c r="CT31" t="s">
        <v>240</v>
      </c>
      <c r="CU31" t="s">
        <v>540</v>
      </c>
    </row>
    <row r="32" spans="1:99" x14ac:dyDescent="0.2">
      <c r="A32" s="19">
        <v>44087</v>
      </c>
      <c r="B32">
        <v>1</v>
      </c>
      <c r="C32" s="13" t="s">
        <v>384</v>
      </c>
      <c r="D32" s="41" t="s">
        <v>311</v>
      </c>
      <c r="E32" s="14" t="s">
        <v>288</v>
      </c>
      <c r="F32" t="s">
        <v>718</v>
      </c>
      <c r="G32">
        <v>21.82</v>
      </c>
      <c r="H32" t="s">
        <v>719</v>
      </c>
      <c r="I32">
        <v>19.899999999999999</v>
      </c>
      <c r="J32">
        <v>11</v>
      </c>
      <c r="K32">
        <v>77</v>
      </c>
      <c r="L32">
        <v>4</v>
      </c>
      <c r="M32" t="s">
        <v>720</v>
      </c>
      <c r="N32">
        <v>1.4</v>
      </c>
      <c r="O32">
        <v>5</v>
      </c>
      <c r="P32">
        <v>14</v>
      </c>
      <c r="Q32">
        <v>1</v>
      </c>
      <c r="R32" t="s">
        <v>23</v>
      </c>
      <c r="S32">
        <v>22.2</v>
      </c>
      <c r="T32">
        <v>112</v>
      </c>
      <c r="U32">
        <v>10</v>
      </c>
      <c r="V32" t="s">
        <v>71</v>
      </c>
      <c r="W32">
        <v>4</v>
      </c>
      <c r="X32">
        <v>20</v>
      </c>
      <c r="Y32">
        <v>5</v>
      </c>
      <c r="Z32" t="s">
        <v>84</v>
      </c>
      <c r="AA32">
        <v>4.3</v>
      </c>
      <c r="AB32">
        <v>23</v>
      </c>
      <c r="AC32">
        <v>3</v>
      </c>
      <c r="AD32">
        <v>29.2</v>
      </c>
      <c r="AE32">
        <v>132</v>
      </c>
      <c r="AF32">
        <v>13</v>
      </c>
      <c r="AG32" t="s">
        <v>722</v>
      </c>
      <c r="AH32" s="14">
        <v>11.9</v>
      </c>
      <c r="AI32">
        <v>39</v>
      </c>
      <c r="AJ32">
        <v>2</v>
      </c>
      <c r="AK32">
        <v>1</v>
      </c>
      <c r="AL32">
        <v>1</v>
      </c>
      <c r="AM32">
        <v>0</v>
      </c>
      <c r="AN32" s="21">
        <v>0.35</v>
      </c>
      <c r="AO32" s="21">
        <v>0.1</v>
      </c>
      <c r="AP32" s="21">
        <v>0.16666666666666666</v>
      </c>
      <c r="AQ32">
        <v>7</v>
      </c>
      <c r="AR32">
        <v>32</v>
      </c>
      <c r="AS32">
        <v>16</v>
      </c>
      <c r="AT32">
        <v>6</v>
      </c>
      <c r="AU32">
        <v>58</v>
      </c>
      <c r="AV32">
        <v>20</v>
      </c>
      <c r="AW32">
        <v>0</v>
      </c>
      <c r="AX32">
        <v>371</v>
      </c>
      <c r="AY32">
        <v>253</v>
      </c>
      <c r="AZ32">
        <v>91</v>
      </c>
      <c r="BA32">
        <v>0</v>
      </c>
      <c r="BB32">
        <v>27</v>
      </c>
      <c r="BC32" t="s">
        <v>288</v>
      </c>
      <c r="BD32" s="14">
        <v>2.9840000000000018</v>
      </c>
      <c r="BE32" s="14">
        <v>7.3599999999999977</v>
      </c>
      <c r="BF32" s="14">
        <v>-0.80000000000000071</v>
      </c>
      <c r="BG32" s="14">
        <v>26.4</v>
      </c>
      <c r="BH32" s="14">
        <v>0.60000000000000009</v>
      </c>
      <c r="BI32" s="14">
        <v>-7.2800000000000011</v>
      </c>
      <c r="BJ32" s="14">
        <v>-5.6</v>
      </c>
      <c r="BK32" s="14">
        <v>-34.4</v>
      </c>
      <c r="BL32" s="14">
        <v>-0.39999999999999991</v>
      </c>
      <c r="BM32" s="14">
        <v>9.0399999999999974</v>
      </c>
      <c r="BN32" s="14">
        <v>50.4</v>
      </c>
      <c r="BO32" s="14">
        <v>3.4000000000000004</v>
      </c>
      <c r="BP32" s="14">
        <v>-6.48</v>
      </c>
      <c r="BQ32" s="14">
        <v>-10.8</v>
      </c>
      <c r="BR32" s="14">
        <v>0.59999999999999964</v>
      </c>
      <c r="BS32" s="14">
        <v>-1.839999999999999</v>
      </c>
      <c r="BT32" s="14">
        <v>-6.3999999999999986</v>
      </c>
      <c r="BU32" s="14">
        <v>-0.20000000000000018</v>
      </c>
      <c r="BV32" s="14">
        <v>17.68</v>
      </c>
      <c r="BW32" s="14">
        <v>76.8</v>
      </c>
      <c r="BX32" s="14">
        <v>4.4000000000000004</v>
      </c>
      <c r="BY32" s="48">
        <v>4.5</v>
      </c>
      <c r="BZ32" s="14">
        <v>7</v>
      </c>
      <c r="CA32" s="14">
        <v>-3.5999999999999996</v>
      </c>
      <c r="CB32" s="14">
        <v>-6.8</v>
      </c>
      <c r="CC32" s="14">
        <v>-0.8</v>
      </c>
      <c r="CD32" s="14">
        <v>-4.2</v>
      </c>
      <c r="CE32" s="14">
        <v>-1.687024898990197E-2</v>
      </c>
      <c r="CF32" s="14">
        <v>5.0610443792407853E-2</v>
      </c>
      <c r="CG32" s="14">
        <v>-0.49924242424242427</v>
      </c>
      <c r="CH32" s="14">
        <v>0.20000000000000018</v>
      </c>
      <c r="CI32" s="14">
        <v>0.80000000000000071</v>
      </c>
      <c r="CJ32" s="14">
        <v>-9.6000000000000014</v>
      </c>
      <c r="CK32" s="14">
        <v>0.40000000000000036</v>
      </c>
      <c r="CL32" s="14">
        <v>-6.5999999999999943</v>
      </c>
      <c r="CM32" s="14">
        <v>0</v>
      </c>
      <c r="CN32" s="14">
        <v>-1.4</v>
      </c>
      <c r="CO32" s="14">
        <v>6.8000000000000114</v>
      </c>
      <c r="CP32" s="14">
        <v>39.599999999999994</v>
      </c>
      <c r="CQ32" s="14">
        <v>-25.599999999999994</v>
      </c>
      <c r="CR32" s="14">
        <v>-3.2</v>
      </c>
      <c r="CS32" s="14">
        <v>-4</v>
      </c>
      <c r="CT32" t="s">
        <v>270</v>
      </c>
      <c r="CU32" t="s">
        <v>508</v>
      </c>
    </row>
    <row r="33" spans="1:99" x14ac:dyDescent="0.2">
      <c r="A33" s="19">
        <v>44087</v>
      </c>
      <c r="B33">
        <v>1</v>
      </c>
      <c r="C33" s="13" t="s">
        <v>384</v>
      </c>
      <c r="D33" s="41" t="s">
        <v>312</v>
      </c>
      <c r="E33" s="14" t="s">
        <v>300</v>
      </c>
      <c r="F33" t="s">
        <v>725</v>
      </c>
      <c r="G33">
        <v>22.76</v>
      </c>
      <c r="H33" t="s">
        <v>731</v>
      </c>
      <c r="I33">
        <v>21.8</v>
      </c>
      <c r="J33">
        <v>12</v>
      </c>
      <c r="K33">
        <v>50</v>
      </c>
      <c r="L33">
        <v>2</v>
      </c>
      <c r="M33" t="s">
        <v>726</v>
      </c>
      <c r="N33">
        <v>12</v>
      </c>
      <c r="O33">
        <v>6</v>
      </c>
      <c r="P33">
        <v>50</v>
      </c>
      <c r="Q33">
        <v>4</v>
      </c>
      <c r="R33" t="s">
        <v>45</v>
      </c>
      <c r="S33">
        <v>34</v>
      </c>
      <c r="T33">
        <v>110</v>
      </c>
      <c r="U33">
        <v>8</v>
      </c>
      <c r="V33" t="s">
        <v>728</v>
      </c>
      <c r="W33">
        <v>4.5999999999999996</v>
      </c>
      <c r="X33">
        <v>26</v>
      </c>
      <c r="Y33">
        <v>3</v>
      </c>
      <c r="Z33" t="s">
        <v>732</v>
      </c>
      <c r="AA33">
        <v>8.6</v>
      </c>
      <c r="AB33">
        <v>56</v>
      </c>
      <c r="AC33">
        <v>4</v>
      </c>
      <c r="AD33">
        <v>15.1</v>
      </c>
      <c r="AE33">
        <v>61</v>
      </c>
      <c r="AF33">
        <v>4</v>
      </c>
      <c r="AG33" t="s">
        <v>148</v>
      </c>
      <c r="AH33" s="14">
        <v>4.8</v>
      </c>
      <c r="AI33">
        <v>28</v>
      </c>
      <c r="AJ33">
        <v>2</v>
      </c>
      <c r="AK33">
        <v>4</v>
      </c>
      <c r="AL33">
        <v>1</v>
      </c>
      <c r="AM33">
        <v>-4</v>
      </c>
      <c r="AN33" s="21">
        <v>0.25806451612903225</v>
      </c>
      <c r="AO33" s="21">
        <v>6.4516129032258063E-2</v>
      </c>
      <c r="AP33" s="21">
        <v>0.75</v>
      </c>
      <c r="AQ33">
        <v>5</v>
      </c>
      <c r="AR33">
        <v>25</v>
      </c>
      <c r="AS33">
        <v>18</v>
      </c>
      <c r="AT33">
        <v>4</v>
      </c>
      <c r="AU33">
        <v>49</v>
      </c>
      <c r="AV33">
        <v>34</v>
      </c>
      <c r="AW33">
        <v>0</v>
      </c>
      <c r="AX33">
        <v>393</v>
      </c>
      <c r="AY33">
        <v>259</v>
      </c>
      <c r="AZ33">
        <v>100</v>
      </c>
      <c r="BA33">
        <v>0</v>
      </c>
      <c r="BB33">
        <v>34</v>
      </c>
      <c r="BC33" t="s">
        <v>300</v>
      </c>
      <c r="BD33" s="14">
        <v>5.8300000000000018</v>
      </c>
      <c r="BE33" s="14">
        <v>-4.5250000000000021</v>
      </c>
      <c r="BF33" s="14">
        <v>-1.25</v>
      </c>
      <c r="BG33" s="14">
        <v>-15</v>
      </c>
      <c r="BH33" s="14">
        <v>-3.5</v>
      </c>
      <c r="BI33" s="14">
        <v>4.6000000000000005</v>
      </c>
      <c r="BJ33" s="14">
        <v>0</v>
      </c>
      <c r="BK33" s="14">
        <v>21.25</v>
      </c>
      <c r="BL33" s="14">
        <v>2.5</v>
      </c>
      <c r="BM33" s="14">
        <v>24.725000000000001</v>
      </c>
      <c r="BN33" s="14">
        <v>79.75</v>
      </c>
      <c r="BO33" s="14">
        <v>3.75</v>
      </c>
      <c r="BP33" s="14">
        <v>-0.92500000000000071</v>
      </c>
      <c r="BQ33" s="14">
        <v>-1.75</v>
      </c>
      <c r="BR33" s="14">
        <v>-3.25</v>
      </c>
      <c r="BS33" s="14">
        <v>2.9499999999999993</v>
      </c>
      <c r="BT33" s="14">
        <v>34</v>
      </c>
      <c r="BU33" s="14">
        <v>1.5</v>
      </c>
      <c r="BV33" s="14">
        <v>-0.57500000000000107</v>
      </c>
      <c r="BW33" s="14">
        <v>-0.75</v>
      </c>
      <c r="BX33" s="14">
        <v>-4.75</v>
      </c>
      <c r="BY33" s="48">
        <v>-5.7500000000000009</v>
      </c>
      <c r="BZ33" s="14">
        <v>-25</v>
      </c>
      <c r="CA33" s="14">
        <v>-3.25</v>
      </c>
      <c r="CB33" s="14">
        <v>-3.25</v>
      </c>
      <c r="CC33" s="14">
        <v>-0.5</v>
      </c>
      <c r="CD33" s="14">
        <v>-7.25</v>
      </c>
      <c r="CE33" s="14">
        <v>4.64173426397535E-2</v>
      </c>
      <c r="CF33" s="14">
        <v>2.8202225995095226E-3</v>
      </c>
      <c r="CG33" s="14">
        <v>0.10535714285714293</v>
      </c>
      <c r="CH33" s="14">
        <v>0.25</v>
      </c>
      <c r="CI33" s="14">
        <v>-9</v>
      </c>
      <c r="CJ33" s="14">
        <v>-5</v>
      </c>
      <c r="CK33" s="14">
        <v>2</v>
      </c>
      <c r="CL33" s="14">
        <v>-12.75</v>
      </c>
      <c r="CM33" s="14">
        <v>9.5</v>
      </c>
      <c r="CN33" s="14">
        <v>-1.75</v>
      </c>
      <c r="CO33" s="14">
        <v>35.5</v>
      </c>
      <c r="CP33" s="14">
        <v>13.25</v>
      </c>
      <c r="CQ33" s="14">
        <v>-6.75</v>
      </c>
      <c r="CR33" s="14">
        <v>0.5</v>
      </c>
      <c r="CS33" s="14">
        <v>28.5</v>
      </c>
      <c r="CT33" t="s">
        <v>253</v>
      </c>
      <c r="CU33" t="s">
        <v>458</v>
      </c>
    </row>
    <row r="34" spans="1:99" x14ac:dyDescent="0.2">
      <c r="A34" s="19">
        <v>44094</v>
      </c>
      <c r="B34">
        <v>2</v>
      </c>
      <c r="C34" s="14" t="s">
        <v>383</v>
      </c>
      <c r="D34" s="40" t="s">
        <v>256</v>
      </c>
      <c r="E34" t="s">
        <v>298</v>
      </c>
      <c r="F34" t="s">
        <v>467</v>
      </c>
      <c r="G34">
        <v>14.88</v>
      </c>
      <c r="H34" t="s">
        <v>465</v>
      </c>
      <c r="I34">
        <v>18.7</v>
      </c>
      <c r="J34">
        <v>8</v>
      </c>
      <c r="K34">
        <v>92</v>
      </c>
      <c r="L34">
        <v>2</v>
      </c>
      <c r="M34" t="s">
        <v>466</v>
      </c>
      <c r="N34">
        <v>6</v>
      </c>
      <c r="O34">
        <v>14</v>
      </c>
      <c r="P34">
        <v>12</v>
      </c>
      <c r="Q34">
        <v>2</v>
      </c>
      <c r="R34" t="s">
        <v>463</v>
      </c>
      <c r="S34">
        <v>10.7</v>
      </c>
      <c r="T34">
        <v>67</v>
      </c>
      <c r="U34">
        <v>5</v>
      </c>
      <c r="V34" t="s">
        <v>462</v>
      </c>
      <c r="W34">
        <v>4.0999999999999996</v>
      </c>
      <c r="X34">
        <v>21</v>
      </c>
      <c r="Y34">
        <v>3</v>
      </c>
      <c r="Z34" t="s">
        <v>471</v>
      </c>
      <c r="AA34">
        <v>3</v>
      </c>
      <c r="AB34">
        <v>10</v>
      </c>
      <c r="AC34">
        <v>3</v>
      </c>
      <c r="AD34">
        <v>33.1</v>
      </c>
      <c r="AE34">
        <v>111</v>
      </c>
      <c r="AF34">
        <v>13</v>
      </c>
      <c r="AG34" t="s">
        <v>429</v>
      </c>
      <c r="AH34">
        <v>24</v>
      </c>
      <c r="AI34">
        <v>50</v>
      </c>
      <c r="AJ34">
        <v>8</v>
      </c>
      <c r="AK34">
        <v>8</v>
      </c>
      <c r="AL34">
        <v>1</v>
      </c>
      <c r="AM34">
        <v>5</v>
      </c>
      <c r="AN34" s="21">
        <v>0.43333333333333335</v>
      </c>
      <c r="AO34" s="21">
        <v>0.1</v>
      </c>
      <c r="AP34" s="21">
        <v>0.8</v>
      </c>
      <c r="AQ34">
        <v>4</v>
      </c>
      <c r="AR34">
        <v>27</v>
      </c>
      <c r="AS34">
        <v>27</v>
      </c>
      <c r="AT34">
        <v>2</v>
      </c>
      <c r="AU34">
        <v>59</v>
      </c>
      <c r="AV34">
        <v>31</v>
      </c>
      <c r="AW34">
        <v>0</v>
      </c>
      <c r="AX34">
        <v>384</v>
      </c>
      <c r="AY34">
        <v>202</v>
      </c>
      <c r="AZ34">
        <v>184</v>
      </c>
      <c r="BA34">
        <v>0</v>
      </c>
      <c r="BB34">
        <v>-2</v>
      </c>
      <c r="BC34" t="s">
        <v>298</v>
      </c>
      <c r="BD34" s="14">
        <v>-3.3159999999999972</v>
      </c>
      <c r="BE34" s="14">
        <v>0.80000000000000071</v>
      </c>
      <c r="BF34" s="14">
        <v>-8</v>
      </c>
      <c r="BG34" s="14">
        <v>10.200000000000003</v>
      </c>
      <c r="BH34" s="14">
        <v>-0.20000000000000018</v>
      </c>
      <c r="BI34" s="14">
        <v>-2.7399999999999984</v>
      </c>
      <c r="BJ34" s="14">
        <v>7.4</v>
      </c>
      <c r="BK34" s="14">
        <v>-6</v>
      </c>
      <c r="BL34" s="14">
        <v>-1.4</v>
      </c>
      <c r="BM34" s="14">
        <v>-2.8200000000000021</v>
      </c>
      <c r="BN34" s="14">
        <v>-2.2000000000000028</v>
      </c>
      <c r="BO34" s="14">
        <v>-0.40000000000000036</v>
      </c>
      <c r="BP34" s="14">
        <v>-7.6200000000000028</v>
      </c>
      <c r="BQ34" s="14">
        <v>-30.200000000000003</v>
      </c>
      <c r="BR34" s="14">
        <v>-1.7999999999999998</v>
      </c>
      <c r="BS34" s="14">
        <v>-2.3200000000000003</v>
      </c>
      <c r="BT34" s="14">
        <v>-17.2</v>
      </c>
      <c r="BU34" s="14">
        <v>-1.2000000000000002</v>
      </c>
      <c r="BV34" s="14">
        <v>16.04</v>
      </c>
      <c r="BW34" s="14">
        <v>32.400000000000006</v>
      </c>
      <c r="BX34" s="14">
        <v>5.4</v>
      </c>
      <c r="BY34" s="48">
        <v>10.74</v>
      </c>
      <c r="BZ34" s="14">
        <v>5.3999999999999986</v>
      </c>
      <c r="CA34" s="14">
        <v>3.5999999999999996</v>
      </c>
      <c r="CB34" s="14">
        <v>-2.5999999999999996</v>
      </c>
      <c r="CC34" s="14">
        <v>-1</v>
      </c>
      <c r="CD34" s="14">
        <v>-6.8000000000000007</v>
      </c>
      <c r="CE34" s="14">
        <v>0.10821675155631011</v>
      </c>
      <c r="CF34" s="14">
        <v>6.223684210526316E-2</v>
      </c>
      <c r="CG34" s="14">
        <v>0.25666666666666671</v>
      </c>
      <c r="CH34" s="14">
        <v>0</v>
      </c>
      <c r="CI34" s="14">
        <v>-2.8000000000000007</v>
      </c>
      <c r="CJ34" s="14">
        <v>1.6000000000000014</v>
      </c>
      <c r="CK34" s="14">
        <v>-2</v>
      </c>
      <c r="CL34" s="14">
        <v>-1.3999999999999986</v>
      </c>
      <c r="CM34" s="14">
        <v>2.6000000000000014</v>
      </c>
      <c r="CN34" s="14">
        <v>-3.2</v>
      </c>
      <c r="CO34" s="14">
        <v>1.8000000000000114</v>
      </c>
      <c r="CP34" s="14">
        <v>-49.599999999999994</v>
      </c>
      <c r="CQ34" s="14">
        <v>60.8</v>
      </c>
      <c r="CR34" s="14">
        <v>0</v>
      </c>
      <c r="CS34" s="14">
        <v>-9.4</v>
      </c>
      <c r="CT34" t="s">
        <v>262</v>
      </c>
      <c r="CU34" t="s">
        <v>473</v>
      </c>
    </row>
    <row r="35" spans="1:99" x14ac:dyDescent="0.2">
      <c r="A35" s="19">
        <v>44094</v>
      </c>
      <c r="B35">
        <v>2</v>
      </c>
      <c r="C35" s="13" t="s">
        <v>383</v>
      </c>
      <c r="D35" s="41" t="s">
        <v>265</v>
      </c>
      <c r="E35" t="s">
        <v>296</v>
      </c>
      <c r="F35" t="s">
        <v>490</v>
      </c>
      <c r="G35">
        <v>15.2</v>
      </c>
      <c r="H35" t="s">
        <v>481</v>
      </c>
      <c r="I35">
        <v>21.7</v>
      </c>
      <c r="J35">
        <v>16</v>
      </c>
      <c r="K35">
        <v>82</v>
      </c>
      <c r="L35">
        <v>3</v>
      </c>
      <c r="M35" t="s">
        <v>487</v>
      </c>
      <c r="N35">
        <v>3.7</v>
      </c>
      <c r="O35">
        <v>5</v>
      </c>
      <c r="P35">
        <v>12</v>
      </c>
      <c r="Q35">
        <v>1</v>
      </c>
      <c r="R35" t="s">
        <v>56</v>
      </c>
      <c r="S35">
        <v>6.3</v>
      </c>
      <c r="T35">
        <v>33</v>
      </c>
      <c r="U35">
        <v>9</v>
      </c>
      <c r="V35" t="s">
        <v>60</v>
      </c>
      <c r="W35">
        <v>0</v>
      </c>
      <c r="X35">
        <v>0</v>
      </c>
      <c r="Y35">
        <v>3</v>
      </c>
      <c r="Z35" t="s">
        <v>483</v>
      </c>
      <c r="AA35">
        <v>12.6</v>
      </c>
      <c r="AB35">
        <v>36</v>
      </c>
      <c r="AC35">
        <v>3</v>
      </c>
      <c r="AD35">
        <v>4.4000000000000004</v>
      </c>
      <c r="AE35">
        <v>24</v>
      </c>
      <c r="AF35">
        <v>6</v>
      </c>
      <c r="AG35" t="s">
        <v>81</v>
      </c>
      <c r="AH35" s="14">
        <v>2.8</v>
      </c>
      <c r="AI35">
        <v>18</v>
      </c>
      <c r="AJ35">
        <v>1</v>
      </c>
      <c r="AK35">
        <v>4</v>
      </c>
      <c r="AL35">
        <v>2</v>
      </c>
      <c r="AM35">
        <v>12</v>
      </c>
      <c r="AN35" s="21">
        <v>0.21212121212121213</v>
      </c>
      <c r="AO35" s="21">
        <v>0.12121212121212122</v>
      </c>
      <c r="AP35" s="21">
        <v>0</v>
      </c>
      <c r="AQ35">
        <v>9</v>
      </c>
      <c r="AR35">
        <v>28</v>
      </c>
      <c r="AS35">
        <v>21</v>
      </c>
      <c r="AT35">
        <v>4</v>
      </c>
      <c r="AU35">
        <v>64</v>
      </c>
      <c r="AV35">
        <v>17</v>
      </c>
      <c r="AW35">
        <v>0</v>
      </c>
      <c r="AX35">
        <v>325</v>
      </c>
      <c r="AY35">
        <v>190</v>
      </c>
      <c r="AZ35">
        <v>94</v>
      </c>
      <c r="BA35">
        <v>25</v>
      </c>
      <c r="BB35">
        <v>16</v>
      </c>
      <c r="BC35" t="s">
        <v>296</v>
      </c>
      <c r="BD35" s="14">
        <v>-1.5</v>
      </c>
      <c r="BE35" s="14">
        <v>5.3000000000000007</v>
      </c>
      <c r="BF35" s="14">
        <v>2.5999999999999996</v>
      </c>
      <c r="BG35" s="14">
        <v>26.4</v>
      </c>
      <c r="BH35" s="14">
        <v>-1</v>
      </c>
      <c r="BI35" s="14">
        <v>-6.3</v>
      </c>
      <c r="BJ35" s="14">
        <v>-2.8</v>
      </c>
      <c r="BK35" s="14">
        <v>-12</v>
      </c>
      <c r="BL35" s="14">
        <v>-1.7999999999999998</v>
      </c>
      <c r="BM35" s="14">
        <v>-4.8199999999999994</v>
      </c>
      <c r="BN35" s="14">
        <v>-14</v>
      </c>
      <c r="BO35" s="14">
        <v>1</v>
      </c>
      <c r="BP35" s="14">
        <v>-12.179999999999998</v>
      </c>
      <c r="BQ35" s="14">
        <v>-60.2</v>
      </c>
      <c r="BR35" s="14">
        <v>-3.4000000000000004</v>
      </c>
      <c r="BS35" s="14">
        <v>4.9319999999999986</v>
      </c>
      <c r="BT35" s="14">
        <v>10.399999999999999</v>
      </c>
      <c r="BU35" s="14">
        <v>-0.39999999999999991</v>
      </c>
      <c r="BV35" s="14">
        <v>-10.86</v>
      </c>
      <c r="BW35" s="14">
        <v>-48.599999999999994</v>
      </c>
      <c r="BX35" s="14">
        <v>-3.5999999999999996</v>
      </c>
      <c r="BY35" s="48">
        <v>-2.6000000000000005</v>
      </c>
      <c r="BZ35" s="14">
        <v>-4</v>
      </c>
      <c r="CA35" s="14">
        <v>-2.6</v>
      </c>
      <c r="CB35" s="14">
        <v>-4.4000000000000004</v>
      </c>
      <c r="CC35" s="14">
        <v>-0.60000000000000009</v>
      </c>
      <c r="CD35" s="14">
        <v>2.4000000000000004</v>
      </c>
      <c r="CE35" s="14">
        <v>-9.258482992097386E-2</v>
      </c>
      <c r="CF35" s="14">
        <v>5.0148011968708897E-2</v>
      </c>
      <c r="CG35" s="14">
        <v>-0.59333333333333327</v>
      </c>
      <c r="CH35" s="14">
        <v>1.5999999999999996</v>
      </c>
      <c r="CI35" s="14">
        <v>-6</v>
      </c>
      <c r="CJ35" s="14">
        <v>-1.3999999999999986</v>
      </c>
      <c r="CK35" s="14">
        <v>0.79999999999999982</v>
      </c>
      <c r="CL35" s="14">
        <v>-1.5999999999999943</v>
      </c>
      <c r="CM35" s="14">
        <v>-6.8000000000000007</v>
      </c>
      <c r="CN35" s="14">
        <v>-1.4</v>
      </c>
      <c r="CO35" s="14">
        <v>-32.199999999999989</v>
      </c>
      <c r="CP35" s="14">
        <v>-68</v>
      </c>
      <c r="CQ35" s="14">
        <v>11.400000000000006</v>
      </c>
      <c r="CR35" s="14">
        <v>14</v>
      </c>
      <c r="CS35" s="14">
        <v>10.4</v>
      </c>
      <c r="CT35" t="s">
        <v>245</v>
      </c>
      <c r="CU35" t="s">
        <v>472</v>
      </c>
    </row>
    <row r="36" spans="1:99" x14ac:dyDescent="0.2">
      <c r="A36" s="19">
        <v>44094</v>
      </c>
      <c r="B36">
        <v>2</v>
      </c>
      <c r="C36" s="13" t="s">
        <v>383</v>
      </c>
      <c r="D36" s="17" t="s">
        <v>272</v>
      </c>
      <c r="E36" s="14" t="s">
        <v>281</v>
      </c>
      <c r="F36" t="s">
        <v>492</v>
      </c>
      <c r="G36">
        <v>28.54</v>
      </c>
      <c r="H36" t="s">
        <v>499</v>
      </c>
      <c r="I36">
        <v>12.6</v>
      </c>
      <c r="J36">
        <v>16</v>
      </c>
      <c r="K36">
        <v>46</v>
      </c>
      <c r="L36">
        <v>4</v>
      </c>
      <c r="M36" t="s">
        <v>493</v>
      </c>
      <c r="N36">
        <v>7.5</v>
      </c>
      <c r="O36">
        <v>1</v>
      </c>
      <c r="P36">
        <v>3</v>
      </c>
      <c r="Q36">
        <v>7</v>
      </c>
      <c r="R36" t="s">
        <v>91</v>
      </c>
      <c r="S36">
        <v>20.2</v>
      </c>
      <c r="T36">
        <v>72</v>
      </c>
      <c r="U36">
        <v>8</v>
      </c>
      <c r="V36" t="s">
        <v>496</v>
      </c>
      <c r="W36">
        <v>5.9</v>
      </c>
      <c r="X36">
        <v>29</v>
      </c>
      <c r="Y36">
        <v>13</v>
      </c>
      <c r="Z36" t="s">
        <v>495</v>
      </c>
      <c r="AA36">
        <v>6.5</v>
      </c>
      <c r="AB36">
        <v>35</v>
      </c>
      <c r="AC36">
        <v>6</v>
      </c>
      <c r="AD36">
        <v>32.5</v>
      </c>
      <c r="AE36">
        <v>125</v>
      </c>
      <c r="AF36">
        <v>17</v>
      </c>
      <c r="AG36" t="s">
        <v>501</v>
      </c>
      <c r="AH36" s="14">
        <v>25.7</v>
      </c>
      <c r="AI36">
        <v>87</v>
      </c>
      <c r="AJ36">
        <v>15</v>
      </c>
      <c r="AK36">
        <v>13</v>
      </c>
      <c r="AL36">
        <v>3</v>
      </c>
      <c r="AM36">
        <v>-2</v>
      </c>
      <c r="AN36" s="21">
        <v>0.3235294117647059</v>
      </c>
      <c r="AO36" s="21">
        <v>4.4117647058823532E-2</v>
      </c>
      <c r="AP36" s="21">
        <v>0.69230769230769229</v>
      </c>
      <c r="AQ36">
        <v>4</v>
      </c>
      <c r="AR36">
        <v>61</v>
      </c>
      <c r="AS36">
        <v>17</v>
      </c>
      <c r="AT36">
        <v>7</v>
      </c>
      <c r="AU36">
        <v>88</v>
      </c>
      <c r="AV36">
        <v>30</v>
      </c>
      <c r="AW36">
        <v>0</v>
      </c>
      <c r="AX36">
        <v>384</v>
      </c>
      <c r="AY36">
        <v>316</v>
      </c>
      <c r="AZ36">
        <v>49</v>
      </c>
      <c r="BA36">
        <v>0</v>
      </c>
      <c r="BB36">
        <v>19</v>
      </c>
      <c r="BC36" t="s">
        <v>281</v>
      </c>
      <c r="BD36" s="14">
        <v>8.0839999999999996</v>
      </c>
      <c r="BE36" s="14">
        <v>-4.1399999999999988</v>
      </c>
      <c r="BF36" s="14">
        <v>2.1999999999999993</v>
      </c>
      <c r="BG36" s="14">
        <v>-15.399999999999999</v>
      </c>
      <c r="BH36" s="14">
        <v>0.20000000000000018</v>
      </c>
      <c r="BI36" s="14">
        <v>-0.5</v>
      </c>
      <c r="BJ36" s="14">
        <v>-2.6</v>
      </c>
      <c r="BK36" s="14">
        <v>-8.8000000000000007</v>
      </c>
      <c r="BL36" s="14">
        <v>3.4</v>
      </c>
      <c r="BM36" s="14">
        <v>0.16000000000000014</v>
      </c>
      <c r="BN36" s="14">
        <v>-14.400000000000006</v>
      </c>
      <c r="BO36" s="14">
        <v>-1.1999999999999993</v>
      </c>
      <c r="BP36" s="14">
        <v>-8.14</v>
      </c>
      <c r="BQ36" s="14">
        <v>-16.799999999999997</v>
      </c>
      <c r="BR36" s="14">
        <v>6</v>
      </c>
      <c r="BS36" s="14">
        <v>0.63999999999999968</v>
      </c>
      <c r="BT36" s="14">
        <v>5.6000000000000014</v>
      </c>
      <c r="BU36" s="14">
        <v>1.2000000000000002</v>
      </c>
      <c r="BV36" s="14">
        <v>5.7199999999999989</v>
      </c>
      <c r="BW36" s="14">
        <v>13.200000000000003</v>
      </c>
      <c r="BX36" s="14">
        <v>2</v>
      </c>
      <c r="BY36" s="48">
        <v>13.459999999999999</v>
      </c>
      <c r="BZ36" s="14">
        <v>40.6</v>
      </c>
      <c r="CA36" s="14">
        <v>7</v>
      </c>
      <c r="CB36" s="14">
        <v>5.8</v>
      </c>
      <c r="CC36" s="14">
        <v>1.6</v>
      </c>
      <c r="CD36" s="14">
        <v>-7.2</v>
      </c>
      <c r="CE36" s="14">
        <v>6.8494777926906447E-2</v>
      </c>
      <c r="CF36" s="14">
        <v>-1.1566467657086438E-2</v>
      </c>
      <c r="CG36" s="14">
        <v>0.22384615384615392</v>
      </c>
      <c r="CH36" s="14">
        <v>-3.4000000000000004</v>
      </c>
      <c r="CI36" s="14">
        <v>18.600000000000001</v>
      </c>
      <c r="CJ36" s="14">
        <v>-1.8000000000000007</v>
      </c>
      <c r="CK36" s="14">
        <v>3.4</v>
      </c>
      <c r="CL36" s="14">
        <v>19.400000000000006</v>
      </c>
      <c r="CM36" s="14">
        <v>3</v>
      </c>
      <c r="CN36" s="14">
        <v>-2.8</v>
      </c>
      <c r="CO36" s="14">
        <v>3.1999999999999886</v>
      </c>
      <c r="CP36" s="14">
        <v>25.399999999999977</v>
      </c>
      <c r="CQ36" s="14">
        <v>-26</v>
      </c>
      <c r="CR36" s="14">
        <v>-8.4</v>
      </c>
      <c r="CS36" s="14">
        <v>12.2</v>
      </c>
      <c r="CT36" t="s">
        <v>266</v>
      </c>
      <c r="CU36" t="s">
        <v>498</v>
      </c>
    </row>
    <row r="37" spans="1:99" x14ac:dyDescent="0.2">
      <c r="A37" s="19">
        <v>44094</v>
      </c>
      <c r="B37">
        <v>2</v>
      </c>
      <c r="C37" s="13" t="s">
        <v>383</v>
      </c>
      <c r="D37" s="41" t="s">
        <v>276</v>
      </c>
      <c r="E37" s="14" t="s">
        <v>293</v>
      </c>
      <c r="F37" t="s">
        <v>503</v>
      </c>
      <c r="G37">
        <v>37.5</v>
      </c>
      <c r="H37" t="s">
        <v>504</v>
      </c>
      <c r="I37">
        <v>9.6</v>
      </c>
      <c r="J37">
        <v>10</v>
      </c>
      <c r="K37">
        <v>56</v>
      </c>
      <c r="L37">
        <v>3</v>
      </c>
      <c r="M37" t="s">
        <v>505</v>
      </c>
      <c r="N37">
        <v>3.7</v>
      </c>
      <c r="O37">
        <v>8</v>
      </c>
      <c r="P37">
        <v>37</v>
      </c>
      <c r="Q37">
        <v>0</v>
      </c>
      <c r="R37" t="s">
        <v>44</v>
      </c>
      <c r="S37">
        <v>32.299999999999997</v>
      </c>
      <c r="T37">
        <v>153</v>
      </c>
      <c r="U37">
        <v>13</v>
      </c>
      <c r="V37" t="s">
        <v>126</v>
      </c>
      <c r="W37">
        <v>18.2</v>
      </c>
      <c r="X37">
        <v>82</v>
      </c>
      <c r="Y37">
        <v>6</v>
      </c>
      <c r="Z37" t="s">
        <v>46</v>
      </c>
      <c r="AA37">
        <v>12</v>
      </c>
      <c r="AB37">
        <v>70</v>
      </c>
      <c r="AC37">
        <v>6</v>
      </c>
      <c r="AD37">
        <v>24.2</v>
      </c>
      <c r="AE37">
        <v>102</v>
      </c>
      <c r="AF37">
        <v>13</v>
      </c>
      <c r="AG37" t="s">
        <v>173</v>
      </c>
      <c r="AH37" s="14">
        <v>3.6</v>
      </c>
      <c r="AI37">
        <v>36</v>
      </c>
      <c r="AJ37">
        <v>3</v>
      </c>
      <c r="AK37">
        <v>7</v>
      </c>
      <c r="AL37">
        <v>1</v>
      </c>
      <c r="AM37">
        <v>2</v>
      </c>
      <c r="AN37" s="21">
        <v>0.35135135135135137</v>
      </c>
      <c r="AO37" s="21">
        <v>2.7027027027027029E-2</v>
      </c>
      <c r="AP37" s="21">
        <v>0.90909090909090906</v>
      </c>
      <c r="AQ37">
        <v>2</v>
      </c>
      <c r="AR37">
        <v>35</v>
      </c>
      <c r="AS37">
        <v>18</v>
      </c>
      <c r="AT37">
        <v>4</v>
      </c>
      <c r="AU37">
        <v>59</v>
      </c>
      <c r="AV37">
        <v>31</v>
      </c>
      <c r="AW37">
        <v>0</v>
      </c>
      <c r="AX37">
        <v>527</v>
      </c>
      <c r="AY37">
        <v>415</v>
      </c>
      <c r="AZ37">
        <v>93</v>
      </c>
      <c r="BA37">
        <v>0</v>
      </c>
      <c r="BB37">
        <v>19</v>
      </c>
      <c r="BC37" t="s">
        <v>293</v>
      </c>
      <c r="BD37" s="14">
        <v>19.923999999999999</v>
      </c>
      <c r="BE37" s="14">
        <v>-8.6799999999999979</v>
      </c>
      <c r="BF37" s="14">
        <v>-1.8000000000000007</v>
      </c>
      <c r="BG37" s="14">
        <v>-7.6000000000000014</v>
      </c>
      <c r="BH37" s="14">
        <v>-1</v>
      </c>
      <c r="BI37" s="14">
        <v>-2.0200000000000005</v>
      </c>
      <c r="BJ37" s="14">
        <v>3</v>
      </c>
      <c r="BK37" s="14">
        <v>17.2</v>
      </c>
      <c r="BL37" s="14">
        <v>-2.2000000000000002</v>
      </c>
      <c r="BM37" s="14">
        <v>19.779999999999998</v>
      </c>
      <c r="BN37" s="14">
        <v>94.6</v>
      </c>
      <c r="BO37" s="14">
        <v>4.1999999999999993</v>
      </c>
      <c r="BP37" s="14">
        <v>5.8599999999999994</v>
      </c>
      <c r="BQ37" s="14">
        <v>14.599999999999994</v>
      </c>
      <c r="BR37" s="14">
        <v>-0.40000000000000036</v>
      </c>
      <c r="BS37" s="14">
        <v>2.0599999999999987</v>
      </c>
      <c r="BT37" s="14">
        <v>22.6</v>
      </c>
      <c r="BU37" s="14">
        <v>0.79999999999999982</v>
      </c>
      <c r="BV37" s="14">
        <v>4.259999999999998</v>
      </c>
      <c r="BW37" s="14">
        <v>10.599999999999994</v>
      </c>
      <c r="BX37" s="14">
        <v>0.80000000000000071</v>
      </c>
      <c r="BY37" s="48">
        <v>-1.8600000000000008</v>
      </c>
      <c r="BZ37" s="14">
        <v>7.3999999999999986</v>
      </c>
      <c r="CA37" s="14">
        <v>-1.7999999999999998</v>
      </c>
      <c r="CB37" s="14">
        <v>2.8</v>
      </c>
      <c r="CC37" s="14">
        <v>0.19999999999999996</v>
      </c>
      <c r="CD37" s="14">
        <v>-0.20000000000000018</v>
      </c>
      <c r="CE37" s="14">
        <v>-4.0530917369823116E-2</v>
      </c>
      <c r="CF37" s="14">
        <v>-4.3281677248242584E-2</v>
      </c>
      <c r="CG37" s="14">
        <v>0.22393939393939388</v>
      </c>
      <c r="CH37" s="14">
        <v>-6.8000000000000007</v>
      </c>
      <c r="CI37" s="14">
        <v>-3</v>
      </c>
      <c r="CJ37" s="14">
        <v>0</v>
      </c>
      <c r="CK37" s="14">
        <v>1.6</v>
      </c>
      <c r="CL37" s="14">
        <v>-3</v>
      </c>
      <c r="CM37" s="14">
        <v>12.600000000000001</v>
      </c>
      <c r="CN37" s="14">
        <v>0</v>
      </c>
      <c r="CO37" s="14">
        <v>139</v>
      </c>
      <c r="CP37" s="14">
        <v>133.60000000000002</v>
      </c>
      <c r="CQ37" s="14">
        <v>-3.5999999999999943</v>
      </c>
      <c r="CR37" s="14">
        <v>-0.8</v>
      </c>
      <c r="CS37" s="14">
        <v>9.8000000000000007</v>
      </c>
      <c r="CT37" t="s">
        <v>264</v>
      </c>
      <c r="CU37" t="s">
        <v>468</v>
      </c>
    </row>
    <row r="38" spans="1:99" x14ac:dyDescent="0.2">
      <c r="A38" s="19">
        <v>44094</v>
      </c>
      <c r="B38">
        <v>2</v>
      </c>
      <c r="C38" s="13" t="s">
        <v>383</v>
      </c>
      <c r="D38" s="41" t="s">
        <v>278</v>
      </c>
      <c r="E38" s="14" t="s">
        <v>309</v>
      </c>
      <c r="F38" t="s">
        <v>520</v>
      </c>
      <c r="G38">
        <v>19.739999999999998</v>
      </c>
      <c r="H38" t="s">
        <v>512</v>
      </c>
      <c r="I38">
        <v>16.399999999999999</v>
      </c>
      <c r="J38">
        <v>19</v>
      </c>
      <c r="K38">
        <v>70</v>
      </c>
      <c r="L38">
        <v>3</v>
      </c>
      <c r="M38" t="s">
        <v>516</v>
      </c>
      <c r="N38">
        <v>2</v>
      </c>
      <c r="O38">
        <v>3</v>
      </c>
      <c r="P38">
        <v>20</v>
      </c>
      <c r="Q38">
        <v>0</v>
      </c>
      <c r="R38" t="s">
        <v>48</v>
      </c>
      <c r="S38">
        <v>9.6</v>
      </c>
      <c r="T38">
        <v>66</v>
      </c>
      <c r="U38">
        <v>6</v>
      </c>
      <c r="V38" t="s">
        <v>514</v>
      </c>
      <c r="W38">
        <v>10.199999999999999</v>
      </c>
      <c r="X38">
        <v>62</v>
      </c>
      <c r="Y38">
        <v>7</v>
      </c>
      <c r="Z38" t="s">
        <v>515</v>
      </c>
      <c r="AA38">
        <v>8.6999999999999993</v>
      </c>
      <c r="AB38">
        <v>48</v>
      </c>
      <c r="AC38">
        <v>7</v>
      </c>
      <c r="AD38">
        <v>19.600000000000001</v>
      </c>
      <c r="AE38">
        <v>76</v>
      </c>
      <c r="AF38">
        <v>11</v>
      </c>
      <c r="AG38" t="s">
        <v>106</v>
      </c>
      <c r="AH38" s="14">
        <v>17.7</v>
      </c>
      <c r="AI38">
        <v>57</v>
      </c>
      <c r="AJ38">
        <v>5</v>
      </c>
      <c r="AK38">
        <v>7</v>
      </c>
      <c r="AL38">
        <v>3</v>
      </c>
      <c r="AM38">
        <v>5</v>
      </c>
      <c r="AN38" s="21">
        <v>0.55319148936170215</v>
      </c>
      <c r="AO38" s="21">
        <v>0.14893617021276595</v>
      </c>
      <c r="AP38" s="21">
        <v>0.42105263157894735</v>
      </c>
      <c r="AQ38">
        <v>13</v>
      </c>
      <c r="AR38">
        <v>39</v>
      </c>
      <c r="AS38">
        <v>22</v>
      </c>
      <c r="AT38">
        <v>2</v>
      </c>
      <c r="AU38">
        <v>72</v>
      </c>
      <c r="AV38">
        <v>21</v>
      </c>
      <c r="AW38">
        <v>0</v>
      </c>
      <c r="AX38">
        <v>380</v>
      </c>
      <c r="AY38">
        <v>276</v>
      </c>
      <c r="AZ38">
        <v>90</v>
      </c>
      <c r="BA38">
        <v>9</v>
      </c>
      <c r="BB38">
        <v>5</v>
      </c>
      <c r="BC38" t="s">
        <v>309</v>
      </c>
      <c r="BD38" s="14">
        <v>3.16</v>
      </c>
      <c r="BE38" s="14">
        <v>1.25</v>
      </c>
      <c r="BF38" s="14">
        <v>5</v>
      </c>
      <c r="BG38" s="14">
        <v>16.75</v>
      </c>
      <c r="BH38" s="14">
        <v>-0.25</v>
      </c>
      <c r="BI38" s="14">
        <v>0.30000000000000004</v>
      </c>
      <c r="BJ38" s="14">
        <v>1</v>
      </c>
      <c r="BK38" s="14">
        <v>7</v>
      </c>
      <c r="BL38" s="14">
        <v>-0.25</v>
      </c>
      <c r="BM38" s="14">
        <v>-6.3250000000000011</v>
      </c>
      <c r="BN38" s="14">
        <v>-8.25</v>
      </c>
      <c r="BO38" s="14">
        <v>-0.75</v>
      </c>
      <c r="BP38" s="14">
        <v>-2.125</v>
      </c>
      <c r="BQ38" s="14">
        <v>6.25</v>
      </c>
      <c r="BR38" s="14">
        <v>1.75</v>
      </c>
      <c r="BS38" s="14">
        <v>1.3749999999999991</v>
      </c>
      <c r="BT38" s="14">
        <v>19.5</v>
      </c>
      <c r="BU38" s="14">
        <v>2.25</v>
      </c>
      <c r="BV38" s="14">
        <v>-1.1000000000000014</v>
      </c>
      <c r="BW38" s="14">
        <v>-16</v>
      </c>
      <c r="BX38" s="14">
        <v>0.5</v>
      </c>
      <c r="BY38" s="48">
        <v>9.125</v>
      </c>
      <c r="BZ38" s="14">
        <v>21.25</v>
      </c>
      <c r="CA38" s="14">
        <v>0</v>
      </c>
      <c r="CB38" s="14">
        <v>3.75</v>
      </c>
      <c r="CC38" s="14">
        <v>2</v>
      </c>
      <c r="CD38" s="14">
        <v>3.5</v>
      </c>
      <c r="CE38" s="14">
        <v>0.12036294444182349</v>
      </c>
      <c r="CF38" s="14">
        <v>1.3032504599707506E-2</v>
      </c>
      <c r="CG38" s="14">
        <v>-0.10340244550770872</v>
      </c>
      <c r="CH38" s="14">
        <v>1.5</v>
      </c>
      <c r="CI38" s="14">
        <v>6.5</v>
      </c>
      <c r="CJ38" s="14">
        <v>4.75</v>
      </c>
      <c r="CK38" s="14">
        <v>0</v>
      </c>
      <c r="CL38" s="14">
        <v>14</v>
      </c>
      <c r="CM38" s="14">
        <v>1.5</v>
      </c>
      <c r="CN38" s="14">
        <v>0</v>
      </c>
      <c r="CO38" s="14">
        <v>59.25</v>
      </c>
      <c r="CP38" s="14">
        <v>30.75</v>
      </c>
      <c r="CQ38" s="14">
        <v>23.25</v>
      </c>
      <c r="CR38" s="14">
        <v>6.75</v>
      </c>
      <c r="CS38" s="14">
        <v>-1.5</v>
      </c>
      <c r="CT38" t="s">
        <v>271</v>
      </c>
      <c r="CU38" t="s">
        <v>521</v>
      </c>
    </row>
    <row r="39" spans="1:99" x14ac:dyDescent="0.2">
      <c r="A39" s="19">
        <v>44094</v>
      </c>
      <c r="B39">
        <v>2</v>
      </c>
      <c r="C39" s="13" t="s">
        <v>383</v>
      </c>
      <c r="D39" s="41" t="s">
        <v>281</v>
      </c>
      <c r="E39" s="14" t="s">
        <v>272</v>
      </c>
      <c r="F39" t="s">
        <v>522</v>
      </c>
      <c r="G39">
        <v>16.260000000000002</v>
      </c>
      <c r="H39" t="s">
        <v>531</v>
      </c>
      <c r="I39">
        <v>29.3</v>
      </c>
      <c r="J39">
        <v>22</v>
      </c>
      <c r="K39">
        <v>124</v>
      </c>
      <c r="L39">
        <v>1</v>
      </c>
      <c r="M39" t="s">
        <v>523</v>
      </c>
      <c r="N39">
        <v>24.1</v>
      </c>
      <c r="O39">
        <v>10</v>
      </c>
      <c r="P39">
        <v>86</v>
      </c>
      <c r="Q39">
        <v>2</v>
      </c>
      <c r="R39" t="s">
        <v>51</v>
      </c>
      <c r="S39">
        <v>17.399999999999999</v>
      </c>
      <c r="T39">
        <v>74</v>
      </c>
      <c r="U39">
        <v>6</v>
      </c>
      <c r="V39" t="s">
        <v>52</v>
      </c>
      <c r="W39">
        <v>7.6</v>
      </c>
      <c r="X39">
        <v>46</v>
      </c>
      <c r="Y39">
        <v>3</v>
      </c>
      <c r="Z39" t="s">
        <v>532</v>
      </c>
      <c r="AA39">
        <v>5.9</v>
      </c>
      <c r="AB39">
        <v>39</v>
      </c>
      <c r="AC39">
        <v>2</v>
      </c>
      <c r="AD39">
        <v>11.4</v>
      </c>
      <c r="AE39">
        <v>74</v>
      </c>
      <c r="AF39">
        <v>4</v>
      </c>
      <c r="AG39" t="s">
        <v>174</v>
      </c>
      <c r="AH39" s="14">
        <v>4.2</v>
      </c>
      <c r="AI39">
        <v>22</v>
      </c>
      <c r="AJ39">
        <v>4</v>
      </c>
      <c r="AK39">
        <v>5</v>
      </c>
      <c r="AL39">
        <v>0</v>
      </c>
      <c r="AM39">
        <v>4</v>
      </c>
      <c r="AN39" s="21">
        <v>0.33333333333333331</v>
      </c>
      <c r="AO39" s="21">
        <v>0</v>
      </c>
      <c r="AP39" s="21">
        <v>0.7142857142857143</v>
      </c>
      <c r="AQ39">
        <v>-2</v>
      </c>
      <c r="AR39">
        <v>23</v>
      </c>
      <c r="AS39">
        <v>32</v>
      </c>
      <c r="AT39">
        <v>3</v>
      </c>
      <c r="AU39">
        <v>58</v>
      </c>
      <c r="AV39">
        <v>35</v>
      </c>
      <c r="AW39">
        <v>0</v>
      </c>
      <c r="AX39">
        <v>434</v>
      </c>
      <c r="AY39">
        <v>219</v>
      </c>
      <c r="AZ39">
        <v>210</v>
      </c>
      <c r="BA39">
        <v>0</v>
      </c>
      <c r="BB39">
        <v>5</v>
      </c>
      <c r="BC39" t="s">
        <v>272</v>
      </c>
      <c r="BD39" s="14">
        <v>-5.3279999999999994</v>
      </c>
      <c r="BE39" s="14">
        <v>13.320000000000002</v>
      </c>
      <c r="BF39" s="14">
        <v>6</v>
      </c>
      <c r="BG39" s="14">
        <v>41.8</v>
      </c>
      <c r="BH39" s="14">
        <v>-2.4</v>
      </c>
      <c r="BI39" s="14">
        <v>15.88</v>
      </c>
      <c r="BJ39" s="14">
        <v>7.2</v>
      </c>
      <c r="BK39" s="14">
        <v>60.4</v>
      </c>
      <c r="BL39" s="14">
        <v>-0.20000000000000018</v>
      </c>
      <c r="BM39" s="14">
        <v>-0.48000000000000398</v>
      </c>
      <c r="BN39" s="14">
        <v>8.2000000000000028</v>
      </c>
      <c r="BO39" s="14">
        <v>-2.1999999999999993</v>
      </c>
      <c r="BP39" s="14">
        <v>-2.0200000000000014</v>
      </c>
      <c r="BQ39" s="14">
        <v>3.2000000000000028</v>
      </c>
      <c r="BR39" s="14">
        <v>-1.4000000000000004</v>
      </c>
      <c r="BS39" s="14">
        <v>-1.7399999999999984</v>
      </c>
      <c r="BT39" s="14">
        <v>-3.3999999999999986</v>
      </c>
      <c r="BU39" s="14">
        <v>-2.4000000000000004</v>
      </c>
      <c r="BV39" s="14">
        <v>-7.6399999999999988</v>
      </c>
      <c r="BW39" s="14">
        <v>-12.400000000000006</v>
      </c>
      <c r="BX39" s="14">
        <v>-7.4</v>
      </c>
      <c r="BY39" s="48">
        <v>-8.18</v>
      </c>
      <c r="BZ39" s="14">
        <v>-23.6</v>
      </c>
      <c r="CA39" s="14">
        <v>-2.8</v>
      </c>
      <c r="CB39" s="14">
        <v>-5</v>
      </c>
      <c r="CC39" s="14">
        <v>-2.4</v>
      </c>
      <c r="CD39" s="14">
        <v>-4.8000000000000007</v>
      </c>
      <c r="CE39" s="14">
        <v>5.2716727716727696E-2</v>
      </c>
      <c r="CF39" s="14">
        <v>-3.3620268620268616E-2</v>
      </c>
      <c r="CG39" s="14">
        <v>1.1428571428571455E-2</v>
      </c>
      <c r="CH39" s="14">
        <v>-5.4</v>
      </c>
      <c r="CI39" s="14">
        <v>-15.200000000000003</v>
      </c>
      <c r="CJ39" s="14">
        <v>11</v>
      </c>
      <c r="CK39" s="14">
        <v>-1</v>
      </c>
      <c r="CL39" s="14">
        <v>-7.7999999999999972</v>
      </c>
      <c r="CM39" s="14">
        <v>8.1999999999999993</v>
      </c>
      <c r="CN39" s="14">
        <v>-1.4</v>
      </c>
      <c r="CO39" s="14">
        <v>25</v>
      </c>
      <c r="CP39" s="14">
        <v>-50.199999999999989</v>
      </c>
      <c r="CQ39" s="14">
        <v>96.4</v>
      </c>
      <c r="CR39" s="14">
        <v>-8.6</v>
      </c>
      <c r="CS39" s="14">
        <v>-12.600000000000001</v>
      </c>
      <c r="CT39" t="s">
        <v>277</v>
      </c>
      <c r="CU39" t="s">
        <v>528</v>
      </c>
    </row>
    <row r="40" spans="1:99" x14ac:dyDescent="0.2">
      <c r="A40" s="19">
        <v>44094</v>
      </c>
      <c r="B40">
        <v>2</v>
      </c>
      <c r="C40" s="13" t="s">
        <v>383</v>
      </c>
      <c r="D40" s="41" t="s">
        <v>284</v>
      </c>
      <c r="E40" s="14" t="s">
        <v>301</v>
      </c>
      <c r="F40" t="s">
        <v>533</v>
      </c>
      <c r="G40">
        <v>10.68</v>
      </c>
      <c r="H40" t="s">
        <v>535</v>
      </c>
      <c r="I40">
        <v>30.6</v>
      </c>
      <c r="J40">
        <v>12</v>
      </c>
      <c r="K40">
        <v>103</v>
      </c>
      <c r="L40">
        <v>5</v>
      </c>
      <c r="M40" t="s">
        <v>534</v>
      </c>
      <c r="N40">
        <v>10.7</v>
      </c>
      <c r="O40">
        <v>7</v>
      </c>
      <c r="P40">
        <v>23</v>
      </c>
      <c r="Q40">
        <v>2</v>
      </c>
      <c r="R40" t="s">
        <v>20</v>
      </c>
      <c r="S40">
        <v>26.4</v>
      </c>
      <c r="T40">
        <v>104</v>
      </c>
      <c r="U40">
        <v>10</v>
      </c>
      <c r="V40" t="s">
        <v>161</v>
      </c>
      <c r="W40">
        <v>6.8</v>
      </c>
      <c r="X40">
        <v>48</v>
      </c>
      <c r="Y40">
        <v>3</v>
      </c>
      <c r="Z40" t="s">
        <v>162</v>
      </c>
      <c r="AA40">
        <v>3.2</v>
      </c>
      <c r="AB40">
        <v>11</v>
      </c>
      <c r="AC40">
        <v>3</v>
      </c>
      <c r="AD40">
        <v>11.1</v>
      </c>
      <c r="AE40">
        <v>71</v>
      </c>
      <c r="AF40">
        <v>8</v>
      </c>
      <c r="AG40" t="s">
        <v>74</v>
      </c>
      <c r="AH40">
        <v>2.1</v>
      </c>
      <c r="AI40">
        <v>11</v>
      </c>
      <c r="AJ40">
        <v>3</v>
      </c>
      <c r="AK40">
        <v>7</v>
      </c>
      <c r="AL40">
        <v>1</v>
      </c>
      <c r="AM40">
        <v>14</v>
      </c>
      <c r="AN40" s="21">
        <v>0.14285714285714285</v>
      </c>
      <c r="AO40" s="21">
        <v>0</v>
      </c>
      <c r="AP40" s="21">
        <v>0.6</v>
      </c>
      <c r="AQ40">
        <v>3</v>
      </c>
      <c r="AR40">
        <v>35</v>
      </c>
      <c r="AS40">
        <v>20</v>
      </c>
      <c r="AT40">
        <v>1</v>
      </c>
      <c r="AU40">
        <v>65</v>
      </c>
      <c r="AV40">
        <v>31</v>
      </c>
      <c r="AW40">
        <v>0</v>
      </c>
      <c r="AX40">
        <v>338</v>
      </c>
      <c r="AY40">
        <v>217</v>
      </c>
      <c r="AZ40">
        <v>120</v>
      </c>
      <c r="BA40">
        <v>1</v>
      </c>
      <c r="BB40">
        <v>0</v>
      </c>
      <c r="BC40" t="s">
        <v>301</v>
      </c>
      <c r="BD40" s="14">
        <v>-5.2719999999999985</v>
      </c>
      <c r="BE40" s="14">
        <v>9.1800000000000033</v>
      </c>
      <c r="BF40" s="14">
        <v>-2</v>
      </c>
      <c r="BG40" s="14">
        <v>27.799999999999997</v>
      </c>
      <c r="BH40" s="14">
        <v>-0.20000000000000018</v>
      </c>
      <c r="BI40" s="14">
        <v>2.84</v>
      </c>
      <c r="BJ40" s="14">
        <v>2</v>
      </c>
      <c r="BK40" s="14">
        <v>-1.1999999999999993</v>
      </c>
      <c r="BL40" s="14">
        <v>-0.39999999999999991</v>
      </c>
      <c r="BM40" s="14">
        <v>5.0799999999999947</v>
      </c>
      <c r="BN40" s="14">
        <v>10.799999999999997</v>
      </c>
      <c r="BO40" s="14">
        <v>-1.4000000000000004</v>
      </c>
      <c r="BP40" s="14">
        <v>0.91999999999999904</v>
      </c>
      <c r="BQ40" s="14">
        <v>25.2</v>
      </c>
      <c r="BR40" s="14">
        <v>-0.79999999999999982</v>
      </c>
      <c r="BS40" s="14">
        <v>-0.23999999999999977</v>
      </c>
      <c r="BT40" s="14">
        <v>-5.1999999999999993</v>
      </c>
      <c r="BU40" s="14">
        <v>-0.20000000000000018</v>
      </c>
      <c r="BV40" s="14">
        <v>-5.5600000000000005</v>
      </c>
      <c r="BW40" s="14">
        <v>2.4000000000000057</v>
      </c>
      <c r="BX40" s="14">
        <v>-2.8000000000000007</v>
      </c>
      <c r="BY40" s="48">
        <v>-4.1400000000000006</v>
      </c>
      <c r="BZ40" s="14">
        <v>-17.399999999999999</v>
      </c>
      <c r="CA40" s="14">
        <v>-2.5999999999999996</v>
      </c>
      <c r="CB40" s="14">
        <v>-1.1999999999999993</v>
      </c>
      <c r="CC40" s="14">
        <v>-0.60000000000000009</v>
      </c>
      <c r="CD40" s="14">
        <v>8</v>
      </c>
      <c r="CE40" s="14">
        <v>-0.16137051627617666</v>
      </c>
      <c r="CF40" s="14">
        <v>-2.3517865782016721E-2</v>
      </c>
      <c r="CG40" s="14">
        <v>-2.9411764705882248E-3</v>
      </c>
      <c r="CH40" s="14">
        <v>-1.7999999999999998</v>
      </c>
      <c r="CI40" s="14">
        <v>-3.2000000000000028</v>
      </c>
      <c r="CJ40" s="14">
        <v>0</v>
      </c>
      <c r="CK40" s="14">
        <v>-2.2000000000000002</v>
      </c>
      <c r="CL40" s="14">
        <v>0.59999999999999432</v>
      </c>
      <c r="CM40" s="14">
        <v>9.6000000000000014</v>
      </c>
      <c r="CN40" s="14">
        <v>0</v>
      </c>
      <c r="CO40" s="14">
        <v>-2</v>
      </c>
      <c r="CP40" s="14">
        <v>-3.8000000000000114</v>
      </c>
      <c r="CQ40" s="14">
        <v>20.400000000000006</v>
      </c>
      <c r="CR40" s="14">
        <v>0.6</v>
      </c>
      <c r="CS40" s="14">
        <v>-19.2</v>
      </c>
      <c r="CT40" t="s">
        <v>279</v>
      </c>
      <c r="CU40" t="s">
        <v>484</v>
      </c>
    </row>
    <row r="41" spans="1:99" x14ac:dyDescent="0.2">
      <c r="A41" s="19">
        <v>44094</v>
      </c>
      <c r="B41">
        <v>2</v>
      </c>
      <c r="C41" s="13" t="s">
        <v>383</v>
      </c>
      <c r="D41" s="41" t="s">
        <v>285</v>
      </c>
      <c r="E41" s="14" t="s">
        <v>306</v>
      </c>
      <c r="F41" t="s">
        <v>541</v>
      </c>
      <c r="G41">
        <v>33.14</v>
      </c>
      <c r="H41" t="s">
        <v>542</v>
      </c>
      <c r="I41">
        <v>11.5</v>
      </c>
      <c r="J41">
        <v>20</v>
      </c>
      <c r="K41">
        <v>86</v>
      </c>
      <c r="L41">
        <v>2</v>
      </c>
      <c r="M41" t="s">
        <v>543</v>
      </c>
      <c r="N41">
        <v>4.3</v>
      </c>
      <c r="O41">
        <v>3</v>
      </c>
      <c r="P41">
        <v>4</v>
      </c>
      <c r="Q41">
        <v>4</v>
      </c>
      <c r="R41" t="s">
        <v>22</v>
      </c>
      <c r="S41">
        <v>20.8</v>
      </c>
      <c r="T41">
        <v>68</v>
      </c>
      <c r="U41">
        <v>9</v>
      </c>
      <c r="V41" t="s">
        <v>17</v>
      </c>
      <c r="W41">
        <v>12</v>
      </c>
      <c r="X41">
        <v>50</v>
      </c>
      <c r="Y41">
        <v>7</v>
      </c>
      <c r="Z41" t="s">
        <v>50</v>
      </c>
      <c r="AA41">
        <v>8</v>
      </c>
      <c r="AB41">
        <v>57</v>
      </c>
      <c r="AC41">
        <v>4</v>
      </c>
      <c r="AD41">
        <v>14.2</v>
      </c>
      <c r="AE41">
        <v>52</v>
      </c>
      <c r="AF41">
        <v>12</v>
      </c>
      <c r="AG41" t="s">
        <v>544</v>
      </c>
      <c r="AH41" s="14">
        <v>4.5999999999999996</v>
      </c>
      <c r="AI41">
        <v>26</v>
      </c>
      <c r="AJ41">
        <v>4</v>
      </c>
      <c r="AK41">
        <v>13</v>
      </c>
      <c r="AL41">
        <v>3</v>
      </c>
      <c r="AM41">
        <v>9</v>
      </c>
      <c r="AN41" s="21">
        <v>0.37209302325581395</v>
      </c>
      <c r="AO41" s="21">
        <v>6.9767441860465115E-2</v>
      </c>
      <c r="AP41" s="21">
        <v>0.83333333333333337</v>
      </c>
      <c r="AQ41">
        <v>4</v>
      </c>
      <c r="AR41">
        <v>38</v>
      </c>
      <c r="AS41">
        <v>23</v>
      </c>
      <c r="AT41">
        <v>8</v>
      </c>
      <c r="AU41">
        <v>73</v>
      </c>
      <c r="AV41">
        <v>30</v>
      </c>
      <c r="AW41">
        <v>0</v>
      </c>
      <c r="AX41">
        <v>446</v>
      </c>
      <c r="AY41">
        <v>286</v>
      </c>
      <c r="AZ41">
        <v>90</v>
      </c>
      <c r="BA41">
        <v>3</v>
      </c>
      <c r="BB41">
        <v>67</v>
      </c>
      <c r="BC41" t="s">
        <v>306</v>
      </c>
      <c r="BD41" s="14">
        <v>9.791999999999998</v>
      </c>
      <c r="BE41" s="14">
        <v>-4.0400000000000009</v>
      </c>
      <c r="BF41" s="14">
        <v>4</v>
      </c>
      <c r="BG41" s="14">
        <v>20.599999999999994</v>
      </c>
      <c r="BH41" s="14">
        <v>0</v>
      </c>
      <c r="BI41" s="14">
        <v>-1.8199999999999994</v>
      </c>
      <c r="BJ41" s="14">
        <v>-4.4000000000000004</v>
      </c>
      <c r="BK41" s="14">
        <v>-25.8</v>
      </c>
      <c r="BL41" s="14">
        <v>2.4</v>
      </c>
      <c r="BM41" s="14">
        <v>6.3599999999999994</v>
      </c>
      <c r="BN41" s="14">
        <v>3</v>
      </c>
      <c r="BO41" s="14">
        <v>2.5999999999999996</v>
      </c>
      <c r="BP41" s="14">
        <v>4.38</v>
      </c>
      <c r="BQ41" s="14">
        <v>11.799999999999997</v>
      </c>
      <c r="BR41" s="14">
        <v>2.2000000000000002</v>
      </c>
      <c r="BS41" s="14">
        <v>3.92</v>
      </c>
      <c r="BT41" s="14">
        <v>30.8</v>
      </c>
      <c r="BU41" s="14">
        <v>1.2000000000000002</v>
      </c>
      <c r="BV41" s="14">
        <v>-0.68000000000000149</v>
      </c>
      <c r="BW41" s="14">
        <v>-14.799999999999997</v>
      </c>
      <c r="BX41" s="14">
        <v>5</v>
      </c>
      <c r="BY41" s="48">
        <v>-5.1600000000000019</v>
      </c>
      <c r="BZ41" s="14">
        <v>-19.600000000000001</v>
      </c>
      <c r="CA41" s="14">
        <v>0.39999999999999991</v>
      </c>
      <c r="CB41" s="14">
        <v>3.8000000000000007</v>
      </c>
      <c r="CC41" s="14">
        <v>1.2</v>
      </c>
      <c r="CD41" s="14">
        <v>-2</v>
      </c>
      <c r="CE41" s="14">
        <v>4.2763246443479008E-2</v>
      </c>
      <c r="CF41" s="14">
        <v>1.6655528579947183E-2</v>
      </c>
      <c r="CG41" s="14">
        <v>0.31523809523809521</v>
      </c>
      <c r="CH41" s="14">
        <v>1</v>
      </c>
      <c r="CI41" s="14">
        <v>11.600000000000001</v>
      </c>
      <c r="CJ41" s="14">
        <v>-3</v>
      </c>
      <c r="CK41" s="14">
        <v>2.2000000000000002</v>
      </c>
      <c r="CL41" s="14">
        <v>12.399999999999999</v>
      </c>
      <c r="CM41" s="14">
        <v>2.3999999999999986</v>
      </c>
      <c r="CN41" s="14">
        <v>-1.4</v>
      </c>
      <c r="CO41" s="14">
        <v>90.199999999999989</v>
      </c>
      <c r="CP41" s="14">
        <v>74.800000000000011</v>
      </c>
      <c r="CQ41" s="14">
        <v>-14.400000000000006</v>
      </c>
      <c r="CR41" s="14">
        <v>2.4</v>
      </c>
      <c r="CS41" s="14">
        <v>27.4</v>
      </c>
      <c r="CT41" t="s">
        <v>283</v>
      </c>
      <c r="CU41" t="s">
        <v>454</v>
      </c>
    </row>
    <row r="42" spans="1:99" x14ac:dyDescent="0.2">
      <c r="A42" s="19">
        <v>44094</v>
      </c>
      <c r="B42">
        <v>2</v>
      </c>
      <c r="C42" s="13" t="s">
        <v>383</v>
      </c>
      <c r="D42" s="41" t="s">
        <v>289</v>
      </c>
      <c r="E42" s="14" t="s">
        <v>312</v>
      </c>
      <c r="F42" t="s">
        <v>548</v>
      </c>
      <c r="G42">
        <v>11.86</v>
      </c>
      <c r="H42" t="s">
        <v>549</v>
      </c>
      <c r="I42">
        <v>22</v>
      </c>
      <c r="J42">
        <v>26</v>
      </c>
      <c r="K42">
        <v>101</v>
      </c>
      <c r="L42">
        <v>2</v>
      </c>
      <c r="M42" t="s">
        <v>555</v>
      </c>
      <c r="N42">
        <v>4</v>
      </c>
      <c r="O42">
        <v>9</v>
      </c>
      <c r="P42">
        <v>40</v>
      </c>
      <c r="Q42">
        <v>0</v>
      </c>
      <c r="R42" t="s">
        <v>182</v>
      </c>
      <c r="S42">
        <v>5.8</v>
      </c>
      <c r="T42">
        <v>28</v>
      </c>
      <c r="U42">
        <v>5</v>
      </c>
      <c r="V42" t="s">
        <v>96</v>
      </c>
      <c r="W42">
        <v>10.9</v>
      </c>
      <c r="X42">
        <v>19</v>
      </c>
      <c r="Y42">
        <v>4</v>
      </c>
      <c r="Z42" t="s">
        <v>554</v>
      </c>
      <c r="AA42">
        <v>7.7</v>
      </c>
      <c r="AB42">
        <v>37</v>
      </c>
      <c r="AC42">
        <v>6</v>
      </c>
      <c r="AD42">
        <v>11.5</v>
      </c>
      <c r="AE42">
        <v>15</v>
      </c>
      <c r="AF42">
        <v>7</v>
      </c>
      <c r="AG42" t="s">
        <v>553</v>
      </c>
      <c r="AH42" s="14">
        <v>19.100000000000001</v>
      </c>
      <c r="AI42">
        <v>111</v>
      </c>
      <c r="AJ42">
        <v>6</v>
      </c>
      <c r="AK42">
        <v>15</v>
      </c>
      <c r="AL42">
        <v>4</v>
      </c>
      <c r="AM42">
        <v>15</v>
      </c>
      <c r="AN42" s="21">
        <v>0.25925925925925924</v>
      </c>
      <c r="AO42" s="21">
        <v>7.407407407407407E-2</v>
      </c>
      <c r="AP42" s="21">
        <v>1</v>
      </c>
      <c r="AQ42">
        <v>4</v>
      </c>
      <c r="AR42">
        <v>25</v>
      </c>
      <c r="AS42">
        <v>35</v>
      </c>
      <c r="AT42">
        <v>4</v>
      </c>
      <c r="AU42">
        <v>67</v>
      </c>
      <c r="AV42">
        <v>26</v>
      </c>
      <c r="AW42">
        <v>0</v>
      </c>
      <c r="AX42">
        <v>365</v>
      </c>
      <c r="AY42">
        <v>214</v>
      </c>
      <c r="AZ42">
        <v>141</v>
      </c>
      <c r="BA42">
        <v>7</v>
      </c>
      <c r="BB42">
        <v>3</v>
      </c>
      <c r="BC42" t="s">
        <v>312</v>
      </c>
      <c r="BD42" s="14">
        <v>-10.664000000000001</v>
      </c>
      <c r="BE42" s="14">
        <v>3.4400000000000013</v>
      </c>
      <c r="BF42" s="14">
        <v>6.8000000000000007</v>
      </c>
      <c r="BG42" s="14">
        <v>24.599999999999994</v>
      </c>
      <c r="BH42" s="14">
        <v>-1.7999999999999998</v>
      </c>
      <c r="BI42" s="14">
        <v>0.23999999999999977</v>
      </c>
      <c r="BJ42" s="14">
        <v>3.5999999999999996</v>
      </c>
      <c r="BK42" s="14">
        <v>18.8</v>
      </c>
      <c r="BL42" s="14">
        <v>-1.4</v>
      </c>
      <c r="BM42" s="14">
        <v>-11.920000000000002</v>
      </c>
      <c r="BN42" s="14">
        <v>-49.2</v>
      </c>
      <c r="BO42" s="14">
        <v>-1.5999999999999996</v>
      </c>
      <c r="BP42" s="14">
        <v>-6.4</v>
      </c>
      <c r="BQ42" s="14">
        <v>-47</v>
      </c>
      <c r="BR42" s="14">
        <v>-1.7999999999999998</v>
      </c>
      <c r="BS42" s="14">
        <v>1.3199999999999994</v>
      </c>
      <c r="BT42" s="14">
        <v>1.2000000000000028</v>
      </c>
      <c r="BU42" s="14">
        <v>1</v>
      </c>
      <c r="BV42" s="14">
        <v>-5.7800000000000011</v>
      </c>
      <c r="BW42" s="14">
        <v>-63.8</v>
      </c>
      <c r="BX42" s="14">
        <v>-1.1999999999999993</v>
      </c>
      <c r="BY42" s="48">
        <v>6.620000000000001</v>
      </c>
      <c r="BZ42" s="14">
        <v>52.2</v>
      </c>
      <c r="CA42" s="14">
        <v>1.5999999999999996</v>
      </c>
      <c r="CB42" s="14">
        <v>-0.19999999999999929</v>
      </c>
      <c r="CC42" s="14">
        <v>0.60000000000000009</v>
      </c>
      <c r="CD42" s="14">
        <v>7.4</v>
      </c>
      <c r="CE42" s="14">
        <v>-4.6224976468878909E-2</v>
      </c>
      <c r="CF42" s="14">
        <v>1.5527949918193819E-2</v>
      </c>
      <c r="CG42" s="14">
        <v>0.32666666666666666</v>
      </c>
      <c r="CH42" s="14">
        <v>0.39999999999999991</v>
      </c>
      <c r="CI42" s="14">
        <v>-8.3999999999999986</v>
      </c>
      <c r="CJ42" s="14">
        <v>9.3999999999999986</v>
      </c>
      <c r="CK42" s="14">
        <v>-0.40000000000000036</v>
      </c>
      <c r="CL42" s="14">
        <v>0.40000000000000568</v>
      </c>
      <c r="CM42" s="14">
        <v>-3.3999999999999986</v>
      </c>
      <c r="CN42" s="14">
        <v>0</v>
      </c>
      <c r="CO42" s="14">
        <v>-40.399999999999977</v>
      </c>
      <c r="CP42" s="14">
        <v>-70.600000000000023</v>
      </c>
      <c r="CQ42" s="14">
        <v>40</v>
      </c>
      <c r="CR42" s="14">
        <v>4.5999999999999996</v>
      </c>
      <c r="CS42" s="14">
        <v>-14.399999999999999</v>
      </c>
      <c r="CT42" t="s">
        <v>260</v>
      </c>
      <c r="CU42" t="s">
        <v>476</v>
      </c>
    </row>
    <row r="43" spans="1:99" x14ac:dyDescent="0.2">
      <c r="A43" s="19">
        <v>44094</v>
      </c>
      <c r="B43">
        <v>2</v>
      </c>
      <c r="C43" s="13" t="s">
        <v>383</v>
      </c>
      <c r="D43" s="41" t="s">
        <v>287</v>
      </c>
      <c r="E43" s="14" t="s">
        <v>288</v>
      </c>
      <c r="F43" t="s">
        <v>557</v>
      </c>
      <c r="G43">
        <v>26.24</v>
      </c>
      <c r="H43" t="s">
        <v>561</v>
      </c>
      <c r="I43">
        <v>18.8</v>
      </c>
      <c r="J43">
        <v>16</v>
      </c>
      <c r="K43">
        <v>93</v>
      </c>
      <c r="L43">
        <v>4</v>
      </c>
      <c r="M43" t="s">
        <v>559</v>
      </c>
      <c r="N43">
        <v>13.3</v>
      </c>
      <c r="O43">
        <v>23</v>
      </c>
      <c r="P43">
        <v>64</v>
      </c>
      <c r="Q43">
        <v>2</v>
      </c>
      <c r="R43" t="s">
        <v>62</v>
      </c>
      <c r="S43">
        <v>16.600000000000001</v>
      </c>
      <c r="T43">
        <v>96</v>
      </c>
      <c r="U43">
        <v>10</v>
      </c>
      <c r="V43" t="s">
        <v>83</v>
      </c>
      <c r="W43">
        <v>3.4</v>
      </c>
      <c r="X43">
        <v>14</v>
      </c>
      <c r="Y43">
        <v>4</v>
      </c>
      <c r="Z43" t="s">
        <v>560</v>
      </c>
      <c r="AA43">
        <v>8.4</v>
      </c>
      <c r="AB43">
        <v>14</v>
      </c>
      <c r="AC43">
        <v>2</v>
      </c>
      <c r="AD43">
        <v>11.9</v>
      </c>
      <c r="AE43">
        <v>69</v>
      </c>
      <c r="AF43">
        <v>8</v>
      </c>
      <c r="AG43" t="s">
        <v>117</v>
      </c>
      <c r="AH43" s="14">
        <v>14.3</v>
      </c>
      <c r="AI43">
        <v>83</v>
      </c>
      <c r="AJ43">
        <v>8</v>
      </c>
      <c r="AK43">
        <v>9</v>
      </c>
      <c r="AL43">
        <v>2</v>
      </c>
      <c r="AM43">
        <v>3</v>
      </c>
      <c r="AN43" s="21">
        <v>0.34210526315789475</v>
      </c>
      <c r="AO43" s="21">
        <v>5.2631578947368418E-2</v>
      </c>
      <c r="AP43" s="21">
        <v>0.875</v>
      </c>
      <c r="AQ43">
        <v>5</v>
      </c>
      <c r="AR43">
        <v>33</v>
      </c>
      <c r="AS43">
        <v>39</v>
      </c>
      <c r="AT43">
        <v>4</v>
      </c>
      <c r="AU43">
        <v>79</v>
      </c>
      <c r="AV43">
        <v>20</v>
      </c>
      <c r="AW43">
        <v>0</v>
      </c>
      <c r="AX43">
        <v>494</v>
      </c>
      <c r="AY43">
        <v>311</v>
      </c>
      <c r="AZ43">
        <v>157</v>
      </c>
      <c r="BA43">
        <v>8</v>
      </c>
      <c r="BB43">
        <v>18</v>
      </c>
      <c r="BC43" t="s">
        <v>288</v>
      </c>
      <c r="BD43" s="14">
        <v>7.4039999999999999</v>
      </c>
      <c r="BE43" s="14">
        <v>6.26</v>
      </c>
      <c r="BF43" s="14">
        <v>4.1999999999999993</v>
      </c>
      <c r="BG43" s="14">
        <v>42.4</v>
      </c>
      <c r="BH43" s="14">
        <v>0.60000000000000009</v>
      </c>
      <c r="BI43" s="14">
        <v>4.6199999999999992</v>
      </c>
      <c r="BJ43" s="14">
        <v>12.4</v>
      </c>
      <c r="BK43" s="14">
        <v>15.600000000000001</v>
      </c>
      <c r="BL43" s="14">
        <v>0.60000000000000009</v>
      </c>
      <c r="BM43" s="14">
        <v>3.4399999999999995</v>
      </c>
      <c r="BN43" s="14">
        <v>34.4</v>
      </c>
      <c r="BO43" s="14">
        <v>3.4000000000000004</v>
      </c>
      <c r="BP43" s="14">
        <v>-7.08</v>
      </c>
      <c r="BQ43" s="14">
        <v>-16.8</v>
      </c>
      <c r="BR43" s="14">
        <v>-0.40000000000000036</v>
      </c>
      <c r="BS43" s="14">
        <v>2.2600000000000016</v>
      </c>
      <c r="BT43" s="14">
        <v>-15.399999999999999</v>
      </c>
      <c r="BU43" s="14">
        <v>-1.2000000000000002</v>
      </c>
      <c r="BV43" s="14">
        <v>0.38000000000000078</v>
      </c>
      <c r="BW43" s="14">
        <v>13.799999999999997</v>
      </c>
      <c r="BX43" s="14">
        <v>-0.59999999999999964</v>
      </c>
      <c r="BY43" s="48">
        <v>6.9</v>
      </c>
      <c r="BZ43" s="14">
        <v>51</v>
      </c>
      <c r="CA43" s="14">
        <v>2.4000000000000004</v>
      </c>
      <c r="CB43" s="14">
        <v>1.2000000000000002</v>
      </c>
      <c r="CC43" s="14">
        <v>0.19999999999999996</v>
      </c>
      <c r="CD43" s="14">
        <v>-1.2000000000000002</v>
      </c>
      <c r="CE43" s="14">
        <v>-2.4764985832007202E-2</v>
      </c>
      <c r="CF43" s="14">
        <v>3.2420227397762652E-3</v>
      </c>
      <c r="CG43" s="14">
        <v>0.20909090909090911</v>
      </c>
      <c r="CH43" s="14">
        <v>-1.7999999999999998</v>
      </c>
      <c r="CI43" s="14">
        <v>1.8000000000000007</v>
      </c>
      <c r="CJ43" s="14">
        <v>13.399999999999999</v>
      </c>
      <c r="CK43" s="14">
        <v>-1.5999999999999996</v>
      </c>
      <c r="CL43" s="14">
        <v>14.400000000000006</v>
      </c>
      <c r="CM43" s="14">
        <v>0</v>
      </c>
      <c r="CN43" s="14">
        <v>-1.4</v>
      </c>
      <c r="CO43" s="14">
        <v>129.80000000000001</v>
      </c>
      <c r="CP43" s="14">
        <v>97.6</v>
      </c>
      <c r="CQ43" s="14">
        <v>40.400000000000006</v>
      </c>
      <c r="CR43" s="14">
        <v>4.8</v>
      </c>
      <c r="CS43" s="14">
        <v>-13</v>
      </c>
      <c r="CT43" t="s">
        <v>270</v>
      </c>
      <c r="CU43" t="s">
        <v>508</v>
      </c>
    </row>
    <row r="44" spans="1:99" x14ac:dyDescent="0.2">
      <c r="A44" s="19">
        <v>44094</v>
      </c>
      <c r="B44">
        <v>2</v>
      </c>
      <c r="C44" s="13" t="s">
        <v>383</v>
      </c>
      <c r="D44" s="41" t="s">
        <v>288</v>
      </c>
      <c r="E44" s="14" t="s">
        <v>287</v>
      </c>
      <c r="F44" t="s">
        <v>564</v>
      </c>
      <c r="G44">
        <v>30.48</v>
      </c>
      <c r="H44" t="s">
        <v>565</v>
      </c>
      <c r="I44">
        <v>13</v>
      </c>
      <c r="J44">
        <v>10</v>
      </c>
      <c r="K44">
        <v>38</v>
      </c>
      <c r="L44">
        <v>8</v>
      </c>
      <c r="M44" t="s">
        <v>569</v>
      </c>
      <c r="N44">
        <v>2.2000000000000002</v>
      </c>
      <c r="O44">
        <v>0</v>
      </c>
      <c r="P44">
        <v>0</v>
      </c>
      <c r="Q44">
        <v>1</v>
      </c>
      <c r="R44" t="s">
        <v>168</v>
      </c>
      <c r="S44">
        <v>21.8</v>
      </c>
      <c r="T44">
        <v>99</v>
      </c>
      <c r="U44">
        <v>11</v>
      </c>
      <c r="V44" t="s">
        <v>567</v>
      </c>
      <c r="W44">
        <v>7.3</v>
      </c>
      <c r="X44">
        <v>30</v>
      </c>
      <c r="Y44">
        <v>3</v>
      </c>
      <c r="Z44" t="s">
        <v>18</v>
      </c>
      <c r="AA44">
        <v>2.1</v>
      </c>
      <c r="AB44">
        <v>11</v>
      </c>
      <c r="AC44">
        <v>3</v>
      </c>
      <c r="AD44">
        <v>29</v>
      </c>
      <c r="AE44">
        <v>110</v>
      </c>
      <c r="AF44">
        <v>8</v>
      </c>
      <c r="AG44" t="s">
        <v>19</v>
      </c>
      <c r="AH44" s="14">
        <v>24</v>
      </c>
      <c r="AI44">
        <v>90</v>
      </c>
      <c r="AJ44">
        <v>14</v>
      </c>
      <c r="AK44">
        <v>13</v>
      </c>
      <c r="AL44">
        <v>3</v>
      </c>
      <c r="AM44">
        <v>5</v>
      </c>
      <c r="AN44" s="21">
        <v>0.42592592592592593</v>
      </c>
      <c r="AO44" s="21">
        <v>1.8518518518518517E-2</v>
      </c>
      <c r="AP44" s="21">
        <v>0.5625</v>
      </c>
      <c r="AQ44">
        <v>3</v>
      </c>
      <c r="AR44">
        <v>47</v>
      </c>
      <c r="AS44">
        <v>14</v>
      </c>
      <c r="AT44">
        <v>6</v>
      </c>
      <c r="AU44">
        <v>70</v>
      </c>
      <c r="AV44">
        <v>23</v>
      </c>
      <c r="AW44">
        <v>0</v>
      </c>
      <c r="AX44">
        <v>427</v>
      </c>
      <c r="AY44">
        <v>302</v>
      </c>
      <c r="AZ44">
        <v>59</v>
      </c>
      <c r="BA44">
        <v>12</v>
      </c>
      <c r="BB44">
        <v>54</v>
      </c>
      <c r="BC44" t="s">
        <v>287</v>
      </c>
      <c r="BD44" s="14">
        <v>1.995000000000001</v>
      </c>
      <c r="BE44" s="14">
        <v>-6.4500000000000028</v>
      </c>
      <c r="BF44" s="14">
        <v>-3.5</v>
      </c>
      <c r="BG44" s="14">
        <v>-22</v>
      </c>
      <c r="BH44" s="14">
        <v>-1</v>
      </c>
      <c r="BI44" s="14">
        <v>-3.3250000000000002</v>
      </c>
      <c r="BJ44" s="14">
        <v>-3.25</v>
      </c>
      <c r="BK44" s="14">
        <v>-13.5</v>
      </c>
      <c r="BL44" s="14">
        <v>-0.5</v>
      </c>
      <c r="BM44" s="14">
        <v>-0.125</v>
      </c>
      <c r="BN44" s="14">
        <v>-0.5</v>
      </c>
      <c r="BO44" s="14">
        <v>1.5</v>
      </c>
      <c r="BP44" s="14">
        <v>-3.3250000000000002</v>
      </c>
      <c r="BQ44" s="14">
        <v>-23</v>
      </c>
      <c r="BR44" s="14">
        <v>-2</v>
      </c>
      <c r="BS44" s="14">
        <v>-3.4250000000000003</v>
      </c>
      <c r="BT44" s="14">
        <v>-15</v>
      </c>
      <c r="BU44" s="14">
        <v>-1</v>
      </c>
      <c r="BV44" s="14">
        <v>-0.35000000000000142</v>
      </c>
      <c r="BW44" s="14">
        <v>-16</v>
      </c>
      <c r="BX44" s="14">
        <v>-3</v>
      </c>
      <c r="BY44" s="48">
        <v>10.725000000000001</v>
      </c>
      <c r="BZ44" s="14">
        <v>39.75</v>
      </c>
      <c r="CA44" s="14">
        <v>7.75</v>
      </c>
      <c r="CB44" s="14">
        <v>0.5</v>
      </c>
      <c r="CC44" s="14">
        <v>-0.25</v>
      </c>
      <c r="CD44" s="14">
        <v>-1.25</v>
      </c>
      <c r="CE44" s="14">
        <v>0.11831279964066038</v>
      </c>
      <c r="CF44" s="14">
        <v>-1.2044064937803078E-2</v>
      </c>
      <c r="CG44" s="14">
        <v>2.6041666666666741E-2</v>
      </c>
      <c r="CH44" s="14">
        <v>-0.5</v>
      </c>
      <c r="CI44" s="14">
        <v>4.75</v>
      </c>
      <c r="CJ44" s="14">
        <v>-4.5</v>
      </c>
      <c r="CK44" s="14">
        <v>2.25</v>
      </c>
      <c r="CL44" s="14">
        <v>2.75</v>
      </c>
      <c r="CM44" s="14">
        <v>-5</v>
      </c>
      <c r="CN44" s="14">
        <v>0</v>
      </c>
      <c r="CO44" s="14">
        <v>15.25</v>
      </c>
      <c r="CP44" s="14">
        <v>-5.75</v>
      </c>
      <c r="CQ44" s="14">
        <v>-21</v>
      </c>
      <c r="CR44" s="14">
        <v>7.25</v>
      </c>
      <c r="CS44" s="14">
        <v>34.75</v>
      </c>
      <c r="CT44" t="s">
        <v>267</v>
      </c>
      <c r="CU44" t="s">
        <v>502</v>
      </c>
    </row>
    <row r="45" spans="1:99" x14ac:dyDescent="0.2">
      <c r="A45" s="19">
        <v>44094</v>
      </c>
      <c r="B45">
        <v>2</v>
      </c>
      <c r="C45" s="13" t="s">
        <v>383</v>
      </c>
      <c r="D45" s="41" t="s">
        <v>291</v>
      </c>
      <c r="E45" s="14" t="s">
        <v>295</v>
      </c>
      <c r="F45" t="s">
        <v>577</v>
      </c>
      <c r="G45">
        <v>43.8</v>
      </c>
      <c r="H45" t="s">
        <v>572</v>
      </c>
      <c r="I45">
        <v>23.2</v>
      </c>
      <c r="J45">
        <v>22</v>
      </c>
      <c r="K45">
        <v>89</v>
      </c>
      <c r="L45">
        <v>7</v>
      </c>
      <c r="M45" t="s">
        <v>573</v>
      </c>
      <c r="N45">
        <v>1.9</v>
      </c>
      <c r="O45">
        <v>2</v>
      </c>
      <c r="P45">
        <v>6</v>
      </c>
      <c r="Q45">
        <v>1</v>
      </c>
      <c r="R45" t="s">
        <v>116</v>
      </c>
      <c r="S45">
        <v>19</v>
      </c>
      <c r="T45">
        <v>100</v>
      </c>
      <c r="U45">
        <v>9</v>
      </c>
      <c r="V45" t="s">
        <v>574</v>
      </c>
      <c r="W45">
        <v>20.5</v>
      </c>
      <c r="X45">
        <v>106</v>
      </c>
      <c r="Y45">
        <v>9</v>
      </c>
      <c r="Z45" t="s">
        <v>14</v>
      </c>
      <c r="AA45">
        <v>7.8</v>
      </c>
      <c r="AB45">
        <v>58</v>
      </c>
      <c r="AC45">
        <v>5</v>
      </c>
      <c r="AD45">
        <v>38.9</v>
      </c>
      <c r="AE45">
        <v>179</v>
      </c>
      <c r="AF45">
        <v>19</v>
      </c>
      <c r="AG45" t="s">
        <v>575</v>
      </c>
      <c r="AH45" s="14">
        <v>22.8</v>
      </c>
      <c r="AI45">
        <v>88</v>
      </c>
      <c r="AJ45">
        <v>10</v>
      </c>
      <c r="AK45">
        <v>11</v>
      </c>
      <c r="AL45">
        <v>2</v>
      </c>
      <c r="AM45">
        <v>-3</v>
      </c>
      <c r="AN45" s="21">
        <v>0.26</v>
      </c>
      <c r="AO45" s="21">
        <v>0.02</v>
      </c>
      <c r="AP45" s="21">
        <v>0.66666666666666663</v>
      </c>
      <c r="AQ45">
        <v>3</v>
      </c>
      <c r="AR45">
        <v>48</v>
      </c>
      <c r="AS45">
        <v>24</v>
      </c>
      <c r="AT45">
        <v>5</v>
      </c>
      <c r="AU45">
        <v>81</v>
      </c>
      <c r="AV45">
        <v>40</v>
      </c>
      <c r="AW45">
        <v>0</v>
      </c>
      <c r="AX45">
        <v>572</v>
      </c>
      <c r="AY45">
        <v>450</v>
      </c>
      <c r="AZ45">
        <v>95</v>
      </c>
      <c r="BA45">
        <v>9</v>
      </c>
      <c r="BB45">
        <v>18</v>
      </c>
      <c r="BC45" t="s">
        <v>295</v>
      </c>
      <c r="BD45" s="14">
        <v>10.847999999999999</v>
      </c>
      <c r="BE45" s="14">
        <v>5.879999999999999</v>
      </c>
      <c r="BF45" s="14">
        <v>6.6</v>
      </c>
      <c r="BG45" s="14">
        <v>25</v>
      </c>
      <c r="BH45" s="14">
        <v>1.5999999999999996</v>
      </c>
      <c r="BI45" s="14">
        <v>-3.9399999999999991</v>
      </c>
      <c r="BJ45" s="14">
        <v>-0.79999999999999982</v>
      </c>
      <c r="BK45" s="14">
        <v>-1.5999999999999996</v>
      </c>
      <c r="BL45" s="14">
        <v>-2.2000000000000002</v>
      </c>
      <c r="BM45" s="14">
        <v>-8.0000000000001847E-2</v>
      </c>
      <c r="BN45" s="14">
        <v>13.799999999999997</v>
      </c>
      <c r="BO45" s="14">
        <v>-0.59999999999999964</v>
      </c>
      <c r="BP45" s="14">
        <v>0.60000000000000142</v>
      </c>
      <c r="BQ45" s="14">
        <v>20.599999999999994</v>
      </c>
      <c r="BR45" s="14">
        <v>2.4000000000000004</v>
      </c>
      <c r="BS45" s="14">
        <v>1.92</v>
      </c>
      <c r="BT45" s="14">
        <v>28.8</v>
      </c>
      <c r="BU45" s="14">
        <v>0.59999999999999964</v>
      </c>
      <c r="BV45" s="14">
        <v>13.419999999999998</v>
      </c>
      <c r="BW45" s="14">
        <v>70.2</v>
      </c>
      <c r="BX45" s="14">
        <v>7.1999999999999993</v>
      </c>
      <c r="BY45" s="48">
        <v>4.3800000000000026</v>
      </c>
      <c r="BZ45" s="14">
        <v>27.799999999999997</v>
      </c>
      <c r="CA45" s="14">
        <v>3.8</v>
      </c>
      <c r="CB45" s="14">
        <v>4</v>
      </c>
      <c r="CC45" s="14">
        <v>0.39999999999999991</v>
      </c>
      <c r="CD45" s="14">
        <v>-5.2</v>
      </c>
      <c r="CE45" s="14">
        <v>-3.6793716793717124E-3</v>
      </c>
      <c r="CF45" s="14">
        <v>-2.5270985270985265E-3</v>
      </c>
      <c r="CG45" s="14">
        <v>1.0952380952381047E-2</v>
      </c>
      <c r="CH45" s="14">
        <v>0</v>
      </c>
      <c r="CI45" s="14">
        <v>7</v>
      </c>
      <c r="CJ45" s="14">
        <v>3.8000000000000007</v>
      </c>
      <c r="CK45" s="14">
        <v>2.2000000000000002</v>
      </c>
      <c r="CL45" s="14">
        <v>14.400000000000006</v>
      </c>
      <c r="CM45" s="14">
        <v>10.8</v>
      </c>
      <c r="CN45" s="14">
        <v>0</v>
      </c>
      <c r="CO45" s="14">
        <v>122.39999999999998</v>
      </c>
      <c r="CP45" s="14">
        <v>100.19999999999999</v>
      </c>
      <c r="CQ45" s="14">
        <v>21.400000000000006</v>
      </c>
      <c r="CR45" s="14">
        <v>-3.8000000000000007</v>
      </c>
      <c r="CS45" s="14">
        <v>4.5999999999999996</v>
      </c>
      <c r="CT45" t="s">
        <v>280</v>
      </c>
      <c r="CU45" t="s">
        <v>489</v>
      </c>
    </row>
    <row r="46" spans="1:99" x14ac:dyDescent="0.2">
      <c r="A46" s="19">
        <v>44094</v>
      </c>
      <c r="B46">
        <v>2</v>
      </c>
      <c r="C46" s="13" t="s">
        <v>383</v>
      </c>
      <c r="D46" s="41" t="s">
        <v>293</v>
      </c>
      <c r="E46" s="14" t="s">
        <v>276</v>
      </c>
      <c r="F46" t="s">
        <v>578</v>
      </c>
      <c r="G46">
        <v>27.32</v>
      </c>
      <c r="H46" t="s">
        <v>579</v>
      </c>
      <c r="I46">
        <v>14.2</v>
      </c>
      <c r="J46">
        <v>7</v>
      </c>
      <c r="K46">
        <v>46</v>
      </c>
      <c r="L46">
        <v>7</v>
      </c>
      <c r="M46" t="s">
        <v>584</v>
      </c>
      <c r="N46">
        <v>6.4</v>
      </c>
      <c r="O46">
        <v>5</v>
      </c>
      <c r="P46">
        <v>4</v>
      </c>
      <c r="Q46">
        <v>0</v>
      </c>
      <c r="R46" t="s">
        <v>24</v>
      </c>
      <c r="S46">
        <v>16.3</v>
      </c>
      <c r="T46">
        <v>53</v>
      </c>
      <c r="U46">
        <v>8</v>
      </c>
      <c r="V46" t="s">
        <v>583</v>
      </c>
      <c r="W46">
        <v>14.6</v>
      </c>
      <c r="X46">
        <v>76</v>
      </c>
      <c r="Y46">
        <v>9</v>
      </c>
      <c r="Z46" t="s">
        <v>5</v>
      </c>
      <c r="AA46">
        <v>5.6</v>
      </c>
      <c r="AB46">
        <v>26</v>
      </c>
      <c r="AC46">
        <v>5</v>
      </c>
      <c r="AD46">
        <v>35.5</v>
      </c>
      <c r="AE46">
        <v>155</v>
      </c>
      <c r="AF46">
        <v>19</v>
      </c>
      <c r="AG46" t="s">
        <v>8</v>
      </c>
      <c r="AH46" s="14">
        <v>30</v>
      </c>
      <c r="AI46">
        <v>130</v>
      </c>
      <c r="AJ46">
        <v>11</v>
      </c>
      <c r="AK46">
        <v>11</v>
      </c>
      <c r="AL46">
        <v>2</v>
      </c>
      <c r="AM46">
        <v>2</v>
      </c>
      <c r="AN46" s="21">
        <v>0.26923076923076922</v>
      </c>
      <c r="AO46" s="21">
        <v>5.7692307692307696E-2</v>
      </c>
      <c r="AP46" s="21">
        <v>0.75</v>
      </c>
      <c r="AQ46">
        <v>2</v>
      </c>
      <c r="AR46">
        <v>47</v>
      </c>
      <c r="AS46">
        <v>19</v>
      </c>
      <c r="AT46">
        <v>3</v>
      </c>
      <c r="AU46">
        <v>58</v>
      </c>
      <c r="AV46">
        <v>28</v>
      </c>
      <c r="AW46">
        <v>0</v>
      </c>
      <c r="AX46">
        <v>427</v>
      </c>
      <c r="AY46">
        <v>328</v>
      </c>
      <c r="AZ46">
        <v>87</v>
      </c>
      <c r="BA46">
        <v>0</v>
      </c>
      <c r="BB46">
        <v>12</v>
      </c>
      <c r="BC46" t="s">
        <v>276</v>
      </c>
      <c r="BD46" s="14">
        <v>2.6000000000000014</v>
      </c>
      <c r="BE46" s="14">
        <v>-3.740000000000002</v>
      </c>
      <c r="BF46" s="14">
        <v>-10.399999999999999</v>
      </c>
      <c r="BG46" s="14">
        <v>-39.200000000000003</v>
      </c>
      <c r="BH46" s="14">
        <v>3</v>
      </c>
      <c r="BI46" s="14">
        <v>0.98000000000000043</v>
      </c>
      <c r="BJ46" s="14">
        <v>-0.59999999999999964</v>
      </c>
      <c r="BK46" s="14">
        <v>-12.600000000000001</v>
      </c>
      <c r="BL46" s="14">
        <v>-1.6</v>
      </c>
      <c r="BM46" s="14">
        <v>1.2800000000000011</v>
      </c>
      <c r="BN46" s="14">
        <v>-4.2000000000000028</v>
      </c>
      <c r="BO46" s="14">
        <v>1.2000000000000002</v>
      </c>
      <c r="BP46" s="14">
        <v>-0.23999999999999844</v>
      </c>
      <c r="BQ46" s="14">
        <v>11.599999999999994</v>
      </c>
      <c r="BR46" s="14">
        <v>2.8</v>
      </c>
      <c r="BS46" s="14">
        <v>0.79999999999999982</v>
      </c>
      <c r="BT46" s="14">
        <v>0</v>
      </c>
      <c r="BU46" s="14">
        <v>1.4</v>
      </c>
      <c r="BV46" s="14">
        <v>12.04</v>
      </c>
      <c r="BW46" s="14">
        <v>52.400000000000006</v>
      </c>
      <c r="BX46" s="14">
        <v>6.8000000000000007</v>
      </c>
      <c r="BY46" s="48">
        <v>10.34</v>
      </c>
      <c r="BZ46" s="14">
        <v>57.400000000000006</v>
      </c>
      <c r="CA46" s="14">
        <v>3.2</v>
      </c>
      <c r="CB46" s="14">
        <v>2.4000000000000004</v>
      </c>
      <c r="CC46" s="14">
        <v>0.19999999999999996</v>
      </c>
      <c r="CD46" s="14">
        <v>-1.4</v>
      </c>
      <c r="CE46" s="14">
        <v>-2.8696707467105953E-2</v>
      </c>
      <c r="CF46" s="14">
        <v>2.0842921784098252E-2</v>
      </c>
      <c r="CG46" s="14">
        <v>2.3809523809523725E-3</v>
      </c>
      <c r="CH46" s="14">
        <v>-0.39999999999999991</v>
      </c>
      <c r="CI46" s="14">
        <v>11.600000000000001</v>
      </c>
      <c r="CJ46" s="14">
        <v>-7</v>
      </c>
      <c r="CK46" s="14">
        <v>-1.5999999999999996</v>
      </c>
      <c r="CL46" s="14">
        <v>-7.5999999999999943</v>
      </c>
      <c r="CM46" s="14">
        <v>-2.1999999999999993</v>
      </c>
      <c r="CN46" s="14">
        <v>0</v>
      </c>
      <c r="CO46" s="14">
        <v>3.8000000000000114</v>
      </c>
      <c r="CP46" s="14">
        <v>52</v>
      </c>
      <c r="CQ46" s="14">
        <v>-30.400000000000006</v>
      </c>
      <c r="CR46" s="14">
        <v>-7</v>
      </c>
      <c r="CS46" s="14">
        <v>-10.8</v>
      </c>
      <c r="CT46" t="s">
        <v>261</v>
      </c>
      <c r="CU46" t="s">
        <v>455</v>
      </c>
    </row>
    <row r="47" spans="1:99" x14ac:dyDescent="0.2">
      <c r="A47" s="19">
        <v>44094</v>
      </c>
      <c r="B47">
        <v>2</v>
      </c>
      <c r="C47" s="13" t="s">
        <v>383</v>
      </c>
      <c r="D47" s="41" t="s">
        <v>294</v>
      </c>
      <c r="E47" s="14" t="s">
        <v>304</v>
      </c>
      <c r="F47" t="s">
        <v>585</v>
      </c>
      <c r="G47">
        <v>14.38</v>
      </c>
      <c r="H47" t="s">
        <v>590</v>
      </c>
      <c r="I47">
        <v>21.1</v>
      </c>
      <c r="J47">
        <v>20</v>
      </c>
      <c r="K47">
        <v>95</v>
      </c>
      <c r="L47">
        <v>7</v>
      </c>
      <c r="M47" t="s">
        <v>586</v>
      </c>
      <c r="N47">
        <v>7.3</v>
      </c>
      <c r="O47">
        <v>4</v>
      </c>
      <c r="P47">
        <v>19</v>
      </c>
      <c r="Q47">
        <v>3</v>
      </c>
      <c r="R47" t="s">
        <v>426</v>
      </c>
      <c r="S47">
        <v>12.4</v>
      </c>
      <c r="T47">
        <v>64</v>
      </c>
      <c r="U47">
        <v>9</v>
      </c>
      <c r="V47" t="s">
        <v>593</v>
      </c>
      <c r="W47">
        <v>8.1</v>
      </c>
      <c r="X47">
        <v>41</v>
      </c>
      <c r="Y47">
        <v>4</v>
      </c>
      <c r="Z47" t="s">
        <v>184</v>
      </c>
      <c r="AA47">
        <v>1.5</v>
      </c>
      <c r="AB47">
        <v>5</v>
      </c>
      <c r="AC47">
        <v>1</v>
      </c>
      <c r="AD47">
        <v>17.8</v>
      </c>
      <c r="AE47">
        <v>78</v>
      </c>
      <c r="AF47">
        <v>12</v>
      </c>
      <c r="AG47" t="s">
        <v>11</v>
      </c>
      <c r="AH47" s="14">
        <v>9.1999999999999993</v>
      </c>
      <c r="AI47">
        <v>42</v>
      </c>
      <c r="AJ47">
        <v>7</v>
      </c>
      <c r="AK47">
        <v>7</v>
      </c>
      <c r="AL47">
        <v>2</v>
      </c>
      <c r="AM47">
        <v>1</v>
      </c>
      <c r="AN47" s="21">
        <v>0.20454545454545456</v>
      </c>
      <c r="AO47" s="21">
        <v>0</v>
      </c>
      <c r="AP47" s="21">
        <v>0.6</v>
      </c>
      <c r="AQ47">
        <v>7</v>
      </c>
      <c r="AR47">
        <v>43</v>
      </c>
      <c r="AS47">
        <v>24</v>
      </c>
      <c r="AT47">
        <v>2</v>
      </c>
      <c r="AU47">
        <v>69</v>
      </c>
      <c r="AV47">
        <v>19</v>
      </c>
      <c r="AW47">
        <v>0</v>
      </c>
      <c r="AX47">
        <v>363</v>
      </c>
      <c r="AY47">
        <v>242</v>
      </c>
      <c r="AZ47">
        <v>114</v>
      </c>
      <c r="BA47">
        <v>0</v>
      </c>
      <c r="BB47">
        <v>7</v>
      </c>
      <c r="BC47" t="s">
        <v>304</v>
      </c>
      <c r="BD47" s="14">
        <v>-0.91600000000000037</v>
      </c>
      <c r="BE47" s="14">
        <v>7.5600000000000005</v>
      </c>
      <c r="BF47" s="14">
        <v>5.6</v>
      </c>
      <c r="BG47" s="14">
        <v>36.799999999999997</v>
      </c>
      <c r="BH47" s="14">
        <v>2.4000000000000004</v>
      </c>
      <c r="BI47" s="14">
        <v>1.4399999999999995</v>
      </c>
      <c r="BJ47" s="14">
        <v>0</v>
      </c>
      <c r="BK47" s="14">
        <v>-1.6000000000000014</v>
      </c>
      <c r="BL47" s="14">
        <v>0.20000000000000018</v>
      </c>
      <c r="BM47" s="14">
        <v>0.66000000000000014</v>
      </c>
      <c r="BN47" s="14">
        <v>13.399999999999999</v>
      </c>
      <c r="BO47" s="14">
        <v>2</v>
      </c>
      <c r="BP47" s="14">
        <v>-0.52000000000000135</v>
      </c>
      <c r="BQ47" s="14">
        <v>6.7999999999999972</v>
      </c>
      <c r="BR47" s="14">
        <v>-0.20000000000000018</v>
      </c>
      <c r="BS47" s="14">
        <v>-4.0400000000000009</v>
      </c>
      <c r="BT47" s="14">
        <v>-29</v>
      </c>
      <c r="BU47" s="14">
        <v>-1.4</v>
      </c>
      <c r="BV47" s="14">
        <v>-2.0199999999999996</v>
      </c>
      <c r="BW47" s="14">
        <v>-10.200000000000003</v>
      </c>
      <c r="BX47" s="14">
        <v>1</v>
      </c>
      <c r="BY47" s="48">
        <v>-3.879999999999999</v>
      </c>
      <c r="BZ47" s="14">
        <v>-0.79999999999999716</v>
      </c>
      <c r="CA47" s="14">
        <v>-0.20000000000000018</v>
      </c>
      <c r="CB47" s="14">
        <v>0.40000000000000036</v>
      </c>
      <c r="CC47" s="14">
        <v>0.60000000000000009</v>
      </c>
      <c r="CD47" s="14">
        <v>-2.6</v>
      </c>
      <c r="CE47" s="14">
        <v>-9.7340495575789693E-2</v>
      </c>
      <c r="CF47" s="14">
        <v>-8.3843843843843843E-2</v>
      </c>
      <c r="CG47" s="14">
        <v>-3.8827838827838468E-3</v>
      </c>
      <c r="CH47" s="14">
        <v>0.20000000000000018</v>
      </c>
      <c r="CI47" s="14">
        <v>8</v>
      </c>
      <c r="CJ47" s="14">
        <v>3.6000000000000014</v>
      </c>
      <c r="CK47" s="14">
        <v>-1.6</v>
      </c>
      <c r="CL47" s="14">
        <v>6</v>
      </c>
      <c r="CM47" s="14">
        <v>-0.39999999999999858</v>
      </c>
      <c r="CN47" s="14">
        <v>0</v>
      </c>
      <c r="CO47" s="14">
        <v>35</v>
      </c>
      <c r="CP47" s="14">
        <v>17.599999999999994</v>
      </c>
      <c r="CQ47" s="14">
        <v>25.799999999999997</v>
      </c>
      <c r="CR47" s="14">
        <v>-0.2</v>
      </c>
      <c r="CS47" s="14">
        <v>-8.1999999999999993</v>
      </c>
      <c r="CT47" t="s">
        <v>251</v>
      </c>
      <c r="CU47" t="s">
        <v>456</v>
      </c>
    </row>
    <row r="48" spans="1:99" x14ac:dyDescent="0.2">
      <c r="A48" s="19">
        <v>44094</v>
      </c>
      <c r="B48">
        <v>2</v>
      </c>
      <c r="C48" s="13" t="s">
        <v>383</v>
      </c>
      <c r="D48" s="41" t="s">
        <v>295</v>
      </c>
      <c r="E48" s="14" t="s">
        <v>291</v>
      </c>
      <c r="F48" t="s">
        <v>595</v>
      </c>
      <c r="G48">
        <v>28.52</v>
      </c>
      <c r="H48" t="s">
        <v>596</v>
      </c>
      <c r="I48">
        <v>6.1</v>
      </c>
      <c r="J48">
        <v>21</v>
      </c>
      <c r="K48">
        <v>61</v>
      </c>
      <c r="L48">
        <v>0</v>
      </c>
      <c r="M48" t="s">
        <v>597</v>
      </c>
      <c r="N48">
        <v>4.5</v>
      </c>
      <c r="O48">
        <v>3</v>
      </c>
      <c r="P48">
        <v>14</v>
      </c>
      <c r="Q48">
        <v>2</v>
      </c>
      <c r="R48" t="s">
        <v>95</v>
      </c>
      <c r="S48">
        <v>4.4000000000000004</v>
      </c>
      <c r="T48">
        <v>24</v>
      </c>
      <c r="U48">
        <v>4</v>
      </c>
      <c r="V48" t="s">
        <v>93</v>
      </c>
      <c r="W48">
        <v>32.9</v>
      </c>
      <c r="X48">
        <v>109</v>
      </c>
      <c r="Y48">
        <v>10</v>
      </c>
      <c r="Z48" t="s">
        <v>598</v>
      </c>
      <c r="AA48">
        <v>16.600000000000001</v>
      </c>
      <c r="AB48">
        <v>46</v>
      </c>
      <c r="AC48">
        <v>9</v>
      </c>
      <c r="AD48">
        <v>18.5</v>
      </c>
      <c r="AE48">
        <v>95</v>
      </c>
      <c r="AF48">
        <v>13</v>
      </c>
      <c r="AG48" t="s">
        <v>599</v>
      </c>
      <c r="AH48" s="14">
        <v>18.2</v>
      </c>
      <c r="AI48">
        <v>72</v>
      </c>
      <c r="AJ48">
        <v>8</v>
      </c>
      <c r="AK48">
        <v>17</v>
      </c>
      <c r="AL48">
        <v>4</v>
      </c>
      <c r="AM48">
        <v>3</v>
      </c>
      <c r="AN48" s="21">
        <v>0.26829268292682928</v>
      </c>
      <c r="AO48" s="21">
        <v>2.4390243902439025E-2</v>
      </c>
      <c r="AP48" s="21">
        <v>0.875</v>
      </c>
      <c r="AQ48">
        <v>-3</v>
      </c>
      <c r="AR48">
        <v>36</v>
      </c>
      <c r="AS48">
        <v>30</v>
      </c>
      <c r="AT48">
        <v>4</v>
      </c>
      <c r="AU48">
        <v>72</v>
      </c>
      <c r="AV48">
        <v>39</v>
      </c>
      <c r="AW48">
        <v>0</v>
      </c>
      <c r="AX48">
        <v>386</v>
      </c>
      <c r="AY48">
        <v>273</v>
      </c>
      <c r="AZ48">
        <v>97</v>
      </c>
      <c r="BA48">
        <v>0</v>
      </c>
      <c r="BB48">
        <v>16</v>
      </c>
      <c r="BC48" t="s">
        <v>291</v>
      </c>
      <c r="BD48" s="14">
        <v>4.1960000000000015</v>
      </c>
      <c r="BE48" s="14">
        <v>-10.679999999999994</v>
      </c>
      <c r="BF48" s="14">
        <v>4.3999999999999986</v>
      </c>
      <c r="BG48" s="14">
        <v>-23</v>
      </c>
      <c r="BH48" s="14">
        <v>-1.6</v>
      </c>
      <c r="BI48" s="14">
        <v>-0.62000000000000011</v>
      </c>
      <c r="BJ48" s="14">
        <v>-3</v>
      </c>
      <c r="BK48" s="14">
        <v>-19.600000000000001</v>
      </c>
      <c r="BL48" s="14">
        <v>0.60000000000000009</v>
      </c>
      <c r="BM48" s="14">
        <v>-18.799999999999997</v>
      </c>
      <c r="BN48" s="14">
        <v>-57.400000000000006</v>
      </c>
      <c r="BO48" s="14">
        <v>-4.8000000000000007</v>
      </c>
      <c r="BP48" s="14">
        <v>12.504000000000001</v>
      </c>
      <c r="BQ48" s="14">
        <v>30</v>
      </c>
      <c r="BR48" s="14">
        <v>3.5999999999999996</v>
      </c>
      <c r="BS48" s="14">
        <v>12.000000000000002</v>
      </c>
      <c r="BT48" s="14">
        <v>32</v>
      </c>
      <c r="BU48" s="14">
        <v>6</v>
      </c>
      <c r="BV48" s="14">
        <v>4.5800000000000018</v>
      </c>
      <c r="BW48" s="14">
        <v>31.799999999999997</v>
      </c>
      <c r="BX48" s="14">
        <v>4.8000000000000007</v>
      </c>
      <c r="BY48" s="48">
        <v>7.34</v>
      </c>
      <c r="BZ48" s="14">
        <v>35.200000000000003</v>
      </c>
      <c r="CA48" s="14">
        <v>3.2</v>
      </c>
      <c r="CB48" s="14">
        <v>4.8000000000000007</v>
      </c>
      <c r="CC48" s="14">
        <v>1.7999999999999998</v>
      </c>
      <c r="CD48" s="14">
        <v>-6</v>
      </c>
      <c r="CE48" s="14">
        <v>-7.2519533312216278E-2</v>
      </c>
      <c r="CF48" s="14">
        <v>-2.7847112237356142E-2</v>
      </c>
      <c r="CG48" s="14">
        <v>5.0000000000000044E-2</v>
      </c>
      <c r="CH48" s="14">
        <v>-3.6</v>
      </c>
      <c r="CI48" s="14">
        <v>3.3999999999999986</v>
      </c>
      <c r="CJ48" s="14">
        <v>3.3999999999999986</v>
      </c>
      <c r="CK48" s="14">
        <v>-1</v>
      </c>
      <c r="CL48" s="14">
        <v>4.5999999999999943</v>
      </c>
      <c r="CM48" s="14">
        <v>1.2000000000000028</v>
      </c>
      <c r="CN48" s="14">
        <v>-1.8</v>
      </c>
      <c r="CO48" s="14">
        <v>-24</v>
      </c>
      <c r="CP48" s="14">
        <v>40.400000000000006</v>
      </c>
      <c r="CQ48" s="14">
        <v>-41.800000000000011</v>
      </c>
      <c r="CR48" s="14">
        <v>-16.399999999999999</v>
      </c>
      <c r="CS48" s="14">
        <v>-6.1999999999999993</v>
      </c>
      <c r="CT48" t="s">
        <v>282</v>
      </c>
      <c r="CU48" t="s">
        <v>453</v>
      </c>
    </row>
    <row r="49" spans="1:99" x14ac:dyDescent="0.2">
      <c r="A49" s="19">
        <v>44094</v>
      </c>
      <c r="B49">
        <v>2</v>
      </c>
      <c r="C49" s="13" t="s">
        <v>383</v>
      </c>
      <c r="D49" s="41" t="s">
        <v>296</v>
      </c>
      <c r="E49" s="14" t="s">
        <v>265</v>
      </c>
      <c r="F49" t="s">
        <v>602</v>
      </c>
      <c r="G49">
        <v>9.74</v>
      </c>
      <c r="H49" t="s">
        <v>604</v>
      </c>
      <c r="I49">
        <v>15.6</v>
      </c>
      <c r="J49">
        <v>10</v>
      </c>
      <c r="K49">
        <v>20</v>
      </c>
      <c r="L49">
        <v>5</v>
      </c>
      <c r="M49" t="s">
        <v>608</v>
      </c>
      <c r="N49">
        <v>2.8</v>
      </c>
      <c r="O49">
        <v>4</v>
      </c>
      <c r="P49">
        <v>28</v>
      </c>
      <c r="Q49">
        <v>0</v>
      </c>
      <c r="R49" t="s">
        <v>115</v>
      </c>
      <c r="S49">
        <v>6.3</v>
      </c>
      <c r="T49">
        <v>33</v>
      </c>
      <c r="U49">
        <v>6</v>
      </c>
      <c r="V49" t="s">
        <v>139</v>
      </c>
      <c r="W49">
        <v>9.6999999999999993</v>
      </c>
      <c r="X49">
        <v>47</v>
      </c>
      <c r="Y49">
        <v>5</v>
      </c>
      <c r="Z49" t="s">
        <v>102</v>
      </c>
      <c r="AA49">
        <v>5.5</v>
      </c>
      <c r="AB49">
        <v>29</v>
      </c>
      <c r="AC49">
        <v>4</v>
      </c>
      <c r="AD49">
        <v>12.8</v>
      </c>
      <c r="AE49">
        <v>58</v>
      </c>
      <c r="AF49">
        <v>10</v>
      </c>
      <c r="AG49" t="s">
        <v>16</v>
      </c>
      <c r="AH49" s="14">
        <v>12.5</v>
      </c>
      <c r="AI49">
        <v>65</v>
      </c>
      <c r="AJ49">
        <v>8</v>
      </c>
      <c r="AK49">
        <v>6</v>
      </c>
      <c r="AL49">
        <v>3</v>
      </c>
      <c r="AM49">
        <v>9</v>
      </c>
      <c r="AN49" s="21">
        <v>0.27659574468085107</v>
      </c>
      <c r="AO49" s="21">
        <v>8.5106382978723402E-2</v>
      </c>
      <c r="AP49" s="21">
        <v>0.4</v>
      </c>
      <c r="AQ49">
        <v>12</v>
      </c>
      <c r="AR49">
        <v>40</v>
      </c>
      <c r="AS49">
        <v>14</v>
      </c>
      <c r="AT49">
        <v>3</v>
      </c>
      <c r="AU49">
        <v>62</v>
      </c>
      <c r="AV49">
        <v>13</v>
      </c>
      <c r="AW49">
        <v>0</v>
      </c>
      <c r="AX49">
        <v>316</v>
      </c>
      <c r="AY49">
        <v>241</v>
      </c>
      <c r="AZ49">
        <v>48</v>
      </c>
      <c r="BA49">
        <v>6</v>
      </c>
      <c r="BB49">
        <v>21</v>
      </c>
      <c r="BC49" t="s">
        <v>265</v>
      </c>
      <c r="BD49" s="14">
        <v>-1.6440000000000001</v>
      </c>
      <c r="BE49" s="14">
        <v>1.4600000000000026</v>
      </c>
      <c r="BF49" s="14">
        <v>-5.1999999999999993</v>
      </c>
      <c r="BG49" s="14">
        <v>-45.2</v>
      </c>
      <c r="BH49" s="14">
        <v>1.7999999999999998</v>
      </c>
      <c r="BI49" s="14">
        <v>-3.24</v>
      </c>
      <c r="BJ49" s="14">
        <v>-1</v>
      </c>
      <c r="BK49" s="14">
        <v>3.6000000000000014</v>
      </c>
      <c r="BL49" s="14">
        <v>-2.2000000000000002</v>
      </c>
      <c r="BM49" s="14">
        <v>-5.4399999999999986</v>
      </c>
      <c r="BN49" s="14">
        <v>-27</v>
      </c>
      <c r="BO49" s="14">
        <v>-1.5999999999999996</v>
      </c>
      <c r="BP49" s="14">
        <v>2.219999999999998</v>
      </c>
      <c r="BQ49" s="14">
        <v>2.2000000000000028</v>
      </c>
      <c r="BR49" s="14">
        <v>-0.40000000000000036</v>
      </c>
      <c r="BS49" s="14">
        <v>-0.4399999999999995</v>
      </c>
      <c r="BT49" s="14">
        <v>-5.2000000000000028</v>
      </c>
      <c r="BU49" s="14">
        <v>0.20000000000000018</v>
      </c>
      <c r="BV49" s="14">
        <v>2.5600000000000005</v>
      </c>
      <c r="BW49" s="14">
        <v>5.6000000000000014</v>
      </c>
      <c r="BX49" s="14">
        <v>2.8</v>
      </c>
      <c r="BY49" s="48">
        <v>4.9000000000000004</v>
      </c>
      <c r="BZ49" s="14">
        <v>37</v>
      </c>
      <c r="CA49" s="14">
        <v>4</v>
      </c>
      <c r="CB49" s="14">
        <v>-4.1999999999999993</v>
      </c>
      <c r="CC49" s="14">
        <v>-0.60000000000000009</v>
      </c>
      <c r="CD49" s="14">
        <v>3.2</v>
      </c>
      <c r="CE49" s="14">
        <v>-4.766279819471303E-2</v>
      </c>
      <c r="CF49" s="14">
        <v>1.7782076079948417E-2</v>
      </c>
      <c r="CG49" s="14">
        <v>-0.14031746031746029</v>
      </c>
      <c r="CH49" s="14">
        <v>5</v>
      </c>
      <c r="CI49" s="14">
        <v>4.6000000000000014</v>
      </c>
      <c r="CJ49" s="14">
        <v>-8</v>
      </c>
      <c r="CK49" s="14">
        <v>-0.60000000000000009</v>
      </c>
      <c r="CL49" s="14">
        <v>-2.2000000000000028</v>
      </c>
      <c r="CM49" s="14">
        <v>-5.6000000000000014</v>
      </c>
      <c r="CN49" s="14">
        <v>0</v>
      </c>
      <c r="CO49" s="14">
        <v>-19.600000000000023</v>
      </c>
      <c r="CP49" s="14">
        <v>13.400000000000006</v>
      </c>
      <c r="CQ49" s="14">
        <v>-44.599999999999994</v>
      </c>
      <c r="CR49" s="14">
        <v>3.4</v>
      </c>
      <c r="CS49" s="14">
        <v>8.1999999999999993</v>
      </c>
      <c r="CT49" t="s">
        <v>236</v>
      </c>
      <c r="CU49" t="s">
        <v>539</v>
      </c>
    </row>
    <row r="50" spans="1:99" x14ac:dyDescent="0.2">
      <c r="A50" s="19">
        <v>44094</v>
      </c>
      <c r="B50">
        <v>2</v>
      </c>
      <c r="C50" s="13" t="s">
        <v>383</v>
      </c>
      <c r="D50" s="41" t="s">
        <v>297</v>
      </c>
      <c r="E50" s="14" t="s">
        <v>310</v>
      </c>
      <c r="F50" t="s">
        <v>609</v>
      </c>
      <c r="G50">
        <v>28.46</v>
      </c>
      <c r="H50" t="s">
        <v>610</v>
      </c>
      <c r="I50">
        <v>24</v>
      </c>
      <c r="J50">
        <v>16</v>
      </c>
      <c r="K50">
        <v>102</v>
      </c>
      <c r="L50">
        <v>4</v>
      </c>
      <c r="M50" t="s">
        <v>615</v>
      </c>
      <c r="N50">
        <v>11.7</v>
      </c>
      <c r="O50">
        <v>2</v>
      </c>
      <c r="P50">
        <v>7</v>
      </c>
      <c r="Q50">
        <v>4</v>
      </c>
      <c r="R50" t="s">
        <v>612</v>
      </c>
      <c r="S50">
        <v>12.4</v>
      </c>
      <c r="T50">
        <v>84</v>
      </c>
      <c r="U50">
        <v>4</v>
      </c>
      <c r="V50" t="s">
        <v>616</v>
      </c>
      <c r="W50">
        <v>17.8</v>
      </c>
      <c r="X50">
        <v>58</v>
      </c>
      <c r="Y50">
        <v>7</v>
      </c>
      <c r="Z50" t="s">
        <v>613</v>
      </c>
      <c r="AA50">
        <v>10.199999999999999</v>
      </c>
      <c r="AB50">
        <v>35</v>
      </c>
      <c r="AC50">
        <v>4</v>
      </c>
      <c r="AD50">
        <v>29.9</v>
      </c>
      <c r="AE50">
        <v>139</v>
      </c>
      <c r="AF50">
        <v>12</v>
      </c>
      <c r="AG50" t="s">
        <v>617</v>
      </c>
      <c r="AH50" s="14">
        <v>12.6</v>
      </c>
      <c r="AI50">
        <v>36</v>
      </c>
      <c r="AJ50">
        <v>6</v>
      </c>
      <c r="AK50">
        <v>6</v>
      </c>
      <c r="AL50">
        <v>1</v>
      </c>
      <c r="AM50">
        <v>0</v>
      </c>
      <c r="AN50" s="21">
        <v>0.28000000000000003</v>
      </c>
      <c r="AO50" s="21">
        <v>0.04</v>
      </c>
      <c r="AP50" s="21">
        <v>0.7</v>
      </c>
      <c r="AQ50">
        <v>5</v>
      </c>
      <c r="AR50">
        <v>45</v>
      </c>
      <c r="AS50">
        <v>18</v>
      </c>
      <c r="AT50">
        <v>4</v>
      </c>
      <c r="AU50">
        <v>63</v>
      </c>
      <c r="AV50">
        <v>30</v>
      </c>
      <c r="AW50">
        <v>0</v>
      </c>
      <c r="AX50">
        <v>504</v>
      </c>
      <c r="AY50">
        <v>339</v>
      </c>
      <c r="AZ50">
        <v>109</v>
      </c>
      <c r="BA50">
        <v>37</v>
      </c>
      <c r="BB50">
        <v>19</v>
      </c>
      <c r="BC50" t="s">
        <v>310</v>
      </c>
      <c r="BD50" s="14">
        <v>2.6550000000000011</v>
      </c>
      <c r="BE50" s="14">
        <v>5.9750000000000014</v>
      </c>
      <c r="BF50" s="14">
        <v>-1</v>
      </c>
      <c r="BG50" s="14">
        <v>10.75</v>
      </c>
      <c r="BH50" s="14">
        <v>1</v>
      </c>
      <c r="BI50" s="14">
        <v>3.9749999999999996</v>
      </c>
      <c r="BJ50" s="14">
        <v>-3.25</v>
      </c>
      <c r="BK50" s="14">
        <v>-16.75</v>
      </c>
      <c r="BL50" s="14">
        <v>1.75</v>
      </c>
      <c r="BM50" s="14">
        <v>-6.5000000000000018</v>
      </c>
      <c r="BN50" s="14">
        <v>-1.5</v>
      </c>
      <c r="BO50" s="14">
        <v>-5</v>
      </c>
      <c r="BP50" s="14">
        <v>-3.2999999999999972</v>
      </c>
      <c r="BQ50" s="14">
        <v>-30.5</v>
      </c>
      <c r="BR50" s="14">
        <v>-0.75</v>
      </c>
      <c r="BS50" s="14">
        <v>1.8499999999999996</v>
      </c>
      <c r="BT50" s="14">
        <v>6.5</v>
      </c>
      <c r="BU50" s="14">
        <v>-0.5</v>
      </c>
      <c r="BV50" s="14">
        <v>2.6499999999999986</v>
      </c>
      <c r="BW50" s="14">
        <v>16.5</v>
      </c>
      <c r="BX50" s="14">
        <v>-0.75</v>
      </c>
      <c r="BY50" s="48">
        <v>1.4249999999999989</v>
      </c>
      <c r="BZ50" s="14">
        <v>-0.75</v>
      </c>
      <c r="CA50" s="14">
        <v>1.25</v>
      </c>
      <c r="CB50" s="14">
        <v>0.25</v>
      </c>
      <c r="CC50" s="14">
        <v>-0.25</v>
      </c>
      <c r="CD50" s="14">
        <v>-0.75</v>
      </c>
      <c r="CE50" s="14">
        <v>-8.7108843537414937E-2</v>
      </c>
      <c r="CF50" s="14">
        <v>-3.6734693877551045E-3</v>
      </c>
      <c r="CG50" s="14">
        <v>4.1666666666666741E-2</v>
      </c>
      <c r="CH50" s="14">
        <v>0.5</v>
      </c>
      <c r="CI50" s="14">
        <v>6.25</v>
      </c>
      <c r="CJ50" s="14">
        <v>-4.25</v>
      </c>
      <c r="CK50" s="14">
        <v>0.5</v>
      </c>
      <c r="CL50" s="14">
        <v>-2.25</v>
      </c>
      <c r="CM50" s="14">
        <v>2</v>
      </c>
      <c r="CN50" s="14">
        <v>0</v>
      </c>
      <c r="CO50" s="14">
        <v>57</v>
      </c>
      <c r="CP50" s="14">
        <v>36.5</v>
      </c>
      <c r="CQ50" s="14">
        <v>-6</v>
      </c>
      <c r="CR50" s="14">
        <v>26.75</v>
      </c>
      <c r="CS50" s="14">
        <v>-0.25</v>
      </c>
      <c r="CT50" t="s">
        <v>286</v>
      </c>
      <c r="CU50" t="s">
        <v>479</v>
      </c>
    </row>
    <row r="51" spans="1:99" x14ac:dyDescent="0.2">
      <c r="A51" s="19">
        <v>44094</v>
      </c>
      <c r="B51">
        <v>2</v>
      </c>
      <c r="C51" s="13" t="s">
        <v>383</v>
      </c>
      <c r="D51" s="41" t="s">
        <v>298</v>
      </c>
      <c r="E51" s="14" t="s">
        <v>256</v>
      </c>
      <c r="F51" t="s">
        <v>618</v>
      </c>
      <c r="G51">
        <v>11.86</v>
      </c>
      <c r="H51" t="s">
        <v>620</v>
      </c>
      <c r="I51">
        <v>6.3</v>
      </c>
      <c r="J51">
        <v>21</v>
      </c>
      <c r="K51">
        <v>63</v>
      </c>
      <c r="L51">
        <v>2</v>
      </c>
      <c r="M51" t="s">
        <v>628</v>
      </c>
      <c r="N51">
        <v>3.7</v>
      </c>
      <c r="O51">
        <v>1</v>
      </c>
      <c r="P51">
        <v>5</v>
      </c>
      <c r="Q51">
        <v>2</v>
      </c>
      <c r="R51" t="s">
        <v>621</v>
      </c>
      <c r="S51">
        <v>17.899999999999999</v>
      </c>
      <c r="T51">
        <v>59</v>
      </c>
      <c r="U51">
        <v>8</v>
      </c>
      <c r="V51" t="s">
        <v>626</v>
      </c>
      <c r="W51">
        <v>13.5</v>
      </c>
      <c r="X51">
        <v>75</v>
      </c>
      <c r="Y51">
        <v>8</v>
      </c>
      <c r="Z51" t="s">
        <v>629</v>
      </c>
      <c r="AA51">
        <v>6.8</v>
      </c>
      <c r="AB51">
        <v>16</v>
      </c>
      <c r="AC51">
        <v>6</v>
      </c>
      <c r="AD51">
        <v>28.8</v>
      </c>
      <c r="AE51">
        <v>118</v>
      </c>
      <c r="AF51">
        <v>13</v>
      </c>
      <c r="AG51" t="s">
        <v>433</v>
      </c>
      <c r="AH51" s="14">
        <v>1.5</v>
      </c>
      <c r="AI51">
        <v>5</v>
      </c>
      <c r="AJ51">
        <v>4</v>
      </c>
      <c r="AK51">
        <v>8</v>
      </c>
      <c r="AL51">
        <v>2</v>
      </c>
      <c r="AM51">
        <v>4</v>
      </c>
      <c r="AN51" s="21">
        <v>0.35294117647058826</v>
      </c>
      <c r="AO51" s="21">
        <v>2.9411764705882353E-2</v>
      </c>
      <c r="AP51" s="21">
        <v>0.625</v>
      </c>
      <c r="AQ51">
        <v>5</v>
      </c>
      <c r="AR51">
        <v>32</v>
      </c>
      <c r="AS51">
        <v>27</v>
      </c>
      <c r="AT51">
        <v>2</v>
      </c>
      <c r="AU51">
        <v>62</v>
      </c>
      <c r="AV51">
        <v>13</v>
      </c>
      <c r="AW51">
        <v>0</v>
      </c>
      <c r="AX51">
        <v>283</v>
      </c>
      <c r="AY51">
        <v>179</v>
      </c>
      <c r="AZ51">
        <v>85</v>
      </c>
      <c r="BA51">
        <v>12</v>
      </c>
      <c r="BB51">
        <v>7</v>
      </c>
      <c r="BC51" t="s">
        <v>256</v>
      </c>
      <c r="BD51" s="14">
        <v>-6.2119999999999997</v>
      </c>
      <c r="BE51" s="14">
        <v>-3.1399999999999997</v>
      </c>
      <c r="BF51" s="14">
        <v>8</v>
      </c>
      <c r="BG51" s="14">
        <v>12.200000000000003</v>
      </c>
      <c r="BH51" s="14">
        <v>-0.79999999999999982</v>
      </c>
      <c r="BI51" s="14">
        <v>-0.20000000000000062</v>
      </c>
      <c r="BJ51" s="14">
        <v>-2.6</v>
      </c>
      <c r="BK51" s="14">
        <v>-4.4000000000000004</v>
      </c>
      <c r="BL51" s="14">
        <v>0</v>
      </c>
      <c r="BM51" s="14">
        <v>5.9</v>
      </c>
      <c r="BN51" s="14">
        <v>13.200000000000003</v>
      </c>
      <c r="BO51" s="14">
        <v>1.2000000000000002</v>
      </c>
      <c r="BP51" s="14">
        <v>0.79999999999999893</v>
      </c>
      <c r="BQ51" s="14">
        <v>18</v>
      </c>
      <c r="BR51" s="14">
        <v>1.4000000000000004</v>
      </c>
      <c r="BS51" s="14">
        <v>0.45999999999999996</v>
      </c>
      <c r="BT51" s="14">
        <v>-11</v>
      </c>
      <c r="BU51" s="14">
        <v>2.6</v>
      </c>
      <c r="BV51" s="14">
        <v>9.8000000000000007</v>
      </c>
      <c r="BW51" s="14">
        <v>42</v>
      </c>
      <c r="BX51" s="14">
        <v>4</v>
      </c>
      <c r="BY51" s="48">
        <v>-5.7600000000000007</v>
      </c>
      <c r="BZ51" s="14">
        <v>-36.799999999999997</v>
      </c>
      <c r="CA51" s="14">
        <v>-0.79999999999999982</v>
      </c>
      <c r="CB51" s="14">
        <v>-2.5999999999999996</v>
      </c>
      <c r="CC51" s="14">
        <v>-0.39999999999999991</v>
      </c>
      <c r="CD51" s="14">
        <v>-2.4000000000000004</v>
      </c>
      <c r="CE51" s="14">
        <v>-1.5923987460989331E-2</v>
      </c>
      <c r="CF51" s="14">
        <v>-1.8449444293846574E-2</v>
      </c>
      <c r="CG51" s="14">
        <v>5.9523809523809312E-3</v>
      </c>
      <c r="CH51" s="14">
        <v>0</v>
      </c>
      <c r="CI51" s="14">
        <v>0.39999999999999858</v>
      </c>
      <c r="CJ51" s="14">
        <v>7.8000000000000007</v>
      </c>
      <c r="CK51" s="14">
        <v>-2.4000000000000004</v>
      </c>
      <c r="CL51" s="14">
        <v>4</v>
      </c>
      <c r="CM51" s="14">
        <v>-6.8000000000000007</v>
      </c>
      <c r="CN51" s="14">
        <v>-1.4</v>
      </c>
      <c r="CO51" s="14">
        <v>-29.600000000000023</v>
      </c>
      <c r="CP51" s="14">
        <v>-40.800000000000011</v>
      </c>
      <c r="CQ51" s="14">
        <v>21.6</v>
      </c>
      <c r="CR51" s="14">
        <v>9</v>
      </c>
      <c r="CS51" s="14">
        <v>-19.399999999999999</v>
      </c>
      <c r="CT51" t="s">
        <v>257</v>
      </c>
      <c r="CU51" t="s">
        <v>547</v>
      </c>
    </row>
    <row r="52" spans="1:99" x14ac:dyDescent="0.2">
      <c r="A52" s="19">
        <v>44094</v>
      </c>
      <c r="B52">
        <v>2</v>
      </c>
      <c r="C52" s="13" t="s">
        <v>383</v>
      </c>
      <c r="D52" s="41" t="s">
        <v>299</v>
      </c>
      <c r="E52" s="14" t="s">
        <v>300</v>
      </c>
      <c r="F52" t="s">
        <v>631</v>
      </c>
      <c r="G52">
        <v>17.16</v>
      </c>
      <c r="H52" t="s">
        <v>635</v>
      </c>
      <c r="I52">
        <v>9.1999999999999993</v>
      </c>
      <c r="J52">
        <v>8</v>
      </c>
      <c r="K52">
        <v>32</v>
      </c>
      <c r="L52">
        <v>5</v>
      </c>
      <c r="M52" t="s">
        <v>632</v>
      </c>
      <c r="N52">
        <v>12.2</v>
      </c>
      <c r="O52">
        <v>5</v>
      </c>
      <c r="P52">
        <v>12</v>
      </c>
      <c r="Q52">
        <v>1</v>
      </c>
      <c r="R52" t="s">
        <v>55</v>
      </c>
      <c r="S52">
        <v>12.3</v>
      </c>
      <c r="T52">
        <v>23</v>
      </c>
      <c r="U52">
        <v>6</v>
      </c>
      <c r="V52" t="s">
        <v>98</v>
      </c>
      <c r="W52">
        <v>4.0999999999999996</v>
      </c>
      <c r="X52">
        <v>21</v>
      </c>
      <c r="Y52">
        <v>7</v>
      </c>
      <c r="Z52" t="s">
        <v>636</v>
      </c>
      <c r="AA52">
        <v>8.4</v>
      </c>
      <c r="AB52">
        <v>54</v>
      </c>
      <c r="AC52">
        <v>3</v>
      </c>
      <c r="AD52">
        <v>24.2</v>
      </c>
      <c r="AE52">
        <v>92</v>
      </c>
      <c r="AF52">
        <v>14</v>
      </c>
      <c r="AG52" t="s">
        <v>634</v>
      </c>
      <c r="AH52" s="14">
        <v>10.199999999999999</v>
      </c>
      <c r="AI52">
        <v>62</v>
      </c>
      <c r="AJ52">
        <v>4</v>
      </c>
      <c r="AK52">
        <v>2</v>
      </c>
      <c r="AL52">
        <v>1</v>
      </c>
      <c r="AM52">
        <v>-3</v>
      </c>
      <c r="AN52" s="21">
        <v>0.26315789473684209</v>
      </c>
      <c r="AO52" s="21">
        <v>0.10526315789473684</v>
      </c>
      <c r="AP52" s="21">
        <v>0.75</v>
      </c>
      <c r="AQ52">
        <v>12</v>
      </c>
      <c r="AR52">
        <v>33</v>
      </c>
      <c r="AS52">
        <v>20</v>
      </c>
      <c r="AT52">
        <v>1</v>
      </c>
      <c r="AU52">
        <v>58</v>
      </c>
      <c r="AV52">
        <v>21</v>
      </c>
      <c r="AW52">
        <v>0</v>
      </c>
      <c r="AX52">
        <v>333</v>
      </c>
      <c r="AY52">
        <v>244</v>
      </c>
      <c r="AZ52">
        <v>85</v>
      </c>
      <c r="BA52">
        <v>0</v>
      </c>
      <c r="BB52">
        <v>4</v>
      </c>
      <c r="BC52" t="s">
        <v>300</v>
      </c>
      <c r="BD52" s="14">
        <v>0.23000000000000043</v>
      </c>
      <c r="BE52" s="14">
        <v>-17.125000000000004</v>
      </c>
      <c r="BF52" s="14">
        <v>-5.25</v>
      </c>
      <c r="BG52" s="14">
        <v>-33</v>
      </c>
      <c r="BH52" s="14">
        <v>-0.5</v>
      </c>
      <c r="BI52" s="14">
        <v>4.8</v>
      </c>
      <c r="BJ52" s="14">
        <v>-1</v>
      </c>
      <c r="BK52" s="14">
        <v>-16.75</v>
      </c>
      <c r="BL52" s="14">
        <v>-0.5</v>
      </c>
      <c r="BM52" s="14">
        <v>3.0250000000000021</v>
      </c>
      <c r="BN52" s="14">
        <v>-7.25</v>
      </c>
      <c r="BO52" s="14">
        <v>1.75</v>
      </c>
      <c r="BP52" s="14">
        <v>-1.4250000000000007</v>
      </c>
      <c r="BQ52" s="14">
        <v>-6.75</v>
      </c>
      <c r="BR52" s="14">
        <v>0.75</v>
      </c>
      <c r="BS52" s="14">
        <v>2.75</v>
      </c>
      <c r="BT52" s="14">
        <v>32</v>
      </c>
      <c r="BU52" s="14">
        <v>0.5</v>
      </c>
      <c r="BV52" s="14">
        <v>8.5249999999999986</v>
      </c>
      <c r="BW52" s="14">
        <v>30.25</v>
      </c>
      <c r="BX52" s="14">
        <v>5.25</v>
      </c>
      <c r="BY52" s="48">
        <v>-0.35000000000000142</v>
      </c>
      <c r="BZ52" s="14">
        <v>9</v>
      </c>
      <c r="CA52" s="14">
        <v>-1.25</v>
      </c>
      <c r="CB52" s="14">
        <v>-5.25</v>
      </c>
      <c r="CC52" s="14">
        <v>-0.5</v>
      </c>
      <c r="CD52" s="14">
        <v>-6.25</v>
      </c>
      <c r="CE52" s="14">
        <v>5.151072124756334E-2</v>
      </c>
      <c r="CF52" s="14">
        <v>4.3567251461988296E-2</v>
      </c>
      <c r="CG52" s="14">
        <v>0.10535714285714293</v>
      </c>
      <c r="CH52" s="14">
        <v>7.25</v>
      </c>
      <c r="CI52" s="14">
        <v>-1</v>
      </c>
      <c r="CJ52" s="14">
        <v>-3</v>
      </c>
      <c r="CK52" s="14">
        <v>-1</v>
      </c>
      <c r="CL52" s="14">
        <v>-3.75</v>
      </c>
      <c r="CM52" s="14">
        <v>-3.5</v>
      </c>
      <c r="CN52" s="14">
        <v>-1.75</v>
      </c>
      <c r="CO52" s="14">
        <v>-24.5</v>
      </c>
      <c r="CP52" s="14">
        <v>-1.75</v>
      </c>
      <c r="CQ52" s="14">
        <v>-21.75</v>
      </c>
      <c r="CR52" s="14">
        <v>0.5</v>
      </c>
      <c r="CS52" s="14">
        <v>-1.5</v>
      </c>
      <c r="CT52" t="s">
        <v>253</v>
      </c>
      <c r="CU52" t="s">
        <v>458</v>
      </c>
    </row>
    <row r="53" spans="1:99" x14ac:dyDescent="0.2">
      <c r="A53" s="19">
        <v>44094</v>
      </c>
      <c r="B53">
        <v>2</v>
      </c>
      <c r="C53" s="13" t="s">
        <v>383</v>
      </c>
      <c r="D53" s="41" t="s">
        <v>300</v>
      </c>
      <c r="E53" s="14" t="s">
        <v>299</v>
      </c>
      <c r="F53" t="s">
        <v>637</v>
      </c>
      <c r="G53">
        <v>19.2</v>
      </c>
      <c r="H53" t="s">
        <v>642</v>
      </c>
      <c r="I53">
        <v>48.6</v>
      </c>
      <c r="J53">
        <v>18</v>
      </c>
      <c r="K53">
        <v>168</v>
      </c>
      <c r="L53">
        <v>8</v>
      </c>
      <c r="M53" t="s">
        <v>638</v>
      </c>
      <c r="N53">
        <v>8.3000000000000007</v>
      </c>
      <c r="O53">
        <v>8</v>
      </c>
      <c r="P53">
        <v>63</v>
      </c>
      <c r="Q53">
        <v>0</v>
      </c>
      <c r="R53" t="s">
        <v>143</v>
      </c>
      <c r="S53">
        <v>7.5</v>
      </c>
      <c r="T53">
        <v>45</v>
      </c>
      <c r="U53">
        <v>5</v>
      </c>
      <c r="V53" t="s">
        <v>58</v>
      </c>
      <c r="W53">
        <v>9.4</v>
      </c>
      <c r="X53">
        <v>64</v>
      </c>
      <c r="Y53">
        <v>7</v>
      </c>
      <c r="Z53" t="s">
        <v>640</v>
      </c>
      <c r="AA53">
        <v>0</v>
      </c>
      <c r="AB53">
        <v>0</v>
      </c>
      <c r="AC53">
        <v>0</v>
      </c>
      <c r="AD53">
        <v>20.3</v>
      </c>
      <c r="AE53">
        <v>93</v>
      </c>
      <c r="AF53">
        <v>8</v>
      </c>
      <c r="AG53" t="s">
        <v>641</v>
      </c>
      <c r="AH53" s="14">
        <v>10.5</v>
      </c>
      <c r="AI53">
        <v>25</v>
      </c>
      <c r="AJ53">
        <v>3</v>
      </c>
      <c r="AK53">
        <v>11</v>
      </c>
      <c r="AL53">
        <v>2</v>
      </c>
      <c r="AM53">
        <v>12</v>
      </c>
      <c r="AN53" s="21">
        <v>0.18181818181818182</v>
      </c>
      <c r="AO53" s="21">
        <v>3.0303030303030304E-2</v>
      </c>
      <c r="AP53" s="21">
        <v>0.75</v>
      </c>
      <c r="AQ53">
        <v>-3</v>
      </c>
      <c r="AR53">
        <v>30</v>
      </c>
      <c r="AS53">
        <v>31</v>
      </c>
      <c r="AT53">
        <v>4</v>
      </c>
      <c r="AU53">
        <v>66</v>
      </c>
      <c r="AV53">
        <v>35</v>
      </c>
      <c r="AW53">
        <v>7</v>
      </c>
      <c r="AX53">
        <v>499</v>
      </c>
      <c r="AY53">
        <v>240</v>
      </c>
      <c r="AZ53">
        <v>248</v>
      </c>
      <c r="BA53">
        <v>0</v>
      </c>
      <c r="BB53">
        <v>11</v>
      </c>
      <c r="BC53" t="s">
        <v>299</v>
      </c>
      <c r="BD53" s="14">
        <v>-2.2900000000000027</v>
      </c>
      <c r="BE53" s="14">
        <v>25.175000000000001</v>
      </c>
      <c r="BF53" s="14">
        <v>1.25</v>
      </c>
      <c r="BG53" s="14">
        <v>79.75</v>
      </c>
      <c r="BH53" s="14">
        <v>3.75</v>
      </c>
      <c r="BI53" s="14">
        <v>-1.5749999999999993</v>
      </c>
      <c r="BJ53" s="14">
        <v>1.75</v>
      </c>
      <c r="BK53" s="14">
        <v>28</v>
      </c>
      <c r="BL53" s="14">
        <v>-2</v>
      </c>
      <c r="BM53" s="14">
        <v>-9.2749999999999986</v>
      </c>
      <c r="BN53" s="14">
        <v>-25.25</v>
      </c>
      <c r="BO53" s="14">
        <v>-3.75</v>
      </c>
      <c r="BP53" s="14">
        <v>-7.6250000000000018</v>
      </c>
      <c r="BQ53" s="14">
        <v>-22.75</v>
      </c>
      <c r="BR53" s="14">
        <v>-0.25</v>
      </c>
      <c r="BS53" s="14">
        <v>-2.0249999999999999</v>
      </c>
      <c r="BT53" s="14">
        <v>-5</v>
      </c>
      <c r="BU53" s="14">
        <v>-3</v>
      </c>
      <c r="BV53" s="14">
        <v>2.2750000000000021</v>
      </c>
      <c r="BW53" s="14">
        <v>10.25</v>
      </c>
      <c r="BX53" s="14">
        <v>-1</v>
      </c>
      <c r="BY53" s="48">
        <v>6.9249999999999998</v>
      </c>
      <c r="BZ53" s="14">
        <v>14.25</v>
      </c>
      <c r="CA53" s="14">
        <v>1.5</v>
      </c>
      <c r="CB53" s="14">
        <v>4.5</v>
      </c>
      <c r="CC53" s="14">
        <v>0.75</v>
      </c>
      <c r="CD53" s="14">
        <v>6.75</v>
      </c>
      <c r="CE53" s="14">
        <v>-7.687087474321519E-2</v>
      </c>
      <c r="CF53" s="14">
        <v>-7.8671514841727602E-3</v>
      </c>
      <c r="CG53" s="14">
        <v>-1.0576923076923039E-2</v>
      </c>
      <c r="CH53" s="14">
        <v>-5.5</v>
      </c>
      <c r="CI53" s="14">
        <v>-3.5</v>
      </c>
      <c r="CJ53" s="14">
        <v>6.5</v>
      </c>
      <c r="CK53" s="14">
        <v>-0.5</v>
      </c>
      <c r="CL53" s="14">
        <v>1.25</v>
      </c>
      <c r="CM53" s="14">
        <v>7.75</v>
      </c>
      <c r="CN53" s="14">
        <v>5.25</v>
      </c>
      <c r="CO53" s="14">
        <v>105.25</v>
      </c>
      <c r="CP53" s="14">
        <v>-9.75</v>
      </c>
      <c r="CQ53" s="14">
        <v>119.5</v>
      </c>
      <c r="CR53" s="14">
        <v>-1.25</v>
      </c>
      <c r="CS53" s="14">
        <v>-3.25</v>
      </c>
      <c r="CT53" t="s">
        <v>258</v>
      </c>
      <c r="CU53" t="s">
        <v>478</v>
      </c>
    </row>
    <row r="54" spans="1:99" x14ac:dyDescent="0.2">
      <c r="A54" s="19">
        <v>44094</v>
      </c>
      <c r="B54">
        <v>2</v>
      </c>
      <c r="C54" s="13" t="s">
        <v>383</v>
      </c>
      <c r="D54" s="41" t="s">
        <v>301</v>
      </c>
      <c r="E54" s="14" t="s">
        <v>284</v>
      </c>
      <c r="F54" t="s">
        <v>645</v>
      </c>
      <c r="G54">
        <v>14.68</v>
      </c>
      <c r="H54" t="s">
        <v>651</v>
      </c>
      <c r="I54">
        <v>24.8</v>
      </c>
      <c r="J54">
        <v>18</v>
      </c>
      <c r="K54">
        <v>59</v>
      </c>
      <c r="L54">
        <v>5</v>
      </c>
      <c r="M54" t="s">
        <v>646</v>
      </c>
      <c r="N54">
        <v>15.5</v>
      </c>
      <c r="O54">
        <v>1</v>
      </c>
      <c r="P54">
        <v>1</v>
      </c>
      <c r="Q54">
        <v>8</v>
      </c>
      <c r="R54" t="s">
        <v>27</v>
      </c>
      <c r="S54">
        <v>21.9</v>
      </c>
      <c r="T54">
        <v>109</v>
      </c>
      <c r="U54">
        <v>10</v>
      </c>
      <c r="V54" t="s">
        <v>85</v>
      </c>
      <c r="W54">
        <v>23</v>
      </c>
      <c r="X54">
        <v>120</v>
      </c>
      <c r="Y54">
        <v>13</v>
      </c>
      <c r="Z54" t="s">
        <v>49</v>
      </c>
      <c r="AA54">
        <v>5.9</v>
      </c>
      <c r="AB54">
        <v>13</v>
      </c>
      <c r="AC54">
        <v>2</v>
      </c>
      <c r="AD54">
        <v>22.6</v>
      </c>
      <c r="AE54">
        <v>116</v>
      </c>
      <c r="AF54">
        <v>12</v>
      </c>
      <c r="AG54" t="s">
        <v>167</v>
      </c>
      <c r="AH54" s="14">
        <v>0</v>
      </c>
      <c r="AI54">
        <v>0</v>
      </c>
      <c r="AJ54">
        <v>0</v>
      </c>
      <c r="AK54">
        <v>5</v>
      </c>
      <c r="AL54">
        <v>1</v>
      </c>
      <c r="AM54">
        <v>3</v>
      </c>
      <c r="AN54" s="21">
        <v>0.36170212765957449</v>
      </c>
      <c r="AO54" s="21">
        <v>0.10638297872340426</v>
      </c>
      <c r="AP54" s="21">
        <v>0.72727272727272729</v>
      </c>
      <c r="AQ54">
        <v>14</v>
      </c>
      <c r="AR54">
        <v>42</v>
      </c>
      <c r="AS54">
        <v>19</v>
      </c>
      <c r="AT54">
        <v>0</v>
      </c>
      <c r="AU54">
        <v>71</v>
      </c>
      <c r="AV54">
        <v>17</v>
      </c>
      <c r="AW54">
        <v>0</v>
      </c>
      <c r="AX54">
        <v>453</v>
      </c>
      <c r="AY54">
        <v>367</v>
      </c>
      <c r="AZ54">
        <v>60</v>
      </c>
      <c r="BA54">
        <v>26</v>
      </c>
      <c r="BB54">
        <v>0</v>
      </c>
      <c r="BC54" t="s">
        <v>284</v>
      </c>
      <c r="BD54" s="14">
        <v>0.74800000000000111</v>
      </c>
      <c r="BE54" s="14">
        <v>11.4</v>
      </c>
      <c r="BF54" s="14">
        <v>8.4</v>
      </c>
      <c r="BG54" s="14">
        <v>30.8</v>
      </c>
      <c r="BH54" s="14">
        <v>0</v>
      </c>
      <c r="BI54" s="14">
        <v>9.56</v>
      </c>
      <c r="BJ54" s="14">
        <v>-2.2000000000000002</v>
      </c>
      <c r="BK54" s="14">
        <v>-8.1999999999999993</v>
      </c>
      <c r="BL54" s="14">
        <v>5.2</v>
      </c>
      <c r="BM54" s="14">
        <v>6.3600000000000012</v>
      </c>
      <c r="BN54" s="14">
        <v>33.599999999999994</v>
      </c>
      <c r="BO54" s="14">
        <v>-1.4000000000000004</v>
      </c>
      <c r="BP54" s="14">
        <v>10.1</v>
      </c>
      <c r="BQ54" s="14">
        <v>61</v>
      </c>
      <c r="BR54" s="14">
        <v>7.6</v>
      </c>
      <c r="BS54" s="14">
        <v>-0.12000000000000011</v>
      </c>
      <c r="BT54" s="14">
        <v>-12.399999999999999</v>
      </c>
      <c r="BU54" s="14">
        <v>-0.79999999999999982</v>
      </c>
      <c r="BV54" s="14">
        <v>5.0800000000000018</v>
      </c>
      <c r="BW54" s="14">
        <v>30.799999999999997</v>
      </c>
      <c r="BX54" s="14">
        <v>1.1999999999999993</v>
      </c>
      <c r="BY54" s="48">
        <v>-6.660000000000001</v>
      </c>
      <c r="BZ54" s="14">
        <v>-28.6</v>
      </c>
      <c r="CA54" s="14">
        <v>-4.4000000000000004</v>
      </c>
      <c r="CB54" s="14">
        <v>-1.4000000000000004</v>
      </c>
      <c r="CC54" s="14">
        <v>-0.39999999999999991</v>
      </c>
      <c r="CD54" s="14">
        <v>-0.20000000000000018</v>
      </c>
      <c r="CE54" s="14">
        <v>-6.0101283037775399E-2</v>
      </c>
      <c r="CF54" s="14">
        <v>1.2935836181545965E-2</v>
      </c>
      <c r="CG54" s="14">
        <v>5.5483405483405468E-2</v>
      </c>
      <c r="CH54" s="14">
        <v>1.4000000000000004</v>
      </c>
      <c r="CI54" s="14">
        <v>5.3999999999999986</v>
      </c>
      <c r="CJ54" s="14">
        <v>3.8000000000000007</v>
      </c>
      <c r="CK54" s="14">
        <v>-2.2000000000000002</v>
      </c>
      <c r="CL54" s="14">
        <v>10.200000000000003</v>
      </c>
      <c r="CM54" s="14">
        <v>0.80000000000000071</v>
      </c>
      <c r="CN54" s="14">
        <v>-1.4</v>
      </c>
      <c r="CO54" s="14">
        <v>134.60000000000002</v>
      </c>
      <c r="CP54" s="14">
        <v>109.19999999999999</v>
      </c>
      <c r="CQ54" s="14">
        <v>13.799999999999997</v>
      </c>
      <c r="CR54" s="14">
        <v>19.8</v>
      </c>
      <c r="CS54" s="14">
        <v>-8.1999999999999993</v>
      </c>
      <c r="CT54" t="s">
        <v>243</v>
      </c>
      <c r="CU54" t="s">
        <v>486</v>
      </c>
    </row>
    <row r="55" spans="1:99" x14ac:dyDescent="0.2">
      <c r="A55" s="19">
        <v>44094</v>
      </c>
      <c r="B55">
        <v>2</v>
      </c>
      <c r="C55" s="13" t="s">
        <v>383</v>
      </c>
      <c r="D55" s="41" t="s">
        <v>302</v>
      </c>
      <c r="E55" s="14" t="s">
        <v>308</v>
      </c>
      <c r="F55" t="s">
        <v>652</v>
      </c>
      <c r="G55">
        <v>38.58</v>
      </c>
      <c r="H55" t="s">
        <v>660</v>
      </c>
      <c r="I55">
        <v>1.9</v>
      </c>
      <c r="J55">
        <v>7</v>
      </c>
      <c r="K55">
        <v>19</v>
      </c>
      <c r="L55">
        <v>1</v>
      </c>
      <c r="M55" t="s">
        <v>654</v>
      </c>
      <c r="N55">
        <v>8.9</v>
      </c>
      <c r="O55">
        <v>6</v>
      </c>
      <c r="P55">
        <v>2</v>
      </c>
      <c r="Q55">
        <v>6</v>
      </c>
      <c r="R55" t="s">
        <v>159</v>
      </c>
      <c r="S55">
        <v>28.9</v>
      </c>
      <c r="T55">
        <v>179</v>
      </c>
      <c r="U55">
        <v>11</v>
      </c>
      <c r="V55" t="s">
        <v>658</v>
      </c>
      <c r="W55">
        <v>15.2</v>
      </c>
      <c r="X55">
        <v>72</v>
      </c>
      <c r="Y55">
        <v>12</v>
      </c>
      <c r="Z55" t="s">
        <v>73</v>
      </c>
      <c r="AA55">
        <v>13.2</v>
      </c>
      <c r="AB55">
        <v>72</v>
      </c>
      <c r="AC55">
        <v>9</v>
      </c>
      <c r="AD55">
        <v>40.299999999999997</v>
      </c>
      <c r="AE55">
        <v>233</v>
      </c>
      <c r="AF55">
        <v>23</v>
      </c>
      <c r="AG55" t="s">
        <v>656</v>
      </c>
      <c r="AH55" s="14">
        <v>3.9</v>
      </c>
      <c r="AI55">
        <v>19</v>
      </c>
      <c r="AJ55">
        <v>2</v>
      </c>
      <c r="AK55">
        <v>5</v>
      </c>
      <c r="AL55">
        <v>2</v>
      </c>
      <c r="AM55">
        <v>6</v>
      </c>
      <c r="AN55" s="21">
        <v>0.19148936170212766</v>
      </c>
      <c r="AO55" s="21">
        <v>2.1276595744680851E-2</v>
      </c>
      <c r="AP55" s="21">
        <v>0.8571428571428571</v>
      </c>
      <c r="AQ55">
        <v>3</v>
      </c>
      <c r="AR55">
        <v>44</v>
      </c>
      <c r="AS55">
        <v>14</v>
      </c>
      <c r="AT55">
        <v>11</v>
      </c>
      <c r="AU55">
        <v>70</v>
      </c>
      <c r="AV55">
        <v>23</v>
      </c>
      <c r="AW55">
        <v>7</v>
      </c>
      <c r="AX55">
        <v>464</v>
      </c>
      <c r="AY55">
        <v>397</v>
      </c>
      <c r="AZ55">
        <v>20</v>
      </c>
      <c r="BA55">
        <v>0</v>
      </c>
      <c r="BB55">
        <v>47</v>
      </c>
      <c r="BC55" t="s">
        <v>308</v>
      </c>
      <c r="BD55" s="14">
        <v>9.9499999999999993</v>
      </c>
      <c r="BE55" s="14">
        <v>-10.299999999999999</v>
      </c>
      <c r="BF55" s="14">
        <v>-5</v>
      </c>
      <c r="BG55" s="14">
        <v>-20.5</v>
      </c>
      <c r="BH55" s="14">
        <v>-4.25</v>
      </c>
      <c r="BI55" s="14">
        <v>-0.30000000000000071</v>
      </c>
      <c r="BJ55" s="14">
        <v>-1.25</v>
      </c>
      <c r="BK55" s="14">
        <v>-28.75</v>
      </c>
      <c r="BL55" s="14">
        <v>2.75</v>
      </c>
      <c r="BM55" s="14">
        <v>3.9499999999999957</v>
      </c>
      <c r="BN55" s="14">
        <v>65.25</v>
      </c>
      <c r="BO55" s="14">
        <v>-1</v>
      </c>
      <c r="BP55" s="14">
        <v>0.625</v>
      </c>
      <c r="BQ55" s="14">
        <v>1.5</v>
      </c>
      <c r="BR55" s="14">
        <v>3</v>
      </c>
      <c r="BS55" s="14">
        <v>0.52499999999999858</v>
      </c>
      <c r="BT55" s="14">
        <v>20.25</v>
      </c>
      <c r="BU55" s="14">
        <v>4</v>
      </c>
      <c r="BV55" s="14">
        <v>16.649999999999999</v>
      </c>
      <c r="BW55" s="14">
        <v>109</v>
      </c>
      <c r="BX55" s="14">
        <v>8</v>
      </c>
      <c r="BY55" s="48">
        <v>-2.5000000000000004</v>
      </c>
      <c r="BZ55" s="14">
        <v>-17.5</v>
      </c>
      <c r="CA55" s="14">
        <v>-2</v>
      </c>
      <c r="CB55" s="14">
        <v>-5.75</v>
      </c>
      <c r="CC55" s="14">
        <v>-0.75</v>
      </c>
      <c r="CD55" s="14">
        <v>1.75</v>
      </c>
      <c r="CE55" s="14">
        <v>-6.8283309575348006E-2</v>
      </c>
      <c r="CF55" s="14">
        <v>-1.4771904485356781E-2</v>
      </c>
      <c r="CG55" s="14">
        <v>9.437229437229433E-2</v>
      </c>
      <c r="CH55" s="14">
        <v>-3.5</v>
      </c>
      <c r="CI55" s="14">
        <v>-2.25</v>
      </c>
      <c r="CJ55" s="14">
        <v>-6.5</v>
      </c>
      <c r="CK55" s="14">
        <v>5</v>
      </c>
      <c r="CL55" s="14">
        <v>-5.25</v>
      </c>
      <c r="CM55" s="14">
        <v>-2.75</v>
      </c>
      <c r="CN55" s="14">
        <v>5.25</v>
      </c>
      <c r="CO55" s="14">
        <v>-2.25</v>
      </c>
      <c r="CP55" s="14">
        <v>38.75</v>
      </c>
      <c r="CQ55" s="14">
        <v>-55.25</v>
      </c>
      <c r="CR55" s="14">
        <v>-2.25</v>
      </c>
      <c r="CS55" s="14">
        <v>16.5</v>
      </c>
      <c r="CT55" t="s">
        <v>238</v>
      </c>
      <c r="CU55" t="s">
        <v>451</v>
      </c>
    </row>
    <row r="56" spans="1:99" x14ac:dyDescent="0.2">
      <c r="A56" s="19">
        <v>44094</v>
      </c>
      <c r="B56">
        <v>2</v>
      </c>
      <c r="C56" s="13" t="s">
        <v>383</v>
      </c>
      <c r="D56" s="41" t="s">
        <v>303</v>
      </c>
      <c r="E56" s="14" t="s">
        <v>307</v>
      </c>
      <c r="F56" t="s">
        <v>661</v>
      </c>
      <c r="G56">
        <v>22.66</v>
      </c>
      <c r="H56" t="s">
        <v>662</v>
      </c>
      <c r="I56">
        <v>13.5</v>
      </c>
      <c r="J56">
        <v>27</v>
      </c>
      <c r="K56">
        <v>88</v>
      </c>
      <c r="L56">
        <v>3</v>
      </c>
      <c r="M56" t="s">
        <v>665</v>
      </c>
      <c r="N56">
        <v>8.6</v>
      </c>
      <c r="O56">
        <v>2</v>
      </c>
      <c r="P56">
        <v>26</v>
      </c>
      <c r="Q56">
        <v>0</v>
      </c>
      <c r="R56" t="s">
        <v>664</v>
      </c>
      <c r="S56">
        <v>1.4</v>
      </c>
      <c r="T56">
        <v>4</v>
      </c>
      <c r="U56">
        <v>3</v>
      </c>
      <c r="V56" t="s">
        <v>435</v>
      </c>
      <c r="W56">
        <v>8.5</v>
      </c>
      <c r="X56">
        <v>15</v>
      </c>
      <c r="Y56">
        <v>1</v>
      </c>
      <c r="Z56" t="s">
        <v>79</v>
      </c>
      <c r="AA56">
        <v>6.7</v>
      </c>
      <c r="AB56">
        <v>37</v>
      </c>
      <c r="AC56">
        <v>3</v>
      </c>
      <c r="AD56">
        <v>14.9</v>
      </c>
      <c r="AE56">
        <v>49</v>
      </c>
      <c r="AF56">
        <v>8</v>
      </c>
      <c r="AG56" t="s">
        <v>107</v>
      </c>
      <c r="AH56" s="14">
        <v>31.5</v>
      </c>
      <c r="AI56">
        <v>105</v>
      </c>
      <c r="AJ56">
        <v>16</v>
      </c>
      <c r="AK56">
        <v>12</v>
      </c>
      <c r="AL56">
        <v>2</v>
      </c>
      <c r="AM56">
        <v>2</v>
      </c>
      <c r="AN56" s="21">
        <v>0.30952380952380953</v>
      </c>
      <c r="AO56" s="21">
        <v>7.1428571428571425E-2</v>
      </c>
      <c r="AP56" s="21">
        <v>0.8571428571428571</v>
      </c>
      <c r="AQ56">
        <v>4</v>
      </c>
      <c r="AR56">
        <v>38</v>
      </c>
      <c r="AS56">
        <v>32</v>
      </c>
      <c r="AT56">
        <v>3</v>
      </c>
      <c r="AU56">
        <v>76</v>
      </c>
      <c r="AV56">
        <v>34</v>
      </c>
      <c r="AW56">
        <v>0</v>
      </c>
      <c r="AX56">
        <v>400</v>
      </c>
      <c r="AY56">
        <v>284</v>
      </c>
      <c r="AZ56">
        <v>113</v>
      </c>
      <c r="BA56">
        <v>0</v>
      </c>
      <c r="BB56">
        <v>3</v>
      </c>
      <c r="BC56" t="s">
        <v>307</v>
      </c>
      <c r="BD56" s="14">
        <v>-1.8099999999999987</v>
      </c>
      <c r="BE56" s="14">
        <v>-2.5000000000000355E-2</v>
      </c>
      <c r="BF56" s="14">
        <v>9.75</v>
      </c>
      <c r="BG56" s="14">
        <v>22</v>
      </c>
      <c r="BH56" s="14">
        <v>-0.75</v>
      </c>
      <c r="BI56" s="14">
        <v>0.625</v>
      </c>
      <c r="BJ56" s="14">
        <v>-2.5</v>
      </c>
      <c r="BK56" s="14">
        <v>5.5</v>
      </c>
      <c r="BL56" s="14">
        <v>-1.75</v>
      </c>
      <c r="BM56" s="14">
        <v>-13.074999999999999</v>
      </c>
      <c r="BN56" s="14">
        <v>-56.25</v>
      </c>
      <c r="BO56" s="14">
        <v>-2.25</v>
      </c>
      <c r="BP56" s="14">
        <v>-3.6500000000000004</v>
      </c>
      <c r="BQ56" s="14">
        <v>-31.5</v>
      </c>
      <c r="BR56" s="14">
        <v>-3</v>
      </c>
      <c r="BS56" s="14">
        <v>3.1749999999999998</v>
      </c>
      <c r="BT56" s="14">
        <v>13.25</v>
      </c>
      <c r="BU56" s="14">
        <v>0.75</v>
      </c>
      <c r="BV56" s="14">
        <v>-0.67500000000000071</v>
      </c>
      <c r="BW56" s="14">
        <v>-9.25</v>
      </c>
      <c r="BX56" s="14">
        <v>0.75</v>
      </c>
      <c r="BY56" s="48">
        <v>13.824999999999999</v>
      </c>
      <c r="BZ56" s="14">
        <v>58.25</v>
      </c>
      <c r="CA56" s="14">
        <v>7.75</v>
      </c>
      <c r="CB56" s="14">
        <v>3.75</v>
      </c>
      <c r="CC56" s="14">
        <v>0.5</v>
      </c>
      <c r="CD56" s="14">
        <v>0</v>
      </c>
      <c r="CE56" s="14">
        <v>-7.0596220944518118E-2</v>
      </c>
      <c r="CF56" s="14">
        <v>5.6483119563614792E-3</v>
      </c>
      <c r="CG56" s="14">
        <v>0.25824175824175821</v>
      </c>
      <c r="CH56" s="14">
        <v>2</v>
      </c>
      <c r="CI56" s="14">
        <v>4.25</v>
      </c>
      <c r="CJ56" s="14">
        <v>7.25</v>
      </c>
      <c r="CK56" s="14">
        <v>0</v>
      </c>
      <c r="CL56" s="14">
        <v>11</v>
      </c>
      <c r="CM56" s="14">
        <v>2.25</v>
      </c>
      <c r="CN56" s="14">
        <v>0</v>
      </c>
      <c r="CO56" s="14">
        <v>37</v>
      </c>
      <c r="CP56" s="14">
        <v>24.75</v>
      </c>
      <c r="CQ56" s="14">
        <v>21</v>
      </c>
      <c r="CR56" s="14">
        <v>-0.75</v>
      </c>
      <c r="CS56" s="14">
        <v>-8</v>
      </c>
      <c r="CT56" t="s">
        <v>269</v>
      </c>
      <c r="CU56" t="s">
        <v>457</v>
      </c>
    </row>
    <row r="57" spans="1:99" x14ac:dyDescent="0.2">
      <c r="A57" s="19">
        <v>44094</v>
      </c>
      <c r="B57">
        <v>2</v>
      </c>
      <c r="C57" s="13" t="s">
        <v>383</v>
      </c>
      <c r="D57" s="41" t="s">
        <v>304</v>
      </c>
      <c r="E57" s="14" t="s">
        <v>294</v>
      </c>
      <c r="F57" t="s">
        <v>666</v>
      </c>
      <c r="G57">
        <v>23.98</v>
      </c>
      <c r="H57" t="s">
        <v>667</v>
      </c>
      <c r="I57">
        <v>20.100000000000001</v>
      </c>
      <c r="J57">
        <v>12</v>
      </c>
      <c r="K57">
        <v>81</v>
      </c>
      <c r="L57">
        <v>3</v>
      </c>
      <c r="M57" t="s">
        <v>668</v>
      </c>
      <c r="N57">
        <v>4.7</v>
      </c>
      <c r="O57">
        <v>11</v>
      </c>
      <c r="P57">
        <v>47</v>
      </c>
      <c r="Q57">
        <v>0</v>
      </c>
      <c r="R57" t="s">
        <v>59</v>
      </c>
      <c r="S57">
        <v>11.3</v>
      </c>
      <c r="T57">
        <v>14</v>
      </c>
      <c r="U57">
        <v>5</v>
      </c>
      <c r="V57" t="s">
        <v>146</v>
      </c>
      <c r="W57">
        <v>14</v>
      </c>
      <c r="X57">
        <v>81</v>
      </c>
      <c r="Y57">
        <v>6</v>
      </c>
      <c r="Z57" t="s">
        <v>672</v>
      </c>
      <c r="AA57">
        <v>8.4</v>
      </c>
      <c r="AB57">
        <v>45</v>
      </c>
      <c r="AC57">
        <v>5</v>
      </c>
      <c r="AD57">
        <v>17.8</v>
      </c>
      <c r="AE57">
        <v>68</v>
      </c>
      <c r="AF57">
        <v>6</v>
      </c>
      <c r="AG57" t="s">
        <v>670</v>
      </c>
      <c r="AH57" s="14">
        <v>28.4</v>
      </c>
      <c r="AI57">
        <v>54</v>
      </c>
      <c r="AJ57">
        <v>5</v>
      </c>
      <c r="AK57">
        <v>7</v>
      </c>
      <c r="AL57">
        <v>1</v>
      </c>
      <c r="AM57">
        <v>7</v>
      </c>
      <c r="AN57" s="21">
        <v>0.36666666666666664</v>
      </c>
      <c r="AO57" s="21">
        <v>3.3333333333333333E-2</v>
      </c>
      <c r="AP57" s="21">
        <v>0.5</v>
      </c>
      <c r="AQ57">
        <v>1</v>
      </c>
      <c r="AR57">
        <v>27</v>
      </c>
      <c r="AS57">
        <v>26</v>
      </c>
      <c r="AT57">
        <v>7</v>
      </c>
      <c r="AU57">
        <v>67</v>
      </c>
      <c r="AV57">
        <v>37</v>
      </c>
      <c r="AW57">
        <v>0</v>
      </c>
      <c r="AX57">
        <v>458</v>
      </c>
      <c r="AY57">
        <v>267</v>
      </c>
      <c r="AZ57">
        <v>141</v>
      </c>
      <c r="BA57">
        <v>37</v>
      </c>
      <c r="BB57">
        <v>13</v>
      </c>
      <c r="BC57" t="s">
        <v>294</v>
      </c>
      <c r="BD57" s="14">
        <v>1.0760000000000005</v>
      </c>
      <c r="BE57" s="14">
        <v>5.0399999999999991</v>
      </c>
      <c r="BF57" s="14">
        <v>-2.4000000000000004</v>
      </c>
      <c r="BG57" s="14">
        <v>30.200000000000003</v>
      </c>
      <c r="BH57" s="14">
        <v>-0.60000000000000009</v>
      </c>
      <c r="BI57" s="14">
        <v>0.12000000000000011</v>
      </c>
      <c r="BJ57" s="14">
        <v>5</v>
      </c>
      <c r="BK57" s="14">
        <v>27</v>
      </c>
      <c r="BL57" s="14">
        <v>-1.6</v>
      </c>
      <c r="BM57" s="14">
        <v>-9.8399999999999963</v>
      </c>
      <c r="BN57" s="14">
        <v>-50.8</v>
      </c>
      <c r="BO57" s="14">
        <v>-3</v>
      </c>
      <c r="BP57" s="14">
        <v>5.4</v>
      </c>
      <c r="BQ57" s="14">
        <v>38.799999999999997</v>
      </c>
      <c r="BR57" s="14">
        <v>1.4000000000000004</v>
      </c>
      <c r="BS57" s="14">
        <v>0.26000000000000156</v>
      </c>
      <c r="BT57" s="14">
        <v>17.2</v>
      </c>
      <c r="BU57" s="14">
        <v>0.59999999999999964</v>
      </c>
      <c r="BV57" s="14">
        <v>0.46000000000000085</v>
      </c>
      <c r="BW57" s="14">
        <v>-1.4000000000000057</v>
      </c>
      <c r="BX57" s="14">
        <v>-2.8000000000000007</v>
      </c>
      <c r="BY57" s="48">
        <v>11.399999999999999</v>
      </c>
      <c r="BZ57" s="14">
        <v>-6.3999999999999986</v>
      </c>
      <c r="CA57" s="14">
        <v>-1.4000000000000004</v>
      </c>
      <c r="CB57" s="14">
        <v>-2.1999999999999993</v>
      </c>
      <c r="CC57" s="14">
        <v>-0.60000000000000009</v>
      </c>
      <c r="CD57" s="14">
        <v>0.20000000000000018</v>
      </c>
      <c r="CE57" s="14">
        <v>-2.3394056923468687E-2</v>
      </c>
      <c r="CF57" s="14">
        <v>-4.7606511135922909E-2</v>
      </c>
      <c r="CG57" s="14">
        <v>-0.22722222222222221</v>
      </c>
      <c r="CH57" s="14">
        <v>-4.5999999999999996</v>
      </c>
      <c r="CI57" s="14">
        <v>-8.3999999999999986</v>
      </c>
      <c r="CJ57" s="14">
        <v>3.3999999999999986</v>
      </c>
      <c r="CK57" s="14">
        <v>3.2</v>
      </c>
      <c r="CL57" s="14">
        <v>-1.2000000000000028</v>
      </c>
      <c r="CM57" s="14">
        <v>7.3999999999999986</v>
      </c>
      <c r="CN57" s="14">
        <v>0</v>
      </c>
      <c r="CO57" s="14">
        <v>56.399999999999977</v>
      </c>
      <c r="CP57" s="14">
        <v>-1.6000000000000227</v>
      </c>
      <c r="CQ57" s="14">
        <v>62.400000000000006</v>
      </c>
      <c r="CR57" s="14">
        <v>6.1999999999999993</v>
      </c>
      <c r="CS57" s="14">
        <v>-10.600000000000001</v>
      </c>
      <c r="CT57" t="s">
        <v>290</v>
      </c>
      <c r="CU57" t="s">
        <v>469</v>
      </c>
    </row>
    <row r="58" spans="1:99" x14ac:dyDescent="0.2">
      <c r="A58" s="19">
        <v>44094</v>
      </c>
      <c r="B58">
        <v>2</v>
      </c>
      <c r="C58" s="13" t="s">
        <v>383</v>
      </c>
      <c r="D58" s="41" t="s">
        <v>305</v>
      </c>
      <c r="E58" s="14" t="s">
        <v>311</v>
      </c>
      <c r="F58" t="s">
        <v>673</v>
      </c>
      <c r="G58">
        <v>17.559999999999999</v>
      </c>
      <c r="H58" t="s">
        <v>677</v>
      </c>
      <c r="I58">
        <v>15.7</v>
      </c>
      <c r="J58">
        <v>9</v>
      </c>
      <c r="K58">
        <v>55</v>
      </c>
      <c r="L58">
        <v>3</v>
      </c>
      <c r="M58" t="s">
        <v>674</v>
      </c>
      <c r="N58">
        <v>7.3</v>
      </c>
      <c r="O58">
        <v>10</v>
      </c>
      <c r="P58">
        <v>73</v>
      </c>
      <c r="Q58">
        <v>0</v>
      </c>
      <c r="R58" t="s">
        <v>4</v>
      </c>
      <c r="S58">
        <v>9.1999999999999993</v>
      </c>
      <c r="T58">
        <v>42</v>
      </c>
      <c r="U58">
        <v>6</v>
      </c>
      <c r="V58" t="s">
        <v>678</v>
      </c>
      <c r="W58">
        <v>7.8</v>
      </c>
      <c r="X58">
        <v>38</v>
      </c>
      <c r="Y58">
        <v>5</v>
      </c>
      <c r="Z58" t="s">
        <v>147</v>
      </c>
      <c r="AA58">
        <v>4.9000000000000004</v>
      </c>
      <c r="AB58">
        <v>29</v>
      </c>
      <c r="AC58">
        <v>2</v>
      </c>
      <c r="AD58">
        <v>13.2</v>
      </c>
      <c r="AE58">
        <v>82</v>
      </c>
      <c r="AF58">
        <v>7</v>
      </c>
      <c r="AG58" t="s">
        <v>7</v>
      </c>
      <c r="AH58" s="14">
        <v>3.9</v>
      </c>
      <c r="AI58">
        <v>29</v>
      </c>
      <c r="AJ58">
        <v>3</v>
      </c>
      <c r="AK58">
        <v>16</v>
      </c>
      <c r="AL58">
        <v>4</v>
      </c>
      <c r="AM58">
        <v>15</v>
      </c>
      <c r="AN58" s="21">
        <v>0.375</v>
      </c>
      <c r="AO58" s="21">
        <v>0.125</v>
      </c>
      <c r="AP58" s="21">
        <v>0.7142857142857143</v>
      </c>
      <c r="AQ58">
        <v>4</v>
      </c>
      <c r="AR58">
        <v>24</v>
      </c>
      <c r="AS58">
        <v>21</v>
      </c>
      <c r="AT58">
        <v>16</v>
      </c>
      <c r="AU58">
        <v>65</v>
      </c>
      <c r="AV58">
        <v>26</v>
      </c>
      <c r="AW58">
        <v>7</v>
      </c>
      <c r="AX58">
        <v>434</v>
      </c>
      <c r="AY58">
        <v>204</v>
      </c>
      <c r="AZ58">
        <v>176</v>
      </c>
      <c r="BA58">
        <v>0</v>
      </c>
      <c r="BB58">
        <v>54</v>
      </c>
      <c r="BC58" t="s">
        <v>311</v>
      </c>
      <c r="BD58" s="14">
        <v>-4.2640000000000029</v>
      </c>
      <c r="BE58" s="14">
        <v>-10.219999999999999</v>
      </c>
      <c r="BF58" s="14">
        <v>-8.8000000000000007</v>
      </c>
      <c r="BG58" s="14">
        <v>-55.8</v>
      </c>
      <c r="BH58" s="14">
        <v>-1.4000000000000004</v>
      </c>
      <c r="BI58" s="14">
        <v>4.0000000000000036E-2</v>
      </c>
      <c r="BJ58" s="14">
        <v>4</v>
      </c>
      <c r="BK58" s="14">
        <v>35</v>
      </c>
      <c r="BL58" s="14">
        <v>-1.6</v>
      </c>
      <c r="BM58" s="14">
        <v>-7.2199999999999989</v>
      </c>
      <c r="BN58" s="14">
        <v>-12.600000000000001</v>
      </c>
      <c r="BO58" s="14">
        <v>-0.40000000000000036</v>
      </c>
      <c r="BP58" s="14">
        <v>-5.6000000000000005</v>
      </c>
      <c r="BQ58" s="14">
        <v>-26</v>
      </c>
      <c r="BR58" s="14">
        <v>-1.2000000000000002</v>
      </c>
      <c r="BS58" s="14">
        <v>-0.13999999999999879</v>
      </c>
      <c r="BT58" s="14">
        <v>7</v>
      </c>
      <c r="BU58" s="14">
        <v>-1.2000000000000002</v>
      </c>
      <c r="BV58" s="14">
        <v>-2.9600000000000009</v>
      </c>
      <c r="BW58" s="14">
        <v>16.400000000000006</v>
      </c>
      <c r="BX58" s="14">
        <v>-1.4000000000000004</v>
      </c>
      <c r="BY58" s="48">
        <v>-7.6399999999999988</v>
      </c>
      <c r="BZ58" s="14">
        <v>-18.399999999999999</v>
      </c>
      <c r="CA58" s="14">
        <v>-2.5999999999999996</v>
      </c>
      <c r="CB58" s="14">
        <v>9.6</v>
      </c>
      <c r="CC58" s="14">
        <v>1.6</v>
      </c>
      <c r="CD58" s="14">
        <v>9.1999999999999993</v>
      </c>
      <c r="CE58" s="14">
        <v>4.0689543015124396E-2</v>
      </c>
      <c r="CF58" s="14">
        <v>4.6455250176180407E-2</v>
      </c>
      <c r="CG58" s="14">
        <v>-4.3650793650793718E-2</v>
      </c>
      <c r="CH58" s="14">
        <v>0</v>
      </c>
      <c r="CI58" s="14">
        <v>-10.399999999999999</v>
      </c>
      <c r="CJ58" s="14">
        <v>-5</v>
      </c>
      <c r="CK58" s="14">
        <v>10.199999999999999</v>
      </c>
      <c r="CL58" s="14">
        <v>-4.7999999999999972</v>
      </c>
      <c r="CM58" s="14">
        <v>-2.1999999999999993</v>
      </c>
      <c r="CN58" s="14">
        <v>5.6</v>
      </c>
      <c r="CO58" s="14">
        <v>-19.399999999999977</v>
      </c>
      <c r="CP58" s="14">
        <v>-69.600000000000023</v>
      </c>
      <c r="CQ58" s="14">
        <v>14.800000000000011</v>
      </c>
      <c r="CR58" s="14">
        <v>-3.8</v>
      </c>
      <c r="CS58" s="14">
        <v>39.200000000000003</v>
      </c>
      <c r="CT58" t="s">
        <v>275</v>
      </c>
      <c r="CU58" t="s">
        <v>477</v>
      </c>
    </row>
    <row r="59" spans="1:99" x14ac:dyDescent="0.2">
      <c r="A59" s="19">
        <v>44094</v>
      </c>
      <c r="B59">
        <v>2</v>
      </c>
      <c r="C59" s="13" t="s">
        <v>383</v>
      </c>
      <c r="D59" s="41" t="s">
        <v>306</v>
      </c>
      <c r="E59" s="14" t="s">
        <v>285</v>
      </c>
      <c r="F59" t="s">
        <v>686</v>
      </c>
      <c r="G59">
        <v>12.72</v>
      </c>
      <c r="H59" t="s">
        <v>680</v>
      </c>
      <c r="I59">
        <v>12.2</v>
      </c>
      <c r="J59">
        <v>13</v>
      </c>
      <c r="K59">
        <v>55</v>
      </c>
      <c r="L59">
        <v>2</v>
      </c>
      <c r="M59" t="s">
        <v>681</v>
      </c>
      <c r="N59">
        <v>5.3</v>
      </c>
      <c r="O59">
        <v>8</v>
      </c>
      <c r="P59">
        <v>53</v>
      </c>
      <c r="Q59">
        <v>0</v>
      </c>
      <c r="R59" t="s">
        <v>94</v>
      </c>
      <c r="S59">
        <v>28.5</v>
      </c>
      <c r="T59">
        <v>125</v>
      </c>
      <c r="U59">
        <v>10</v>
      </c>
      <c r="V59" t="s">
        <v>687</v>
      </c>
      <c r="W59">
        <v>7.3</v>
      </c>
      <c r="X59">
        <v>53</v>
      </c>
      <c r="Y59">
        <v>4</v>
      </c>
      <c r="Z59" t="s">
        <v>684</v>
      </c>
      <c r="AA59">
        <v>3.7</v>
      </c>
      <c r="AB59">
        <v>17</v>
      </c>
      <c r="AC59">
        <v>5</v>
      </c>
      <c r="AD59">
        <v>22.6</v>
      </c>
      <c r="AE59">
        <v>86</v>
      </c>
      <c r="AF59">
        <v>11</v>
      </c>
      <c r="AG59" t="s">
        <v>683</v>
      </c>
      <c r="AH59" s="14">
        <v>6.6</v>
      </c>
      <c r="AI59">
        <v>26</v>
      </c>
      <c r="AJ59">
        <v>9</v>
      </c>
      <c r="AK59">
        <v>3</v>
      </c>
      <c r="AL59">
        <v>1</v>
      </c>
      <c r="AM59">
        <v>4</v>
      </c>
      <c r="AN59" s="21">
        <v>0.31578947368421051</v>
      </c>
      <c r="AO59" s="21">
        <v>0.10526315789473684</v>
      </c>
      <c r="AP59" s="21">
        <v>0.4</v>
      </c>
      <c r="AQ59">
        <v>9</v>
      </c>
      <c r="AR59">
        <v>33</v>
      </c>
      <c r="AS59">
        <v>22</v>
      </c>
      <c r="AT59">
        <v>1</v>
      </c>
      <c r="AU59">
        <v>60</v>
      </c>
      <c r="AV59">
        <v>15</v>
      </c>
      <c r="AW59">
        <v>0</v>
      </c>
      <c r="AX59">
        <v>340</v>
      </c>
      <c r="AY59">
        <v>223</v>
      </c>
      <c r="AZ59">
        <v>109</v>
      </c>
      <c r="BA59">
        <v>0</v>
      </c>
      <c r="BB59">
        <v>8</v>
      </c>
      <c r="BC59" t="s">
        <v>285</v>
      </c>
      <c r="BD59" s="14">
        <v>-4.3399999999999981</v>
      </c>
      <c r="BE59" s="14">
        <v>-0.90000000000000036</v>
      </c>
      <c r="BF59" s="14">
        <v>-2.1999999999999993</v>
      </c>
      <c r="BG59" s="14">
        <v>-9.5999999999999943</v>
      </c>
      <c r="BH59" s="14">
        <v>-2</v>
      </c>
      <c r="BI59" s="14">
        <v>-1.38</v>
      </c>
      <c r="BJ59" s="14">
        <v>0</v>
      </c>
      <c r="BK59" s="14">
        <v>16.399999999999999</v>
      </c>
      <c r="BL59" s="14">
        <v>-1.4</v>
      </c>
      <c r="BM59" s="14">
        <v>5.7799999999999976</v>
      </c>
      <c r="BN59" s="14">
        <v>29.799999999999997</v>
      </c>
      <c r="BO59" s="14">
        <v>0.40000000000000036</v>
      </c>
      <c r="BP59" s="14">
        <v>-1.2999999999999998</v>
      </c>
      <c r="BQ59" s="14">
        <v>5</v>
      </c>
      <c r="BR59" s="14">
        <v>-3</v>
      </c>
      <c r="BS59" s="14">
        <v>-0.75999999999999979</v>
      </c>
      <c r="BT59" s="14">
        <v>-6.1999999999999993</v>
      </c>
      <c r="BU59" s="14">
        <v>1.2000000000000002</v>
      </c>
      <c r="BV59" s="14">
        <v>-1.9800000000000004</v>
      </c>
      <c r="BW59" s="14">
        <v>-19.799999999999997</v>
      </c>
      <c r="BX59" s="14">
        <v>-2.8000000000000007</v>
      </c>
      <c r="BY59" s="48">
        <v>-0.66000000000000014</v>
      </c>
      <c r="BZ59" s="14">
        <v>-2.6000000000000014</v>
      </c>
      <c r="CA59" s="14">
        <v>3.2</v>
      </c>
      <c r="CB59" s="14">
        <v>-3</v>
      </c>
      <c r="CC59" s="14">
        <v>-1</v>
      </c>
      <c r="CD59" s="14">
        <v>1.4</v>
      </c>
      <c r="CE59" s="14">
        <v>3.0810321109161432E-2</v>
      </c>
      <c r="CF59" s="14">
        <v>4.0927481676812622E-2</v>
      </c>
      <c r="CG59" s="14">
        <v>-0.30222222222222217</v>
      </c>
      <c r="CH59" s="14">
        <v>1.7999999999999998</v>
      </c>
      <c r="CI59" s="14">
        <v>-4.6000000000000014</v>
      </c>
      <c r="CJ59" s="14">
        <v>-2.1999999999999993</v>
      </c>
      <c r="CK59" s="14">
        <v>-1.7999999999999998</v>
      </c>
      <c r="CL59" s="14">
        <v>-8.4000000000000057</v>
      </c>
      <c r="CM59" s="14">
        <v>-3.3999999999999986</v>
      </c>
      <c r="CN59" s="14">
        <v>0</v>
      </c>
      <c r="CO59" s="14">
        <v>-25</v>
      </c>
      <c r="CP59" s="14">
        <v>-23</v>
      </c>
      <c r="CQ59" s="14">
        <v>4.5999999999999943</v>
      </c>
      <c r="CR59" s="14">
        <v>-2.4</v>
      </c>
      <c r="CS59" s="14">
        <v>-4.1999999999999993</v>
      </c>
      <c r="CT59" t="s">
        <v>249</v>
      </c>
      <c r="CU59" t="s">
        <v>452</v>
      </c>
    </row>
    <row r="60" spans="1:99" x14ac:dyDescent="0.2">
      <c r="A60" s="19">
        <v>44094</v>
      </c>
      <c r="B60">
        <v>2</v>
      </c>
      <c r="C60" s="13" t="s">
        <v>383</v>
      </c>
      <c r="D60" s="41" t="s">
        <v>307</v>
      </c>
      <c r="E60" s="14" t="s">
        <v>303</v>
      </c>
      <c r="F60" t="s">
        <v>689</v>
      </c>
      <c r="G60">
        <v>18.48</v>
      </c>
      <c r="H60" t="s">
        <v>690</v>
      </c>
      <c r="I60">
        <v>38.4</v>
      </c>
      <c r="J60">
        <v>13</v>
      </c>
      <c r="K60">
        <v>79</v>
      </c>
      <c r="L60">
        <v>9</v>
      </c>
      <c r="M60" t="s">
        <v>691</v>
      </c>
      <c r="N60">
        <v>5.3</v>
      </c>
      <c r="O60">
        <v>3</v>
      </c>
      <c r="P60">
        <v>14</v>
      </c>
      <c r="Q60">
        <v>2</v>
      </c>
      <c r="R60" t="s">
        <v>692</v>
      </c>
      <c r="S60">
        <v>13.6</v>
      </c>
      <c r="T60">
        <v>59</v>
      </c>
      <c r="U60">
        <v>7</v>
      </c>
      <c r="V60" t="s">
        <v>129</v>
      </c>
      <c r="W60">
        <v>2.8</v>
      </c>
      <c r="X60">
        <v>18</v>
      </c>
      <c r="Y60">
        <v>3</v>
      </c>
      <c r="Z60" t="s">
        <v>694</v>
      </c>
      <c r="AA60">
        <v>6.4</v>
      </c>
      <c r="AB60">
        <v>23</v>
      </c>
      <c r="AC60">
        <v>5</v>
      </c>
      <c r="AD60">
        <v>11.3</v>
      </c>
      <c r="AE60">
        <v>63</v>
      </c>
      <c r="AF60">
        <v>11</v>
      </c>
      <c r="AG60" t="s">
        <v>80</v>
      </c>
      <c r="AH60">
        <v>9.3000000000000007</v>
      </c>
      <c r="AI60">
        <v>13</v>
      </c>
      <c r="AJ60">
        <v>5</v>
      </c>
      <c r="AK60">
        <v>6</v>
      </c>
      <c r="AL60">
        <v>1</v>
      </c>
      <c r="AM60">
        <v>4</v>
      </c>
      <c r="AN60" s="21">
        <v>0.28947368421052633</v>
      </c>
      <c r="AO60" s="21">
        <v>0</v>
      </c>
      <c r="AP60" s="21">
        <v>0.8</v>
      </c>
      <c r="AQ60">
        <v>2</v>
      </c>
      <c r="AR60">
        <v>38</v>
      </c>
      <c r="AS60">
        <v>16</v>
      </c>
      <c r="AT60">
        <v>2</v>
      </c>
      <c r="AU60">
        <v>57</v>
      </c>
      <c r="AV60">
        <v>24</v>
      </c>
      <c r="AW60">
        <v>0</v>
      </c>
      <c r="AX60">
        <v>424</v>
      </c>
      <c r="AY60">
        <v>312</v>
      </c>
      <c r="AZ60">
        <v>93</v>
      </c>
      <c r="BA60">
        <v>11</v>
      </c>
      <c r="BB60">
        <v>8</v>
      </c>
      <c r="BC60" t="s">
        <v>303</v>
      </c>
      <c r="BD60" s="14">
        <v>-3.9650000000000034</v>
      </c>
      <c r="BE60" s="14">
        <v>15.199999999999996</v>
      </c>
      <c r="BF60" s="14">
        <v>1.25</v>
      </c>
      <c r="BG60" s="14">
        <v>23.25</v>
      </c>
      <c r="BH60" s="14">
        <v>0.75</v>
      </c>
      <c r="BI60" s="14">
        <v>-2</v>
      </c>
      <c r="BJ60" s="14">
        <v>-0.25</v>
      </c>
      <c r="BK60" s="14">
        <v>-19.75</v>
      </c>
      <c r="BL60" s="14">
        <v>-0.5</v>
      </c>
      <c r="BM60" s="14">
        <v>-0.55000000000000071</v>
      </c>
      <c r="BN60" s="14">
        <v>-9.75</v>
      </c>
      <c r="BO60" s="14">
        <v>0.5</v>
      </c>
      <c r="BP60" s="14">
        <v>-3.9750000000000005</v>
      </c>
      <c r="BQ60" s="14">
        <v>-9.75</v>
      </c>
      <c r="BR60" s="14">
        <v>-0.25</v>
      </c>
      <c r="BS60" s="14">
        <v>-1.3999999999999986</v>
      </c>
      <c r="BT60" s="14">
        <v>-11.75</v>
      </c>
      <c r="BU60" s="14">
        <v>1</v>
      </c>
      <c r="BV60" s="14">
        <v>-7.9749999999999979</v>
      </c>
      <c r="BW60" s="14">
        <v>-27.25</v>
      </c>
      <c r="BX60" s="14">
        <v>1.25</v>
      </c>
      <c r="BY60" s="48">
        <v>-0.875</v>
      </c>
      <c r="BZ60" s="14">
        <v>-21.25</v>
      </c>
      <c r="CA60" s="14">
        <v>-0.25</v>
      </c>
      <c r="CB60" s="14">
        <v>-1.5</v>
      </c>
      <c r="CC60" s="14">
        <v>-0.5</v>
      </c>
      <c r="CD60" s="14">
        <v>-2</v>
      </c>
      <c r="CE60" s="14">
        <v>-2.8421979997431901E-2</v>
      </c>
      <c r="CF60" s="14">
        <v>-3.7977771753862834E-2</v>
      </c>
      <c r="CG60" s="14">
        <v>0.10892857142857149</v>
      </c>
      <c r="CH60" s="14">
        <v>-0.25</v>
      </c>
      <c r="CI60" s="14">
        <v>2.25</v>
      </c>
      <c r="CJ60" s="14">
        <v>-1.75</v>
      </c>
      <c r="CK60" s="14">
        <v>-3</v>
      </c>
      <c r="CL60" s="14">
        <v>-5.5</v>
      </c>
      <c r="CM60" s="14">
        <v>-4.75</v>
      </c>
      <c r="CN60" s="14">
        <v>-1.75</v>
      </c>
      <c r="CO60" s="14">
        <v>22.5</v>
      </c>
      <c r="CP60" s="14">
        <v>36.5</v>
      </c>
      <c r="CQ60" s="14">
        <v>-7.25</v>
      </c>
      <c r="CR60" s="14">
        <v>-1</v>
      </c>
      <c r="CS60" s="14">
        <v>-5.75</v>
      </c>
      <c r="CT60" t="s">
        <v>247</v>
      </c>
      <c r="CU60" t="s">
        <v>510</v>
      </c>
    </row>
    <row r="61" spans="1:99" x14ac:dyDescent="0.2">
      <c r="A61" s="19">
        <v>44094</v>
      </c>
      <c r="B61">
        <v>2</v>
      </c>
      <c r="C61" s="13" t="s">
        <v>383</v>
      </c>
      <c r="D61" s="41" t="s">
        <v>308</v>
      </c>
      <c r="E61" s="14" t="s">
        <v>302</v>
      </c>
      <c r="F61" t="s">
        <v>696</v>
      </c>
      <c r="G61">
        <v>34.42</v>
      </c>
      <c r="H61" t="s">
        <v>698</v>
      </c>
      <c r="I61">
        <v>19.8</v>
      </c>
      <c r="J61">
        <v>17</v>
      </c>
      <c r="K61">
        <v>72</v>
      </c>
      <c r="L61">
        <v>3</v>
      </c>
      <c r="M61" t="s">
        <v>697</v>
      </c>
      <c r="N61">
        <v>5.7</v>
      </c>
      <c r="O61">
        <v>5</v>
      </c>
      <c r="P61">
        <v>22</v>
      </c>
      <c r="Q61">
        <v>2</v>
      </c>
      <c r="R61" t="s">
        <v>163</v>
      </c>
      <c r="S61">
        <v>19.7</v>
      </c>
      <c r="T61">
        <v>67</v>
      </c>
      <c r="U61">
        <v>8</v>
      </c>
      <c r="V61" t="s">
        <v>103</v>
      </c>
      <c r="W61">
        <v>19.2</v>
      </c>
      <c r="X61">
        <v>92</v>
      </c>
      <c r="Y61">
        <v>6</v>
      </c>
      <c r="Z61" t="s">
        <v>699</v>
      </c>
      <c r="AA61">
        <v>13.8</v>
      </c>
      <c r="AB61">
        <v>48</v>
      </c>
      <c r="AC61">
        <v>3</v>
      </c>
      <c r="AD61">
        <v>26</v>
      </c>
      <c r="AE61">
        <v>120</v>
      </c>
      <c r="AF61">
        <v>10</v>
      </c>
      <c r="AG61" t="s">
        <v>68</v>
      </c>
      <c r="AH61" s="14">
        <v>0</v>
      </c>
      <c r="AI61">
        <v>0</v>
      </c>
      <c r="AJ61">
        <v>1</v>
      </c>
      <c r="AK61">
        <v>5</v>
      </c>
      <c r="AL61">
        <v>0</v>
      </c>
      <c r="AM61">
        <v>3</v>
      </c>
      <c r="AN61" s="21">
        <v>0.4</v>
      </c>
      <c r="AO61" s="21">
        <v>5.7142857142857141E-2</v>
      </c>
      <c r="AP61" s="21">
        <v>1</v>
      </c>
      <c r="AQ61">
        <v>6</v>
      </c>
      <c r="AR61">
        <v>28</v>
      </c>
      <c r="AS61">
        <v>25</v>
      </c>
      <c r="AT61">
        <v>5</v>
      </c>
      <c r="AU61">
        <v>60</v>
      </c>
      <c r="AV61">
        <v>35</v>
      </c>
      <c r="AW61">
        <v>0</v>
      </c>
      <c r="AX61">
        <v>352</v>
      </c>
      <c r="AY61">
        <v>288</v>
      </c>
      <c r="AZ61">
        <v>25</v>
      </c>
      <c r="BA61">
        <v>0</v>
      </c>
      <c r="BB61">
        <v>39</v>
      </c>
      <c r="BC61" t="s">
        <v>302</v>
      </c>
      <c r="BD61" s="14">
        <v>15.030000000000001</v>
      </c>
      <c r="BE61" s="14">
        <v>5.9750000000000014</v>
      </c>
      <c r="BF61" s="14">
        <v>-1</v>
      </c>
      <c r="BG61" s="14">
        <v>-5</v>
      </c>
      <c r="BH61" s="14">
        <v>0.5</v>
      </c>
      <c r="BI61" s="14">
        <v>1.9249999999999998</v>
      </c>
      <c r="BJ61" s="14">
        <v>1.25</v>
      </c>
      <c r="BK61" s="14">
        <v>6</v>
      </c>
      <c r="BL61" s="14">
        <v>0.5</v>
      </c>
      <c r="BM61" s="14">
        <v>4.2749999999999986</v>
      </c>
      <c r="BN61" s="14">
        <v>5.25</v>
      </c>
      <c r="BO61" s="14">
        <v>1</v>
      </c>
      <c r="BP61" s="14">
        <v>7</v>
      </c>
      <c r="BQ61" s="14">
        <v>25</v>
      </c>
      <c r="BR61" s="14">
        <v>0</v>
      </c>
      <c r="BS61" s="14">
        <v>5.625</v>
      </c>
      <c r="BT61" s="14">
        <v>21.25</v>
      </c>
      <c r="BU61" s="14">
        <v>0</v>
      </c>
      <c r="BV61" s="14">
        <v>3.9499999999999993</v>
      </c>
      <c r="BW61" s="14">
        <v>14.5</v>
      </c>
      <c r="BX61" s="14">
        <v>-0.75</v>
      </c>
      <c r="BY61" s="48">
        <v>-4.8499999999999996</v>
      </c>
      <c r="BZ61" s="14">
        <v>-31</v>
      </c>
      <c r="CA61" s="14">
        <v>-3.25</v>
      </c>
      <c r="CB61" s="14">
        <v>-6</v>
      </c>
      <c r="CC61" s="14">
        <v>-2.75</v>
      </c>
      <c r="CD61" s="14">
        <v>-7</v>
      </c>
      <c r="CE61" s="14">
        <v>8.253968253968258E-2</v>
      </c>
      <c r="CF61" s="14">
        <v>3.3068783068783136E-3</v>
      </c>
      <c r="CG61" s="14">
        <v>0.25</v>
      </c>
      <c r="CH61" s="14">
        <v>-2</v>
      </c>
      <c r="CI61" s="14">
        <v>-0.25</v>
      </c>
      <c r="CJ61" s="14">
        <v>1.75</v>
      </c>
      <c r="CK61" s="14">
        <v>0</v>
      </c>
      <c r="CL61" s="14">
        <v>1.5</v>
      </c>
      <c r="CM61" s="14">
        <v>12</v>
      </c>
      <c r="CN61" s="14">
        <v>-1.75</v>
      </c>
      <c r="CO61" s="14">
        <v>3.25</v>
      </c>
      <c r="CP61" s="14">
        <v>44.5</v>
      </c>
      <c r="CQ61" s="14">
        <v>-59</v>
      </c>
      <c r="CR61" s="14">
        <v>-2.25</v>
      </c>
      <c r="CS61" s="14">
        <v>20</v>
      </c>
      <c r="CT61" t="s">
        <v>292</v>
      </c>
      <c r="CU61" t="s">
        <v>464</v>
      </c>
    </row>
    <row r="62" spans="1:99" x14ac:dyDescent="0.2">
      <c r="A62" s="19">
        <v>44094</v>
      </c>
      <c r="B62">
        <v>2</v>
      </c>
      <c r="C62" s="13" t="s">
        <v>383</v>
      </c>
      <c r="D62" s="41" t="s">
        <v>309</v>
      </c>
      <c r="E62" s="14" t="s">
        <v>278</v>
      </c>
      <c r="F62" t="s">
        <v>702</v>
      </c>
      <c r="G62">
        <v>22.24</v>
      </c>
      <c r="H62" t="s">
        <v>703</v>
      </c>
      <c r="I62">
        <v>23.1</v>
      </c>
      <c r="J62">
        <v>16</v>
      </c>
      <c r="K62">
        <v>106</v>
      </c>
      <c r="L62">
        <v>2</v>
      </c>
      <c r="M62" t="s">
        <v>708</v>
      </c>
      <c r="N62">
        <v>1.4</v>
      </c>
      <c r="O62">
        <v>0</v>
      </c>
      <c r="P62">
        <v>0</v>
      </c>
      <c r="Q62">
        <v>2</v>
      </c>
      <c r="R62" t="s">
        <v>105</v>
      </c>
      <c r="S62">
        <v>23.2</v>
      </c>
      <c r="T62">
        <v>92</v>
      </c>
      <c r="U62">
        <v>13</v>
      </c>
      <c r="V62" t="s">
        <v>705</v>
      </c>
      <c r="W62">
        <v>11.8</v>
      </c>
      <c r="X62">
        <v>48</v>
      </c>
      <c r="Y62">
        <v>8</v>
      </c>
      <c r="Z62" t="s">
        <v>706</v>
      </c>
      <c r="AA62">
        <v>17.8</v>
      </c>
      <c r="AB62">
        <v>88</v>
      </c>
      <c r="AC62">
        <v>3</v>
      </c>
      <c r="AD62">
        <v>15.8</v>
      </c>
      <c r="AE62">
        <v>78</v>
      </c>
      <c r="AF62">
        <v>9</v>
      </c>
      <c r="AG62" t="s">
        <v>100</v>
      </c>
      <c r="AH62" s="14">
        <v>7.3</v>
      </c>
      <c r="AI62">
        <v>43</v>
      </c>
      <c r="AJ62">
        <v>5</v>
      </c>
      <c r="AK62">
        <v>6</v>
      </c>
      <c r="AL62">
        <v>1</v>
      </c>
      <c r="AM62">
        <v>13</v>
      </c>
      <c r="AN62" s="21">
        <v>0.19047619047619047</v>
      </c>
      <c r="AO62" s="21">
        <v>2.3809523809523808E-2</v>
      </c>
      <c r="AP62" s="21">
        <v>0.5714285714285714</v>
      </c>
      <c r="AQ62">
        <v>5</v>
      </c>
      <c r="AR62">
        <v>41</v>
      </c>
      <c r="AS62">
        <v>19</v>
      </c>
      <c r="AT62">
        <v>3</v>
      </c>
      <c r="AU62">
        <v>64</v>
      </c>
      <c r="AV62">
        <v>24</v>
      </c>
      <c r="AW62">
        <v>2</v>
      </c>
      <c r="AX62">
        <v>420</v>
      </c>
      <c r="AY62">
        <v>311</v>
      </c>
      <c r="AZ62">
        <v>111</v>
      </c>
      <c r="BA62">
        <v>0</v>
      </c>
      <c r="BB62">
        <v>-2</v>
      </c>
      <c r="BC62" t="s">
        <v>278</v>
      </c>
      <c r="BD62" s="14">
        <v>-0.30999999999999872</v>
      </c>
      <c r="BE62" s="14">
        <v>10.025000000000002</v>
      </c>
      <c r="BF62" s="14">
        <v>4.5</v>
      </c>
      <c r="BG62" s="14">
        <v>56.75</v>
      </c>
      <c r="BH62" s="14">
        <v>-2.25</v>
      </c>
      <c r="BI62" s="14">
        <v>-1.8500000000000005</v>
      </c>
      <c r="BJ62" s="14">
        <v>-3.25</v>
      </c>
      <c r="BK62" s="14">
        <v>-8.5</v>
      </c>
      <c r="BL62" s="14">
        <v>0</v>
      </c>
      <c r="BM62" s="14">
        <v>6.870000000000001</v>
      </c>
      <c r="BN62" s="14">
        <v>25</v>
      </c>
      <c r="BO62" s="14">
        <v>4.25</v>
      </c>
      <c r="BP62" s="14">
        <v>-0.17499999999999716</v>
      </c>
      <c r="BQ62" s="14">
        <v>5.75</v>
      </c>
      <c r="BR62" s="14">
        <v>1.75</v>
      </c>
      <c r="BS62" s="14">
        <v>8.9499999999999993</v>
      </c>
      <c r="BT62" s="14">
        <v>39.5</v>
      </c>
      <c r="BU62" s="14">
        <v>-1.5</v>
      </c>
      <c r="BV62" s="14">
        <v>0.15000000000000213</v>
      </c>
      <c r="BW62" s="14">
        <v>-1</v>
      </c>
      <c r="BX62" s="14">
        <v>-0.25</v>
      </c>
      <c r="BY62" s="48">
        <v>0.79999999999999893</v>
      </c>
      <c r="BZ62" s="14">
        <v>8</v>
      </c>
      <c r="CA62" s="14">
        <v>0.5</v>
      </c>
      <c r="CB62" s="14">
        <v>-4</v>
      </c>
      <c r="CC62" s="14">
        <v>-1.5</v>
      </c>
      <c r="CD62" s="14">
        <v>1.5</v>
      </c>
      <c r="CE62" s="14">
        <v>-0.1190719298533956</v>
      </c>
      <c r="CF62" s="14">
        <v>-5.3889865886529498E-2</v>
      </c>
      <c r="CG62" s="14">
        <v>3.5714285714285587E-3</v>
      </c>
      <c r="CH62" s="14">
        <v>-2.25</v>
      </c>
      <c r="CI62" s="14">
        <v>4</v>
      </c>
      <c r="CJ62" s="14">
        <v>1</v>
      </c>
      <c r="CK62" s="14">
        <v>-3</v>
      </c>
      <c r="CL62" s="14">
        <v>-0.75</v>
      </c>
      <c r="CM62" s="14">
        <v>3.25</v>
      </c>
      <c r="CN62" s="14">
        <v>-0.75</v>
      </c>
      <c r="CO62" s="14">
        <v>61.5</v>
      </c>
      <c r="CP62" s="14">
        <v>58.25</v>
      </c>
      <c r="CQ62" s="14">
        <v>44.75</v>
      </c>
      <c r="CR62" s="14">
        <v>0</v>
      </c>
      <c r="CS62" s="14">
        <v>-41.5</v>
      </c>
      <c r="CT62" t="s">
        <v>240</v>
      </c>
      <c r="CU62" t="s">
        <v>540</v>
      </c>
    </row>
    <row r="63" spans="1:99" x14ac:dyDescent="0.2">
      <c r="A63" s="19">
        <v>44094</v>
      </c>
      <c r="B63">
        <v>2</v>
      </c>
      <c r="C63" s="13" t="s">
        <v>383</v>
      </c>
      <c r="D63" s="41" t="s">
        <v>310</v>
      </c>
      <c r="E63" s="14" t="s">
        <v>297</v>
      </c>
      <c r="F63" t="s">
        <v>709</v>
      </c>
      <c r="G63">
        <v>26.76</v>
      </c>
      <c r="H63" t="s">
        <v>710</v>
      </c>
      <c r="I63">
        <v>8.4</v>
      </c>
      <c r="J63">
        <v>25</v>
      </c>
      <c r="K63">
        <v>84</v>
      </c>
      <c r="L63">
        <v>2</v>
      </c>
      <c r="M63" t="s">
        <v>715</v>
      </c>
      <c r="N63">
        <v>0.9</v>
      </c>
      <c r="O63">
        <v>2</v>
      </c>
      <c r="P63">
        <v>9</v>
      </c>
      <c r="Q63">
        <v>0</v>
      </c>
      <c r="R63" t="s">
        <v>53</v>
      </c>
      <c r="S63">
        <v>12.6</v>
      </c>
      <c r="T63">
        <v>36</v>
      </c>
      <c r="U63">
        <v>5</v>
      </c>
      <c r="V63" t="s">
        <v>54</v>
      </c>
      <c r="W63">
        <v>15.8</v>
      </c>
      <c r="X63">
        <v>48</v>
      </c>
      <c r="Y63">
        <v>6</v>
      </c>
      <c r="Z63" t="s">
        <v>716</v>
      </c>
      <c r="AA63">
        <v>5.7</v>
      </c>
      <c r="AB63">
        <v>26</v>
      </c>
      <c r="AC63">
        <v>2</v>
      </c>
      <c r="AD63">
        <v>36.700000000000003</v>
      </c>
      <c r="AE63">
        <v>97</v>
      </c>
      <c r="AF63">
        <v>11</v>
      </c>
      <c r="AG63" t="s">
        <v>171</v>
      </c>
      <c r="AH63" s="14">
        <v>24.4</v>
      </c>
      <c r="AI63">
        <v>84</v>
      </c>
      <c r="AJ63">
        <v>5</v>
      </c>
      <c r="AK63">
        <v>12</v>
      </c>
      <c r="AL63">
        <v>2</v>
      </c>
      <c r="AM63">
        <v>5</v>
      </c>
      <c r="AN63" s="21">
        <v>0.29629629629629628</v>
      </c>
      <c r="AO63" s="21">
        <v>3.7037037037037035E-2</v>
      </c>
      <c r="AP63" s="21">
        <v>0.66666666666666663</v>
      </c>
      <c r="AQ63">
        <v>0</v>
      </c>
      <c r="AR63">
        <v>24</v>
      </c>
      <c r="AS63">
        <v>29</v>
      </c>
      <c r="AT63">
        <v>4</v>
      </c>
      <c r="AU63">
        <v>59</v>
      </c>
      <c r="AV63">
        <v>33</v>
      </c>
      <c r="AW63">
        <v>0</v>
      </c>
      <c r="AX63">
        <v>362</v>
      </c>
      <c r="AY63">
        <v>239</v>
      </c>
      <c r="AZ63">
        <v>100</v>
      </c>
      <c r="BA63">
        <v>11</v>
      </c>
      <c r="BB63">
        <v>12</v>
      </c>
      <c r="BC63" t="s">
        <v>297</v>
      </c>
      <c r="BD63" s="14">
        <v>3.911999999999999</v>
      </c>
      <c r="BE63" s="14">
        <v>-13.92</v>
      </c>
      <c r="BF63" s="14">
        <v>4.3999999999999986</v>
      </c>
      <c r="BG63" s="14">
        <v>-18.599999999999994</v>
      </c>
      <c r="BH63" s="14">
        <v>-2.2000000000000002</v>
      </c>
      <c r="BI63" s="14">
        <v>-4.0199999999999996</v>
      </c>
      <c r="BJ63" s="14">
        <v>-3</v>
      </c>
      <c r="BK63" s="14">
        <v>-6.4</v>
      </c>
      <c r="BL63" s="14">
        <v>-0.4</v>
      </c>
      <c r="BM63" s="14">
        <v>-2.2399999999999984</v>
      </c>
      <c r="BN63" s="14">
        <v>-33.599999999999994</v>
      </c>
      <c r="BO63" s="14">
        <v>-1.4000000000000004</v>
      </c>
      <c r="BP63" s="14">
        <v>3</v>
      </c>
      <c r="BQ63" s="14">
        <v>-2</v>
      </c>
      <c r="BR63" s="14">
        <v>0.59999999999999964</v>
      </c>
      <c r="BS63" s="14">
        <v>-1.8999999999999995</v>
      </c>
      <c r="BT63" s="14">
        <v>-9.3999999999999986</v>
      </c>
      <c r="BU63" s="14">
        <v>-2.2000000000000002</v>
      </c>
      <c r="BV63" s="14">
        <v>7.9200000000000088</v>
      </c>
      <c r="BW63" s="14">
        <v>-10.799999999999997</v>
      </c>
      <c r="BX63" s="14">
        <v>0.40000000000000036</v>
      </c>
      <c r="BY63" s="48">
        <v>11.6</v>
      </c>
      <c r="BZ63" s="14">
        <v>40</v>
      </c>
      <c r="CA63" s="14">
        <v>1</v>
      </c>
      <c r="CB63" s="14">
        <v>0.19999999999999929</v>
      </c>
      <c r="CC63" s="14">
        <v>-0.60000000000000009</v>
      </c>
      <c r="CD63" s="14">
        <v>-2.4000000000000004</v>
      </c>
      <c r="CE63" s="14">
        <v>-7.7743664717349059E-3</v>
      </c>
      <c r="CF63" s="14">
        <v>1.6366471734892786E-2</v>
      </c>
      <c r="CG63" s="14">
        <v>-4.7222222222222165E-2</v>
      </c>
      <c r="CH63" s="14">
        <v>-1.4</v>
      </c>
      <c r="CI63" s="14">
        <v>-5.1999999999999993</v>
      </c>
      <c r="CJ63" s="14">
        <v>1.6000000000000014</v>
      </c>
      <c r="CK63" s="14">
        <v>-0.40000000000000036</v>
      </c>
      <c r="CL63" s="14">
        <v>-4</v>
      </c>
      <c r="CM63" s="14">
        <v>0.79999999999999716</v>
      </c>
      <c r="CN63" s="14">
        <v>0</v>
      </c>
      <c r="CO63" s="14">
        <v>-49.199999999999989</v>
      </c>
      <c r="CP63" s="14">
        <v>-17.199999999999989</v>
      </c>
      <c r="CQ63" s="14">
        <v>-22</v>
      </c>
      <c r="CR63" s="14">
        <v>-2</v>
      </c>
      <c r="CS63" s="14">
        <v>-8</v>
      </c>
      <c r="CT63" t="s">
        <v>474</v>
      </c>
      <c r="CU63" t="s">
        <v>475</v>
      </c>
    </row>
    <row r="64" spans="1:99" x14ac:dyDescent="0.2">
      <c r="A64" s="19">
        <v>44094</v>
      </c>
      <c r="B64">
        <v>2</v>
      </c>
      <c r="C64" s="13" t="s">
        <v>383</v>
      </c>
      <c r="D64" s="41" t="s">
        <v>311</v>
      </c>
      <c r="E64" s="14" t="s">
        <v>305</v>
      </c>
      <c r="F64" t="s">
        <v>718</v>
      </c>
      <c r="G64">
        <v>15.7</v>
      </c>
      <c r="H64" t="s">
        <v>719</v>
      </c>
      <c r="I64">
        <v>7</v>
      </c>
      <c r="J64">
        <v>11</v>
      </c>
      <c r="K64">
        <v>34</v>
      </c>
      <c r="L64">
        <v>4</v>
      </c>
      <c r="M64" t="s">
        <v>724</v>
      </c>
      <c r="N64">
        <v>0</v>
      </c>
      <c r="O64">
        <v>0</v>
      </c>
      <c r="P64">
        <v>0</v>
      </c>
      <c r="Q64">
        <v>0</v>
      </c>
      <c r="R64" t="s">
        <v>23</v>
      </c>
      <c r="S64">
        <v>0</v>
      </c>
      <c r="T64">
        <v>0</v>
      </c>
      <c r="U64">
        <v>0</v>
      </c>
      <c r="V64" t="s">
        <v>71</v>
      </c>
      <c r="W64">
        <v>14.5</v>
      </c>
      <c r="X64">
        <v>95</v>
      </c>
      <c r="Y64">
        <v>8</v>
      </c>
      <c r="Z64" t="s">
        <v>84</v>
      </c>
      <c r="AA64">
        <v>0.9</v>
      </c>
      <c r="AB64">
        <v>59</v>
      </c>
      <c r="AC64">
        <v>6</v>
      </c>
      <c r="AD64">
        <v>31.5</v>
      </c>
      <c r="AE64">
        <v>175</v>
      </c>
      <c r="AF64">
        <v>16</v>
      </c>
      <c r="AG64" t="s">
        <v>722</v>
      </c>
      <c r="AH64" s="14">
        <v>12.5</v>
      </c>
      <c r="AI64">
        <v>55</v>
      </c>
      <c r="AJ64">
        <v>7</v>
      </c>
      <c r="AK64">
        <v>12</v>
      </c>
      <c r="AL64">
        <v>3</v>
      </c>
      <c r="AM64">
        <v>4</v>
      </c>
      <c r="AN64" s="21">
        <v>0.39130434782608697</v>
      </c>
      <c r="AO64" s="21">
        <v>8.6956521739130432E-2</v>
      </c>
      <c r="AP64" s="21">
        <v>0.5</v>
      </c>
      <c r="AQ64">
        <v>15</v>
      </c>
      <c r="AR64">
        <v>36</v>
      </c>
      <c r="AS64">
        <v>11</v>
      </c>
      <c r="AT64">
        <v>5</v>
      </c>
      <c r="AU64">
        <v>57</v>
      </c>
      <c r="AV64">
        <v>16</v>
      </c>
      <c r="AW64">
        <v>0</v>
      </c>
      <c r="AX64">
        <v>326</v>
      </c>
      <c r="AY64">
        <v>275</v>
      </c>
      <c r="AZ64">
        <v>34</v>
      </c>
      <c r="BA64">
        <v>0</v>
      </c>
      <c r="BB64">
        <v>17</v>
      </c>
      <c r="BC64" t="s">
        <v>305</v>
      </c>
      <c r="BD64" s="14">
        <v>-7.7600000000000016</v>
      </c>
      <c r="BE64" s="14">
        <v>-8.7600000000000016</v>
      </c>
      <c r="BF64" s="14">
        <v>-4.4000000000000004</v>
      </c>
      <c r="BG64" s="14">
        <v>-30.200000000000003</v>
      </c>
      <c r="BH64" s="14">
        <v>-1</v>
      </c>
      <c r="BI64" s="14">
        <v>-4.4799999999999995</v>
      </c>
      <c r="BJ64" s="14">
        <v>-1</v>
      </c>
      <c r="BK64" s="14">
        <v>-2</v>
      </c>
      <c r="BL64" s="14">
        <v>-3</v>
      </c>
      <c r="BM64" s="14">
        <v>-15.14</v>
      </c>
      <c r="BN64" s="14">
        <v>-66.400000000000006</v>
      </c>
      <c r="BO64" s="14">
        <v>-7.6</v>
      </c>
      <c r="BP64" s="14">
        <v>3.7799999999999994</v>
      </c>
      <c r="BQ64" s="14">
        <v>41.8</v>
      </c>
      <c r="BR64" s="14">
        <v>2.4000000000000004</v>
      </c>
      <c r="BS64" s="14">
        <v>-4.9399999999999986</v>
      </c>
      <c r="BT64" s="14">
        <v>18.399999999999999</v>
      </c>
      <c r="BU64" s="14">
        <v>1.2000000000000002</v>
      </c>
      <c r="BV64" s="14">
        <v>11.82</v>
      </c>
      <c r="BW64" s="14">
        <v>66.2</v>
      </c>
      <c r="BX64" s="14">
        <v>4</v>
      </c>
      <c r="BY64" s="48">
        <v>4.4000000000000004</v>
      </c>
      <c r="BZ64" s="14">
        <v>14</v>
      </c>
      <c r="CA64" s="14">
        <v>1</v>
      </c>
      <c r="CB64" s="14">
        <v>8.4</v>
      </c>
      <c r="CC64" s="14">
        <v>1.6</v>
      </c>
      <c r="CD64" s="14">
        <v>0</v>
      </c>
      <c r="CE64" s="14">
        <v>1.2216240655516519E-2</v>
      </c>
      <c r="CF64" s="14">
        <v>-4.1090313589322441E-3</v>
      </c>
      <c r="CG64" s="14">
        <v>-7.3160173160173203E-2</v>
      </c>
      <c r="CH64" s="14">
        <v>2.8000000000000007</v>
      </c>
      <c r="CI64" s="14">
        <v>-2.6000000000000014</v>
      </c>
      <c r="CJ64" s="14">
        <v>-6.8000000000000007</v>
      </c>
      <c r="CK64" s="14">
        <v>0.59999999999999964</v>
      </c>
      <c r="CL64" s="14">
        <v>-8.7999999999999972</v>
      </c>
      <c r="CM64" s="14">
        <v>-3.6000000000000014</v>
      </c>
      <c r="CN64" s="14">
        <v>0</v>
      </c>
      <c r="CO64" s="14">
        <v>-51.199999999999989</v>
      </c>
      <c r="CP64" s="14">
        <v>1</v>
      </c>
      <c r="CQ64" s="14">
        <v>-36.599999999999994</v>
      </c>
      <c r="CR64" s="14">
        <v>-7</v>
      </c>
      <c r="CS64" s="14">
        <v>-8.6000000000000014</v>
      </c>
      <c r="CT64" t="s">
        <v>268</v>
      </c>
      <c r="CU64" t="s">
        <v>500</v>
      </c>
    </row>
    <row r="65" spans="1:99" x14ac:dyDescent="0.2">
      <c r="A65" s="19">
        <v>44094</v>
      </c>
      <c r="B65">
        <v>2</v>
      </c>
      <c r="C65" s="13" t="s">
        <v>383</v>
      </c>
      <c r="D65" s="41" t="s">
        <v>312</v>
      </c>
      <c r="E65" s="14" t="s">
        <v>289</v>
      </c>
      <c r="F65" t="s">
        <v>725</v>
      </c>
      <c r="G65">
        <v>1.52</v>
      </c>
      <c r="H65" t="s">
        <v>731</v>
      </c>
      <c r="I65">
        <v>17.100000000000001</v>
      </c>
      <c r="J65">
        <v>14</v>
      </c>
      <c r="K65">
        <v>63</v>
      </c>
      <c r="L65">
        <v>2</v>
      </c>
      <c r="M65" t="s">
        <v>726</v>
      </c>
      <c r="N65">
        <v>2.6</v>
      </c>
      <c r="O65">
        <v>3</v>
      </c>
      <c r="P65">
        <v>13</v>
      </c>
      <c r="Q65">
        <v>2</v>
      </c>
      <c r="R65" t="s">
        <v>45</v>
      </c>
      <c r="S65">
        <v>6.1</v>
      </c>
      <c r="T65">
        <v>31</v>
      </c>
      <c r="U65">
        <v>8</v>
      </c>
      <c r="V65" t="s">
        <v>728</v>
      </c>
      <c r="W65">
        <v>7.4</v>
      </c>
      <c r="X65">
        <v>44</v>
      </c>
      <c r="Y65">
        <v>3</v>
      </c>
      <c r="Z65" t="s">
        <v>732</v>
      </c>
      <c r="AA65">
        <v>3.4</v>
      </c>
      <c r="AB65">
        <v>24</v>
      </c>
      <c r="AC65">
        <v>3</v>
      </c>
      <c r="AD65">
        <v>8.1999999999999993</v>
      </c>
      <c r="AE65">
        <v>52</v>
      </c>
      <c r="AF65">
        <v>5</v>
      </c>
      <c r="AG65" t="s">
        <v>148</v>
      </c>
      <c r="AH65" s="14">
        <v>0</v>
      </c>
      <c r="AI65">
        <v>0</v>
      </c>
      <c r="AJ65">
        <v>1</v>
      </c>
      <c r="AK65">
        <v>3</v>
      </c>
      <c r="AL65">
        <v>1</v>
      </c>
      <c r="AM65">
        <v>4</v>
      </c>
      <c r="AN65" s="21">
        <v>0.37931034482758619</v>
      </c>
      <c r="AO65" s="21">
        <v>0.10344827586206896</v>
      </c>
      <c r="AP65" s="21">
        <v>0.75</v>
      </c>
      <c r="AQ65">
        <v>15</v>
      </c>
      <c r="AR65">
        <v>26</v>
      </c>
      <c r="AS65">
        <v>18</v>
      </c>
      <c r="AT65">
        <v>0</v>
      </c>
      <c r="AU65">
        <v>47</v>
      </c>
      <c r="AV65">
        <v>11</v>
      </c>
      <c r="AW65">
        <v>0</v>
      </c>
      <c r="AX65">
        <v>193</v>
      </c>
      <c r="AY65">
        <v>113</v>
      </c>
      <c r="AZ65">
        <v>80</v>
      </c>
      <c r="BA65">
        <v>0</v>
      </c>
      <c r="BB65">
        <v>0</v>
      </c>
      <c r="BC65" t="s">
        <v>289</v>
      </c>
      <c r="BD65" s="14">
        <v>-10.96</v>
      </c>
      <c r="BE65" s="14">
        <v>3.4599999999999973</v>
      </c>
      <c r="BF65" s="14">
        <v>-1.4000000000000004</v>
      </c>
      <c r="BG65" s="14">
        <v>8.3999999999999986</v>
      </c>
      <c r="BH65" s="14">
        <v>-1.2000000000000002</v>
      </c>
      <c r="BI65" s="14">
        <v>-3.2399999999999998</v>
      </c>
      <c r="BJ65" s="14">
        <v>-1.2000000000000002</v>
      </c>
      <c r="BK65" s="14">
        <v>-0.59999999999999964</v>
      </c>
      <c r="BL65" s="14">
        <v>-0.20000000000000018</v>
      </c>
      <c r="BM65" s="14">
        <v>-8.4839999999999982</v>
      </c>
      <c r="BN65" s="14">
        <v>-30.6</v>
      </c>
      <c r="BO65" s="14">
        <v>0.20000000000000018</v>
      </c>
      <c r="BP65" s="14">
        <v>-3</v>
      </c>
      <c r="BQ65" s="14">
        <v>-17.600000000000001</v>
      </c>
      <c r="BR65" s="14">
        <v>-2.8</v>
      </c>
      <c r="BS65" s="14">
        <v>-5.1999999999999993</v>
      </c>
      <c r="BT65" s="14">
        <v>-16.600000000000001</v>
      </c>
      <c r="BU65" s="14">
        <v>-2.8</v>
      </c>
      <c r="BV65" s="14">
        <v>-8.379999999999999</v>
      </c>
      <c r="BW65" s="14">
        <v>-21.799999999999997</v>
      </c>
      <c r="BX65" s="14">
        <v>-5.4</v>
      </c>
      <c r="BY65" s="48">
        <v>-4.62</v>
      </c>
      <c r="BZ65" s="14">
        <v>-22.2</v>
      </c>
      <c r="CA65" s="14">
        <v>-3.4000000000000004</v>
      </c>
      <c r="CB65" s="14">
        <v>-1.2000000000000002</v>
      </c>
      <c r="CC65" s="14">
        <v>-0.60000000000000009</v>
      </c>
      <c r="CD65" s="14">
        <v>-0.59999999999999964</v>
      </c>
      <c r="CE65" s="14">
        <v>8.5222057635850723E-2</v>
      </c>
      <c r="CF65" s="14">
        <v>5.2450040381074862E-2</v>
      </c>
      <c r="CG65" s="14">
        <v>0.16071428571428581</v>
      </c>
      <c r="CH65" s="14">
        <v>2.4000000000000004</v>
      </c>
      <c r="CI65" s="14">
        <v>-8.6000000000000014</v>
      </c>
      <c r="CJ65" s="14">
        <v>-3.8000000000000007</v>
      </c>
      <c r="CK65" s="14">
        <v>-2.4</v>
      </c>
      <c r="CL65" s="14">
        <v>-18</v>
      </c>
      <c r="CM65" s="14">
        <v>-4.8000000000000007</v>
      </c>
      <c r="CN65" s="14">
        <v>-1.8</v>
      </c>
      <c r="CO65" s="14">
        <v>-112.39999999999998</v>
      </c>
      <c r="CP65" s="14">
        <v>-105</v>
      </c>
      <c r="CQ65" s="14">
        <v>5.4000000000000057</v>
      </c>
      <c r="CR65" s="14">
        <v>-5.2</v>
      </c>
      <c r="CS65" s="14">
        <v>-7.6</v>
      </c>
      <c r="CT65" t="s">
        <v>274</v>
      </c>
      <c r="CU65" t="s">
        <v>488</v>
      </c>
    </row>
    <row r="66" spans="1:99" ht="17" customHeight="1" x14ac:dyDescent="0.2">
      <c r="A66" s="19">
        <v>44101</v>
      </c>
      <c r="B66">
        <v>3</v>
      </c>
      <c r="C66" s="14" t="s">
        <v>382</v>
      </c>
      <c r="D66" s="40" t="s">
        <v>256</v>
      </c>
      <c r="E66" t="s">
        <v>296</v>
      </c>
      <c r="F66" t="s">
        <v>470</v>
      </c>
      <c r="G66">
        <v>20.72</v>
      </c>
      <c r="H66" t="s">
        <v>466</v>
      </c>
      <c r="I66">
        <v>16.7</v>
      </c>
      <c r="J66">
        <v>14</v>
      </c>
      <c r="K66">
        <v>38</v>
      </c>
      <c r="L66">
        <v>4</v>
      </c>
      <c r="M66" t="s">
        <v>460</v>
      </c>
      <c r="N66">
        <v>21.9</v>
      </c>
      <c r="O66">
        <v>12</v>
      </c>
      <c r="P66">
        <v>15</v>
      </c>
      <c r="Q66">
        <v>3</v>
      </c>
      <c r="R66" t="s">
        <v>462</v>
      </c>
      <c r="S66">
        <v>21.1</v>
      </c>
      <c r="T66">
        <v>70</v>
      </c>
      <c r="U66">
        <v>8</v>
      </c>
      <c r="V66" t="s">
        <v>463</v>
      </c>
      <c r="W66">
        <v>10.3</v>
      </c>
      <c r="X66">
        <v>63</v>
      </c>
      <c r="Y66">
        <v>6</v>
      </c>
      <c r="Z66" t="s">
        <v>471</v>
      </c>
      <c r="AA66">
        <v>3</v>
      </c>
      <c r="AB66">
        <v>20</v>
      </c>
      <c r="AC66">
        <v>1</v>
      </c>
      <c r="AD66">
        <v>14.1</v>
      </c>
      <c r="AE66">
        <v>91</v>
      </c>
      <c r="AF66">
        <v>7</v>
      </c>
      <c r="AG66" t="s">
        <v>429</v>
      </c>
      <c r="AH66">
        <v>4.3</v>
      </c>
      <c r="AI66">
        <v>23</v>
      </c>
      <c r="AJ66">
        <v>6</v>
      </c>
      <c r="AK66">
        <v>13</v>
      </c>
      <c r="AL66">
        <v>4</v>
      </c>
      <c r="AM66">
        <v>12</v>
      </c>
      <c r="AN66" s="21">
        <v>0.31578947368421051</v>
      </c>
      <c r="AO66" s="21">
        <v>5.2631578947368418E-2</v>
      </c>
      <c r="AP66" s="21">
        <v>0.6</v>
      </c>
      <c r="AQ66" s="35">
        <v>-2</v>
      </c>
      <c r="AR66" s="35">
        <v>36</v>
      </c>
      <c r="AS66" s="35">
        <v>28</v>
      </c>
      <c r="AT66" s="35">
        <v>4</v>
      </c>
      <c r="AU66" s="35">
        <v>73</v>
      </c>
      <c r="AV66" s="35">
        <v>36</v>
      </c>
      <c r="AW66" s="35">
        <v>0</v>
      </c>
      <c r="AX66">
        <v>436</v>
      </c>
      <c r="AY66" s="35">
        <v>343</v>
      </c>
      <c r="AZ66" s="35">
        <v>62</v>
      </c>
      <c r="BA66" s="35">
        <v>31</v>
      </c>
      <c r="BB66" s="35">
        <v>0</v>
      </c>
      <c r="BC66" t="s">
        <v>296</v>
      </c>
      <c r="BD66" s="14">
        <v>4.0199999999999996</v>
      </c>
      <c r="BE66" s="14">
        <v>0.30000000000000071</v>
      </c>
      <c r="BF66" s="14">
        <v>0.59999999999999964</v>
      </c>
      <c r="BG66" s="14">
        <v>-17.600000000000001</v>
      </c>
      <c r="BH66" s="14">
        <v>0</v>
      </c>
      <c r="BI66" s="14">
        <v>11.899999999999999</v>
      </c>
      <c r="BJ66" s="14">
        <v>4.2</v>
      </c>
      <c r="BK66" s="14">
        <v>-9</v>
      </c>
      <c r="BL66" s="14">
        <v>0.20000000000000018</v>
      </c>
      <c r="BM66" s="14">
        <v>9.9800000000000022</v>
      </c>
      <c r="BN66" s="14">
        <v>23</v>
      </c>
      <c r="BO66" s="14">
        <v>0</v>
      </c>
      <c r="BP66" s="14">
        <v>-1.8799999999999972</v>
      </c>
      <c r="BQ66" s="14">
        <v>2.7999999999999972</v>
      </c>
      <c r="BR66" s="14">
        <v>-0.40000000000000036</v>
      </c>
      <c r="BS66" s="14">
        <v>-4.668000000000001</v>
      </c>
      <c r="BT66" s="14">
        <v>-5.6000000000000014</v>
      </c>
      <c r="BU66" s="14">
        <v>-2.4</v>
      </c>
      <c r="BV66" s="14">
        <v>-1.1600000000000001</v>
      </c>
      <c r="BW66" s="14">
        <v>18.400000000000006</v>
      </c>
      <c r="BX66" s="14">
        <v>-2.5999999999999996</v>
      </c>
      <c r="BY66" s="48">
        <v>-1.1000000000000005</v>
      </c>
      <c r="BZ66" s="14">
        <v>1</v>
      </c>
      <c r="CA66" s="14">
        <v>2.4</v>
      </c>
      <c r="CB66" s="14">
        <v>4.5999999999999996</v>
      </c>
      <c r="CC66" s="14">
        <v>1.4</v>
      </c>
      <c r="CD66" s="14">
        <v>2.4000000000000004</v>
      </c>
      <c r="CE66" s="14">
        <v>1.1083431642024522E-2</v>
      </c>
      <c r="CF66" s="14">
        <v>-1.84325302960439E-2</v>
      </c>
      <c r="CG66" s="14">
        <v>6.6666666666667096E-3</v>
      </c>
      <c r="CH66" s="14">
        <v>-9.4</v>
      </c>
      <c r="CI66" s="14">
        <v>2</v>
      </c>
      <c r="CJ66" s="14">
        <v>5.6000000000000014</v>
      </c>
      <c r="CK66" s="14">
        <v>0.79999999999999982</v>
      </c>
      <c r="CL66" s="14">
        <v>7.4000000000000057</v>
      </c>
      <c r="CM66" s="14">
        <v>12.2</v>
      </c>
      <c r="CN66" s="14">
        <v>-1.4</v>
      </c>
      <c r="CO66" s="14">
        <v>78.800000000000011</v>
      </c>
      <c r="CP66" s="14">
        <v>85</v>
      </c>
      <c r="CQ66" s="14">
        <v>-20.599999999999994</v>
      </c>
      <c r="CR66" s="14">
        <v>20</v>
      </c>
      <c r="CS66" s="14">
        <v>-5.6</v>
      </c>
      <c r="CT66" t="s">
        <v>245</v>
      </c>
      <c r="CU66" t="s">
        <v>472</v>
      </c>
    </row>
    <row r="67" spans="1:99" x14ac:dyDescent="0.2">
      <c r="A67" s="19">
        <v>44101</v>
      </c>
      <c r="B67">
        <v>3</v>
      </c>
      <c r="C67" s="13" t="s">
        <v>382</v>
      </c>
      <c r="D67" s="41" t="s">
        <v>265</v>
      </c>
      <c r="E67" t="s">
        <v>295</v>
      </c>
      <c r="F67" t="s">
        <v>467</v>
      </c>
      <c r="G67">
        <v>34.840000000000003</v>
      </c>
      <c r="H67" t="s">
        <v>481</v>
      </c>
      <c r="I67">
        <v>7.4</v>
      </c>
      <c r="J67">
        <v>14</v>
      </c>
      <c r="K67">
        <v>45</v>
      </c>
      <c r="L67">
        <v>3</v>
      </c>
      <c r="M67" t="s">
        <v>487</v>
      </c>
      <c r="N67">
        <v>7.1</v>
      </c>
      <c r="O67">
        <v>2</v>
      </c>
      <c r="P67">
        <v>21</v>
      </c>
      <c r="Q67">
        <v>6</v>
      </c>
      <c r="R67" t="s">
        <v>56</v>
      </c>
      <c r="S67">
        <v>31.3</v>
      </c>
      <c r="T67">
        <v>123</v>
      </c>
      <c r="U67">
        <v>13</v>
      </c>
      <c r="V67" t="s">
        <v>60</v>
      </c>
      <c r="W67">
        <v>13</v>
      </c>
      <c r="X67">
        <v>41</v>
      </c>
      <c r="Y67">
        <v>5</v>
      </c>
      <c r="Z67" t="s">
        <v>483</v>
      </c>
      <c r="AA67">
        <v>3.9</v>
      </c>
      <c r="AB67">
        <v>19</v>
      </c>
      <c r="AC67">
        <v>5</v>
      </c>
      <c r="AD67">
        <v>32.299999999999997</v>
      </c>
      <c r="AE67">
        <v>143</v>
      </c>
      <c r="AF67">
        <v>17</v>
      </c>
      <c r="AG67" t="s">
        <v>81</v>
      </c>
      <c r="AH67">
        <v>24</v>
      </c>
      <c r="AI67">
        <v>60</v>
      </c>
      <c r="AJ67">
        <v>10</v>
      </c>
      <c r="AK67">
        <v>5</v>
      </c>
      <c r="AL67">
        <v>2</v>
      </c>
      <c r="AM67">
        <v>4</v>
      </c>
      <c r="AN67" s="21">
        <v>0.22222222222222221</v>
      </c>
      <c r="AO67" s="21">
        <v>3.7037037037037035E-2</v>
      </c>
      <c r="AP67" s="21">
        <v>0.5714285714285714</v>
      </c>
      <c r="AQ67" s="35">
        <v>5</v>
      </c>
      <c r="AR67" s="35">
        <v>51</v>
      </c>
      <c r="AS67" s="35">
        <v>16</v>
      </c>
      <c r="AT67" s="35">
        <v>4</v>
      </c>
      <c r="AU67" s="35">
        <v>78</v>
      </c>
      <c r="AV67" s="35">
        <v>30</v>
      </c>
      <c r="AW67" s="35">
        <v>0</v>
      </c>
      <c r="AX67">
        <v>448</v>
      </c>
      <c r="AY67" s="35">
        <v>316</v>
      </c>
      <c r="AZ67" s="35">
        <v>66</v>
      </c>
      <c r="BA67" s="35">
        <v>24</v>
      </c>
      <c r="BB67" s="35">
        <v>42</v>
      </c>
      <c r="BC67" t="s">
        <v>295</v>
      </c>
      <c r="BD67" s="14">
        <v>1.8880000000000052</v>
      </c>
      <c r="BE67" s="14">
        <v>-9.92</v>
      </c>
      <c r="BF67" s="14">
        <v>-1.4000000000000004</v>
      </c>
      <c r="BG67" s="14">
        <v>-19</v>
      </c>
      <c r="BH67" s="14">
        <v>-2.4000000000000004</v>
      </c>
      <c r="BI67" s="14">
        <v>1.2600000000000007</v>
      </c>
      <c r="BJ67" s="14">
        <v>-0.79999999999999982</v>
      </c>
      <c r="BK67" s="14">
        <v>13.4</v>
      </c>
      <c r="BL67" s="14">
        <v>2.8</v>
      </c>
      <c r="BM67" s="14">
        <v>12.219999999999999</v>
      </c>
      <c r="BN67" s="14">
        <v>36.799999999999997</v>
      </c>
      <c r="BO67" s="14">
        <v>3.4000000000000004</v>
      </c>
      <c r="BP67" s="14">
        <v>-6.8999999999999986</v>
      </c>
      <c r="BQ67" s="14">
        <v>-44.400000000000006</v>
      </c>
      <c r="BR67" s="14">
        <v>-1.5999999999999996</v>
      </c>
      <c r="BS67" s="14">
        <v>-1.98</v>
      </c>
      <c r="BT67" s="14">
        <v>-10.199999999999999</v>
      </c>
      <c r="BU67" s="14">
        <v>0.59999999999999964</v>
      </c>
      <c r="BV67" s="14">
        <v>6.8199999999999967</v>
      </c>
      <c r="BW67" s="14">
        <v>34.200000000000003</v>
      </c>
      <c r="BX67" s="14">
        <v>5.1999999999999993</v>
      </c>
      <c r="BY67" s="48">
        <v>5.5800000000000018</v>
      </c>
      <c r="BZ67" s="14">
        <v>-0.20000000000000284</v>
      </c>
      <c r="CA67" s="14">
        <v>3.8</v>
      </c>
      <c r="CB67" s="14">
        <v>-2</v>
      </c>
      <c r="CC67" s="14">
        <v>0.39999999999999991</v>
      </c>
      <c r="CD67" s="14">
        <v>1.7999999999999998</v>
      </c>
      <c r="CE67" s="14">
        <v>-4.1457149457149511E-2</v>
      </c>
      <c r="CF67" s="14">
        <v>1.4509938509938508E-2</v>
      </c>
      <c r="CG67" s="14">
        <v>-8.4285714285714186E-2</v>
      </c>
      <c r="CH67" s="14">
        <v>2</v>
      </c>
      <c r="CI67" s="14">
        <v>10</v>
      </c>
      <c r="CJ67" s="14">
        <v>-4.1999999999999993</v>
      </c>
      <c r="CK67" s="14">
        <v>1.2000000000000002</v>
      </c>
      <c r="CL67" s="14">
        <v>11.400000000000006</v>
      </c>
      <c r="CM67" s="14">
        <v>0.80000000000000071</v>
      </c>
      <c r="CN67" s="14">
        <v>0</v>
      </c>
      <c r="CO67" s="14">
        <v>-1.6000000000000227</v>
      </c>
      <c r="CP67" s="14">
        <v>-33.800000000000011</v>
      </c>
      <c r="CQ67" s="14">
        <v>-7.5999999999999943</v>
      </c>
      <c r="CR67" s="14">
        <v>11.2</v>
      </c>
      <c r="CS67" s="14">
        <v>28.6</v>
      </c>
      <c r="CT67" t="s">
        <v>280</v>
      </c>
      <c r="CU67" t="s">
        <v>489</v>
      </c>
    </row>
    <row r="68" spans="1:99" x14ac:dyDescent="0.2">
      <c r="A68" s="19">
        <v>44101</v>
      </c>
      <c r="B68">
        <v>3</v>
      </c>
      <c r="C68" s="13" t="s">
        <v>382</v>
      </c>
      <c r="D68" s="17" t="s">
        <v>272</v>
      </c>
      <c r="E68" s="14" t="s">
        <v>294</v>
      </c>
      <c r="F68" t="s">
        <v>492</v>
      </c>
      <c r="G68">
        <v>23.38</v>
      </c>
      <c r="H68" t="s">
        <v>499</v>
      </c>
      <c r="I68">
        <v>8.5</v>
      </c>
      <c r="J68">
        <v>17</v>
      </c>
      <c r="K68">
        <v>49</v>
      </c>
      <c r="L68">
        <v>3</v>
      </c>
      <c r="M68" t="s">
        <v>493</v>
      </c>
      <c r="N68">
        <v>8.5</v>
      </c>
      <c r="O68">
        <v>0</v>
      </c>
      <c r="P68">
        <v>0</v>
      </c>
      <c r="Q68">
        <v>3</v>
      </c>
      <c r="R68" t="s">
        <v>91</v>
      </c>
      <c r="S68">
        <v>25.5</v>
      </c>
      <c r="T68">
        <v>125</v>
      </c>
      <c r="U68">
        <v>13</v>
      </c>
      <c r="V68" t="s">
        <v>496</v>
      </c>
      <c r="W68">
        <v>8.6</v>
      </c>
      <c r="X68">
        <v>36</v>
      </c>
      <c r="Y68">
        <v>6</v>
      </c>
      <c r="Z68" t="s">
        <v>495</v>
      </c>
      <c r="AA68">
        <v>21</v>
      </c>
      <c r="AB68">
        <v>40</v>
      </c>
      <c r="AC68">
        <v>9</v>
      </c>
      <c r="AD68">
        <v>15.8</v>
      </c>
      <c r="AE68">
        <v>68</v>
      </c>
      <c r="AF68">
        <v>14</v>
      </c>
      <c r="AG68" t="s">
        <v>497</v>
      </c>
      <c r="AH68">
        <v>1.1000000000000001</v>
      </c>
      <c r="AI68">
        <v>1</v>
      </c>
      <c r="AJ68">
        <v>1</v>
      </c>
      <c r="AK68">
        <v>12</v>
      </c>
      <c r="AL68">
        <v>3</v>
      </c>
      <c r="AM68">
        <v>7</v>
      </c>
      <c r="AN68" s="21">
        <v>0.44230769230769229</v>
      </c>
      <c r="AO68" s="21">
        <v>0.15384615384615385</v>
      </c>
      <c r="AP68" s="21">
        <v>0.75</v>
      </c>
      <c r="AQ68" s="35">
        <v>8</v>
      </c>
      <c r="AR68" s="35">
        <v>44</v>
      </c>
      <c r="AS68" s="35">
        <v>17</v>
      </c>
      <c r="AT68" s="35">
        <v>1</v>
      </c>
      <c r="AU68" s="35">
        <v>70</v>
      </c>
      <c r="AV68" s="35">
        <v>23</v>
      </c>
      <c r="AW68" s="35">
        <v>0</v>
      </c>
      <c r="AX68">
        <v>360</v>
      </c>
      <c r="AY68" s="35">
        <v>312</v>
      </c>
      <c r="AZ68" s="35">
        <v>49</v>
      </c>
      <c r="BA68" s="35">
        <v>0</v>
      </c>
      <c r="BB68" s="35">
        <v>-1</v>
      </c>
      <c r="BC68" t="s">
        <v>294</v>
      </c>
      <c r="BD68" s="14">
        <v>0.47599999999999909</v>
      </c>
      <c r="BE68" s="14">
        <v>-6.5600000000000023</v>
      </c>
      <c r="BF68" s="14">
        <v>2.5999999999999996</v>
      </c>
      <c r="BG68" s="14">
        <v>-1.7999999999999972</v>
      </c>
      <c r="BH68" s="14">
        <v>-0.60000000000000009</v>
      </c>
      <c r="BI68" s="14">
        <v>3.92</v>
      </c>
      <c r="BJ68" s="14">
        <v>-6</v>
      </c>
      <c r="BK68" s="14">
        <v>-20</v>
      </c>
      <c r="BL68" s="14">
        <v>1.4</v>
      </c>
      <c r="BM68" s="14">
        <v>4.360000000000003</v>
      </c>
      <c r="BN68" s="14">
        <v>60.2</v>
      </c>
      <c r="BO68" s="14">
        <v>5</v>
      </c>
      <c r="BP68" s="14">
        <v>0</v>
      </c>
      <c r="BQ68" s="14">
        <v>-6.2000000000000028</v>
      </c>
      <c r="BR68" s="14">
        <v>1.4000000000000004</v>
      </c>
      <c r="BS68" s="14">
        <v>12.860000000000001</v>
      </c>
      <c r="BT68" s="14">
        <v>12.2</v>
      </c>
      <c r="BU68" s="14">
        <v>4.5999999999999996</v>
      </c>
      <c r="BV68" s="14">
        <v>-1.5399999999999991</v>
      </c>
      <c r="BW68" s="14">
        <v>-1.4000000000000057</v>
      </c>
      <c r="BX68" s="14">
        <v>5.1999999999999993</v>
      </c>
      <c r="BY68" s="48">
        <v>-15.9</v>
      </c>
      <c r="BZ68" s="14">
        <v>-59.4</v>
      </c>
      <c r="CA68" s="14">
        <v>-5.4</v>
      </c>
      <c r="CB68" s="14">
        <v>2.8000000000000007</v>
      </c>
      <c r="CC68" s="14">
        <v>1.4</v>
      </c>
      <c r="CD68" s="14">
        <v>0.20000000000000018</v>
      </c>
      <c r="CE68" s="14">
        <v>5.2246968717556963E-2</v>
      </c>
      <c r="CF68" s="14">
        <v>7.2906309376897613E-2</v>
      </c>
      <c r="CG68" s="14">
        <v>2.2777777777777786E-2</v>
      </c>
      <c r="CH68" s="14">
        <v>2.4000000000000004</v>
      </c>
      <c r="CI68" s="14">
        <v>8.6000000000000014</v>
      </c>
      <c r="CJ68" s="14">
        <v>-5.6000000000000014</v>
      </c>
      <c r="CK68" s="14">
        <v>-2.8</v>
      </c>
      <c r="CL68" s="14">
        <v>1.7999999999999972</v>
      </c>
      <c r="CM68" s="14">
        <v>-6.6000000000000014</v>
      </c>
      <c r="CN68" s="14">
        <v>0</v>
      </c>
      <c r="CO68" s="14">
        <v>-41.600000000000023</v>
      </c>
      <c r="CP68" s="14">
        <v>43.399999999999977</v>
      </c>
      <c r="CQ68" s="14">
        <v>-29.599999999999994</v>
      </c>
      <c r="CR68" s="14">
        <v>-30.8</v>
      </c>
      <c r="CS68" s="14">
        <v>-24.6</v>
      </c>
      <c r="CT68" t="s">
        <v>290</v>
      </c>
      <c r="CU68" t="s">
        <v>469</v>
      </c>
    </row>
    <row r="69" spans="1:99" x14ac:dyDescent="0.2">
      <c r="A69" s="19">
        <v>44101</v>
      </c>
      <c r="B69">
        <v>3</v>
      </c>
      <c r="C69" s="13" t="s">
        <v>382</v>
      </c>
      <c r="D69" s="41" t="s">
        <v>276</v>
      </c>
      <c r="E69" s="14" t="s">
        <v>304</v>
      </c>
      <c r="F69" t="s">
        <v>503</v>
      </c>
      <c r="G69">
        <v>36.24</v>
      </c>
      <c r="H69" t="s">
        <v>504</v>
      </c>
      <c r="I69">
        <v>16.100000000000001</v>
      </c>
      <c r="J69">
        <v>13</v>
      </c>
      <c r="K69">
        <v>71</v>
      </c>
      <c r="L69">
        <v>5</v>
      </c>
      <c r="M69" t="s">
        <v>509</v>
      </c>
      <c r="N69">
        <v>1.8</v>
      </c>
      <c r="O69">
        <v>3</v>
      </c>
      <c r="P69">
        <v>18</v>
      </c>
      <c r="Q69">
        <v>0</v>
      </c>
      <c r="R69" t="s">
        <v>44</v>
      </c>
      <c r="S69">
        <v>14.9</v>
      </c>
      <c r="T69">
        <v>49</v>
      </c>
      <c r="U69">
        <v>6</v>
      </c>
      <c r="V69" t="s">
        <v>46</v>
      </c>
      <c r="W69">
        <v>19</v>
      </c>
      <c r="X69">
        <v>100</v>
      </c>
      <c r="Y69">
        <v>7</v>
      </c>
      <c r="Z69" t="s">
        <v>506</v>
      </c>
      <c r="AA69">
        <v>12.1</v>
      </c>
      <c r="AB69">
        <v>84</v>
      </c>
      <c r="AC69">
        <v>4</v>
      </c>
      <c r="AD69">
        <v>29.4</v>
      </c>
      <c r="AE69">
        <v>174</v>
      </c>
      <c r="AF69">
        <v>14</v>
      </c>
      <c r="AG69" t="s">
        <v>507</v>
      </c>
      <c r="AH69">
        <v>18.399999999999999</v>
      </c>
      <c r="AI69">
        <v>24</v>
      </c>
      <c r="AJ69">
        <v>5</v>
      </c>
      <c r="AK69">
        <v>5</v>
      </c>
      <c r="AL69">
        <v>0</v>
      </c>
      <c r="AM69">
        <v>5</v>
      </c>
      <c r="AN69" s="21">
        <v>0.45945945945945948</v>
      </c>
      <c r="AO69" s="21">
        <v>0.10810810810810811</v>
      </c>
      <c r="AP69" s="21">
        <v>0.53846153846153844</v>
      </c>
      <c r="AQ69" s="35">
        <v>4</v>
      </c>
      <c r="AR69" s="35">
        <v>33</v>
      </c>
      <c r="AS69" s="35">
        <v>16</v>
      </c>
      <c r="AT69" s="35">
        <v>4</v>
      </c>
      <c r="AU69" s="35">
        <v>58</v>
      </c>
      <c r="AV69" s="35">
        <v>35</v>
      </c>
      <c r="AW69" s="35">
        <v>0</v>
      </c>
      <c r="AX69">
        <v>412</v>
      </c>
      <c r="AY69" s="35">
        <v>311</v>
      </c>
      <c r="AZ69" s="35">
        <v>89</v>
      </c>
      <c r="BA69" s="35">
        <v>4</v>
      </c>
      <c r="BB69" s="35">
        <v>8</v>
      </c>
      <c r="BC69" t="s">
        <v>304</v>
      </c>
      <c r="BD69" s="14">
        <v>20.944000000000003</v>
      </c>
      <c r="BE69" s="14">
        <v>2.5600000000000005</v>
      </c>
      <c r="BF69" s="14">
        <v>-1.4000000000000004</v>
      </c>
      <c r="BG69" s="14">
        <v>12.799999999999997</v>
      </c>
      <c r="BH69" s="14">
        <v>0.40000000000000036</v>
      </c>
      <c r="BI69" s="14">
        <v>-4.0600000000000005</v>
      </c>
      <c r="BJ69" s="14">
        <v>-1</v>
      </c>
      <c r="BK69" s="14">
        <v>-2.6000000000000014</v>
      </c>
      <c r="BL69" s="14">
        <v>-2.8</v>
      </c>
      <c r="BM69" s="14">
        <v>3.16</v>
      </c>
      <c r="BN69" s="14">
        <v>-1.6000000000000014</v>
      </c>
      <c r="BO69" s="14">
        <v>-1</v>
      </c>
      <c r="BP69" s="14">
        <v>10.379999999999999</v>
      </c>
      <c r="BQ69" s="14">
        <v>65.8</v>
      </c>
      <c r="BR69" s="14">
        <v>2.8</v>
      </c>
      <c r="BS69" s="14">
        <v>6.5599999999999987</v>
      </c>
      <c r="BT69" s="14">
        <v>50</v>
      </c>
      <c r="BU69" s="14">
        <v>1.6</v>
      </c>
      <c r="BV69" s="14">
        <v>9.5799999999999983</v>
      </c>
      <c r="BW69" s="14">
        <v>85.8</v>
      </c>
      <c r="BX69" s="14">
        <v>3</v>
      </c>
      <c r="BY69" s="48">
        <v>5.32</v>
      </c>
      <c r="BZ69" s="14">
        <v>-18.799999999999997</v>
      </c>
      <c r="CA69" s="14">
        <v>-2.2000000000000002</v>
      </c>
      <c r="CB69" s="14">
        <v>-1.5999999999999996</v>
      </c>
      <c r="CC69" s="14">
        <v>-1.4</v>
      </c>
      <c r="CD69" s="14">
        <v>1.4</v>
      </c>
      <c r="CE69" s="14">
        <v>0.15757350933821523</v>
      </c>
      <c r="CF69" s="14">
        <v>2.4264264264264271E-2</v>
      </c>
      <c r="CG69" s="14">
        <v>-6.5421245421245389E-2</v>
      </c>
      <c r="CH69" s="14">
        <v>-2.8</v>
      </c>
      <c r="CI69" s="14">
        <v>-2</v>
      </c>
      <c r="CJ69" s="14">
        <v>-4.3999999999999986</v>
      </c>
      <c r="CK69" s="14">
        <v>0.39999999999999991</v>
      </c>
      <c r="CL69" s="14">
        <v>-5</v>
      </c>
      <c r="CM69" s="14">
        <v>15.600000000000001</v>
      </c>
      <c r="CN69" s="14">
        <v>0</v>
      </c>
      <c r="CO69" s="14">
        <v>84</v>
      </c>
      <c r="CP69" s="14">
        <v>86.6</v>
      </c>
      <c r="CQ69" s="14">
        <v>0.79999999999999716</v>
      </c>
      <c r="CR69" s="14">
        <v>3.8</v>
      </c>
      <c r="CS69" s="14">
        <v>-7.1999999999999993</v>
      </c>
      <c r="CT69" t="s">
        <v>251</v>
      </c>
      <c r="CU69" t="s">
        <v>456</v>
      </c>
    </row>
    <row r="70" spans="1:99" x14ac:dyDescent="0.2">
      <c r="A70" s="19">
        <v>44101</v>
      </c>
      <c r="B70">
        <v>3</v>
      </c>
      <c r="C70" s="13" t="s">
        <v>382</v>
      </c>
      <c r="D70" s="41" t="s">
        <v>278</v>
      </c>
      <c r="E70" s="14" t="s">
        <v>284</v>
      </c>
      <c r="F70" t="s">
        <v>520</v>
      </c>
      <c r="G70">
        <v>12.559999999999999</v>
      </c>
      <c r="H70" t="s">
        <v>512</v>
      </c>
      <c r="I70">
        <v>7.8</v>
      </c>
      <c r="J70">
        <v>8</v>
      </c>
      <c r="K70">
        <v>26</v>
      </c>
      <c r="L70">
        <v>6</v>
      </c>
      <c r="M70" t="s">
        <v>516</v>
      </c>
      <c r="N70">
        <v>5.5</v>
      </c>
      <c r="O70">
        <v>2</v>
      </c>
      <c r="P70">
        <v>4</v>
      </c>
      <c r="Q70">
        <v>2</v>
      </c>
      <c r="R70" t="s">
        <v>514</v>
      </c>
      <c r="S70">
        <v>10.5</v>
      </c>
      <c r="T70">
        <v>55</v>
      </c>
      <c r="U70">
        <v>9</v>
      </c>
      <c r="V70" t="s">
        <v>170</v>
      </c>
      <c r="W70">
        <v>14.3</v>
      </c>
      <c r="X70">
        <v>43</v>
      </c>
      <c r="Y70">
        <v>4</v>
      </c>
      <c r="Z70" t="s">
        <v>515</v>
      </c>
      <c r="AA70">
        <v>5.8</v>
      </c>
      <c r="AB70">
        <v>30</v>
      </c>
      <c r="AC70">
        <v>5</v>
      </c>
      <c r="AD70">
        <v>13.8</v>
      </c>
      <c r="AE70">
        <v>68</v>
      </c>
      <c r="AF70">
        <v>11</v>
      </c>
      <c r="AG70" t="s">
        <v>106</v>
      </c>
      <c r="AH70">
        <v>9.6</v>
      </c>
      <c r="AI70">
        <v>46</v>
      </c>
      <c r="AJ70">
        <v>10</v>
      </c>
      <c r="AK70">
        <v>6</v>
      </c>
      <c r="AL70">
        <v>1</v>
      </c>
      <c r="AM70">
        <v>4</v>
      </c>
      <c r="AN70" s="21">
        <v>0.42553191489361702</v>
      </c>
      <c r="AO70" s="21">
        <v>0.1276595744680851</v>
      </c>
      <c r="AP70" s="21">
        <v>0.58333333333333337</v>
      </c>
      <c r="AQ70" s="35">
        <v>18</v>
      </c>
      <c r="AR70" s="35">
        <v>39</v>
      </c>
      <c r="AS70" s="35">
        <v>10</v>
      </c>
      <c r="AT70" s="35">
        <v>3</v>
      </c>
      <c r="AU70" s="35">
        <v>63</v>
      </c>
      <c r="AV70" s="35">
        <v>10</v>
      </c>
      <c r="AW70" s="35">
        <v>0</v>
      </c>
      <c r="AX70">
        <v>271</v>
      </c>
      <c r="AY70" s="35">
        <v>229</v>
      </c>
      <c r="AZ70" s="35">
        <v>30</v>
      </c>
      <c r="BA70" s="35">
        <v>-2</v>
      </c>
      <c r="BB70" s="35">
        <v>14</v>
      </c>
      <c r="BC70" t="s">
        <v>284</v>
      </c>
      <c r="BD70" s="14">
        <v>-1.3719999999999999</v>
      </c>
      <c r="BE70" s="14">
        <v>-5.6000000000000005</v>
      </c>
      <c r="BF70" s="14">
        <v>-1.5999999999999996</v>
      </c>
      <c r="BG70" s="14">
        <v>-2.1999999999999993</v>
      </c>
      <c r="BH70" s="14">
        <v>1</v>
      </c>
      <c r="BI70" s="14">
        <v>-0.4399999999999995</v>
      </c>
      <c r="BJ70" s="14">
        <v>-1.2000000000000002</v>
      </c>
      <c r="BK70" s="14">
        <v>-5.1999999999999993</v>
      </c>
      <c r="BL70" s="14">
        <v>-0.79999999999999982</v>
      </c>
      <c r="BM70" s="14">
        <v>-5.0399999999999974</v>
      </c>
      <c r="BN70" s="14">
        <v>-20.400000000000006</v>
      </c>
      <c r="BO70" s="14">
        <v>-2.4000000000000004</v>
      </c>
      <c r="BP70" s="14">
        <v>1.4000000000000004</v>
      </c>
      <c r="BQ70" s="14">
        <v>-16</v>
      </c>
      <c r="BR70" s="14">
        <v>-1.4000000000000004</v>
      </c>
      <c r="BS70" s="14">
        <v>-0.22000000000000064</v>
      </c>
      <c r="BT70" s="14">
        <v>4.6000000000000014</v>
      </c>
      <c r="BU70" s="14">
        <v>2.2000000000000002</v>
      </c>
      <c r="BV70" s="14">
        <v>-3.7199999999999989</v>
      </c>
      <c r="BW70" s="14">
        <v>-17.200000000000003</v>
      </c>
      <c r="BX70" s="14">
        <v>0.19999999999999929</v>
      </c>
      <c r="BY70" s="48">
        <v>2.9399999999999986</v>
      </c>
      <c r="BZ70" s="14">
        <v>17.399999999999999</v>
      </c>
      <c r="CA70" s="14">
        <v>5.6</v>
      </c>
      <c r="CB70" s="14">
        <v>-0.40000000000000036</v>
      </c>
      <c r="CC70" s="14">
        <v>-0.39999999999999991</v>
      </c>
      <c r="CD70" s="14">
        <v>0.79999999999999982</v>
      </c>
      <c r="CE70" s="14">
        <v>3.728504196267135E-3</v>
      </c>
      <c r="CF70" s="14">
        <v>3.4212431926226805E-2</v>
      </c>
      <c r="CG70" s="14">
        <v>-8.8455988455988455E-2</v>
      </c>
      <c r="CH70" s="14">
        <v>5.4</v>
      </c>
      <c r="CI70" s="14">
        <v>2.3999999999999986</v>
      </c>
      <c r="CJ70" s="14">
        <v>-5.1999999999999993</v>
      </c>
      <c r="CK70" s="14">
        <v>0.79999999999999982</v>
      </c>
      <c r="CL70" s="14">
        <v>2.2000000000000028</v>
      </c>
      <c r="CM70" s="14">
        <v>-6.1999999999999993</v>
      </c>
      <c r="CN70" s="14">
        <v>-1.4</v>
      </c>
      <c r="CO70" s="14">
        <v>-47.399999999999977</v>
      </c>
      <c r="CP70" s="14">
        <v>-28.800000000000011</v>
      </c>
      <c r="CQ70" s="14">
        <v>-16.200000000000003</v>
      </c>
      <c r="CR70" s="14">
        <v>-8.1999999999999993</v>
      </c>
      <c r="CS70" s="14">
        <v>5.8000000000000007</v>
      </c>
      <c r="CT70" t="s">
        <v>243</v>
      </c>
      <c r="CU70" t="s">
        <v>486</v>
      </c>
    </row>
    <row r="71" spans="1:99" x14ac:dyDescent="0.2">
      <c r="A71" s="19">
        <v>44101</v>
      </c>
      <c r="B71">
        <v>3</v>
      </c>
      <c r="C71" s="13" t="s">
        <v>382</v>
      </c>
      <c r="D71" s="41" t="s">
        <v>281</v>
      </c>
      <c r="E71" s="14" t="s">
        <v>306</v>
      </c>
      <c r="F71" t="s">
        <v>522</v>
      </c>
      <c r="G71">
        <v>14.34</v>
      </c>
      <c r="H71" t="s">
        <v>531</v>
      </c>
      <c r="I71">
        <v>27</v>
      </c>
      <c r="J71">
        <v>19</v>
      </c>
      <c r="K71">
        <v>108</v>
      </c>
      <c r="L71">
        <v>1</v>
      </c>
      <c r="M71" t="s">
        <v>523</v>
      </c>
      <c r="N71">
        <v>14.4</v>
      </c>
      <c r="O71">
        <v>16</v>
      </c>
      <c r="P71">
        <v>46</v>
      </c>
      <c r="Q71">
        <v>3</v>
      </c>
      <c r="R71" t="s">
        <v>51</v>
      </c>
      <c r="S71">
        <v>9.9</v>
      </c>
      <c r="T71">
        <v>59</v>
      </c>
      <c r="U71">
        <v>6</v>
      </c>
      <c r="V71" t="s">
        <v>52</v>
      </c>
      <c r="W71">
        <v>7.6</v>
      </c>
      <c r="X71">
        <v>36</v>
      </c>
      <c r="Y71">
        <v>4</v>
      </c>
      <c r="Z71" t="s">
        <v>532</v>
      </c>
      <c r="AA71">
        <v>0</v>
      </c>
      <c r="AB71">
        <v>0</v>
      </c>
      <c r="AC71">
        <v>1</v>
      </c>
      <c r="AD71">
        <v>10.199999999999999</v>
      </c>
      <c r="AE71">
        <v>52</v>
      </c>
      <c r="AF71">
        <v>5</v>
      </c>
      <c r="AG71" t="s">
        <v>174</v>
      </c>
      <c r="AH71">
        <v>5.5</v>
      </c>
      <c r="AI71">
        <v>25</v>
      </c>
      <c r="AJ71">
        <v>4</v>
      </c>
      <c r="AK71">
        <v>11</v>
      </c>
      <c r="AL71">
        <v>2</v>
      </c>
      <c r="AM71">
        <v>14</v>
      </c>
      <c r="AN71" s="21">
        <v>0.38461538461538464</v>
      </c>
      <c r="AO71" s="21">
        <v>7.6923076923076927E-2</v>
      </c>
      <c r="AP71" s="21">
        <v>0.8571428571428571</v>
      </c>
      <c r="AQ71" s="35">
        <v>1</v>
      </c>
      <c r="AR71" s="35">
        <v>23</v>
      </c>
      <c r="AS71" s="35">
        <v>35</v>
      </c>
      <c r="AT71" s="35">
        <v>1</v>
      </c>
      <c r="AU71" s="35">
        <v>62</v>
      </c>
      <c r="AV71" s="35">
        <v>34</v>
      </c>
      <c r="AW71" s="35">
        <v>0</v>
      </c>
      <c r="AX71">
        <v>314</v>
      </c>
      <c r="AY71" s="35">
        <v>156</v>
      </c>
      <c r="AZ71" s="35">
        <v>154</v>
      </c>
      <c r="BA71" s="35">
        <v>3</v>
      </c>
      <c r="BB71" s="35">
        <v>1</v>
      </c>
      <c r="BC71" t="s">
        <v>306</v>
      </c>
      <c r="BD71" s="14">
        <v>-9.0080000000000027</v>
      </c>
      <c r="BE71" s="14">
        <v>11.459999999999999</v>
      </c>
      <c r="BF71" s="14">
        <v>3</v>
      </c>
      <c r="BG71" s="14">
        <v>42.599999999999994</v>
      </c>
      <c r="BH71" s="14">
        <v>-1</v>
      </c>
      <c r="BI71" s="14">
        <v>8.2800000000000011</v>
      </c>
      <c r="BJ71" s="14">
        <v>8.6</v>
      </c>
      <c r="BK71" s="14">
        <v>16.2</v>
      </c>
      <c r="BL71" s="14">
        <v>1.4</v>
      </c>
      <c r="BM71" s="14">
        <v>-4.5400000000000009</v>
      </c>
      <c r="BN71" s="14">
        <v>-6</v>
      </c>
      <c r="BO71" s="14">
        <v>-0.40000000000000036</v>
      </c>
      <c r="BP71" s="14">
        <v>-2.0000000000000462E-2</v>
      </c>
      <c r="BQ71" s="14">
        <v>-2.2000000000000028</v>
      </c>
      <c r="BR71" s="14">
        <v>-0.79999999999999982</v>
      </c>
      <c r="BS71" s="14">
        <v>-4.08</v>
      </c>
      <c r="BT71" s="14">
        <v>-26.2</v>
      </c>
      <c r="BU71" s="14">
        <v>-1.7999999999999998</v>
      </c>
      <c r="BV71" s="14">
        <v>-4.6800000000000015</v>
      </c>
      <c r="BW71" s="14">
        <v>-14.799999999999997</v>
      </c>
      <c r="BX71" s="14">
        <v>-2</v>
      </c>
      <c r="BY71" s="48">
        <v>-4.2600000000000016</v>
      </c>
      <c r="BZ71" s="14">
        <v>-20.6</v>
      </c>
      <c r="CA71" s="14">
        <v>0.39999999999999991</v>
      </c>
      <c r="CB71" s="14">
        <v>1.8000000000000007</v>
      </c>
      <c r="CC71" s="14">
        <v>0.19999999999999996</v>
      </c>
      <c r="CD71" s="14">
        <v>3</v>
      </c>
      <c r="CE71" s="14">
        <v>5.5285607803049697E-2</v>
      </c>
      <c r="CF71" s="14">
        <v>2.3811163642558995E-2</v>
      </c>
      <c r="CG71" s="14">
        <v>0.33904761904761893</v>
      </c>
      <c r="CH71" s="14">
        <v>-2</v>
      </c>
      <c r="CI71" s="14">
        <v>-3.3999999999999986</v>
      </c>
      <c r="CJ71" s="14">
        <v>9</v>
      </c>
      <c r="CK71" s="14">
        <v>-4.8</v>
      </c>
      <c r="CL71" s="14">
        <v>1.3999999999999986</v>
      </c>
      <c r="CM71" s="14">
        <v>6.3999999999999986</v>
      </c>
      <c r="CN71" s="14">
        <v>-1.4</v>
      </c>
      <c r="CO71" s="14">
        <v>-41.800000000000011</v>
      </c>
      <c r="CP71" s="14">
        <v>-55.199999999999989</v>
      </c>
      <c r="CQ71" s="14">
        <v>49.599999999999994</v>
      </c>
      <c r="CR71" s="14">
        <v>2.4</v>
      </c>
      <c r="CS71" s="14">
        <v>-38.6</v>
      </c>
      <c r="CT71" t="s">
        <v>283</v>
      </c>
      <c r="CU71" t="s">
        <v>454</v>
      </c>
    </row>
    <row r="72" spans="1:99" x14ac:dyDescent="0.2">
      <c r="A72" s="19">
        <v>44101</v>
      </c>
      <c r="B72">
        <v>3</v>
      </c>
      <c r="C72" s="13" t="s">
        <v>382</v>
      </c>
      <c r="D72" s="41" t="s">
        <v>284</v>
      </c>
      <c r="E72" s="14" t="s">
        <v>278</v>
      </c>
      <c r="F72" t="s">
        <v>533</v>
      </c>
      <c r="G72">
        <v>23.88</v>
      </c>
      <c r="H72" t="s">
        <v>534</v>
      </c>
      <c r="I72">
        <v>9.3000000000000007</v>
      </c>
      <c r="J72">
        <v>13</v>
      </c>
      <c r="K72">
        <v>53</v>
      </c>
      <c r="L72">
        <v>4</v>
      </c>
      <c r="M72" t="s">
        <v>535</v>
      </c>
      <c r="N72">
        <v>4.2</v>
      </c>
      <c r="O72">
        <v>7</v>
      </c>
      <c r="P72">
        <v>15</v>
      </c>
      <c r="Q72">
        <v>2</v>
      </c>
      <c r="R72" t="s">
        <v>92</v>
      </c>
      <c r="S72">
        <v>17.399999999999999</v>
      </c>
      <c r="T72">
        <v>64</v>
      </c>
      <c r="U72">
        <v>6</v>
      </c>
      <c r="V72" t="s">
        <v>20</v>
      </c>
      <c r="W72">
        <v>14.2</v>
      </c>
      <c r="X72">
        <v>2</v>
      </c>
      <c r="Y72">
        <v>4</v>
      </c>
      <c r="Z72" t="s">
        <v>162</v>
      </c>
      <c r="AA72">
        <v>11.3</v>
      </c>
      <c r="AB72">
        <v>83</v>
      </c>
      <c r="AC72">
        <v>5</v>
      </c>
      <c r="AD72">
        <v>28</v>
      </c>
      <c r="AE72">
        <v>140</v>
      </c>
      <c r="AF72">
        <v>10</v>
      </c>
      <c r="AG72" t="s">
        <v>536</v>
      </c>
      <c r="AH72">
        <v>10.8</v>
      </c>
      <c r="AI72">
        <v>48</v>
      </c>
      <c r="AJ72">
        <v>7</v>
      </c>
      <c r="AK72">
        <v>9</v>
      </c>
      <c r="AL72">
        <v>2</v>
      </c>
      <c r="AM72">
        <v>18</v>
      </c>
      <c r="AN72" s="21">
        <v>0.1951219512195122</v>
      </c>
      <c r="AO72" s="21">
        <v>4.878048780487805E-2</v>
      </c>
      <c r="AP72" s="21">
        <v>0.5</v>
      </c>
      <c r="AQ72" s="35">
        <v>4</v>
      </c>
      <c r="AR72" s="35">
        <v>38</v>
      </c>
      <c r="AS72" s="35">
        <v>20</v>
      </c>
      <c r="AT72" s="35">
        <v>5</v>
      </c>
      <c r="AU72" s="35">
        <v>65</v>
      </c>
      <c r="AV72" s="35">
        <v>26</v>
      </c>
      <c r="AW72" s="35">
        <v>2</v>
      </c>
      <c r="AX72">
        <v>365</v>
      </c>
      <c r="AY72" s="35">
        <v>297</v>
      </c>
      <c r="AZ72" s="35">
        <v>68</v>
      </c>
      <c r="BA72" s="35">
        <v>0</v>
      </c>
      <c r="BB72" s="35">
        <v>0</v>
      </c>
      <c r="BC72" t="s">
        <v>278</v>
      </c>
      <c r="BD72" s="14">
        <v>1.3300000000000018</v>
      </c>
      <c r="BE72" s="14">
        <v>-3.7749999999999986</v>
      </c>
      <c r="BF72" s="14">
        <v>1.5</v>
      </c>
      <c r="BG72" s="14">
        <v>3.75</v>
      </c>
      <c r="BH72" s="14">
        <v>-0.25</v>
      </c>
      <c r="BI72" s="14">
        <v>0.94999999999999973</v>
      </c>
      <c r="BJ72" s="14">
        <v>3.75</v>
      </c>
      <c r="BK72" s="14">
        <v>6.5</v>
      </c>
      <c r="BL72" s="14">
        <v>0</v>
      </c>
      <c r="BM72" s="14">
        <v>1.0700000000000003</v>
      </c>
      <c r="BN72" s="14">
        <v>-3</v>
      </c>
      <c r="BO72" s="14">
        <v>-2.75</v>
      </c>
      <c r="BP72" s="14">
        <v>2.2250000000000014</v>
      </c>
      <c r="BQ72" s="14">
        <v>-40.25</v>
      </c>
      <c r="BR72" s="14">
        <v>-2.25</v>
      </c>
      <c r="BS72" s="14">
        <v>2.4499999999999993</v>
      </c>
      <c r="BT72" s="14">
        <v>34.5</v>
      </c>
      <c r="BU72" s="14">
        <v>0.5</v>
      </c>
      <c r="BV72" s="14">
        <v>12.350000000000001</v>
      </c>
      <c r="BW72" s="14">
        <v>61</v>
      </c>
      <c r="BX72" s="14">
        <v>0.75</v>
      </c>
      <c r="BY72" s="48">
        <v>4.3</v>
      </c>
      <c r="BZ72" s="14">
        <v>13</v>
      </c>
      <c r="CA72" s="14">
        <v>2.5</v>
      </c>
      <c r="CB72" s="14">
        <v>-1</v>
      </c>
      <c r="CC72" s="14">
        <v>-0.5</v>
      </c>
      <c r="CD72" s="14">
        <v>6.5</v>
      </c>
      <c r="CE72" s="14">
        <v>-0.11442616911007386</v>
      </c>
      <c r="CF72" s="14">
        <v>-2.8918901891175255E-2</v>
      </c>
      <c r="CG72" s="14">
        <v>-6.7857142857142838E-2</v>
      </c>
      <c r="CH72" s="14">
        <v>-3.25</v>
      </c>
      <c r="CI72" s="14">
        <v>1</v>
      </c>
      <c r="CJ72" s="14">
        <v>2</v>
      </c>
      <c r="CK72" s="14">
        <v>-1</v>
      </c>
      <c r="CL72" s="14">
        <v>0.25</v>
      </c>
      <c r="CM72" s="14">
        <v>5.25</v>
      </c>
      <c r="CN72" s="14">
        <v>-0.75</v>
      </c>
      <c r="CO72" s="14">
        <v>6.5</v>
      </c>
      <c r="CP72" s="14">
        <v>44.25</v>
      </c>
      <c r="CQ72" s="14">
        <v>1.75</v>
      </c>
      <c r="CR72" s="14">
        <v>0</v>
      </c>
      <c r="CS72" s="14">
        <v>-39.5</v>
      </c>
      <c r="CT72" t="s">
        <v>240</v>
      </c>
      <c r="CU72" t="s">
        <v>540</v>
      </c>
    </row>
    <row r="73" spans="1:99" x14ac:dyDescent="0.2">
      <c r="A73" s="19">
        <v>44101</v>
      </c>
      <c r="B73">
        <v>3</v>
      </c>
      <c r="C73" s="13" t="s">
        <v>382</v>
      </c>
      <c r="D73" s="41" t="s">
        <v>285</v>
      </c>
      <c r="E73" s="14" t="s">
        <v>299</v>
      </c>
      <c r="F73" t="s">
        <v>541</v>
      </c>
      <c r="G73">
        <v>27.7</v>
      </c>
      <c r="H73" t="s">
        <v>542</v>
      </c>
      <c r="I73">
        <v>8.9</v>
      </c>
      <c r="J73">
        <v>18</v>
      </c>
      <c r="K73">
        <v>73</v>
      </c>
      <c r="L73">
        <v>1</v>
      </c>
      <c r="M73" t="s">
        <v>543</v>
      </c>
      <c r="N73">
        <v>5.4</v>
      </c>
      <c r="O73">
        <v>3</v>
      </c>
      <c r="P73">
        <v>13</v>
      </c>
      <c r="Q73">
        <v>2</v>
      </c>
      <c r="R73" t="s">
        <v>22</v>
      </c>
      <c r="S73">
        <v>26.7</v>
      </c>
      <c r="T73">
        <v>137</v>
      </c>
      <c r="U73">
        <v>12</v>
      </c>
      <c r="V73" t="s">
        <v>546</v>
      </c>
      <c r="W73">
        <v>20.100000000000001</v>
      </c>
      <c r="X73">
        <v>47</v>
      </c>
      <c r="Y73">
        <v>4</v>
      </c>
      <c r="Z73" t="s">
        <v>17</v>
      </c>
      <c r="AA73">
        <v>1</v>
      </c>
      <c r="AB73">
        <v>0</v>
      </c>
      <c r="AC73">
        <v>3</v>
      </c>
      <c r="AD73">
        <v>26.9</v>
      </c>
      <c r="AE73">
        <v>79</v>
      </c>
      <c r="AF73">
        <v>10</v>
      </c>
      <c r="AG73" t="s">
        <v>544</v>
      </c>
      <c r="AH73">
        <v>2.1</v>
      </c>
      <c r="AI73">
        <v>11</v>
      </c>
      <c r="AJ73">
        <v>2</v>
      </c>
      <c r="AK73">
        <v>7</v>
      </c>
      <c r="AL73">
        <v>1</v>
      </c>
      <c r="AM73">
        <v>4</v>
      </c>
      <c r="AN73" s="21">
        <v>0.21621621621621623</v>
      </c>
      <c r="AO73" s="21">
        <v>2.7027027027027029E-2</v>
      </c>
      <c r="AP73" s="21">
        <v>0.6</v>
      </c>
      <c r="AQ73" s="35">
        <v>7</v>
      </c>
      <c r="AR73" s="35">
        <v>35</v>
      </c>
      <c r="AS73" s="35">
        <v>21</v>
      </c>
      <c r="AT73" s="35">
        <v>5</v>
      </c>
      <c r="AU73" s="35">
        <v>63</v>
      </c>
      <c r="AV73" s="35">
        <v>23</v>
      </c>
      <c r="AW73" s="35">
        <v>0</v>
      </c>
      <c r="AX73">
        <v>379</v>
      </c>
      <c r="AY73" s="35">
        <v>270</v>
      </c>
      <c r="AZ73" s="35">
        <v>86</v>
      </c>
      <c r="BA73" s="35">
        <v>-6</v>
      </c>
      <c r="BB73" s="35">
        <v>29</v>
      </c>
      <c r="BC73" t="s">
        <v>299</v>
      </c>
      <c r="BD73" s="14">
        <v>6.2099999999999973</v>
      </c>
      <c r="BE73" s="14">
        <v>-14.525</v>
      </c>
      <c r="BF73" s="14">
        <v>1.25</v>
      </c>
      <c r="BG73" s="14">
        <v>-15.25</v>
      </c>
      <c r="BH73" s="14">
        <v>-3.25</v>
      </c>
      <c r="BI73" s="14">
        <v>-4.4749999999999996</v>
      </c>
      <c r="BJ73" s="14">
        <v>-3.25</v>
      </c>
      <c r="BK73" s="14">
        <v>-22</v>
      </c>
      <c r="BL73" s="14">
        <v>0</v>
      </c>
      <c r="BM73" s="14">
        <v>9.9250000000000007</v>
      </c>
      <c r="BN73" s="14">
        <v>66.75</v>
      </c>
      <c r="BO73" s="14">
        <v>3.25</v>
      </c>
      <c r="BP73" s="14">
        <v>3.0749999999999993</v>
      </c>
      <c r="BQ73" s="14">
        <v>-39.75</v>
      </c>
      <c r="BR73" s="14">
        <v>-3.25</v>
      </c>
      <c r="BS73" s="14">
        <v>-1.0249999999999999</v>
      </c>
      <c r="BT73" s="14">
        <v>-5</v>
      </c>
      <c r="BU73" s="14">
        <v>0</v>
      </c>
      <c r="BV73" s="14">
        <v>8.875</v>
      </c>
      <c r="BW73" s="14">
        <v>-3.75</v>
      </c>
      <c r="BX73" s="14">
        <v>1</v>
      </c>
      <c r="BY73" s="48">
        <v>-1.4750000000000001</v>
      </c>
      <c r="BZ73" s="14">
        <v>0.25</v>
      </c>
      <c r="CA73" s="14">
        <v>0.5</v>
      </c>
      <c r="CB73" s="14">
        <v>0.5</v>
      </c>
      <c r="CC73" s="14">
        <v>-0.25</v>
      </c>
      <c r="CD73" s="14">
        <v>-1.25</v>
      </c>
      <c r="CE73" s="14">
        <v>-4.2472840345180785E-2</v>
      </c>
      <c r="CF73" s="14">
        <v>-1.1143154760176036E-2</v>
      </c>
      <c r="CG73" s="14">
        <v>-0.16057692307692306</v>
      </c>
      <c r="CH73" s="14">
        <v>4.5</v>
      </c>
      <c r="CI73" s="14">
        <v>1.5</v>
      </c>
      <c r="CJ73" s="14">
        <v>-3.5</v>
      </c>
      <c r="CK73" s="14">
        <v>0.5</v>
      </c>
      <c r="CL73" s="14">
        <v>-1.75</v>
      </c>
      <c r="CM73" s="14">
        <v>-4.25</v>
      </c>
      <c r="CN73" s="14">
        <v>-1.75</v>
      </c>
      <c r="CO73" s="14">
        <v>-14.75</v>
      </c>
      <c r="CP73" s="14">
        <v>20.25</v>
      </c>
      <c r="CQ73" s="14">
        <v>-42.5</v>
      </c>
      <c r="CR73" s="14">
        <v>-7.25</v>
      </c>
      <c r="CS73" s="14">
        <v>14.75</v>
      </c>
      <c r="CT73" t="s">
        <v>258</v>
      </c>
      <c r="CU73" t="s">
        <v>478</v>
      </c>
    </row>
    <row r="74" spans="1:99" x14ac:dyDescent="0.2">
      <c r="A74" s="19">
        <v>44101</v>
      </c>
      <c r="B74">
        <v>3</v>
      </c>
      <c r="C74" s="13" t="s">
        <v>382</v>
      </c>
      <c r="D74" s="41" t="s">
        <v>289</v>
      </c>
      <c r="E74" s="14" t="s">
        <v>298</v>
      </c>
      <c r="F74" t="s">
        <v>548</v>
      </c>
      <c r="G74">
        <v>12.68</v>
      </c>
      <c r="H74" t="s">
        <v>549</v>
      </c>
      <c r="I74">
        <v>13.2</v>
      </c>
      <c r="J74">
        <v>13</v>
      </c>
      <c r="K74">
        <v>59</v>
      </c>
      <c r="L74">
        <v>1</v>
      </c>
      <c r="M74" t="s">
        <v>550</v>
      </c>
      <c r="N74">
        <v>10.1</v>
      </c>
      <c r="O74">
        <v>7</v>
      </c>
      <c r="P74">
        <v>21</v>
      </c>
      <c r="Q74">
        <v>5</v>
      </c>
      <c r="R74" t="s">
        <v>182</v>
      </c>
      <c r="S74">
        <v>8.1999999999999993</v>
      </c>
      <c r="T74">
        <v>52</v>
      </c>
      <c r="U74">
        <v>3</v>
      </c>
      <c r="V74" t="s">
        <v>554</v>
      </c>
      <c r="W74">
        <v>5.6</v>
      </c>
      <c r="X74">
        <v>26</v>
      </c>
      <c r="Y74">
        <v>4</v>
      </c>
      <c r="Z74" t="s">
        <v>96</v>
      </c>
      <c r="AA74">
        <v>5.4</v>
      </c>
      <c r="AB74">
        <v>34</v>
      </c>
      <c r="AC74">
        <v>4</v>
      </c>
      <c r="AD74">
        <v>11.5</v>
      </c>
      <c r="AE74">
        <v>75</v>
      </c>
      <c r="AF74">
        <v>5</v>
      </c>
      <c r="AG74" t="s">
        <v>553</v>
      </c>
      <c r="AH74">
        <v>14</v>
      </c>
      <c r="AI74">
        <v>50</v>
      </c>
      <c r="AJ74">
        <v>3</v>
      </c>
      <c r="AK74">
        <v>11</v>
      </c>
      <c r="AL74">
        <v>3</v>
      </c>
      <c r="AM74">
        <v>26</v>
      </c>
      <c r="AN74" s="21">
        <v>0.24</v>
      </c>
      <c r="AO74" s="21">
        <v>0</v>
      </c>
      <c r="AP74" s="21">
        <v>0.33333333333333331</v>
      </c>
      <c r="AQ74" s="35">
        <v>0</v>
      </c>
      <c r="AR74" s="35">
        <v>25</v>
      </c>
      <c r="AS74" s="35">
        <v>29</v>
      </c>
      <c r="AT74" s="35">
        <v>2</v>
      </c>
      <c r="AU74" s="35">
        <v>56</v>
      </c>
      <c r="AV74" s="35">
        <v>20</v>
      </c>
      <c r="AW74" s="35">
        <v>16</v>
      </c>
      <c r="AX74">
        <v>353</v>
      </c>
      <c r="AY74" s="35">
        <v>234</v>
      </c>
      <c r="AZ74" s="35">
        <v>119</v>
      </c>
      <c r="BA74" s="35">
        <v>0</v>
      </c>
      <c r="BB74" s="35">
        <v>0</v>
      </c>
      <c r="BC74" t="s">
        <v>298</v>
      </c>
      <c r="BD74" s="14">
        <v>-5.5159999999999982</v>
      </c>
      <c r="BE74" s="14">
        <v>-4.6999999999999993</v>
      </c>
      <c r="BF74" s="14">
        <v>-3</v>
      </c>
      <c r="BG74" s="14">
        <v>-22.799999999999997</v>
      </c>
      <c r="BH74" s="14">
        <v>-1.2000000000000002</v>
      </c>
      <c r="BI74" s="14">
        <v>1.3600000000000012</v>
      </c>
      <c r="BJ74" s="14">
        <v>0.40000000000000036</v>
      </c>
      <c r="BK74" s="14">
        <v>3</v>
      </c>
      <c r="BL74" s="14">
        <v>1.6</v>
      </c>
      <c r="BM74" s="14">
        <v>-5.3200000000000021</v>
      </c>
      <c r="BN74" s="14">
        <v>-17.200000000000003</v>
      </c>
      <c r="BO74" s="14">
        <v>-2.4000000000000004</v>
      </c>
      <c r="BP74" s="14">
        <v>-6.1200000000000028</v>
      </c>
      <c r="BQ74" s="14">
        <v>-25.200000000000003</v>
      </c>
      <c r="BR74" s="14">
        <v>-0.79999999999999982</v>
      </c>
      <c r="BS74" s="14">
        <v>8.0000000000000071E-2</v>
      </c>
      <c r="BT74" s="14">
        <v>6.8000000000000007</v>
      </c>
      <c r="BU74" s="14">
        <v>-0.20000000000000018</v>
      </c>
      <c r="BV74" s="14">
        <v>-5.5600000000000023</v>
      </c>
      <c r="BW74" s="14">
        <v>-3.5999999999999943</v>
      </c>
      <c r="BX74" s="14">
        <v>-2.5999999999999996</v>
      </c>
      <c r="BY74" s="48">
        <v>0.74000000000000021</v>
      </c>
      <c r="BZ74" s="14">
        <v>5.3999999999999986</v>
      </c>
      <c r="CA74" s="14">
        <v>-1.4000000000000004</v>
      </c>
      <c r="CB74" s="14">
        <v>0.40000000000000036</v>
      </c>
      <c r="CC74" s="14">
        <v>1</v>
      </c>
      <c r="CD74" s="14">
        <v>14.2</v>
      </c>
      <c r="CE74" s="14">
        <v>-8.5116581777023248E-2</v>
      </c>
      <c r="CF74" s="14">
        <v>-3.7763157894736846E-2</v>
      </c>
      <c r="CG74" s="14">
        <v>-0.21000000000000002</v>
      </c>
      <c r="CH74" s="14">
        <v>-4</v>
      </c>
      <c r="CI74" s="14">
        <v>-4.8000000000000007</v>
      </c>
      <c r="CJ74" s="14">
        <v>3.6000000000000014</v>
      </c>
      <c r="CK74" s="14">
        <v>-2</v>
      </c>
      <c r="CL74" s="14">
        <v>-4.3999999999999986</v>
      </c>
      <c r="CM74" s="14">
        <v>-8.3999999999999986</v>
      </c>
      <c r="CN74" s="14">
        <v>12.8</v>
      </c>
      <c r="CO74" s="14">
        <v>-29.199999999999989</v>
      </c>
      <c r="CP74" s="14">
        <v>-17.599999999999994</v>
      </c>
      <c r="CQ74" s="14">
        <v>-4.2000000000000028</v>
      </c>
      <c r="CR74" s="14">
        <v>0</v>
      </c>
      <c r="CS74" s="14">
        <v>-7.4</v>
      </c>
      <c r="CT74" t="s">
        <v>262</v>
      </c>
      <c r="CU74" t="s">
        <v>473</v>
      </c>
    </row>
    <row r="75" spans="1:99" x14ac:dyDescent="0.2">
      <c r="A75" s="19">
        <v>44101</v>
      </c>
      <c r="B75">
        <v>3</v>
      </c>
      <c r="C75" s="13" t="s">
        <v>382</v>
      </c>
      <c r="D75" s="41" t="s">
        <v>287</v>
      </c>
      <c r="E75" s="14" t="s">
        <v>301</v>
      </c>
      <c r="F75" t="s">
        <v>557</v>
      </c>
      <c r="G75">
        <v>19.7</v>
      </c>
      <c r="H75" t="s">
        <v>561</v>
      </c>
      <c r="I75">
        <v>31.3</v>
      </c>
      <c r="J75">
        <v>12</v>
      </c>
      <c r="K75">
        <v>59</v>
      </c>
      <c r="L75">
        <v>11</v>
      </c>
      <c r="M75" t="s">
        <v>559</v>
      </c>
      <c r="N75">
        <v>6.2</v>
      </c>
      <c r="O75">
        <v>8</v>
      </c>
      <c r="P75">
        <v>43</v>
      </c>
      <c r="Q75">
        <v>2</v>
      </c>
      <c r="R75" t="s">
        <v>62</v>
      </c>
      <c r="S75">
        <v>34.200000000000003</v>
      </c>
      <c r="T75">
        <v>132</v>
      </c>
      <c r="U75">
        <v>19</v>
      </c>
      <c r="V75" t="s">
        <v>560</v>
      </c>
      <c r="W75">
        <v>4.3</v>
      </c>
      <c r="X75">
        <v>23</v>
      </c>
      <c r="Y75">
        <v>3</v>
      </c>
      <c r="Z75" t="s">
        <v>83</v>
      </c>
      <c r="AA75">
        <v>2.7</v>
      </c>
      <c r="AB75">
        <v>17</v>
      </c>
      <c r="AC75">
        <v>1</v>
      </c>
      <c r="AD75">
        <v>30</v>
      </c>
      <c r="AE75">
        <v>120</v>
      </c>
      <c r="AF75">
        <v>14</v>
      </c>
      <c r="AG75" t="s">
        <v>117</v>
      </c>
      <c r="AH75">
        <v>10</v>
      </c>
      <c r="AI75">
        <v>50</v>
      </c>
      <c r="AJ75">
        <v>7</v>
      </c>
      <c r="AK75">
        <v>5</v>
      </c>
      <c r="AL75">
        <v>1</v>
      </c>
      <c r="AM75">
        <v>4</v>
      </c>
      <c r="AN75" s="21">
        <v>0.41509433962264153</v>
      </c>
      <c r="AO75" s="21">
        <v>3.7735849056603772E-2</v>
      </c>
      <c r="AP75" s="21">
        <v>0.76470588235294112</v>
      </c>
      <c r="AQ75" s="35">
        <v>11</v>
      </c>
      <c r="AR75" s="35">
        <v>49</v>
      </c>
      <c r="AS75" s="35">
        <v>20</v>
      </c>
      <c r="AT75" s="35">
        <v>3</v>
      </c>
      <c r="AU75" s="35">
        <v>74</v>
      </c>
      <c r="AV75" s="35">
        <v>16</v>
      </c>
      <c r="AW75" s="35">
        <v>0</v>
      </c>
      <c r="AX75">
        <v>447</v>
      </c>
      <c r="AY75" s="35">
        <v>330</v>
      </c>
      <c r="AZ75" s="35">
        <v>102</v>
      </c>
      <c r="BA75" s="35">
        <v>0</v>
      </c>
      <c r="BB75" s="35">
        <v>15</v>
      </c>
      <c r="BC75" t="s">
        <v>301</v>
      </c>
      <c r="BD75" s="14">
        <v>3.7480000000000011</v>
      </c>
      <c r="BE75" s="14">
        <v>9.8800000000000026</v>
      </c>
      <c r="BF75" s="14">
        <v>-2</v>
      </c>
      <c r="BG75" s="14">
        <v>-16.200000000000003</v>
      </c>
      <c r="BH75" s="14">
        <v>5.8</v>
      </c>
      <c r="BI75" s="14">
        <v>-1.6599999999999993</v>
      </c>
      <c r="BJ75" s="14">
        <v>3</v>
      </c>
      <c r="BK75" s="14">
        <v>18.8</v>
      </c>
      <c r="BL75" s="14">
        <v>-0.39999999999999991</v>
      </c>
      <c r="BM75" s="14">
        <v>12.879999999999999</v>
      </c>
      <c r="BN75" s="14">
        <v>38.799999999999997</v>
      </c>
      <c r="BO75" s="14">
        <v>7.6</v>
      </c>
      <c r="BP75" s="14">
        <v>-1.580000000000001</v>
      </c>
      <c r="BQ75" s="14">
        <v>0.19999999999999929</v>
      </c>
      <c r="BR75" s="14">
        <v>-0.79999999999999982</v>
      </c>
      <c r="BS75" s="14">
        <v>-0.73999999999999977</v>
      </c>
      <c r="BT75" s="14">
        <v>0.80000000000000071</v>
      </c>
      <c r="BU75" s="14">
        <v>-2.2000000000000002</v>
      </c>
      <c r="BV75" s="14">
        <v>13.34</v>
      </c>
      <c r="BW75" s="14">
        <v>51.400000000000006</v>
      </c>
      <c r="BX75" s="14">
        <v>3.1999999999999993</v>
      </c>
      <c r="BY75" s="48">
        <v>3.76</v>
      </c>
      <c r="BZ75" s="14">
        <v>21.6</v>
      </c>
      <c r="CA75" s="14">
        <v>1.4000000000000004</v>
      </c>
      <c r="CB75" s="14">
        <v>-3.1999999999999993</v>
      </c>
      <c r="CC75" s="14">
        <v>-0.60000000000000009</v>
      </c>
      <c r="CD75" s="14">
        <v>-2</v>
      </c>
      <c r="CE75" s="14">
        <v>0.11086668048932202</v>
      </c>
      <c r="CF75" s="14">
        <v>1.4217983274587051E-2</v>
      </c>
      <c r="CG75" s="14">
        <v>0.16176470588235292</v>
      </c>
      <c r="CH75" s="14">
        <v>6.2</v>
      </c>
      <c r="CI75" s="14">
        <v>10.799999999999997</v>
      </c>
      <c r="CJ75" s="14">
        <v>0</v>
      </c>
      <c r="CK75" s="14">
        <v>-0.20000000000000018</v>
      </c>
      <c r="CL75" s="14">
        <v>9.5999999999999943</v>
      </c>
      <c r="CM75" s="14">
        <v>-5.3999999999999986</v>
      </c>
      <c r="CN75" s="14">
        <v>0</v>
      </c>
      <c r="CO75" s="14">
        <v>107</v>
      </c>
      <c r="CP75" s="14">
        <v>109.19999999999999</v>
      </c>
      <c r="CQ75" s="14">
        <v>2.4000000000000057</v>
      </c>
      <c r="CR75" s="14">
        <v>-0.4</v>
      </c>
      <c r="CS75" s="14">
        <v>-4.1999999999999993</v>
      </c>
      <c r="CT75" t="s">
        <v>279</v>
      </c>
      <c r="CU75" t="s">
        <v>484</v>
      </c>
    </row>
    <row r="76" spans="1:99" x14ac:dyDescent="0.2">
      <c r="A76" s="19">
        <v>44101</v>
      </c>
      <c r="B76">
        <v>3</v>
      </c>
      <c r="C76" s="13" t="s">
        <v>382</v>
      </c>
      <c r="D76" s="41" t="s">
        <v>288</v>
      </c>
      <c r="E76" s="14" t="s">
        <v>305</v>
      </c>
      <c r="F76" t="s">
        <v>564</v>
      </c>
      <c r="G76">
        <v>43</v>
      </c>
      <c r="H76" t="s">
        <v>565</v>
      </c>
      <c r="I76">
        <v>18.399999999999999</v>
      </c>
      <c r="J76">
        <v>20</v>
      </c>
      <c r="K76">
        <v>64</v>
      </c>
      <c r="L76">
        <v>6</v>
      </c>
      <c r="M76" t="s">
        <v>570</v>
      </c>
      <c r="N76">
        <v>7.5</v>
      </c>
      <c r="O76">
        <v>1</v>
      </c>
      <c r="P76">
        <v>0</v>
      </c>
      <c r="Q76">
        <v>1</v>
      </c>
      <c r="R76" t="s">
        <v>168</v>
      </c>
      <c r="S76">
        <v>21.2</v>
      </c>
      <c r="T76">
        <v>77</v>
      </c>
      <c r="U76">
        <v>6</v>
      </c>
      <c r="V76" t="s">
        <v>567</v>
      </c>
      <c r="W76">
        <v>18.100000000000001</v>
      </c>
      <c r="X76">
        <v>81</v>
      </c>
      <c r="Y76">
        <v>6</v>
      </c>
      <c r="Z76" t="s">
        <v>18</v>
      </c>
      <c r="AA76">
        <v>13.2</v>
      </c>
      <c r="AB76">
        <v>62</v>
      </c>
      <c r="AC76">
        <v>8</v>
      </c>
      <c r="AD76">
        <v>17</v>
      </c>
      <c r="AE76">
        <v>90</v>
      </c>
      <c r="AF76">
        <v>12</v>
      </c>
      <c r="AG76" t="s">
        <v>19</v>
      </c>
      <c r="AH76">
        <v>14.7</v>
      </c>
      <c r="AI76">
        <v>87</v>
      </c>
      <c r="AJ76">
        <v>7</v>
      </c>
      <c r="AK76">
        <v>3</v>
      </c>
      <c r="AL76">
        <v>1</v>
      </c>
      <c r="AM76">
        <v>7</v>
      </c>
      <c r="AN76" s="21">
        <v>0.27659574468085107</v>
      </c>
      <c r="AO76" s="21">
        <v>0</v>
      </c>
      <c r="AP76" s="21">
        <v>0.81818181818181823</v>
      </c>
      <c r="AQ76" s="35">
        <v>7</v>
      </c>
      <c r="AR76" s="35">
        <v>42</v>
      </c>
      <c r="AS76" s="35">
        <v>25</v>
      </c>
      <c r="AT76" s="35">
        <v>4</v>
      </c>
      <c r="AU76" s="35">
        <v>73</v>
      </c>
      <c r="AV76" s="35">
        <v>34</v>
      </c>
      <c r="AW76" s="35">
        <v>0</v>
      </c>
      <c r="AX76" s="35">
        <v>517</v>
      </c>
      <c r="AY76" s="35">
        <v>385</v>
      </c>
      <c r="AZ76" s="35">
        <v>81</v>
      </c>
      <c r="BA76" s="35">
        <v>25</v>
      </c>
      <c r="BB76" s="35">
        <v>26</v>
      </c>
      <c r="BC76" t="s">
        <v>305</v>
      </c>
      <c r="BD76" s="14">
        <v>19.54</v>
      </c>
      <c r="BE76" s="14">
        <v>2.639999999999997</v>
      </c>
      <c r="BF76" s="14">
        <v>4.5999999999999996</v>
      </c>
      <c r="BG76" s="14">
        <v>-0.20000000000000284</v>
      </c>
      <c r="BH76" s="14">
        <v>1</v>
      </c>
      <c r="BI76" s="14">
        <v>3.0200000000000005</v>
      </c>
      <c r="BJ76" s="14">
        <v>0</v>
      </c>
      <c r="BK76" s="14">
        <v>-2</v>
      </c>
      <c r="BL76" s="14">
        <v>-2</v>
      </c>
      <c r="BM76" s="14">
        <v>6.0599999999999987</v>
      </c>
      <c r="BN76" s="14">
        <v>10.599999999999994</v>
      </c>
      <c r="BO76" s="14">
        <v>-1.5999999999999996</v>
      </c>
      <c r="BP76" s="14">
        <v>7.3800000000000008</v>
      </c>
      <c r="BQ76" s="14">
        <v>27.799999999999997</v>
      </c>
      <c r="BR76" s="14">
        <v>0.40000000000000036</v>
      </c>
      <c r="BS76" s="14">
        <v>7.36</v>
      </c>
      <c r="BT76" s="14">
        <v>21.4</v>
      </c>
      <c r="BU76" s="14">
        <v>3.2</v>
      </c>
      <c r="BV76" s="14">
        <v>-2.6799999999999997</v>
      </c>
      <c r="BW76" s="14">
        <v>-18.799999999999997</v>
      </c>
      <c r="BX76" s="14">
        <v>0</v>
      </c>
      <c r="BY76" s="48">
        <v>6.6</v>
      </c>
      <c r="BZ76" s="14">
        <v>46</v>
      </c>
      <c r="CA76" s="14">
        <v>1</v>
      </c>
      <c r="CB76" s="14">
        <v>-0.60000000000000009</v>
      </c>
      <c r="CC76" s="14">
        <v>-0.39999999999999991</v>
      </c>
      <c r="CD76" s="14">
        <v>3</v>
      </c>
      <c r="CE76" s="14">
        <v>-0.10249236248971938</v>
      </c>
      <c r="CF76" s="14">
        <v>-9.1065553098062677E-2</v>
      </c>
      <c r="CG76" s="14">
        <v>0.24502164502164503</v>
      </c>
      <c r="CH76" s="14">
        <v>-5.1999999999999993</v>
      </c>
      <c r="CI76" s="14">
        <v>3.3999999999999986</v>
      </c>
      <c r="CJ76" s="14">
        <v>7.1999999999999993</v>
      </c>
      <c r="CK76" s="14">
        <v>-0.40000000000000036</v>
      </c>
      <c r="CL76" s="14">
        <v>7.2000000000000028</v>
      </c>
      <c r="CM76" s="14">
        <v>14.399999999999999</v>
      </c>
      <c r="CN76" s="14">
        <v>0</v>
      </c>
      <c r="CO76" s="14">
        <v>139.80000000000001</v>
      </c>
      <c r="CP76" s="14">
        <v>111</v>
      </c>
      <c r="CQ76" s="14">
        <v>10.400000000000006</v>
      </c>
      <c r="CR76" s="14">
        <v>18</v>
      </c>
      <c r="CS76" s="14">
        <v>0.39999999999999858</v>
      </c>
      <c r="CT76" t="s">
        <v>268</v>
      </c>
      <c r="CU76" t="s">
        <v>500</v>
      </c>
    </row>
    <row r="77" spans="1:99" x14ac:dyDescent="0.2">
      <c r="A77" s="19">
        <v>44101</v>
      </c>
      <c r="B77">
        <v>3</v>
      </c>
      <c r="C77" s="13" t="s">
        <v>382</v>
      </c>
      <c r="D77" s="41" t="s">
        <v>291</v>
      </c>
      <c r="E77" s="14" t="s">
        <v>308</v>
      </c>
      <c r="F77" t="s">
        <v>577</v>
      </c>
      <c r="G77">
        <v>33.479999999999997</v>
      </c>
      <c r="H77" t="s">
        <v>572</v>
      </c>
      <c r="I77">
        <v>17.8</v>
      </c>
      <c r="J77">
        <v>14</v>
      </c>
      <c r="K77">
        <v>34</v>
      </c>
      <c r="L77">
        <v>11</v>
      </c>
      <c r="M77" t="s">
        <v>573</v>
      </c>
      <c r="N77">
        <v>0.5</v>
      </c>
      <c r="O77">
        <v>0</v>
      </c>
      <c r="P77">
        <v>0</v>
      </c>
      <c r="Q77">
        <v>1</v>
      </c>
      <c r="R77" t="s">
        <v>116</v>
      </c>
      <c r="S77">
        <v>17.600000000000001</v>
      </c>
      <c r="T77">
        <v>86</v>
      </c>
      <c r="U77">
        <v>12</v>
      </c>
      <c r="V77" t="s">
        <v>14</v>
      </c>
      <c r="W77">
        <v>28.8</v>
      </c>
      <c r="X77">
        <v>139</v>
      </c>
      <c r="Y77">
        <v>9</v>
      </c>
      <c r="Z77" t="s">
        <v>576</v>
      </c>
      <c r="AA77">
        <v>30.7</v>
      </c>
      <c r="AB77">
        <v>107</v>
      </c>
      <c r="AC77">
        <v>7</v>
      </c>
      <c r="AD77">
        <v>34.799999999999997</v>
      </c>
      <c r="AE77">
        <v>168</v>
      </c>
      <c r="AF77">
        <v>18</v>
      </c>
      <c r="AG77" t="s">
        <v>575</v>
      </c>
      <c r="AH77">
        <v>8.8000000000000007</v>
      </c>
      <c r="AI77">
        <v>48</v>
      </c>
      <c r="AJ77">
        <v>6</v>
      </c>
      <c r="AK77">
        <v>9</v>
      </c>
      <c r="AL77">
        <v>2</v>
      </c>
      <c r="AM77">
        <v>2</v>
      </c>
      <c r="AN77" s="21">
        <v>0.22580645161290322</v>
      </c>
      <c r="AO77" s="21">
        <v>3.2258064516129031E-2</v>
      </c>
      <c r="AP77" s="21">
        <v>0.66666666666666663</v>
      </c>
      <c r="AQ77" s="35">
        <v>11</v>
      </c>
      <c r="AR77" s="35">
        <v>57</v>
      </c>
      <c r="AS77" s="35">
        <v>14</v>
      </c>
      <c r="AT77" s="35">
        <v>6</v>
      </c>
      <c r="AU77" s="35">
        <v>80</v>
      </c>
      <c r="AV77" s="35">
        <v>31</v>
      </c>
      <c r="AW77" s="35">
        <v>0</v>
      </c>
      <c r="AX77">
        <v>533</v>
      </c>
      <c r="AY77" s="35">
        <v>472</v>
      </c>
      <c r="AZ77" s="35">
        <v>34</v>
      </c>
      <c r="BA77" s="35">
        <v>1</v>
      </c>
      <c r="BB77" s="35">
        <v>26</v>
      </c>
      <c r="BC77" t="s">
        <v>308</v>
      </c>
      <c r="BD77" s="14">
        <v>4.8499999999999979</v>
      </c>
      <c r="BE77" s="14">
        <v>5.6000000000000014</v>
      </c>
      <c r="BF77" s="14">
        <v>2</v>
      </c>
      <c r="BG77" s="14">
        <v>-5.5</v>
      </c>
      <c r="BH77" s="14">
        <v>5.75</v>
      </c>
      <c r="BI77" s="14">
        <v>-8.7000000000000011</v>
      </c>
      <c r="BJ77" s="14">
        <v>-7.25</v>
      </c>
      <c r="BK77" s="14">
        <v>-30.75</v>
      </c>
      <c r="BL77" s="14">
        <v>-2.25</v>
      </c>
      <c r="BM77" s="14">
        <v>-7.3500000000000014</v>
      </c>
      <c r="BN77" s="14">
        <v>-27.75</v>
      </c>
      <c r="BO77" s="14">
        <v>0</v>
      </c>
      <c r="BP77" s="14">
        <v>14.225000000000001</v>
      </c>
      <c r="BQ77" s="14">
        <v>68.5</v>
      </c>
      <c r="BR77" s="14">
        <v>0</v>
      </c>
      <c r="BS77" s="14">
        <v>18.024999999999999</v>
      </c>
      <c r="BT77" s="14">
        <v>55.25</v>
      </c>
      <c r="BU77" s="14">
        <v>2</v>
      </c>
      <c r="BV77" s="14">
        <v>11.149999999999999</v>
      </c>
      <c r="BW77" s="14">
        <v>44</v>
      </c>
      <c r="BX77" s="14">
        <v>3</v>
      </c>
      <c r="BY77" s="48">
        <v>2.4000000000000004</v>
      </c>
      <c r="BZ77" s="14">
        <v>11.5</v>
      </c>
      <c r="CA77" s="14">
        <v>2</v>
      </c>
      <c r="CB77" s="14">
        <v>-1.75</v>
      </c>
      <c r="CC77" s="14">
        <v>-0.75</v>
      </c>
      <c r="CD77" s="14">
        <v>-2.25</v>
      </c>
      <c r="CE77" s="14">
        <v>-3.3966219664572445E-2</v>
      </c>
      <c r="CF77" s="14">
        <v>-3.7904357139086006E-3</v>
      </c>
      <c r="CG77" s="14">
        <v>-9.6103896103896136E-2</v>
      </c>
      <c r="CH77" s="14">
        <v>4.5</v>
      </c>
      <c r="CI77" s="14">
        <v>10.75</v>
      </c>
      <c r="CJ77" s="14">
        <v>-6.5</v>
      </c>
      <c r="CK77" s="14">
        <v>0</v>
      </c>
      <c r="CL77" s="14">
        <v>4.75</v>
      </c>
      <c r="CM77" s="14">
        <v>5.25</v>
      </c>
      <c r="CN77" s="14">
        <v>-1.75</v>
      </c>
      <c r="CO77" s="14">
        <v>66.75</v>
      </c>
      <c r="CP77" s="14">
        <v>113.75</v>
      </c>
      <c r="CQ77" s="14">
        <v>-41.25</v>
      </c>
      <c r="CR77" s="14">
        <v>-1.25</v>
      </c>
      <c r="CS77" s="14">
        <v>-4.5</v>
      </c>
      <c r="CT77" t="s">
        <v>238</v>
      </c>
      <c r="CU77" t="s">
        <v>451</v>
      </c>
    </row>
    <row r="78" spans="1:99" x14ac:dyDescent="0.2">
      <c r="A78" s="19">
        <v>44101</v>
      </c>
      <c r="B78">
        <v>3</v>
      </c>
      <c r="C78" s="13" t="s">
        <v>382</v>
      </c>
      <c r="D78" s="41" t="s">
        <v>293</v>
      </c>
      <c r="E78" s="14" t="s">
        <v>297</v>
      </c>
      <c r="F78" t="s">
        <v>578</v>
      </c>
      <c r="G78">
        <v>25.2</v>
      </c>
      <c r="H78" t="s">
        <v>579</v>
      </c>
      <c r="I78">
        <v>15.5</v>
      </c>
      <c r="J78">
        <v>22</v>
      </c>
      <c r="K78">
        <v>66</v>
      </c>
      <c r="L78">
        <v>5</v>
      </c>
      <c r="M78" t="s">
        <v>584</v>
      </c>
      <c r="N78">
        <v>6.1</v>
      </c>
      <c r="O78">
        <v>3</v>
      </c>
      <c r="P78">
        <v>1</v>
      </c>
      <c r="Q78">
        <v>0</v>
      </c>
      <c r="R78" t="s">
        <v>24</v>
      </c>
      <c r="S78">
        <v>11.9</v>
      </c>
      <c r="T78">
        <v>59</v>
      </c>
      <c r="U78">
        <v>5</v>
      </c>
      <c r="V78" t="s">
        <v>5</v>
      </c>
      <c r="W78">
        <v>8.6999999999999993</v>
      </c>
      <c r="X78">
        <v>7</v>
      </c>
      <c r="Y78">
        <v>2</v>
      </c>
      <c r="Z78" t="s">
        <v>581</v>
      </c>
      <c r="AA78">
        <v>5.8</v>
      </c>
      <c r="AB78">
        <v>19</v>
      </c>
      <c r="AC78">
        <v>1</v>
      </c>
      <c r="AD78">
        <v>24.1</v>
      </c>
      <c r="AE78">
        <v>61</v>
      </c>
      <c r="AF78">
        <v>8</v>
      </c>
      <c r="AG78" t="s">
        <v>8</v>
      </c>
      <c r="AH78">
        <v>8.5</v>
      </c>
      <c r="AI78">
        <v>15</v>
      </c>
      <c r="AJ78">
        <v>3</v>
      </c>
      <c r="AK78">
        <v>7</v>
      </c>
      <c r="AL78">
        <v>1</v>
      </c>
      <c r="AM78">
        <v>12</v>
      </c>
      <c r="AN78" s="21">
        <v>0.32</v>
      </c>
      <c r="AO78" s="21">
        <v>0.04</v>
      </c>
      <c r="AP78" s="21">
        <v>1</v>
      </c>
      <c r="AQ78">
        <v>0</v>
      </c>
      <c r="AR78">
        <v>20</v>
      </c>
      <c r="AS78">
        <v>28</v>
      </c>
      <c r="AT78">
        <v>7</v>
      </c>
      <c r="AU78">
        <v>57</v>
      </c>
      <c r="AV78">
        <v>31</v>
      </c>
      <c r="AW78">
        <v>0</v>
      </c>
      <c r="AX78">
        <v>298</v>
      </c>
      <c r="AY78">
        <v>160</v>
      </c>
      <c r="AZ78">
        <v>71</v>
      </c>
      <c r="BA78">
        <v>29</v>
      </c>
      <c r="BB78">
        <v>38</v>
      </c>
      <c r="BC78" t="s">
        <v>297</v>
      </c>
      <c r="BD78" s="14">
        <v>2.3519999999999968</v>
      </c>
      <c r="BE78" s="14">
        <v>-6.82</v>
      </c>
      <c r="BF78" s="14">
        <v>1.3999999999999986</v>
      </c>
      <c r="BG78" s="14">
        <v>-36.599999999999994</v>
      </c>
      <c r="BH78" s="14">
        <v>0.79999999999999982</v>
      </c>
      <c r="BI78" s="14">
        <v>1.1799999999999997</v>
      </c>
      <c r="BJ78" s="14">
        <v>-2</v>
      </c>
      <c r="BK78" s="14">
        <v>-14.4</v>
      </c>
      <c r="BL78" s="14">
        <v>-0.4</v>
      </c>
      <c r="BM78" s="14">
        <v>-2.9399999999999977</v>
      </c>
      <c r="BN78" s="14">
        <v>-10.599999999999994</v>
      </c>
      <c r="BO78" s="14">
        <v>-1.4000000000000004</v>
      </c>
      <c r="BP78" s="14">
        <v>-4.1000000000000014</v>
      </c>
      <c r="BQ78" s="14">
        <v>-43</v>
      </c>
      <c r="BR78" s="14">
        <v>-3.4000000000000004</v>
      </c>
      <c r="BS78" s="14">
        <v>-1.7999999999999998</v>
      </c>
      <c r="BT78" s="14">
        <v>-16.399999999999999</v>
      </c>
      <c r="BU78" s="14">
        <v>-3.2</v>
      </c>
      <c r="BV78" s="14">
        <v>-4.6799999999999926</v>
      </c>
      <c r="BW78" s="14">
        <v>-46.8</v>
      </c>
      <c r="BX78" s="14">
        <v>-2.5999999999999996</v>
      </c>
      <c r="BY78" s="48">
        <v>-4.2999999999999989</v>
      </c>
      <c r="BZ78" s="14">
        <v>-29</v>
      </c>
      <c r="CA78" s="14">
        <v>-1</v>
      </c>
      <c r="CB78" s="14">
        <v>-4.8000000000000007</v>
      </c>
      <c r="CC78" s="14">
        <v>-1.6</v>
      </c>
      <c r="CD78" s="14">
        <v>4.5999999999999996</v>
      </c>
      <c r="CE78" s="14">
        <v>1.5929337231968821E-2</v>
      </c>
      <c r="CF78" s="14">
        <v>1.9329434697855752E-2</v>
      </c>
      <c r="CG78" s="14">
        <v>0.2861111111111112</v>
      </c>
      <c r="CH78" s="14">
        <v>-1.4</v>
      </c>
      <c r="CI78" s="14">
        <v>-9.1999999999999993</v>
      </c>
      <c r="CJ78" s="14">
        <v>0.60000000000000142</v>
      </c>
      <c r="CK78" s="14">
        <v>2.5999999999999996</v>
      </c>
      <c r="CL78" s="14">
        <v>-6</v>
      </c>
      <c r="CM78" s="14">
        <v>-1.2000000000000028</v>
      </c>
      <c r="CN78" s="14">
        <v>0</v>
      </c>
      <c r="CO78" s="14">
        <v>-113.19999999999999</v>
      </c>
      <c r="CP78" s="14">
        <v>-96.199999999999989</v>
      </c>
      <c r="CQ78" s="14">
        <v>-51</v>
      </c>
      <c r="CR78" s="14">
        <v>16</v>
      </c>
      <c r="CS78" s="14">
        <v>18</v>
      </c>
      <c r="CT78" t="s">
        <v>474</v>
      </c>
      <c r="CU78" t="s">
        <v>475</v>
      </c>
    </row>
    <row r="79" spans="1:99" x14ac:dyDescent="0.2">
      <c r="A79" s="19">
        <v>44101</v>
      </c>
      <c r="B79">
        <v>3</v>
      </c>
      <c r="C79" s="13" t="s">
        <v>382</v>
      </c>
      <c r="D79" s="41" t="s">
        <v>294</v>
      </c>
      <c r="E79" s="14" t="s">
        <v>272</v>
      </c>
      <c r="F79" t="s">
        <v>585</v>
      </c>
      <c r="G79">
        <v>23.5</v>
      </c>
      <c r="H79" t="s">
        <v>590</v>
      </c>
      <c r="I79">
        <v>14.7</v>
      </c>
      <c r="J79">
        <v>18</v>
      </c>
      <c r="K79">
        <v>95</v>
      </c>
      <c r="L79">
        <v>8</v>
      </c>
      <c r="M79" t="s">
        <v>586</v>
      </c>
      <c r="N79">
        <v>0.8</v>
      </c>
      <c r="O79">
        <v>3</v>
      </c>
      <c r="P79">
        <v>8</v>
      </c>
      <c r="Q79">
        <v>0</v>
      </c>
      <c r="R79" t="s">
        <v>184</v>
      </c>
      <c r="S79">
        <v>20.6</v>
      </c>
      <c r="T79">
        <v>72</v>
      </c>
      <c r="U79">
        <v>11</v>
      </c>
      <c r="V79" t="s">
        <v>426</v>
      </c>
      <c r="W79">
        <v>3.1</v>
      </c>
      <c r="X79">
        <v>11</v>
      </c>
      <c r="Y79">
        <v>4</v>
      </c>
      <c r="Z79" t="s">
        <v>592</v>
      </c>
      <c r="AA79">
        <v>4.9000000000000004</v>
      </c>
      <c r="AB79">
        <v>19</v>
      </c>
      <c r="AC79">
        <v>4</v>
      </c>
      <c r="AD79">
        <v>21.8</v>
      </c>
      <c r="AE79">
        <v>78</v>
      </c>
      <c r="AF79">
        <v>18</v>
      </c>
      <c r="AG79" t="s">
        <v>11</v>
      </c>
      <c r="AH79">
        <v>14</v>
      </c>
      <c r="AI79">
        <v>70</v>
      </c>
      <c r="AJ79">
        <v>10</v>
      </c>
      <c r="AK79">
        <v>14</v>
      </c>
      <c r="AL79">
        <v>3</v>
      </c>
      <c r="AM79">
        <v>8</v>
      </c>
      <c r="AN79" s="21">
        <v>0.23214285714285715</v>
      </c>
      <c r="AO79" s="21">
        <v>5.3571428571428568E-2</v>
      </c>
      <c r="AP79" s="21">
        <v>1</v>
      </c>
      <c r="AQ79" s="35">
        <v>7</v>
      </c>
      <c r="AR79" s="35">
        <v>47</v>
      </c>
      <c r="AS79" s="35">
        <v>24</v>
      </c>
      <c r="AT79" s="35">
        <v>11</v>
      </c>
      <c r="AU79" s="35">
        <v>86</v>
      </c>
      <c r="AV79" s="35">
        <v>23</v>
      </c>
      <c r="AW79" s="35">
        <v>0</v>
      </c>
      <c r="AX79">
        <v>400</v>
      </c>
      <c r="AY79" s="35">
        <v>225</v>
      </c>
      <c r="AZ79" s="35">
        <v>108</v>
      </c>
      <c r="BA79" s="35">
        <v>-6</v>
      </c>
      <c r="BB79" s="35">
        <v>73</v>
      </c>
      <c r="BC79" t="s">
        <v>272</v>
      </c>
      <c r="BD79" s="14">
        <v>1.911999999999999</v>
      </c>
      <c r="BE79" s="14">
        <v>-1.2799999999999994</v>
      </c>
      <c r="BF79" s="14">
        <v>2</v>
      </c>
      <c r="BG79" s="14">
        <v>12.799999999999997</v>
      </c>
      <c r="BH79" s="14">
        <v>4.5999999999999996</v>
      </c>
      <c r="BI79" s="14">
        <v>-7.4200000000000008</v>
      </c>
      <c r="BJ79" s="14">
        <v>0.20000000000000018</v>
      </c>
      <c r="BK79" s="14">
        <v>-17.600000000000001</v>
      </c>
      <c r="BL79" s="14">
        <v>-2.2000000000000002</v>
      </c>
      <c r="BM79" s="14">
        <v>2.7199999999999989</v>
      </c>
      <c r="BN79" s="14">
        <v>6.2000000000000028</v>
      </c>
      <c r="BO79" s="14">
        <v>2.8000000000000007</v>
      </c>
      <c r="BP79" s="14">
        <v>-6.5200000000000014</v>
      </c>
      <c r="BQ79" s="14">
        <v>-31.799999999999997</v>
      </c>
      <c r="BR79" s="14">
        <v>-0.40000000000000036</v>
      </c>
      <c r="BS79" s="14">
        <v>-2.7399999999999984</v>
      </c>
      <c r="BT79" s="14">
        <v>-23.4</v>
      </c>
      <c r="BU79" s="14">
        <v>-0.40000000000000036</v>
      </c>
      <c r="BV79" s="14">
        <v>2.7600000000000016</v>
      </c>
      <c r="BW79" s="14">
        <v>-8.4000000000000057</v>
      </c>
      <c r="BX79" s="14">
        <v>6.6</v>
      </c>
      <c r="BY79" s="48">
        <v>1.6199999999999992</v>
      </c>
      <c r="BZ79" s="14">
        <v>24.4</v>
      </c>
      <c r="CA79" s="14">
        <v>3.2</v>
      </c>
      <c r="CB79" s="14">
        <v>4</v>
      </c>
      <c r="CC79" s="14">
        <v>0.60000000000000009</v>
      </c>
      <c r="CD79" s="14">
        <v>-0.80000000000000071</v>
      </c>
      <c r="CE79" s="14">
        <v>-4.8473748473748468E-2</v>
      </c>
      <c r="CF79" s="14">
        <v>1.9951159951159952E-2</v>
      </c>
      <c r="CG79" s="14">
        <v>0.29714285714285715</v>
      </c>
      <c r="CH79" s="14">
        <v>3.6</v>
      </c>
      <c r="CI79" s="14">
        <v>8.7999999999999972</v>
      </c>
      <c r="CJ79" s="14">
        <v>3</v>
      </c>
      <c r="CK79" s="14">
        <v>7</v>
      </c>
      <c r="CL79" s="14">
        <v>20.200000000000003</v>
      </c>
      <c r="CM79" s="14">
        <v>-3.8000000000000007</v>
      </c>
      <c r="CN79" s="14">
        <v>-1.4</v>
      </c>
      <c r="CO79" s="14">
        <v>-9</v>
      </c>
      <c r="CP79" s="14">
        <v>-44.199999999999989</v>
      </c>
      <c r="CQ79" s="14">
        <v>-5.5999999999999943</v>
      </c>
      <c r="CR79" s="14">
        <v>-14.6</v>
      </c>
      <c r="CS79" s="14">
        <v>55.4</v>
      </c>
      <c r="CT79" t="s">
        <v>277</v>
      </c>
      <c r="CU79" t="s">
        <v>528</v>
      </c>
    </row>
    <row r="80" spans="1:99" x14ac:dyDescent="0.2">
      <c r="A80" s="19">
        <v>44101</v>
      </c>
      <c r="B80">
        <v>3</v>
      </c>
      <c r="C80" s="13" t="s">
        <v>382</v>
      </c>
      <c r="D80" s="41" t="s">
        <v>295</v>
      </c>
      <c r="E80" s="14" t="s">
        <v>265</v>
      </c>
      <c r="F80" t="s">
        <v>595</v>
      </c>
      <c r="G80">
        <v>12.42</v>
      </c>
      <c r="H80" t="s">
        <v>596</v>
      </c>
      <c r="I80">
        <v>15.2</v>
      </c>
      <c r="J80">
        <v>14</v>
      </c>
      <c r="K80">
        <v>80</v>
      </c>
      <c r="L80">
        <v>2</v>
      </c>
      <c r="M80" t="s">
        <v>597</v>
      </c>
      <c r="N80">
        <v>15</v>
      </c>
      <c r="O80">
        <v>9</v>
      </c>
      <c r="P80">
        <v>58</v>
      </c>
      <c r="Q80">
        <v>3</v>
      </c>
      <c r="R80" t="s">
        <v>93</v>
      </c>
      <c r="S80">
        <v>19.7</v>
      </c>
      <c r="T80">
        <v>110</v>
      </c>
      <c r="U80">
        <v>13</v>
      </c>
      <c r="V80" t="s">
        <v>598</v>
      </c>
      <c r="W80">
        <v>4.5999999999999996</v>
      </c>
      <c r="X80">
        <v>26</v>
      </c>
      <c r="Y80">
        <v>3</v>
      </c>
      <c r="Z80" t="s">
        <v>600</v>
      </c>
      <c r="AA80">
        <v>8.1</v>
      </c>
      <c r="AB80">
        <v>41</v>
      </c>
      <c r="AC80">
        <v>6</v>
      </c>
      <c r="AD80">
        <v>7.9</v>
      </c>
      <c r="AE80">
        <v>39</v>
      </c>
      <c r="AF80">
        <v>6</v>
      </c>
      <c r="AG80" t="s">
        <v>599</v>
      </c>
      <c r="AH80">
        <v>7.1</v>
      </c>
      <c r="AI80">
        <v>1</v>
      </c>
      <c r="AJ80">
        <v>3</v>
      </c>
      <c r="AK80">
        <v>7</v>
      </c>
      <c r="AL80">
        <v>3</v>
      </c>
      <c r="AM80">
        <v>5</v>
      </c>
      <c r="AN80" s="21">
        <v>0.32500000000000001</v>
      </c>
      <c r="AO80" s="21">
        <v>0.05</v>
      </c>
      <c r="AP80" s="21">
        <v>0.44444444444444442</v>
      </c>
      <c r="AQ80" s="35">
        <v>4</v>
      </c>
      <c r="AR80" s="35">
        <v>38</v>
      </c>
      <c r="AS80" s="35">
        <v>23</v>
      </c>
      <c r="AT80" s="35">
        <v>1</v>
      </c>
      <c r="AU80" s="35">
        <v>65</v>
      </c>
      <c r="AV80" s="35">
        <v>26</v>
      </c>
      <c r="AW80" s="35">
        <v>0</v>
      </c>
      <c r="AX80">
        <v>382</v>
      </c>
      <c r="AY80" s="35">
        <v>238</v>
      </c>
      <c r="AZ80" s="35">
        <v>138</v>
      </c>
      <c r="BA80" s="35">
        <v>7</v>
      </c>
      <c r="BB80" s="35">
        <v>-1</v>
      </c>
      <c r="BC80" t="s">
        <v>265</v>
      </c>
      <c r="BD80" s="14">
        <v>1.0359999999999996</v>
      </c>
      <c r="BE80" s="14">
        <v>1.0600000000000023</v>
      </c>
      <c r="BF80" s="14">
        <v>-1.1999999999999993</v>
      </c>
      <c r="BG80" s="14">
        <v>14.799999999999997</v>
      </c>
      <c r="BH80" s="14">
        <v>-1.2000000000000002</v>
      </c>
      <c r="BI80" s="14">
        <v>8.9600000000000009</v>
      </c>
      <c r="BJ80" s="14">
        <v>4</v>
      </c>
      <c r="BK80" s="14">
        <v>33.6</v>
      </c>
      <c r="BL80" s="14">
        <v>0.79999999999999982</v>
      </c>
      <c r="BM80" s="14">
        <v>7.9600000000000009</v>
      </c>
      <c r="BN80" s="14">
        <v>50</v>
      </c>
      <c r="BO80" s="14">
        <v>5.4</v>
      </c>
      <c r="BP80" s="14">
        <v>-2.8800000000000017</v>
      </c>
      <c r="BQ80" s="14">
        <v>-18.799999999999997</v>
      </c>
      <c r="BR80" s="14">
        <v>-2.4000000000000004</v>
      </c>
      <c r="BS80" s="14">
        <v>2.16</v>
      </c>
      <c r="BT80" s="14">
        <v>6.7999999999999972</v>
      </c>
      <c r="BU80" s="14">
        <v>2.2000000000000002</v>
      </c>
      <c r="BV80" s="14">
        <v>-2.34</v>
      </c>
      <c r="BW80" s="14">
        <v>-13.399999999999999</v>
      </c>
      <c r="BX80" s="14">
        <v>-1.2000000000000002</v>
      </c>
      <c r="BY80" s="48">
        <v>-0.5</v>
      </c>
      <c r="BZ80" s="14">
        <v>-27</v>
      </c>
      <c r="CA80" s="14">
        <v>-1</v>
      </c>
      <c r="CB80" s="14">
        <v>-3.1999999999999993</v>
      </c>
      <c r="CC80" s="14">
        <v>-0.60000000000000009</v>
      </c>
      <c r="CD80" s="14">
        <v>-0.79999999999999982</v>
      </c>
      <c r="CE80" s="14">
        <v>7.4145712443590694E-4</v>
      </c>
      <c r="CF80" s="14">
        <v>-1.7324306898774983E-2</v>
      </c>
      <c r="CG80" s="14">
        <v>-9.5873015873015888E-2</v>
      </c>
      <c r="CH80" s="14">
        <v>-3</v>
      </c>
      <c r="CI80" s="14">
        <v>2.6000000000000014</v>
      </c>
      <c r="CJ80" s="14">
        <v>1</v>
      </c>
      <c r="CK80" s="14">
        <v>-2.6</v>
      </c>
      <c r="CL80" s="14">
        <v>0.79999999999999716</v>
      </c>
      <c r="CM80" s="14">
        <v>7.3999999999999986</v>
      </c>
      <c r="CN80" s="14">
        <v>0</v>
      </c>
      <c r="CO80" s="14">
        <v>46.399999999999977</v>
      </c>
      <c r="CP80" s="14">
        <v>10.400000000000006</v>
      </c>
      <c r="CQ80" s="14">
        <v>45.400000000000006</v>
      </c>
      <c r="CR80" s="14">
        <v>4.4000000000000004</v>
      </c>
      <c r="CS80" s="14">
        <v>-13.8</v>
      </c>
      <c r="CT80" t="s">
        <v>236</v>
      </c>
      <c r="CU80" t="s">
        <v>539</v>
      </c>
    </row>
    <row r="81" spans="1:99" x14ac:dyDescent="0.2">
      <c r="A81" s="19">
        <v>44101</v>
      </c>
      <c r="B81">
        <v>3</v>
      </c>
      <c r="C81" s="13" t="s">
        <v>382</v>
      </c>
      <c r="D81" s="41" t="s">
        <v>296</v>
      </c>
      <c r="E81" s="14" t="s">
        <v>256</v>
      </c>
      <c r="F81" t="s">
        <v>602</v>
      </c>
      <c r="G81">
        <v>10.06</v>
      </c>
      <c r="H81" t="s">
        <v>604</v>
      </c>
      <c r="I81">
        <v>2</v>
      </c>
      <c r="J81">
        <v>1</v>
      </c>
      <c r="K81">
        <v>0</v>
      </c>
      <c r="L81">
        <v>3</v>
      </c>
      <c r="M81" t="s">
        <v>603</v>
      </c>
      <c r="N81">
        <v>3.4</v>
      </c>
      <c r="O81">
        <v>4</v>
      </c>
      <c r="P81">
        <v>7</v>
      </c>
      <c r="Q81">
        <v>3</v>
      </c>
      <c r="R81" t="s">
        <v>115</v>
      </c>
      <c r="S81">
        <v>7.3</v>
      </c>
      <c r="T81">
        <v>53</v>
      </c>
      <c r="U81">
        <v>7</v>
      </c>
      <c r="V81" t="s">
        <v>139</v>
      </c>
      <c r="W81">
        <v>8.6</v>
      </c>
      <c r="X81">
        <v>36</v>
      </c>
      <c r="Y81">
        <v>7</v>
      </c>
      <c r="Z81" t="s">
        <v>607</v>
      </c>
      <c r="AA81">
        <v>3.9</v>
      </c>
      <c r="AB81">
        <v>29</v>
      </c>
      <c r="AC81">
        <v>2</v>
      </c>
      <c r="AD81">
        <v>9.5</v>
      </c>
      <c r="AE81">
        <v>45</v>
      </c>
      <c r="AF81">
        <v>8</v>
      </c>
      <c r="AG81" t="s">
        <v>16</v>
      </c>
      <c r="AH81">
        <v>5.2</v>
      </c>
      <c r="AI81">
        <v>22</v>
      </c>
      <c r="AJ81">
        <v>5</v>
      </c>
      <c r="AK81">
        <v>13</v>
      </c>
      <c r="AL81">
        <v>3</v>
      </c>
      <c r="AM81">
        <v>-2</v>
      </c>
      <c r="AN81" s="21">
        <v>0.42857142857142855</v>
      </c>
      <c r="AO81" s="21">
        <v>5.7142857142857141E-2</v>
      </c>
      <c r="AP81" s="21">
        <v>0.66666666666666663</v>
      </c>
      <c r="AQ81" s="35">
        <v>12</v>
      </c>
      <c r="AR81" s="35">
        <v>32</v>
      </c>
      <c r="AS81" s="35">
        <v>10</v>
      </c>
      <c r="AT81" s="35">
        <v>5</v>
      </c>
      <c r="AU81" s="35">
        <v>49</v>
      </c>
      <c r="AV81" s="35">
        <v>9</v>
      </c>
      <c r="AW81" s="35">
        <v>0</v>
      </c>
      <c r="AX81">
        <v>245</v>
      </c>
      <c r="AY81" s="35">
        <v>179</v>
      </c>
      <c r="AZ81" s="35">
        <v>17</v>
      </c>
      <c r="BA81" s="35">
        <v>0</v>
      </c>
      <c r="BB81" s="35">
        <v>49</v>
      </c>
      <c r="BC81" t="s">
        <v>256</v>
      </c>
      <c r="BD81" s="14">
        <v>-8.0119999999999987</v>
      </c>
      <c r="BE81" s="14">
        <v>-7.4399999999999995</v>
      </c>
      <c r="BF81" s="14">
        <v>-12</v>
      </c>
      <c r="BG81" s="14">
        <v>-50.8</v>
      </c>
      <c r="BH81" s="14">
        <v>0.20000000000000018</v>
      </c>
      <c r="BI81" s="14">
        <v>-0.50000000000000089</v>
      </c>
      <c r="BJ81" s="14">
        <v>0.39999999999999991</v>
      </c>
      <c r="BK81" s="14">
        <v>-2.4000000000000004</v>
      </c>
      <c r="BL81" s="14">
        <v>1</v>
      </c>
      <c r="BM81" s="14">
        <v>-4.6999999999999984</v>
      </c>
      <c r="BN81" s="14">
        <v>7.2000000000000028</v>
      </c>
      <c r="BO81" s="14">
        <v>0.20000000000000018</v>
      </c>
      <c r="BP81" s="14">
        <v>-4.1000000000000014</v>
      </c>
      <c r="BQ81" s="14">
        <v>-21</v>
      </c>
      <c r="BR81" s="14">
        <v>0.40000000000000036</v>
      </c>
      <c r="BS81" s="14">
        <v>-2.44</v>
      </c>
      <c r="BT81" s="14">
        <v>2</v>
      </c>
      <c r="BU81" s="14">
        <v>-1.4</v>
      </c>
      <c r="BV81" s="14">
        <v>-9.5</v>
      </c>
      <c r="BW81" s="14">
        <v>-31</v>
      </c>
      <c r="BX81" s="14">
        <v>-1</v>
      </c>
      <c r="BY81" s="48">
        <v>-2.0600000000000005</v>
      </c>
      <c r="BZ81" s="14">
        <v>-19.799999999999997</v>
      </c>
      <c r="CA81" s="14">
        <v>0.20000000000000018</v>
      </c>
      <c r="CB81" s="14">
        <v>2.4000000000000004</v>
      </c>
      <c r="CC81" s="14">
        <v>0.60000000000000009</v>
      </c>
      <c r="CD81" s="14">
        <v>-8.4</v>
      </c>
      <c r="CE81" s="14">
        <v>5.9706264639850959E-2</v>
      </c>
      <c r="CF81" s="14">
        <v>9.2816481431282141E-3</v>
      </c>
      <c r="CG81" s="14">
        <v>4.7619047619047561E-2</v>
      </c>
      <c r="CH81" s="14">
        <v>7</v>
      </c>
      <c r="CI81" s="14">
        <v>0.39999999999999858</v>
      </c>
      <c r="CJ81" s="14">
        <v>-9.1999999999999993</v>
      </c>
      <c r="CK81" s="14">
        <v>0.59999999999999964</v>
      </c>
      <c r="CL81" s="14">
        <v>-9</v>
      </c>
      <c r="CM81" s="14">
        <v>-10.8</v>
      </c>
      <c r="CN81" s="14">
        <v>-1.4</v>
      </c>
      <c r="CO81" s="14">
        <v>-67.600000000000023</v>
      </c>
      <c r="CP81" s="14">
        <v>-40.800000000000011</v>
      </c>
      <c r="CQ81" s="14">
        <v>-46.4</v>
      </c>
      <c r="CR81" s="14">
        <v>-3</v>
      </c>
      <c r="CS81" s="14">
        <v>22.6</v>
      </c>
      <c r="CT81" t="s">
        <v>257</v>
      </c>
      <c r="CU81" t="s">
        <v>547</v>
      </c>
    </row>
    <row r="82" spans="1:99" x14ac:dyDescent="0.2">
      <c r="A82" s="19">
        <v>44101</v>
      </c>
      <c r="B82">
        <v>3</v>
      </c>
      <c r="C82" s="13" t="s">
        <v>382</v>
      </c>
      <c r="D82" s="41" t="s">
        <v>297</v>
      </c>
      <c r="E82" s="14" t="s">
        <v>293</v>
      </c>
      <c r="F82" t="s">
        <v>609</v>
      </c>
      <c r="G82">
        <v>11.2</v>
      </c>
      <c r="H82" t="s">
        <v>610</v>
      </c>
      <c r="I82">
        <v>30.9</v>
      </c>
      <c r="J82">
        <v>11</v>
      </c>
      <c r="K82">
        <v>46</v>
      </c>
      <c r="L82">
        <v>6</v>
      </c>
      <c r="M82" t="s">
        <v>615</v>
      </c>
      <c r="N82">
        <v>8.8000000000000007</v>
      </c>
      <c r="O82">
        <v>2</v>
      </c>
      <c r="P82">
        <v>3</v>
      </c>
      <c r="Q82">
        <v>6</v>
      </c>
      <c r="R82" t="s">
        <v>613</v>
      </c>
      <c r="S82">
        <v>8.4</v>
      </c>
      <c r="T82">
        <v>33</v>
      </c>
      <c r="U82">
        <v>6</v>
      </c>
      <c r="V82" t="s">
        <v>616</v>
      </c>
      <c r="W82">
        <v>8.3000000000000007</v>
      </c>
      <c r="X82">
        <v>43</v>
      </c>
      <c r="Y82">
        <v>6</v>
      </c>
      <c r="Z82" t="s">
        <v>97</v>
      </c>
      <c r="AA82">
        <v>6.4</v>
      </c>
      <c r="AB82">
        <v>34</v>
      </c>
      <c r="AC82">
        <v>8</v>
      </c>
      <c r="AD82">
        <v>22.9</v>
      </c>
      <c r="AE82">
        <v>109</v>
      </c>
      <c r="AF82">
        <v>13</v>
      </c>
      <c r="AG82" t="s">
        <v>617</v>
      </c>
      <c r="AH82">
        <v>3.1</v>
      </c>
      <c r="AI82">
        <v>11</v>
      </c>
      <c r="AJ82">
        <v>3</v>
      </c>
      <c r="AK82">
        <v>1</v>
      </c>
      <c r="AL82">
        <v>0</v>
      </c>
      <c r="AM82">
        <v>0</v>
      </c>
      <c r="AN82" s="21">
        <v>0.36734693877551022</v>
      </c>
      <c r="AO82" s="21">
        <v>8.1632653061224483E-2</v>
      </c>
      <c r="AP82" s="21">
        <v>0.75</v>
      </c>
      <c r="AQ82" s="35">
        <v>12</v>
      </c>
      <c r="AR82" s="35">
        <v>42</v>
      </c>
      <c r="AS82" s="35">
        <v>13</v>
      </c>
      <c r="AT82" s="35">
        <v>3</v>
      </c>
      <c r="AU82" s="35">
        <v>63</v>
      </c>
      <c r="AV82" s="35">
        <v>13</v>
      </c>
      <c r="AW82" s="35">
        <v>0</v>
      </c>
      <c r="AX82">
        <v>347</v>
      </c>
      <c r="AY82" s="35">
        <v>275</v>
      </c>
      <c r="AZ82" s="35">
        <v>49</v>
      </c>
      <c r="BA82" s="35">
        <v>1</v>
      </c>
      <c r="BB82" s="35">
        <v>22</v>
      </c>
      <c r="BC82" t="s">
        <v>293</v>
      </c>
      <c r="BD82" s="14">
        <v>-6.3760000000000012</v>
      </c>
      <c r="BE82" s="14">
        <v>12.620000000000001</v>
      </c>
      <c r="BF82" s="14">
        <v>-0.80000000000000071</v>
      </c>
      <c r="BG82" s="14">
        <v>-17.600000000000001</v>
      </c>
      <c r="BH82" s="14">
        <v>2</v>
      </c>
      <c r="BI82" s="14">
        <v>3.08</v>
      </c>
      <c r="BJ82" s="14">
        <v>-3</v>
      </c>
      <c r="BK82" s="14">
        <v>-16.8</v>
      </c>
      <c r="BL82" s="14">
        <v>3.8</v>
      </c>
      <c r="BM82" s="14">
        <v>-4.1199999999999992</v>
      </c>
      <c r="BN82" s="14">
        <v>-25.4</v>
      </c>
      <c r="BO82" s="14">
        <v>-2.8000000000000007</v>
      </c>
      <c r="BP82" s="14">
        <v>-4.0399999999999991</v>
      </c>
      <c r="BQ82" s="14">
        <v>-24.400000000000006</v>
      </c>
      <c r="BR82" s="14">
        <v>-0.40000000000000036</v>
      </c>
      <c r="BS82" s="14">
        <v>-3.5400000000000009</v>
      </c>
      <c r="BT82" s="14">
        <v>-13.399999999999999</v>
      </c>
      <c r="BU82" s="14">
        <v>2.8</v>
      </c>
      <c r="BV82" s="14">
        <v>2.9599999999999973</v>
      </c>
      <c r="BW82" s="14">
        <v>17.599999999999994</v>
      </c>
      <c r="BX82" s="14">
        <v>0.80000000000000071</v>
      </c>
      <c r="BY82" s="48">
        <v>-2.3600000000000008</v>
      </c>
      <c r="BZ82" s="14">
        <v>-17.600000000000001</v>
      </c>
      <c r="CA82" s="14">
        <v>-1.7999999999999998</v>
      </c>
      <c r="CB82" s="14">
        <v>-3.2</v>
      </c>
      <c r="CC82" s="14">
        <v>-0.8</v>
      </c>
      <c r="CD82" s="14">
        <v>-2.2000000000000002</v>
      </c>
      <c r="CE82" s="14">
        <v>-2.4535329945664264E-2</v>
      </c>
      <c r="CF82" s="14">
        <v>1.1323948785954871E-2</v>
      </c>
      <c r="CG82" s="14">
        <v>6.4848484848484822E-2</v>
      </c>
      <c r="CH82" s="14">
        <v>3.1999999999999993</v>
      </c>
      <c r="CI82" s="14">
        <v>4</v>
      </c>
      <c r="CJ82" s="14">
        <v>-5</v>
      </c>
      <c r="CK82" s="14">
        <v>0.60000000000000009</v>
      </c>
      <c r="CL82" s="14">
        <v>1</v>
      </c>
      <c r="CM82" s="14">
        <v>-5.3999999999999986</v>
      </c>
      <c r="CN82" s="14">
        <v>0</v>
      </c>
      <c r="CO82" s="14">
        <v>-41</v>
      </c>
      <c r="CP82" s="14">
        <v>-6.3999999999999773</v>
      </c>
      <c r="CQ82" s="14">
        <v>-47.599999999999994</v>
      </c>
      <c r="CR82" s="14">
        <v>0.19999999999999996</v>
      </c>
      <c r="CS82" s="14">
        <v>12.8</v>
      </c>
      <c r="CT82" t="s">
        <v>264</v>
      </c>
      <c r="CU82" t="s">
        <v>468</v>
      </c>
    </row>
    <row r="83" spans="1:99" x14ac:dyDescent="0.2">
      <c r="A83" s="19">
        <v>44101</v>
      </c>
      <c r="B83">
        <v>3</v>
      </c>
      <c r="C83" s="13" t="s">
        <v>382</v>
      </c>
      <c r="D83" s="41" t="s">
        <v>298</v>
      </c>
      <c r="E83" s="14" t="s">
        <v>289</v>
      </c>
      <c r="F83" t="s">
        <v>618</v>
      </c>
      <c r="G83">
        <v>9.7200000000000006</v>
      </c>
      <c r="H83" t="s">
        <v>620</v>
      </c>
      <c r="I83">
        <v>7.2</v>
      </c>
      <c r="J83">
        <v>15</v>
      </c>
      <c r="K83">
        <v>57</v>
      </c>
      <c r="L83">
        <v>1</v>
      </c>
      <c r="M83" t="s">
        <v>619</v>
      </c>
      <c r="N83">
        <v>10.199999999999999</v>
      </c>
      <c r="O83">
        <v>2</v>
      </c>
      <c r="P83">
        <v>8</v>
      </c>
      <c r="Q83">
        <v>5</v>
      </c>
      <c r="R83" t="s">
        <v>621</v>
      </c>
      <c r="S83">
        <v>16.399999999999999</v>
      </c>
      <c r="T83">
        <v>64</v>
      </c>
      <c r="U83">
        <v>4</v>
      </c>
      <c r="V83" t="s">
        <v>627</v>
      </c>
      <c r="W83">
        <v>5.5</v>
      </c>
      <c r="X83">
        <v>35</v>
      </c>
      <c r="Y83">
        <v>4</v>
      </c>
      <c r="Z83" t="s">
        <v>626</v>
      </c>
      <c r="AA83">
        <v>0</v>
      </c>
      <c r="AB83">
        <v>0</v>
      </c>
      <c r="AC83">
        <v>3</v>
      </c>
      <c r="AD83">
        <v>21.1</v>
      </c>
      <c r="AE83">
        <v>91</v>
      </c>
      <c r="AF83">
        <v>9</v>
      </c>
      <c r="AG83" t="s">
        <v>433</v>
      </c>
      <c r="AH83">
        <v>5.0999999999999996</v>
      </c>
      <c r="AI83">
        <v>21</v>
      </c>
      <c r="AJ83">
        <v>5</v>
      </c>
      <c r="AK83">
        <v>1</v>
      </c>
      <c r="AL83">
        <v>0</v>
      </c>
      <c r="AM83">
        <v>0</v>
      </c>
      <c r="AN83" s="21">
        <v>0.44444444444444442</v>
      </c>
      <c r="AO83" s="21">
        <v>5.5555555555555552E-2</v>
      </c>
      <c r="AP83" s="21">
        <v>0.625</v>
      </c>
      <c r="AQ83" s="35">
        <v>26</v>
      </c>
      <c r="AR83" s="35">
        <v>29</v>
      </c>
      <c r="AS83" s="35">
        <v>24</v>
      </c>
      <c r="AT83" s="35">
        <v>5</v>
      </c>
      <c r="AU83" s="35">
        <v>74</v>
      </c>
      <c r="AV83" s="35">
        <v>7</v>
      </c>
      <c r="AW83" s="35">
        <v>0</v>
      </c>
      <c r="AX83">
        <v>277</v>
      </c>
      <c r="AY83" s="35">
        <v>168</v>
      </c>
      <c r="AZ83" s="35">
        <v>89</v>
      </c>
      <c r="BA83" s="35">
        <v>0</v>
      </c>
      <c r="BB83" s="35">
        <v>20</v>
      </c>
      <c r="BC83" t="s">
        <v>289</v>
      </c>
      <c r="BD83" s="14">
        <v>-2.76</v>
      </c>
      <c r="BE83" s="14">
        <v>-6.4400000000000039</v>
      </c>
      <c r="BF83" s="14">
        <v>-0.40000000000000036</v>
      </c>
      <c r="BG83" s="14">
        <v>2.3999999999999986</v>
      </c>
      <c r="BH83" s="14">
        <v>-2.2000000000000002</v>
      </c>
      <c r="BI83" s="14">
        <v>4.3599999999999994</v>
      </c>
      <c r="BJ83" s="14">
        <v>-2.2000000000000002</v>
      </c>
      <c r="BK83" s="14">
        <v>-5.6</v>
      </c>
      <c r="BL83" s="14">
        <v>2.8</v>
      </c>
      <c r="BM83" s="14">
        <v>1.8160000000000007</v>
      </c>
      <c r="BN83" s="14">
        <v>2.3999999999999986</v>
      </c>
      <c r="BO83" s="14">
        <v>-3.8</v>
      </c>
      <c r="BP83" s="14">
        <v>-4.9000000000000004</v>
      </c>
      <c r="BQ83" s="14">
        <v>-26.6</v>
      </c>
      <c r="BR83" s="14">
        <v>-1.7999999999999998</v>
      </c>
      <c r="BS83" s="14">
        <v>-8.6</v>
      </c>
      <c r="BT83" s="14">
        <v>-40.6</v>
      </c>
      <c r="BU83" s="14">
        <v>-2.8</v>
      </c>
      <c r="BV83" s="14">
        <v>4.5200000000000031</v>
      </c>
      <c r="BW83" s="14">
        <v>17.200000000000003</v>
      </c>
      <c r="BX83" s="14">
        <v>-1.4000000000000004</v>
      </c>
      <c r="BY83" s="48">
        <v>0.47999999999999954</v>
      </c>
      <c r="BZ83" s="14">
        <v>-1.1999999999999993</v>
      </c>
      <c r="CA83" s="14">
        <v>0.59999999999999964</v>
      </c>
      <c r="CB83" s="14">
        <v>-3.2</v>
      </c>
      <c r="CC83" s="14">
        <v>-1.6</v>
      </c>
      <c r="CD83" s="14">
        <v>-4.5999999999999996</v>
      </c>
      <c r="CE83" s="14">
        <v>0.15035615725270896</v>
      </c>
      <c r="CF83" s="14">
        <v>4.5573200745614509E-3</v>
      </c>
      <c r="CG83" s="14">
        <v>3.5714285714285809E-2</v>
      </c>
      <c r="CH83" s="14">
        <v>13.4</v>
      </c>
      <c r="CI83" s="14">
        <v>-5.6000000000000014</v>
      </c>
      <c r="CJ83" s="14">
        <v>2.1999999999999993</v>
      </c>
      <c r="CK83" s="14">
        <v>2.6</v>
      </c>
      <c r="CL83" s="14">
        <v>9</v>
      </c>
      <c r="CM83" s="14">
        <v>-8.8000000000000007</v>
      </c>
      <c r="CN83" s="14">
        <v>-1.8</v>
      </c>
      <c r="CO83" s="14">
        <v>-28.399999999999977</v>
      </c>
      <c r="CP83" s="14">
        <v>-50</v>
      </c>
      <c r="CQ83" s="14">
        <v>14.400000000000006</v>
      </c>
      <c r="CR83" s="14">
        <v>-5.2</v>
      </c>
      <c r="CS83" s="14">
        <v>12.4</v>
      </c>
      <c r="CT83" t="s">
        <v>274</v>
      </c>
      <c r="CU83" t="s">
        <v>488</v>
      </c>
    </row>
    <row r="84" spans="1:99" x14ac:dyDescent="0.2">
      <c r="A84" s="19">
        <v>44101</v>
      </c>
      <c r="B84">
        <v>3</v>
      </c>
      <c r="C84" s="13" t="s">
        <v>382</v>
      </c>
      <c r="D84" s="41" t="s">
        <v>299</v>
      </c>
      <c r="E84" s="14" t="s">
        <v>285</v>
      </c>
      <c r="F84" t="s">
        <v>631</v>
      </c>
      <c r="G84">
        <v>18.5</v>
      </c>
      <c r="H84" t="s">
        <v>633</v>
      </c>
      <c r="I84">
        <v>9.5</v>
      </c>
      <c r="J84">
        <v>22</v>
      </c>
      <c r="K84">
        <v>75</v>
      </c>
      <c r="L84">
        <v>1</v>
      </c>
      <c r="M84" t="s">
        <v>635</v>
      </c>
      <c r="N84">
        <v>4</v>
      </c>
      <c r="O84">
        <v>3</v>
      </c>
      <c r="P84">
        <v>16</v>
      </c>
      <c r="Q84">
        <v>1</v>
      </c>
      <c r="R84" t="s">
        <v>156</v>
      </c>
      <c r="S84">
        <v>17.7</v>
      </c>
      <c r="T84">
        <v>57</v>
      </c>
      <c r="U84">
        <v>7</v>
      </c>
      <c r="V84" t="s">
        <v>55</v>
      </c>
      <c r="W84">
        <v>8.1</v>
      </c>
      <c r="X84">
        <v>51</v>
      </c>
      <c r="Y84">
        <v>3</v>
      </c>
      <c r="Z84" t="s">
        <v>98</v>
      </c>
      <c r="AA84">
        <v>2.8</v>
      </c>
      <c r="AB84">
        <v>18</v>
      </c>
      <c r="AC84">
        <v>4</v>
      </c>
      <c r="AD84">
        <v>21.5</v>
      </c>
      <c r="AE84">
        <v>45</v>
      </c>
      <c r="AF84">
        <v>8</v>
      </c>
      <c r="AG84" t="s">
        <v>634</v>
      </c>
      <c r="AH84">
        <v>9.3000000000000007</v>
      </c>
      <c r="AI84">
        <v>53</v>
      </c>
      <c r="AJ84">
        <v>7</v>
      </c>
      <c r="AK84">
        <v>14</v>
      </c>
      <c r="AL84">
        <v>4</v>
      </c>
      <c r="AM84">
        <v>7</v>
      </c>
      <c r="AN84" s="21">
        <v>0.2857142857142857</v>
      </c>
      <c r="AO84" s="21">
        <v>0.11428571428571428</v>
      </c>
      <c r="AP84" s="21">
        <v>0.83333333333333337</v>
      </c>
      <c r="AQ84" s="35">
        <v>4</v>
      </c>
      <c r="AR84" s="35">
        <v>31</v>
      </c>
      <c r="AS84" s="35">
        <v>25</v>
      </c>
      <c r="AT84" s="35">
        <v>1</v>
      </c>
      <c r="AU84" s="35">
        <v>62</v>
      </c>
      <c r="AV84" s="35">
        <v>26</v>
      </c>
      <c r="AW84" s="35">
        <v>0</v>
      </c>
      <c r="AX84">
        <v>360</v>
      </c>
      <c r="AY84" s="35">
        <v>270</v>
      </c>
      <c r="AZ84" s="35">
        <v>91</v>
      </c>
      <c r="BA84" s="35">
        <v>2</v>
      </c>
      <c r="BB84" s="35">
        <v>-3</v>
      </c>
      <c r="BC84" t="s">
        <v>285</v>
      </c>
      <c r="BD84" s="14">
        <v>1.4400000000000013</v>
      </c>
      <c r="BE84" s="14">
        <v>-3.5999999999999996</v>
      </c>
      <c r="BF84" s="14">
        <v>6.8000000000000007</v>
      </c>
      <c r="BG84" s="14">
        <v>10.400000000000006</v>
      </c>
      <c r="BH84" s="14">
        <v>-3</v>
      </c>
      <c r="BI84" s="14">
        <v>-2.6799999999999997</v>
      </c>
      <c r="BJ84" s="14">
        <v>-5</v>
      </c>
      <c r="BK84" s="14">
        <v>-20.6</v>
      </c>
      <c r="BL84" s="14">
        <v>-0.39999999999999991</v>
      </c>
      <c r="BM84" s="14">
        <v>-5.0200000000000031</v>
      </c>
      <c r="BN84" s="14">
        <v>-38.200000000000003</v>
      </c>
      <c r="BO84" s="14">
        <v>-2.5999999999999996</v>
      </c>
      <c r="BP84" s="14">
        <v>-0.5</v>
      </c>
      <c r="BQ84" s="14">
        <v>3</v>
      </c>
      <c r="BR84" s="14">
        <v>-4</v>
      </c>
      <c r="BS84" s="14">
        <v>-1.6600000000000001</v>
      </c>
      <c r="BT84" s="14">
        <v>-5.1999999999999993</v>
      </c>
      <c r="BU84" s="14">
        <v>0.20000000000000018</v>
      </c>
      <c r="BV84" s="14">
        <v>-3.0800000000000018</v>
      </c>
      <c r="BW84" s="14">
        <v>-60.8</v>
      </c>
      <c r="BX84" s="14">
        <v>-5.8000000000000007</v>
      </c>
      <c r="BY84" s="48">
        <v>2.0400000000000009</v>
      </c>
      <c r="BZ84" s="14">
        <v>24.4</v>
      </c>
      <c r="CA84" s="14">
        <v>1.2000000000000002</v>
      </c>
      <c r="CB84" s="14">
        <v>8</v>
      </c>
      <c r="CC84" s="14">
        <v>2</v>
      </c>
      <c r="CD84" s="14">
        <v>4.4000000000000004</v>
      </c>
      <c r="CE84" s="14">
        <v>7.3513313923662116E-4</v>
      </c>
      <c r="CF84" s="14">
        <v>4.9950038067790067E-2</v>
      </c>
      <c r="CG84" s="14">
        <v>0.13111111111111118</v>
      </c>
      <c r="CH84" s="14">
        <v>-3.2</v>
      </c>
      <c r="CI84" s="14">
        <v>-6.6000000000000014</v>
      </c>
      <c r="CJ84" s="14">
        <v>0.80000000000000071</v>
      </c>
      <c r="CK84" s="14">
        <v>-1.7999999999999998</v>
      </c>
      <c r="CL84" s="14">
        <v>-6.4000000000000057</v>
      </c>
      <c r="CM84" s="14">
        <v>7.6000000000000014</v>
      </c>
      <c r="CN84" s="14">
        <v>0</v>
      </c>
      <c r="CO84" s="14">
        <v>-5</v>
      </c>
      <c r="CP84" s="14">
        <v>24</v>
      </c>
      <c r="CQ84" s="14">
        <v>-13.400000000000006</v>
      </c>
      <c r="CR84" s="14">
        <v>-0.39999999999999991</v>
      </c>
      <c r="CS84" s="14">
        <v>-15.2</v>
      </c>
      <c r="CT84" t="s">
        <v>249</v>
      </c>
      <c r="CU84" t="s">
        <v>452</v>
      </c>
    </row>
    <row r="85" spans="1:99" x14ac:dyDescent="0.2">
      <c r="A85" s="19">
        <v>44101</v>
      </c>
      <c r="B85">
        <v>3</v>
      </c>
      <c r="C85" s="13" t="s">
        <v>382</v>
      </c>
      <c r="D85" s="41" t="s">
        <v>300</v>
      </c>
      <c r="E85" s="14" t="s">
        <v>307</v>
      </c>
      <c r="F85" t="s">
        <v>637</v>
      </c>
      <c r="G85">
        <v>24.52</v>
      </c>
      <c r="H85" t="s">
        <v>642</v>
      </c>
      <c r="I85">
        <v>16.600000000000001</v>
      </c>
      <c r="J85">
        <v>16</v>
      </c>
      <c r="K85">
        <v>69</v>
      </c>
      <c r="L85">
        <v>4</v>
      </c>
      <c r="M85" t="s">
        <v>638</v>
      </c>
      <c r="N85">
        <v>3.3</v>
      </c>
      <c r="O85">
        <v>1</v>
      </c>
      <c r="P85">
        <v>5</v>
      </c>
      <c r="Q85">
        <v>2</v>
      </c>
      <c r="R85" t="s">
        <v>143</v>
      </c>
      <c r="S85">
        <v>29.4</v>
      </c>
      <c r="T85">
        <v>146</v>
      </c>
      <c r="U85">
        <v>8</v>
      </c>
      <c r="V85" t="s">
        <v>58</v>
      </c>
      <c r="W85">
        <v>1.5</v>
      </c>
      <c r="X85">
        <v>5</v>
      </c>
      <c r="Y85">
        <v>4</v>
      </c>
      <c r="Z85" t="s">
        <v>640</v>
      </c>
      <c r="AA85">
        <v>0</v>
      </c>
      <c r="AB85">
        <v>0</v>
      </c>
      <c r="AC85">
        <v>1</v>
      </c>
      <c r="AD85">
        <v>14.2</v>
      </c>
      <c r="AE85">
        <v>92</v>
      </c>
      <c r="AF85">
        <v>7</v>
      </c>
      <c r="AG85" t="s">
        <v>641</v>
      </c>
      <c r="AH85">
        <v>16</v>
      </c>
      <c r="AI85">
        <v>50</v>
      </c>
      <c r="AJ85">
        <v>5</v>
      </c>
      <c r="AK85">
        <v>16</v>
      </c>
      <c r="AL85">
        <v>3</v>
      </c>
      <c r="AM85">
        <v>3</v>
      </c>
      <c r="AN85" s="21">
        <v>0.3235294117647059</v>
      </c>
      <c r="AO85" s="21">
        <v>2.9411764705882353E-2</v>
      </c>
      <c r="AP85" s="21">
        <v>0.5</v>
      </c>
      <c r="AQ85" s="35">
        <v>-3</v>
      </c>
      <c r="AR85" s="35">
        <v>32</v>
      </c>
      <c r="AS85" s="35">
        <v>23</v>
      </c>
      <c r="AT85" s="35">
        <v>2</v>
      </c>
      <c r="AU85" s="35">
        <v>59</v>
      </c>
      <c r="AV85" s="35">
        <v>37</v>
      </c>
      <c r="AW85" s="35">
        <v>0</v>
      </c>
      <c r="AX85">
        <v>381</v>
      </c>
      <c r="AY85" s="35">
        <v>283</v>
      </c>
      <c r="AZ85" s="35">
        <v>88</v>
      </c>
      <c r="BA85" s="35">
        <v>-2</v>
      </c>
      <c r="BB85" s="35">
        <v>12</v>
      </c>
      <c r="BC85" t="s">
        <v>307</v>
      </c>
      <c r="BD85" s="14">
        <v>5.0000000000000711E-2</v>
      </c>
      <c r="BE85" s="14">
        <v>3.0750000000000011</v>
      </c>
      <c r="BF85" s="14">
        <v>-1.25</v>
      </c>
      <c r="BG85" s="14">
        <v>3</v>
      </c>
      <c r="BH85" s="14">
        <v>0.25</v>
      </c>
      <c r="BI85" s="14">
        <v>-4.6749999999999998</v>
      </c>
      <c r="BJ85" s="14">
        <v>-3.5</v>
      </c>
      <c r="BK85" s="14">
        <v>-15.5</v>
      </c>
      <c r="BL85" s="14">
        <v>0.25</v>
      </c>
      <c r="BM85" s="14">
        <v>14.924999999999999</v>
      </c>
      <c r="BN85" s="14">
        <v>85.75</v>
      </c>
      <c r="BO85" s="14">
        <v>2.75</v>
      </c>
      <c r="BP85" s="14">
        <v>-10.65</v>
      </c>
      <c r="BQ85" s="14">
        <v>-41.5</v>
      </c>
      <c r="BR85" s="14">
        <v>0</v>
      </c>
      <c r="BS85" s="14">
        <v>-3.5250000000000004</v>
      </c>
      <c r="BT85" s="14">
        <v>-23.75</v>
      </c>
      <c r="BU85" s="14">
        <v>-1.25</v>
      </c>
      <c r="BV85" s="14">
        <v>-1.3750000000000018</v>
      </c>
      <c r="BW85" s="14">
        <v>33.75</v>
      </c>
      <c r="BX85" s="14">
        <v>-0.25</v>
      </c>
      <c r="BY85" s="48">
        <v>-1.6750000000000007</v>
      </c>
      <c r="BZ85" s="14">
        <v>3.25</v>
      </c>
      <c r="CA85" s="14">
        <v>-3.25</v>
      </c>
      <c r="CB85" s="14">
        <v>7.75</v>
      </c>
      <c r="CC85" s="14">
        <v>1.5</v>
      </c>
      <c r="CD85" s="14">
        <v>1</v>
      </c>
      <c r="CE85" s="14">
        <v>-5.6590618703621753E-2</v>
      </c>
      <c r="CF85" s="14">
        <v>-3.6368494766327593E-2</v>
      </c>
      <c r="CG85" s="14">
        <v>-9.8901098901098883E-2</v>
      </c>
      <c r="CH85" s="14">
        <v>-5</v>
      </c>
      <c r="CI85" s="14">
        <v>-1.75</v>
      </c>
      <c r="CJ85" s="14">
        <v>-1.75</v>
      </c>
      <c r="CK85" s="14">
        <v>-1</v>
      </c>
      <c r="CL85" s="14">
        <v>-6</v>
      </c>
      <c r="CM85" s="14">
        <v>5.25</v>
      </c>
      <c r="CN85" s="14">
        <v>0</v>
      </c>
      <c r="CO85" s="14">
        <v>18</v>
      </c>
      <c r="CP85" s="14">
        <v>23.75</v>
      </c>
      <c r="CQ85" s="14">
        <v>-4</v>
      </c>
      <c r="CR85" s="14">
        <v>-2.75</v>
      </c>
      <c r="CS85" s="14">
        <v>1</v>
      </c>
      <c r="CT85" t="s">
        <v>269</v>
      </c>
      <c r="CU85" t="s">
        <v>457</v>
      </c>
    </row>
    <row r="86" spans="1:99" x14ac:dyDescent="0.2">
      <c r="A86" s="19">
        <v>44101</v>
      </c>
      <c r="B86">
        <v>3</v>
      </c>
      <c r="C86" s="13" t="s">
        <v>382</v>
      </c>
      <c r="D86" s="41" t="s">
        <v>301</v>
      </c>
      <c r="E86" s="14" t="s">
        <v>287</v>
      </c>
      <c r="F86" t="s">
        <v>645</v>
      </c>
      <c r="G86">
        <v>14.6</v>
      </c>
      <c r="H86" t="s">
        <v>646</v>
      </c>
      <c r="I86">
        <v>23.1</v>
      </c>
      <c r="J86">
        <v>13</v>
      </c>
      <c r="K86">
        <v>46</v>
      </c>
      <c r="L86">
        <v>9</v>
      </c>
      <c r="M86" t="s">
        <v>650</v>
      </c>
      <c r="N86">
        <v>1.6</v>
      </c>
      <c r="O86">
        <v>2</v>
      </c>
      <c r="P86">
        <v>16</v>
      </c>
      <c r="Q86">
        <v>0</v>
      </c>
      <c r="R86" t="s">
        <v>27</v>
      </c>
      <c r="S86">
        <v>10.5</v>
      </c>
      <c r="T86">
        <v>55</v>
      </c>
      <c r="U86">
        <v>5</v>
      </c>
      <c r="V86" t="s">
        <v>85</v>
      </c>
      <c r="W86">
        <v>8.5</v>
      </c>
      <c r="X86">
        <v>65</v>
      </c>
      <c r="Y86">
        <v>4</v>
      </c>
      <c r="Z86" t="s">
        <v>49</v>
      </c>
      <c r="AA86">
        <v>9.1999999999999993</v>
      </c>
      <c r="AB86">
        <v>45</v>
      </c>
      <c r="AC86">
        <v>4</v>
      </c>
      <c r="AD86">
        <v>21.6</v>
      </c>
      <c r="AE86">
        <v>116</v>
      </c>
      <c r="AF86">
        <v>10</v>
      </c>
      <c r="AG86" t="s">
        <v>167</v>
      </c>
      <c r="AH86">
        <v>1.9</v>
      </c>
      <c r="AI86">
        <v>9</v>
      </c>
      <c r="AJ86">
        <v>2</v>
      </c>
      <c r="AK86">
        <v>15</v>
      </c>
      <c r="AL86">
        <v>5</v>
      </c>
      <c r="AM86">
        <v>11</v>
      </c>
      <c r="AN86" s="21">
        <v>0.25806451612903225</v>
      </c>
      <c r="AO86" s="21">
        <v>6.4516129032258063E-2</v>
      </c>
      <c r="AP86" s="21">
        <v>0.5</v>
      </c>
      <c r="AQ86" s="35">
        <v>4</v>
      </c>
      <c r="AR86" s="35">
        <v>28</v>
      </c>
      <c r="AS86" s="35">
        <v>15</v>
      </c>
      <c r="AT86" s="35">
        <v>2</v>
      </c>
      <c r="AU86" s="35">
        <v>51</v>
      </c>
      <c r="AV86" s="35">
        <v>21</v>
      </c>
      <c r="AW86" s="35">
        <v>0</v>
      </c>
      <c r="AX86">
        <v>316</v>
      </c>
      <c r="AY86" s="35">
        <v>235</v>
      </c>
      <c r="AZ86" s="35">
        <v>62</v>
      </c>
      <c r="BA86" s="35">
        <v>7</v>
      </c>
      <c r="BB86" s="35">
        <v>12</v>
      </c>
      <c r="BC86" t="s">
        <v>287</v>
      </c>
      <c r="BD86" s="14">
        <v>-13.885</v>
      </c>
      <c r="BE86" s="14">
        <v>3.6499999999999986</v>
      </c>
      <c r="BF86" s="14">
        <v>-0.5</v>
      </c>
      <c r="BG86" s="14">
        <v>-14</v>
      </c>
      <c r="BH86" s="14">
        <v>0</v>
      </c>
      <c r="BI86" s="14">
        <v>-3.9250000000000003</v>
      </c>
      <c r="BJ86" s="14">
        <v>-1.25</v>
      </c>
      <c r="BK86" s="14">
        <v>2.5</v>
      </c>
      <c r="BL86" s="14">
        <v>-1.5</v>
      </c>
      <c r="BM86" s="14">
        <v>-11.425000000000001</v>
      </c>
      <c r="BN86" s="14">
        <v>-44.5</v>
      </c>
      <c r="BO86" s="14">
        <v>-4.5</v>
      </c>
      <c r="BP86" s="14">
        <v>-2.125</v>
      </c>
      <c r="BQ86" s="14">
        <v>12</v>
      </c>
      <c r="BR86" s="14">
        <v>-1</v>
      </c>
      <c r="BS86" s="14">
        <v>3.6749999999999989</v>
      </c>
      <c r="BT86" s="14">
        <v>19</v>
      </c>
      <c r="BU86" s="14">
        <v>0</v>
      </c>
      <c r="BV86" s="14">
        <v>-7.75</v>
      </c>
      <c r="BW86" s="14">
        <v>-10</v>
      </c>
      <c r="BX86" s="14">
        <v>-1</v>
      </c>
      <c r="BY86" s="48">
        <v>-11.374999999999998</v>
      </c>
      <c r="BZ86" s="14">
        <v>-41.25</v>
      </c>
      <c r="CA86" s="14">
        <v>-4.25</v>
      </c>
      <c r="CB86" s="14">
        <v>2.5</v>
      </c>
      <c r="CC86" s="14">
        <v>1.75</v>
      </c>
      <c r="CD86" s="14">
        <v>4.75</v>
      </c>
      <c r="CE86" s="14">
        <v>-4.9548610156233297E-2</v>
      </c>
      <c r="CF86" s="14">
        <v>3.3953545575936467E-2</v>
      </c>
      <c r="CG86" s="14">
        <v>-3.6458333333333259E-2</v>
      </c>
      <c r="CH86" s="14">
        <v>0.5</v>
      </c>
      <c r="CI86" s="14">
        <v>-14.25</v>
      </c>
      <c r="CJ86" s="14">
        <v>-3.5</v>
      </c>
      <c r="CK86" s="14">
        <v>-1.75</v>
      </c>
      <c r="CL86" s="14">
        <v>-16.25</v>
      </c>
      <c r="CM86" s="14">
        <v>-7</v>
      </c>
      <c r="CN86" s="14">
        <v>0</v>
      </c>
      <c r="CO86" s="14">
        <v>-95.75</v>
      </c>
      <c r="CP86" s="14">
        <v>-72.75</v>
      </c>
      <c r="CQ86" s="14">
        <v>-18</v>
      </c>
      <c r="CR86" s="14">
        <v>2.25</v>
      </c>
      <c r="CS86" s="14">
        <v>-7.25</v>
      </c>
      <c r="CT86" t="s">
        <v>267</v>
      </c>
      <c r="CU86" t="s">
        <v>502</v>
      </c>
    </row>
    <row r="87" spans="1:99" x14ac:dyDescent="0.2">
      <c r="A87" s="19">
        <v>44101</v>
      </c>
      <c r="B87">
        <v>3</v>
      </c>
      <c r="C87" s="13" t="s">
        <v>382</v>
      </c>
      <c r="D87" s="41" t="s">
        <v>302</v>
      </c>
      <c r="E87" s="14" t="s">
        <v>303</v>
      </c>
      <c r="F87" t="s">
        <v>652</v>
      </c>
      <c r="G87">
        <v>12.18</v>
      </c>
      <c r="H87" t="s">
        <v>654</v>
      </c>
      <c r="I87">
        <v>24.8</v>
      </c>
      <c r="J87">
        <v>6</v>
      </c>
      <c r="K87">
        <v>49</v>
      </c>
      <c r="L87">
        <v>10</v>
      </c>
      <c r="M87" t="s">
        <v>660</v>
      </c>
      <c r="N87">
        <v>19</v>
      </c>
      <c r="O87">
        <v>9</v>
      </c>
      <c r="P87">
        <v>117</v>
      </c>
      <c r="Q87">
        <v>2</v>
      </c>
      <c r="R87" t="s">
        <v>159</v>
      </c>
      <c r="S87">
        <v>4.2</v>
      </c>
      <c r="T87">
        <v>23</v>
      </c>
      <c r="U87">
        <v>6</v>
      </c>
      <c r="V87" t="s">
        <v>658</v>
      </c>
      <c r="W87">
        <v>5.7</v>
      </c>
      <c r="X87">
        <v>27</v>
      </c>
      <c r="Y87">
        <v>3</v>
      </c>
      <c r="Z87" t="s">
        <v>73</v>
      </c>
      <c r="AA87">
        <v>5.6</v>
      </c>
      <c r="AB87">
        <v>34</v>
      </c>
      <c r="AC87">
        <v>4</v>
      </c>
      <c r="AD87">
        <v>5.7</v>
      </c>
      <c r="AE87">
        <v>27</v>
      </c>
      <c r="AF87">
        <v>6</v>
      </c>
      <c r="AG87" t="s">
        <v>656</v>
      </c>
      <c r="AH87">
        <v>0</v>
      </c>
      <c r="AI87">
        <v>0</v>
      </c>
      <c r="AJ87">
        <v>1</v>
      </c>
      <c r="AK87">
        <v>12</v>
      </c>
      <c r="AL87">
        <v>3</v>
      </c>
      <c r="AM87">
        <v>15</v>
      </c>
      <c r="AN87" s="21">
        <v>0.22580645161290322</v>
      </c>
      <c r="AO87" s="21">
        <v>6.4516129032258063E-2</v>
      </c>
      <c r="AP87" s="21">
        <v>0.75</v>
      </c>
      <c r="AQ87" s="35">
        <v>3</v>
      </c>
      <c r="AR87" s="35">
        <v>28</v>
      </c>
      <c r="AS87" s="35">
        <v>26</v>
      </c>
      <c r="AT87" s="35">
        <v>9</v>
      </c>
      <c r="AU87" s="35">
        <v>68</v>
      </c>
      <c r="AV87" s="35">
        <v>29</v>
      </c>
      <c r="AW87" s="35">
        <v>7</v>
      </c>
      <c r="AX87">
        <v>412</v>
      </c>
      <c r="AY87" s="35">
        <v>162</v>
      </c>
      <c r="AZ87" s="35">
        <v>209</v>
      </c>
      <c r="BA87" s="35">
        <v>14</v>
      </c>
      <c r="BB87" s="35">
        <v>27</v>
      </c>
      <c r="BC87" t="s">
        <v>303</v>
      </c>
      <c r="BD87" s="14">
        <v>-10.265000000000004</v>
      </c>
      <c r="BE87" s="14">
        <v>1.5999999999999979</v>
      </c>
      <c r="BF87" s="14">
        <v>-5.75</v>
      </c>
      <c r="BG87" s="14">
        <v>-6.75</v>
      </c>
      <c r="BH87" s="14">
        <v>1.75</v>
      </c>
      <c r="BI87" s="14">
        <v>11.7</v>
      </c>
      <c r="BJ87" s="14">
        <v>5.75</v>
      </c>
      <c r="BK87" s="14">
        <v>83.25</v>
      </c>
      <c r="BL87" s="14">
        <v>-0.5</v>
      </c>
      <c r="BM87" s="14">
        <v>-9.9499999999999993</v>
      </c>
      <c r="BN87" s="14">
        <v>-45.75</v>
      </c>
      <c r="BO87" s="14">
        <v>-0.5</v>
      </c>
      <c r="BP87" s="14">
        <v>-1.0750000000000002</v>
      </c>
      <c r="BQ87" s="14">
        <v>-0.75</v>
      </c>
      <c r="BR87" s="14">
        <v>-0.25</v>
      </c>
      <c r="BS87" s="14">
        <v>-2.1999999999999993</v>
      </c>
      <c r="BT87" s="14">
        <v>-0.75</v>
      </c>
      <c r="BU87" s="14">
        <v>0</v>
      </c>
      <c r="BV87" s="14">
        <v>-13.574999999999999</v>
      </c>
      <c r="BW87" s="14">
        <v>-63.25</v>
      </c>
      <c r="BX87" s="14">
        <v>-3.75</v>
      </c>
      <c r="BY87" s="48">
        <v>-10.175000000000001</v>
      </c>
      <c r="BZ87" s="14">
        <v>-34.25</v>
      </c>
      <c r="CA87" s="14">
        <v>-4.25</v>
      </c>
      <c r="CB87" s="14">
        <v>4.5</v>
      </c>
      <c r="CC87" s="14">
        <v>1.5</v>
      </c>
      <c r="CD87" s="14">
        <v>9</v>
      </c>
      <c r="CE87" s="14">
        <v>-9.2089212595055009E-2</v>
      </c>
      <c r="CF87" s="14">
        <v>2.6538357278395229E-2</v>
      </c>
      <c r="CG87" s="14">
        <v>5.8928571428571441E-2</v>
      </c>
      <c r="CH87" s="14">
        <v>0.75</v>
      </c>
      <c r="CI87" s="14">
        <v>-7.75</v>
      </c>
      <c r="CJ87" s="14">
        <v>8.25</v>
      </c>
      <c r="CK87" s="14">
        <v>4</v>
      </c>
      <c r="CL87" s="14">
        <v>5.5</v>
      </c>
      <c r="CM87" s="14">
        <v>0.25</v>
      </c>
      <c r="CN87" s="14">
        <v>5.25</v>
      </c>
      <c r="CO87" s="14">
        <v>10.5</v>
      </c>
      <c r="CP87" s="14">
        <v>-113.5</v>
      </c>
      <c r="CQ87" s="14">
        <v>108.75</v>
      </c>
      <c r="CR87" s="14">
        <v>2</v>
      </c>
      <c r="CS87" s="14">
        <v>13.25</v>
      </c>
      <c r="CT87" t="s">
        <v>247</v>
      </c>
      <c r="CU87" t="s">
        <v>510</v>
      </c>
    </row>
    <row r="88" spans="1:99" x14ac:dyDescent="0.2">
      <c r="A88" s="19">
        <v>44101</v>
      </c>
      <c r="B88">
        <v>3</v>
      </c>
      <c r="C88" s="13" t="s">
        <v>382</v>
      </c>
      <c r="D88" s="41" t="s">
        <v>303</v>
      </c>
      <c r="E88" s="14" t="s">
        <v>302</v>
      </c>
      <c r="F88" t="s">
        <v>661</v>
      </c>
      <c r="G88">
        <v>17.440000000000001</v>
      </c>
      <c r="H88" t="s">
        <v>662</v>
      </c>
      <c r="I88">
        <v>10.3</v>
      </c>
      <c r="J88">
        <v>16</v>
      </c>
      <c r="K88">
        <v>71</v>
      </c>
      <c r="L88">
        <v>4</v>
      </c>
      <c r="M88" t="s">
        <v>665</v>
      </c>
      <c r="N88">
        <v>5.2</v>
      </c>
      <c r="O88">
        <v>1</v>
      </c>
      <c r="P88">
        <v>14</v>
      </c>
      <c r="Q88">
        <v>3</v>
      </c>
      <c r="R88" t="s">
        <v>79</v>
      </c>
      <c r="S88">
        <v>20.399999999999999</v>
      </c>
      <c r="T88">
        <v>84</v>
      </c>
      <c r="U88">
        <v>9</v>
      </c>
      <c r="V88" t="s">
        <v>10</v>
      </c>
      <c r="W88">
        <v>5.2</v>
      </c>
      <c r="X88">
        <v>32</v>
      </c>
      <c r="Y88">
        <v>3</v>
      </c>
      <c r="Z88" t="s">
        <v>435</v>
      </c>
      <c r="AA88">
        <v>6.2</v>
      </c>
      <c r="AB88">
        <v>32</v>
      </c>
      <c r="AC88">
        <v>3</v>
      </c>
      <c r="AD88">
        <v>11.7</v>
      </c>
      <c r="AE88">
        <v>67</v>
      </c>
      <c r="AF88">
        <v>8</v>
      </c>
      <c r="AG88" t="s">
        <v>107</v>
      </c>
      <c r="AH88">
        <v>2.9</v>
      </c>
      <c r="AI88">
        <v>9</v>
      </c>
      <c r="AJ88">
        <v>4</v>
      </c>
      <c r="AK88">
        <v>7</v>
      </c>
      <c r="AL88">
        <v>3</v>
      </c>
      <c r="AM88">
        <v>3</v>
      </c>
      <c r="AN88" s="21">
        <v>0.33333333333333331</v>
      </c>
      <c r="AO88" s="21">
        <v>5.5555555555555552E-2</v>
      </c>
      <c r="AP88" s="21">
        <v>1</v>
      </c>
      <c r="AQ88">
        <v>15</v>
      </c>
      <c r="AR88" s="35">
        <v>32</v>
      </c>
      <c r="AS88" s="35">
        <v>20</v>
      </c>
      <c r="AT88" s="35">
        <v>2</v>
      </c>
      <c r="AU88" s="35">
        <v>56</v>
      </c>
      <c r="AV88" s="35">
        <v>20</v>
      </c>
      <c r="AW88" s="35">
        <v>0</v>
      </c>
      <c r="AX88" s="35">
        <v>387</v>
      </c>
      <c r="AY88" s="35">
        <v>261</v>
      </c>
      <c r="AZ88" s="35">
        <v>116</v>
      </c>
      <c r="BA88" s="35">
        <v>0</v>
      </c>
      <c r="BB88" s="35">
        <v>10</v>
      </c>
      <c r="BC88" t="s">
        <v>302</v>
      </c>
      <c r="BD88" s="14">
        <v>-1.9499999999999993</v>
      </c>
      <c r="BE88" s="14">
        <v>-3.5249999999999986</v>
      </c>
      <c r="BF88" s="14">
        <v>-2</v>
      </c>
      <c r="BG88" s="14">
        <v>-6</v>
      </c>
      <c r="BH88" s="14">
        <v>1.5</v>
      </c>
      <c r="BI88" s="14">
        <v>1.4249999999999998</v>
      </c>
      <c r="BJ88" s="14">
        <v>-2.75</v>
      </c>
      <c r="BK88" s="14">
        <v>-2</v>
      </c>
      <c r="BL88" s="14">
        <v>1.5</v>
      </c>
      <c r="BM88" s="14">
        <v>4.9749999999999979</v>
      </c>
      <c r="BN88" s="14">
        <v>22.25</v>
      </c>
      <c r="BO88" s="14">
        <v>2</v>
      </c>
      <c r="BP88" s="14">
        <v>-6.9999999999999991</v>
      </c>
      <c r="BQ88" s="14">
        <v>-35</v>
      </c>
      <c r="BR88" s="14">
        <v>-3</v>
      </c>
      <c r="BS88" s="14">
        <v>-1.9750000000000005</v>
      </c>
      <c r="BT88" s="14">
        <v>5.25</v>
      </c>
      <c r="BU88" s="14">
        <v>0</v>
      </c>
      <c r="BV88" s="14">
        <v>-10.350000000000001</v>
      </c>
      <c r="BW88" s="14">
        <v>-38.5</v>
      </c>
      <c r="BX88" s="14">
        <v>-2.75</v>
      </c>
      <c r="BY88" s="48">
        <v>-1.9499999999999997</v>
      </c>
      <c r="BZ88" s="14">
        <v>-22</v>
      </c>
      <c r="CA88" s="14">
        <v>-0.25</v>
      </c>
      <c r="CB88" s="14">
        <v>-4</v>
      </c>
      <c r="CC88" s="14">
        <v>0.25</v>
      </c>
      <c r="CD88" s="14">
        <v>-7</v>
      </c>
      <c r="CE88" s="14">
        <v>1.5873015873015872E-2</v>
      </c>
      <c r="CF88" s="14">
        <v>1.719576719576725E-3</v>
      </c>
      <c r="CG88" s="14">
        <v>0.25</v>
      </c>
      <c r="CH88" s="14">
        <v>7</v>
      </c>
      <c r="CI88" s="14">
        <v>3.75</v>
      </c>
      <c r="CJ88" s="14">
        <v>-3.25</v>
      </c>
      <c r="CK88" s="14">
        <v>-3</v>
      </c>
      <c r="CL88" s="14">
        <v>-2.5</v>
      </c>
      <c r="CM88" s="14">
        <v>-3</v>
      </c>
      <c r="CN88" s="14">
        <v>-1.75</v>
      </c>
      <c r="CO88" s="14">
        <v>38.25</v>
      </c>
      <c r="CP88" s="14">
        <v>17.5</v>
      </c>
      <c r="CQ88" s="14">
        <v>32</v>
      </c>
      <c r="CR88" s="14">
        <v>-2.25</v>
      </c>
      <c r="CS88" s="14">
        <v>-9</v>
      </c>
      <c r="CT88" t="s">
        <v>292</v>
      </c>
      <c r="CU88" t="s">
        <v>464</v>
      </c>
    </row>
    <row r="89" spans="1:99" x14ac:dyDescent="0.2">
      <c r="A89" s="19">
        <v>44101</v>
      </c>
      <c r="B89">
        <v>3</v>
      </c>
      <c r="C89" s="13" t="s">
        <v>382</v>
      </c>
      <c r="D89" s="41" t="s">
        <v>304</v>
      </c>
      <c r="E89" s="14" t="s">
        <v>276</v>
      </c>
      <c r="F89" t="s">
        <v>666</v>
      </c>
      <c r="G89">
        <v>21.24</v>
      </c>
      <c r="H89" t="s">
        <v>667</v>
      </c>
      <c r="I89">
        <v>22</v>
      </c>
      <c r="J89">
        <v>20</v>
      </c>
      <c r="K89">
        <v>114</v>
      </c>
      <c r="L89">
        <v>3</v>
      </c>
      <c r="M89" t="s">
        <v>668</v>
      </c>
      <c r="N89">
        <v>1.9</v>
      </c>
      <c r="O89">
        <v>7</v>
      </c>
      <c r="P89">
        <v>19</v>
      </c>
      <c r="Q89">
        <v>2</v>
      </c>
      <c r="R89" t="s">
        <v>59</v>
      </c>
      <c r="S89">
        <v>21.4</v>
      </c>
      <c r="T89">
        <v>74</v>
      </c>
      <c r="U89">
        <v>6</v>
      </c>
      <c r="V89" t="s">
        <v>146</v>
      </c>
      <c r="W89">
        <v>28.7</v>
      </c>
      <c r="X89">
        <v>107</v>
      </c>
      <c r="Y89">
        <v>10</v>
      </c>
      <c r="Z89" t="s">
        <v>669</v>
      </c>
      <c r="AA89">
        <v>9</v>
      </c>
      <c r="AB89">
        <v>60</v>
      </c>
      <c r="AC89">
        <v>5</v>
      </c>
      <c r="AD89">
        <v>25.6</v>
      </c>
      <c r="AE89">
        <v>136</v>
      </c>
      <c r="AF89">
        <v>13</v>
      </c>
      <c r="AG89" t="s">
        <v>670</v>
      </c>
      <c r="AH89">
        <v>8</v>
      </c>
      <c r="AI89">
        <v>40</v>
      </c>
      <c r="AJ89">
        <v>2</v>
      </c>
      <c r="AK89">
        <v>5</v>
      </c>
      <c r="AL89">
        <v>2</v>
      </c>
      <c r="AM89">
        <v>4</v>
      </c>
      <c r="AN89" s="21">
        <v>0.25714285714285712</v>
      </c>
      <c r="AO89" s="21">
        <v>5.7142857142857141E-2</v>
      </c>
      <c r="AP89" s="21">
        <v>0.5714285714285714</v>
      </c>
      <c r="AQ89" s="35">
        <v>5</v>
      </c>
      <c r="AR89" s="35">
        <v>32</v>
      </c>
      <c r="AS89" s="35">
        <v>27</v>
      </c>
      <c r="AT89" s="35">
        <v>2</v>
      </c>
      <c r="AU89" s="35">
        <v>66</v>
      </c>
      <c r="AV89" s="35">
        <v>32</v>
      </c>
      <c r="AW89" s="35">
        <v>0</v>
      </c>
      <c r="AX89">
        <v>488</v>
      </c>
      <c r="AY89" s="35">
        <v>321</v>
      </c>
      <c r="AZ89" s="35">
        <v>133</v>
      </c>
      <c r="BA89" s="35">
        <v>30</v>
      </c>
      <c r="BB89" s="35">
        <v>4</v>
      </c>
      <c r="BC89" t="s">
        <v>276</v>
      </c>
      <c r="BD89" s="14">
        <v>-3.4800000000000004</v>
      </c>
      <c r="BE89" s="14">
        <v>4.0599999999999987</v>
      </c>
      <c r="BF89" s="14">
        <v>2.6000000000000014</v>
      </c>
      <c r="BG89" s="14">
        <v>28.799999999999997</v>
      </c>
      <c r="BH89" s="14">
        <v>-1</v>
      </c>
      <c r="BI89" s="14">
        <v>-3.52</v>
      </c>
      <c r="BJ89" s="14">
        <v>1.4000000000000004</v>
      </c>
      <c r="BK89" s="14">
        <v>2.3999999999999986</v>
      </c>
      <c r="BL89" s="14">
        <v>0.39999999999999991</v>
      </c>
      <c r="BM89" s="14">
        <v>6.379999999999999</v>
      </c>
      <c r="BN89" s="14">
        <v>16.799999999999997</v>
      </c>
      <c r="BO89" s="14">
        <v>-0.79999999999999982</v>
      </c>
      <c r="BP89" s="14">
        <v>13.860000000000001</v>
      </c>
      <c r="BQ89" s="14">
        <v>42.599999999999994</v>
      </c>
      <c r="BR89" s="14">
        <v>3.8</v>
      </c>
      <c r="BS89" s="14">
        <v>4.2</v>
      </c>
      <c r="BT89" s="14">
        <v>34</v>
      </c>
      <c r="BU89" s="14">
        <v>1.4</v>
      </c>
      <c r="BV89" s="14">
        <v>2.1400000000000006</v>
      </c>
      <c r="BW89" s="14">
        <v>33.400000000000006</v>
      </c>
      <c r="BX89" s="14">
        <v>0.80000000000000071</v>
      </c>
      <c r="BY89" s="48">
        <v>-11.66</v>
      </c>
      <c r="BZ89" s="14">
        <v>-32.599999999999994</v>
      </c>
      <c r="CA89" s="14">
        <v>-5.8</v>
      </c>
      <c r="CB89" s="14">
        <v>-3.5999999999999996</v>
      </c>
      <c r="CC89" s="14">
        <v>0.19999999999999996</v>
      </c>
      <c r="CD89" s="14">
        <v>0.60000000000000009</v>
      </c>
      <c r="CE89" s="14">
        <v>-4.0784619555018053E-2</v>
      </c>
      <c r="CF89" s="14">
        <v>2.0293471234647698E-2</v>
      </c>
      <c r="CG89" s="14">
        <v>-0.17619047619047623</v>
      </c>
      <c r="CH89" s="14">
        <v>2.6</v>
      </c>
      <c r="CI89" s="14">
        <v>-3.3999999999999986</v>
      </c>
      <c r="CJ89" s="14">
        <v>1</v>
      </c>
      <c r="CK89" s="14">
        <v>-2.5999999999999996</v>
      </c>
      <c r="CL89" s="14">
        <v>0.40000000000000568</v>
      </c>
      <c r="CM89" s="14">
        <v>1.8000000000000007</v>
      </c>
      <c r="CN89" s="14">
        <v>0</v>
      </c>
      <c r="CO89" s="14">
        <v>64.800000000000011</v>
      </c>
      <c r="CP89" s="14">
        <v>45</v>
      </c>
      <c r="CQ89" s="14">
        <v>15.599999999999994</v>
      </c>
      <c r="CR89" s="14">
        <v>23</v>
      </c>
      <c r="CS89" s="14">
        <v>-18.8</v>
      </c>
      <c r="CT89" t="s">
        <v>261</v>
      </c>
      <c r="CU89" t="s">
        <v>455</v>
      </c>
    </row>
    <row r="90" spans="1:99" x14ac:dyDescent="0.2">
      <c r="A90" s="19">
        <v>44101</v>
      </c>
      <c r="B90">
        <v>3</v>
      </c>
      <c r="C90" s="13" t="s">
        <v>382</v>
      </c>
      <c r="D90" s="41" t="s">
        <v>305</v>
      </c>
      <c r="E90" s="14" t="s">
        <v>288</v>
      </c>
      <c r="F90" t="s">
        <v>673</v>
      </c>
      <c r="G90">
        <v>15.18</v>
      </c>
      <c r="H90" t="s">
        <v>677</v>
      </c>
      <c r="I90">
        <v>3</v>
      </c>
      <c r="J90">
        <v>7</v>
      </c>
      <c r="K90">
        <v>30</v>
      </c>
      <c r="L90">
        <v>0</v>
      </c>
      <c r="M90" t="s">
        <v>675</v>
      </c>
      <c r="N90">
        <v>8.4</v>
      </c>
      <c r="O90">
        <v>1</v>
      </c>
      <c r="P90">
        <v>6</v>
      </c>
      <c r="Q90">
        <v>4</v>
      </c>
      <c r="R90" t="s">
        <v>4</v>
      </c>
      <c r="S90">
        <v>3.3</v>
      </c>
      <c r="T90">
        <v>13</v>
      </c>
      <c r="U90">
        <v>6</v>
      </c>
      <c r="V90" t="s">
        <v>676</v>
      </c>
      <c r="W90">
        <v>8.6999999999999993</v>
      </c>
      <c r="X90">
        <v>7</v>
      </c>
      <c r="Y90">
        <v>3</v>
      </c>
      <c r="Z90" t="s">
        <v>147</v>
      </c>
      <c r="AA90">
        <v>2.4</v>
      </c>
      <c r="AB90">
        <v>4</v>
      </c>
      <c r="AC90">
        <v>2</v>
      </c>
      <c r="AD90">
        <v>7.9</v>
      </c>
      <c r="AE90">
        <v>29</v>
      </c>
      <c r="AF90">
        <v>11</v>
      </c>
      <c r="AG90" t="s">
        <v>7</v>
      </c>
      <c r="AH90">
        <v>5.2</v>
      </c>
      <c r="AI90">
        <v>22</v>
      </c>
      <c r="AJ90">
        <v>8</v>
      </c>
      <c r="AK90">
        <v>9</v>
      </c>
      <c r="AL90">
        <v>2</v>
      </c>
      <c r="AM90">
        <v>7</v>
      </c>
      <c r="AN90" s="21">
        <v>0.31428571428571428</v>
      </c>
      <c r="AO90" s="21">
        <v>0.11428571428571428</v>
      </c>
      <c r="AP90" s="21">
        <v>0.75</v>
      </c>
      <c r="AQ90" s="35">
        <v>7</v>
      </c>
      <c r="AR90" s="35">
        <v>28</v>
      </c>
      <c r="AS90" s="35">
        <v>12</v>
      </c>
      <c r="AT90" s="35">
        <v>9</v>
      </c>
      <c r="AU90" s="35">
        <v>53</v>
      </c>
      <c r="AV90" s="35">
        <v>13</v>
      </c>
      <c r="AW90" s="35">
        <v>7</v>
      </c>
      <c r="AX90">
        <v>255</v>
      </c>
      <c r="AY90" s="35">
        <v>97</v>
      </c>
      <c r="AZ90" s="35">
        <v>75</v>
      </c>
      <c r="BA90" s="35">
        <v>0</v>
      </c>
      <c r="BB90" s="35">
        <v>83</v>
      </c>
      <c r="BC90" t="s">
        <v>288</v>
      </c>
      <c r="BD90" s="14">
        <v>-3.6559999999999988</v>
      </c>
      <c r="BE90" s="14">
        <v>-9.5400000000000009</v>
      </c>
      <c r="BF90" s="14">
        <v>-4.8000000000000007</v>
      </c>
      <c r="BG90" s="14">
        <v>-20.6</v>
      </c>
      <c r="BH90" s="14">
        <v>-3.4</v>
      </c>
      <c r="BI90" s="14">
        <v>-0.28000000000000114</v>
      </c>
      <c r="BJ90" s="14">
        <v>-9.6</v>
      </c>
      <c r="BK90" s="14">
        <v>-42.4</v>
      </c>
      <c r="BL90" s="14">
        <v>2.6</v>
      </c>
      <c r="BM90" s="14">
        <v>-9.860000000000003</v>
      </c>
      <c r="BN90" s="14">
        <v>-48.6</v>
      </c>
      <c r="BO90" s="14">
        <v>-0.59999999999999964</v>
      </c>
      <c r="BP90" s="14">
        <v>-1.7800000000000011</v>
      </c>
      <c r="BQ90" s="14">
        <v>-23.8</v>
      </c>
      <c r="BR90" s="14">
        <v>-1.4000000000000004</v>
      </c>
      <c r="BS90" s="14">
        <v>-3.7399999999999989</v>
      </c>
      <c r="BT90" s="14">
        <v>-25.4</v>
      </c>
      <c r="BU90" s="14">
        <v>-1.2000000000000002</v>
      </c>
      <c r="BV90" s="14">
        <v>-3.6199999999999992</v>
      </c>
      <c r="BW90" s="14">
        <v>-26.200000000000003</v>
      </c>
      <c r="BX90" s="14">
        <v>2.4000000000000004</v>
      </c>
      <c r="BY90" s="48">
        <v>-2.2000000000000002</v>
      </c>
      <c r="BZ90" s="14">
        <v>-10</v>
      </c>
      <c r="CA90" s="14">
        <v>2.4000000000000004</v>
      </c>
      <c r="CB90" s="14">
        <v>1.2000000000000002</v>
      </c>
      <c r="CC90" s="14">
        <v>0.19999999999999996</v>
      </c>
      <c r="CD90" s="14">
        <v>2.8</v>
      </c>
      <c r="CE90" s="14">
        <v>-5.2584534704187669E-2</v>
      </c>
      <c r="CF90" s="14">
        <v>6.4896158078122129E-2</v>
      </c>
      <c r="CG90" s="14">
        <v>8.4090909090909105E-2</v>
      </c>
      <c r="CH90" s="14">
        <v>0.20000000000000018</v>
      </c>
      <c r="CI90" s="14">
        <v>-3.1999999999999993</v>
      </c>
      <c r="CJ90" s="14">
        <v>-13.600000000000001</v>
      </c>
      <c r="CK90" s="14">
        <v>3.4000000000000004</v>
      </c>
      <c r="CL90" s="14">
        <v>-11.599999999999994</v>
      </c>
      <c r="CM90" s="14">
        <v>-7</v>
      </c>
      <c r="CN90" s="14">
        <v>5.6</v>
      </c>
      <c r="CO90" s="14">
        <v>-109.19999999999999</v>
      </c>
      <c r="CP90" s="14">
        <v>-116.4</v>
      </c>
      <c r="CQ90" s="14">
        <v>-41.599999999999994</v>
      </c>
      <c r="CR90" s="14">
        <v>-3.2</v>
      </c>
      <c r="CS90" s="14">
        <v>52</v>
      </c>
      <c r="CT90" t="s">
        <v>270</v>
      </c>
      <c r="CU90" t="s">
        <v>508</v>
      </c>
    </row>
    <row r="91" spans="1:99" x14ac:dyDescent="0.2">
      <c r="A91" s="19">
        <v>44101</v>
      </c>
      <c r="B91">
        <v>3</v>
      </c>
      <c r="C91" s="13" t="s">
        <v>382</v>
      </c>
      <c r="D91" s="41" t="s">
        <v>306</v>
      </c>
      <c r="E91" s="14" t="s">
        <v>281</v>
      </c>
      <c r="F91" t="s">
        <v>686</v>
      </c>
      <c r="G91">
        <v>13.16</v>
      </c>
      <c r="H91" t="s">
        <v>680</v>
      </c>
      <c r="I91">
        <v>14</v>
      </c>
      <c r="J91">
        <v>9</v>
      </c>
      <c r="K91">
        <v>49</v>
      </c>
      <c r="L91">
        <v>3</v>
      </c>
      <c r="M91" t="s">
        <v>681</v>
      </c>
      <c r="N91">
        <v>8.1999999999999993</v>
      </c>
      <c r="O91">
        <v>5</v>
      </c>
      <c r="P91">
        <v>15</v>
      </c>
      <c r="Q91">
        <v>4</v>
      </c>
      <c r="R91" t="s">
        <v>94</v>
      </c>
      <c r="S91">
        <v>12.6</v>
      </c>
      <c r="T91">
        <v>83</v>
      </c>
      <c r="U91">
        <v>8</v>
      </c>
      <c r="V91" t="s">
        <v>684</v>
      </c>
      <c r="W91">
        <v>18.8</v>
      </c>
      <c r="X91">
        <v>38</v>
      </c>
      <c r="Y91">
        <v>6</v>
      </c>
      <c r="Z91" t="s">
        <v>685</v>
      </c>
      <c r="AA91">
        <v>7</v>
      </c>
      <c r="AB91">
        <v>24</v>
      </c>
      <c r="AC91">
        <v>6</v>
      </c>
      <c r="AD91">
        <v>28.4</v>
      </c>
      <c r="AE91">
        <v>124</v>
      </c>
      <c r="AF91">
        <v>18</v>
      </c>
      <c r="AG91" t="s">
        <v>683</v>
      </c>
      <c r="AH91">
        <v>7.1</v>
      </c>
      <c r="AI91">
        <v>31</v>
      </c>
      <c r="AJ91">
        <v>7</v>
      </c>
      <c r="AK91">
        <v>2</v>
      </c>
      <c r="AL91">
        <v>0</v>
      </c>
      <c r="AM91">
        <v>1</v>
      </c>
      <c r="AN91" s="21">
        <v>0.21951219512195122</v>
      </c>
      <c r="AO91" s="21">
        <v>7.3170731707317069E-2</v>
      </c>
      <c r="AP91" s="21">
        <v>0.2</v>
      </c>
      <c r="AQ91" s="35">
        <v>14</v>
      </c>
      <c r="AR91" s="35">
        <v>37</v>
      </c>
      <c r="AS91" s="35">
        <v>17</v>
      </c>
      <c r="AT91" s="35">
        <v>2</v>
      </c>
      <c r="AU91" s="35">
        <v>62</v>
      </c>
      <c r="AV91" s="35">
        <v>20</v>
      </c>
      <c r="AW91" s="35">
        <v>0</v>
      </c>
      <c r="AX91">
        <v>325</v>
      </c>
      <c r="AY91" s="35">
        <v>224</v>
      </c>
      <c r="AZ91" s="35">
        <v>70</v>
      </c>
      <c r="BA91" s="35">
        <v>29</v>
      </c>
      <c r="BB91" s="35">
        <v>2</v>
      </c>
      <c r="BC91" t="s">
        <v>281</v>
      </c>
      <c r="BD91" s="14">
        <v>-7.2959999999999994</v>
      </c>
      <c r="BE91" s="14">
        <v>-2.7399999999999984</v>
      </c>
      <c r="BF91" s="14">
        <v>-4.8000000000000007</v>
      </c>
      <c r="BG91" s="14">
        <v>-12.399999999999999</v>
      </c>
      <c r="BH91" s="14">
        <v>-0.79999999999999982</v>
      </c>
      <c r="BI91" s="14">
        <v>0.19999999999999929</v>
      </c>
      <c r="BJ91" s="14">
        <v>1.4</v>
      </c>
      <c r="BK91" s="14">
        <v>3.1999999999999993</v>
      </c>
      <c r="BL91" s="14">
        <v>0.39999999999999991</v>
      </c>
      <c r="BM91" s="14">
        <v>-7.4399999999999995</v>
      </c>
      <c r="BN91" s="14">
        <v>-3.4000000000000057</v>
      </c>
      <c r="BO91" s="14">
        <v>-1.1999999999999993</v>
      </c>
      <c r="BP91" s="14">
        <v>4.76</v>
      </c>
      <c r="BQ91" s="14">
        <v>-7.7999999999999972</v>
      </c>
      <c r="BR91" s="14">
        <v>-1</v>
      </c>
      <c r="BS91" s="14">
        <v>1.1399999999999997</v>
      </c>
      <c r="BT91" s="14">
        <v>-5.3999999999999986</v>
      </c>
      <c r="BU91" s="14">
        <v>1.2000000000000002</v>
      </c>
      <c r="BV91" s="14">
        <v>1.6199999999999974</v>
      </c>
      <c r="BW91" s="14">
        <v>12.200000000000003</v>
      </c>
      <c r="BX91" s="14">
        <v>3</v>
      </c>
      <c r="BY91" s="48">
        <v>-5.1400000000000006</v>
      </c>
      <c r="BZ91" s="14">
        <v>-15.399999999999999</v>
      </c>
      <c r="CA91" s="14">
        <v>-1</v>
      </c>
      <c r="CB91" s="14">
        <v>-5.2</v>
      </c>
      <c r="CC91" s="14">
        <v>-1.4</v>
      </c>
      <c r="CD91" s="14">
        <v>-4.2</v>
      </c>
      <c r="CE91" s="14">
        <v>-3.5522438715848231E-2</v>
      </c>
      <c r="CF91" s="14">
        <v>1.7486616991407099E-2</v>
      </c>
      <c r="CG91" s="14">
        <v>-0.26846153846153836</v>
      </c>
      <c r="CH91" s="14">
        <v>6.6</v>
      </c>
      <c r="CI91" s="14">
        <v>-5.3999999999999986</v>
      </c>
      <c r="CJ91" s="14">
        <v>-1.8000000000000007</v>
      </c>
      <c r="CK91" s="14">
        <v>-1.6</v>
      </c>
      <c r="CL91" s="14">
        <v>-6.5999999999999943</v>
      </c>
      <c r="CM91" s="14">
        <v>-7</v>
      </c>
      <c r="CN91" s="14">
        <v>-2.8</v>
      </c>
      <c r="CO91" s="14">
        <v>-55.800000000000011</v>
      </c>
      <c r="CP91" s="14">
        <v>-66.600000000000023</v>
      </c>
      <c r="CQ91" s="14">
        <v>-5</v>
      </c>
      <c r="CR91" s="14">
        <v>20.6</v>
      </c>
      <c r="CS91" s="14">
        <v>-4.8</v>
      </c>
      <c r="CT91" t="s">
        <v>266</v>
      </c>
      <c r="CU91" t="s">
        <v>498</v>
      </c>
    </row>
    <row r="92" spans="1:99" x14ac:dyDescent="0.2">
      <c r="A92" s="19">
        <v>44101</v>
      </c>
      <c r="B92">
        <v>3</v>
      </c>
      <c r="C92" s="13" t="s">
        <v>382</v>
      </c>
      <c r="D92" s="41" t="s">
        <v>307</v>
      </c>
      <c r="E92" s="14" t="s">
        <v>300</v>
      </c>
      <c r="F92" t="s">
        <v>689</v>
      </c>
      <c r="G92">
        <v>23.52</v>
      </c>
      <c r="H92" t="s">
        <v>690</v>
      </c>
      <c r="I92">
        <v>47.7</v>
      </c>
      <c r="J92">
        <v>6</v>
      </c>
      <c r="K92">
        <v>58</v>
      </c>
      <c r="L92">
        <v>14</v>
      </c>
      <c r="M92" t="s">
        <v>691</v>
      </c>
      <c r="N92">
        <v>7.5</v>
      </c>
      <c r="O92">
        <v>12</v>
      </c>
      <c r="P92">
        <v>58</v>
      </c>
      <c r="Q92">
        <v>1</v>
      </c>
      <c r="R92" t="s">
        <v>129</v>
      </c>
      <c r="S92">
        <v>15.6</v>
      </c>
      <c r="T92">
        <v>56</v>
      </c>
      <c r="U92">
        <v>5</v>
      </c>
      <c r="V92" t="s">
        <v>692</v>
      </c>
      <c r="W92">
        <v>8.1999999999999993</v>
      </c>
      <c r="X92">
        <v>42</v>
      </c>
      <c r="Y92">
        <v>6</v>
      </c>
      <c r="Z92" t="s">
        <v>694</v>
      </c>
      <c r="AA92">
        <v>2.5</v>
      </c>
      <c r="AB92">
        <v>5</v>
      </c>
      <c r="AC92">
        <v>3</v>
      </c>
      <c r="AD92">
        <v>13.6</v>
      </c>
      <c r="AE92">
        <v>56</v>
      </c>
      <c r="AF92">
        <v>10</v>
      </c>
      <c r="AG92" t="s">
        <v>80</v>
      </c>
      <c r="AH92">
        <v>4.0999999999999996</v>
      </c>
      <c r="AI92">
        <v>21</v>
      </c>
      <c r="AJ92">
        <v>3</v>
      </c>
      <c r="AK92">
        <v>13</v>
      </c>
      <c r="AL92">
        <v>3</v>
      </c>
      <c r="AM92">
        <v>-3</v>
      </c>
      <c r="AN92" s="21">
        <v>0.13157894736842105</v>
      </c>
      <c r="AO92" s="21">
        <v>5.2631578947368418E-2</v>
      </c>
      <c r="AP92" s="21">
        <v>1</v>
      </c>
      <c r="AQ92" s="35">
        <v>3</v>
      </c>
      <c r="AR92" s="35">
        <v>36</v>
      </c>
      <c r="AS92" s="35">
        <v>18</v>
      </c>
      <c r="AT92" s="35">
        <v>2</v>
      </c>
      <c r="AU92" s="35">
        <v>58</v>
      </c>
      <c r="AV92" s="35">
        <v>30</v>
      </c>
      <c r="AW92" s="35">
        <v>0</v>
      </c>
      <c r="AX92">
        <v>410</v>
      </c>
      <c r="AY92" s="35">
        <v>288</v>
      </c>
      <c r="AZ92" s="35">
        <v>116</v>
      </c>
      <c r="BA92" s="35">
        <v>0</v>
      </c>
      <c r="BB92" s="35">
        <v>6</v>
      </c>
      <c r="BC92" t="s">
        <v>300</v>
      </c>
      <c r="BD92" s="14">
        <v>6.59</v>
      </c>
      <c r="BE92" s="14">
        <v>21.375</v>
      </c>
      <c r="BF92" s="14">
        <v>-7.25</v>
      </c>
      <c r="BG92" s="14">
        <v>-7</v>
      </c>
      <c r="BH92" s="14">
        <v>8.5</v>
      </c>
      <c r="BI92" s="14">
        <v>0.10000000000000053</v>
      </c>
      <c r="BJ92" s="14">
        <v>6</v>
      </c>
      <c r="BK92" s="14">
        <v>29.25</v>
      </c>
      <c r="BL92" s="14">
        <v>-0.5</v>
      </c>
      <c r="BM92" s="14">
        <v>6.3250000000000011</v>
      </c>
      <c r="BN92" s="14">
        <v>25.75</v>
      </c>
      <c r="BO92" s="14">
        <v>0.75</v>
      </c>
      <c r="BP92" s="14">
        <v>2.6749999999999989</v>
      </c>
      <c r="BQ92" s="14">
        <v>14.25</v>
      </c>
      <c r="BR92" s="14">
        <v>-0.25</v>
      </c>
      <c r="BS92" s="14">
        <v>-3.1500000000000004</v>
      </c>
      <c r="BT92" s="14">
        <v>-17</v>
      </c>
      <c r="BU92" s="14">
        <v>0.5</v>
      </c>
      <c r="BV92" s="14">
        <v>-2.0750000000000011</v>
      </c>
      <c r="BW92" s="14">
        <v>-5.75</v>
      </c>
      <c r="BX92" s="14">
        <v>1.25</v>
      </c>
      <c r="BY92" s="48">
        <v>-6.4500000000000011</v>
      </c>
      <c r="BZ92" s="14">
        <v>-32</v>
      </c>
      <c r="CA92" s="14">
        <v>-2.25</v>
      </c>
      <c r="CB92" s="14">
        <v>5.75</v>
      </c>
      <c r="CC92" s="14">
        <v>1.5</v>
      </c>
      <c r="CD92" s="14">
        <v>-6.25</v>
      </c>
      <c r="CE92" s="14">
        <v>-8.0068226120857705E-2</v>
      </c>
      <c r="CF92" s="14">
        <v>-9.064327485380122E-3</v>
      </c>
      <c r="CG92" s="14">
        <v>0.35535714285714293</v>
      </c>
      <c r="CH92" s="14">
        <v>-1.75</v>
      </c>
      <c r="CI92" s="14">
        <v>2</v>
      </c>
      <c r="CJ92" s="14">
        <v>-5</v>
      </c>
      <c r="CK92" s="14">
        <v>0</v>
      </c>
      <c r="CL92" s="14">
        <v>-3.75</v>
      </c>
      <c r="CM92" s="14">
        <v>5.5</v>
      </c>
      <c r="CN92" s="14">
        <v>-1.75</v>
      </c>
      <c r="CO92" s="14">
        <v>52.5</v>
      </c>
      <c r="CP92" s="14">
        <v>42.25</v>
      </c>
      <c r="CQ92" s="14">
        <v>9.25</v>
      </c>
      <c r="CR92" s="14">
        <v>0.5</v>
      </c>
      <c r="CS92" s="14">
        <v>0.5</v>
      </c>
      <c r="CT92" t="s">
        <v>253</v>
      </c>
      <c r="CU92" t="s">
        <v>458</v>
      </c>
    </row>
    <row r="93" spans="1:99" x14ac:dyDescent="0.2">
      <c r="A93" s="19">
        <v>44101</v>
      </c>
      <c r="B93">
        <v>3</v>
      </c>
      <c r="C93" s="13" t="s">
        <v>382</v>
      </c>
      <c r="D93" s="41" t="s">
        <v>308</v>
      </c>
      <c r="E93" s="14" t="s">
        <v>291</v>
      </c>
      <c r="F93" t="s">
        <v>696</v>
      </c>
      <c r="G93">
        <v>39.799999999999997</v>
      </c>
      <c r="H93" t="s">
        <v>698</v>
      </c>
      <c r="I93">
        <v>10.6</v>
      </c>
      <c r="J93">
        <v>14</v>
      </c>
      <c r="K93">
        <v>64</v>
      </c>
      <c r="L93">
        <v>3</v>
      </c>
      <c r="M93" t="s">
        <v>697</v>
      </c>
      <c r="N93">
        <v>3.3</v>
      </c>
      <c r="O93">
        <v>4</v>
      </c>
      <c r="P93">
        <v>12</v>
      </c>
      <c r="Q93">
        <v>1</v>
      </c>
      <c r="R93" t="s">
        <v>163</v>
      </c>
      <c r="S93">
        <v>40</v>
      </c>
      <c r="T93">
        <v>100</v>
      </c>
      <c r="U93">
        <v>13</v>
      </c>
      <c r="V93" t="s">
        <v>103</v>
      </c>
      <c r="W93">
        <v>23</v>
      </c>
      <c r="X93">
        <v>110</v>
      </c>
      <c r="Y93">
        <v>8</v>
      </c>
      <c r="Z93" t="s">
        <v>699</v>
      </c>
      <c r="AA93">
        <v>1.2</v>
      </c>
      <c r="AB93">
        <v>2</v>
      </c>
      <c r="AC93">
        <v>1</v>
      </c>
      <c r="AD93">
        <v>25</v>
      </c>
      <c r="AE93">
        <v>110</v>
      </c>
      <c r="AF93">
        <v>14</v>
      </c>
      <c r="AG93" t="s">
        <v>68</v>
      </c>
      <c r="AH93">
        <v>11.1</v>
      </c>
      <c r="AI93">
        <v>61</v>
      </c>
      <c r="AJ93">
        <v>6</v>
      </c>
      <c r="AK93">
        <v>4</v>
      </c>
      <c r="AL93">
        <v>0</v>
      </c>
      <c r="AM93">
        <v>11</v>
      </c>
      <c r="AN93" s="21">
        <v>0.35416666666666669</v>
      </c>
      <c r="AO93" s="21">
        <v>8.3333333333333329E-2</v>
      </c>
      <c r="AP93" s="21">
        <v>0.7</v>
      </c>
      <c r="AQ93" s="35">
        <v>2</v>
      </c>
      <c r="AR93" s="35">
        <v>40</v>
      </c>
      <c r="AS93" s="35">
        <v>20</v>
      </c>
      <c r="AT93" s="35">
        <v>6</v>
      </c>
      <c r="AU93" s="35">
        <v>70</v>
      </c>
      <c r="AV93" s="35">
        <v>36</v>
      </c>
      <c r="AW93" s="35">
        <v>2</v>
      </c>
      <c r="AX93">
        <v>432</v>
      </c>
      <c r="AY93" s="35">
        <v>315</v>
      </c>
      <c r="AZ93" s="35">
        <v>95</v>
      </c>
      <c r="BA93" s="35">
        <v>0</v>
      </c>
      <c r="BB93" s="35">
        <v>22</v>
      </c>
      <c r="BC93" t="s">
        <v>291</v>
      </c>
      <c r="BD93" s="14">
        <v>15.475999999999999</v>
      </c>
      <c r="BE93" s="14">
        <v>-6.1799999999999944</v>
      </c>
      <c r="BF93" s="14">
        <v>-2.6000000000000014</v>
      </c>
      <c r="BG93" s="14">
        <v>-20</v>
      </c>
      <c r="BH93" s="14">
        <v>1.4</v>
      </c>
      <c r="BI93" s="14">
        <v>-1.8200000000000003</v>
      </c>
      <c r="BJ93" s="14">
        <v>-2</v>
      </c>
      <c r="BK93" s="14">
        <v>-21.6</v>
      </c>
      <c r="BL93" s="14">
        <v>-0.39999999999999991</v>
      </c>
      <c r="BM93" s="14">
        <v>16.8</v>
      </c>
      <c r="BN93" s="14">
        <v>18.599999999999994</v>
      </c>
      <c r="BO93" s="14">
        <v>4.1999999999999993</v>
      </c>
      <c r="BP93" s="14">
        <v>2.6040000000000028</v>
      </c>
      <c r="BQ93" s="14">
        <v>31</v>
      </c>
      <c r="BR93" s="14">
        <v>1.5999999999999996</v>
      </c>
      <c r="BS93" s="14">
        <v>-3.3999999999999995</v>
      </c>
      <c r="BT93" s="14">
        <v>-12</v>
      </c>
      <c r="BU93" s="14">
        <v>-2</v>
      </c>
      <c r="BV93" s="14">
        <v>11.080000000000002</v>
      </c>
      <c r="BW93" s="14">
        <v>46.8</v>
      </c>
      <c r="BX93" s="14">
        <v>5.8000000000000007</v>
      </c>
      <c r="BY93" s="48">
        <v>0.24000000000000021</v>
      </c>
      <c r="BZ93" s="14">
        <v>24.200000000000003</v>
      </c>
      <c r="CA93" s="14">
        <v>1.2000000000000002</v>
      </c>
      <c r="CB93" s="14">
        <v>-8.1999999999999993</v>
      </c>
      <c r="CC93" s="14">
        <v>-2.2000000000000002</v>
      </c>
      <c r="CD93" s="14">
        <v>2</v>
      </c>
      <c r="CE93" s="14">
        <v>1.3354450427621123E-2</v>
      </c>
      <c r="CF93" s="14">
        <v>3.1095977193538162E-2</v>
      </c>
      <c r="CG93" s="14">
        <v>-0.125</v>
      </c>
      <c r="CH93" s="14">
        <v>1.4</v>
      </c>
      <c r="CI93" s="14">
        <v>7.3999999999999986</v>
      </c>
      <c r="CJ93" s="14">
        <v>-6.6000000000000014</v>
      </c>
      <c r="CK93" s="14">
        <v>1</v>
      </c>
      <c r="CL93" s="14">
        <v>2.5999999999999943</v>
      </c>
      <c r="CM93" s="14">
        <v>-1.7999999999999972</v>
      </c>
      <c r="CN93" s="14">
        <v>0.19999999999999996</v>
      </c>
      <c r="CO93" s="14">
        <v>22</v>
      </c>
      <c r="CP93" s="14">
        <v>82.4</v>
      </c>
      <c r="CQ93" s="14">
        <v>-43.800000000000011</v>
      </c>
      <c r="CR93" s="14">
        <v>-16.399999999999999</v>
      </c>
      <c r="CS93" s="14">
        <v>-0.19999999999999929</v>
      </c>
      <c r="CT93" t="s">
        <v>282</v>
      </c>
      <c r="CU93" t="s">
        <v>453</v>
      </c>
    </row>
    <row r="94" spans="1:99" x14ac:dyDescent="0.2">
      <c r="A94" s="19">
        <v>44101</v>
      </c>
      <c r="B94">
        <v>3</v>
      </c>
      <c r="C94" s="13" t="s">
        <v>382</v>
      </c>
      <c r="D94" s="41" t="s">
        <v>309</v>
      </c>
      <c r="E94" s="14" t="s">
        <v>311</v>
      </c>
      <c r="F94" t="s">
        <v>702</v>
      </c>
      <c r="G94">
        <v>19.18</v>
      </c>
      <c r="H94" t="s">
        <v>703</v>
      </c>
      <c r="I94">
        <v>27.9</v>
      </c>
      <c r="J94">
        <v>18</v>
      </c>
      <c r="K94">
        <v>109</v>
      </c>
      <c r="L94">
        <v>5</v>
      </c>
      <c r="M94" t="s">
        <v>707</v>
      </c>
      <c r="N94">
        <v>5.9</v>
      </c>
      <c r="O94">
        <v>6</v>
      </c>
      <c r="P94">
        <v>42</v>
      </c>
      <c r="Q94">
        <v>2</v>
      </c>
      <c r="R94" t="s">
        <v>705</v>
      </c>
      <c r="S94">
        <v>16.3</v>
      </c>
      <c r="T94">
        <v>43</v>
      </c>
      <c r="U94">
        <v>5</v>
      </c>
      <c r="V94" t="s">
        <v>70</v>
      </c>
      <c r="W94">
        <v>8.6</v>
      </c>
      <c r="X94">
        <v>36</v>
      </c>
      <c r="Y94">
        <v>7</v>
      </c>
      <c r="Z94" t="s">
        <v>706</v>
      </c>
      <c r="AA94">
        <v>3.4</v>
      </c>
      <c r="AB94">
        <v>24</v>
      </c>
      <c r="AC94">
        <v>4</v>
      </c>
      <c r="AD94">
        <v>12.2</v>
      </c>
      <c r="AE94">
        <v>32</v>
      </c>
      <c r="AF94">
        <v>6</v>
      </c>
      <c r="AG94" t="s">
        <v>100</v>
      </c>
      <c r="AH94">
        <v>16.2</v>
      </c>
      <c r="AI94">
        <v>52</v>
      </c>
      <c r="AJ94">
        <v>7</v>
      </c>
      <c r="AK94">
        <v>8</v>
      </c>
      <c r="AL94">
        <v>2</v>
      </c>
      <c r="AM94">
        <v>7</v>
      </c>
      <c r="AN94" s="21">
        <v>0.23076923076923078</v>
      </c>
      <c r="AO94" s="21">
        <v>5.128205128205128E-2</v>
      </c>
      <c r="AP94" s="21">
        <v>1</v>
      </c>
      <c r="AQ94" s="35">
        <v>1</v>
      </c>
      <c r="AR94" s="35">
        <v>36</v>
      </c>
      <c r="AS94" s="35">
        <v>32</v>
      </c>
      <c r="AT94" s="35">
        <v>5</v>
      </c>
      <c r="AU94" s="35">
        <v>76</v>
      </c>
      <c r="AV94" s="35">
        <v>28</v>
      </c>
      <c r="AW94" s="35">
        <v>0</v>
      </c>
      <c r="AX94">
        <v>406</v>
      </c>
      <c r="AY94" s="35">
        <v>237</v>
      </c>
      <c r="AZ94" s="35">
        <v>163</v>
      </c>
      <c r="BA94" s="35">
        <v>9</v>
      </c>
      <c r="BB94" s="35">
        <v>-3</v>
      </c>
      <c r="BC94" t="s">
        <v>311</v>
      </c>
      <c r="BD94" s="14">
        <v>-2.6440000000000019</v>
      </c>
      <c r="BE94" s="14">
        <v>1.9800000000000004</v>
      </c>
      <c r="BF94" s="14">
        <v>0.19999999999999929</v>
      </c>
      <c r="BG94" s="14">
        <v>-1.7999999999999972</v>
      </c>
      <c r="BH94" s="14">
        <v>0.59999999999999964</v>
      </c>
      <c r="BI94" s="14">
        <v>-1.3599999999999994</v>
      </c>
      <c r="BJ94" s="14">
        <v>0</v>
      </c>
      <c r="BK94" s="14">
        <v>4</v>
      </c>
      <c r="BL94" s="14">
        <v>0.39999999999999991</v>
      </c>
      <c r="BM94" s="14">
        <v>-0.11999999999999744</v>
      </c>
      <c r="BN94" s="14">
        <v>-11.600000000000001</v>
      </c>
      <c r="BO94" s="14">
        <v>-1.4000000000000004</v>
      </c>
      <c r="BP94" s="14">
        <v>-4.8000000000000007</v>
      </c>
      <c r="BQ94" s="14">
        <v>-28</v>
      </c>
      <c r="BR94" s="14">
        <v>0.79999999999999982</v>
      </c>
      <c r="BS94" s="14">
        <v>-1.6399999999999992</v>
      </c>
      <c r="BT94" s="14">
        <v>2</v>
      </c>
      <c r="BU94" s="14">
        <v>0.79999999999999982</v>
      </c>
      <c r="BV94" s="14">
        <v>-3.9600000000000009</v>
      </c>
      <c r="BW94" s="14">
        <v>-33.599999999999994</v>
      </c>
      <c r="BX94" s="14">
        <v>-2.4000000000000004</v>
      </c>
      <c r="BY94" s="48">
        <v>4.66</v>
      </c>
      <c r="BZ94" s="14">
        <v>4.6000000000000014</v>
      </c>
      <c r="CA94" s="14">
        <v>1.4000000000000004</v>
      </c>
      <c r="CB94" s="14">
        <v>1.5999999999999996</v>
      </c>
      <c r="CC94" s="14">
        <v>-0.39999999999999991</v>
      </c>
      <c r="CD94" s="14">
        <v>1.2000000000000002</v>
      </c>
      <c r="CE94" s="14">
        <v>-0.10354122621564482</v>
      </c>
      <c r="CF94" s="14">
        <v>-2.7262698541768313E-2</v>
      </c>
      <c r="CG94" s="14">
        <v>0.24206349206349198</v>
      </c>
      <c r="CH94" s="14">
        <v>-3</v>
      </c>
      <c r="CI94" s="14">
        <v>1.6000000000000014</v>
      </c>
      <c r="CJ94" s="14">
        <v>6</v>
      </c>
      <c r="CK94" s="14">
        <v>-0.79999999999999982</v>
      </c>
      <c r="CL94" s="14">
        <v>6.2000000000000028</v>
      </c>
      <c r="CM94" s="14">
        <v>-0.19999999999999929</v>
      </c>
      <c r="CN94" s="14">
        <v>-1.4</v>
      </c>
      <c r="CO94" s="14">
        <v>-47.399999999999977</v>
      </c>
      <c r="CP94" s="14">
        <v>-36.600000000000023</v>
      </c>
      <c r="CQ94" s="14">
        <v>1.8000000000000114</v>
      </c>
      <c r="CR94" s="14">
        <v>5.2</v>
      </c>
      <c r="CS94" s="14">
        <v>-17.8</v>
      </c>
      <c r="CT94" t="s">
        <v>275</v>
      </c>
      <c r="CU94" t="s">
        <v>477</v>
      </c>
    </row>
    <row r="95" spans="1:99" x14ac:dyDescent="0.2">
      <c r="A95" s="19">
        <v>44101</v>
      </c>
      <c r="B95">
        <v>3</v>
      </c>
      <c r="C95" s="13" t="s">
        <v>382</v>
      </c>
      <c r="D95" s="41" t="s">
        <v>310</v>
      </c>
      <c r="E95" s="14" t="s">
        <v>312</v>
      </c>
      <c r="F95" t="s">
        <v>709</v>
      </c>
      <c r="G95">
        <v>16.739999999999998</v>
      </c>
      <c r="H95" t="s">
        <v>710</v>
      </c>
      <c r="I95">
        <v>30</v>
      </c>
      <c r="J95">
        <v>26</v>
      </c>
      <c r="K95">
        <v>119</v>
      </c>
      <c r="L95">
        <v>3</v>
      </c>
      <c r="M95" t="s">
        <v>711</v>
      </c>
      <c r="N95">
        <v>1.5</v>
      </c>
      <c r="O95">
        <v>0</v>
      </c>
      <c r="P95">
        <v>0</v>
      </c>
      <c r="Q95">
        <v>1</v>
      </c>
      <c r="R95" t="s">
        <v>53</v>
      </c>
      <c r="S95">
        <v>11.9</v>
      </c>
      <c r="T95">
        <v>69</v>
      </c>
      <c r="U95">
        <v>6</v>
      </c>
      <c r="V95" t="s">
        <v>712</v>
      </c>
      <c r="W95">
        <v>17.5</v>
      </c>
      <c r="X95">
        <v>118</v>
      </c>
      <c r="Y95">
        <v>3</v>
      </c>
      <c r="Z95" t="s">
        <v>54</v>
      </c>
      <c r="AA95">
        <v>8.1</v>
      </c>
      <c r="AB95">
        <v>41</v>
      </c>
      <c r="AC95">
        <v>7</v>
      </c>
      <c r="AD95">
        <v>13.4</v>
      </c>
      <c r="AE95">
        <v>74</v>
      </c>
      <c r="AF95">
        <v>11</v>
      </c>
      <c r="AG95" t="s">
        <v>171</v>
      </c>
      <c r="AH95">
        <v>11.1</v>
      </c>
      <c r="AI95">
        <v>61</v>
      </c>
      <c r="AJ95">
        <v>8</v>
      </c>
      <c r="AK95">
        <v>25</v>
      </c>
      <c r="AL95">
        <v>6</v>
      </c>
      <c r="AM95">
        <v>7</v>
      </c>
      <c r="AN95" s="21">
        <v>0.25641025641025639</v>
      </c>
      <c r="AO95" s="21">
        <v>2.564102564102564E-2</v>
      </c>
      <c r="AP95" s="21">
        <v>0.4</v>
      </c>
      <c r="AQ95" s="35">
        <v>3</v>
      </c>
      <c r="AR95" s="35">
        <v>37</v>
      </c>
      <c r="AS95" s="35">
        <v>29</v>
      </c>
      <c r="AT95" s="35">
        <v>4</v>
      </c>
      <c r="AU95" s="35">
        <v>73</v>
      </c>
      <c r="AV95" s="35">
        <v>31</v>
      </c>
      <c r="AW95" s="35">
        <v>0</v>
      </c>
      <c r="AX95">
        <v>455</v>
      </c>
      <c r="AY95" s="35">
        <v>321</v>
      </c>
      <c r="AZ95" s="35">
        <v>128</v>
      </c>
      <c r="BA95" s="35">
        <v>-3</v>
      </c>
      <c r="BB95" s="35">
        <v>9</v>
      </c>
      <c r="BC95" t="s">
        <v>312</v>
      </c>
      <c r="BD95" s="14">
        <v>-5.7840000000000025</v>
      </c>
      <c r="BE95" s="14">
        <v>11.440000000000001</v>
      </c>
      <c r="BF95" s="14">
        <v>6.8000000000000007</v>
      </c>
      <c r="BG95" s="14">
        <v>42.599999999999994</v>
      </c>
      <c r="BH95" s="14">
        <v>-0.79999999999999982</v>
      </c>
      <c r="BI95" s="14">
        <v>-2.2600000000000002</v>
      </c>
      <c r="BJ95" s="14">
        <v>-5.4</v>
      </c>
      <c r="BK95" s="14">
        <v>-21.2</v>
      </c>
      <c r="BL95" s="14">
        <v>-0.39999999999999991</v>
      </c>
      <c r="BM95" s="14">
        <v>-5.8200000000000021</v>
      </c>
      <c r="BN95" s="14">
        <v>-8.2000000000000028</v>
      </c>
      <c r="BO95" s="14">
        <v>-0.59999999999999964</v>
      </c>
      <c r="BP95" s="14">
        <v>0.19999999999999929</v>
      </c>
      <c r="BQ95" s="14">
        <v>52</v>
      </c>
      <c r="BR95" s="14">
        <v>-2.8</v>
      </c>
      <c r="BS95" s="14">
        <v>1.7199999999999989</v>
      </c>
      <c r="BT95" s="14">
        <v>5.2000000000000028</v>
      </c>
      <c r="BU95" s="14">
        <v>2</v>
      </c>
      <c r="BV95" s="14">
        <v>-3.8800000000000008</v>
      </c>
      <c r="BW95" s="14">
        <v>-4.7999999999999972</v>
      </c>
      <c r="BX95" s="14">
        <v>2.8000000000000007</v>
      </c>
      <c r="BY95" s="48">
        <v>-1.3800000000000008</v>
      </c>
      <c r="BZ95" s="14">
        <v>2.2000000000000028</v>
      </c>
      <c r="CA95" s="14">
        <v>3.5999999999999996</v>
      </c>
      <c r="CB95" s="14">
        <v>9.8000000000000007</v>
      </c>
      <c r="CC95" s="14">
        <v>2.6</v>
      </c>
      <c r="CD95" s="14">
        <v>-0.59999999999999964</v>
      </c>
      <c r="CE95" s="14">
        <v>-4.9073979317881766E-2</v>
      </c>
      <c r="CF95" s="14">
        <v>-3.2905098514854611E-2</v>
      </c>
      <c r="CG95" s="14">
        <v>-0.27333333333333332</v>
      </c>
      <c r="CH95" s="14">
        <v>-0.60000000000000009</v>
      </c>
      <c r="CI95" s="14">
        <v>3.6000000000000014</v>
      </c>
      <c r="CJ95" s="14">
        <v>3.3999999999999986</v>
      </c>
      <c r="CK95" s="14">
        <v>-0.40000000000000036</v>
      </c>
      <c r="CL95" s="14">
        <v>6.4000000000000057</v>
      </c>
      <c r="CM95" s="14">
        <v>1.6000000000000014</v>
      </c>
      <c r="CN95" s="14">
        <v>0</v>
      </c>
      <c r="CO95" s="14">
        <v>49.600000000000023</v>
      </c>
      <c r="CP95" s="14">
        <v>36.399999999999977</v>
      </c>
      <c r="CQ95" s="14">
        <v>27</v>
      </c>
      <c r="CR95" s="14">
        <v>-5.4</v>
      </c>
      <c r="CS95" s="14">
        <v>-8.3999999999999986</v>
      </c>
      <c r="CT95" t="s">
        <v>260</v>
      </c>
      <c r="CU95" t="s">
        <v>476</v>
      </c>
    </row>
    <row r="96" spans="1:99" x14ac:dyDescent="0.2">
      <c r="A96" s="19">
        <v>44101</v>
      </c>
      <c r="B96">
        <v>3</v>
      </c>
      <c r="C96" s="13" t="s">
        <v>382</v>
      </c>
      <c r="D96" s="41" t="s">
        <v>311</v>
      </c>
      <c r="E96" s="14" t="s">
        <v>309</v>
      </c>
      <c r="F96" t="s">
        <v>718</v>
      </c>
      <c r="G96">
        <v>18.059999999999999</v>
      </c>
      <c r="H96" t="s">
        <v>719</v>
      </c>
      <c r="I96">
        <v>12.6</v>
      </c>
      <c r="J96">
        <v>13</v>
      </c>
      <c r="K96">
        <v>23</v>
      </c>
      <c r="L96">
        <v>3</v>
      </c>
      <c r="M96" t="s">
        <v>723</v>
      </c>
      <c r="N96">
        <v>1.6</v>
      </c>
      <c r="O96">
        <v>0</v>
      </c>
      <c r="P96">
        <v>0</v>
      </c>
      <c r="Q96">
        <v>1</v>
      </c>
      <c r="R96" t="s">
        <v>23</v>
      </c>
      <c r="S96">
        <v>15.4</v>
      </c>
      <c r="T96">
        <v>54</v>
      </c>
      <c r="U96">
        <v>5</v>
      </c>
      <c r="V96" t="s">
        <v>84</v>
      </c>
      <c r="W96">
        <v>19.5</v>
      </c>
      <c r="X96">
        <v>95</v>
      </c>
      <c r="Y96">
        <v>4</v>
      </c>
      <c r="Z96" t="s">
        <v>71</v>
      </c>
      <c r="AA96">
        <v>6.5</v>
      </c>
      <c r="AB96">
        <v>35</v>
      </c>
      <c r="AC96">
        <v>4</v>
      </c>
      <c r="AD96">
        <v>32</v>
      </c>
      <c r="AE96">
        <v>160</v>
      </c>
      <c r="AF96">
        <v>13</v>
      </c>
      <c r="AG96" t="s">
        <v>722</v>
      </c>
      <c r="AH96">
        <v>4.8</v>
      </c>
      <c r="AI96">
        <v>28</v>
      </c>
      <c r="AJ96">
        <v>3</v>
      </c>
      <c r="AK96">
        <v>3</v>
      </c>
      <c r="AL96">
        <v>0</v>
      </c>
      <c r="AM96">
        <v>1</v>
      </c>
      <c r="AN96" s="21">
        <v>0.42424242424242425</v>
      </c>
      <c r="AO96" s="21">
        <v>0.15151515151515152</v>
      </c>
      <c r="AP96" s="21">
        <v>0.88888888888888884</v>
      </c>
      <c r="AQ96" s="35">
        <v>7</v>
      </c>
      <c r="AR96" s="35">
        <v>27</v>
      </c>
      <c r="AS96" s="35">
        <v>14</v>
      </c>
      <c r="AT96" s="35">
        <v>1</v>
      </c>
      <c r="AU96" s="35">
        <v>47</v>
      </c>
      <c r="AV96" s="35">
        <v>21</v>
      </c>
      <c r="AW96" s="35">
        <v>0</v>
      </c>
      <c r="AX96">
        <v>293</v>
      </c>
      <c r="AY96" s="35">
        <v>264</v>
      </c>
      <c r="AZ96" s="35">
        <v>24</v>
      </c>
      <c r="BA96" s="35">
        <v>0</v>
      </c>
      <c r="BB96" s="35">
        <v>5</v>
      </c>
      <c r="BC96" t="s">
        <v>309</v>
      </c>
      <c r="BD96" s="14">
        <v>1.4800000000000004</v>
      </c>
      <c r="BE96" s="14">
        <v>-2.5499999999999989</v>
      </c>
      <c r="BF96" s="14">
        <v>-1</v>
      </c>
      <c r="BG96" s="14">
        <v>-30.25</v>
      </c>
      <c r="BH96" s="14">
        <v>-0.25</v>
      </c>
      <c r="BI96" s="14">
        <v>-9.9999999999999867E-2</v>
      </c>
      <c r="BJ96" s="14">
        <v>-2</v>
      </c>
      <c r="BK96" s="14">
        <v>-13</v>
      </c>
      <c r="BL96" s="14">
        <v>0.75</v>
      </c>
      <c r="BM96" s="14">
        <v>-0.52500000000000036</v>
      </c>
      <c r="BN96" s="14">
        <v>-20.25</v>
      </c>
      <c r="BO96" s="14">
        <v>-1.75</v>
      </c>
      <c r="BP96" s="14">
        <v>7.1750000000000007</v>
      </c>
      <c r="BQ96" s="14">
        <v>39.25</v>
      </c>
      <c r="BR96" s="14">
        <v>-1.25</v>
      </c>
      <c r="BS96" s="14">
        <v>-0.82500000000000018</v>
      </c>
      <c r="BT96" s="14">
        <v>6.5</v>
      </c>
      <c r="BU96" s="14">
        <v>-0.75</v>
      </c>
      <c r="BV96" s="14">
        <v>11.299999999999997</v>
      </c>
      <c r="BW96" s="14">
        <v>68</v>
      </c>
      <c r="BX96" s="14">
        <v>2.5</v>
      </c>
      <c r="BY96" s="48">
        <v>-3.7749999999999995</v>
      </c>
      <c r="BZ96" s="14">
        <v>-7.75</v>
      </c>
      <c r="CA96" s="14">
        <v>-2</v>
      </c>
      <c r="CB96" s="14">
        <v>-0.25</v>
      </c>
      <c r="CC96" s="14">
        <v>-1</v>
      </c>
      <c r="CD96" s="14">
        <v>-0.5</v>
      </c>
      <c r="CE96" s="14">
        <v>-8.5861206774544008E-3</v>
      </c>
      <c r="CF96" s="14">
        <v>1.5611485902093075E-2</v>
      </c>
      <c r="CG96" s="14">
        <v>0.36443381180223278</v>
      </c>
      <c r="CH96" s="14">
        <v>-4.5</v>
      </c>
      <c r="CI96" s="14">
        <v>-5.5</v>
      </c>
      <c r="CJ96" s="14">
        <v>-3.25</v>
      </c>
      <c r="CK96" s="14">
        <v>-1</v>
      </c>
      <c r="CL96" s="14">
        <v>-11</v>
      </c>
      <c r="CM96" s="14">
        <v>1.5</v>
      </c>
      <c r="CN96" s="14">
        <v>0</v>
      </c>
      <c r="CO96" s="14">
        <v>-27.75</v>
      </c>
      <c r="CP96" s="14">
        <v>18.75</v>
      </c>
      <c r="CQ96" s="14">
        <v>-42.75</v>
      </c>
      <c r="CR96" s="14">
        <v>-2.25</v>
      </c>
      <c r="CS96" s="14">
        <v>-1.5</v>
      </c>
      <c r="CT96" t="s">
        <v>271</v>
      </c>
      <c r="CU96" t="s">
        <v>521</v>
      </c>
    </row>
    <row r="97" spans="1:99" x14ac:dyDescent="0.2">
      <c r="A97" s="19">
        <v>44101</v>
      </c>
      <c r="B97">
        <v>3</v>
      </c>
      <c r="C97" s="13" t="s">
        <v>382</v>
      </c>
      <c r="D97" s="41" t="s">
        <v>312</v>
      </c>
      <c r="E97" s="14" t="s">
        <v>310</v>
      </c>
      <c r="F97" t="s">
        <v>725</v>
      </c>
      <c r="G97">
        <v>21.44</v>
      </c>
      <c r="H97" t="s">
        <v>731</v>
      </c>
      <c r="I97">
        <v>29.9</v>
      </c>
      <c r="J97">
        <v>22</v>
      </c>
      <c r="K97">
        <v>181</v>
      </c>
      <c r="L97">
        <v>5</v>
      </c>
      <c r="M97" t="s">
        <v>726</v>
      </c>
      <c r="N97">
        <v>2.7</v>
      </c>
      <c r="O97">
        <v>8</v>
      </c>
      <c r="P97">
        <v>27</v>
      </c>
      <c r="Q97">
        <v>0</v>
      </c>
      <c r="R97" t="s">
        <v>45</v>
      </c>
      <c r="S97">
        <v>12.3</v>
      </c>
      <c r="T97">
        <v>29</v>
      </c>
      <c r="U97">
        <v>5</v>
      </c>
      <c r="V97" t="s">
        <v>728</v>
      </c>
      <c r="W97">
        <v>33.5</v>
      </c>
      <c r="X97">
        <v>175</v>
      </c>
      <c r="Y97">
        <v>9</v>
      </c>
      <c r="Z97" t="s">
        <v>729</v>
      </c>
      <c r="AA97">
        <v>1.7</v>
      </c>
      <c r="AB97">
        <v>7</v>
      </c>
      <c r="AC97">
        <v>1</v>
      </c>
      <c r="AD97">
        <v>22.2</v>
      </c>
      <c r="AE97">
        <v>122</v>
      </c>
      <c r="AF97">
        <v>5</v>
      </c>
      <c r="AG97" t="s">
        <v>148</v>
      </c>
      <c r="AH97">
        <v>9.1</v>
      </c>
      <c r="AI97">
        <v>11</v>
      </c>
      <c r="AJ97">
        <v>3</v>
      </c>
      <c r="AK97">
        <v>6</v>
      </c>
      <c r="AL97">
        <v>2</v>
      </c>
      <c r="AM97">
        <v>3</v>
      </c>
      <c r="AN97" s="21">
        <v>0.6</v>
      </c>
      <c r="AO97" s="21">
        <v>6.6666666666666666E-2</v>
      </c>
      <c r="AP97" s="21">
        <v>0.6</v>
      </c>
      <c r="AQ97" s="35">
        <v>7</v>
      </c>
      <c r="AR97" s="35">
        <v>27</v>
      </c>
      <c r="AS97" s="35">
        <v>30</v>
      </c>
      <c r="AT97" s="35">
        <v>2</v>
      </c>
      <c r="AU97" s="35">
        <v>62</v>
      </c>
      <c r="AV97" s="35">
        <v>30</v>
      </c>
      <c r="AW97" s="35">
        <v>0</v>
      </c>
      <c r="AX97">
        <v>477</v>
      </c>
      <c r="AY97" s="35">
        <v>251</v>
      </c>
      <c r="AZ97" s="35">
        <v>208</v>
      </c>
      <c r="BA97" s="35">
        <v>4</v>
      </c>
      <c r="BB97" s="35">
        <v>14</v>
      </c>
      <c r="BC97" t="s">
        <v>310</v>
      </c>
      <c r="BD97" s="14">
        <v>-4.3649999999999984</v>
      </c>
      <c r="BE97" s="14">
        <v>11.875</v>
      </c>
      <c r="BF97" s="14">
        <v>5</v>
      </c>
      <c r="BG97" s="14">
        <v>89.75</v>
      </c>
      <c r="BH97" s="14">
        <v>2</v>
      </c>
      <c r="BI97" s="14">
        <v>-5.0249999999999995</v>
      </c>
      <c r="BJ97" s="14">
        <v>2.75</v>
      </c>
      <c r="BK97" s="14">
        <v>3.25</v>
      </c>
      <c r="BL97" s="14">
        <v>-2.25</v>
      </c>
      <c r="BM97" s="14">
        <v>-6.6000000000000014</v>
      </c>
      <c r="BN97" s="14">
        <v>-56.5</v>
      </c>
      <c r="BO97" s="14">
        <v>-4</v>
      </c>
      <c r="BP97" s="14">
        <v>12.400000000000002</v>
      </c>
      <c r="BQ97" s="14">
        <v>86.5</v>
      </c>
      <c r="BR97" s="14">
        <v>1.25</v>
      </c>
      <c r="BS97" s="14">
        <v>-6.6499999999999995</v>
      </c>
      <c r="BT97" s="14">
        <v>-21.5</v>
      </c>
      <c r="BU97" s="14">
        <v>-3.5</v>
      </c>
      <c r="BV97" s="14">
        <v>-5.0500000000000007</v>
      </c>
      <c r="BW97" s="14">
        <v>-0.5</v>
      </c>
      <c r="BX97" s="14">
        <v>-7.75</v>
      </c>
      <c r="BY97" s="48">
        <v>-2.0750000000000011</v>
      </c>
      <c r="BZ97" s="14">
        <v>-25.75</v>
      </c>
      <c r="CA97" s="14">
        <v>-1.75</v>
      </c>
      <c r="CB97" s="14">
        <v>0.25</v>
      </c>
      <c r="CC97" s="14">
        <v>0.75</v>
      </c>
      <c r="CD97" s="14">
        <v>2.25</v>
      </c>
      <c r="CE97" s="14">
        <v>0.23289115646258501</v>
      </c>
      <c r="CF97" s="14">
        <v>2.299319727891156E-2</v>
      </c>
      <c r="CG97" s="14">
        <v>-5.8333333333333237E-2</v>
      </c>
      <c r="CH97" s="14">
        <v>2.5</v>
      </c>
      <c r="CI97" s="14">
        <v>-11.75</v>
      </c>
      <c r="CJ97" s="14">
        <v>7.75</v>
      </c>
      <c r="CK97" s="14">
        <v>-1.5</v>
      </c>
      <c r="CL97" s="14">
        <v>-3.25</v>
      </c>
      <c r="CM97" s="14">
        <v>2</v>
      </c>
      <c r="CN97" s="14">
        <v>0</v>
      </c>
      <c r="CO97" s="14">
        <v>30</v>
      </c>
      <c r="CP97" s="14">
        <v>-51.5</v>
      </c>
      <c r="CQ97" s="14">
        <v>93</v>
      </c>
      <c r="CR97" s="14">
        <v>-6.25</v>
      </c>
      <c r="CS97" s="14">
        <v>-5.25</v>
      </c>
      <c r="CT97" t="s">
        <v>286</v>
      </c>
      <c r="CU97" t="s">
        <v>479</v>
      </c>
    </row>
    <row r="98" spans="1:99" x14ac:dyDescent="0.2">
      <c r="A98" s="19">
        <v>44108</v>
      </c>
      <c r="B98">
        <v>4</v>
      </c>
      <c r="C98" s="14" t="s">
        <v>417</v>
      </c>
      <c r="D98" s="40" t="s">
        <v>256</v>
      </c>
      <c r="E98" s="14" t="s">
        <v>294</v>
      </c>
      <c r="F98" t="s">
        <v>467</v>
      </c>
      <c r="G98">
        <v>14.56</v>
      </c>
      <c r="H98" t="s">
        <v>466</v>
      </c>
      <c r="I98">
        <v>22.8</v>
      </c>
      <c r="J98">
        <v>14</v>
      </c>
      <c r="K98">
        <v>54</v>
      </c>
      <c r="L98">
        <v>9</v>
      </c>
      <c r="M98" t="s">
        <v>460</v>
      </c>
      <c r="N98">
        <v>2.9</v>
      </c>
      <c r="O98">
        <v>3</v>
      </c>
      <c r="P98">
        <v>6</v>
      </c>
      <c r="Q98">
        <v>1</v>
      </c>
      <c r="R98" t="s">
        <v>462</v>
      </c>
      <c r="S98">
        <v>13.6</v>
      </c>
      <c r="T98">
        <v>18</v>
      </c>
      <c r="U98">
        <v>5</v>
      </c>
      <c r="V98" t="s">
        <v>127</v>
      </c>
      <c r="W98">
        <v>7.5</v>
      </c>
      <c r="X98">
        <v>35</v>
      </c>
      <c r="Y98">
        <v>3</v>
      </c>
      <c r="Z98" t="s">
        <v>463</v>
      </c>
      <c r="AA98">
        <v>6.3</v>
      </c>
      <c r="AB98">
        <v>33</v>
      </c>
      <c r="AC98">
        <v>5</v>
      </c>
      <c r="AD98">
        <v>22.5</v>
      </c>
      <c r="AE98">
        <v>125</v>
      </c>
      <c r="AF98">
        <v>11</v>
      </c>
      <c r="AG98" t="s">
        <v>78</v>
      </c>
      <c r="AH98">
        <v>43.1</v>
      </c>
      <c r="AI98">
        <v>183</v>
      </c>
      <c r="AJ98">
        <v>16</v>
      </c>
      <c r="AK98">
        <v>2</v>
      </c>
      <c r="AL98">
        <v>0</v>
      </c>
      <c r="AM98">
        <v>5</v>
      </c>
      <c r="AN98" s="21">
        <v>0.43137254901960786</v>
      </c>
      <c r="AO98" s="21">
        <v>9.8039215686274508E-2</v>
      </c>
      <c r="AP98" s="21">
        <v>0.73333333333333328</v>
      </c>
      <c r="AQ98" s="35">
        <v>18</v>
      </c>
      <c r="AR98" s="35">
        <v>45</v>
      </c>
      <c r="AS98" s="35">
        <v>17</v>
      </c>
      <c r="AT98" s="35">
        <v>0</v>
      </c>
      <c r="AU98" s="35">
        <v>70</v>
      </c>
      <c r="AV98" s="35">
        <v>20</v>
      </c>
      <c r="AW98" s="35">
        <v>0</v>
      </c>
      <c r="AX98">
        <v>447</v>
      </c>
      <c r="AY98" s="35">
        <v>339</v>
      </c>
      <c r="AZ98" s="35">
        <v>60</v>
      </c>
      <c r="BA98" s="35">
        <v>48</v>
      </c>
      <c r="BB98" s="35">
        <v>0</v>
      </c>
      <c r="BC98" t="s">
        <v>294</v>
      </c>
      <c r="BD98" s="14">
        <v>-8.3439999999999994</v>
      </c>
      <c r="BE98" s="14">
        <v>7.7399999999999984</v>
      </c>
      <c r="BF98" s="14">
        <v>-0.40000000000000036</v>
      </c>
      <c r="BG98" s="14">
        <v>3.2000000000000028</v>
      </c>
      <c r="BH98" s="14">
        <v>5.4</v>
      </c>
      <c r="BI98" s="14">
        <v>-1.6800000000000002</v>
      </c>
      <c r="BJ98" s="14">
        <v>-3</v>
      </c>
      <c r="BK98" s="14">
        <v>-14</v>
      </c>
      <c r="BL98" s="14">
        <v>-0.60000000000000009</v>
      </c>
      <c r="BM98" s="14">
        <v>-7.5399999999999974</v>
      </c>
      <c r="BN98" s="14">
        <v>-46.8</v>
      </c>
      <c r="BO98" s="14">
        <v>-3</v>
      </c>
      <c r="BP98" s="14">
        <v>-1.0999999999999996</v>
      </c>
      <c r="BQ98" s="14">
        <v>-7.2000000000000028</v>
      </c>
      <c r="BR98" s="14">
        <v>-1.5999999999999996</v>
      </c>
      <c r="BS98" s="14">
        <v>-1.839999999999999</v>
      </c>
      <c r="BT98" s="14">
        <v>5.1999999999999993</v>
      </c>
      <c r="BU98" s="14">
        <v>0.59999999999999964</v>
      </c>
      <c r="BV98" s="14">
        <v>5.16</v>
      </c>
      <c r="BW98" s="14">
        <v>55.599999999999994</v>
      </c>
      <c r="BX98" s="14">
        <v>2.1999999999999993</v>
      </c>
      <c r="BY98" s="48">
        <v>26.1</v>
      </c>
      <c r="BZ98" s="14">
        <v>122.6</v>
      </c>
      <c r="CA98" s="14">
        <v>9.6</v>
      </c>
      <c r="CB98" s="14">
        <v>-7.1999999999999993</v>
      </c>
      <c r="CC98" s="14">
        <v>-1.6</v>
      </c>
      <c r="CD98" s="14">
        <v>-1.7999999999999998</v>
      </c>
      <c r="CE98" s="14">
        <v>4.1311825429472537E-2</v>
      </c>
      <c r="CF98" s="14">
        <v>1.7099371217018267E-2</v>
      </c>
      <c r="CG98" s="14">
        <v>6.1111111111110672E-3</v>
      </c>
      <c r="CH98" s="14">
        <v>12.4</v>
      </c>
      <c r="CI98" s="14">
        <v>9.6000000000000014</v>
      </c>
      <c r="CJ98" s="14">
        <v>-5.6000000000000014</v>
      </c>
      <c r="CK98" s="14">
        <v>-3.8</v>
      </c>
      <c r="CL98" s="14">
        <v>1.7999999999999972</v>
      </c>
      <c r="CM98" s="14">
        <v>-9.6000000000000014</v>
      </c>
      <c r="CN98" s="14">
        <v>0</v>
      </c>
      <c r="CO98" s="14">
        <v>45.399999999999977</v>
      </c>
      <c r="CP98" s="14">
        <v>70.399999999999977</v>
      </c>
      <c r="CQ98" s="14">
        <v>-18.599999999999994</v>
      </c>
      <c r="CR98" s="14">
        <v>17.2</v>
      </c>
      <c r="CS98" s="14">
        <v>-23.6</v>
      </c>
      <c r="CT98" t="s">
        <v>290</v>
      </c>
      <c r="CU98" t="s">
        <v>469</v>
      </c>
    </row>
    <row r="99" spans="1:99" x14ac:dyDescent="0.2">
      <c r="A99" s="19">
        <v>44108</v>
      </c>
      <c r="B99">
        <v>4</v>
      </c>
      <c r="C99" s="13" t="s">
        <v>417</v>
      </c>
      <c r="D99" s="41" t="s">
        <v>265</v>
      </c>
      <c r="E99" s="14" t="s">
        <v>289</v>
      </c>
      <c r="F99" t="s">
        <v>480</v>
      </c>
      <c r="G99">
        <v>12.86</v>
      </c>
      <c r="H99" t="s">
        <v>481</v>
      </c>
      <c r="I99">
        <v>10.7</v>
      </c>
      <c r="J99">
        <v>10</v>
      </c>
      <c r="K99">
        <v>27</v>
      </c>
      <c r="L99">
        <v>6</v>
      </c>
      <c r="M99" t="s">
        <v>487</v>
      </c>
      <c r="N99">
        <v>0</v>
      </c>
      <c r="O99">
        <v>0</v>
      </c>
      <c r="P99">
        <v>0</v>
      </c>
      <c r="Q99">
        <v>0</v>
      </c>
      <c r="R99" t="s">
        <v>56</v>
      </c>
      <c r="S99">
        <v>26.1</v>
      </c>
      <c r="T99">
        <v>101</v>
      </c>
      <c r="U99">
        <v>10</v>
      </c>
      <c r="V99" t="s">
        <v>60</v>
      </c>
      <c r="W99">
        <v>4.5999999999999996</v>
      </c>
      <c r="X99">
        <v>16</v>
      </c>
      <c r="Y99">
        <v>5</v>
      </c>
      <c r="Z99" t="s">
        <v>483</v>
      </c>
      <c r="AA99">
        <v>9.9</v>
      </c>
      <c r="AB99">
        <v>52</v>
      </c>
      <c r="AC99">
        <v>9</v>
      </c>
      <c r="AD99">
        <v>18.2</v>
      </c>
      <c r="AE99">
        <v>72</v>
      </c>
      <c r="AF99">
        <v>17</v>
      </c>
      <c r="AG99" t="s">
        <v>81</v>
      </c>
      <c r="AH99">
        <v>7.3</v>
      </c>
      <c r="AI99">
        <v>33</v>
      </c>
      <c r="AJ99">
        <v>5</v>
      </c>
      <c r="AK99">
        <v>3</v>
      </c>
      <c r="AL99">
        <v>1</v>
      </c>
      <c r="AM99">
        <v>2</v>
      </c>
      <c r="AN99" s="21">
        <v>0.22727272727272727</v>
      </c>
      <c r="AO99" s="21">
        <v>2.2727272727272728E-2</v>
      </c>
      <c r="AP99" s="21">
        <v>0.5714285714285714</v>
      </c>
      <c r="AQ99" s="35">
        <v>7</v>
      </c>
      <c r="AR99" s="35">
        <v>42</v>
      </c>
      <c r="AS99" s="35">
        <v>10</v>
      </c>
      <c r="AT99" s="35">
        <v>2</v>
      </c>
      <c r="AU99" s="35">
        <v>59</v>
      </c>
      <c r="AV99" s="35">
        <v>11</v>
      </c>
      <c r="AW99" s="35">
        <v>0</v>
      </c>
      <c r="AX99">
        <v>277</v>
      </c>
      <c r="AY99" s="35">
        <v>249</v>
      </c>
      <c r="AZ99" s="35">
        <v>27</v>
      </c>
      <c r="BA99" s="35">
        <v>2</v>
      </c>
      <c r="BB99" s="35">
        <v>-1</v>
      </c>
      <c r="BC99" t="s">
        <v>289</v>
      </c>
      <c r="BD99" s="14">
        <v>0.37999999999999901</v>
      </c>
      <c r="BE99" s="14">
        <v>-2.9400000000000048</v>
      </c>
      <c r="BF99" s="14">
        <v>-5.4</v>
      </c>
      <c r="BG99" s="14">
        <v>-27.6</v>
      </c>
      <c r="BH99" s="14">
        <v>2.8</v>
      </c>
      <c r="BI99" s="14">
        <v>-5.84</v>
      </c>
      <c r="BJ99" s="14">
        <v>-4.2</v>
      </c>
      <c r="BK99" s="14">
        <v>-13.6</v>
      </c>
      <c r="BL99" s="14">
        <v>-2.2000000000000002</v>
      </c>
      <c r="BM99" s="14">
        <v>11.516000000000004</v>
      </c>
      <c r="BN99" s="14">
        <v>39.4</v>
      </c>
      <c r="BO99" s="14">
        <v>2.2000000000000002</v>
      </c>
      <c r="BP99" s="14">
        <v>-5.8000000000000007</v>
      </c>
      <c r="BQ99" s="14">
        <v>-45.6</v>
      </c>
      <c r="BR99" s="14">
        <v>-0.79999999999999982</v>
      </c>
      <c r="BS99" s="14">
        <v>1.3000000000000007</v>
      </c>
      <c r="BT99" s="14">
        <v>11.399999999999999</v>
      </c>
      <c r="BU99" s="14">
        <v>3.2</v>
      </c>
      <c r="BV99" s="14">
        <v>1.620000000000001</v>
      </c>
      <c r="BW99" s="14">
        <v>-1.7999999999999972</v>
      </c>
      <c r="BX99" s="14">
        <v>6.6</v>
      </c>
      <c r="BY99" s="48">
        <v>2.6799999999999997</v>
      </c>
      <c r="BZ99" s="14">
        <v>10.8</v>
      </c>
      <c r="CA99" s="14">
        <v>0.59999999999999964</v>
      </c>
      <c r="CB99" s="14">
        <v>-1.2000000000000002</v>
      </c>
      <c r="CC99" s="14">
        <v>-0.60000000000000009</v>
      </c>
      <c r="CD99" s="14">
        <v>-2.5999999999999996</v>
      </c>
      <c r="CE99" s="14">
        <v>-6.6815559919008199E-2</v>
      </c>
      <c r="CF99" s="14">
        <v>-2.8270962753721374E-2</v>
      </c>
      <c r="CG99" s="14">
        <v>-1.7857142857142794E-2</v>
      </c>
      <c r="CH99" s="14">
        <v>-5.6</v>
      </c>
      <c r="CI99" s="14">
        <v>7.3999999999999986</v>
      </c>
      <c r="CJ99" s="14">
        <v>-11.8</v>
      </c>
      <c r="CK99" s="14">
        <v>-0.39999999999999991</v>
      </c>
      <c r="CL99" s="14">
        <v>-6</v>
      </c>
      <c r="CM99" s="14">
        <v>-4.8000000000000007</v>
      </c>
      <c r="CN99" s="14">
        <v>-1.8</v>
      </c>
      <c r="CO99" s="14">
        <v>-28.399999999999977</v>
      </c>
      <c r="CP99" s="14">
        <v>31</v>
      </c>
      <c r="CQ99" s="14">
        <v>-47.599999999999994</v>
      </c>
      <c r="CR99" s="14">
        <v>-3.2</v>
      </c>
      <c r="CS99" s="14">
        <v>-8.6</v>
      </c>
      <c r="CT99" t="s">
        <v>274</v>
      </c>
      <c r="CU99" t="s">
        <v>488</v>
      </c>
    </row>
    <row r="100" spans="1:99" x14ac:dyDescent="0.2">
      <c r="A100" s="19">
        <v>44108</v>
      </c>
      <c r="B100">
        <v>4</v>
      </c>
      <c r="C100" s="13" t="s">
        <v>417</v>
      </c>
      <c r="D100" s="17" t="s">
        <v>272</v>
      </c>
      <c r="E100" s="14" t="s">
        <v>297</v>
      </c>
      <c r="F100" t="s">
        <v>492</v>
      </c>
      <c r="G100">
        <v>19.100000000000001</v>
      </c>
      <c r="H100" t="s">
        <v>499</v>
      </c>
      <c r="I100">
        <v>45.1</v>
      </c>
      <c r="J100">
        <v>25</v>
      </c>
      <c r="K100">
        <v>151</v>
      </c>
      <c r="L100">
        <v>6</v>
      </c>
      <c r="M100" t="s">
        <v>493</v>
      </c>
      <c r="N100">
        <v>1.9</v>
      </c>
      <c r="O100">
        <v>2</v>
      </c>
      <c r="P100">
        <v>19</v>
      </c>
      <c r="Q100">
        <v>0</v>
      </c>
      <c r="R100" t="s">
        <v>91</v>
      </c>
      <c r="S100">
        <v>16.399999999999999</v>
      </c>
      <c r="T100">
        <v>90</v>
      </c>
      <c r="U100">
        <v>8</v>
      </c>
      <c r="V100" t="s">
        <v>496</v>
      </c>
      <c r="W100">
        <v>1.3</v>
      </c>
      <c r="X100">
        <v>3</v>
      </c>
      <c r="Y100">
        <v>5</v>
      </c>
      <c r="Z100" t="s">
        <v>495</v>
      </c>
      <c r="AA100">
        <v>13</v>
      </c>
      <c r="AB100">
        <v>77</v>
      </c>
      <c r="AC100">
        <v>7</v>
      </c>
      <c r="AD100">
        <v>25</v>
      </c>
      <c r="AE100">
        <v>150</v>
      </c>
      <c r="AF100">
        <v>13</v>
      </c>
      <c r="AG100" t="s">
        <v>497</v>
      </c>
      <c r="AH100">
        <v>7.7</v>
      </c>
      <c r="AI100">
        <v>47</v>
      </c>
      <c r="AJ100">
        <v>5</v>
      </c>
      <c r="AK100">
        <v>17</v>
      </c>
      <c r="AL100">
        <v>4</v>
      </c>
      <c r="AM100">
        <v>5</v>
      </c>
      <c r="AN100" s="21">
        <v>0.33333333333333331</v>
      </c>
      <c r="AO100" s="21">
        <v>0</v>
      </c>
      <c r="AP100" s="21">
        <v>0.77777777777777779</v>
      </c>
      <c r="AQ100" s="35">
        <v>2</v>
      </c>
      <c r="AR100" s="35">
        <v>36</v>
      </c>
      <c r="AS100" s="35">
        <v>27</v>
      </c>
      <c r="AT100" s="35">
        <v>4</v>
      </c>
      <c r="AU100" s="35">
        <v>71</v>
      </c>
      <c r="AV100" s="35">
        <v>33</v>
      </c>
      <c r="AW100" s="35">
        <v>0</v>
      </c>
      <c r="AX100">
        <v>505</v>
      </c>
      <c r="AY100" s="35">
        <v>300</v>
      </c>
      <c r="AZ100" s="35">
        <v>170</v>
      </c>
      <c r="BA100" s="35">
        <v>24</v>
      </c>
      <c r="BB100" s="35">
        <v>11</v>
      </c>
      <c r="BC100" t="s">
        <v>297</v>
      </c>
      <c r="BD100" s="14">
        <v>-3.7480000000000011</v>
      </c>
      <c r="BE100" s="14">
        <v>22.78</v>
      </c>
      <c r="BF100" s="14">
        <v>4.3999999999999986</v>
      </c>
      <c r="BG100" s="14">
        <v>48.400000000000006</v>
      </c>
      <c r="BH100" s="14">
        <v>1.7999999999999998</v>
      </c>
      <c r="BI100" s="14">
        <v>-3.02</v>
      </c>
      <c r="BJ100" s="14">
        <v>-3</v>
      </c>
      <c r="BK100" s="14">
        <v>3.5999999999999996</v>
      </c>
      <c r="BL100" s="14">
        <v>-0.4</v>
      </c>
      <c r="BM100" s="14">
        <v>1.5600000000000005</v>
      </c>
      <c r="BN100" s="14">
        <v>20.400000000000006</v>
      </c>
      <c r="BO100" s="14">
        <v>1.5999999999999996</v>
      </c>
      <c r="BP100" s="14">
        <v>-11.5</v>
      </c>
      <c r="BQ100" s="14">
        <v>-47</v>
      </c>
      <c r="BR100" s="14">
        <v>-0.40000000000000036</v>
      </c>
      <c r="BS100" s="14">
        <v>5.4</v>
      </c>
      <c r="BT100" s="14">
        <v>41.6</v>
      </c>
      <c r="BU100" s="14">
        <v>2.8</v>
      </c>
      <c r="BV100" s="14">
        <v>-3.779999999999994</v>
      </c>
      <c r="BW100" s="14">
        <v>42.2</v>
      </c>
      <c r="BX100" s="14">
        <v>2.4000000000000004</v>
      </c>
      <c r="BY100" s="48">
        <v>-5.0999999999999988</v>
      </c>
      <c r="BZ100" s="14">
        <v>3</v>
      </c>
      <c r="CA100" s="14">
        <v>1</v>
      </c>
      <c r="CB100" s="14">
        <v>5.1999999999999993</v>
      </c>
      <c r="CC100" s="14">
        <v>1.4</v>
      </c>
      <c r="CD100" s="14">
        <v>-2.4000000000000004</v>
      </c>
      <c r="CE100" s="14">
        <v>2.9262670565302129E-2</v>
      </c>
      <c r="CF100" s="14">
        <v>-2.0670565302144249E-2</v>
      </c>
      <c r="CG100" s="14">
        <v>6.3888888888888995E-2</v>
      </c>
      <c r="CH100" s="14">
        <v>0.60000000000000009</v>
      </c>
      <c r="CI100" s="14">
        <v>6.8000000000000007</v>
      </c>
      <c r="CJ100" s="14">
        <v>-0.39999999999999858</v>
      </c>
      <c r="CK100" s="14">
        <v>-0.40000000000000036</v>
      </c>
      <c r="CL100" s="14">
        <v>8</v>
      </c>
      <c r="CM100" s="14">
        <v>0.79999999999999716</v>
      </c>
      <c r="CN100" s="14">
        <v>0</v>
      </c>
      <c r="CO100" s="14">
        <v>93.800000000000011</v>
      </c>
      <c r="CP100" s="14">
        <v>43.800000000000011</v>
      </c>
      <c r="CQ100" s="14">
        <v>48</v>
      </c>
      <c r="CR100" s="14">
        <v>11</v>
      </c>
      <c r="CS100" s="14">
        <v>-9</v>
      </c>
      <c r="CT100" t="s">
        <v>474</v>
      </c>
      <c r="CU100" t="s">
        <v>475</v>
      </c>
    </row>
    <row r="101" spans="1:99" x14ac:dyDescent="0.2">
      <c r="A101" s="19">
        <v>44108</v>
      </c>
      <c r="B101">
        <v>4</v>
      </c>
      <c r="C101" s="13" t="s">
        <v>417</v>
      </c>
      <c r="D101" s="41" t="s">
        <v>276</v>
      </c>
      <c r="E101" s="14" t="s">
        <v>303</v>
      </c>
      <c r="F101" t="s">
        <v>503</v>
      </c>
      <c r="G101">
        <v>25.42</v>
      </c>
      <c r="H101" t="s">
        <v>504</v>
      </c>
      <c r="I101">
        <v>18.600000000000001</v>
      </c>
      <c r="J101">
        <v>18</v>
      </c>
      <c r="K101">
        <v>55</v>
      </c>
      <c r="L101">
        <v>6</v>
      </c>
      <c r="M101" t="s">
        <v>509</v>
      </c>
      <c r="N101">
        <v>0</v>
      </c>
      <c r="O101">
        <v>0</v>
      </c>
      <c r="P101">
        <v>0</v>
      </c>
      <c r="Q101">
        <v>1</v>
      </c>
      <c r="R101" t="s">
        <v>44</v>
      </c>
      <c r="S101">
        <v>20.5</v>
      </c>
      <c r="T101">
        <v>115</v>
      </c>
      <c r="U101">
        <v>7</v>
      </c>
      <c r="V101" t="s">
        <v>126</v>
      </c>
      <c r="W101">
        <v>8.1999999999999993</v>
      </c>
      <c r="X101">
        <v>42</v>
      </c>
      <c r="Y101">
        <v>5</v>
      </c>
      <c r="Z101" t="s">
        <v>46</v>
      </c>
      <c r="AA101">
        <v>12.2</v>
      </c>
      <c r="AB101">
        <v>32</v>
      </c>
      <c r="AC101">
        <v>4</v>
      </c>
      <c r="AD101">
        <v>27.2</v>
      </c>
      <c r="AE101">
        <v>92</v>
      </c>
      <c r="AF101">
        <v>8</v>
      </c>
      <c r="AG101" t="s">
        <v>173</v>
      </c>
      <c r="AH101">
        <v>3.6</v>
      </c>
      <c r="AI101">
        <v>16</v>
      </c>
      <c r="AJ101">
        <v>3</v>
      </c>
      <c r="AK101">
        <v>6</v>
      </c>
      <c r="AL101">
        <v>1</v>
      </c>
      <c r="AM101">
        <v>6</v>
      </c>
      <c r="AN101" s="21">
        <v>0.2857142857142857</v>
      </c>
      <c r="AO101" s="21">
        <v>2.8571428571428571E-2</v>
      </c>
      <c r="AP101" s="21">
        <v>0.7142857142857143</v>
      </c>
      <c r="AQ101" s="35">
        <v>0</v>
      </c>
      <c r="AR101" s="35">
        <v>34</v>
      </c>
      <c r="AS101" s="35">
        <v>18</v>
      </c>
      <c r="AT101" s="35">
        <v>3</v>
      </c>
      <c r="AU101" s="35">
        <v>59</v>
      </c>
      <c r="AV101" s="35">
        <v>30</v>
      </c>
      <c r="AW101" s="35">
        <v>0</v>
      </c>
      <c r="AX101">
        <v>350</v>
      </c>
      <c r="AY101" s="35">
        <v>288</v>
      </c>
      <c r="AZ101" s="35">
        <v>55</v>
      </c>
      <c r="BA101" s="35">
        <v>8</v>
      </c>
      <c r="BB101" s="35">
        <v>-1</v>
      </c>
      <c r="BC101" t="s">
        <v>303</v>
      </c>
      <c r="BD101" s="14">
        <v>2.9749999999999979</v>
      </c>
      <c r="BE101" s="14">
        <v>-4.6000000000000014</v>
      </c>
      <c r="BF101" s="14">
        <v>6.25</v>
      </c>
      <c r="BG101" s="14">
        <v>-0.75</v>
      </c>
      <c r="BH101" s="14">
        <v>-2.25</v>
      </c>
      <c r="BI101" s="14">
        <v>-7.3</v>
      </c>
      <c r="BJ101" s="14">
        <v>-3.25</v>
      </c>
      <c r="BK101" s="14">
        <v>-33.75</v>
      </c>
      <c r="BL101" s="14">
        <v>-1.5</v>
      </c>
      <c r="BM101" s="14">
        <v>6.35</v>
      </c>
      <c r="BN101" s="14">
        <v>46.25</v>
      </c>
      <c r="BO101" s="14">
        <v>0.5</v>
      </c>
      <c r="BP101" s="14">
        <v>1.4249999999999989</v>
      </c>
      <c r="BQ101" s="14">
        <v>14.25</v>
      </c>
      <c r="BR101" s="14">
        <v>1.75</v>
      </c>
      <c r="BS101" s="14">
        <v>4.4000000000000004</v>
      </c>
      <c r="BT101" s="14">
        <v>-2.75</v>
      </c>
      <c r="BU101" s="14">
        <v>0</v>
      </c>
      <c r="BV101" s="14">
        <v>7.9250000000000007</v>
      </c>
      <c r="BW101" s="14">
        <v>1.75</v>
      </c>
      <c r="BX101" s="14">
        <v>-1.75</v>
      </c>
      <c r="BY101" s="48">
        <v>-6.5750000000000011</v>
      </c>
      <c r="BZ101" s="14">
        <v>-18.25</v>
      </c>
      <c r="CA101" s="14">
        <v>-2.25</v>
      </c>
      <c r="CB101" s="14">
        <v>-1.5</v>
      </c>
      <c r="CC101" s="14">
        <v>-0.5</v>
      </c>
      <c r="CD101" s="14">
        <v>0</v>
      </c>
      <c r="CE101" s="14">
        <v>-3.218137849367253E-2</v>
      </c>
      <c r="CF101" s="14">
        <v>-9.4063431824342632E-3</v>
      </c>
      <c r="CG101" s="14">
        <v>2.3214285714285743E-2</v>
      </c>
      <c r="CH101" s="14">
        <v>-2.25</v>
      </c>
      <c r="CI101" s="14">
        <v>-1.75</v>
      </c>
      <c r="CJ101" s="14">
        <v>0.25</v>
      </c>
      <c r="CK101" s="14">
        <v>-2</v>
      </c>
      <c r="CL101" s="14">
        <v>-3.5</v>
      </c>
      <c r="CM101" s="14">
        <v>1.25</v>
      </c>
      <c r="CN101" s="14">
        <v>-1.75</v>
      </c>
      <c r="CO101" s="14">
        <v>-51.5</v>
      </c>
      <c r="CP101" s="14">
        <v>12.5</v>
      </c>
      <c r="CQ101" s="14">
        <v>-45.25</v>
      </c>
      <c r="CR101" s="14">
        <v>-4</v>
      </c>
      <c r="CS101" s="14">
        <v>-14.75</v>
      </c>
      <c r="CT101" t="s">
        <v>247</v>
      </c>
      <c r="CU101" t="s">
        <v>510</v>
      </c>
    </row>
    <row r="102" spans="1:99" x14ac:dyDescent="0.2">
      <c r="A102" s="19">
        <v>44108</v>
      </c>
      <c r="B102">
        <v>4</v>
      </c>
      <c r="C102" s="13" t="s">
        <v>417</v>
      </c>
      <c r="D102" s="41" t="s">
        <v>278</v>
      </c>
      <c r="E102" s="14" t="s">
        <v>298</v>
      </c>
      <c r="F102" t="s">
        <v>519</v>
      </c>
      <c r="G102">
        <v>15.08</v>
      </c>
      <c r="H102" t="s">
        <v>512</v>
      </c>
      <c r="I102">
        <v>28.8</v>
      </c>
      <c r="J102">
        <v>23</v>
      </c>
      <c r="K102">
        <v>107</v>
      </c>
      <c r="L102">
        <v>3</v>
      </c>
      <c r="M102" t="s">
        <v>516</v>
      </c>
      <c r="N102">
        <v>3.2</v>
      </c>
      <c r="O102">
        <v>3</v>
      </c>
      <c r="P102">
        <v>6</v>
      </c>
      <c r="Q102">
        <v>2</v>
      </c>
      <c r="R102" t="s">
        <v>514</v>
      </c>
      <c r="S102">
        <v>14.1</v>
      </c>
      <c r="T102">
        <v>61</v>
      </c>
      <c r="U102">
        <v>4</v>
      </c>
      <c r="V102" t="s">
        <v>170</v>
      </c>
      <c r="W102">
        <v>26.3</v>
      </c>
      <c r="X102">
        <v>113</v>
      </c>
      <c r="Y102">
        <v>7</v>
      </c>
      <c r="Z102" t="s">
        <v>517</v>
      </c>
      <c r="AA102">
        <v>1.9</v>
      </c>
      <c r="AB102">
        <v>9</v>
      </c>
      <c r="AC102">
        <v>3</v>
      </c>
      <c r="AD102">
        <v>11.6</v>
      </c>
      <c r="AE102">
        <v>26</v>
      </c>
      <c r="AF102">
        <v>4</v>
      </c>
      <c r="AG102" t="s">
        <v>106</v>
      </c>
      <c r="AH102">
        <v>8.5</v>
      </c>
      <c r="AI102">
        <v>35</v>
      </c>
      <c r="AJ102">
        <v>6</v>
      </c>
      <c r="AK102">
        <v>18</v>
      </c>
      <c r="AL102">
        <v>3</v>
      </c>
      <c r="AM102">
        <v>6</v>
      </c>
      <c r="AN102" s="21">
        <v>0.41935483870967744</v>
      </c>
      <c r="AO102" s="21">
        <v>0</v>
      </c>
      <c r="AP102" s="21">
        <v>0.55555555555555558</v>
      </c>
      <c r="AQ102" s="35">
        <v>8</v>
      </c>
      <c r="AR102" s="35">
        <v>31</v>
      </c>
      <c r="AS102" s="35">
        <v>26</v>
      </c>
      <c r="AT102" s="35">
        <v>6</v>
      </c>
      <c r="AU102" s="35">
        <v>63</v>
      </c>
      <c r="AV102" s="35">
        <v>37</v>
      </c>
      <c r="AW102" s="35">
        <v>0</v>
      </c>
      <c r="AX102">
        <v>359</v>
      </c>
      <c r="AY102" s="35">
        <v>242</v>
      </c>
      <c r="AZ102" s="35">
        <v>113</v>
      </c>
      <c r="BA102" s="35">
        <v>0</v>
      </c>
      <c r="BB102" s="35">
        <v>4</v>
      </c>
      <c r="BC102" t="s">
        <v>298</v>
      </c>
      <c r="BD102" s="14">
        <v>-3.1159999999999979</v>
      </c>
      <c r="BE102" s="14">
        <v>10.900000000000002</v>
      </c>
      <c r="BF102" s="14">
        <v>7</v>
      </c>
      <c r="BG102" s="14">
        <v>25.200000000000003</v>
      </c>
      <c r="BH102" s="14">
        <v>0.79999999999999982</v>
      </c>
      <c r="BI102" s="14">
        <v>-5.5399999999999983</v>
      </c>
      <c r="BJ102" s="14">
        <v>-3.5999999999999996</v>
      </c>
      <c r="BK102" s="14">
        <v>-12</v>
      </c>
      <c r="BL102" s="14">
        <v>-1.4</v>
      </c>
      <c r="BM102" s="14">
        <v>0.57999999999999829</v>
      </c>
      <c r="BN102" s="14">
        <v>-8.2000000000000028</v>
      </c>
      <c r="BO102" s="14">
        <v>-1.4000000000000004</v>
      </c>
      <c r="BP102" s="14">
        <v>14.579999999999998</v>
      </c>
      <c r="BQ102" s="14">
        <v>61.8</v>
      </c>
      <c r="BR102" s="14">
        <v>2.2000000000000002</v>
      </c>
      <c r="BS102" s="14">
        <v>-3.4200000000000004</v>
      </c>
      <c r="BT102" s="14">
        <v>-18.2</v>
      </c>
      <c r="BU102" s="14">
        <v>-1.2000000000000002</v>
      </c>
      <c r="BV102" s="14">
        <v>-5.4600000000000026</v>
      </c>
      <c r="BW102" s="14">
        <v>-52.599999999999994</v>
      </c>
      <c r="BX102" s="14">
        <v>-3.5999999999999996</v>
      </c>
      <c r="BY102" s="48">
        <v>-4.76</v>
      </c>
      <c r="BZ102" s="14">
        <v>-9.6000000000000014</v>
      </c>
      <c r="CA102" s="14">
        <v>1.5999999999999996</v>
      </c>
      <c r="CB102" s="14">
        <v>7.4</v>
      </c>
      <c r="CC102" s="14">
        <v>1</v>
      </c>
      <c r="CD102" s="14">
        <v>-5.8000000000000007</v>
      </c>
      <c r="CE102" s="14">
        <v>9.4238256932654196E-2</v>
      </c>
      <c r="CF102" s="14">
        <v>-3.7763157894736846E-2</v>
      </c>
      <c r="CG102" s="14">
        <v>1.2222222222222245E-2</v>
      </c>
      <c r="CH102" s="14">
        <v>4</v>
      </c>
      <c r="CI102" s="14">
        <v>1.1999999999999993</v>
      </c>
      <c r="CJ102" s="14">
        <v>0.60000000000000142</v>
      </c>
      <c r="CK102" s="14">
        <v>2</v>
      </c>
      <c r="CL102" s="14">
        <v>2.6000000000000014</v>
      </c>
      <c r="CM102" s="14">
        <v>8.6000000000000014</v>
      </c>
      <c r="CN102" s="14">
        <v>-3.2</v>
      </c>
      <c r="CO102" s="14">
        <v>-23.199999999999989</v>
      </c>
      <c r="CP102" s="14">
        <v>-9.5999999999999943</v>
      </c>
      <c r="CQ102" s="14">
        <v>-10.200000000000003</v>
      </c>
      <c r="CR102" s="14">
        <v>0</v>
      </c>
      <c r="CS102" s="14">
        <v>-3.4000000000000004</v>
      </c>
      <c r="CT102" t="s">
        <v>262</v>
      </c>
      <c r="CU102" t="s">
        <v>473</v>
      </c>
    </row>
    <row r="103" spans="1:99" x14ac:dyDescent="0.2">
      <c r="A103" s="19">
        <v>44108</v>
      </c>
      <c r="B103">
        <v>4</v>
      </c>
      <c r="C103" s="13" t="s">
        <v>417</v>
      </c>
      <c r="D103" s="41" t="s">
        <v>281</v>
      </c>
      <c r="E103" s="14" t="s">
        <v>291</v>
      </c>
      <c r="F103" t="s">
        <v>522</v>
      </c>
      <c r="G103">
        <v>15.2</v>
      </c>
      <c r="H103" t="s">
        <v>523</v>
      </c>
      <c r="I103">
        <v>19.100000000000001</v>
      </c>
      <c r="J103">
        <v>11</v>
      </c>
      <c r="K103">
        <v>71</v>
      </c>
      <c r="L103">
        <v>0</v>
      </c>
      <c r="M103" t="s">
        <v>524</v>
      </c>
      <c r="N103">
        <v>9.5</v>
      </c>
      <c r="O103">
        <v>13</v>
      </c>
      <c r="P103">
        <v>95</v>
      </c>
      <c r="Q103">
        <v>0</v>
      </c>
      <c r="R103" t="s">
        <v>51</v>
      </c>
      <c r="S103">
        <v>38.4</v>
      </c>
      <c r="T103">
        <v>81</v>
      </c>
      <c r="U103">
        <v>8</v>
      </c>
      <c r="V103" t="s">
        <v>52</v>
      </c>
      <c r="W103">
        <v>15.28</v>
      </c>
      <c r="X103">
        <v>48</v>
      </c>
      <c r="Y103">
        <v>6</v>
      </c>
      <c r="Z103" t="s">
        <v>530</v>
      </c>
      <c r="AA103">
        <v>0</v>
      </c>
      <c r="AB103">
        <v>0</v>
      </c>
      <c r="AC103">
        <v>0</v>
      </c>
      <c r="AD103">
        <v>2.2999999999999998</v>
      </c>
      <c r="AE103">
        <v>13</v>
      </c>
      <c r="AF103">
        <v>2</v>
      </c>
      <c r="AG103" t="s">
        <v>174</v>
      </c>
      <c r="AH103">
        <v>14.4</v>
      </c>
      <c r="AI103">
        <v>34</v>
      </c>
      <c r="AJ103">
        <v>7</v>
      </c>
      <c r="AK103">
        <v>12</v>
      </c>
      <c r="AL103">
        <v>2</v>
      </c>
      <c r="AM103">
        <v>5</v>
      </c>
      <c r="AN103" s="21">
        <v>0.30303030303030304</v>
      </c>
      <c r="AO103" s="21">
        <v>6.0606060606060608E-2</v>
      </c>
      <c r="AP103" s="21">
        <v>0.8</v>
      </c>
      <c r="AQ103" s="35">
        <v>-2</v>
      </c>
      <c r="AR103" s="35">
        <v>30</v>
      </c>
      <c r="AS103" s="35">
        <v>35</v>
      </c>
      <c r="AT103" s="35">
        <v>3</v>
      </c>
      <c r="AU103" s="35">
        <v>73</v>
      </c>
      <c r="AV103" s="35">
        <v>49</v>
      </c>
      <c r="AW103" s="35">
        <v>0</v>
      </c>
      <c r="AX103">
        <v>472</v>
      </c>
      <c r="AY103" s="35">
        <v>165</v>
      </c>
      <c r="AZ103" s="35">
        <v>228</v>
      </c>
      <c r="BA103" s="35">
        <v>73</v>
      </c>
      <c r="BB103" s="35">
        <v>6</v>
      </c>
      <c r="BC103" t="s">
        <v>291</v>
      </c>
      <c r="BD103" s="14">
        <v>-9.1239999999999988</v>
      </c>
      <c r="BE103" s="14">
        <v>2.3200000000000074</v>
      </c>
      <c r="BF103" s="14">
        <v>-5.6000000000000014</v>
      </c>
      <c r="BG103" s="14">
        <v>-13</v>
      </c>
      <c r="BH103" s="14">
        <v>-1.6</v>
      </c>
      <c r="BI103" s="14">
        <v>4.38</v>
      </c>
      <c r="BJ103" s="14">
        <v>7</v>
      </c>
      <c r="BK103" s="14">
        <v>61.4</v>
      </c>
      <c r="BL103" s="14">
        <v>-1.4</v>
      </c>
      <c r="BM103" s="14">
        <v>15.2</v>
      </c>
      <c r="BN103" s="14">
        <v>-0.40000000000000568</v>
      </c>
      <c r="BO103" s="14">
        <v>-0.80000000000000071</v>
      </c>
      <c r="BP103" s="14">
        <v>-5.1159999999999979</v>
      </c>
      <c r="BQ103" s="14">
        <v>-31</v>
      </c>
      <c r="BR103" s="14">
        <v>-0.40000000000000036</v>
      </c>
      <c r="BS103" s="14">
        <v>-4.5999999999999996</v>
      </c>
      <c r="BT103" s="14">
        <v>-14</v>
      </c>
      <c r="BU103" s="14">
        <v>-3</v>
      </c>
      <c r="BV103" s="14">
        <v>-11.619999999999997</v>
      </c>
      <c r="BW103" s="14">
        <v>-50.2</v>
      </c>
      <c r="BX103" s="14">
        <v>-6.1999999999999993</v>
      </c>
      <c r="BY103" s="48">
        <v>3.5400000000000009</v>
      </c>
      <c r="BZ103" s="14">
        <v>-2.7999999999999972</v>
      </c>
      <c r="CA103" s="14">
        <v>2.2000000000000002</v>
      </c>
      <c r="CB103" s="14">
        <v>-0.19999999999999929</v>
      </c>
      <c r="CC103" s="14">
        <v>-0.20000000000000018</v>
      </c>
      <c r="CD103" s="14">
        <v>-4</v>
      </c>
      <c r="CE103" s="14">
        <v>-3.7781913208742524E-2</v>
      </c>
      <c r="CF103" s="14">
        <v>8.3687044662654406E-3</v>
      </c>
      <c r="CG103" s="14">
        <v>-2.4999999999999911E-2</v>
      </c>
      <c r="CH103" s="14">
        <v>-2.6</v>
      </c>
      <c r="CI103" s="14">
        <v>-2.6000000000000014</v>
      </c>
      <c r="CJ103" s="14">
        <v>8.3999999999999986</v>
      </c>
      <c r="CK103" s="14">
        <v>-2</v>
      </c>
      <c r="CL103" s="14">
        <v>5.5999999999999943</v>
      </c>
      <c r="CM103" s="14">
        <v>11.200000000000003</v>
      </c>
      <c r="CN103" s="14">
        <v>-1.8</v>
      </c>
      <c r="CO103" s="14">
        <v>62</v>
      </c>
      <c r="CP103" s="14">
        <v>-67.599999999999994</v>
      </c>
      <c r="CQ103" s="14">
        <v>89.199999999999989</v>
      </c>
      <c r="CR103" s="14">
        <v>56.6</v>
      </c>
      <c r="CS103" s="14">
        <v>-16.2</v>
      </c>
      <c r="CT103" t="s">
        <v>282</v>
      </c>
      <c r="CU103" t="s">
        <v>453</v>
      </c>
    </row>
    <row r="104" spans="1:99" x14ac:dyDescent="0.2">
      <c r="A104" s="19">
        <v>44108</v>
      </c>
      <c r="B104">
        <v>4</v>
      </c>
      <c r="C104" s="13" t="s">
        <v>417</v>
      </c>
      <c r="D104" s="41" t="s">
        <v>284</v>
      </c>
      <c r="E104" s="14" t="s">
        <v>287</v>
      </c>
      <c r="F104" t="s">
        <v>533</v>
      </c>
      <c r="G104">
        <v>36.46</v>
      </c>
      <c r="H104" t="s">
        <v>534</v>
      </c>
      <c r="I104">
        <v>21.8</v>
      </c>
      <c r="J104">
        <v>20</v>
      </c>
      <c r="K104">
        <v>111</v>
      </c>
      <c r="L104">
        <v>9</v>
      </c>
      <c r="M104" t="s">
        <v>537</v>
      </c>
      <c r="N104">
        <v>10.6</v>
      </c>
      <c r="O104">
        <v>3</v>
      </c>
      <c r="P104">
        <v>4</v>
      </c>
      <c r="Q104">
        <v>3</v>
      </c>
      <c r="R104" t="s">
        <v>20</v>
      </c>
      <c r="S104">
        <v>28.2</v>
      </c>
      <c r="T104">
        <v>122</v>
      </c>
      <c r="U104">
        <v>8</v>
      </c>
      <c r="V104" t="s">
        <v>162</v>
      </c>
      <c r="W104">
        <v>19.3</v>
      </c>
      <c r="X104">
        <v>83</v>
      </c>
      <c r="Y104">
        <v>7</v>
      </c>
      <c r="Z104" t="s">
        <v>161</v>
      </c>
      <c r="AA104">
        <v>8</v>
      </c>
      <c r="AB104">
        <v>40</v>
      </c>
      <c r="AC104">
        <v>6</v>
      </c>
      <c r="AD104">
        <v>36.200000000000003</v>
      </c>
      <c r="AE104">
        <v>142</v>
      </c>
      <c r="AF104">
        <v>12</v>
      </c>
      <c r="AG104" t="s">
        <v>74</v>
      </c>
      <c r="AH104">
        <v>14</v>
      </c>
      <c r="AI104">
        <v>50</v>
      </c>
      <c r="AJ104">
        <v>6</v>
      </c>
      <c r="AK104">
        <v>7</v>
      </c>
      <c r="AL104">
        <v>2</v>
      </c>
      <c r="AM104">
        <v>6</v>
      </c>
      <c r="AN104" s="21">
        <v>0.17391304347826086</v>
      </c>
      <c r="AO104" s="21">
        <v>0</v>
      </c>
      <c r="AP104" s="21">
        <v>0.33333333333333331</v>
      </c>
      <c r="AQ104" s="35">
        <v>4</v>
      </c>
      <c r="AR104" s="35">
        <v>46</v>
      </c>
      <c r="AS104" s="35">
        <v>24</v>
      </c>
      <c r="AT104" s="35">
        <v>3</v>
      </c>
      <c r="AU104" s="35">
        <v>73</v>
      </c>
      <c r="AV104" s="35">
        <v>38</v>
      </c>
      <c r="AW104" s="35">
        <v>0</v>
      </c>
      <c r="AX104">
        <v>484</v>
      </c>
      <c r="AY104" s="35">
        <v>369</v>
      </c>
      <c r="AZ104" s="35">
        <v>118</v>
      </c>
      <c r="BA104" s="35">
        <v>0</v>
      </c>
      <c r="BB104" s="35">
        <v>-3</v>
      </c>
      <c r="BC104" t="s">
        <v>287</v>
      </c>
      <c r="BD104" s="14">
        <v>7.9750000000000014</v>
      </c>
      <c r="BE104" s="14">
        <v>2.3499999999999979</v>
      </c>
      <c r="BF104" s="14">
        <v>6.5</v>
      </c>
      <c r="BG104" s="14">
        <v>51</v>
      </c>
      <c r="BH104" s="14">
        <v>0</v>
      </c>
      <c r="BI104" s="14">
        <v>5.0749999999999993</v>
      </c>
      <c r="BJ104" s="14">
        <v>-0.25</v>
      </c>
      <c r="BK104" s="14">
        <v>-9.5</v>
      </c>
      <c r="BL104" s="14">
        <v>1.5</v>
      </c>
      <c r="BM104" s="14">
        <v>6.2749999999999986</v>
      </c>
      <c r="BN104" s="14">
        <v>22.5</v>
      </c>
      <c r="BO104" s="14">
        <v>-1.5</v>
      </c>
      <c r="BP104" s="14">
        <v>8.6750000000000007</v>
      </c>
      <c r="BQ104" s="14">
        <v>30</v>
      </c>
      <c r="BR104" s="14">
        <v>2</v>
      </c>
      <c r="BS104" s="14">
        <v>2.4749999999999996</v>
      </c>
      <c r="BT104" s="14">
        <v>14</v>
      </c>
      <c r="BU104" s="14">
        <v>2</v>
      </c>
      <c r="BV104" s="14">
        <v>6.8500000000000014</v>
      </c>
      <c r="BW104" s="14">
        <v>16</v>
      </c>
      <c r="BX104" s="14">
        <v>1</v>
      </c>
      <c r="BY104" s="48">
        <v>0.72500000000000142</v>
      </c>
      <c r="BZ104" s="14">
        <v>-0.25</v>
      </c>
      <c r="CA104" s="14">
        <v>-0.25</v>
      </c>
      <c r="CB104" s="14">
        <v>-5.5</v>
      </c>
      <c r="CC104" s="14">
        <v>-1.25</v>
      </c>
      <c r="CD104" s="14">
        <v>-0.25</v>
      </c>
      <c r="CE104" s="14">
        <v>-0.13370008280700468</v>
      </c>
      <c r="CF104" s="14">
        <v>-3.0562583456321596E-2</v>
      </c>
      <c r="CG104" s="14">
        <v>-0.20312499999999994</v>
      </c>
      <c r="CH104" s="14">
        <v>0.5</v>
      </c>
      <c r="CI104" s="14">
        <v>3.75</v>
      </c>
      <c r="CJ104" s="14">
        <v>5.5</v>
      </c>
      <c r="CK104" s="14">
        <v>-0.75</v>
      </c>
      <c r="CL104" s="14">
        <v>5.75</v>
      </c>
      <c r="CM104" s="14">
        <v>10</v>
      </c>
      <c r="CN104" s="14">
        <v>0</v>
      </c>
      <c r="CO104" s="14">
        <v>72.25</v>
      </c>
      <c r="CP104" s="14">
        <v>61.25</v>
      </c>
      <c r="CQ104" s="14">
        <v>38</v>
      </c>
      <c r="CR104" s="14">
        <v>-4.75</v>
      </c>
      <c r="CS104" s="14">
        <v>-22.25</v>
      </c>
      <c r="CT104" t="s">
        <v>267</v>
      </c>
      <c r="CU104" t="s">
        <v>502</v>
      </c>
    </row>
    <row r="105" spans="1:99" x14ac:dyDescent="0.2">
      <c r="A105" s="19">
        <v>44108</v>
      </c>
      <c r="B105">
        <v>4</v>
      </c>
      <c r="C105" s="13" t="s">
        <v>417</v>
      </c>
      <c r="D105" s="41" t="s">
        <v>285</v>
      </c>
      <c r="E105" s="14" t="s">
        <v>301</v>
      </c>
      <c r="F105" t="s">
        <v>541</v>
      </c>
      <c r="G105">
        <v>24.12</v>
      </c>
      <c r="H105" t="s">
        <v>542</v>
      </c>
      <c r="I105">
        <v>3.5</v>
      </c>
      <c r="J105">
        <v>13</v>
      </c>
      <c r="K105">
        <v>35</v>
      </c>
      <c r="L105">
        <v>0</v>
      </c>
      <c r="M105" t="s">
        <v>543</v>
      </c>
      <c r="N105">
        <v>15</v>
      </c>
      <c r="O105">
        <v>4</v>
      </c>
      <c r="P105">
        <v>16</v>
      </c>
      <c r="Q105">
        <v>6</v>
      </c>
      <c r="R105" t="s">
        <v>22</v>
      </c>
      <c r="S105">
        <v>11.1</v>
      </c>
      <c r="T105">
        <v>41</v>
      </c>
      <c r="U105">
        <v>9</v>
      </c>
      <c r="V105" t="s">
        <v>50</v>
      </c>
      <c r="W105">
        <v>10.9</v>
      </c>
      <c r="X105">
        <v>19</v>
      </c>
      <c r="Y105">
        <v>5</v>
      </c>
      <c r="Z105" t="s">
        <v>17</v>
      </c>
      <c r="AA105">
        <v>2.4</v>
      </c>
      <c r="AB105">
        <v>4</v>
      </c>
      <c r="AC105">
        <v>3</v>
      </c>
      <c r="AD105">
        <v>21.5</v>
      </c>
      <c r="AE105">
        <v>65</v>
      </c>
      <c r="AF105">
        <v>12</v>
      </c>
      <c r="AG105" t="s">
        <v>544</v>
      </c>
      <c r="AH105">
        <v>7.9</v>
      </c>
      <c r="AI105">
        <v>39</v>
      </c>
      <c r="AJ105">
        <v>4</v>
      </c>
      <c r="AK105">
        <v>3</v>
      </c>
      <c r="AL105">
        <v>0</v>
      </c>
      <c r="AM105">
        <v>1</v>
      </c>
      <c r="AN105" s="21">
        <v>0.22857142857142856</v>
      </c>
      <c r="AO105" s="21">
        <v>2.8571428571428571E-2</v>
      </c>
      <c r="AP105" s="21">
        <v>0.66666666666666663</v>
      </c>
      <c r="AQ105" s="35">
        <v>3</v>
      </c>
      <c r="AR105" s="35">
        <v>31</v>
      </c>
      <c r="AS105" s="35">
        <v>17</v>
      </c>
      <c r="AT105" s="35">
        <v>6</v>
      </c>
      <c r="AU105" s="35">
        <v>55</v>
      </c>
      <c r="AV105" s="35">
        <v>21</v>
      </c>
      <c r="AW105" s="35">
        <v>0</v>
      </c>
      <c r="AX105">
        <v>262</v>
      </c>
      <c r="AY105" s="35">
        <v>133</v>
      </c>
      <c r="AZ105" s="35">
        <v>51</v>
      </c>
      <c r="BA105" s="35">
        <v>0</v>
      </c>
      <c r="BB105" s="35">
        <v>78</v>
      </c>
      <c r="BC105" t="s">
        <v>301</v>
      </c>
      <c r="BD105" s="14">
        <v>8.1680000000000028</v>
      </c>
      <c r="BE105" s="14">
        <v>-17.919999999999998</v>
      </c>
      <c r="BF105" s="14">
        <v>-1</v>
      </c>
      <c r="BG105" s="14">
        <v>-40.200000000000003</v>
      </c>
      <c r="BH105" s="14">
        <v>-5.2</v>
      </c>
      <c r="BI105" s="14">
        <v>7.1400000000000006</v>
      </c>
      <c r="BJ105" s="14">
        <v>-1</v>
      </c>
      <c r="BK105" s="14">
        <v>-8.1999999999999993</v>
      </c>
      <c r="BL105" s="14">
        <v>3.6</v>
      </c>
      <c r="BM105" s="14">
        <v>-10.220000000000004</v>
      </c>
      <c r="BN105" s="14">
        <v>-52.2</v>
      </c>
      <c r="BO105" s="14">
        <v>-2.4000000000000004</v>
      </c>
      <c r="BP105" s="14">
        <v>5.0199999999999996</v>
      </c>
      <c r="BQ105" s="14">
        <v>-3.8000000000000007</v>
      </c>
      <c r="BR105" s="14">
        <v>1.2000000000000002</v>
      </c>
      <c r="BS105" s="14">
        <v>-1.04</v>
      </c>
      <c r="BT105" s="14">
        <v>-12.2</v>
      </c>
      <c r="BU105" s="14">
        <v>-0.20000000000000018</v>
      </c>
      <c r="BV105" s="14">
        <v>4.84</v>
      </c>
      <c r="BW105" s="14">
        <v>-3.5999999999999943</v>
      </c>
      <c r="BX105" s="14">
        <v>1.1999999999999993</v>
      </c>
      <c r="BY105" s="48">
        <v>1.6600000000000001</v>
      </c>
      <c r="BZ105" s="14">
        <v>10.600000000000001</v>
      </c>
      <c r="CA105" s="14">
        <v>-1.5999999999999996</v>
      </c>
      <c r="CB105" s="14">
        <v>-5.1999999999999993</v>
      </c>
      <c r="CC105" s="14">
        <v>-1.6</v>
      </c>
      <c r="CD105" s="14">
        <v>-5</v>
      </c>
      <c r="CE105" s="14">
        <v>-7.5656230561890941E-2</v>
      </c>
      <c r="CF105" s="14">
        <v>5.0535627894118494E-3</v>
      </c>
      <c r="CG105" s="14">
        <v>6.3725490196078427E-2</v>
      </c>
      <c r="CH105" s="14">
        <v>-1.7999999999999998</v>
      </c>
      <c r="CI105" s="14">
        <v>-7.2000000000000028</v>
      </c>
      <c r="CJ105" s="14">
        <v>-3</v>
      </c>
      <c r="CK105" s="14">
        <v>2.8</v>
      </c>
      <c r="CL105" s="14">
        <v>-9.4000000000000057</v>
      </c>
      <c r="CM105" s="14">
        <v>-0.39999999999999858</v>
      </c>
      <c r="CN105" s="14">
        <v>0</v>
      </c>
      <c r="CO105" s="14">
        <v>-78</v>
      </c>
      <c r="CP105" s="14">
        <v>-87.800000000000011</v>
      </c>
      <c r="CQ105" s="14">
        <v>-48.599999999999994</v>
      </c>
      <c r="CR105" s="14">
        <v>-0.4</v>
      </c>
      <c r="CS105" s="14">
        <v>58.8</v>
      </c>
      <c r="CT105" t="s">
        <v>279</v>
      </c>
      <c r="CU105" t="s">
        <v>484</v>
      </c>
    </row>
    <row r="106" spans="1:99" x14ac:dyDescent="0.2">
      <c r="A106" s="19">
        <v>44108</v>
      </c>
      <c r="B106">
        <v>4</v>
      </c>
      <c r="C106" s="13" t="s">
        <v>417</v>
      </c>
      <c r="D106" s="41" t="s">
        <v>289</v>
      </c>
      <c r="E106" s="14" t="s">
        <v>265</v>
      </c>
      <c r="F106" t="s">
        <v>548</v>
      </c>
      <c r="G106">
        <v>11.2</v>
      </c>
      <c r="H106" t="s">
        <v>549</v>
      </c>
      <c r="I106">
        <v>8.9</v>
      </c>
      <c r="J106">
        <v>17</v>
      </c>
      <c r="K106">
        <v>68</v>
      </c>
      <c r="L106">
        <v>1</v>
      </c>
      <c r="M106" t="s">
        <v>550</v>
      </c>
      <c r="N106">
        <v>6.2</v>
      </c>
      <c r="O106">
        <v>9</v>
      </c>
      <c r="P106">
        <v>24</v>
      </c>
      <c r="Q106">
        <v>3</v>
      </c>
      <c r="R106" t="s">
        <v>182</v>
      </c>
      <c r="S106">
        <v>5.9</v>
      </c>
      <c r="T106">
        <v>29</v>
      </c>
      <c r="U106">
        <v>5</v>
      </c>
      <c r="V106" t="s">
        <v>96</v>
      </c>
      <c r="W106">
        <v>8.8000000000000007</v>
      </c>
      <c r="X106">
        <v>58</v>
      </c>
      <c r="Y106">
        <v>8</v>
      </c>
      <c r="Z106" t="s">
        <v>551</v>
      </c>
      <c r="AA106">
        <v>3.7</v>
      </c>
      <c r="AB106">
        <v>27</v>
      </c>
      <c r="AC106">
        <v>1</v>
      </c>
      <c r="AD106">
        <v>16.2</v>
      </c>
      <c r="AE106">
        <v>92</v>
      </c>
      <c r="AF106">
        <v>8</v>
      </c>
      <c r="AG106" t="s">
        <v>553</v>
      </c>
      <c r="AH106">
        <v>8.3000000000000007</v>
      </c>
      <c r="AI106">
        <v>13</v>
      </c>
      <c r="AJ106">
        <v>2</v>
      </c>
      <c r="AK106">
        <v>14</v>
      </c>
      <c r="AL106">
        <v>4</v>
      </c>
      <c r="AM106">
        <v>7</v>
      </c>
      <c r="AN106" s="21">
        <v>0.33333333333333331</v>
      </c>
      <c r="AO106" s="21">
        <v>3.3333333333333333E-2</v>
      </c>
      <c r="AP106" s="21">
        <v>0.8571428571428571</v>
      </c>
      <c r="AQ106" s="35">
        <v>2</v>
      </c>
      <c r="AR106" s="35">
        <v>29</v>
      </c>
      <c r="AS106" s="35">
        <v>35</v>
      </c>
      <c r="AT106" s="35">
        <v>3</v>
      </c>
      <c r="AU106" s="35">
        <v>68</v>
      </c>
      <c r="AV106" s="35">
        <v>19</v>
      </c>
      <c r="AW106" s="35">
        <v>0</v>
      </c>
      <c r="AX106">
        <v>293</v>
      </c>
      <c r="AY106" s="35">
        <v>190</v>
      </c>
      <c r="AZ106" s="35">
        <v>107</v>
      </c>
      <c r="BA106" s="35">
        <v>0</v>
      </c>
      <c r="BB106" s="35">
        <v>-4</v>
      </c>
      <c r="BC106" t="s">
        <v>265</v>
      </c>
      <c r="BD106" s="14">
        <v>-0.18400000000000105</v>
      </c>
      <c r="BE106" s="14">
        <v>-5.2399999999999967</v>
      </c>
      <c r="BF106" s="14">
        <v>1.8000000000000007</v>
      </c>
      <c r="BG106" s="14">
        <v>2.7999999999999972</v>
      </c>
      <c r="BH106" s="14">
        <v>-2.2000000000000002</v>
      </c>
      <c r="BI106" s="14">
        <v>0.16000000000000014</v>
      </c>
      <c r="BJ106" s="14">
        <v>4</v>
      </c>
      <c r="BK106" s="14">
        <v>-0.39999999999999858</v>
      </c>
      <c r="BL106" s="14">
        <v>0.79999999999999982</v>
      </c>
      <c r="BM106" s="14">
        <v>-5.8399999999999981</v>
      </c>
      <c r="BN106" s="14">
        <v>-31</v>
      </c>
      <c r="BO106" s="14">
        <v>-2.5999999999999996</v>
      </c>
      <c r="BP106" s="14">
        <v>1.3199999999999994</v>
      </c>
      <c r="BQ106" s="14">
        <v>13.200000000000003</v>
      </c>
      <c r="BR106" s="14">
        <v>2.5999999999999996</v>
      </c>
      <c r="BS106" s="14">
        <v>-2.2399999999999993</v>
      </c>
      <c r="BT106" s="14">
        <v>-7.2000000000000028</v>
      </c>
      <c r="BU106" s="14">
        <v>-2.8</v>
      </c>
      <c r="BV106" s="14">
        <v>5.9599999999999991</v>
      </c>
      <c r="BW106" s="14">
        <v>39.6</v>
      </c>
      <c r="BX106" s="14">
        <v>0.79999999999999982</v>
      </c>
      <c r="BY106" s="48">
        <v>0.70000000000000107</v>
      </c>
      <c r="BZ106" s="14">
        <v>-15</v>
      </c>
      <c r="CA106" s="14">
        <v>-2</v>
      </c>
      <c r="CB106" s="14">
        <v>3.8000000000000007</v>
      </c>
      <c r="CC106" s="14">
        <v>0.39999999999999991</v>
      </c>
      <c r="CD106" s="14">
        <v>1.2000000000000002</v>
      </c>
      <c r="CE106" s="14">
        <v>9.0747904577692107E-3</v>
      </c>
      <c r="CF106" s="14">
        <v>-3.3990973565441653E-2</v>
      </c>
      <c r="CG106" s="14">
        <v>0.31682539682539679</v>
      </c>
      <c r="CH106" s="14">
        <v>-5</v>
      </c>
      <c r="CI106" s="14">
        <v>-6.3999999999999986</v>
      </c>
      <c r="CJ106" s="14">
        <v>13</v>
      </c>
      <c r="CK106" s="14">
        <v>-0.60000000000000009</v>
      </c>
      <c r="CL106" s="14">
        <v>3.7999999999999972</v>
      </c>
      <c r="CM106" s="14">
        <v>0.39999999999999858</v>
      </c>
      <c r="CN106" s="14">
        <v>0</v>
      </c>
      <c r="CO106" s="14">
        <v>-42.600000000000023</v>
      </c>
      <c r="CP106" s="14">
        <v>-37.599999999999994</v>
      </c>
      <c r="CQ106" s="14">
        <v>14.400000000000006</v>
      </c>
      <c r="CR106" s="14">
        <v>-2.6</v>
      </c>
      <c r="CS106" s="14">
        <v>-16.8</v>
      </c>
      <c r="CT106" t="s">
        <v>236</v>
      </c>
      <c r="CU106" t="s">
        <v>539</v>
      </c>
    </row>
    <row r="107" spans="1:99" x14ac:dyDescent="0.2">
      <c r="A107" s="19">
        <v>44108</v>
      </c>
      <c r="B107">
        <v>4</v>
      </c>
      <c r="C107" s="13" t="s">
        <v>417</v>
      </c>
      <c r="D107" s="41" t="s">
        <v>287</v>
      </c>
      <c r="E107" s="14" t="s">
        <v>284</v>
      </c>
      <c r="F107" t="s">
        <v>557</v>
      </c>
      <c r="G107">
        <v>24</v>
      </c>
      <c r="H107" t="s">
        <v>561</v>
      </c>
      <c r="I107">
        <v>2.4</v>
      </c>
      <c r="J107">
        <v>2</v>
      </c>
      <c r="K107">
        <v>12</v>
      </c>
      <c r="L107">
        <v>1</v>
      </c>
      <c r="M107" t="s">
        <v>559</v>
      </c>
      <c r="N107">
        <v>5.3</v>
      </c>
      <c r="O107">
        <v>9</v>
      </c>
      <c r="P107">
        <v>7</v>
      </c>
      <c r="Q107">
        <v>3</v>
      </c>
      <c r="R107" t="s">
        <v>62</v>
      </c>
      <c r="S107">
        <v>14.2</v>
      </c>
      <c r="T107">
        <v>62</v>
      </c>
      <c r="U107">
        <v>12</v>
      </c>
      <c r="V107" t="s">
        <v>560</v>
      </c>
      <c r="W107">
        <v>14.2</v>
      </c>
      <c r="X107">
        <v>72</v>
      </c>
      <c r="Y107">
        <v>1</v>
      </c>
      <c r="Z107" t="s">
        <v>562</v>
      </c>
      <c r="AA107">
        <v>12.3</v>
      </c>
      <c r="AB107">
        <v>53</v>
      </c>
      <c r="AC107">
        <v>1</v>
      </c>
      <c r="AD107">
        <v>18.899999999999999</v>
      </c>
      <c r="AE107">
        <v>89</v>
      </c>
      <c r="AF107">
        <v>5</v>
      </c>
      <c r="AG107" t="s">
        <v>117</v>
      </c>
      <c r="AH107">
        <v>5.9</v>
      </c>
      <c r="AI107">
        <v>39</v>
      </c>
      <c r="AJ107">
        <v>3</v>
      </c>
      <c r="AK107">
        <v>8</v>
      </c>
      <c r="AL107">
        <v>2</v>
      </c>
      <c r="AM107">
        <v>4</v>
      </c>
      <c r="AN107" s="21">
        <v>0.48275862068965519</v>
      </c>
      <c r="AO107" s="21">
        <v>6.8965517241379309E-2</v>
      </c>
      <c r="AP107" s="21">
        <v>0.81818181818181823</v>
      </c>
      <c r="AQ107" s="35">
        <v>6</v>
      </c>
      <c r="AR107" s="35">
        <v>25</v>
      </c>
      <c r="AS107" s="35">
        <v>18</v>
      </c>
      <c r="AT107" s="35">
        <v>5</v>
      </c>
      <c r="AU107" s="35">
        <v>50</v>
      </c>
      <c r="AV107" s="35">
        <v>24</v>
      </c>
      <c r="AW107" s="35">
        <v>7</v>
      </c>
      <c r="AX107">
        <v>336</v>
      </c>
      <c r="AY107" s="35">
        <v>290</v>
      </c>
      <c r="AZ107" s="35">
        <v>32</v>
      </c>
      <c r="BA107" s="35">
        <v>0</v>
      </c>
      <c r="BB107" s="35">
        <v>14</v>
      </c>
      <c r="BC107" t="s">
        <v>284</v>
      </c>
      <c r="BD107" s="14">
        <v>10.068000000000001</v>
      </c>
      <c r="BE107" s="14">
        <v>-11</v>
      </c>
      <c r="BF107" s="14">
        <v>-7.6</v>
      </c>
      <c r="BG107" s="14">
        <v>-16.2</v>
      </c>
      <c r="BH107" s="14">
        <v>-4</v>
      </c>
      <c r="BI107" s="14">
        <v>-0.63999999999999968</v>
      </c>
      <c r="BJ107" s="14">
        <v>5.8</v>
      </c>
      <c r="BK107" s="14">
        <v>-2.1999999999999993</v>
      </c>
      <c r="BL107" s="14">
        <v>0.20000000000000018</v>
      </c>
      <c r="BM107" s="14">
        <v>-1.3399999999999981</v>
      </c>
      <c r="BN107" s="14">
        <v>-13.400000000000006</v>
      </c>
      <c r="BO107" s="14">
        <v>0.59999999999999964</v>
      </c>
      <c r="BP107" s="14">
        <v>1.2999999999999989</v>
      </c>
      <c r="BQ107" s="14">
        <v>13</v>
      </c>
      <c r="BR107" s="14">
        <v>-4.4000000000000004</v>
      </c>
      <c r="BS107" s="14">
        <v>6.28</v>
      </c>
      <c r="BT107" s="14">
        <v>27.6</v>
      </c>
      <c r="BU107" s="14">
        <v>-1.7999999999999998</v>
      </c>
      <c r="BV107" s="14">
        <v>1.379999999999999</v>
      </c>
      <c r="BW107" s="14">
        <v>3.7999999999999972</v>
      </c>
      <c r="BX107" s="14">
        <v>-5.8000000000000007</v>
      </c>
      <c r="BY107" s="48">
        <v>-0.76000000000000068</v>
      </c>
      <c r="BZ107" s="14">
        <v>10.399999999999999</v>
      </c>
      <c r="CA107" s="14">
        <v>-1.4000000000000004</v>
      </c>
      <c r="CB107" s="14">
        <v>1.5999999999999996</v>
      </c>
      <c r="CC107" s="14">
        <v>0.60000000000000009</v>
      </c>
      <c r="CD107" s="14">
        <v>0.79999999999999982</v>
      </c>
      <c r="CE107" s="14">
        <v>6.0955209992305304E-2</v>
      </c>
      <c r="CF107" s="14">
        <v>-2.4481625300478982E-2</v>
      </c>
      <c r="CG107" s="14">
        <v>0.14639249639249641</v>
      </c>
      <c r="CH107" s="14">
        <v>-6.6</v>
      </c>
      <c r="CI107" s="14">
        <v>-11.600000000000001</v>
      </c>
      <c r="CJ107" s="14">
        <v>2.8000000000000007</v>
      </c>
      <c r="CK107" s="14">
        <v>2.8</v>
      </c>
      <c r="CL107" s="14">
        <v>-10.799999999999997</v>
      </c>
      <c r="CM107" s="14">
        <v>7.8000000000000007</v>
      </c>
      <c r="CN107" s="14">
        <v>5.6</v>
      </c>
      <c r="CO107" s="14">
        <v>17.600000000000023</v>
      </c>
      <c r="CP107" s="14">
        <v>32.199999999999989</v>
      </c>
      <c r="CQ107" s="14">
        <v>-14.200000000000003</v>
      </c>
      <c r="CR107" s="14">
        <v>-6.2</v>
      </c>
      <c r="CS107" s="14">
        <v>5.8000000000000007</v>
      </c>
      <c r="CT107" t="s">
        <v>243</v>
      </c>
      <c r="CU107" t="s">
        <v>486</v>
      </c>
    </row>
    <row r="108" spans="1:99" x14ac:dyDescent="0.2">
      <c r="A108" s="19">
        <v>44108</v>
      </c>
      <c r="B108">
        <v>4</v>
      </c>
      <c r="C108" s="13" t="s">
        <v>417</v>
      </c>
      <c r="D108" s="41" t="s">
        <v>288</v>
      </c>
      <c r="E108" s="14" t="s">
        <v>302</v>
      </c>
      <c r="F108" t="s">
        <v>564</v>
      </c>
      <c r="G108">
        <v>20.239999999999998</v>
      </c>
      <c r="H108" t="s">
        <v>565</v>
      </c>
      <c r="I108">
        <v>12.1</v>
      </c>
      <c r="J108">
        <v>16</v>
      </c>
      <c r="K108">
        <v>64</v>
      </c>
      <c r="L108">
        <v>3</v>
      </c>
      <c r="M108" t="s">
        <v>569</v>
      </c>
      <c r="N108">
        <v>0.2</v>
      </c>
      <c r="O108">
        <v>1</v>
      </c>
      <c r="P108">
        <v>2</v>
      </c>
      <c r="Q108">
        <v>1</v>
      </c>
      <c r="R108" t="s">
        <v>168</v>
      </c>
      <c r="S108">
        <v>16.399999999999999</v>
      </c>
      <c r="T108">
        <v>64</v>
      </c>
      <c r="U108">
        <v>6</v>
      </c>
      <c r="V108" t="s">
        <v>18</v>
      </c>
      <c r="W108">
        <v>7.3</v>
      </c>
      <c r="X108">
        <v>43</v>
      </c>
      <c r="Y108">
        <v>7</v>
      </c>
      <c r="Z108" t="s">
        <v>567</v>
      </c>
      <c r="AA108">
        <v>12.7</v>
      </c>
      <c r="AB108">
        <v>27</v>
      </c>
      <c r="AC108">
        <v>4</v>
      </c>
      <c r="AD108">
        <v>41.5</v>
      </c>
      <c r="AE108">
        <v>175</v>
      </c>
      <c r="AF108">
        <v>17</v>
      </c>
      <c r="AG108" t="s">
        <v>19</v>
      </c>
      <c r="AH108">
        <v>10</v>
      </c>
      <c r="AI108">
        <v>70</v>
      </c>
      <c r="AJ108">
        <v>6</v>
      </c>
      <c r="AK108">
        <v>8</v>
      </c>
      <c r="AL108">
        <v>2</v>
      </c>
      <c r="AM108">
        <v>20</v>
      </c>
      <c r="AN108" s="21">
        <v>0.31428571428571428</v>
      </c>
      <c r="AO108" s="21">
        <v>2.8571428571428571E-2</v>
      </c>
      <c r="AP108" s="21">
        <v>0.5</v>
      </c>
      <c r="AQ108" s="35">
        <v>4</v>
      </c>
      <c r="AR108" s="35">
        <v>29</v>
      </c>
      <c r="AS108" s="35">
        <v>17</v>
      </c>
      <c r="AT108" s="35">
        <v>8</v>
      </c>
      <c r="AU108" s="35">
        <v>55</v>
      </c>
      <c r="AV108" s="35">
        <v>19</v>
      </c>
      <c r="AW108" s="35">
        <v>7</v>
      </c>
      <c r="AX108" s="35">
        <v>332</v>
      </c>
      <c r="AY108" s="35">
        <v>236</v>
      </c>
      <c r="AZ108" s="35">
        <v>68</v>
      </c>
      <c r="BA108" s="35">
        <v>0</v>
      </c>
      <c r="BB108" s="35">
        <v>28</v>
      </c>
      <c r="BC108" t="s">
        <v>302</v>
      </c>
      <c r="BD108" s="14">
        <v>0.84999999999999787</v>
      </c>
      <c r="BE108" s="14">
        <v>-1.7249999999999996</v>
      </c>
      <c r="BF108" s="14">
        <v>-2</v>
      </c>
      <c r="BG108" s="14">
        <v>-13</v>
      </c>
      <c r="BH108" s="14">
        <v>0.5</v>
      </c>
      <c r="BI108" s="14">
        <v>-3.5750000000000002</v>
      </c>
      <c r="BJ108" s="14">
        <v>-2.75</v>
      </c>
      <c r="BK108" s="14">
        <v>-14</v>
      </c>
      <c r="BL108" s="14">
        <v>-0.5</v>
      </c>
      <c r="BM108" s="14">
        <v>0.97499999999999787</v>
      </c>
      <c r="BN108" s="14">
        <v>2.25</v>
      </c>
      <c r="BO108" s="14">
        <v>-1</v>
      </c>
      <c r="BP108" s="14">
        <v>-4.8999999999999995</v>
      </c>
      <c r="BQ108" s="14">
        <v>-24</v>
      </c>
      <c r="BR108" s="14">
        <v>1</v>
      </c>
      <c r="BS108" s="14">
        <v>4.5249999999999986</v>
      </c>
      <c r="BT108" s="14">
        <v>0.25</v>
      </c>
      <c r="BU108" s="14">
        <v>1</v>
      </c>
      <c r="BV108" s="14">
        <v>19.45</v>
      </c>
      <c r="BW108" s="14">
        <v>69.5</v>
      </c>
      <c r="BX108" s="14">
        <v>6.25</v>
      </c>
      <c r="BY108" s="48">
        <v>5.15</v>
      </c>
      <c r="BZ108" s="14">
        <v>39</v>
      </c>
      <c r="CA108" s="14">
        <v>1.75</v>
      </c>
      <c r="CB108" s="14">
        <v>-3</v>
      </c>
      <c r="CC108" s="14">
        <v>-0.75</v>
      </c>
      <c r="CD108" s="14">
        <v>10</v>
      </c>
      <c r="CE108" s="14">
        <v>-3.1746031746031633E-3</v>
      </c>
      <c r="CF108" s="14">
        <v>-2.5264550264550257E-2</v>
      </c>
      <c r="CG108" s="14">
        <v>-0.25</v>
      </c>
      <c r="CH108" s="14">
        <v>-4</v>
      </c>
      <c r="CI108" s="14">
        <v>0.75</v>
      </c>
      <c r="CJ108" s="14">
        <v>-6.25</v>
      </c>
      <c r="CK108" s="14">
        <v>3</v>
      </c>
      <c r="CL108" s="14">
        <v>-3.5</v>
      </c>
      <c r="CM108" s="14">
        <v>-4</v>
      </c>
      <c r="CN108" s="14">
        <v>5.25</v>
      </c>
      <c r="CO108" s="14">
        <v>-16.75</v>
      </c>
      <c r="CP108" s="14">
        <v>-7.5</v>
      </c>
      <c r="CQ108" s="14">
        <v>-16</v>
      </c>
      <c r="CR108" s="14">
        <v>-2.25</v>
      </c>
      <c r="CS108" s="14">
        <v>9</v>
      </c>
      <c r="CT108" t="s">
        <v>292</v>
      </c>
      <c r="CU108" t="s">
        <v>464</v>
      </c>
    </row>
    <row r="109" spans="1:99" x14ac:dyDescent="0.2">
      <c r="A109" s="19">
        <v>44108</v>
      </c>
      <c r="B109">
        <v>4</v>
      </c>
      <c r="C109" s="13" t="s">
        <v>417</v>
      </c>
      <c r="D109" s="41" t="s">
        <v>291</v>
      </c>
      <c r="E109" s="14" t="s">
        <v>281</v>
      </c>
      <c r="F109" t="s">
        <v>577</v>
      </c>
      <c r="G109">
        <v>42.28</v>
      </c>
      <c r="H109" t="s">
        <v>572</v>
      </c>
      <c r="I109">
        <v>21.5</v>
      </c>
      <c r="J109">
        <v>12</v>
      </c>
      <c r="K109">
        <v>54</v>
      </c>
      <c r="L109">
        <v>8</v>
      </c>
      <c r="M109" t="s">
        <v>573</v>
      </c>
      <c r="N109">
        <v>10.199999999999999</v>
      </c>
      <c r="O109">
        <v>3</v>
      </c>
      <c r="P109">
        <v>16</v>
      </c>
      <c r="Q109">
        <v>2</v>
      </c>
      <c r="R109" t="s">
        <v>116</v>
      </c>
      <c r="S109">
        <v>36.4</v>
      </c>
      <c r="T109">
        <v>134</v>
      </c>
      <c r="U109">
        <v>16</v>
      </c>
      <c r="V109" t="s">
        <v>574</v>
      </c>
      <c r="W109">
        <v>25.2</v>
      </c>
      <c r="X109">
        <v>79</v>
      </c>
      <c r="Y109">
        <v>7</v>
      </c>
      <c r="Z109" t="s">
        <v>14</v>
      </c>
      <c r="AA109">
        <v>4.9000000000000004</v>
      </c>
      <c r="AB109">
        <v>29</v>
      </c>
      <c r="AC109">
        <v>5</v>
      </c>
      <c r="AD109">
        <v>49</v>
      </c>
      <c r="AE109">
        <v>180</v>
      </c>
      <c r="AF109">
        <v>21</v>
      </c>
      <c r="AG109" t="s">
        <v>575</v>
      </c>
      <c r="AH109">
        <v>17.2</v>
      </c>
      <c r="AI109">
        <v>72</v>
      </c>
      <c r="AJ109">
        <v>8</v>
      </c>
      <c r="AK109">
        <v>2</v>
      </c>
      <c r="AL109">
        <v>0</v>
      </c>
      <c r="AM109">
        <v>-2</v>
      </c>
      <c r="AN109" s="21">
        <v>0.24193548387096775</v>
      </c>
      <c r="AO109" s="21">
        <v>4.8387096774193547E-2</v>
      </c>
      <c r="AP109" s="21">
        <v>0.7</v>
      </c>
      <c r="AQ109" s="35">
        <v>5</v>
      </c>
      <c r="AR109" s="35">
        <v>58</v>
      </c>
      <c r="AS109" s="35">
        <v>15</v>
      </c>
      <c r="AT109" s="35">
        <v>2</v>
      </c>
      <c r="AU109" s="35">
        <v>79</v>
      </c>
      <c r="AV109" s="35">
        <v>38</v>
      </c>
      <c r="AW109" s="35">
        <v>0</v>
      </c>
      <c r="AX109">
        <v>587</v>
      </c>
      <c r="AY109" s="35">
        <v>502</v>
      </c>
      <c r="AZ109" s="35">
        <v>70</v>
      </c>
      <c r="BA109" s="35">
        <v>3</v>
      </c>
      <c r="BB109" s="35">
        <v>12</v>
      </c>
      <c r="BC109" t="s">
        <v>281</v>
      </c>
      <c r="BD109" s="14">
        <v>21.824000000000002</v>
      </c>
      <c r="BE109" s="14">
        <v>4.7600000000000016</v>
      </c>
      <c r="BF109" s="14">
        <v>-1.8000000000000007</v>
      </c>
      <c r="BG109" s="14">
        <v>-7.3999999999999986</v>
      </c>
      <c r="BH109" s="14">
        <v>4.2</v>
      </c>
      <c r="BI109" s="14">
        <v>2.1999999999999993</v>
      </c>
      <c r="BJ109" s="14">
        <v>-0.60000000000000009</v>
      </c>
      <c r="BK109" s="14">
        <v>4.1999999999999993</v>
      </c>
      <c r="BL109" s="14">
        <v>-1.6</v>
      </c>
      <c r="BM109" s="14">
        <v>16.36</v>
      </c>
      <c r="BN109" s="14">
        <v>47.599999999999994</v>
      </c>
      <c r="BO109" s="14">
        <v>6.8000000000000007</v>
      </c>
      <c r="BP109" s="14">
        <v>11.159999999999998</v>
      </c>
      <c r="BQ109" s="14">
        <v>33.200000000000003</v>
      </c>
      <c r="BR109" s="14">
        <v>0</v>
      </c>
      <c r="BS109" s="14">
        <v>-0.96</v>
      </c>
      <c r="BT109" s="14">
        <v>-0.39999999999999858</v>
      </c>
      <c r="BU109" s="14">
        <v>0.20000000000000018</v>
      </c>
      <c r="BV109" s="14">
        <v>22.22</v>
      </c>
      <c r="BW109" s="14">
        <v>68.2</v>
      </c>
      <c r="BX109" s="14">
        <v>6</v>
      </c>
      <c r="BY109" s="48">
        <v>4.9599999999999991</v>
      </c>
      <c r="BZ109" s="14">
        <v>25.6</v>
      </c>
      <c r="CA109" s="14">
        <v>0</v>
      </c>
      <c r="CB109" s="14">
        <v>-5.2</v>
      </c>
      <c r="CC109" s="14">
        <v>-1.4</v>
      </c>
      <c r="CD109" s="14">
        <v>-7.2</v>
      </c>
      <c r="CE109" s="14">
        <v>-1.3099149966831702E-2</v>
      </c>
      <c r="CF109" s="14">
        <v>-7.297017941716423E-3</v>
      </c>
      <c r="CG109" s="14">
        <v>0.23153846153846158</v>
      </c>
      <c r="CH109" s="14">
        <v>-2.4000000000000004</v>
      </c>
      <c r="CI109" s="14">
        <v>15.600000000000001</v>
      </c>
      <c r="CJ109" s="14">
        <v>-3.8000000000000007</v>
      </c>
      <c r="CK109" s="14">
        <v>-1.6</v>
      </c>
      <c r="CL109" s="14">
        <v>10.400000000000006</v>
      </c>
      <c r="CM109" s="14">
        <v>11</v>
      </c>
      <c r="CN109" s="14">
        <v>-2.8</v>
      </c>
      <c r="CO109" s="14">
        <v>206.2</v>
      </c>
      <c r="CP109" s="14">
        <v>211.39999999999998</v>
      </c>
      <c r="CQ109" s="14">
        <v>-5</v>
      </c>
      <c r="CR109" s="14">
        <v>-5.4</v>
      </c>
      <c r="CS109" s="14">
        <v>5.2</v>
      </c>
      <c r="CT109" t="s">
        <v>266</v>
      </c>
      <c r="CU109" t="s">
        <v>498</v>
      </c>
    </row>
    <row r="110" spans="1:99" x14ac:dyDescent="0.2">
      <c r="A110" s="19">
        <v>44108</v>
      </c>
      <c r="B110">
        <v>4</v>
      </c>
      <c r="C110" s="13" t="s">
        <v>417</v>
      </c>
      <c r="D110" s="41" t="s">
        <v>293</v>
      </c>
      <c r="E110" s="14" t="s">
        <v>308</v>
      </c>
      <c r="F110" t="s">
        <v>578</v>
      </c>
      <c r="G110">
        <v>26.3</v>
      </c>
      <c r="H110" t="s">
        <v>579</v>
      </c>
      <c r="I110">
        <v>9.1999999999999993</v>
      </c>
      <c r="J110">
        <v>10</v>
      </c>
      <c r="K110">
        <v>40</v>
      </c>
      <c r="L110">
        <v>4</v>
      </c>
      <c r="M110" t="s">
        <v>580</v>
      </c>
      <c r="N110">
        <v>7.8</v>
      </c>
      <c r="O110">
        <v>3</v>
      </c>
      <c r="P110">
        <v>9</v>
      </c>
      <c r="Q110">
        <v>3</v>
      </c>
      <c r="R110" t="s">
        <v>24</v>
      </c>
      <c r="S110">
        <v>24</v>
      </c>
      <c r="T110">
        <v>110</v>
      </c>
      <c r="U110">
        <v>12</v>
      </c>
      <c r="V110" t="s">
        <v>583</v>
      </c>
      <c r="W110">
        <v>8.8000000000000007</v>
      </c>
      <c r="X110">
        <v>48</v>
      </c>
      <c r="Y110">
        <v>10</v>
      </c>
      <c r="Z110" t="s">
        <v>5</v>
      </c>
      <c r="AA110">
        <v>4.5</v>
      </c>
      <c r="AB110">
        <v>15</v>
      </c>
      <c r="AC110">
        <v>3</v>
      </c>
      <c r="AD110">
        <v>11.7</v>
      </c>
      <c r="AE110">
        <v>57</v>
      </c>
      <c r="AF110">
        <v>12</v>
      </c>
      <c r="AG110" t="s">
        <v>8</v>
      </c>
      <c r="AH110">
        <v>2.5</v>
      </c>
      <c r="AI110">
        <v>15</v>
      </c>
      <c r="AJ110">
        <v>3</v>
      </c>
      <c r="AK110">
        <v>18</v>
      </c>
      <c r="AL110">
        <v>5</v>
      </c>
      <c r="AM110">
        <v>3</v>
      </c>
      <c r="AN110" s="21">
        <v>0.28846153846153844</v>
      </c>
      <c r="AO110" s="21">
        <v>1.9230769230769232E-2</v>
      </c>
      <c r="AP110" s="21">
        <v>0.72727272727272729</v>
      </c>
      <c r="AQ110">
        <v>5</v>
      </c>
      <c r="AR110">
        <v>45</v>
      </c>
      <c r="AS110">
        <v>15</v>
      </c>
      <c r="AT110">
        <v>6</v>
      </c>
      <c r="AU110">
        <v>68</v>
      </c>
      <c r="AV110">
        <v>23</v>
      </c>
      <c r="AW110">
        <v>0</v>
      </c>
      <c r="AX110">
        <v>418</v>
      </c>
      <c r="AY110">
        <v>315</v>
      </c>
      <c r="AZ110">
        <v>51</v>
      </c>
      <c r="BA110">
        <v>5</v>
      </c>
      <c r="BB110">
        <v>47</v>
      </c>
      <c r="BC110" t="s">
        <v>308</v>
      </c>
      <c r="BD110" s="14">
        <v>-2.3299999999999983</v>
      </c>
      <c r="BE110" s="14">
        <v>-3</v>
      </c>
      <c r="BF110" s="14">
        <v>-2</v>
      </c>
      <c r="BG110" s="14">
        <v>0.5</v>
      </c>
      <c r="BH110" s="14">
        <v>-1.25</v>
      </c>
      <c r="BI110" s="14">
        <v>-1.4000000000000012</v>
      </c>
      <c r="BJ110" s="14">
        <v>-4.25</v>
      </c>
      <c r="BK110" s="14">
        <v>-21.75</v>
      </c>
      <c r="BL110" s="14">
        <v>-0.25</v>
      </c>
      <c r="BM110" s="14">
        <v>-0.95000000000000284</v>
      </c>
      <c r="BN110" s="14">
        <v>-3.75</v>
      </c>
      <c r="BO110" s="14">
        <v>0</v>
      </c>
      <c r="BP110" s="14">
        <v>-5.7749999999999986</v>
      </c>
      <c r="BQ110" s="14">
        <v>-22.5</v>
      </c>
      <c r="BR110" s="14">
        <v>1</v>
      </c>
      <c r="BS110" s="14">
        <v>-8.1750000000000007</v>
      </c>
      <c r="BT110" s="14">
        <v>-36.75</v>
      </c>
      <c r="BU110" s="14">
        <v>-2</v>
      </c>
      <c r="BV110" s="14">
        <v>-11.95</v>
      </c>
      <c r="BW110" s="14">
        <v>-67</v>
      </c>
      <c r="BX110" s="14">
        <v>-3</v>
      </c>
      <c r="BY110" s="48">
        <v>-3.9000000000000004</v>
      </c>
      <c r="BZ110" s="14">
        <v>-21.5</v>
      </c>
      <c r="CA110" s="14">
        <v>-1</v>
      </c>
      <c r="CB110" s="14">
        <v>7.25</v>
      </c>
      <c r="CC110" s="14">
        <v>2.25</v>
      </c>
      <c r="CD110" s="14">
        <v>-1.25</v>
      </c>
      <c r="CE110" s="14">
        <v>2.8688867184062772E-2</v>
      </c>
      <c r="CF110" s="14">
        <v>-1.68177309992684E-2</v>
      </c>
      <c r="CG110" s="14">
        <v>-3.5497835497835473E-2</v>
      </c>
      <c r="CH110" s="14">
        <v>-1.5</v>
      </c>
      <c r="CI110" s="14">
        <v>-1.25</v>
      </c>
      <c r="CJ110" s="14">
        <v>-5.5</v>
      </c>
      <c r="CK110" s="14">
        <v>0</v>
      </c>
      <c r="CL110" s="14">
        <v>-7.25</v>
      </c>
      <c r="CM110" s="14">
        <v>-2.75</v>
      </c>
      <c r="CN110" s="14">
        <v>-1.75</v>
      </c>
      <c r="CO110" s="14">
        <v>-48.25</v>
      </c>
      <c r="CP110" s="14">
        <v>-43.25</v>
      </c>
      <c r="CQ110" s="14">
        <v>-24.25</v>
      </c>
      <c r="CR110" s="14">
        <v>2.75</v>
      </c>
      <c r="CS110" s="14">
        <v>16.5</v>
      </c>
      <c r="CT110" t="s">
        <v>238</v>
      </c>
      <c r="CU110" t="s">
        <v>451</v>
      </c>
    </row>
    <row r="111" spans="1:99" x14ac:dyDescent="0.2">
      <c r="A111" s="19">
        <v>44108</v>
      </c>
      <c r="B111">
        <v>4</v>
      </c>
      <c r="C111" s="13" t="s">
        <v>417</v>
      </c>
      <c r="D111" s="41" t="s">
        <v>294</v>
      </c>
      <c r="E111" s="14" t="s">
        <v>256</v>
      </c>
      <c r="F111" t="s">
        <v>585</v>
      </c>
      <c r="G111">
        <v>21.92</v>
      </c>
      <c r="H111" t="s">
        <v>590</v>
      </c>
      <c r="I111">
        <v>9.6</v>
      </c>
      <c r="J111">
        <v>13</v>
      </c>
      <c r="K111">
        <v>46</v>
      </c>
      <c r="L111">
        <v>4</v>
      </c>
      <c r="M111" t="s">
        <v>587</v>
      </c>
      <c r="N111">
        <v>0.3</v>
      </c>
      <c r="O111">
        <v>2</v>
      </c>
      <c r="P111">
        <v>3</v>
      </c>
      <c r="Q111">
        <v>0</v>
      </c>
      <c r="R111" t="s">
        <v>184</v>
      </c>
      <c r="S111">
        <v>7.8</v>
      </c>
      <c r="T111">
        <v>38</v>
      </c>
      <c r="U111">
        <v>6</v>
      </c>
      <c r="V111" t="s">
        <v>588</v>
      </c>
      <c r="W111">
        <v>13.7</v>
      </c>
      <c r="X111">
        <v>57</v>
      </c>
      <c r="Y111">
        <v>4</v>
      </c>
      <c r="Z111" t="s">
        <v>591</v>
      </c>
      <c r="AA111">
        <v>4.2</v>
      </c>
      <c r="AB111">
        <v>22</v>
      </c>
      <c r="AC111">
        <v>2</v>
      </c>
      <c r="AD111">
        <v>7.2</v>
      </c>
      <c r="AE111">
        <v>22</v>
      </c>
      <c r="AF111">
        <v>8</v>
      </c>
      <c r="AG111" t="s">
        <v>11</v>
      </c>
      <c r="AH111">
        <v>6.9</v>
      </c>
      <c r="AI111">
        <v>35</v>
      </c>
      <c r="AJ111">
        <v>5</v>
      </c>
      <c r="AK111">
        <v>5</v>
      </c>
      <c r="AL111">
        <v>1</v>
      </c>
      <c r="AM111">
        <v>18</v>
      </c>
      <c r="AN111" s="21">
        <v>0.47058823529411764</v>
      </c>
      <c r="AO111" s="21">
        <v>8.8235294117647065E-2</v>
      </c>
      <c r="AP111" s="21">
        <v>0.42857142857142855</v>
      </c>
      <c r="AQ111" s="35">
        <v>5</v>
      </c>
      <c r="AR111" s="35">
        <v>28</v>
      </c>
      <c r="AS111" s="35">
        <v>18</v>
      </c>
      <c r="AT111" s="35">
        <v>11</v>
      </c>
      <c r="AU111" s="35">
        <v>59</v>
      </c>
      <c r="AV111" s="35">
        <v>18</v>
      </c>
      <c r="AW111" s="35">
        <v>7</v>
      </c>
      <c r="AX111">
        <v>281</v>
      </c>
      <c r="AY111" s="35">
        <v>193</v>
      </c>
      <c r="AZ111" s="35">
        <v>38</v>
      </c>
      <c r="BA111" s="35">
        <v>0</v>
      </c>
      <c r="BB111" s="35">
        <v>50</v>
      </c>
      <c r="BC111" t="s">
        <v>256</v>
      </c>
      <c r="BD111" s="14">
        <v>3.8480000000000025</v>
      </c>
      <c r="BE111" s="14">
        <v>0.16000000000000014</v>
      </c>
      <c r="BF111" s="14">
        <v>0</v>
      </c>
      <c r="BG111" s="14">
        <v>-4.7999999999999972</v>
      </c>
      <c r="BH111" s="14">
        <v>1.2000000000000002</v>
      </c>
      <c r="BI111" s="14">
        <v>-3.600000000000001</v>
      </c>
      <c r="BJ111" s="14">
        <v>-1.6</v>
      </c>
      <c r="BK111" s="14">
        <v>-6.4</v>
      </c>
      <c r="BL111" s="14">
        <v>-2</v>
      </c>
      <c r="BM111" s="14">
        <v>-4.1999999999999984</v>
      </c>
      <c r="BN111" s="14">
        <v>-7.7999999999999972</v>
      </c>
      <c r="BO111" s="14">
        <v>-0.79999999999999982</v>
      </c>
      <c r="BP111" s="14">
        <v>0.99999999999999822</v>
      </c>
      <c r="BQ111" s="14">
        <v>0</v>
      </c>
      <c r="BR111" s="14">
        <v>-2.5999999999999996</v>
      </c>
      <c r="BS111" s="14">
        <v>-2.1399999999999997</v>
      </c>
      <c r="BT111" s="14">
        <v>-5</v>
      </c>
      <c r="BU111" s="14">
        <v>-1.4</v>
      </c>
      <c r="BV111" s="14">
        <v>-11.8</v>
      </c>
      <c r="BW111" s="14">
        <v>-54</v>
      </c>
      <c r="BX111" s="14">
        <v>-1</v>
      </c>
      <c r="BY111" s="48">
        <v>-0.36000000000000032</v>
      </c>
      <c r="BZ111" s="14">
        <v>-6.7999999999999972</v>
      </c>
      <c r="CA111" s="14">
        <v>0.20000000000000018</v>
      </c>
      <c r="CB111" s="14">
        <v>-5.6</v>
      </c>
      <c r="CC111" s="14">
        <v>-1.4</v>
      </c>
      <c r="CD111" s="14">
        <v>11.6</v>
      </c>
      <c r="CE111" s="14">
        <v>0.10172307136254005</v>
      </c>
      <c r="CF111" s="14">
        <v>4.0374085117918138E-2</v>
      </c>
      <c r="CG111" s="14">
        <v>-0.19047619047619052</v>
      </c>
      <c r="CH111" s="14">
        <v>0</v>
      </c>
      <c r="CI111" s="14">
        <v>-3.6000000000000014</v>
      </c>
      <c r="CJ111" s="14">
        <v>-1.1999999999999993</v>
      </c>
      <c r="CK111" s="14">
        <v>6.6</v>
      </c>
      <c r="CL111" s="14">
        <v>1</v>
      </c>
      <c r="CM111" s="14">
        <v>-1.8000000000000007</v>
      </c>
      <c r="CN111" s="14">
        <v>5.6</v>
      </c>
      <c r="CO111" s="14">
        <v>-31.600000000000023</v>
      </c>
      <c r="CP111" s="14">
        <v>-26.800000000000011</v>
      </c>
      <c r="CQ111" s="14">
        <v>-25.4</v>
      </c>
      <c r="CR111" s="14">
        <v>-3</v>
      </c>
      <c r="CS111" s="14">
        <v>23.6</v>
      </c>
      <c r="CT111" t="s">
        <v>257</v>
      </c>
      <c r="CU111" t="s">
        <v>547</v>
      </c>
    </row>
    <row r="112" spans="1:99" x14ac:dyDescent="0.2">
      <c r="A112" s="19">
        <v>44108</v>
      </c>
      <c r="B112">
        <v>4</v>
      </c>
      <c r="C112" s="13" t="s">
        <v>417</v>
      </c>
      <c r="D112" s="41" t="s">
        <v>295</v>
      </c>
      <c r="E112" s="14" t="s">
        <v>300</v>
      </c>
      <c r="F112" t="s">
        <v>595</v>
      </c>
      <c r="G112">
        <v>12.4</v>
      </c>
      <c r="H112" t="s">
        <v>596</v>
      </c>
      <c r="I112">
        <v>19.3</v>
      </c>
      <c r="J112">
        <v>16</v>
      </c>
      <c r="K112">
        <v>57</v>
      </c>
      <c r="L112">
        <v>1</v>
      </c>
      <c r="M112" t="s">
        <v>601</v>
      </c>
      <c r="N112">
        <v>5.7</v>
      </c>
      <c r="O112">
        <v>2</v>
      </c>
      <c r="P112">
        <v>3</v>
      </c>
      <c r="Q112">
        <v>3</v>
      </c>
      <c r="R112" t="s">
        <v>95</v>
      </c>
      <c r="S112">
        <v>7.2</v>
      </c>
      <c r="T112">
        <v>32</v>
      </c>
      <c r="U112">
        <v>4</v>
      </c>
      <c r="V112" t="s">
        <v>93</v>
      </c>
      <c r="W112">
        <v>0</v>
      </c>
      <c r="X112">
        <v>0</v>
      </c>
      <c r="Y112">
        <v>5</v>
      </c>
      <c r="Z112" t="s">
        <v>598</v>
      </c>
      <c r="AA112">
        <v>4</v>
      </c>
      <c r="AB112">
        <v>22</v>
      </c>
      <c r="AC112">
        <v>3</v>
      </c>
      <c r="AD112">
        <v>8</v>
      </c>
      <c r="AE112">
        <v>40</v>
      </c>
      <c r="AF112">
        <v>5</v>
      </c>
      <c r="AG112" t="s">
        <v>599</v>
      </c>
      <c r="AH112">
        <v>9.1</v>
      </c>
      <c r="AI112">
        <v>51</v>
      </c>
      <c r="AJ112">
        <v>6</v>
      </c>
      <c r="AK112">
        <v>4</v>
      </c>
      <c r="AL112">
        <v>1</v>
      </c>
      <c r="AM112">
        <v>0</v>
      </c>
      <c r="AN112" s="21">
        <v>0.26666666666666666</v>
      </c>
      <c r="AO112" s="21">
        <v>8.8888888888888892E-2</v>
      </c>
      <c r="AP112" s="21">
        <v>0.42857142857142855</v>
      </c>
      <c r="AQ112" s="35">
        <v>5</v>
      </c>
      <c r="AR112" s="35">
        <v>39</v>
      </c>
      <c r="AS112" s="35">
        <v>22</v>
      </c>
      <c r="AT112" s="35">
        <v>2</v>
      </c>
      <c r="AU112" s="35">
        <v>68</v>
      </c>
      <c r="AV112" s="35">
        <v>16</v>
      </c>
      <c r="AW112" s="35">
        <v>0</v>
      </c>
      <c r="AX112">
        <v>363</v>
      </c>
      <c r="AY112" s="35">
        <v>285</v>
      </c>
      <c r="AZ112" s="35">
        <v>70</v>
      </c>
      <c r="BA112" s="35">
        <v>-2</v>
      </c>
      <c r="BB112" s="35">
        <v>10</v>
      </c>
      <c r="BC112" t="s">
        <v>300</v>
      </c>
      <c r="BD112" s="14">
        <v>-4.5299999999999994</v>
      </c>
      <c r="BE112" s="14">
        <v>-7.0250000000000021</v>
      </c>
      <c r="BF112" s="14">
        <v>2.75</v>
      </c>
      <c r="BG112" s="14">
        <v>-8</v>
      </c>
      <c r="BH112" s="14">
        <v>-4.5</v>
      </c>
      <c r="BI112" s="14">
        <v>-1.6999999999999993</v>
      </c>
      <c r="BJ112" s="14">
        <v>-4</v>
      </c>
      <c r="BK112" s="14">
        <v>-25.75</v>
      </c>
      <c r="BL112" s="14">
        <v>1.5</v>
      </c>
      <c r="BM112" s="14">
        <v>-2.0749999999999984</v>
      </c>
      <c r="BN112" s="14">
        <v>1.75</v>
      </c>
      <c r="BO112" s="14">
        <v>-0.25</v>
      </c>
      <c r="BP112" s="14">
        <v>-5.5250000000000004</v>
      </c>
      <c r="BQ112" s="14">
        <v>-27.75</v>
      </c>
      <c r="BR112" s="14">
        <v>-1.25</v>
      </c>
      <c r="BS112" s="14">
        <v>-1.6500000000000004</v>
      </c>
      <c r="BT112" s="14">
        <v>0</v>
      </c>
      <c r="BU112" s="14">
        <v>0.5</v>
      </c>
      <c r="BV112" s="14">
        <v>-7.6750000000000007</v>
      </c>
      <c r="BW112" s="14">
        <v>-21.75</v>
      </c>
      <c r="BX112" s="14">
        <v>-3.75</v>
      </c>
      <c r="BY112" s="48">
        <v>-1.4500000000000011</v>
      </c>
      <c r="BZ112" s="14">
        <v>-2</v>
      </c>
      <c r="CA112" s="14">
        <v>0.75</v>
      </c>
      <c r="CB112" s="14">
        <v>-3.25</v>
      </c>
      <c r="CC112" s="14">
        <v>-0.5</v>
      </c>
      <c r="CD112" s="14">
        <v>-3.25</v>
      </c>
      <c r="CE112" s="14">
        <v>5.5019493177387913E-2</v>
      </c>
      <c r="CF112" s="14">
        <v>2.7192982456140352E-2</v>
      </c>
      <c r="CG112" s="14">
        <v>-0.21607142857142853</v>
      </c>
      <c r="CH112" s="14">
        <v>0.25</v>
      </c>
      <c r="CI112" s="14">
        <v>5</v>
      </c>
      <c r="CJ112" s="14">
        <v>-1</v>
      </c>
      <c r="CK112" s="14">
        <v>0</v>
      </c>
      <c r="CL112" s="14">
        <v>6.25</v>
      </c>
      <c r="CM112" s="14">
        <v>-8.5</v>
      </c>
      <c r="CN112" s="14">
        <v>-1.75</v>
      </c>
      <c r="CO112" s="14">
        <v>5.5</v>
      </c>
      <c r="CP112" s="14">
        <v>39.25</v>
      </c>
      <c r="CQ112" s="14">
        <v>-36.75</v>
      </c>
      <c r="CR112" s="14">
        <v>-1.5</v>
      </c>
      <c r="CS112" s="14">
        <v>4.5</v>
      </c>
      <c r="CT112" t="s">
        <v>253</v>
      </c>
      <c r="CU112" t="s">
        <v>458</v>
      </c>
    </row>
    <row r="113" spans="1:99" x14ac:dyDescent="0.2">
      <c r="A113" s="19">
        <v>44108</v>
      </c>
      <c r="B113">
        <v>4</v>
      </c>
      <c r="C113" s="13" t="s">
        <v>417</v>
      </c>
      <c r="D113" s="41" t="s">
        <v>296</v>
      </c>
      <c r="E113" s="14" t="s">
        <v>304</v>
      </c>
      <c r="F113" t="s">
        <v>602</v>
      </c>
      <c r="G113">
        <v>11.1</v>
      </c>
      <c r="H113" t="s">
        <v>605</v>
      </c>
      <c r="I113">
        <v>10.8</v>
      </c>
      <c r="J113">
        <v>11</v>
      </c>
      <c r="K113">
        <v>33</v>
      </c>
      <c r="L113">
        <v>4</v>
      </c>
      <c r="M113" t="s">
        <v>603</v>
      </c>
      <c r="N113">
        <v>4.5</v>
      </c>
      <c r="O113">
        <v>6</v>
      </c>
      <c r="P113">
        <v>45</v>
      </c>
      <c r="Q113">
        <v>0</v>
      </c>
      <c r="R113" t="s">
        <v>115</v>
      </c>
      <c r="S113">
        <v>7.8</v>
      </c>
      <c r="T113">
        <v>48</v>
      </c>
      <c r="U113">
        <v>7</v>
      </c>
      <c r="V113" t="s">
        <v>139</v>
      </c>
      <c r="W113">
        <v>6</v>
      </c>
      <c r="X113">
        <v>20</v>
      </c>
      <c r="Y113">
        <v>6</v>
      </c>
      <c r="Z113" t="s">
        <v>607</v>
      </c>
      <c r="AA113">
        <v>6.4</v>
      </c>
      <c r="AB113">
        <v>34</v>
      </c>
      <c r="AC113">
        <v>3</v>
      </c>
      <c r="AD113">
        <v>6.6</v>
      </c>
      <c r="AE113">
        <v>26</v>
      </c>
      <c r="AF113">
        <v>8</v>
      </c>
      <c r="AG113" t="s">
        <v>16</v>
      </c>
      <c r="AH113">
        <v>9.5</v>
      </c>
      <c r="AI113">
        <v>35</v>
      </c>
      <c r="AJ113">
        <v>10</v>
      </c>
      <c r="AK113">
        <v>9</v>
      </c>
      <c r="AL113">
        <v>3</v>
      </c>
      <c r="AM113">
        <v>5</v>
      </c>
      <c r="AN113" s="21">
        <v>0.37777777777777777</v>
      </c>
      <c r="AO113" s="21">
        <v>0.1111111111111111</v>
      </c>
      <c r="AP113" s="21">
        <v>0.7142857142857143</v>
      </c>
      <c r="AQ113" s="35">
        <v>11</v>
      </c>
      <c r="AR113" s="35">
        <v>36</v>
      </c>
      <c r="AS113" s="35">
        <v>18</v>
      </c>
      <c r="AT113" s="35">
        <v>6</v>
      </c>
      <c r="AU113" s="35">
        <v>66</v>
      </c>
      <c r="AV113" s="35">
        <v>9</v>
      </c>
      <c r="AW113" s="35">
        <v>0</v>
      </c>
      <c r="AX113">
        <v>326</v>
      </c>
      <c r="AY113" s="35">
        <v>190</v>
      </c>
      <c r="AZ113" s="35">
        <v>88</v>
      </c>
      <c r="BA113" s="35">
        <v>3</v>
      </c>
      <c r="BB113" s="35">
        <v>45</v>
      </c>
      <c r="BC113" t="s">
        <v>304</v>
      </c>
      <c r="BD113" s="14">
        <v>-4.1960000000000015</v>
      </c>
      <c r="BE113" s="14">
        <v>-2.74</v>
      </c>
      <c r="BF113" s="14">
        <v>-3.4000000000000004</v>
      </c>
      <c r="BG113" s="14">
        <v>-25.200000000000003</v>
      </c>
      <c r="BH113" s="14">
        <v>-0.59999999999999964</v>
      </c>
      <c r="BI113" s="14">
        <v>-1.3600000000000003</v>
      </c>
      <c r="BJ113" s="14">
        <v>2</v>
      </c>
      <c r="BK113" s="14">
        <v>24.4</v>
      </c>
      <c r="BL113" s="14">
        <v>-2.8</v>
      </c>
      <c r="BM113" s="14">
        <v>-3.9400000000000004</v>
      </c>
      <c r="BN113" s="14">
        <v>-2.6000000000000014</v>
      </c>
      <c r="BO113" s="14">
        <v>0</v>
      </c>
      <c r="BP113" s="14">
        <v>-2.620000000000001</v>
      </c>
      <c r="BQ113" s="14">
        <v>-14.200000000000003</v>
      </c>
      <c r="BR113" s="14">
        <v>1.7999999999999998</v>
      </c>
      <c r="BS113" s="14">
        <v>0.85999999999999943</v>
      </c>
      <c r="BT113" s="14">
        <v>0</v>
      </c>
      <c r="BU113" s="14">
        <v>0.60000000000000009</v>
      </c>
      <c r="BV113" s="14">
        <v>-13.22</v>
      </c>
      <c r="BW113" s="14">
        <v>-62.2</v>
      </c>
      <c r="BX113" s="14">
        <v>-3</v>
      </c>
      <c r="BY113" s="48">
        <v>-3.5799999999999983</v>
      </c>
      <c r="BZ113" s="14">
        <v>-7.7999999999999972</v>
      </c>
      <c r="CA113" s="14">
        <v>2.8</v>
      </c>
      <c r="CB113" s="14">
        <v>2.4000000000000004</v>
      </c>
      <c r="CC113" s="14">
        <v>1.6</v>
      </c>
      <c r="CD113" s="14">
        <v>1.4</v>
      </c>
      <c r="CE113" s="14">
        <v>7.5891827656533517E-2</v>
      </c>
      <c r="CF113" s="14">
        <v>2.7267267267267262E-2</v>
      </c>
      <c r="CG113" s="14">
        <v>0.11040293040293048</v>
      </c>
      <c r="CH113" s="14">
        <v>4.2</v>
      </c>
      <c r="CI113" s="14">
        <v>1</v>
      </c>
      <c r="CJ113" s="14">
        <v>-2.3999999999999986</v>
      </c>
      <c r="CK113" s="14">
        <v>2.4</v>
      </c>
      <c r="CL113" s="14">
        <v>3</v>
      </c>
      <c r="CM113" s="14">
        <v>-10.399999999999999</v>
      </c>
      <c r="CN113" s="14">
        <v>0</v>
      </c>
      <c r="CO113" s="14">
        <v>-2</v>
      </c>
      <c r="CP113" s="14">
        <v>-34.400000000000006</v>
      </c>
      <c r="CQ113" s="14">
        <v>-0.20000000000000284</v>
      </c>
      <c r="CR113" s="14">
        <v>2.8</v>
      </c>
      <c r="CS113" s="14">
        <v>29.8</v>
      </c>
      <c r="CT113" t="s">
        <v>251</v>
      </c>
      <c r="CU113" t="s">
        <v>456</v>
      </c>
    </row>
    <row r="114" spans="1:99" x14ac:dyDescent="0.2">
      <c r="A114" s="19">
        <v>44108</v>
      </c>
      <c r="B114">
        <v>4</v>
      </c>
      <c r="C114" s="13" t="s">
        <v>417</v>
      </c>
      <c r="D114" s="41" t="s">
        <v>297</v>
      </c>
      <c r="E114" s="14" t="s">
        <v>272</v>
      </c>
      <c r="F114" t="s">
        <v>609</v>
      </c>
      <c r="G114">
        <v>24.94</v>
      </c>
      <c r="H114" t="s">
        <v>610</v>
      </c>
      <c r="I114">
        <v>14.7</v>
      </c>
      <c r="J114">
        <v>17</v>
      </c>
      <c r="K114">
        <v>75</v>
      </c>
      <c r="L114">
        <v>4</v>
      </c>
      <c r="M114" t="s">
        <v>615</v>
      </c>
      <c r="N114">
        <v>0</v>
      </c>
      <c r="O114">
        <v>0</v>
      </c>
      <c r="P114">
        <v>0</v>
      </c>
      <c r="Q114">
        <v>0</v>
      </c>
      <c r="R114" t="s">
        <v>612</v>
      </c>
      <c r="S114">
        <v>29.5</v>
      </c>
      <c r="T114">
        <v>95</v>
      </c>
      <c r="U114">
        <v>9</v>
      </c>
      <c r="V114" t="s">
        <v>613</v>
      </c>
      <c r="W114">
        <v>14.1</v>
      </c>
      <c r="X114">
        <v>86</v>
      </c>
      <c r="Y114">
        <v>6</v>
      </c>
      <c r="Z114" t="s">
        <v>616</v>
      </c>
      <c r="AA114">
        <v>8.6</v>
      </c>
      <c r="AB114">
        <v>46</v>
      </c>
      <c r="AC114">
        <v>5</v>
      </c>
      <c r="AD114">
        <v>20.9</v>
      </c>
      <c r="AE114">
        <v>129</v>
      </c>
      <c r="AF114">
        <v>12</v>
      </c>
      <c r="AG114" t="s">
        <v>617</v>
      </c>
      <c r="AH114">
        <v>4.2</v>
      </c>
      <c r="AI114">
        <v>22</v>
      </c>
      <c r="AJ114">
        <v>6</v>
      </c>
      <c r="AK114">
        <v>14</v>
      </c>
      <c r="AL114">
        <v>5</v>
      </c>
      <c r="AM114">
        <v>2</v>
      </c>
      <c r="AN114" s="21">
        <v>0.26666666666666666</v>
      </c>
      <c r="AO114" s="21">
        <v>6.6666666666666666E-2</v>
      </c>
      <c r="AP114" s="21">
        <v>0.66666666666666663</v>
      </c>
      <c r="AQ114">
        <v>5</v>
      </c>
      <c r="AR114" s="35">
        <v>40</v>
      </c>
      <c r="AS114" s="35">
        <v>17</v>
      </c>
      <c r="AT114" s="35">
        <v>2</v>
      </c>
      <c r="AU114" s="35">
        <v>63</v>
      </c>
      <c r="AV114" s="35">
        <v>25</v>
      </c>
      <c r="AW114" s="35">
        <v>0</v>
      </c>
      <c r="AX114">
        <v>440</v>
      </c>
      <c r="AY114" s="35">
        <v>351</v>
      </c>
      <c r="AZ114" s="35">
        <v>75</v>
      </c>
      <c r="BA114" s="35">
        <v>5</v>
      </c>
      <c r="BB114" s="35">
        <v>9</v>
      </c>
      <c r="BC114" t="s">
        <v>272</v>
      </c>
      <c r="BD114" s="14">
        <v>3.3520000000000003</v>
      </c>
      <c r="BE114" s="14">
        <v>-1.2799999999999994</v>
      </c>
      <c r="BF114" s="14">
        <v>1</v>
      </c>
      <c r="BG114" s="14">
        <v>-7.2000000000000028</v>
      </c>
      <c r="BH114" s="14">
        <v>0.60000000000000009</v>
      </c>
      <c r="BI114" s="14">
        <v>-8.2200000000000006</v>
      </c>
      <c r="BJ114" s="14">
        <v>-2.8</v>
      </c>
      <c r="BK114" s="14">
        <v>-25.6</v>
      </c>
      <c r="BL114" s="14">
        <v>-2.2000000000000002</v>
      </c>
      <c r="BM114" s="14">
        <v>11.619999999999997</v>
      </c>
      <c r="BN114" s="14">
        <v>29.200000000000003</v>
      </c>
      <c r="BO114" s="14">
        <v>0.80000000000000071</v>
      </c>
      <c r="BP114" s="14">
        <v>4.4799999999999986</v>
      </c>
      <c r="BQ114" s="14">
        <v>43.2</v>
      </c>
      <c r="BR114" s="14">
        <v>1.5999999999999996</v>
      </c>
      <c r="BS114" s="14">
        <v>0.96000000000000085</v>
      </c>
      <c r="BT114" s="14">
        <v>3.6000000000000014</v>
      </c>
      <c r="BU114" s="14">
        <v>0.59999999999999964</v>
      </c>
      <c r="BV114" s="14">
        <v>1.8599999999999994</v>
      </c>
      <c r="BW114" s="14">
        <v>42.599999999999994</v>
      </c>
      <c r="BX114" s="14">
        <v>0.59999999999999964</v>
      </c>
      <c r="BY114" s="48">
        <v>-8.18</v>
      </c>
      <c r="BZ114" s="14">
        <v>-23.6</v>
      </c>
      <c r="CA114" s="14">
        <v>-0.79999999999999982</v>
      </c>
      <c r="CB114" s="14">
        <v>4</v>
      </c>
      <c r="CC114" s="14">
        <v>2.6</v>
      </c>
      <c r="CD114" s="14">
        <v>-6.8000000000000007</v>
      </c>
      <c r="CE114" s="14">
        <v>-1.3949938949938956E-2</v>
      </c>
      <c r="CF114" s="14">
        <v>3.304639804639805E-2</v>
      </c>
      <c r="CG114" s="14">
        <v>-3.6190476190476217E-2</v>
      </c>
      <c r="CH114" s="14">
        <v>1.6</v>
      </c>
      <c r="CI114" s="14">
        <v>1.7999999999999972</v>
      </c>
      <c r="CJ114" s="14">
        <v>-4</v>
      </c>
      <c r="CK114" s="14">
        <v>-2</v>
      </c>
      <c r="CL114" s="14">
        <v>-2.7999999999999972</v>
      </c>
      <c r="CM114" s="14">
        <v>-1.8000000000000007</v>
      </c>
      <c r="CN114" s="14">
        <v>-1.4</v>
      </c>
      <c r="CO114" s="14">
        <v>31</v>
      </c>
      <c r="CP114" s="14">
        <v>81.800000000000011</v>
      </c>
      <c r="CQ114" s="14">
        <v>-38.599999999999994</v>
      </c>
      <c r="CR114" s="14">
        <v>-3.5999999999999996</v>
      </c>
      <c r="CS114" s="14">
        <v>-8.6000000000000014</v>
      </c>
      <c r="CT114" t="s">
        <v>277</v>
      </c>
      <c r="CU114" t="s">
        <v>528</v>
      </c>
    </row>
    <row r="115" spans="1:99" x14ac:dyDescent="0.2">
      <c r="A115" s="19">
        <v>44108</v>
      </c>
      <c r="B115">
        <v>4</v>
      </c>
      <c r="C115" s="13" t="s">
        <v>417</v>
      </c>
      <c r="D115" s="41" t="s">
        <v>298</v>
      </c>
      <c r="E115" s="14" t="s">
        <v>278</v>
      </c>
      <c r="F115" t="s">
        <v>618</v>
      </c>
      <c r="G115">
        <v>23.6</v>
      </c>
      <c r="H115" t="s">
        <v>620</v>
      </c>
      <c r="I115">
        <v>4.5999999999999996</v>
      </c>
      <c r="J115">
        <v>13</v>
      </c>
      <c r="K115">
        <v>30</v>
      </c>
      <c r="L115">
        <v>2</v>
      </c>
      <c r="M115" t="s">
        <v>619</v>
      </c>
      <c r="N115">
        <v>3.1</v>
      </c>
      <c r="O115">
        <v>0</v>
      </c>
      <c r="P115">
        <v>0</v>
      </c>
      <c r="Q115">
        <v>3</v>
      </c>
      <c r="R115" t="s">
        <v>26</v>
      </c>
      <c r="S115">
        <v>20.399999999999999</v>
      </c>
      <c r="T115">
        <v>104</v>
      </c>
      <c r="U115">
        <v>10</v>
      </c>
      <c r="V115" t="s">
        <v>624</v>
      </c>
      <c r="W115">
        <v>15.1</v>
      </c>
      <c r="X115">
        <v>81</v>
      </c>
      <c r="Y115">
        <v>9</v>
      </c>
      <c r="Z115" t="s">
        <v>626</v>
      </c>
      <c r="AA115">
        <v>6.3</v>
      </c>
      <c r="AB115">
        <v>23</v>
      </c>
      <c r="AC115">
        <v>8</v>
      </c>
      <c r="AD115">
        <v>14.9</v>
      </c>
      <c r="AE115">
        <v>79</v>
      </c>
      <c r="AF115">
        <v>13</v>
      </c>
      <c r="AG115" t="s">
        <v>433</v>
      </c>
      <c r="AH115">
        <v>2.1</v>
      </c>
      <c r="AI115">
        <v>11</v>
      </c>
      <c r="AJ115">
        <v>3</v>
      </c>
      <c r="AK115">
        <v>18</v>
      </c>
      <c r="AL115">
        <v>5</v>
      </c>
      <c r="AM115">
        <v>8</v>
      </c>
      <c r="AN115" s="21">
        <v>0.41509433962264153</v>
      </c>
      <c r="AO115" s="21">
        <v>0.11320754716981132</v>
      </c>
      <c r="AP115" s="21">
        <v>0.7</v>
      </c>
      <c r="AQ115" s="35">
        <v>6</v>
      </c>
      <c r="AR115" s="35">
        <v>44</v>
      </c>
      <c r="AS115" s="35">
        <v>18</v>
      </c>
      <c r="AT115" s="35">
        <v>6</v>
      </c>
      <c r="AU115" s="35">
        <v>74</v>
      </c>
      <c r="AV115" s="35">
        <v>21</v>
      </c>
      <c r="AW115" s="35">
        <v>7</v>
      </c>
      <c r="AX115">
        <v>375</v>
      </c>
      <c r="AY115" s="35">
        <v>246</v>
      </c>
      <c r="AZ115" s="35">
        <v>45</v>
      </c>
      <c r="BA115" s="35">
        <v>0</v>
      </c>
      <c r="BB115" s="35">
        <v>84</v>
      </c>
      <c r="BC115" t="s">
        <v>278</v>
      </c>
      <c r="BD115" s="14">
        <v>1.0500000000000043</v>
      </c>
      <c r="BE115" s="14">
        <v>-8.4749999999999996</v>
      </c>
      <c r="BF115" s="14">
        <v>1.5</v>
      </c>
      <c r="BG115" s="14">
        <v>-19.25</v>
      </c>
      <c r="BH115" s="14">
        <v>-2.25</v>
      </c>
      <c r="BI115" s="14">
        <v>-0.15000000000000036</v>
      </c>
      <c r="BJ115" s="14">
        <v>-3.25</v>
      </c>
      <c r="BK115" s="14">
        <v>-8.5</v>
      </c>
      <c r="BL115" s="14">
        <v>1</v>
      </c>
      <c r="BM115" s="14">
        <v>4.07</v>
      </c>
      <c r="BN115" s="14">
        <v>37</v>
      </c>
      <c r="BO115" s="14">
        <v>1.25</v>
      </c>
      <c r="BP115" s="14">
        <v>3.1250000000000018</v>
      </c>
      <c r="BQ115" s="14">
        <v>38.75</v>
      </c>
      <c r="BR115" s="14">
        <v>2.75</v>
      </c>
      <c r="BS115" s="14">
        <v>-2.5500000000000016</v>
      </c>
      <c r="BT115" s="14">
        <v>-25.5</v>
      </c>
      <c r="BU115" s="14">
        <v>3.5</v>
      </c>
      <c r="BV115" s="14">
        <v>-0.74999999999999822</v>
      </c>
      <c r="BW115" s="14">
        <v>0</v>
      </c>
      <c r="BX115" s="14">
        <v>3.75</v>
      </c>
      <c r="BY115" s="48">
        <v>-4.4000000000000004</v>
      </c>
      <c r="BZ115" s="14">
        <v>-24</v>
      </c>
      <c r="CA115" s="14">
        <v>-1.5</v>
      </c>
      <c r="CB115" s="14">
        <v>8</v>
      </c>
      <c r="CC115" s="14">
        <v>2.5</v>
      </c>
      <c r="CD115" s="14">
        <v>-3.5</v>
      </c>
      <c r="CE115" s="14">
        <v>0.10554621929305547</v>
      </c>
      <c r="CF115" s="14">
        <v>3.5508157473758017E-2</v>
      </c>
      <c r="CG115" s="14">
        <v>0.13214285714285712</v>
      </c>
      <c r="CH115" s="14">
        <v>-1.25</v>
      </c>
      <c r="CI115" s="14">
        <v>7</v>
      </c>
      <c r="CJ115" s="14">
        <v>0</v>
      </c>
      <c r="CK115" s="14">
        <v>0</v>
      </c>
      <c r="CL115" s="14">
        <v>9.25</v>
      </c>
      <c r="CM115" s="14">
        <v>0.25</v>
      </c>
      <c r="CN115" s="14">
        <v>4.25</v>
      </c>
      <c r="CO115" s="14">
        <v>16.5</v>
      </c>
      <c r="CP115" s="14">
        <v>-6.75</v>
      </c>
      <c r="CQ115" s="14">
        <v>-21.25</v>
      </c>
      <c r="CR115" s="14">
        <v>0</v>
      </c>
      <c r="CS115" s="14">
        <v>44.5</v>
      </c>
      <c r="CT115" t="s">
        <v>240</v>
      </c>
      <c r="CU115" t="s">
        <v>540</v>
      </c>
    </row>
    <row r="116" spans="1:99" x14ac:dyDescent="0.2">
      <c r="A116" s="19">
        <v>44108</v>
      </c>
      <c r="B116">
        <v>4</v>
      </c>
      <c r="C116" s="13" t="s">
        <v>417</v>
      </c>
      <c r="D116" s="41" t="s">
        <v>299</v>
      </c>
      <c r="E116" s="14" t="s">
        <v>307</v>
      </c>
      <c r="F116" t="s">
        <v>631</v>
      </c>
      <c r="G116">
        <v>23.34</v>
      </c>
      <c r="H116" t="s">
        <v>633</v>
      </c>
      <c r="I116">
        <v>9.6</v>
      </c>
      <c r="J116">
        <v>11</v>
      </c>
      <c r="K116">
        <v>36</v>
      </c>
      <c r="L116">
        <v>2</v>
      </c>
      <c r="M116" t="s">
        <v>632</v>
      </c>
      <c r="N116">
        <v>15.2</v>
      </c>
      <c r="O116">
        <v>4</v>
      </c>
      <c r="P116">
        <v>22</v>
      </c>
      <c r="Q116">
        <v>4</v>
      </c>
      <c r="R116" t="s">
        <v>156</v>
      </c>
      <c r="S116">
        <v>16.2</v>
      </c>
      <c r="T116">
        <v>62</v>
      </c>
      <c r="U116">
        <v>8</v>
      </c>
      <c r="V116" t="s">
        <v>98</v>
      </c>
      <c r="W116">
        <v>7.7</v>
      </c>
      <c r="X116">
        <v>57</v>
      </c>
      <c r="Y116">
        <v>3</v>
      </c>
      <c r="Z116" t="s">
        <v>55</v>
      </c>
      <c r="AA116">
        <v>1.9</v>
      </c>
      <c r="AB116">
        <v>9</v>
      </c>
      <c r="AC116">
        <v>2</v>
      </c>
      <c r="AD116">
        <v>15.6</v>
      </c>
      <c r="AE116">
        <v>66</v>
      </c>
      <c r="AF116">
        <v>6</v>
      </c>
      <c r="AG116" t="s">
        <v>634</v>
      </c>
      <c r="AH116">
        <v>10.9</v>
      </c>
      <c r="AI116">
        <v>9</v>
      </c>
      <c r="AJ116">
        <v>4</v>
      </c>
      <c r="AK116">
        <v>3</v>
      </c>
      <c r="AL116">
        <v>0</v>
      </c>
      <c r="AM116">
        <v>0</v>
      </c>
      <c r="AN116" s="21">
        <v>0.3611111111111111</v>
      </c>
      <c r="AO116" s="21">
        <v>8.3333333333333329E-2</v>
      </c>
      <c r="AP116" s="21">
        <v>0.5</v>
      </c>
      <c r="AQ116" s="35">
        <v>4</v>
      </c>
      <c r="AR116" s="35">
        <v>31</v>
      </c>
      <c r="AS116" s="35">
        <v>18</v>
      </c>
      <c r="AT116" s="35">
        <v>3</v>
      </c>
      <c r="AU116" s="35">
        <v>56</v>
      </c>
      <c r="AV116" s="35">
        <v>29</v>
      </c>
      <c r="AW116" s="35">
        <v>0</v>
      </c>
      <c r="AX116">
        <v>296</v>
      </c>
      <c r="AY116" s="35">
        <v>206</v>
      </c>
      <c r="AZ116" s="35">
        <v>67</v>
      </c>
      <c r="BA116" s="35">
        <v>2</v>
      </c>
      <c r="BB116" s="35">
        <v>21</v>
      </c>
      <c r="BC116" t="s">
        <v>307</v>
      </c>
      <c r="BD116" s="14">
        <v>-1.129999999999999</v>
      </c>
      <c r="BE116" s="14">
        <v>-3.9250000000000007</v>
      </c>
      <c r="BF116" s="14">
        <v>-6.25</v>
      </c>
      <c r="BG116" s="14">
        <v>-30</v>
      </c>
      <c r="BH116" s="14">
        <v>-1.75</v>
      </c>
      <c r="BI116" s="14">
        <v>7.2249999999999996</v>
      </c>
      <c r="BJ116" s="14">
        <v>-0.5</v>
      </c>
      <c r="BK116" s="14">
        <v>1.5</v>
      </c>
      <c r="BL116" s="14">
        <v>2.25</v>
      </c>
      <c r="BM116" s="14">
        <v>1.7249999999999996</v>
      </c>
      <c r="BN116" s="14">
        <v>1.75</v>
      </c>
      <c r="BO116" s="14">
        <v>2.75</v>
      </c>
      <c r="BP116" s="14">
        <v>-4.45</v>
      </c>
      <c r="BQ116" s="14">
        <v>10.5</v>
      </c>
      <c r="BR116" s="14">
        <v>-1</v>
      </c>
      <c r="BS116" s="14">
        <v>-1.6250000000000004</v>
      </c>
      <c r="BT116" s="14">
        <v>-14.75</v>
      </c>
      <c r="BU116" s="14">
        <v>-0.25</v>
      </c>
      <c r="BV116" s="14">
        <v>2.4999999999998579E-2</v>
      </c>
      <c r="BW116" s="14">
        <v>7.75</v>
      </c>
      <c r="BX116" s="14">
        <v>-1.25</v>
      </c>
      <c r="BY116" s="48">
        <v>-6.7750000000000004</v>
      </c>
      <c r="BZ116" s="14">
        <v>-37.75</v>
      </c>
      <c r="CA116" s="14">
        <v>-4.25</v>
      </c>
      <c r="CB116" s="14">
        <v>-5.25</v>
      </c>
      <c r="CC116" s="14">
        <v>-1.5</v>
      </c>
      <c r="CD116" s="14">
        <v>-2</v>
      </c>
      <c r="CE116" s="14">
        <v>-1.9008919357216547E-2</v>
      </c>
      <c r="CF116" s="14">
        <v>1.7553073861123383E-2</v>
      </c>
      <c r="CG116" s="14">
        <v>-9.8901098901098883E-2</v>
      </c>
      <c r="CH116" s="14">
        <v>2</v>
      </c>
      <c r="CI116" s="14">
        <v>-2.75</v>
      </c>
      <c r="CJ116" s="14">
        <v>-6.75</v>
      </c>
      <c r="CK116" s="14">
        <v>0</v>
      </c>
      <c r="CL116" s="14">
        <v>-9</v>
      </c>
      <c r="CM116" s="14">
        <v>-2.75</v>
      </c>
      <c r="CN116" s="14">
        <v>0</v>
      </c>
      <c r="CO116" s="14">
        <v>-67</v>
      </c>
      <c r="CP116" s="14">
        <v>-53.25</v>
      </c>
      <c r="CQ116" s="14">
        <v>-25</v>
      </c>
      <c r="CR116" s="14">
        <v>1.25</v>
      </c>
      <c r="CS116" s="14">
        <v>10</v>
      </c>
      <c r="CT116" t="s">
        <v>269</v>
      </c>
      <c r="CU116" t="s">
        <v>457</v>
      </c>
    </row>
    <row r="117" spans="1:99" x14ac:dyDescent="0.2">
      <c r="A117" s="19">
        <v>44108</v>
      </c>
      <c r="B117">
        <v>4</v>
      </c>
      <c r="C117" s="13" t="s">
        <v>417</v>
      </c>
      <c r="D117" s="41" t="s">
        <v>300</v>
      </c>
      <c r="E117" s="14" t="s">
        <v>295</v>
      </c>
      <c r="F117" t="s">
        <v>637</v>
      </c>
      <c r="G117">
        <v>32.58</v>
      </c>
      <c r="H117" t="s">
        <v>642</v>
      </c>
      <c r="I117">
        <v>22.1</v>
      </c>
      <c r="J117">
        <v>15</v>
      </c>
      <c r="K117">
        <v>71</v>
      </c>
      <c r="L117">
        <v>5</v>
      </c>
      <c r="M117" t="s">
        <v>638</v>
      </c>
      <c r="N117">
        <v>18.5</v>
      </c>
      <c r="O117">
        <v>8</v>
      </c>
      <c r="P117">
        <v>10</v>
      </c>
      <c r="Q117">
        <v>8</v>
      </c>
      <c r="R117" t="s">
        <v>58</v>
      </c>
      <c r="S117">
        <v>8.5</v>
      </c>
      <c r="T117">
        <v>45</v>
      </c>
      <c r="U117">
        <v>8</v>
      </c>
      <c r="V117" t="s">
        <v>643</v>
      </c>
      <c r="W117">
        <v>4.0999999999999996</v>
      </c>
      <c r="X117">
        <v>21</v>
      </c>
      <c r="Y117">
        <v>3</v>
      </c>
      <c r="Z117" t="s">
        <v>640</v>
      </c>
      <c r="AA117">
        <v>3</v>
      </c>
      <c r="AB117">
        <v>20</v>
      </c>
      <c r="AC117">
        <v>1</v>
      </c>
      <c r="AD117">
        <v>22.8</v>
      </c>
      <c r="AE117">
        <v>58</v>
      </c>
      <c r="AF117">
        <v>5</v>
      </c>
      <c r="AG117" t="s">
        <v>641</v>
      </c>
      <c r="AH117">
        <v>33.799999999999997</v>
      </c>
      <c r="AI117">
        <v>98</v>
      </c>
      <c r="AJ117">
        <v>6</v>
      </c>
      <c r="AK117">
        <v>7</v>
      </c>
      <c r="AL117">
        <v>1</v>
      </c>
      <c r="AM117">
        <v>5</v>
      </c>
      <c r="AN117" s="21">
        <v>0.2</v>
      </c>
      <c r="AO117" s="21">
        <v>2.8571428571428571E-2</v>
      </c>
      <c r="AP117" s="21">
        <v>0.6</v>
      </c>
      <c r="AQ117" s="35">
        <v>0</v>
      </c>
      <c r="AR117" s="35">
        <v>33</v>
      </c>
      <c r="AS117" s="35">
        <v>29</v>
      </c>
      <c r="AT117" s="35">
        <v>2</v>
      </c>
      <c r="AU117" s="35">
        <v>60</v>
      </c>
      <c r="AV117" s="35">
        <v>30</v>
      </c>
      <c r="AW117" s="35">
        <v>0</v>
      </c>
      <c r="AX117">
        <v>415</v>
      </c>
      <c r="AY117" s="35">
        <v>327</v>
      </c>
      <c r="AZ117" s="35">
        <v>84</v>
      </c>
      <c r="BA117" s="35">
        <v>0</v>
      </c>
      <c r="BB117" s="35">
        <v>4</v>
      </c>
      <c r="BC117" t="s">
        <v>295</v>
      </c>
      <c r="BD117" s="14">
        <v>-0.37199999999999989</v>
      </c>
      <c r="BE117" s="14">
        <v>4.7800000000000011</v>
      </c>
      <c r="BF117" s="14">
        <v>-0.40000000000000036</v>
      </c>
      <c r="BG117" s="14">
        <v>7</v>
      </c>
      <c r="BH117" s="14">
        <v>-0.40000000000000036</v>
      </c>
      <c r="BI117" s="14">
        <v>12.66</v>
      </c>
      <c r="BJ117" s="14">
        <v>5.2</v>
      </c>
      <c r="BK117" s="14">
        <v>2.4000000000000004</v>
      </c>
      <c r="BL117" s="14">
        <v>4.8</v>
      </c>
      <c r="BM117" s="14">
        <v>-10.580000000000002</v>
      </c>
      <c r="BN117" s="14">
        <v>-41.2</v>
      </c>
      <c r="BO117" s="14">
        <v>-1.5999999999999996</v>
      </c>
      <c r="BP117" s="14">
        <v>-15.799999999999999</v>
      </c>
      <c r="BQ117" s="14">
        <v>-64.400000000000006</v>
      </c>
      <c r="BR117" s="14">
        <v>-3.5999999999999996</v>
      </c>
      <c r="BS117" s="14">
        <v>-2.88</v>
      </c>
      <c r="BT117" s="14">
        <v>-9.1999999999999993</v>
      </c>
      <c r="BU117" s="14">
        <v>-3.4000000000000004</v>
      </c>
      <c r="BV117" s="14">
        <v>-2.6799999999999997</v>
      </c>
      <c r="BW117" s="14">
        <v>-50.8</v>
      </c>
      <c r="BX117" s="14">
        <v>-6.8000000000000007</v>
      </c>
      <c r="BY117" s="48">
        <v>15.379999999999999</v>
      </c>
      <c r="BZ117" s="14">
        <v>37.799999999999997</v>
      </c>
      <c r="CA117" s="14">
        <v>-0.20000000000000018</v>
      </c>
      <c r="CB117" s="14">
        <v>0</v>
      </c>
      <c r="CC117" s="14">
        <v>-0.60000000000000009</v>
      </c>
      <c r="CD117" s="14">
        <v>2.8</v>
      </c>
      <c r="CE117" s="14">
        <v>-6.367937167937171E-2</v>
      </c>
      <c r="CF117" s="14">
        <v>6.0443300443300436E-3</v>
      </c>
      <c r="CG117" s="14">
        <v>-5.5714285714285605E-2</v>
      </c>
      <c r="CH117" s="14">
        <v>-3</v>
      </c>
      <c r="CI117" s="14">
        <v>-8</v>
      </c>
      <c r="CJ117" s="14">
        <v>8.8000000000000007</v>
      </c>
      <c r="CK117" s="14">
        <v>-0.79999999999999982</v>
      </c>
      <c r="CL117" s="14">
        <v>-6.5999999999999943</v>
      </c>
      <c r="CM117" s="14">
        <v>0.80000000000000071</v>
      </c>
      <c r="CN117" s="14">
        <v>0</v>
      </c>
      <c r="CO117" s="14">
        <v>-34.600000000000023</v>
      </c>
      <c r="CP117" s="14">
        <v>-22.800000000000011</v>
      </c>
      <c r="CQ117" s="14">
        <v>10.400000000000006</v>
      </c>
      <c r="CR117" s="14">
        <v>-12.8</v>
      </c>
      <c r="CS117" s="14">
        <v>-9.4</v>
      </c>
      <c r="CT117" t="s">
        <v>280</v>
      </c>
      <c r="CU117" t="s">
        <v>489</v>
      </c>
    </row>
    <row r="118" spans="1:99" x14ac:dyDescent="0.2">
      <c r="A118" s="19">
        <v>44108</v>
      </c>
      <c r="B118">
        <v>4</v>
      </c>
      <c r="C118" s="13" t="s">
        <v>417</v>
      </c>
      <c r="D118" s="41" t="s">
        <v>301</v>
      </c>
      <c r="E118" s="14" t="s">
        <v>285</v>
      </c>
      <c r="F118" t="s">
        <v>645</v>
      </c>
      <c r="G118">
        <v>27.24</v>
      </c>
      <c r="H118" t="s">
        <v>646</v>
      </c>
      <c r="I118">
        <v>22.1</v>
      </c>
      <c r="J118">
        <v>16</v>
      </c>
      <c r="K118">
        <v>84</v>
      </c>
      <c r="L118">
        <v>6</v>
      </c>
      <c r="M118" t="s">
        <v>650</v>
      </c>
      <c r="N118">
        <v>15.1</v>
      </c>
      <c r="O118">
        <v>10</v>
      </c>
      <c r="P118">
        <v>53</v>
      </c>
      <c r="Q118">
        <v>2</v>
      </c>
      <c r="R118" t="s">
        <v>27</v>
      </c>
      <c r="S118">
        <v>17.899999999999999</v>
      </c>
      <c r="T118">
        <v>99</v>
      </c>
      <c r="U118">
        <v>11</v>
      </c>
      <c r="V118" t="s">
        <v>85</v>
      </c>
      <c r="W118">
        <v>8.9</v>
      </c>
      <c r="X118">
        <v>49</v>
      </c>
      <c r="Y118">
        <v>6</v>
      </c>
      <c r="Z118" t="s">
        <v>49</v>
      </c>
      <c r="AA118">
        <v>7.8</v>
      </c>
      <c r="AB118">
        <v>51</v>
      </c>
      <c r="AC118">
        <v>4</v>
      </c>
      <c r="AD118">
        <v>30</v>
      </c>
      <c r="AE118">
        <v>140</v>
      </c>
      <c r="AF118">
        <v>14</v>
      </c>
      <c r="AG118" t="s">
        <v>167</v>
      </c>
      <c r="AH118">
        <v>8.5</v>
      </c>
      <c r="AI118">
        <v>5</v>
      </c>
      <c r="AJ118">
        <v>5</v>
      </c>
      <c r="AK118">
        <v>6</v>
      </c>
      <c r="AL118">
        <v>2</v>
      </c>
      <c r="AM118">
        <v>3</v>
      </c>
      <c r="AN118" s="21">
        <v>0.125</v>
      </c>
      <c r="AO118" s="21">
        <v>0</v>
      </c>
      <c r="AP118" s="21">
        <v>0.5</v>
      </c>
      <c r="AQ118" s="35">
        <v>1</v>
      </c>
      <c r="AR118" s="35">
        <v>37</v>
      </c>
      <c r="AS118" s="35">
        <v>27</v>
      </c>
      <c r="AT118" s="35">
        <v>6</v>
      </c>
      <c r="AU118" s="35">
        <v>72</v>
      </c>
      <c r="AV118" s="35">
        <v>31</v>
      </c>
      <c r="AW118" s="35">
        <v>0</v>
      </c>
      <c r="AX118">
        <v>444</v>
      </c>
      <c r="AY118" s="35">
        <v>276</v>
      </c>
      <c r="AZ118" s="35">
        <v>139</v>
      </c>
      <c r="BA118" s="35">
        <v>-3</v>
      </c>
      <c r="BB118" s="35">
        <v>32</v>
      </c>
      <c r="BC118" t="s">
        <v>285</v>
      </c>
      <c r="BD118" s="14">
        <v>10.18</v>
      </c>
      <c r="BE118" s="14">
        <v>9.0000000000000018</v>
      </c>
      <c r="BF118" s="14">
        <v>0.80000000000000071</v>
      </c>
      <c r="BG118" s="14">
        <v>19.400000000000006</v>
      </c>
      <c r="BH118" s="14">
        <v>2</v>
      </c>
      <c r="BI118" s="14">
        <v>8.42</v>
      </c>
      <c r="BJ118" s="14">
        <v>2</v>
      </c>
      <c r="BK118" s="14">
        <v>16.399999999999999</v>
      </c>
      <c r="BL118" s="14">
        <v>0.60000000000000009</v>
      </c>
      <c r="BM118" s="14">
        <v>-4.8200000000000038</v>
      </c>
      <c r="BN118" s="14">
        <v>3.7999999999999972</v>
      </c>
      <c r="BO118" s="14">
        <v>1.4000000000000004</v>
      </c>
      <c r="BP118" s="14">
        <v>0.30000000000000071</v>
      </c>
      <c r="BQ118" s="14">
        <v>1</v>
      </c>
      <c r="BR118" s="14">
        <v>-1</v>
      </c>
      <c r="BS118" s="14">
        <v>3.34</v>
      </c>
      <c r="BT118" s="14">
        <v>27.8</v>
      </c>
      <c r="BU118" s="14">
        <v>0.20000000000000018</v>
      </c>
      <c r="BV118" s="14">
        <v>5.4199999999999982</v>
      </c>
      <c r="BW118" s="14">
        <v>34.200000000000003</v>
      </c>
      <c r="BX118" s="14">
        <v>0.19999999999999929</v>
      </c>
      <c r="BY118" s="48">
        <v>1.2400000000000002</v>
      </c>
      <c r="BZ118" s="14">
        <v>-23.6</v>
      </c>
      <c r="CA118" s="14">
        <v>-0.79999999999999982</v>
      </c>
      <c r="CB118" s="14">
        <v>0</v>
      </c>
      <c r="CC118" s="14">
        <v>0</v>
      </c>
      <c r="CD118" s="14">
        <v>0.39999999999999991</v>
      </c>
      <c r="CE118" s="14">
        <v>-0.15997915257504908</v>
      </c>
      <c r="CF118" s="14">
        <v>-6.4335676217924215E-2</v>
      </c>
      <c r="CG118" s="14">
        <v>-0.20222222222222219</v>
      </c>
      <c r="CH118" s="14">
        <v>-6.2</v>
      </c>
      <c r="CI118" s="14">
        <v>-0.60000000000000142</v>
      </c>
      <c r="CJ118" s="14">
        <v>2.8000000000000007</v>
      </c>
      <c r="CK118" s="14">
        <v>3.2</v>
      </c>
      <c r="CL118" s="14">
        <v>3.5999999999999943</v>
      </c>
      <c r="CM118" s="14">
        <v>12.600000000000001</v>
      </c>
      <c r="CN118" s="14">
        <v>0</v>
      </c>
      <c r="CO118" s="14">
        <v>79</v>
      </c>
      <c r="CP118" s="14">
        <v>30</v>
      </c>
      <c r="CQ118" s="14">
        <v>34.599999999999994</v>
      </c>
      <c r="CR118" s="14">
        <v>-5.4</v>
      </c>
      <c r="CS118" s="14">
        <v>19.8</v>
      </c>
      <c r="CT118" t="s">
        <v>249</v>
      </c>
      <c r="CU118" t="s">
        <v>452</v>
      </c>
    </row>
    <row r="119" spans="1:99" x14ac:dyDescent="0.2">
      <c r="A119" s="19">
        <v>44108</v>
      </c>
      <c r="B119">
        <v>4</v>
      </c>
      <c r="C119" s="13" t="s">
        <v>417</v>
      </c>
      <c r="D119" s="41" t="s">
        <v>302</v>
      </c>
      <c r="E119" s="14" t="s">
        <v>288</v>
      </c>
      <c r="F119" t="s">
        <v>659</v>
      </c>
      <c r="G119">
        <v>8.6999999999999993</v>
      </c>
      <c r="H119" t="s">
        <v>657</v>
      </c>
      <c r="I119">
        <v>12.9</v>
      </c>
      <c r="J119">
        <v>3</v>
      </c>
      <c r="K119">
        <v>21</v>
      </c>
      <c r="L119">
        <v>8</v>
      </c>
      <c r="M119" t="s">
        <v>653</v>
      </c>
      <c r="N119">
        <v>13</v>
      </c>
      <c r="O119">
        <v>17</v>
      </c>
      <c r="P119">
        <v>100</v>
      </c>
      <c r="Q119">
        <v>0</v>
      </c>
      <c r="R119" t="s">
        <v>159</v>
      </c>
      <c r="S119">
        <v>6.5</v>
      </c>
      <c r="T119">
        <v>35</v>
      </c>
      <c r="U119">
        <v>6</v>
      </c>
      <c r="V119" t="s">
        <v>658</v>
      </c>
      <c r="W119">
        <v>11.1</v>
      </c>
      <c r="X119">
        <v>21</v>
      </c>
      <c r="Y119">
        <v>6</v>
      </c>
      <c r="Z119" t="s">
        <v>73</v>
      </c>
      <c r="AA119">
        <v>13</v>
      </c>
      <c r="AB119">
        <v>80</v>
      </c>
      <c r="AC119">
        <v>10</v>
      </c>
      <c r="AD119">
        <v>13.9</v>
      </c>
      <c r="AE119">
        <v>79</v>
      </c>
      <c r="AF119">
        <v>9</v>
      </c>
      <c r="AG119" t="s">
        <v>656</v>
      </c>
      <c r="AH119">
        <v>0</v>
      </c>
      <c r="AI119">
        <v>0</v>
      </c>
      <c r="AJ119">
        <v>3</v>
      </c>
      <c r="AK119">
        <v>5</v>
      </c>
      <c r="AL119">
        <v>1</v>
      </c>
      <c r="AM119">
        <v>4</v>
      </c>
      <c r="AN119" s="21">
        <v>0.31707317073170732</v>
      </c>
      <c r="AO119" s="21">
        <v>4.878048780487805E-2</v>
      </c>
      <c r="AP119" s="21">
        <v>0.75</v>
      </c>
      <c r="AQ119" s="35">
        <v>20</v>
      </c>
      <c r="AR119" s="35">
        <v>37</v>
      </c>
      <c r="AS119" s="35">
        <v>31</v>
      </c>
      <c r="AT119" s="35">
        <v>3</v>
      </c>
      <c r="AU119" s="35">
        <v>74</v>
      </c>
      <c r="AV119" s="35">
        <v>10</v>
      </c>
      <c r="AW119" s="35">
        <v>0</v>
      </c>
      <c r="AX119">
        <v>375</v>
      </c>
      <c r="AY119" s="35">
        <v>190</v>
      </c>
      <c r="AZ119" s="35">
        <v>166</v>
      </c>
      <c r="BA119" s="35">
        <v>8</v>
      </c>
      <c r="BB119" s="35">
        <v>11</v>
      </c>
      <c r="BC119" t="s">
        <v>288</v>
      </c>
      <c r="BD119" s="14">
        <v>-10.135999999999999</v>
      </c>
      <c r="BE119" s="14">
        <v>0.35999999999999943</v>
      </c>
      <c r="BF119" s="14">
        <v>-8.8000000000000007</v>
      </c>
      <c r="BG119" s="14">
        <v>-29.6</v>
      </c>
      <c r="BH119" s="14">
        <v>4.5999999999999996</v>
      </c>
      <c r="BI119" s="14">
        <v>4.3199999999999985</v>
      </c>
      <c r="BJ119" s="14">
        <v>6.4</v>
      </c>
      <c r="BK119" s="14">
        <v>51.6</v>
      </c>
      <c r="BL119" s="14">
        <v>-1.4</v>
      </c>
      <c r="BM119" s="14">
        <v>-6.6600000000000019</v>
      </c>
      <c r="BN119" s="14">
        <v>-26.6</v>
      </c>
      <c r="BO119" s="14">
        <v>-0.59999999999999964</v>
      </c>
      <c r="BP119" s="14">
        <v>0.61999999999999922</v>
      </c>
      <c r="BQ119" s="14">
        <v>-9.8000000000000007</v>
      </c>
      <c r="BR119" s="14">
        <v>1.5999999999999996</v>
      </c>
      <c r="BS119" s="14">
        <v>6.8600000000000012</v>
      </c>
      <c r="BT119" s="14">
        <v>50.6</v>
      </c>
      <c r="BU119" s="14">
        <v>6.8</v>
      </c>
      <c r="BV119" s="14">
        <v>2.3800000000000008</v>
      </c>
      <c r="BW119" s="14">
        <v>23.799999999999997</v>
      </c>
      <c r="BX119" s="14">
        <v>0.40000000000000036</v>
      </c>
      <c r="BY119" s="48">
        <v>-7.4</v>
      </c>
      <c r="BZ119" s="14">
        <v>-32</v>
      </c>
      <c r="CA119" s="14">
        <v>-2.5999999999999996</v>
      </c>
      <c r="CB119" s="14">
        <v>-2.8</v>
      </c>
      <c r="CC119" s="14">
        <v>-0.8</v>
      </c>
      <c r="CD119" s="14">
        <v>-0.20000000000000018</v>
      </c>
      <c r="CE119" s="14">
        <v>-4.9797078258194627E-2</v>
      </c>
      <c r="CF119" s="14">
        <v>-6.0906840271410245E-4</v>
      </c>
      <c r="CG119" s="14">
        <v>8.4090909090909105E-2</v>
      </c>
      <c r="CH119" s="14">
        <v>13.2</v>
      </c>
      <c r="CI119" s="14">
        <v>5.8000000000000007</v>
      </c>
      <c r="CJ119" s="14">
        <v>5.3999999999999986</v>
      </c>
      <c r="CK119" s="14">
        <v>-2.5999999999999996</v>
      </c>
      <c r="CL119" s="14">
        <v>9.4000000000000057</v>
      </c>
      <c r="CM119" s="14">
        <v>-10</v>
      </c>
      <c r="CN119" s="14">
        <v>-1.4</v>
      </c>
      <c r="CO119" s="14">
        <v>10.800000000000011</v>
      </c>
      <c r="CP119" s="14">
        <v>-23.400000000000006</v>
      </c>
      <c r="CQ119" s="14">
        <v>49.400000000000006</v>
      </c>
      <c r="CR119" s="14">
        <v>4.8</v>
      </c>
      <c r="CS119" s="14">
        <v>-20</v>
      </c>
      <c r="CT119" t="s">
        <v>270</v>
      </c>
      <c r="CU119" t="s">
        <v>508</v>
      </c>
    </row>
    <row r="120" spans="1:99" x14ac:dyDescent="0.2">
      <c r="A120" s="19">
        <v>44108</v>
      </c>
      <c r="B120">
        <v>4</v>
      </c>
      <c r="C120" s="13" t="s">
        <v>417</v>
      </c>
      <c r="D120" s="41" t="s">
        <v>303</v>
      </c>
      <c r="E120" s="14" t="s">
        <v>276</v>
      </c>
      <c r="F120" t="s">
        <v>661</v>
      </c>
      <c r="G120">
        <v>24.44</v>
      </c>
      <c r="H120" t="s">
        <v>662</v>
      </c>
      <c r="I120">
        <v>10.3</v>
      </c>
      <c r="J120">
        <v>15</v>
      </c>
      <c r="K120">
        <v>48</v>
      </c>
      <c r="L120">
        <v>4</v>
      </c>
      <c r="M120" t="s">
        <v>665</v>
      </c>
      <c r="N120">
        <v>3.6</v>
      </c>
      <c r="O120">
        <v>1</v>
      </c>
      <c r="P120">
        <v>6</v>
      </c>
      <c r="Q120">
        <v>4</v>
      </c>
      <c r="R120" t="s">
        <v>79</v>
      </c>
      <c r="S120">
        <v>10.7</v>
      </c>
      <c r="T120">
        <v>57</v>
      </c>
      <c r="U120">
        <v>8</v>
      </c>
      <c r="V120" t="s">
        <v>10</v>
      </c>
      <c r="W120">
        <v>14.4</v>
      </c>
      <c r="X120">
        <v>44</v>
      </c>
      <c r="Y120">
        <v>4</v>
      </c>
      <c r="Z120" t="s">
        <v>435</v>
      </c>
      <c r="AA120">
        <v>7.2</v>
      </c>
      <c r="AB120">
        <v>32</v>
      </c>
      <c r="AC120">
        <v>6</v>
      </c>
      <c r="AD120">
        <v>23.6</v>
      </c>
      <c r="AE120">
        <v>86</v>
      </c>
      <c r="AF120">
        <v>11</v>
      </c>
      <c r="AG120" t="s">
        <v>107</v>
      </c>
      <c r="AH120">
        <v>16.8</v>
      </c>
      <c r="AI120">
        <v>88</v>
      </c>
      <c r="AJ120">
        <v>12</v>
      </c>
      <c r="AK120">
        <v>13</v>
      </c>
      <c r="AL120">
        <v>3</v>
      </c>
      <c r="AM120">
        <v>0</v>
      </c>
      <c r="AN120" s="21">
        <v>0.32</v>
      </c>
      <c r="AO120" s="21">
        <v>0.04</v>
      </c>
      <c r="AP120" s="21">
        <v>0.75</v>
      </c>
      <c r="AQ120">
        <v>6</v>
      </c>
      <c r="AR120" s="35">
        <v>44</v>
      </c>
      <c r="AS120" s="35">
        <v>19</v>
      </c>
      <c r="AT120" s="35">
        <v>4</v>
      </c>
      <c r="AU120" s="35">
        <v>69</v>
      </c>
      <c r="AV120" s="35">
        <v>23</v>
      </c>
      <c r="AW120" s="35">
        <v>0</v>
      </c>
      <c r="AX120" s="35">
        <v>397</v>
      </c>
      <c r="AY120" s="35">
        <v>311</v>
      </c>
      <c r="AZ120" s="35">
        <v>66</v>
      </c>
      <c r="BA120" s="35">
        <v>0</v>
      </c>
      <c r="BB120" s="35">
        <v>20</v>
      </c>
      <c r="BC120" t="s">
        <v>276</v>
      </c>
      <c r="BD120" s="14">
        <v>-0.27999999999999758</v>
      </c>
      <c r="BE120" s="14">
        <v>-7.6400000000000006</v>
      </c>
      <c r="BF120" s="14">
        <v>-2.3999999999999986</v>
      </c>
      <c r="BG120" s="14">
        <v>-37.200000000000003</v>
      </c>
      <c r="BH120" s="14">
        <v>0</v>
      </c>
      <c r="BI120" s="14">
        <v>-1.8199999999999998</v>
      </c>
      <c r="BJ120" s="14">
        <v>-4.5999999999999996</v>
      </c>
      <c r="BK120" s="14">
        <v>-10.600000000000001</v>
      </c>
      <c r="BL120" s="14">
        <v>2.4</v>
      </c>
      <c r="BM120" s="14">
        <v>-4.32</v>
      </c>
      <c r="BN120" s="14">
        <v>-0.20000000000000284</v>
      </c>
      <c r="BO120" s="14">
        <v>1.2000000000000002</v>
      </c>
      <c r="BP120" s="14">
        <v>-0.43999999999999773</v>
      </c>
      <c r="BQ120" s="14">
        <v>-20.400000000000006</v>
      </c>
      <c r="BR120" s="14">
        <v>-2.2000000000000002</v>
      </c>
      <c r="BS120" s="14">
        <v>2.4000000000000004</v>
      </c>
      <c r="BT120" s="14">
        <v>6</v>
      </c>
      <c r="BU120" s="14">
        <v>2.4</v>
      </c>
      <c r="BV120" s="14">
        <v>0.14000000000000057</v>
      </c>
      <c r="BW120" s="14">
        <v>-16.599999999999994</v>
      </c>
      <c r="BX120" s="14">
        <v>-1.1999999999999993</v>
      </c>
      <c r="BY120" s="48">
        <v>-2.8599999999999994</v>
      </c>
      <c r="BZ120" s="14">
        <v>15.400000000000006</v>
      </c>
      <c r="CA120" s="14">
        <v>4.2</v>
      </c>
      <c r="CB120" s="14">
        <v>4.4000000000000004</v>
      </c>
      <c r="CC120" s="14">
        <v>1.2</v>
      </c>
      <c r="CD120" s="14">
        <v>-3.4</v>
      </c>
      <c r="CE120" s="14">
        <v>2.2072523302124836E-2</v>
      </c>
      <c r="CF120" s="14">
        <v>3.1506140917905573E-3</v>
      </c>
      <c r="CG120" s="14">
        <v>2.3809523809523725E-3</v>
      </c>
      <c r="CH120" s="14">
        <v>3.6</v>
      </c>
      <c r="CI120" s="14">
        <v>8.6000000000000014</v>
      </c>
      <c r="CJ120" s="14">
        <v>-7</v>
      </c>
      <c r="CK120" s="14">
        <v>-0.59999999999999964</v>
      </c>
      <c r="CL120" s="14">
        <v>3.4000000000000057</v>
      </c>
      <c r="CM120" s="14">
        <v>-7.1999999999999993</v>
      </c>
      <c r="CN120" s="14">
        <v>0</v>
      </c>
      <c r="CO120" s="14">
        <v>-26.199999999999989</v>
      </c>
      <c r="CP120" s="14">
        <v>35</v>
      </c>
      <c r="CQ120" s="14">
        <v>-51.400000000000006</v>
      </c>
      <c r="CR120" s="14">
        <v>-7</v>
      </c>
      <c r="CS120" s="14">
        <v>-2.8000000000000007</v>
      </c>
      <c r="CT120" t="s">
        <v>261</v>
      </c>
      <c r="CU120" t="s">
        <v>455</v>
      </c>
    </row>
    <row r="121" spans="1:99" x14ac:dyDescent="0.2">
      <c r="A121" s="19">
        <v>44108</v>
      </c>
      <c r="B121">
        <v>4</v>
      </c>
      <c r="C121" s="13" t="s">
        <v>417</v>
      </c>
      <c r="D121" s="41" t="s">
        <v>304</v>
      </c>
      <c r="E121" s="14" t="s">
        <v>296</v>
      </c>
      <c r="F121" t="s">
        <v>666</v>
      </c>
      <c r="G121">
        <v>11.7</v>
      </c>
      <c r="H121" t="s">
        <v>668</v>
      </c>
      <c r="I121">
        <v>10.6</v>
      </c>
      <c r="J121">
        <v>9</v>
      </c>
      <c r="K121">
        <v>37</v>
      </c>
      <c r="L121">
        <v>6</v>
      </c>
      <c r="M121" t="s">
        <v>667</v>
      </c>
      <c r="N121">
        <v>4.8</v>
      </c>
      <c r="O121">
        <v>8</v>
      </c>
      <c r="P121">
        <v>22</v>
      </c>
      <c r="Q121">
        <v>1</v>
      </c>
      <c r="R121" t="s">
        <v>59</v>
      </c>
      <c r="S121">
        <v>9.6999999999999993</v>
      </c>
      <c r="T121">
        <v>35</v>
      </c>
      <c r="U121">
        <v>7</v>
      </c>
      <c r="V121" t="s">
        <v>146</v>
      </c>
      <c r="W121">
        <v>17.7</v>
      </c>
      <c r="X121">
        <v>69</v>
      </c>
      <c r="Y121">
        <v>7</v>
      </c>
      <c r="Z121" t="s">
        <v>669</v>
      </c>
      <c r="AA121">
        <v>5.5</v>
      </c>
      <c r="AB121">
        <v>25</v>
      </c>
      <c r="AC121">
        <v>4</v>
      </c>
      <c r="AD121">
        <v>19.8</v>
      </c>
      <c r="AE121">
        <v>68</v>
      </c>
      <c r="AF121">
        <v>9</v>
      </c>
      <c r="AG121" t="s">
        <v>670</v>
      </c>
      <c r="AH121">
        <v>5.0999999999999996</v>
      </c>
      <c r="AI121">
        <v>21</v>
      </c>
      <c r="AJ121">
        <v>4</v>
      </c>
      <c r="AK121">
        <v>5</v>
      </c>
      <c r="AL121">
        <v>1</v>
      </c>
      <c r="AM121">
        <v>11</v>
      </c>
      <c r="AN121" s="21">
        <v>0.35294117647058826</v>
      </c>
      <c r="AO121" s="21">
        <v>5.8823529411764705E-2</v>
      </c>
      <c r="AP121" s="21">
        <v>0.7</v>
      </c>
      <c r="AQ121" s="35">
        <v>5</v>
      </c>
      <c r="AR121" s="35">
        <v>32</v>
      </c>
      <c r="AS121" s="35">
        <v>17</v>
      </c>
      <c r="AT121" s="35">
        <v>3</v>
      </c>
      <c r="AU121" s="35">
        <v>57</v>
      </c>
      <c r="AV121" s="35">
        <v>17</v>
      </c>
      <c r="AW121" s="35">
        <v>0</v>
      </c>
      <c r="AX121">
        <v>256</v>
      </c>
      <c r="AY121" s="35">
        <v>200</v>
      </c>
      <c r="AZ121" s="35">
        <v>59</v>
      </c>
      <c r="BA121" s="35">
        <v>0</v>
      </c>
      <c r="BB121" s="35">
        <v>-3</v>
      </c>
      <c r="BC121" t="s">
        <v>296</v>
      </c>
      <c r="BD121" s="14">
        <v>-5</v>
      </c>
      <c r="BE121" s="14">
        <v>-5.7999999999999989</v>
      </c>
      <c r="BF121" s="14">
        <v>-4.4000000000000004</v>
      </c>
      <c r="BG121" s="14">
        <v>-18.600000000000001</v>
      </c>
      <c r="BH121" s="14">
        <v>2</v>
      </c>
      <c r="BI121" s="14">
        <v>-5.2</v>
      </c>
      <c r="BJ121" s="14">
        <v>0.20000000000000018</v>
      </c>
      <c r="BK121" s="14">
        <v>-2</v>
      </c>
      <c r="BL121" s="14">
        <v>-1.7999999999999998</v>
      </c>
      <c r="BM121" s="14">
        <v>-1.42</v>
      </c>
      <c r="BN121" s="14">
        <v>-12</v>
      </c>
      <c r="BO121" s="14">
        <v>-1</v>
      </c>
      <c r="BP121" s="14">
        <v>5.5200000000000014</v>
      </c>
      <c r="BQ121" s="14">
        <v>8.7999999999999972</v>
      </c>
      <c r="BR121" s="14">
        <v>0.59999999999999964</v>
      </c>
      <c r="BS121" s="14">
        <v>-2.168000000000001</v>
      </c>
      <c r="BT121" s="14">
        <v>-0.60000000000000142</v>
      </c>
      <c r="BU121" s="14">
        <v>0.60000000000000009</v>
      </c>
      <c r="BV121" s="14">
        <v>4.5400000000000009</v>
      </c>
      <c r="BW121" s="14">
        <v>-4.5999999999999943</v>
      </c>
      <c r="BX121" s="14">
        <v>-0.59999999999999964</v>
      </c>
      <c r="BY121" s="48">
        <v>-0.30000000000000071</v>
      </c>
      <c r="BZ121" s="14">
        <v>-1</v>
      </c>
      <c r="CA121" s="14">
        <v>0.39999999999999991</v>
      </c>
      <c r="CB121" s="14">
        <v>-3.4000000000000004</v>
      </c>
      <c r="CC121" s="14">
        <v>-1.6</v>
      </c>
      <c r="CD121" s="14">
        <v>1.4000000000000004</v>
      </c>
      <c r="CE121" s="14">
        <v>4.8235134428402271E-2</v>
      </c>
      <c r="CF121" s="14">
        <v>-1.2240579831647613E-2</v>
      </c>
      <c r="CG121" s="14">
        <v>0.10666666666666669</v>
      </c>
      <c r="CH121" s="14">
        <v>-2.4000000000000004</v>
      </c>
      <c r="CI121" s="14">
        <v>-2</v>
      </c>
      <c r="CJ121" s="14">
        <v>-5.3999999999999986</v>
      </c>
      <c r="CK121" s="14">
        <v>-0.20000000000000018</v>
      </c>
      <c r="CL121" s="14">
        <v>-8.5999999999999943</v>
      </c>
      <c r="CM121" s="14">
        <v>-6.8000000000000007</v>
      </c>
      <c r="CN121" s="14">
        <v>-1.4</v>
      </c>
      <c r="CO121" s="14">
        <v>-101.19999999999999</v>
      </c>
      <c r="CP121" s="14">
        <v>-58</v>
      </c>
      <c r="CQ121" s="14">
        <v>-23.599999999999994</v>
      </c>
      <c r="CR121" s="14">
        <v>-11</v>
      </c>
      <c r="CS121" s="14">
        <v>-8.6</v>
      </c>
      <c r="CT121" t="s">
        <v>245</v>
      </c>
      <c r="CU121" t="s">
        <v>472</v>
      </c>
    </row>
    <row r="122" spans="1:99" x14ac:dyDescent="0.2">
      <c r="A122" s="19">
        <v>44108</v>
      </c>
      <c r="B122">
        <v>4</v>
      </c>
      <c r="C122" s="13" t="s">
        <v>417</v>
      </c>
      <c r="D122" s="41" t="s">
        <v>305</v>
      </c>
      <c r="E122" s="14" t="s">
        <v>306</v>
      </c>
      <c r="F122" t="s">
        <v>673</v>
      </c>
      <c r="G122">
        <v>26.02</v>
      </c>
      <c r="H122" t="s">
        <v>677</v>
      </c>
      <c r="I122">
        <v>10.7</v>
      </c>
      <c r="J122">
        <v>8</v>
      </c>
      <c r="K122">
        <v>34</v>
      </c>
      <c r="L122">
        <v>1</v>
      </c>
      <c r="M122" t="s">
        <v>674</v>
      </c>
      <c r="N122">
        <v>3.8</v>
      </c>
      <c r="O122">
        <v>9</v>
      </c>
      <c r="P122">
        <v>38</v>
      </c>
      <c r="Q122">
        <v>0</v>
      </c>
      <c r="R122" t="s">
        <v>4</v>
      </c>
      <c r="S122">
        <v>12.6</v>
      </c>
      <c r="T122">
        <v>86</v>
      </c>
      <c r="U122">
        <v>8</v>
      </c>
      <c r="V122" t="s">
        <v>678</v>
      </c>
      <c r="W122">
        <v>4.8</v>
      </c>
      <c r="X122">
        <v>28</v>
      </c>
      <c r="Y122">
        <v>4</v>
      </c>
      <c r="Z122" t="s">
        <v>147</v>
      </c>
      <c r="AA122">
        <v>4</v>
      </c>
      <c r="AB122">
        <v>20</v>
      </c>
      <c r="AC122">
        <v>2</v>
      </c>
      <c r="AD122">
        <v>15.4</v>
      </c>
      <c r="AE122">
        <v>54</v>
      </c>
      <c r="AF122">
        <v>6</v>
      </c>
      <c r="AG122" t="s">
        <v>7</v>
      </c>
      <c r="AH122">
        <v>20.7</v>
      </c>
      <c r="AI122">
        <v>57</v>
      </c>
      <c r="AJ122">
        <v>3</v>
      </c>
      <c r="AK122">
        <v>8</v>
      </c>
      <c r="AL122">
        <v>1</v>
      </c>
      <c r="AM122">
        <v>6</v>
      </c>
      <c r="AN122" s="21">
        <v>0.32</v>
      </c>
      <c r="AO122" s="21">
        <v>0.04</v>
      </c>
      <c r="AP122" s="21">
        <v>0.4</v>
      </c>
      <c r="AQ122" s="35">
        <v>4</v>
      </c>
      <c r="AR122" s="35">
        <v>22</v>
      </c>
      <c r="AS122" s="35">
        <v>22</v>
      </c>
      <c r="AT122" s="35">
        <v>10</v>
      </c>
      <c r="AU122" s="35">
        <v>56</v>
      </c>
      <c r="AV122" s="35">
        <v>31</v>
      </c>
      <c r="AW122" s="35">
        <v>0</v>
      </c>
      <c r="AX122">
        <v>337</v>
      </c>
      <c r="AY122" s="35">
        <v>193</v>
      </c>
      <c r="AZ122" s="35">
        <v>88</v>
      </c>
      <c r="BA122" s="35">
        <v>0</v>
      </c>
      <c r="BB122" s="35">
        <v>56</v>
      </c>
      <c r="BC122" t="s">
        <v>306</v>
      </c>
      <c r="BD122" s="14">
        <v>2.671999999999997</v>
      </c>
      <c r="BE122" s="14">
        <v>-4.8400000000000016</v>
      </c>
      <c r="BF122" s="14">
        <v>-8</v>
      </c>
      <c r="BG122" s="14">
        <v>-31.400000000000006</v>
      </c>
      <c r="BH122" s="14">
        <v>-1</v>
      </c>
      <c r="BI122" s="14">
        <v>-2.3199999999999994</v>
      </c>
      <c r="BJ122" s="14">
        <v>1.5999999999999996</v>
      </c>
      <c r="BK122" s="14">
        <v>8.1999999999999993</v>
      </c>
      <c r="BL122" s="14">
        <v>-1.6</v>
      </c>
      <c r="BM122" s="14">
        <v>-1.8400000000000016</v>
      </c>
      <c r="BN122" s="14">
        <v>21</v>
      </c>
      <c r="BO122" s="14">
        <v>1.5999999999999996</v>
      </c>
      <c r="BP122" s="14">
        <v>-2.8200000000000003</v>
      </c>
      <c r="BQ122" s="14">
        <v>-10.200000000000003</v>
      </c>
      <c r="BR122" s="14">
        <v>-0.79999999999999982</v>
      </c>
      <c r="BS122" s="14">
        <v>-8.0000000000000071E-2</v>
      </c>
      <c r="BT122" s="14">
        <v>-6.1999999999999993</v>
      </c>
      <c r="BU122" s="14">
        <v>-0.79999999999999982</v>
      </c>
      <c r="BV122" s="14">
        <v>0.51999999999999957</v>
      </c>
      <c r="BW122" s="14">
        <v>-12.799999999999997</v>
      </c>
      <c r="BX122" s="14">
        <v>-1</v>
      </c>
      <c r="BY122" s="48">
        <v>10.939999999999998</v>
      </c>
      <c r="BZ122" s="14">
        <v>11.399999999999999</v>
      </c>
      <c r="CA122" s="14">
        <v>-0.60000000000000009</v>
      </c>
      <c r="CB122" s="14">
        <v>-1.1999999999999993</v>
      </c>
      <c r="CC122" s="14">
        <v>-0.8</v>
      </c>
      <c r="CD122" s="14">
        <v>-5</v>
      </c>
      <c r="CE122" s="14">
        <v>-9.3297768123349334E-3</v>
      </c>
      <c r="CF122" s="14">
        <v>-1.3111913280517931E-2</v>
      </c>
      <c r="CG122" s="14">
        <v>-0.11809523809523814</v>
      </c>
      <c r="CH122" s="14">
        <v>1</v>
      </c>
      <c r="CI122" s="14">
        <v>-4.3999999999999986</v>
      </c>
      <c r="CJ122" s="14">
        <v>-4</v>
      </c>
      <c r="CK122" s="14">
        <v>4.2</v>
      </c>
      <c r="CL122" s="14">
        <v>-4.6000000000000014</v>
      </c>
      <c r="CM122" s="14">
        <v>3.3999999999999986</v>
      </c>
      <c r="CN122" s="14">
        <v>-1.4</v>
      </c>
      <c r="CO122" s="14">
        <v>-18.800000000000011</v>
      </c>
      <c r="CP122" s="14">
        <v>-18.199999999999989</v>
      </c>
      <c r="CQ122" s="14">
        <v>-16.400000000000006</v>
      </c>
      <c r="CR122" s="14">
        <v>-0.6</v>
      </c>
      <c r="CS122" s="14">
        <v>16.399999999999999</v>
      </c>
      <c r="CT122" t="s">
        <v>283</v>
      </c>
      <c r="CU122" t="s">
        <v>454</v>
      </c>
    </row>
    <row r="123" spans="1:99" x14ac:dyDescent="0.2">
      <c r="A123" s="19">
        <v>44108</v>
      </c>
      <c r="B123">
        <v>4</v>
      </c>
      <c r="C123" s="13" t="s">
        <v>417</v>
      </c>
      <c r="D123" s="41" t="s">
        <v>306</v>
      </c>
      <c r="E123" s="14" t="s">
        <v>305</v>
      </c>
      <c r="F123" t="s">
        <v>686</v>
      </c>
      <c r="G123">
        <v>21.86</v>
      </c>
      <c r="H123" t="s">
        <v>680</v>
      </c>
      <c r="I123">
        <v>22.8</v>
      </c>
      <c r="J123">
        <v>13</v>
      </c>
      <c r="K123">
        <v>46</v>
      </c>
      <c r="L123">
        <v>5</v>
      </c>
      <c r="M123" t="s">
        <v>681</v>
      </c>
      <c r="N123">
        <v>10.6</v>
      </c>
      <c r="O123">
        <v>2</v>
      </c>
      <c r="P123">
        <v>6</v>
      </c>
      <c r="Q123">
        <v>8</v>
      </c>
      <c r="R123" t="s">
        <v>94</v>
      </c>
      <c r="S123">
        <v>24.8</v>
      </c>
      <c r="T123">
        <v>118</v>
      </c>
      <c r="U123">
        <v>14</v>
      </c>
      <c r="V123" t="s">
        <v>684</v>
      </c>
      <c r="W123">
        <v>6.9</v>
      </c>
      <c r="X123">
        <v>29</v>
      </c>
      <c r="Y123">
        <v>5</v>
      </c>
      <c r="Z123" t="s">
        <v>685</v>
      </c>
      <c r="AA123">
        <v>6.9</v>
      </c>
      <c r="AB123">
        <v>20</v>
      </c>
      <c r="AC123">
        <v>5</v>
      </c>
      <c r="AD123">
        <v>13.6</v>
      </c>
      <c r="AE123">
        <v>76</v>
      </c>
      <c r="AF123">
        <v>10</v>
      </c>
      <c r="AG123" t="s">
        <v>683</v>
      </c>
      <c r="AH123">
        <v>1.8</v>
      </c>
      <c r="AI123">
        <v>8</v>
      </c>
      <c r="AJ123">
        <v>4</v>
      </c>
      <c r="AK123">
        <v>1</v>
      </c>
      <c r="AL123">
        <v>1</v>
      </c>
      <c r="AM123">
        <v>4</v>
      </c>
      <c r="AN123" s="21">
        <v>0.20408163265306123</v>
      </c>
      <c r="AO123" s="21">
        <v>6.1224489795918366E-2</v>
      </c>
      <c r="AP123" s="21">
        <v>0.33333333333333331</v>
      </c>
      <c r="AQ123" s="35">
        <v>6</v>
      </c>
      <c r="AR123" s="35">
        <v>45</v>
      </c>
      <c r="AS123" s="35">
        <v>18</v>
      </c>
      <c r="AT123" s="35">
        <v>3</v>
      </c>
      <c r="AU123" s="35">
        <v>70</v>
      </c>
      <c r="AV123" s="35">
        <v>17</v>
      </c>
      <c r="AW123" s="35">
        <v>0</v>
      </c>
      <c r="AX123">
        <v>383</v>
      </c>
      <c r="AY123" s="35">
        <v>314</v>
      </c>
      <c r="AZ123" s="35">
        <v>57</v>
      </c>
      <c r="BA123" s="35">
        <v>9</v>
      </c>
      <c r="BB123" s="35">
        <v>3</v>
      </c>
      <c r="BC123" t="s">
        <v>305</v>
      </c>
      <c r="BD123" s="14">
        <v>-1.6000000000000014</v>
      </c>
      <c r="BE123" s="14">
        <v>7.0399999999999991</v>
      </c>
      <c r="BF123" s="14">
        <v>-2.4000000000000004</v>
      </c>
      <c r="BG123" s="14">
        <v>-18.200000000000003</v>
      </c>
      <c r="BH123" s="14">
        <v>0</v>
      </c>
      <c r="BI123" s="14">
        <v>6.12</v>
      </c>
      <c r="BJ123" s="14">
        <v>1</v>
      </c>
      <c r="BK123" s="14">
        <v>4</v>
      </c>
      <c r="BL123" s="14">
        <v>5</v>
      </c>
      <c r="BM123" s="14">
        <v>9.66</v>
      </c>
      <c r="BN123" s="14">
        <v>51.599999999999994</v>
      </c>
      <c r="BO123" s="14">
        <v>6.4</v>
      </c>
      <c r="BP123" s="14">
        <v>-3.8200000000000003</v>
      </c>
      <c r="BQ123" s="14">
        <v>-24.200000000000003</v>
      </c>
      <c r="BR123" s="14">
        <v>-0.59999999999999964</v>
      </c>
      <c r="BS123" s="14">
        <v>1.0600000000000014</v>
      </c>
      <c r="BT123" s="14">
        <v>-20.6</v>
      </c>
      <c r="BU123" s="14">
        <v>0.20000000000000018</v>
      </c>
      <c r="BV123" s="14">
        <v>-6.08</v>
      </c>
      <c r="BW123" s="14">
        <v>-32.799999999999997</v>
      </c>
      <c r="BX123" s="14">
        <v>-2</v>
      </c>
      <c r="BY123" s="48">
        <v>-6.3</v>
      </c>
      <c r="BZ123" s="14">
        <v>-33</v>
      </c>
      <c r="CA123" s="14">
        <v>-2</v>
      </c>
      <c r="CB123" s="14">
        <v>-2.6</v>
      </c>
      <c r="CC123" s="14">
        <v>-0.39999999999999991</v>
      </c>
      <c r="CD123" s="14">
        <v>0</v>
      </c>
      <c r="CE123" s="14">
        <v>-0.17500647451750923</v>
      </c>
      <c r="CF123" s="14">
        <v>-2.9841063302144311E-2</v>
      </c>
      <c r="CG123" s="14">
        <v>-0.23982683982683989</v>
      </c>
      <c r="CH123" s="14">
        <v>-6.1999999999999993</v>
      </c>
      <c r="CI123" s="14">
        <v>6.3999999999999986</v>
      </c>
      <c r="CJ123" s="14">
        <v>0.19999999999999929</v>
      </c>
      <c r="CK123" s="14">
        <v>-1.4000000000000004</v>
      </c>
      <c r="CL123" s="14">
        <v>4.2000000000000028</v>
      </c>
      <c r="CM123" s="14">
        <v>-2.6000000000000014</v>
      </c>
      <c r="CN123" s="14">
        <v>0</v>
      </c>
      <c r="CO123" s="14">
        <v>5.8000000000000114</v>
      </c>
      <c r="CP123" s="14">
        <v>40</v>
      </c>
      <c r="CQ123" s="14">
        <v>-13.599999999999994</v>
      </c>
      <c r="CR123" s="14">
        <v>2</v>
      </c>
      <c r="CS123" s="14">
        <v>-22.6</v>
      </c>
      <c r="CT123" t="s">
        <v>268</v>
      </c>
      <c r="CU123" t="s">
        <v>500</v>
      </c>
    </row>
    <row r="124" spans="1:99" x14ac:dyDescent="0.2">
      <c r="A124" s="19">
        <v>44108</v>
      </c>
      <c r="B124">
        <v>4</v>
      </c>
      <c r="C124" s="13" t="s">
        <v>417</v>
      </c>
      <c r="D124" s="41" t="s">
        <v>307</v>
      </c>
      <c r="E124" s="14" t="s">
        <v>299</v>
      </c>
      <c r="F124" t="s">
        <v>689</v>
      </c>
      <c r="G124">
        <v>18.939999999999998</v>
      </c>
      <c r="H124" t="s">
        <v>690</v>
      </c>
      <c r="I124">
        <v>20.9</v>
      </c>
      <c r="J124">
        <v>19</v>
      </c>
      <c r="K124">
        <v>83</v>
      </c>
      <c r="L124">
        <v>4</v>
      </c>
      <c r="M124" t="s">
        <v>691</v>
      </c>
      <c r="N124">
        <v>21.3</v>
      </c>
      <c r="O124">
        <v>14</v>
      </c>
      <c r="P124">
        <v>64</v>
      </c>
      <c r="Q124">
        <v>2</v>
      </c>
      <c r="R124" t="s">
        <v>692</v>
      </c>
      <c r="S124">
        <v>21.4</v>
      </c>
      <c r="T124">
        <v>54</v>
      </c>
      <c r="U124">
        <v>4</v>
      </c>
      <c r="V124" t="s">
        <v>129</v>
      </c>
      <c r="W124">
        <v>15.3</v>
      </c>
      <c r="X124">
        <v>93</v>
      </c>
      <c r="Y124">
        <v>9</v>
      </c>
      <c r="Z124" t="s">
        <v>694</v>
      </c>
      <c r="AA124">
        <v>3</v>
      </c>
      <c r="AB124">
        <v>10</v>
      </c>
      <c r="AC124">
        <v>2</v>
      </c>
      <c r="AD124">
        <v>10.3</v>
      </c>
      <c r="AE124">
        <v>73</v>
      </c>
      <c r="AF124">
        <v>5</v>
      </c>
      <c r="AG124" t="s">
        <v>695</v>
      </c>
      <c r="AH124">
        <v>1.7</v>
      </c>
      <c r="AI124">
        <v>7</v>
      </c>
      <c r="AJ124">
        <v>1</v>
      </c>
      <c r="AK124">
        <v>5</v>
      </c>
      <c r="AL124">
        <v>0</v>
      </c>
      <c r="AM124">
        <v>4</v>
      </c>
      <c r="AN124" s="21">
        <v>0.29629629629629628</v>
      </c>
      <c r="AO124" s="21">
        <v>7.407407407407407E-2</v>
      </c>
      <c r="AP124" s="21">
        <v>1</v>
      </c>
      <c r="AQ124" s="35">
        <v>0</v>
      </c>
      <c r="AR124" s="35">
        <v>25</v>
      </c>
      <c r="AS124" s="35">
        <v>34</v>
      </c>
      <c r="AT124" s="35">
        <v>6</v>
      </c>
      <c r="AU124" s="35">
        <v>69</v>
      </c>
      <c r="AV124" s="35">
        <v>35</v>
      </c>
      <c r="AW124" s="35">
        <v>0</v>
      </c>
      <c r="AX124" s="35">
        <v>410</v>
      </c>
      <c r="AY124" s="35">
        <v>246</v>
      </c>
      <c r="AZ124" s="35">
        <v>151</v>
      </c>
      <c r="BA124" s="35">
        <v>10</v>
      </c>
      <c r="BB124" s="35">
        <v>3</v>
      </c>
      <c r="BC124" t="s">
        <v>299</v>
      </c>
      <c r="BD124" s="14">
        <v>-2.5500000000000043</v>
      </c>
      <c r="BE124" s="14">
        <v>-2.5250000000000021</v>
      </c>
      <c r="BF124" s="14">
        <v>2.25</v>
      </c>
      <c r="BG124" s="14">
        <v>-5.25</v>
      </c>
      <c r="BH124" s="14">
        <v>-0.25</v>
      </c>
      <c r="BI124" s="14">
        <v>11.425000000000001</v>
      </c>
      <c r="BJ124" s="14">
        <v>7.75</v>
      </c>
      <c r="BK124" s="14">
        <v>29</v>
      </c>
      <c r="BL124" s="14">
        <v>0</v>
      </c>
      <c r="BM124" s="14">
        <v>4.625</v>
      </c>
      <c r="BN124" s="14">
        <v>-16.25</v>
      </c>
      <c r="BO124" s="14">
        <v>-4.75</v>
      </c>
      <c r="BP124" s="14">
        <v>-1.7250000000000014</v>
      </c>
      <c r="BQ124" s="14">
        <v>6.25</v>
      </c>
      <c r="BR124" s="14">
        <v>1.75</v>
      </c>
      <c r="BS124" s="14">
        <v>0.97500000000000009</v>
      </c>
      <c r="BT124" s="14">
        <v>5</v>
      </c>
      <c r="BU124" s="14">
        <v>-1</v>
      </c>
      <c r="BV124" s="14">
        <v>-7.7249999999999979</v>
      </c>
      <c r="BW124" s="14">
        <v>-9.75</v>
      </c>
      <c r="BX124" s="14">
        <v>-4</v>
      </c>
      <c r="BY124" s="48">
        <v>-1.8750000000000002</v>
      </c>
      <c r="BZ124" s="14">
        <v>-3.75</v>
      </c>
      <c r="CA124" s="14">
        <v>-0.5</v>
      </c>
      <c r="CB124" s="14">
        <v>-1.5</v>
      </c>
      <c r="CC124" s="14">
        <v>-1.25</v>
      </c>
      <c r="CD124" s="14">
        <v>-1.25</v>
      </c>
      <c r="CE124" s="14">
        <v>3.7607239734899267E-2</v>
      </c>
      <c r="CF124" s="14">
        <v>3.5903892286871006E-2</v>
      </c>
      <c r="CG124" s="14">
        <v>0.23942307692307696</v>
      </c>
      <c r="CH124" s="14">
        <v>-2.5</v>
      </c>
      <c r="CI124" s="14">
        <v>-8.5</v>
      </c>
      <c r="CJ124" s="14">
        <v>9.5</v>
      </c>
      <c r="CK124" s="14">
        <v>1.5</v>
      </c>
      <c r="CL124" s="14">
        <v>4.25</v>
      </c>
      <c r="CM124" s="14">
        <v>7.75</v>
      </c>
      <c r="CN124" s="14">
        <v>-1.75</v>
      </c>
      <c r="CO124" s="14">
        <v>16.25</v>
      </c>
      <c r="CP124" s="14">
        <v>-3.75</v>
      </c>
      <c r="CQ124" s="14">
        <v>22.5</v>
      </c>
      <c r="CR124" s="14">
        <v>8.75</v>
      </c>
      <c r="CS124" s="14">
        <v>-11.25</v>
      </c>
      <c r="CT124" t="s">
        <v>258</v>
      </c>
      <c r="CU124" t="s">
        <v>478</v>
      </c>
    </row>
    <row r="125" spans="1:99" x14ac:dyDescent="0.2">
      <c r="A125" s="19">
        <v>44108</v>
      </c>
      <c r="B125">
        <v>4</v>
      </c>
      <c r="C125" s="13" t="s">
        <v>417</v>
      </c>
      <c r="D125" s="41" t="s">
        <v>308</v>
      </c>
      <c r="E125" s="14" t="s">
        <v>293</v>
      </c>
      <c r="F125" t="s">
        <v>696</v>
      </c>
      <c r="G125">
        <v>24.9</v>
      </c>
      <c r="H125" t="s">
        <v>698</v>
      </c>
      <c r="I125">
        <v>25</v>
      </c>
      <c r="J125">
        <v>16</v>
      </c>
      <c r="K125">
        <v>80</v>
      </c>
      <c r="L125">
        <v>4</v>
      </c>
      <c r="M125" t="s">
        <v>700</v>
      </c>
      <c r="N125">
        <v>7.8</v>
      </c>
      <c r="O125">
        <v>4</v>
      </c>
      <c r="P125">
        <v>5</v>
      </c>
      <c r="Q125">
        <v>1</v>
      </c>
      <c r="R125" t="s">
        <v>163</v>
      </c>
      <c r="S125">
        <v>5.9</v>
      </c>
      <c r="T125">
        <v>39</v>
      </c>
      <c r="U125">
        <v>4</v>
      </c>
      <c r="V125" t="s">
        <v>103</v>
      </c>
      <c r="W125">
        <v>17.600000000000001</v>
      </c>
      <c r="X125">
        <v>106</v>
      </c>
      <c r="Y125">
        <v>6</v>
      </c>
      <c r="Z125" t="s">
        <v>699</v>
      </c>
      <c r="AA125">
        <v>18.5</v>
      </c>
      <c r="AB125">
        <v>95</v>
      </c>
      <c r="AC125">
        <v>4</v>
      </c>
      <c r="AD125">
        <v>16.8</v>
      </c>
      <c r="AE125">
        <v>88</v>
      </c>
      <c r="AF125">
        <v>11</v>
      </c>
      <c r="AG125" t="s">
        <v>68</v>
      </c>
      <c r="AH125">
        <v>8.5</v>
      </c>
      <c r="AI125">
        <v>35</v>
      </c>
      <c r="AJ125">
        <v>7</v>
      </c>
      <c r="AK125">
        <v>9</v>
      </c>
      <c r="AL125">
        <v>1</v>
      </c>
      <c r="AM125">
        <v>5</v>
      </c>
      <c r="AN125" s="21">
        <v>0.35135135135135137</v>
      </c>
      <c r="AO125" s="21">
        <v>5.4054054054054057E-2</v>
      </c>
      <c r="AP125" s="21">
        <v>0.66666666666666663</v>
      </c>
      <c r="AQ125" s="35">
        <v>3</v>
      </c>
      <c r="AR125" s="35">
        <v>34</v>
      </c>
      <c r="AS125" s="35">
        <v>22</v>
      </c>
      <c r="AT125" s="35">
        <v>4</v>
      </c>
      <c r="AU125" s="35">
        <v>62</v>
      </c>
      <c r="AV125" s="35">
        <v>31</v>
      </c>
      <c r="AW125" s="35">
        <v>0</v>
      </c>
      <c r="AX125">
        <v>463</v>
      </c>
      <c r="AY125" s="35">
        <v>360</v>
      </c>
      <c r="AZ125" s="35">
        <v>98</v>
      </c>
      <c r="BA125" s="35">
        <v>0</v>
      </c>
      <c r="BB125" s="35">
        <v>5</v>
      </c>
      <c r="BC125" t="s">
        <v>293</v>
      </c>
      <c r="BD125" s="14">
        <v>7.3239999999999981</v>
      </c>
      <c r="BE125" s="14">
        <v>6.7200000000000024</v>
      </c>
      <c r="BF125" s="14">
        <v>4.1999999999999993</v>
      </c>
      <c r="BG125" s="14">
        <v>16.399999999999999</v>
      </c>
      <c r="BH125" s="14">
        <v>0</v>
      </c>
      <c r="BI125" s="14">
        <v>2.0799999999999992</v>
      </c>
      <c r="BJ125" s="14">
        <v>-1</v>
      </c>
      <c r="BK125" s="14">
        <v>-14.8</v>
      </c>
      <c r="BL125" s="14">
        <v>-1.2000000000000002</v>
      </c>
      <c r="BM125" s="14">
        <v>-6.6199999999999992</v>
      </c>
      <c r="BN125" s="14">
        <v>-19.399999999999999</v>
      </c>
      <c r="BO125" s="14">
        <v>-4.8000000000000007</v>
      </c>
      <c r="BP125" s="14">
        <v>5.2600000000000016</v>
      </c>
      <c r="BQ125" s="14">
        <v>38.599999999999994</v>
      </c>
      <c r="BR125" s="14">
        <v>-0.40000000000000036</v>
      </c>
      <c r="BS125" s="14">
        <v>8.5599999999999987</v>
      </c>
      <c r="BT125" s="14">
        <v>47.6</v>
      </c>
      <c r="BU125" s="14">
        <v>-1.2000000000000002</v>
      </c>
      <c r="BV125" s="14">
        <v>-3.1400000000000006</v>
      </c>
      <c r="BW125" s="14">
        <v>-3.4000000000000057</v>
      </c>
      <c r="BX125" s="14">
        <v>-1.1999999999999993</v>
      </c>
      <c r="BY125" s="48">
        <v>3.0399999999999991</v>
      </c>
      <c r="BZ125" s="14">
        <v>6.3999999999999986</v>
      </c>
      <c r="CA125" s="14">
        <v>2.2000000000000002</v>
      </c>
      <c r="CB125" s="14">
        <v>4.8</v>
      </c>
      <c r="CC125" s="14">
        <v>0.19999999999999996</v>
      </c>
      <c r="CD125" s="14">
        <v>2.8</v>
      </c>
      <c r="CE125" s="14">
        <v>-4.0530917369823116E-2</v>
      </c>
      <c r="CF125" s="14">
        <v>-1.6254650221215555E-2</v>
      </c>
      <c r="CG125" s="14">
        <v>-1.8484848484848548E-2</v>
      </c>
      <c r="CH125" s="14">
        <v>-5.8000000000000007</v>
      </c>
      <c r="CI125" s="14">
        <v>-4</v>
      </c>
      <c r="CJ125" s="14">
        <v>4</v>
      </c>
      <c r="CK125" s="14">
        <v>1.6</v>
      </c>
      <c r="CL125" s="14">
        <v>0</v>
      </c>
      <c r="CM125" s="14">
        <v>12.600000000000001</v>
      </c>
      <c r="CN125" s="14">
        <v>0</v>
      </c>
      <c r="CO125" s="14">
        <v>75</v>
      </c>
      <c r="CP125" s="14">
        <v>78.600000000000023</v>
      </c>
      <c r="CQ125" s="14">
        <v>1.4000000000000057</v>
      </c>
      <c r="CR125" s="14">
        <v>-0.8</v>
      </c>
      <c r="CS125" s="14">
        <v>-4.1999999999999993</v>
      </c>
      <c r="CT125" t="s">
        <v>264</v>
      </c>
      <c r="CU125" t="s">
        <v>468</v>
      </c>
    </row>
    <row r="126" spans="1:99" x14ac:dyDescent="0.2">
      <c r="A126" s="19">
        <v>44108</v>
      </c>
      <c r="B126">
        <v>4</v>
      </c>
      <c r="C126" s="13" t="s">
        <v>417</v>
      </c>
      <c r="D126" s="41" t="s">
        <v>311</v>
      </c>
      <c r="E126" s="14" t="s">
        <v>312</v>
      </c>
      <c r="F126" t="s">
        <v>718</v>
      </c>
      <c r="G126">
        <v>23.9</v>
      </c>
      <c r="H126" t="s">
        <v>719</v>
      </c>
      <c r="I126">
        <v>11.2</v>
      </c>
      <c r="J126">
        <v>16</v>
      </c>
      <c r="K126">
        <v>63</v>
      </c>
      <c r="L126">
        <v>3</v>
      </c>
      <c r="M126" t="s">
        <v>720</v>
      </c>
      <c r="N126">
        <v>7.5</v>
      </c>
      <c r="O126">
        <v>5</v>
      </c>
      <c r="P126">
        <v>24</v>
      </c>
      <c r="Q126">
        <v>4</v>
      </c>
      <c r="R126" t="s">
        <v>23</v>
      </c>
      <c r="S126">
        <v>25.8</v>
      </c>
      <c r="T126">
        <v>108</v>
      </c>
      <c r="U126">
        <v>7</v>
      </c>
      <c r="V126" t="s">
        <v>84</v>
      </c>
      <c r="W126">
        <v>11.9</v>
      </c>
      <c r="X126">
        <v>39</v>
      </c>
      <c r="Y126">
        <v>4</v>
      </c>
      <c r="Z126" t="s">
        <v>721</v>
      </c>
      <c r="AA126">
        <v>5.6</v>
      </c>
      <c r="AB126">
        <v>36</v>
      </c>
      <c r="AC126">
        <v>5</v>
      </c>
      <c r="AD126">
        <v>19.100000000000001</v>
      </c>
      <c r="AE126">
        <v>121</v>
      </c>
      <c r="AF126">
        <v>11</v>
      </c>
      <c r="AG126" t="s">
        <v>722</v>
      </c>
      <c r="AH126">
        <v>7.6</v>
      </c>
      <c r="AI126">
        <v>46</v>
      </c>
      <c r="AJ126">
        <v>3</v>
      </c>
      <c r="AK126">
        <v>13</v>
      </c>
      <c r="AL126">
        <v>3</v>
      </c>
      <c r="AM126">
        <v>2</v>
      </c>
      <c r="AN126" s="21">
        <v>0.3</v>
      </c>
      <c r="AO126" s="21">
        <v>0.05</v>
      </c>
      <c r="AP126" s="21">
        <v>0.6</v>
      </c>
      <c r="AQ126" s="35">
        <v>5</v>
      </c>
      <c r="AR126" s="35">
        <v>33</v>
      </c>
      <c r="AS126" s="35">
        <v>21</v>
      </c>
      <c r="AT126" s="35">
        <v>5</v>
      </c>
      <c r="AU126" s="35">
        <v>62</v>
      </c>
      <c r="AV126" s="35">
        <v>23</v>
      </c>
      <c r="AW126" s="35">
        <v>0</v>
      </c>
      <c r="AX126">
        <v>396</v>
      </c>
      <c r="AY126" s="35">
        <v>300</v>
      </c>
      <c r="AZ126" s="35">
        <v>87</v>
      </c>
      <c r="BA126" s="35">
        <v>0</v>
      </c>
      <c r="BB126" s="35">
        <v>9</v>
      </c>
      <c r="BC126" t="s">
        <v>312</v>
      </c>
      <c r="BD126" s="14">
        <v>1.3759999999999977</v>
      </c>
      <c r="BE126" s="14">
        <v>-7.3599999999999994</v>
      </c>
      <c r="BF126" s="14">
        <v>-3.1999999999999993</v>
      </c>
      <c r="BG126" s="14">
        <v>-13.400000000000006</v>
      </c>
      <c r="BH126" s="14">
        <v>-0.79999999999999982</v>
      </c>
      <c r="BI126" s="14">
        <v>3.7399999999999998</v>
      </c>
      <c r="BJ126" s="14">
        <v>-0.40000000000000036</v>
      </c>
      <c r="BK126" s="14">
        <v>2.8000000000000007</v>
      </c>
      <c r="BL126" s="14">
        <v>2.6</v>
      </c>
      <c r="BM126" s="14">
        <v>8.0799999999999983</v>
      </c>
      <c r="BN126" s="14">
        <v>30.799999999999997</v>
      </c>
      <c r="BO126" s="14">
        <v>0.40000000000000036</v>
      </c>
      <c r="BP126" s="14">
        <v>-5.4</v>
      </c>
      <c r="BQ126" s="14">
        <v>-27</v>
      </c>
      <c r="BR126" s="14">
        <v>-1.7999999999999998</v>
      </c>
      <c r="BS126" s="14">
        <v>-0.78000000000000114</v>
      </c>
      <c r="BT126" s="14">
        <v>0.20000000000000284</v>
      </c>
      <c r="BU126" s="14">
        <v>0</v>
      </c>
      <c r="BV126" s="14">
        <v>1.8200000000000003</v>
      </c>
      <c r="BW126" s="14">
        <v>42.2</v>
      </c>
      <c r="BX126" s="14">
        <v>2.8000000000000007</v>
      </c>
      <c r="BY126" s="48">
        <v>-4.8800000000000008</v>
      </c>
      <c r="BZ126" s="14">
        <v>-12.799999999999997</v>
      </c>
      <c r="CA126" s="14">
        <v>-1.4000000000000004</v>
      </c>
      <c r="CB126" s="14">
        <v>-2.1999999999999993</v>
      </c>
      <c r="CC126" s="14">
        <v>-0.39999999999999991</v>
      </c>
      <c r="CD126" s="14">
        <v>-5.6</v>
      </c>
      <c r="CE126" s="14">
        <v>-5.4842357281381648E-3</v>
      </c>
      <c r="CF126" s="14">
        <v>-8.5461241558802484E-3</v>
      </c>
      <c r="CG126" s="14">
        <v>-7.3333333333333361E-2</v>
      </c>
      <c r="CH126" s="14">
        <v>1.4</v>
      </c>
      <c r="CI126" s="14">
        <v>-0.39999999999999858</v>
      </c>
      <c r="CJ126" s="14">
        <v>-4.6000000000000014</v>
      </c>
      <c r="CK126" s="14">
        <v>0.59999999999999964</v>
      </c>
      <c r="CL126" s="14">
        <v>-4.5999999999999943</v>
      </c>
      <c r="CM126" s="14">
        <v>-6.3999999999999986</v>
      </c>
      <c r="CN126" s="14">
        <v>0</v>
      </c>
      <c r="CO126" s="14">
        <v>-9.3999999999999773</v>
      </c>
      <c r="CP126" s="14">
        <v>15.399999999999977</v>
      </c>
      <c r="CQ126" s="14">
        <v>-14</v>
      </c>
      <c r="CR126" s="14">
        <v>-2.4</v>
      </c>
      <c r="CS126" s="14">
        <v>-8.3999999999999986</v>
      </c>
      <c r="CT126" t="s">
        <v>260</v>
      </c>
      <c r="CU126" t="s">
        <v>476</v>
      </c>
    </row>
    <row r="127" spans="1:99" x14ac:dyDescent="0.2">
      <c r="A127" s="19">
        <v>44108</v>
      </c>
      <c r="B127">
        <v>4</v>
      </c>
      <c r="C127" s="13" t="s">
        <v>417</v>
      </c>
      <c r="D127" s="41" t="s">
        <v>312</v>
      </c>
      <c r="E127" s="14" t="s">
        <v>311</v>
      </c>
      <c r="F127" t="s">
        <v>725</v>
      </c>
      <c r="G127">
        <v>14.9</v>
      </c>
      <c r="H127" t="s">
        <v>731</v>
      </c>
      <c r="I127">
        <v>31.6</v>
      </c>
      <c r="J127">
        <v>27</v>
      </c>
      <c r="K127">
        <v>130</v>
      </c>
      <c r="L127">
        <v>2</v>
      </c>
      <c r="M127" t="s">
        <v>726</v>
      </c>
      <c r="N127">
        <v>7.7</v>
      </c>
      <c r="O127">
        <v>7</v>
      </c>
      <c r="P127">
        <v>17</v>
      </c>
      <c r="Q127">
        <v>0</v>
      </c>
      <c r="R127" t="s">
        <v>45</v>
      </c>
      <c r="S127">
        <v>29.2</v>
      </c>
      <c r="T127">
        <v>114</v>
      </c>
      <c r="U127">
        <v>10</v>
      </c>
      <c r="V127" t="s">
        <v>728</v>
      </c>
      <c r="W127">
        <v>17.3</v>
      </c>
      <c r="X127">
        <v>103</v>
      </c>
      <c r="Y127">
        <v>5</v>
      </c>
      <c r="Z127" t="s">
        <v>729</v>
      </c>
      <c r="AA127">
        <v>0</v>
      </c>
      <c r="AB127">
        <v>0</v>
      </c>
      <c r="AC127">
        <v>0</v>
      </c>
      <c r="AD127">
        <v>8.9</v>
      </c>
      <c r="AE127">
        <v>49</v>
      </c>
      <c r="AF127">
        <v>4</v>
      </c>
      <c r="AG127" t="s">
        <v>148</v>
      </c>
      <c r="AH127">
        <v>4.7</v>
      </c>
      <c r="AI127">
        <v>27</v>
      </c>
      <c r="AJ127">
        <v>2</v>
      </c>
      <c r="AK127">
        <v>6</v>
      </c>
      <c r="AL127">
        <v>2</v>
      </c>
      <c r="AM127">
        <v>5</v>
      </c>
      <c r="AN127" s="21">
        <v>0.42307692307692307</v>
      </c>
      <c r="AO127" s="21">
        <v>0.11538461538461539</v>
      </c>
      <c r="AP127" s="21">
        <v>0.7142857142857143</v>
      </c>
      <c r="AQ127" s="35">
        <v>2</v>
      </c>
      <c r="AR127" s="35">
        <v>22</v>
      </c>
      <c r="AS127" s="35">
        <v>35</v>
      </c>
      <c r="AT127" s="35">
        <v>4</v>
      </c>
      <c r="AU127" s="35">
        <v>65</v>
      </c>
      <c r="AV127" s="35">
        <v>31</v>
      </c>
      <c r="AW127" s="35">
        <v>0</v>
      </c>
      <c r="AX127">
        <v>422</v>
      </c>
      <c r="AY127" s="35">
        <v>260</v>
      </c>
      <c r="AZ127" s="35">
        <v>149</v>
      </c>
      <c r="BA127" s="35">
        <v>8</v>
      </c>
      <c r="BB127" s="35">
        <v>5</v>
      </c>
      <c r="BC127" t="s">
        <v>311</v>
      </c>
      <c r="BD127" s="14">
        <v>-6.9240000000000013</v>
      </c>
      <c r="BE127" s="14">
        <v>5.6800000000000033</v>
      </c>
      <c r="BF127" s="14">
        <v>9.1999999999999993</v>
      </c>
      <c r="BG127" s="14">
        <v>19.200000000000003</v>
      </c>
      <c r="BH127" s="14">
        <v>-2.4000000000000004</v>
      </c>
      <c r="BI127" s="14">
        <v>0.44000000000000039</v>
      </c>
      <c r="BJ127" s="14">
        <v>1</v>
      </c>
      <c r="BK127" s="14">
        <v>-21</v>
      </c>
      <c r="BL127" s="14">
        <v>-1.6</v>
      </c>
      <c r="BM127" s="14">
        <v>12.780000000000001</v>
      </c>
      <c r="BN127" s="14">
        <v>59.4</v>
      </c>
      <c r="BO127" s="14">
        <v>3.5999999999999996</v>
      </c>
      <c r="BP127" s="14">
        <v>3.9000000000000004</v>
      </c>
      <c r="BQ127" s="14">
        <v>39</v>
      </c>
      <c r="BR127" s="14">
        <v>-1.2000000000000002</v>
      </c>
      <c r="BS127" s="14">
        <v>-5.0399999999999991</v>
      </c>
      <c r="BT127" s="14">
        <v>-22</v>
      </c>
      <c r="BU127" s="14">
        <v>-3.2</v>
      </c>
      <c r="BV127" s="14">
        <v>-7.26</v>
      </c>
      <c r="BW127" s="14">
        <v>-16.599999999999994</v>
      </c>
      <c r="BX127" s="14">
        <v>-4.4000000000000004</v>
      </c>
      <c r="BY127" s="48">
        <v>-6.839999999999999</v>
      </c>
      <c r="BZ127" s="14">
        <v>-20.399999999999999</v>
      </c>
      <c r="CA127" s="14">
        <v>-3.5999999999999996</v>
      </c>
      <c r="CB127" s="14">
        <v>-0.40000000000000036</v>
      </c>
      <c r="CC127" s="14">
        <v>-0.39999999999999991</v>
      </c>
      <c r="CD127" s="14">
        <v>-0.79999999999999982</v>
      </c>
      <c r="CE127" s="14">
        <v>8.8766466092047469E-2</v>
      </c>
      <c r="CF127" s="14">
        <v>3.6839865560795798E-2</v>
      </c>
      <c r="CG127" s="14">
        <v>-4.3650793650793718E-2</v>
      </c>
      <c r="CH127" s="14">
        <v>-2</v>
      </c>
      <c r="CI127" s="14">
        <v>-12.399999999999999</v>
      </c>
      <c r="CJ127" s="14">
        <v>9</v>
      </c>
      <c r="CK127" s="14">
        <v>-1.7999999999999998</v>
      </c>
      <c r="CL127" s="14">
        <v>-4.7999999999999972</v>
      </c>
      <c r="CM127" s="14">
        <v>2.8000000000000007</v>
      </c>
      <c r="CN127" s="14">
        <v>-1.4</v>
      </c>
      <c r="CO127" s="14">
        <v>-31.399999999999977</v>
      </c>
      <c r="CP127" s="14">
        <v>-13.600000000000023</v>
      </c>
      <c r="CQ127" s="14">
        <v>-12.199999999999989</v>
      </c>
      <c r="CR127" s="14">
        <v>4.2</v>
      </c>
      <c r="CS127" s="14">
        <v>-9.8000000000000007</v>
      </c>
      <c r="CT127" t="s">
        <v>275</v>
      </c>
      <c r="CU127" t="s">
        <v>477</v>
      </c>
    </row>
    <row r="128" spans="1:99" x14ac:dyDescent="0.2">
      <c r="A128" s="19">
        <v>44115</v>
      </c>
      <c r="B128">
        <v>5</v>
      </c>
      <c r="C128" s="14" t="s">
        <v>381</v>
      </c>
      <c r="D128" s="40" t="s">
        <v>256</v>
      </c>
      <c r="E128" s="13" t="s">
        <v>293</v>
      </c>
      <c r="F128" t="s">
        <v>467</v>
      </c>
      <c r="G128">
        <v>7.84</v>
      </c>
      <c r="H128" t="s">
        <v>465</v>
      </c>
      <c r="I128">
        <v>14.9</v>
      </c>
      <c r="J128">
        <v>11</v>
      </c>
      <c r="K128">
        <v>90</v>
      </c>
      <c r="L128">
        <v>3</v>
      </c>
      <c r="M128" t="s">
        <v>460</v>
      </c>
      <c r="N128">
        <v>2.7</v>
      </c>
      <c r="O128">
        <v>4</v>
      </c>
      <c r="P128">
        <v>27</v>
      </c>
      <c r="Q128">
        <v>1</v>
      </c>
      <c r="R128" t="s">
        <v>127</v>
      </c>
      <c r="S128">
        <v>4.2</v>
      </c>
      <c r="T128">
        <v>19</v>
      </c>
      <c r="U128">
        <v>8</v>
      </c>
      <c r="V128" t="s">
        <v>462</v>
      </c>
      <c r="W128">
        <v>7.4</v>
      </c>
      <c r="X128">
        <v>44</v>
      </c>
      <c r="Y128">
        <v>6</v>
      </c>
      <c r="Z128" t="s">
        <v>463</v>
      </c>
      <c r="AA128">
        <v>11</v>
      </c>
      <c r="AB128">
        <v>30</v>
      </c>
      <c r="AC128">
        <v>4</v>
      </c>
      <c r="AD128">
        <v>18.100000000000001</v>
      </c>
      <c r="AE128">
        <v>71</v>
      </c>
      <c r="AF128">
        <v>11</v>
      </c>
      <c r="AG128" t="s">
        <v>78</v>
      </c>
      <c r="AH128">
        <v>8.4</v>
      </c>
      <c r="AI128">
        <v>44</v>
      </c>
      <c r="AJ128">
        <v>8</v>
      </c>
      <c r="AK128">
        <v>5</v>
      </c>
      <c r="AL128">
        <v>1</v>
      </c>
      <c r="AM128">
        <v>-2</v>
      </c>
      <c r="AN128" s="21">
        <v>0.4</v>
      </c>
      <c r="AO128" s="21">
        <v>0.125</v>
      </c>
      <c r="AP128" s="21">
        <v>0.6</v>
      </c>
      <c r="AQ128" s="35">
        <v>12</v>
      </c>
      <c r="AR128" s="35">
        <v>35</v>
      </c>
      <c r="AS128" s="35">
        <v>16</v>
      </c>
      <c r="AT128" s="35">
        <v>0</v>
      </c>
      <c r="AU128" s="35">
        <v>59</v>
      </c>
      <c r="AV128" s="35">
        <v>17</v>
      </c>
      <c r="AW128" s="35">
        <v>0</v>
      </c>
      <c r="AX128">
        <v>302</v>
      </c>
      <c r="AY128" s="35">
        <v>171</v>
      </c>
      <c r="AZ128" s="35">
        <v>128</v>
      </c>
      <c r="BA128" s="35">
        <v>3</v>
      </c>
      <c r="BB128" s="35">
        <v>0</v>
      </c>
      <c r="BC128" t="s">
        <v>293</v>
      </c>
      <c r="BD128" s="14">
        <v>-9.7360000000000007</v>
      </c>
      <c r="BE128" s="14">
        <v>-3.3799999999999972</v>
      </c>
      <c r="BF128" s="14">
        <v>-0.80000000000000071</v>
      </c>
      <c r="BG128" s="14">
        <v>26.4</v>
      </c>
      <c r="BH128" s="14">
        <v>-1</v>
      </c>
      <c r="BI128" s="14">
        <v>-3.0200000000000005</v>
      </c>
      <c r="BJ128" s="14">
        <v>-1</v>
      </c>
      <c r="BK128" s="14">
        <v>7.1999999999999993</v>
      </c>
      <c r="BL128" s="14">
        <v>-1.2000000000000002</v>
      </c>
      <c r="BM128" s="14">
        <v>-8.32</v>
      </c>
      <c r="BN128" s="14">
        <v>-39.4</v>
      </c>
      <c r="BO128" s="14">
        <v>-0.80000000000000071</v>
      </c>
      <c r="BP128" s="14">
        <v>-4.9399999999999995</v>
      </c>
      <c r="BQ128" s="14">
        <v>-23.400000000000006</v>
      </c>
      <c r="BR128" s="14">
        <v>-0.40000000000000036</v>
      </c>
      <c r="BS128" s="14">
        <v>1.0599999999999987</v>
      </c>
      <c r="BT128" s="14">
        <v>-17.399999999999999</v>
      </c>
      <c r="BU128" s="14">
        <v>-1.2000000000000002</v>
      </c>
      <c r="BV128" s="14">
        <v>-1.8399999999999999</v>
      </c>
      <c r="BW128" s="14">
        <v>-20.400000000000006</v>
      </c>
      <c r="BX128" s="14">
        <v>-1.1999999999999993</v>
      </c>
      <c r="BY128" s="48">
        <v>2.9399999999999995</v>
      </c>
      <c r="BZ128" s="14">
        <v>15.399999999999999</v>
      </c>
      <c r="CA128" s="14">
        <v>3.2</v>
      </c>
      <c r="CB128" s="14">
        <v>0.79999999999999982</v>
      </c>
      <c r="CC128" s="14">
        <v>0.19999999999999996</v>
      </c>
      <c r="CD128" s="14">
        <v>-4.2</v>
      </c>
      <c r="CE128" s="14">
        <v>8.1177312788255351E-3</v>
      </c>
      <c r="CF128" s="14">
        <v>5.4691295724730388E-2</v>
      </c>
      <c r="CG128" s="14">
        <v>-8.51515151515152E-2</v>
      </c>
      <c r="CH128" s="14">
        <v>3.1999999999999993</v>
      </c>
      <c r="CI128" s="14">
        <v>-3</v>
      </c>
      <c r="CJ128" s="14">
        <v>-2</v>
      </c>
      <c r="CK128" s="14">
        <v>-2.4</v>
      </c>
      <c r="CL128" s="14">
        <v>-3</v>
      </c>
      <c r="CM128" s="14">
        <v>-1.3999999999999986</v>
      </c>
      <c r="CN128" s="14">
        <v>0</v>
      </c>
      <c r="CO128" s="14">
        <v>-86</v>
      </c>
      <c r="CP128" s="14">
        <v>-110.39999999999998</v>
      </c>
      <c r="CQ128" s="14">
        <v>31.400000000000006</v>
      </c>
      <c r="CR128" s="14">
        <v>2.2000000000000002</v>
      </c>
      <c r="CS128" s="14">
        <v>-9.1999999999999993</v>
      </c>
      <c r="CT128" t="s">
        <v>264</v>
      </c>
      <c r="CU128" t="s">
        <v>468</v>
      </c>
    </row>
    <row r="129" spans="1:99" x14ac:dyDescent="0.2">
      <c r="A129" s="19">
        <v>44115</v>
      </c>
      <c r="B129">
        <v>5</v>
      </c>
      <c r="C129" s="13" t="s">
        <v>381</v>
      </c>
      <c r="D129" s="41" t="s">
        <v>265</v>
      </c>
      <c r="E129" s="13" t="s">
        <v>284</v>
      </c>
      <c r="F129" t="s">
        <v>480</v>
      </c>
      <c r="G129">
        <v>12.62</v>
      </c>
      <c r="H129" t="s">
        <v>481</v>
      </c>
      <c r="I129">
        <v>18.899999999999999</v>
      </c>
      <c r="J129">
        <v>10</v>
      </c>
      <c r="K129">
        <v>29</v>
      </c>
      <c r="L129">
        <v>8</v>
      </c>
      <c r="M129" t="s">
        <v>485</v>
      </c>
      <c r="N129">
        <v>0</v>
      </c>
      <c r="O129">
        <v>0</v>
      </c>
      <c r="P129">
        <v>0</v>
      </c>
      <c r="Q129">
        <v>0</v>
      </c>
      <c r="R129" t="s">
        <v>56</v>
      </c>
      <c r="S129">
        <v>19</v>
      </c>
      <c r="T129">
        <v>90</v>
      </c>
      <c r="U129">
        <v>16</v>
      </c>
      <c r="V129" t="s">
        <v>60</v>
      </c>
      <c r="W129">
        <v>6.8</v>
      </c>
      <c r="X129">
        <v>28</v>
      </c>
      <c r="Y129">
        <v>4</v>
      </c>
      <c r="Z129" t="s">
        <v>483</v>
      </c>
      <c r="AA129">
        <v>3.5</v>
      </c>
      <c r="AB129">
        <v>15</v>
      </c>
      <c r="AC129">
        <v>5</v>
      </c>
      <c r="AD129">
        <v>18.899999999999999</v>
      </c>
      <c r="AE129">
        <v>89</v>
      </c>
      <c r="AF129">
        <v>12</v>
      </c>
      <c r="AG129" t="s">
        <v>81</v>
      </c>
      <c r="AH129">
        <v>12.3</v>
      </c>
      <c r="AI129">
        <v>33</v>
      </c>
      <c r="AJ129">
        <v>5</v>
      </c>
      <c r="AK129">
        <v>9</v>
      </c>
      <c r="AL129">
        <v>2</v>
      </c>
      <c r="AM129">
        <v>6</v>
      </c>
      <c r="AN129" s="21">
        <v>0.4</v>
      </c>
      <c r="AO129" s="21">
        <v>6.6666666666666666E-2</v>
      </c>
      <c r="AP129" s="21">
        <v>0.7857142857142857</v>
      </c>
      <c r="AQ129" s="35">
        <v>6</v>
      </c>
      <c r="AR129" s="35">
        <v>42</v>
      </c>
      <c r="AS129" s="35">
        <v>10</v>
      </c>
      <c r="AT129" s="35">
        <v>1</v>
      </c>
      <c r="AU129" s="35">
        <v>59</v>
      </c>
      <c r="AV129" s="35">
        <v>20</v>
      </c>
      <c r="AW129" s="35">
        <v>0</v>
      </c>
      <c r="AX129">
        <v>278</v>
      </c>
      <c r="AY129" s="35">
        <v>243</v>
      </c>
      <c r="AZ129" s="35">
        <v>29</v>
      </c>
      <c r="BA129" s="35">
        <v>7</v>
      </c>
      <c r="BB129" s="35">
        <v>-1</v>
      </c>
      <c r="BC129" t="s">
        <v>284</v>
      </c>
      <c r="BD129" s="14">
        <v>-1.3119999999999994</v>
      </c>
      <c r="BE129" s="14">
        <v>5.4999999999999982</v>
      </c>
      <c r="BF129" s="14">
        <v>0.40000000000000036</v>
      </c>
      <c r="BG129" s="14">
        <v>0.80000000000000071</v>
      </c>
      <c r="BH129" s="14">
        <v>3</v>
      </c>
      <c r="BI129" s="14">
        <v>-5.9399999999999995</v>
      </c>
      <c r="BJ129" s="14">
        <v>-3.2</v>
      </c>
      <c r="BK129" s="14">
        <v>-9.1999999999999993</v>
      </c>
      <c r="BL129" s="14">
        <v>-2.8</v>
      </c>
      <c r="BM129" s="14">
        <v>3.4600000000000026</v>
      </c>
      <c r="BN129" s="14">
        <v>14.599999999999994</v>
      </c>
      <c r="BO129" s="14">
        <v>4.5999999999999996</v>
      </c>
      <c r="BP129" s="14">
        <v>-6.1000000000000005</v>
      </c>
      <c r="BQ129" s="14">
        <v>-31</v>
      </c>
      <c r="BR129" s="14">
        <v>-1.4000000000000004</v>
      </c>
      <c r="BS129" s="14">
        <v>-2.5200000000000005</v>
      </c>
      <c r="BT129" s="14">
        <v>-10.399999999999999</v>
      </c>
      <c r="BU129" s="14">
        <v>2.2000000000000002</v>
      </c>
      <c r="BV129" s="14">
        <v>1.379999999999999</v>
      </c>
      <c r="BW129" s="14">
        <v>3.7999999999999972</v>
      </c>
      <c r="BX129" s="14">
        <v>1.1999999999999993</v>
      </c>
      <c r="BY129" s="48">
        <v>5.64</v>
      </c>
      <c r="BZ129" s="14">
        <v>4.3999999999999986</v>
      </c>
      <c r="CA129" s="14">
        <v>0.59999999999999964</v>
      </c>
      <c r="CB129" s="14">
        <v>2.5999999999999996</v>
      </c>
      <c r="CC129" s="14">
        <v>0.60000000000000009</v>
      </c>
      <c r="CD129" s="14">
        <v>2.8</v>
      </c>
      <c r="CE129" s="14">
        <v>-2.1803410697349868E-2</v>
      </c>
      <c r="CF129" s="14">
        <v>-2.6780475875191626E-2</v>
      </c>
      <c r="CG129" s="14">
        <v>0.11392496392496387</v>
      </c>
      <c r="CH129" s="14">
        <v>-6.6</v>
      </c>
      <c r="CI129" s="14">
        <v>5.3999999999999986</v>
      </c>
      <c r="CJ129" s="14">
        <v>-5.1999999999999993</v>
      </c>
      <c r="CK129" s="14">
        <v>-1.2000000000000002</v>
      </c>
      <c r="CL129" s="14">
        <v>-1.7999999999999972</v>
      </c>
      <c r="CM129" s="14">
        <v>3.8000000000000007</v>
      </c>
      <c r="CN129" s="14">
        <v>-1.4</v>
      </c>
      <c r="CO129" s="14">
        <v>-40.399999999999977</v>
      </c>
      <c r="CP129" s="14">
        <v>-14.800000000000011</v>
      </c>
      <c r="CQ129" s="14">
        <v>-17.200000000000003</v>
      </c>
      <c r="CR129" s="14">
        <v>0.79999999999999982</v>
      </c>
      <c r="CS129" s="14">
        <v>-9.1999999999999993</v>
      </c>
      <c r="CT129" t="s">
        <v>243</v>
      </c>
      <c r="CU129" t="s">
        <v>486</v>
      </c>
    </row>
    <row r="130" spans="1:99" x14ac:dyDescent="0.2">
      <c r="A130" s="19">
        <v>44115</v>
      </c>
      <c r="B130">
        <v>5</v>
      </c>
      <c r="C130" s="13" t="s">
        <v>381</v>
      </c>
      <c r="D130" s="17" t="s">
        <v>272</v>
      </c>
      <c r="E130" s="14" t="s">
        <v>305</v>
      </c>
      <c r="F130" t="s">
        <v>492</v>
      </c>
      <c r="G130">
        <v>6.32</v>
      </c>
      <c r="H130" t="s">
        <v>499</v>
      </c>
      <c r="I130">
        <v>15.4</v>
      </c>
      <c r="J130">
        <v>24</v>
      </c>
      <c r="K130">
        <v>59</v>
      </c>
      <c r="L130">
        <v>8</v>
      </c>
      <c r="M130" t="s">
        <v>493</v>
      </c>
      <c r="N130">
        <v>1.4</v>
      </c>
      <c r="O130">
        <v>0</v>
      </c>
      <c r="P130">
        <v>0</v>
      </c>
      <c r="Q130">
        <v>2</v>
      </c>
      <c r="R130" t="s">
        <v>91</v>
      </c>
      <c r="S130">
        <v>10.199999999999999</v>
      </c>
      <c r="T130">
        <v>62</v>
      </c>
      <c r="U130">
        <v>8</v>
      </c>
      <c r="V130" t="s">
        <v>495</v>
      </c>
      <c r="W130">
        <v>8.1999999999999993</v>
      </c>
      <c r="X130">
        <v>42</v>
      </c>
      <c r="Y130">
        <v>6</v>
      </c>
      <c r="Z130" t="s">
        <v>61</v>
      </c>
      <c r="AA130">
        <v>2.2000000000000002</v>
      </c>
      <c r="AB130">
        <v>12</v>
      </c>
      <c r="AC130">
        <v>1</v>
      </c>
      <c r="AD130">
        <v>18.8</v>
      </c>
      <c r="AE130">
        <v>98</v>
      </c>
      <c r="AF130">
        <v>11</v>
      </c>
      <c r="AG130" t="s">
        <v>497</v>
      </c>
      <c r="AH130">
        <v>4.2</v>
      </c>
      <c r="AI130">
        <v>22</v>
      </c>
      <c r="AJ130">
        <v>2</v>
      </c>
      <c r="AK130">
        <v>3</v>
      </c>
      <c r="AL130">
        <v>1</v>
      </c>
      <c r="AM130">
        <v>3</v>
      </c>
      <c r="AN130" s="21">
        <v>0.51282051282051277</v>
      </c>
      <c r="AO130" s="21">
        <v>0.17948717948717949</v>
      </c>
      <c r="AP130" s="21">
        <v>0.5</v>
      </c>
      <c r="AQ130" s="35">
        <v>26</v>
      </c>
      <c r="AR130" s="35">
        <v>30</v>
      </c>
      <c r="AS130" s="35">
        <v>24</v>
      </c>
      <c r="AT130" s="35">
        <v>3</v>
      </c>
      <c r="AU130" s="35">
        <v>65</v>
      </c>
      <c r="AV130" s="35">
        <v>3</v>
      </c>
      <c r="AW130" s="35">
        <v>0</v>
      </c>
      <c r="AX130">
        <v>253</v>
      </c>
      <c r="AY130" s="35">
        <v>183</v>
      </c>
      <c r="AZ130" s="35">
        <v>59</v>
      </c>
      <c r="BA130" s="35">
        <v>1</v>
      </c>
      <c r="BB130" s="35">
        <v>10</v>
      </c>
      <c r="BC130" t="s">
        <v>305</v>
      </c>
      <c r="BD130" s="14">
        <v>-17.14</v>
      </c>
      <c r="BE130" s="14">
        <v>-0.36000000000000121</v>
      </c>
      <c r="BF130" s="14">
        <v>8.6</v>
      </c>
      <c r="BG130" s="14">
        <v>-5.2000000000000028</v>
      </c>
      <c r="BH130" s="14">
        <v>3</v>
      </c>
      <c r="BI130" s="14">
        <v>-3.0799999999999996</v>
      </c>
      <c r="BJ130" s="14">
        <v>-1</v>
      </c>
      <c r="BK130" s="14">
        <v>-2</v>
      </c>
      <c r="BL130" s="14">
        <v>-1</v>
      </c>
      <c r="BM130" s="14">
        <v>-4.9400000000000013</v>
      </c>
      <c r="BN130" s="14">
        <v>-4.4000000000000057</v>
      </c>
      <c r="BO130" s="14">
        <v>0.40000000000000036</v>
      </c>
      <c r="BP130" s="14">
        <v>-2.5200000000000014</v>
      </c>
      <c r="BQ130" s="14">
        <v>-11.200000000000003</v>
      </c>
      <c r="BR130" s="14">
        <v>0.40000000000000036</v>
      </c>
      <c r="BS130" s="14">
        <v>-3.6399999999999988</v>
      </c>
      <c r="BT130" s="14">
        <v>-28.6</v>
      </c>
      <c r="BU130" s="14">
        <v>-3.8</v>
      </c>
      <c r="BV130" s="14">
        <v>-0.87999999999999901</v>
      </c>
      <c r="BW130" s="14">
        <v>-10.799999999999997</v>
      </c>
      <c r="BX130" s="14">
        <v>-1</v>
      </c>
      <c r="BY130" s="48">
        <v>-3.8999999999999995</v>
      </c>
      <c r="BZ130" s="14">
        <v>-19</v>
      </c>
      <c r="CA130" s="14">
        <v>-4</v>
      </c>
      <c r="CB130" s="14">
        <v>-0.60000000000000009</v>
      </c>
      <c r="CC130" s="14">
        <v>-0.39999999999999991</v>
      </c>
      <c r="CD130" s="14">
        <v>-1</v>
      </c>
      <c r="CE130" s="14">
        <v>0.13373240564994232</v>
      </c>
      <c r="CF130" s="14">
        <v>8.8421626389116811E-2</v>
      </c>
      <c r="CG130" s="14">
        <v>-7.3160173160173203E-2</v>
      </c>
      <c r="CH130" s="14">
        <v>13.8</v>
      </c>
      <c r="CI130" s="14">
        <v>-8.6000000000000014</v>
      </c>
      <c r="CJ130" s="14">
        <v>6.1999999999999993</v>
      </c>
      <c r="CK130" s="14">
        <v>-1.4000000000000004</v>
      </c>
      <c r="CL130" s="14">
        <v>-0.79999999999999716</v>
      </c>
      <c r="CM130" s="14">
        <v>-16.600000000000001</v>
      </c>
      <c r="CN130" s="14">
        <v>0</v>
      </c>
      <c r="CO130" s="14">
        <v>-124.19999999999999</v>
      </c>
      <c r="CP130" s="14">
        <v>-91</v>
      </c>
      <c r="CQ130" s="14">
        <v>-11.599999999999994</v>
      </c>
      <c r="CR130" s="14">
        <v>-6</v>
      </c>
      <c r="CS130" s="14">
        <v>-15.600000000000001</v>
      </c>
      <c r="CT130" t="s">
        <v>268</v>
      </c>
      <c r="CU130" t="s">
        <v>500</v>
      </c>
    </row>
    <row r="131" spans="1:99" x14ac:dyDescent="0.2">
      <c r="A131" s="19">
        <v>44115</v>
      </c>
      <c r="B131">
        <v>5</v>
      </c>
      <c r="C131" s="13" t="s">
        <v>381</v>
      </c>
      <c r="D131" s="41" t="s">
        <v>276</v>
      </c>
      <c r="E131" s="14" t="s">
        <v>310</v>
      </c>
      <c r="F131" t="s">
        <v>503</v>
      </c>
      <c r="G131">
        <v>18.32</v>
      </c>
      <c r="H131" t="s">
        <v>504</v>
      </c>
      <c r="I131">
        <v>4.3</v>
      </c>
      <c r="J131">
        <v>11</v>
      </c>
      <c r="K131">
        <v>25</v>
      </c>
      <c r="L131">
        <v>1</v>
      </c>
      <c r="M131" t="s">
        <v>509</v>
      </c>
      <c r="N131">
        <v>14.4</v>
      </c>
      <c r="O131">
        <v>7</v>
      </c>
      <c r="P131">
        <v>52</v>
      </c>
      <c r="Q131">
        <v>3</v>
      </c>
      <c r="R131" t="s">
        <v>44</v>
      </c>
      <c r="S131">
        <v>23.6</v>
      </c>
      <c r="T131">
        <v>106</v>
      </c>
      <c r="U131">
        <v>16</v>
      </c>
      <c r="V131" t="s">
        <v>46</v>
      </c>
      <c r="W131">
        <v>11.3</v>
      </c>
      <c r="X131">
        <v>53</v>
      </c>
      <c r="Y131">
        <v>6</v>
      </c>
      <c r="Z131" t="s">
        <v>506</v>
      </c>
      <c r="AA131">
        <v>10.8</v>
      </c>
      <c r="AB131">
        <v>58</v>
      </c>
      <c r="AC131">
        <v>9</v>
      </c>
      <c r="AD131">
        <v>31.9</v>
      </c>
      <c r="AE131">
        <v>109</v>
      </c>
      <c r="AF131">
        <v>19</v>
      </c>
      <c r="AG131" t="s">
        <v>173</v>
      </c>
      <c r="AH131">
        <v>2.5</v>
      </c>
      <c r="AI131">
        <v>15</v>
      </c>
      <c r="AJ131">
        <v>3</v>
      </c>
      <c r="AK131">
        <v>5</v>
      </c>
      <c r="AL131">
        <v>1</v>
      </c>
      <c r="AM131">
        <v>-4</v>
      </c>
      <c r="AN131" s="21">
        <v>0.32653061224489793</v>
      </c>
      <c r="AO131" s="21">
        <v>2.0408163265306121E-2</v>
      </c>
      <c r="AP131" s="21">
        <v>0.66666666666666663</v>
      </c>
      <c r="AQ131" s="35">
        <v>8</v>
      </c>
      <c r="AR131" s="35">
        <v>46</v>
      </c>
      <c r="AS131" s="35">
        <v>18</v>
      </c>
      <c r="AT131" s="35">
        <v>4</v>
      </c>
      <c r="AU131" s="35">
        <v>69</v>
      </c>
      <c r="AV131" s="35">
        <v>16</v>
      </c>
      <c r="AW131" s="35">
        <v>0</v>
      </c>
      <c r="AX131">
        <v>380</v>
      </c>
      <c r="AY131" s="35">
        <v>285</v>
      </c>
      <c r="AZ131" s="35">
        <v>77</v>
      </c>
      <c r="BA131" s="35">
        <v>0</v>
      </c>
      <c r="BB131" s="35">
        <v>18</v>
      </c>
      <c r="BC131" t="s">
        <v>310</v>
      </c>
      <c r="BD131" s="14">
        <v>-7.4849999999999994</v>
      </c>
      <c r="BE131" s="14">
        <v>-13.724999999999998</v>
      </c>
      <c r="BF131" s="14">
        <v>-6</v>
      </c>
      <c r="BG131" s="14">
        <v>-66.25</v>
      </c>
      <c r="BH131" s="14">
        <v>-2</v>
      </c>
      <c r="BI131" s="14">
        <v>6.6750000000000007</v>
      </c>
      <c r="BJ131" s="14">
        <v>1.75</v>
      </c>
      <c r="BK131" s="14">
        <v>28.25</v>
      </c>
      <c r="BL131" s="14">
        <v>0.75</v>
      </c>
      <c r="BM131" s="14">
        <v>4.6999999999999993</v>
      </c>
      <c r="BN131" s="14">
        <v>20.5</v>
      </c>
      <c r="BO131" s="14">
        <v>7</v>
      </c>
      <c r="BP131" s="14">
        <v>-9.7999999999999972</v>
      </c>
      <c r="BQ131" s="14">
        <v>-35.5</v>
      </c>
      <c r="BR131" s="14">
        <v>-1.75</v>
      </c>
      <c r="BS131" s="14">
        <v>2.4500000000000011</v>
      </c>
      <c r="BT131" s="14">
        <v>29.5</v>
      </c>
      <c r="BU131" s="14">
        <v>4.5</v>
      </c>
      <c r="BV131" s="14">
        <v>4.6499999999999986</v>
      </c>
      <c r="BW131" s="14">
        <v>-13.5</v>
      </c>
      <c r="BX131" s="14">
        <v>6.25</v>
      </c>
      <c r="BY131" s="48">
        <v>-8.6750000000000007</v>
      </c>
      <c r="BZ131" s="14">
        <v>-21.75</v>
      </c>
      <c r="CA131" s="14">
        <v>-1.75</v>
      </c>
      <c r="CB131" s="14">
        <v>-0.75</v>
      </c>
      <c r="CC131" s="14">
        <v>-0.25</v>
      </c>
      <c r="CD131" s="14">
        <v>-4.75</v>
      </c>
      <c r="CE131" s="14">
        <v>-4.0578231292517031E-2</v>
      </c>
      <c r="CF131" s="14">
        <v>-2.3265306122448984E-2</v>
      </c>
      <c r="CG131" s="14">
        <v>8.3333333333334147E-3</v>
      </c>
      <c r="CH131" s="14">
        <v>3.5</v>
      </c>
      <c r="CI131" s="14">
        <v>7.25</v>
      </c>
      <c r="CJ131" s="14">
        <v>-4.25</v>
      </c>
      <c r="CK131" s="14">
        <v>0.5</v>
      </c>
      <c r="CL131" s="14">
        <v>3.75</v>
      </c>
      <c r="CM131" s="14">
        <v>-12</v>
      </c>
      <c r="CN131" s="14">
        <v>0</v>
      </c>
      <c r="CO131" s="14">
        <v>-67</v>
      </c>
      <c r="CP131" s="14">
        <v>-17.5</v>
      </c>
      <c r="CQ131" s="14">
        <v>-38</v>
      </c>
      <c r="CR131" s="14">
        <v>-10.25</v>
      </c>
      <c r="CS131" s="14">
        <v>-1.25</v>
      </c>
      <c r="CT131" t="s">
        <v>286</v>
      </c>
      <c r="CU131" t="s">
        <v>479</v>
      </c>
    </row>
    <row r="132" spans="1:99" x14ac:dyDescent="0.2">
      <c r="A132" s="19">
        <v>44115</v>
      </c>
      <c r="B132">
        <v>5</v>
      </c>
      <c r="C132" s="13" t="s">
        <v>381</v>
      </c>
      <c r="D132" s="41" t="s">
        <v>281</v>
      </c>
      <c r="E132" s="14" t="s">
        <v>289</v>
      </c>
      <c r="F132" t="s">
        <v>522</v>
      </c>
      <c r="G132">
        <v>17.579999999999998</v>
      </c>
      <c r="H132" t="s">
        <v>523</v>
      </c>
      <c r="I132">
        <v>18.3</v>
      </c>
      <c r="J132">
        <v>20</v>
      </c>
      <c r="K132">
        <v>72</v>
      </c>
      <c r="L132">
        <v>4</v>
      </c>
      <c r="M132" t="s">
        <v>524</v>
      </c>
      <c r="N132">
        <v>4.5999999999999996</v>
      </c>
      <c r="O132">
        <v>8</v>
      </c>
      <c r="P132">
        <v>32</v>
      </c>
      <c r="Q132">
        <v>1</v>
      </c>
      <c r="R132" t="s">
        <v>51</v>
      </c>
      <c r="S132">
        <v>11.42</v>
      </c>
      <c r="T132">
        <v>58</v>
      </c>
      <c r="U132">
        <v>9</v>
      </c>
      <c r="V132" t="s">
        <v>52</v>
      </c>
      <c r="W132">
        <v>12.8</v>
      </c>
      <c r="X132">
        <v>88</v>
      </c>
      <c r="Y132">
        <v>9</v>
      </c>
      <c r="Z132" t="s">
        <v>525</v>
      </c>
      <c r="AA132">
        <v>12.1</v>
      </c>
      <c r="AB132">
        <v>31</v>
      </c>
      <c r="AC132">
        <v>3</v>
      </c>
      <c r="AD132">
        <v>25</v>
      </c>
      <c r="AE132">
        <v>100</v>
      </c>
      <c r="AF132">
        <v>12</v>
      </c>
      <c r="AG132" t="s">
        <v>174</v>
      </c>
      <c r="AH132">
        <v>10.7</v>
      </c>
      <c r="AI132">
        <v>57</v>
      </c>
      <c r="AJ132">
        <v>10</v>
      </c>
      <c r="AK132">
        <v>13</v>
      </c>
      <c r="AL132">
        <v>3</v>
      </c>
      <c r="AM132">
        <v>13</v>
      </c>
      <c r="AN132" s="21">
        <v>0.20512820512820512</v>
      </c>
      <c r="AO132" s="21">
        <v>2.564102564102564E-2</v>
      </c>
      <c r="AP132" s="21">
        <v>0.5</v>
      </c>
      <c r="AQ132" s="35">
        <v>11</v>
      </c>
      <c r="AR132" s="35">
        <v>37</v>
      </c>
      <c r="AS132" s="35">
        <v>30</v>
      </c>
      <c r="AT132" s="35">
        <v>2</v>
      </c>
      <c r="AU132" s="35">
        <v>72</v>
      </c>
      <c r="AV132" s="35">
        <v>23</v>
      </c>
      <c r="AW132" s="35">
        <v>9</v>
      </c>
      <c r="AX132">
        <v>371</v>
      </c>
      <c r="AY132" s="35">
        <v>247</v>
      </c>
      <c r="AZ132" s="35">
        <v>108</v>
      </c>
      <c r="BA132" s="35">
        <v>-1</v>
      </c>
      <c r="BB132" s="35">
        <v>17</v>
      </c>
      <c r="BC132" t="s">
        <v>289</v>
      </c>
      <c r="BD132" s="14">
        <v>5.0999999999999979</v>
      </c>
      <c r="BE132" s="14">
        <v>4.6599999999999966</v>
      </c>
      <c r="BF132" s="14">
        <v>4.5999999999999996</v>
      </c>
      <c r="BG132" s="14">
        <v>17.399999999999999</v>
      </c>
      <c r="BH132" s="14">
        <v>0.79999999999999982</v>
      </c>
      <c r="BI132" s="14">
        <v>-1.2400000000000002</v>
      </c>
      <c r="BJ132" s="14">
        <v>3.8</v>
      </c>
      <c r="BK132" s="14">
        <v>18.399999999999999</v>
      </c>
      <c r="BL132" s="14">
        <v>-1.2000000000000002</v>
      </c>
      <c r="BM132" s="14">
        <v>-3.1639999999999979</v>
      </c>
      <c r="BN132" s="14">
        <v>-3.6000000000000014</v>
      </c>
      <c r="BO132" s="14">
        <v>1.2000000000000002</v>
      </c>
      <c r="BP132" s="14">
        <v>2.4000000000000004</v>
      </c>
      <c r="BQ132" s="14">
        <v>26.4</v>
      </c>
      <c r="BR132" s="14">
        <v>3.2</v>
      </c>
      <c r="BS132" s="14">
        <v>3.5</v>
      </c>
      <c r="BT132" s="14">
        <v>-9.6000000000000014</v>
      </c>
      <c r="BU132" s="14">
        <v>-2.8</v>
      </c>
      <c r="BV132" s="14">
        <v>8.4200000000000017</v>
      </c>
      <c r="BW132" s="14">
        <v>26.200000000000003</v>
      </c>
      <c r="BX132" s="14">
        <v>1.5999999999999996</v>
      </c>
      <c r="BY132" s="48">
        <v>6.0799999999999992</v>
      </c>
      <c r="BZ132" s="14">
        <v>34.799999999999997</v>
      </c>
      <c r="CA132" s="14">
        <v>5.6</v>
      </c>
      <c r="CB132" s="14">
        <v>8.8000000000000007</v>
      </c>
      <c r="CC132" s="14">
        <v>1.4</v>
      </c>
      <c r="CD132" s="14">
        <v>8.4</v>
      </c>
      <c r="CE132" s="14">
        <v>-8.8960082063530344E-2</v>
      </c>
      <c r="CF132" s="14">
        <v>-2.5357209839968461E-2</v>
      </c>
      <c r="CG132" s="14">
        <v>-8.9285714285714191E-2</v>
      </c>
      <c r="CH132" s="14">
        <v>-1.5999999999999996</v>
      </c>
      <c r="CI132" s="14">
        <v>2.3999999999999986</v>
      </c>
      <c r="CJ132" s="14">
        <v>8.1999999999999993</v>
      </c>
      <c r="CK132" s="14">
        <v>-0.39999999999999991</v>
      </c>
      <c r="CL132" s="14">
        <v>7</v>
      </c>
      <c r="CM132" s="14">
        <v>7.1999999999999993</v>
      </c>
      <c r="CN132" s="14">
        <v>7.2</v>
      </c>
      <c r="CO132" s="14">
        <v>65.600000000000023</v>
      </c>
      <c r="CP132" s="14">
        <v>29</v>
      </c>
      <c r="CQ132" s="14">
        <v>33.400000000000006</v>
      </c>
      <c r="CR132" s="14">
        <v>-6.2</v>
      </c>
      <c r="CS132" s="14">
        <v>9.4</v>
      </c>
      <c r="CT132" t="s">
        <v>274</v>
      </c>
      <c r="CU132" t="s">
        <v>488</v>
      </c>
    </row>
    <row r="133" spans="1:99" x14ac:dyDescent="0.2">
      <c r="A133" s="19">
        <v>44115</v>
      </c>
      <c r="B133">
        <v>5</v>
      </c>
      <c r="C133" s="13" t="s">
        <v>381</v>
      </c>
      <c r="D133" s="41" t="s">
        <v>284</v>
      </c>
      <c r="E133" s="14" t="s">
        <v>265</v>
      </c>
      <c r="F133" t="s">
        <v>533</v>
      </c>
      <c r="G133">
        <v>12.12</v>
      </c>
      <c r="H133" t="s">
        <v>534</v>
      </c>
      <c r="I133">
        <v>18.5</v>
      </c>
      <c r="J133">
        <v>17</v>
      </c>
      <c r="K133">
        <v>106</v>
      </c>
      <c r="L133">
        <v>5</v>
      </c>
      <c r="M133" t="s">
        <v>537</v>
      </c>
      <c r="N133">
        <v>1.5</v>
      </c>
      <c r="O133">
        <v>0</v>
      </c>
      <c r="P133">
        <v>0</v>
      </c>
      <c r="Q133">
        <v>3</v>
      </c>
      <c r="R133" t="s">
        <v>20</v>
      </c>
      <c r="S133">
        <v>15.1</v>
      </c>
      <c r="T133">
        <v>51</v>
      </c>
      <c r="U133">
        <v>9</v>
      </c>
      <c r="V133" t="s">
        <v>162</v>
      </c>
      <c r="W133">
        <v>0</v>
      </c>
      <c r="X133">
        <v>0</v>
      </c>
      <c r="Y133">
        <v>0</v>
      </c>
      <c r="Z133" t="s">
        <v>538</v>
      </c>
      <c r="AA133">
        <v>10.1</v>
      </c>
      <c r="AB133">
        <v>61</v>
      </c>
      <c r="AC133">
        <v>6</v>
      </c>
      <c r="AD133">
        <v>6.8</v>
      </c>
      <c r="AE133">
        <v>28</v>
      </c>
      <c r="AF133">
        <v>7</v>
      </c>
      <c r="AG133" t="s">
        <v>536</v>
      </c>
      <c r="AH133">
        <v>8.1999999999999993</v>
      </c>
      <c r="AI133">
        <v>52</v>
      </c>
      <c r="AJ133">
        <v>6</v>
      </c>
      <c r="AK133">
        <v>14</v>
      </c>
      <c r="AL133">
        <v>4</v>
      </c>
      <c r="AM133">
        <v>6</v>
      </c>
      <c r="AN133" s="21">
        <v>0.38636363636363635</v>
      </c>
      <c r="AO133" s="21">
        <v>6.8181818181818177E-2</v>
      </c>
      <c r="AP133" s="21">
        <v>0.5</v>
      </c>
      <c r="AQ133" s="35">
        <v>6</v>
      </c>
      <c r="AR133" s="35">
        <v>41</v>
      </c>
      <c r="AS133" s="35">
        <v>17</v>
      </c>
      <c r="AT133" s="35">
        <v>3</v>
      </c>
      <c r="AU133" s="35">
        <v>64</v>
      </c>
      <c r="AV133" s="35">
        <v>19</v>
      </c>
      <c r="AW133" s="35">
        <v>0</v>
      </c>
      <c r="AX133">
        <v>359</v>
      </c>
      <c r="AY133" s="35">
        <v>253</v>
      </c>
      <c r="AZ133" s="35">
        <v>106</v>
      </c>
      <c r="BA133" s="35">
        <v>0</v>
      </c>
      <c r="BB133" s="35">
        <v>0</v>
      </c>
      <c r="BC133" t="s">
        <v>265</v>
      </c>
      <c r="BD133" s="14">
        <v>0.73599999999999888</v>
      </c>
      <c r="BE133" s="14">
        <v>4.360000000000003</v>
      </c>
      <c r="BF133" s="14">
        <v>1.8000000000000007</v>
      </c>
      <c r="BG133" s="14">
        <v>40.799999999999997</v>
      </c>
      <c r="BH133" s="14">
        <v>1.7999999999999998</v>
      </c>
      <c r="BI133" s="14">
        <v>-4.54</v>
      </c>
      <c r="BJ133" s="14">
        <v>-5</v>
      </c>
      <c r="BK133" s="14">
        <v>-24.4</v>
      </c>
      <c r="BL133" s="14">
        <v>0.79999999999999982</v>
      </c>
      <c r="BM133" s="14">
        <v>3.3600000000000012</v>
      </c>
      <c r="BN133" s="14">
        <v>-9</v>
      </c>
      <c r="BO133" s="14">
        <v>1.4000000000000004</v>
      </c>
      <c r="BP133" s="14">
        <v>-7.4800000000000013</v>
      </c>
      <c r="BQ133" s="14">
        <v>-44.8</v>
      </c>
      <c r="BR133" s="14">
        <v>-5.4</v>
      </c>
      <c r="BS133" s="14">
        <v>4.16</v>
      </c>
      <c r="BT133" s="14">
        <v>26.799999999999997</v>
      </c>
      <c r="BU133" s="14">
        <v>2.2000000000000002</v>
      </c>
      <c r="BV133" s="14">
        <v>-3.4400000000000004</v>
      </c>
      <c r="BW133" s="14">
        <v>-24.4</v>
      </c>
      <c r="BX133" s="14">
        <v>-0.20000000000000018</v>
      </c>
      <c r="BY133" s="48">
        <v>0.59999999999999964</v>
      </c>
      <c r="BZ133" s="14">
        <v>24</v>
      </c>
      <c r="CA133" s="14">
        <v>2</v>
      </c>
      <c r="CB133" s="14">
        <v>3.8000000000000007</v>
      </c>
      <c r="CC133" s="14">
        <v>0.39999999999999991</v>
      </c>
      <c r="CD133" s="14">
        <v>0.20000000000000018</v>
      </c>
      <c r="CE133" s="14">
        <v>6.2105093488072249E-2</v>
      </c>
      <c r="CF133" s="14">
        <v>8.5751128304319135E-4</v>
      </c>
      <c r="CG133" s="14">
        <v>-4.0317460317460307E-2</v>
      </c>
      <c r="CH133" s="14">
        <v>-1</v>
      </c>
      <c r="CI133" s="14">
        <v>5.6000000000000014</v>
      </c>
      <c r="CJ133" s="14">
        <v>-5</v>
      </c>
      <c r="CK133" s="14">
        <v>-0.60000000000000009</v>
      </c>
      <c r="CL133" s="14">
        <v>-0.20000000000000284</v>
      </c>
      <c r="CM133" s="14">
        <v>0.39999999999999858</v>
      </c>
      <c r="CN133" s="14">
        <v>0</v>
      </c>
      <c r="CO133" s="14">
        <v>23.399999999999977</v>
      </c>
      <c r="CP133" s="14">
        <v>25.400000000000006</v>
      </c>
      <c r="CQ133" s="14">
        <v>13.400000000000006</v>
      </c>
      <c r="CR133" s="14">
        <v>-2.6</v>
      </c>
      <c r="CS133" s="14">
        <v>-12.8</v>
      </c>
      <c r="CT133" t="s">
        <v>236</v>
      </c>
      <c r="CU133" t="s">
        <v>539</v>
      </c>
    </row>
    <row r="134" spans="1:99" x14ac:dyDescent="0.2">
      <c r="A134" s="19">
        <v>44115</v>
      </c>
      <c r="B134">
        <v>5</v>
      </c>
      <c r="C134" s="13" t="s">
        <v>381</v>
      </c>
      <c r="D134" s="41" t="s">
        <v>285</v>
      </c>
      <c r="E134" s="14" t="s">
        <v>298</v>
      </c>
      <c r="F134" t="s">
        <v>541</v>
      </c>
      <c r="G134">
        <v>30.3</v>
      </c>
      <c r="H134" t="s">
        <v>542</v>
      </c>
      <c r="I134">
        <v>12.2</v>
      </c>
      <c r="J134">
        <v>18</v>
      </c>
      <c r="K134">
        <v>60</v>
      </c>
      <c r="L134">
        <v>1</v>
      </c>
      <c r="M134" t="s">
        <v>543</v>
      </c>
      <c r="N134">
        <v>20.2</v>
      </c>
      <c r="O134">
        <v>3</v>
      </c>
      <c r="P134">
        <v>36</v>
      </c>
      <c r="Q134">
        <v>6</v>
      </c>
      <c r="R134" t="s">
        <v>22</v>
      </c>
      <c r="S134">
        <v>28.1</v>
      </c>
      <c r="T134">
        <v>131</v>
      </c>
      <c r="U134">
        <v>7</v>
      </c>
      <c r="V134" t="s">
        <v>50</v>
      </c>
      <c r="W134">
        <v>12.8</v>
      </c>
      <c r="X134">
        <v>78</v>
      </c>
      <c r="Y134">
        <v>7</v>
      </c>
      <c r="Z134" t="s">
        <v>17</v>
      </c>
      <c r="AA134">
        <v>7.5</v>
      </c>
      <c r="AB134">
        <v>35</v>
      </c>
      <c r="AC134">
        <v>7</v>
      </c>
      <c r="AD134">
        <v>17.7</v>
      </c>
      <c r="AE134">
        <v>107</v>
      </c>
      <c r="AF134">
        <v>10</v>
      </c>
      <c r="AG134" t="s">
        <v>545</v>
      </c>
      <c r="AH134">
        <v>5.7</v>
      </c>
      <c r="AI134">
        <v>37</v>
      </c>
      <c r="AJ134">
        <v>2</v>
      </c>
      <c r="AK134">
        <v>10</v>
      </c>
      <c r="AL134">
        <v>2</v>
      </c>
      <c r="AM134">
        <v>7</v>
      </c>
      <c r="AN134" s="21">
        <v>0.15789473684210525</v>
      </c>
      <c r="AO134" s="21">
        <v>2.6315789473684209E-2</v>
      </c>
      <c r="AP134" s="21">
        <v>0.25</v>
      </c>
      <c r="AQ134" s="35">
        <v>2</v>
      </c>
      <c r="AR134" s="35">
        <v>37</v>
      </c>
      <c r="AS134" s="35">
        <v>21</v>
      </c>
      <c r="AT134" s="35">
        <v>9</v>
      </c>
      <c r="AU134" s="35">
        <v>68</v>
      </c>
      <c r="AV134" s="35">
        <v>30</v>
      </c>
      <c r="AW134" s="35">
        <v>0</v>
      </c>
      <c r="AX134">
        <v>507</v>
      </c>
      <c r="AY134" s="35">
        <v>380</v>
      </c>
      <c r="AZ134" s="35">
        <v>96</v>
      </c>
      <c r="BA134" s="35">
        <v>0</v>
      </c>
      <c r="BB134" s="35">
        <v>31</v>
      </c>
      <c r="BC134" t="s">
        <v>298</v>
      </c>
      <c r="BD134" s="14">
        <v>12.104000000000003</v>
      </c>
      <c r="BE134" s="14">
        <v>-5.6999999999999993</v>
      </c>
      <c r="BF134" s="14">
        <v>2</v>
      </c>
      <c r="BG134" s="14">
        <v>-21.799999999999997</v>
      </c>
      <c r="BH134" s="14">
        <v>-1.2000000000000002</v>
      </c>
      <c r="BI134" s="14">
        <v>11.46</v>
      </c>
      <c r="BJ134" s="14">
        <v>-3.5999999999999996</v>
      </c>
      <c r="BK134" s="14">
        <v>18</v>
      </c>
      <c r="BL134" s="14">
        <v>2.6</v>
      </c>
      <c r="BM134" s="14">
        <v>14.58</v>
      </c>
      <c r="BN134" s="14">
        <v>61.8</v>
      </c>
      <c r="BO134" s="14">
        <v>1.5999999999999996</v>
      </c>
      <c r="BP134" s="14">
        <v>1.0799999999999983</v>
      </c>
      <c r="BQ134" s="14">
        <v>26.799999999999997</v>
      </c>
      <c r="BR134" s="14">
        <v>2.2000000000000002</v>
      </c>
      <c r="BS134" s="14">
        <v>2.1799999999999997</v>
      </c>
      <c r="BT134" s="14">
        <v>7.8000000000000007</v>
      </c>
      <c r="BU134" s="14">
        <v>2.8</v>
      </c>
      <c r="BV134" s="14">
        <v>0.63999999999999702</v>
      </c>
      <c r="BW134" s="14">
        <v>28.400000000000006</v>
      </c>
      <c r="BX134" s="14">
        <v>2.4000000000000004</v>
      </c>
      <c r="BY134" s="48">
        <v>-7.56</v>
      </c>
      <c r="BZ134" s="14">
        <v>-7.6000000000000014</v>
      </c>
      <c r="CA134" s="14">
        <v>-2.4000000000000004</v>
      </c>
      <c r="CB134" s="14">
        <v>-0.59999999999999964</v>
      </c>
      <c r="CC134" s="14">
        <v>0</v>
      </c>
      <c r="CD134" s="14">
        <v>-4.8000000000000007</v>
      </c>
      <c r="CE134" s="14">
        <v>-0.16722184493491798</v>
      </c>
      <c r="CF134" s="14">
        <v>-1.1447368421052637E-2</v>
      </c>
      <c r="CG134" s="14">
        <v>-0.29333333333333333</v>
      </c>
      <c r="CH134" s="14">
        <v>-2</v>
      </c>
      <c r="CI134" s="14">
        <v>7.1999999999999993</v>
      </c>
      <c r="CJ134" s="14">
        <v>-4.3999999999999986</v>
      </c>
      <c r="CK134" s="14">
        <v>5</v>
      </c>
      <c r="CL134" s="14">
        <v>7.6000000000000014</v>
      </c>
      <c r="CM134" s="14">
        <v>1.6000000000000014</v>
      </c>
      <c r="CN134" s="14">
        <v>-3.2</v>
      </c>
      <c r="CO134" s="14">
        <v>124.80000000000001</v>
      </c>
      <c r="CP134" s="14">
        <v>128.4</v>
      </c>
      <c r="CQ134" s="14">
        <v>-27.200000000000003</v>
      </c>
      <c r="CR134" s="14">
        <v>0</v>
      </c>
      <c r="CS134" s="14">
        <v>23.6</v>
      </c>
      <c r="CT134" t="s">
        <v>262</v>
      </c>
      <c r="CU134" t="s">
        <v>473</v>
      </c>
    </row>
    <row r="135" spans="1:99" x14ac:dyDescent="0.2">
      <c r="A135" s="19">
        <v>44115</v>
      </c>
      <c r="B135">
        <v>5</v>
      </c>
      <c r="C135" s="13" t="s">
        <v>381</v>
      </c>
      <c r="D135" s="41" t="s">
        <v>289</v>
      </c>
      <c r="E135" s="14" t="s">
        <v>281</v>
      </c>
      <c r="F135" t="s">
        <v>548</v>
      </c>
      <c r="G135">
        <v>7.32</v>
      </c>
      <c r="H135" t="s">
        <v>549</v>
      </c>
      <c r="I135">
        <v>15.4</v>
      </c>
      <c r="J135">
        <v>12</v>
      </c>
      <c r="K135">
        <v>57</v>
      </c>
      <c r="L135">
        <v>3</v>
      </c>
      <c r="M135" t="s">
        <v>550</v>
      </c>
      <c r="N135">
        <v>5</v>
      </c>
      <c r="O135">
        <v>3</v>
      </c>
      <c r="P135">
        <v>8</v>
      </c>
      <c r="Q135">
        <v>4</v>
      </c>
      <c r="R135" t="s">
        <v>182</v>
      </c>
      <c r="S135">
        <v>12.9</v>
      </c>
      <c r="T135">
        <v>69</v>
      </c>
      <c r="U135">
        <v>10</v>
      </c>
      <c r="V135" t="s">
        <v>96</v>
      </c>
      <c r="W135">
        <v>3.5</v>
      </c>
      <c r="X135">
        <v>15</v>
      </c>
      <c r="Y135">
        <v>2</v>
      </c>
      <c r="Z135" t="s">
        <v>551</v>
      </c>
      <c r="AA135">
        <v>8.3000000000000007</v>
      </c>
      <c r="AB135">
        <v>53</v>
      </c>
      <c r="AC135">
        <v>3</v>
      </c>
      <c r="AD135">
        <v>21.4</v>
      </c>
      <c r="AE135">
        <v>124</v>
      </c>
      <c r="AF135">
        <v>14</v>
      </c>
      <c r="AG135" t="s">
        <v>552</v>
      </c>
      <c r="AH135">
        <v>8.3000000000000007</v>
      </c>
      <c r="AI135">
        <v>33</v>
      </c>
      <c r="AJ135">
        <v>6</v>
      </c>
      <c r="AK135">
        <v>11</v>
      </c>
      <c r="AL135">
        <v>3</v>
      </c>
      <c r="AM135">
        <v>11</v>
      </c>
      <c r="AN135" s="21">
        <v>0.3235294117647059</v>
      </c>
      <c r="AO135" s="21">
        <v>2.9411764705882353E-2</v>
      </c>
      <c r="AP135" s="21">
        <v>0.75</v>
      </c>
      <c r="AQ135" s="35">
        <v>13</v>
      </c>
      <c r="AR135" s="35">
        <v>33</v>
      </c>
      <c r="AS135" s="35">
        <v>16</v>
      </c>
      <c r="AT135" s="35">
        <v>1</v>
      </c>
      <c r="AU135" s="35">
        <v>52</v>
      </c>
      <c r="AV135" s="35">
        <v>16</v>
      </c>
      <c r="AW135" s="35">
        <v>7</v>
      </c>
      <c r="AX135">
        <v>311</v>
      </c>
      <c r="AY135" s="35">
        <v>243</v>
      </c>
      <c r="AZ135" s="35">
        <v>66</v>
      </c>
      <c r="BA135" s="35">
        <v>3</v>
      </c>
      <c r="BB135" s="35">
        <v>-1</v>
      </c>
      <c r="BC135" t="s">
        <v>281</v>
      </c>
      <c r="BD135" s="14">
        <v>-13.135999999999999</v>
      </c>
      <c r="BE135" s="14">
        <v>-1.3399999999999981</v>
      </c>
      <c r="BF135" s="14">
        <v>-1.8000000000000007</v>
      </c>
      <c r="BG135" s="14">
        <v>-4.3999999999999986</v>
      </c>
      <c r="BH135" s="14">
        <v>-0.79999999999999982</v>
      </c>
      <c r="BI135" s="14">
        <v>-3</v>
      </c>
      <c r="BJ135" s="14">
        <v>-0.60000000000000009</v>
      </c>
      <c r="BK135" s="14">
        <v>-3.8000000000000007</v>
      </c>
      <c r="BL135" s="14">
        <v>0.39999999999999991</v>
      </c>
      <c r="BM135" s="14">
        <v>-7.1399999999999988</v>
      </c>
      <c r="BN135" s="14">
        <v>-17.400000000000006</v>
      </c>
      <c r="BO135" s="14">
        <v>0.80000000000000071</v>
      </c>
      <c r="BP135" s="14">
        <v>-10.540000000000001</v>
      </c>
      <c r="BQ135" s="14">
        <v>-30.799999999999997</v>
      </c>
      <c r="BR135" s="14">
        <v>-5</v>
      </c>
      <c r="BS135" s="14">
        <v>2.4400000000000004</v>
      </c>
      <c r="BT135" s="14">
        <v>23.6</v>
      </c>
      <c r="BU135" s="14">
        <v>-1.7999999999999998</v>
      </c>
      <c r="BV135" s="14">
        <v>-5.3800000000000026</v>
      </c>
      <c r="BW135" s="14">
        <v>12.200000000000003</v>
      </c>
      <c r="BX135" s="14">
        <v>-1</v>
      </c>
      <c r="BY135" s="48">
        <v>-3.9399999999999995</v>
      </c>
      <c r="BZ135" s="14">
        <v>-13.399999999999999</v>
      </c>
      <c r="CA135" s="14">
        <v>-2</v>
      </c>
      <c r="CB135" s="14">
        <v>3.8</v>
      </c>
      <c r="CC135" s="14">
        <v>1.6</v>
      </c>
      <c r="CD135" s="14">
        <v>5.8</v>
      </c>
      <c r="CE135" s="14">
        <v>6.8494777926906447E-2</v>
      </c>
      <c r="CF135" s="14">
        <v>-2.6272350010027617E-2</v>
      </c>
      <c r="CG135" s="14">
        <v>0.28153846153846163</v>
      </c>
      <c r="CH135" s="14">
        <v>5.6</v>
      </c>
      <c r="CI135" s="14">
        <v>-9.3999999999999986</v>
      </c>
      <c r="CJ135" s="14">
        <v>-2.8000000000000007</v>
      </c>
      <c r="CK135" s="14">
        <v>-2.6</v>
      </c>
      <c r="CL135" s="14">
        <v>-16.599999999999994</v>
      </c>
      <c r="CM135" s="14">
        <v>-11</v>
      </c>
      <c r="CN135" s="14">
        <v>4.2</v>
      </c>
      <c r="CO135" s="14">
        <v>-69.800000000000011</v>
      </c>
      <c r="CP135" s="14">
        <v>-47.600000000000023</v>
      </c>
      <c r="CQ135" s="14">
        <v>-9</v>
      </c>
      <c r="CR135" s="14">
        <v>-5.4</v>
      </c>
      <c r="CS135" s="14">
        <v>-7.8</v>
      </c>
      <c r="CT135" t="s">
        <v>266</v>
      </c>
      <c r="CU135" t="s">
        <v>498</v>
      </c>
    </row>
    <row r="136" spans="1:99" x14ac:dyDescent="0.2">
      <c r="A136" s="19">
        <v>44115</v>
      </c>
      <c r="B136">
        <v>5</v>
      </c>
      <c r="C136" s="13" t="s">
        <v>381</v>
      </c>
      <c r="D136" s="41" t="s">
        <v>287</v>
      </c>
      <c r="E136" s="14" t="s">
        <v>307</v>
      </c>
      <c r="F136" t="s">
        <v>557</v>
      </c>
      <c r="G136">
        <v>27.36</v>
      </c>
      <c r="H136" t="s">
        <v>558</v>
      </c>
      <c r="I136">
        <v>14.4</v>
      </c>
      <c r="J136">
        <v>15</v>
      </c>
      <c r="K136">
        <v>71</v>
      </c>
      <c r="L136">
        <v>6</v>
      </c>
      <c r="M136" t="s">
        <v>559</v>
      </c>
      <c r="N136">
        <v>4.8</v>
      </c>
      <c r="O136">
        <v>11</v>
      </c>
      <c r="P136">
        <v>29</v>
      </c>
      <c r="Q136">
        <v>1</v>
      </c>
      <c r="R136" t="s">
        <v>62</v>
      </c>
      <c r="S136">
        <v>10.9</v>
      </c>
      <c r="T136">
        <v>29</v>
      </c>
      <c r="U136">
        <v>2</v>
      </c>
      <c r="V136" t="s">
        <v>83</v>
      </c>
      <c r="W136">
        <v>30.9</v>
      </c>
      <c r="X136">
        <v>109</v>
      </c>
      <c r="Y136">
        <v>8</v>
      </c>
      <c r="Z136" t="s">
        <v>560</v>
      </c>
      <c r="AA136">
        <v>5.5</v>
      </c>
      <c r="AB136">
        <v>49</v>
      </c>
      <c r="AC136">
        <v>3</v>
      </c>
      <c r="AD136">
        <v>17.600000000000001</v>
      </c>
      <c r="AE136">
        <v>26</v>
      </c>
      <c r="AF136">
        <v>8</v>
      </c>
      <c r="AG136" t="s">
        <v>117</v>
      </c>
      <c r="AH136">
        <v>12.3</v>
      </c>
      <c r="AI136">
        <v>23</v>
      </c>
      <c r="AJ136">
        <v>8</v>
      </c>
      <c r="AK136">
        <v>2</v>
      </c>
      <c r="AL136">
        <v>1</v>
      </c>
      <c r="AM136">
        <v>3</v>
      </c>
      <c r="AN136" s="21">
        <v>0.52631578947368418</v>
      </c>
      <c r="AO136" s="21">
        <v>7.8947368421052627E-2</v>
      </c>
      <c r="AP136" s="21">
        <v>0.53846153846153844</v>
      </c>
      <c r="AQ136" s="35">
        <v>3</v>
      </c>
      <c r="AR136" s="35">
        <v>34</v>
      </c>
      <c r="AS136" s="35">
        <v>26</v>
      </c>
      <c r="AT136" s="35">
        <v>4</v>
      </c>
      <c r="AU136" s="35">
        <v>69</v>
      </c>
      <c r="AV136" s="35">
        <v>27</v>
      </c>
      <c r="AW136" s="35">
        <v>0</v>
      </c>
      <c r="AX136">
        <v>375</v>
      </c>
      <c r="AY136" s="35">
        <v>264</v>
      </c>
      <c r="AZ136" s="35">
        <v>100</v>
      </c>
      <c r="BA136" s="35">
        <v>3</v>
      </c>
      <c r="BB136" s="35">
        <v>8</v>
      </c>
      <c r="BC136" t="s">
        <v>307</v>
      </c>
      <c r="BD136" s="14">
        <v>2.8900000000000006</v>
      </c>
      <c r="BE136" s="14">
        <v>0.875</v>
      </c>
      <c r="BF136" s="14">
        <v>-2.25</v>
      </c>
      <c r="BG136" s="14">
        <v>5</v>
      </c>
      <c r="BH136" s="14">
        <v>2.25</v>
      </c>
      <c r="BI136" s="14">
        <v>-3.1749999999999998</v>
      </c>
      <c r="BJ136" s="14">
        <v>6.5</v>
      </c>
      <c r="BK136" s="14">
        <v>8.5</v>
      </c>
      <c r="BL136" s="14">
        <v>-0.75</v>
      </c>
      <c r="BM136" s="14">
        <v>-3.5749999999999993</v>
      </c>
      <c r="BN136" s="14">
        <v>-31.25</v>
      </c>
      <c r="BO136" s="14">
        <v>-3.25</v>
      </c>
      <c r="BP136" s="14">
        <v>18.75</v>
      </c>
      <c r="BQ136" s="14">
        <v>62.5</v>
      </c>
      <c r="BR136" s="14">
        <v>4</v>
      </c>
      <c r="BS136" s="14">
        <v>1.9749999999999996</v>
      </c>
      <c r="BT136" s="14">
        <v>25.25</v>
      </c>
      <c r="BU136" s="14">
        <v>0.75</v>
      </c>
      <c r="BV136" s="14">
        <v>2.0250000000000004</v>
      </c>
      <c r="BW136" s="14">
        <v>-32.25</v>
      </c>
      <c r="BX136" s="14">
        <v>0.75</v>
      </c>
      <c r="BY136" s="48">
        <v>-5.375</v>
      </c>
      <c r="BZ136" s="14">
        <v>-23.75</v>
      </c>
      <c r="CA136" s="14">
        <v>-0.25</v>
      </c>
      <c r="CB136" s="14">
        <v>-6.25</v>
      </c>
      <c r="CC136" s="14">
        <v>-0.5</v>
      </c>
      <c r="CD136" s="14">
        <v>1</v>
      </c>
      <c r="CE136" s="14">
        <v>0.14619575900535653</v>
      </c>
      <c r="CF136" s="14">
        <v>1.3167108948842682E-2</v>
      </c>
      <c r="CG136" s="14">
        <v>-6.0439560439560447E-2</v>
      </c>
      <c r="CH136" s="14">
        <v>1</v>
      </c>
      <c r="CI136" s="14">
        <v>0.25</v>
      </c>
      <c r="CJ136" s="14">
        <v>1.25</v>
      </c>
      <c r="CK136" s="14">
        <v>1</v>
      </c>
      <c r="CL136" s="14">
        <v>4</v>
      </c>
      <c r="CM136" s="14">
        <v>-4.75</v>
      </c>
      <c r="CN136" s="14">
        <v>0</v>
      </c>
      <c r="CO136" s="14">
        <v>12</v>
      </c>
      <c r="CP136" s="14">
        <v>4.75</v>
      </c>
      <c r="CQ136" s="14">
        <v>8</v>
      </c>
      <c r="CR136" s="14">
        <v>2.25</v>
      </c>
      <c r="CS136" s="14">
        <v>-3</v>
      </c>
      <c r="CT136" t="s">
        <v>269</v>
      </c>
      <c r="CU136" t="s">
        <v>457</v>
      </c>
    </row>
    <row r="137" spans="1:99" x14ac:dyDescent="0.2">
      <c r="A137" s="19">
        <v>44115</v>
      </c>
      <c r="B137">
        <v>5</v>
      </c>
      <c r="C137" s="13" t="s">
        <v>381</v>
      </c>
      <c r="D137" s="41" t="s">
        <v>288</v>
      </c>
      <c r="E137" s="14" t="s">
        <v>303</v>
      </c>
      <c r="F137" t="s">
        <v>564</v>
      </c>
      <c r="G137">
        <v>33.700000000000003</v>
      </c>
      <c r="H137" t="s">
        <v>565</v>
      </c>
      <c r="I137">
        <v>11</v>
      </c>
      <c r="J137">
        <v>10</v>
      </c>
      <c r="K137">
        <v>40</v>
      </c>
      <c r="L137">
        <v>8</v>
      </c>
      <c r="M137" t="s">
        <v>569</v>
      </c>
      <c r="N137">
        <v>4.9000000000000004</v>
      </c>
      <c r="O137">
        <v>1</v>
      </c>
      <c r="P137">
        <v>4</v>
      </c>
      <c r="Q137">
        <v>5</v>
      </c>
      <c r="R137" t="s">
        <v>168</v>
      </c>
      <c r="S137">
        <v>18.3</v>
      </c>
      <c r="T137">
        <v>78</v>
      </c>
      <c r="U137">
        <v>6</v>
      </c>
      <c r="V137" t="s">
        <v>18</v>
      </c>
      <c r="W137">
        <v>10.4</v>
      </c>
      <c r="X137">
        <v>24</v>
      </c>
      <c r="Y137">
        <v>2</v>
      </c>
      <c r="Z137" t="s">
        <v>567</v>
      </c>
      <c r="AA137">
        <v>7</v>
      </c>
      <c r="AB137">
        <v>50</v>
      </c>
      <c r="AC137">
        <v>3</v>
      </c>
      <c r="AD137">
        <v>32.9</v>
      </c>
      <c r="AE137">
        <v>179</v>
      </c>
      <c r="AF137">
        <v>14</v>
      </c>
      <c r="AG137" t="s">
        <v>19</v>
      </c>
      <c r="AH137">
        <v>27.8</v>
      </c>
      <c r="AI137">
        <v>108</v>
      </c>
      <c r="AJ137">
        <v>12</v>
      </c>
      <c r="AK137">
        <v>6</v>
      </c>
      <c r="AL137">
        <v>1</v>
      </c>
      <c r="AM137">
        <v>-1</v>
      </c>
      <c r="AN137" s="21">
        <v>0.47058823529411764</v>
      </c>
      <c r="AO137" s="21">
        <v>5.8823529411764705E-2</v>
      </c>
      <c r="AP137" s="21">
        <v>0.5</v>
      </c>
      <c r="AQ137" s="35">
        <v>4</v>
      </c>
      <c r="AR137" s="35">
        <v>43</v>
      </c>
      <c r="AS137" s="35">
        <v>11</v>
      </c>
      <c r="AT137" s="35">
        <v>6</v>
      </c>
      <c r="AU137" s="35">
        <v>66</v>
      </c>
      <c r="AV137" s="35">
        <v>32</v>
      </c>
      <c r="AW137" s="35">
        <v>0</v>
      </c>
      <c r="AX137" s="35">
        <v>420</v>
      </c>
      <c r="AY137" s="35">
        <v>340</v>
      </c>
      <c r="AZ137" s="35">
        <v>44</v>
      </c>
      <c r="BA137" s="35">
        <v>15</v>
      </c>
      <c r="BB137" s="35">
        <v>21</v>
      </c>
      <c r="BC137" t="s">
        <v>303</v>
      </c>
      <c r="BD137" s="14">
        <v>11.254999999999999</v>
      </c>
      <c r="BE137" s="14">
        <v>-12.200000000000003</v>
      </c>
      <c r="BF137" s="14">
        <v>-1.75</v>
      </c>
      <c r="BG137" s="14">
        <v>-15.75</v>
      </c>
      <c r="BH137" s="14">
        <v>-0.25</v>
      </c>
      <c r="BI137" s="14">
        <v>-2.3999999999999995</v>
      </c>
      <c r="BJ137" s="14">
        <v>-2.25</v>
      </c>
      <c r="BK137" s="14">
        <v>-29.75</v>
      </c>
      <c r="BL137" s="14">
        <v>2.5</v>
      </c>
      <c r="BM137" s="14">
        <v>4.1500000000000004</v>
      </c>
      <c r="BN137" s="14">
        <v>9.25</v>
      </c>
      <c r="BO137" s="14">
        <v>-0.5</v>
      </c>
      <c r="BP137" s="14">
        <v>3.625</v>
      </c>
      <c r="BQ137" s="14">
        <v>-3.75</v>
      </c>
      <c r="BR137" s="14">
        <v>-1.25</v>
      </c>
      <c r="BS137" s="14">
        <v>-0.79999999999999893</v>
      </c>
      <c r="BT137" s="14">
        <v>15.25</v>
      </c>
      <c r="BU137" s="14">
        <v>-1</v>
      </c>
      <c r="BV137" s="14">
        <v>13.625</v>
      </c>
      <c r="BW137" s="14">
        <v>88.75</v>
      </c>
      <c r="BX137" s="14">
        <v>4.25</v>
      </c>
      <c r="BY137" s="48">
        <v>17.625</v>
      </c>
      <c r="BZ137" s="14">
        <v>73.75</v>
      </c>
      <c r="CA137" s="14">
        <v>6.75</v>
      </c>
      <c r="CB137" s="14">
        <v>-1.5</v>
      </c>
      <c r="CC137" s="14">
        <v>-0.5</v>
      </c>
      <c r="CD137" s="14">
        <v>-7</v>
      </c>
      <c r="CE137" s="14">
        <v>0.15269257108615941</v>
      </c>
      <c r="CF137" s="14">
        <v>2.0845757657901871E-2</v>
      </c>
      <c r="CG137" s="14">
        <v>-0.19107142857142856</v>
      </c>
      <c r="CH137" s="14">
        <v>1.75</v>
      </c>
      <c r="CI137" s="14">
        <v>7.25</v>
      </c>
      <c r="CJ137" s="14">
        <v>-6.75</v>
      </c>
      <c r="CK137" s="14">
        <v>1</v>
      </c>
      <c r="CL137" s="14">
        <v>3.5</v>
      </c>
      <c r="CM137" s="14">
        <v>3.25</v>
      </c>
      <c r="CN137" s="14">
        <v>-1.75</v>
      </c>
      <c r="CO137" s="14">
        <v>18.5</v>
      </c>
      <c r="CP137" s="14">
        <v>64.5</v>
      </c>
      <c r="CQ137" s="14">
        <v>-56.25</v>
      </c>
      <c r="CR137" s="14">
        <v>3</v>
      </c>
      <c r="CS137" s="14">
        <v>7.25</v>
      </c>
      <c r="CT137" t="s">
        <v>247</v>
      </c>
      <c r="CU137" t="s">
        <v>510</v>
      </c>
    </row>
    <row r="138" spans="1:99" x14ac:dyDescent="0.2">
      <c r="A138" s="19">
        <v>44115</v>
      </c>
      <c r="B138">
        <v>5</v>
      </c>
      <c r="C138" s="13" t="s">
        <v>381</v>
      </c>
      <c r="D138" s="41" t="s">
        <v>291</v>
      </c>
      <c r="E138" s="14" t="s">
        <v>296</v>
      </c>
      <c r="F138" t="s">
        <v>467</v>
      </c>
      <c r="G138">
        <v>17.88</v>
      </c>
      <c r="H138" t="s">
        <v>572</v>
      </c>
      <c r="I138">
        <v>23.5</v>
      </c>
      <c r="J138">
        <v>19</v>
      </c>
      <c r="K138">
        <v>91</v>
      </c>
      <c r="L138">
        <v>2</v>
      </c>
      <c r="M138" t="s">
        <v>573</v>
      </c>
      <c r="N138">
        <v>5.2</v>
      </c>
      <c r="O138">
        <v>6</v>
      </c>
      <c r="P138">
        <v>30</v>
      </c>
      <c r="Q138">
        <v>3</v>
      </c>
      <c r="R138" t="s">
        <v>116</v>
      </c>
      <c r="S138">
        <v>4.0999999999999996</v>
      </c>
      <c r="T138">
        <v>23</v>
      </c>
      <c r="U138">
        <v>4</v>
      </c>
      <c r="V138" t="s">
        <v>574</v>
      </c>
      <c r="W138">
        <v>23.4</v>
      </c>
      <c r="X138">
        <v>124</v>
      </c>
      <c r="Y138">
        <v>11</v>
      </c>
      <c r="Z138" t="s">
        <v>14</v>
      </c>
      <c r="AA138">
        <v>10.64</v>
      </c>
      <c r="AB138">
        <v>22</v>
      </c>
      <c r="AC138">
        <v>4</v>
      </c>
      <c r="AD138">
        <v>26.9</v>
      </c>
      <c r="AE138">
        <v>139</v>
      </c>
      <c r="AF138">
        <v>17</v>
      </c>
      <c r="AG138" t="s">
        <v>575</v>
      </c>
      <c r="AH138">
        <v>1.6</v>
      </c>
      <c r="AI138">
        <v>6</v>
      </c>
      <c r="AJ138">
        <v>3</v>
      </c>
      <c r="AK138">
        <v>14</v>
      </c>
      <c r="AL138">
        <v>3</v>
      </c>
      <c r="AM138">
        <v>9</v>
      </c>
      <c r="AN138" s="21">
        <v>0.3235294117647059</v>
      </c>
      <c r="AO138" s="21">
        <v>5.8823529411764705E-2</v>
      </c>
      <c r="AP138" s="21">
        <v>0.77777777777777779</v>
      </c>
      <c r="AQ138" s="35">
        <v>11</v>
      </c>
      <c r="AR138" s="35">
        <v>32</v>
      </c>
      <c r="AS138" s="35">
        <v>25</v>
      </c>
      <c r="AT138" s="35">
        <v>3</v>
      </c>
      <c r="AU138" s="35">
        <v>65</v>
      </c>
      <c r="AV138" s="35">
        <v>30</v>
      </c>
      <c r="AW138" s="35">
        <v>7</v>
      </c>
      <c r="AX138">
        <v>403</v>
      </c>
      <c r="AY138" s="35">
        <v>277</v>
      </c>
      <c r="AZ138" s="35">
        <v>121</v>
      </c>
      <c r="BA138" s="35">
        <v>-2</v>
      </c>
      <c r="BB138" s="35">
        <v>7</v>
      </c>
      <c r="BC138" t="s">
        <v>296</v>
      </c>
      <c r="BD138" s="14">
        <v>1.1799999999999997</v>
      </c>
      <c r="BE138" s="14">
        <v>7.1000000000000014</v>
      </c>
      <c r="BF138" s="14">
        <v>5.6</v>
      </c>
      <c r="BG138" s="14">
        <v>35.4</v>
      </c>
      <c r="BH138" s="14">
        <v>-2</v>
      </c>
      <c r="BI138" s="14">
        <v>-4.8</v>
      </c>
      <c r="BJ138" s="14">
        <v>-1.7999999999999998</v>
      </c>
      <c r="BK138" s="14">
        <v>6</v>
      </c>
      <c r="BL138" s="14">
        <v>0.20000000000000018</v>
      </c>
      <c r="BM138" s="14">
        <v>-7.02</v>
      </c>
      <c r="BN138" s="14">
        <v>-24</v>
      </c>
      <c r="BO138" s="14">
        <v>-4</v>
      </c>
      <c r="BP138" s="14">
        <v>11.22</v>
      </c>
      <c r="BQ138" s="14">
        <v>63.8</v>
      </c>
      <c r="BR138" s="14">
        <v>4.5999999999999996</v>
      </c>
      <c r="BS138" s="14">
        <v>2.9719999999999995</v>
      </c>
      <c r="BT138" s="14">
        <v>-3.6000000000000014</v>
      </c>
      <c r="BU138" s="14">
        <v>0.60000000000000009</v>
      </c>
      <c r="BV138" s="14">
        <v>11.639999999999999</v>
      </c>
      <c r="BW138" s="14">
        <v>66.400000000000006</v>
      </c>
      <c r="BX138" s="14">
        <v>7.4</v>
      </c>
      <c r="BY138" s="48">
        <v>-3.8000000000000003</v>
      </c>
      <c r="BZ138" s="14">
        <v>-16</v>
      </c>
      <c r="CA138" s="14">
        <v>-0.60000000000000009</v>
      </c>
      <c r="CB138" s="14">
        <v>5.6</v>
      </c>
      <c r="CC138" s="14">
        <v>0.39999999999999991</v>
      </c>
      <c r="CD138" s="14">
        <v>-0.59999999999999964</v>
      </c>
      <c r="CE138" s="14">
        <v>1.8823369722519911E-2</v>
      </c>
      <c r="CF138" s="14">
        <v>-1.2240579831647613E-2</v>
      </c>
      <c r="CG138" s="14">
        <v>0.18444444444444452</v>
      </c>
      <c r="CH138" s="14">
        <v>3.5999999999999996</v>
      </c>
      <c r="CI138" s="14">
        <v>-2</v>
      </c>
      <c r="CJ138" s="14">
        <v>2.6000000000000014</v>
      </c>
      <c r="CK138" s="14">
        <v>-0.20000000000000018</v>
      </c>
      <c r="CL138" s="14">
        <v>-0.59999999999999432</v>
      </c>
      <c r="CM138" s="14">
        <v>6.1999999999999993</v>
      </c>
      <c r="CN138" s="14">
        <v>5.6</v>
      </c>
      <c r="CO138" s="14">
        <v>45.800000000000011</v>
      </c>
      <c r="CP138" s="14">
        <v>19</v>
      </c>
      <c r="CQ138" s="14">
        <v>38.400000000000006</v>
      </c>
      <c r="CR138" s="14">
        <v>-13</v>
      </c>
      <c r="CS138" s="14">
        <v>1.4000000000000004</v>
      </c>
      <c r="CT138" t="s">
        <v>245</v>
      </c>
      <c r="CU138" t="s">
        <v>472</v>
      </c>
    </row>
    <row r="139" spans="1:99" x14ac:dyDescent="0.2">
      <c r="A139" s="19">
        <v>44115</v>
      </c>
      <c r="B139">
        <v>5</v>
      </c>
      <c r="C139" s="13" t="s">
        <v>381</v>
      </c>
      <c r="D139" s="41" t="s">
        <v>293</v>
      </c>
      <c r="E139" s="14" t="s">
        <v>256</v>
      </c>
      <c r="F139" t="s">
        <v>578</v>
      </c>
      <c r="G139">
        <v>30.6</v>
      </c>
      <c r="H139" t="s">
        <v>579</v>
      </c>
      <c r="I139">
        <v>20.100000000000001</v>
      </c>
      <c r="J139">
        <v>16</v>
      </c>
      <c r="K139">
        <v>57</v>
      </c>
      <c r="L139">
        <v>5</v>
      </c>
      <c r="M139" t="s">
        <v>580</v>
      </c>
      <c r="N139">
        <v>6.9</v>
      </c>
      <c r="O139">
        <v>9</v>
      </c>
      <c r="P139">
        <v>28</v>
      </c>
      <c r="Q139">
        <v>1</v>
      </c>
      <c r="R139" t="s">
        <v>24</v>
      </c>
      <c r="S139">
        <v>13</v>
      </c>
      <c r="T139">
        <v>50</v>
      </c>
      <c r="U139">
        <v>3</v>
      </c>
      <c r="V139" t="s">
        <v>5</v>
      </c>
      <c r="W139">
        <v>23.6</v>
      </c>
      <c r="X139">
        <v>106</v>
      </c>
      <c r="Y139">
        <v>5</v>
      </c>
      <c r="Z139" t="s">
        <v>583</v>
      </c>
      <c r="AA139">
        <v>4.3</v>
      </c>
      <c r="AB139">
        <v>23</v>
      </c>
      <c r="AC139">
        <v>2</v>
      </c>
      <c r="AD139">
        <v>26.4</v>
      </c>
      <c r="AE139">
        <v>134</v>
      </c>
      <c r="AF139">
        <v>8</v>
      </c>
      <c r="AG139" t="s">
        <v>8</v>
      </c>
      <c r="AH139">
        <v>14.1</v>
      </c>
      <c r="AI139">
        <v>91</v>
      </c>
      <c r="AJ139">
        <v>6</v>
      </c>
      <c r="AK139">
        <v>22</v>
      </c>
      <c r="AL139">
        <v>5</v>
      </c>
      <c r="AM139">
        <v>12</v>
      </c>
      <c r="AN139" s="21">
        <v>0.38709677419354838</v>
      </c>
      <c r="AO139" s="21">
        <v>6.4516129032258063E-2</v>
      </c>
      <c r="AP139" s="21">
        <v>0.875</v>
      </c>
      <c r="AQ139">
        <v>-2</v>
      </c>
      <c r="AR139">
        <v>28</v>
      </c>
      <c r="AS139">
        <v>25</v>
      </c>
      <c r="AT139">
        <v>3</v>
      </c>
      <c r="AU139">
        <v>63</v>
      </c>
      <c r="AV139">
        <v>43</v>
      </c>
      <c r="AW139">
        <v>0</v>
      </c>
      <c r="AX139">
        <v>443</v>
      </c>
      <c r="AY139">
        <v>350</v>
      </c>
      <c r="AZ139">
        <v>85</v>
      </c>
      <c r="BA139">
        <v>-8</v>
      </c>
      <c r="BB139">
        <v>16</v>
      </c>
      <c r="BC139" t="s">
        <v>256</v>
      </c>
      <c r="BD139" s="14">
        <v>12.528000000000002</v>
      </c>
      <c r="BE139" s="14">
        <v>10.660000000000002</v>
      </c>
      <c r="BF139" s="14">
        <v>3</v>
      </c>
      <c r="BG139" s="14">
        <v>6.2000000000000028</v>
      </c>
      <c r="BH139" s="14">
        <v>2.2000000000000002</v>
      </c>
      <c r="BI139" s="14">
        <v>2.9999999999999996</v>
      </c>
      <c r="BJ139" s="14">
        <v>5.4</v>
      </c>
      <c r="BK139" s="14">
        <v>18.600000000000001</v>
      </c>
      <c r="BL139" s="14">
        <v>-1</v>
      </c>
      <c r="BM139" s="14">
        <v>1.0000000000000018</v>
      </c>
      <c r="BN139" s="14">
        <v>4.2000000000000028</v>
      </c>
      <c r="BO139" s="14">
        <v>-3.8</v>
      </c>
      <c r="BP139" s="14">
        <v>10.9</v>
      </c>
      <c r="BQ139" s="14">
        <v>49</v>
      </c>
      <c r="BR139" s="14">
        <v>-1.5999999999999996</v>
      </c>
      <c r="BS139" s="14">
        <v>-2.04</v>
      </c>
      <c r="BT139" s="14">
        <v>-4</v>
      </c>
      <c r="BU139" s="14">
        <v>-1.4</v>
      </c>
      <c r="BV139" s="14">
        <v>7.3999999999999986</v>
      </c>
      <c r="BW139" s="14">
        <v>58</v>
      </c>
      <c r="BX139" s="14">
        <v>-1</v>
      </c>
      <c r="BY139" s="48">
        <v>6.839999999999999</v>
      </c>
      <c r="BZ139" s="14">
        <v>49.2</v>
      </c>
      <c r="CA139" s="14">
        <v>1.2000000000000002</v>
      </c>
      <c r="CB139" s="14">
        <v>11.4</v>
      </c>
      <c r="CC139" s="14">
        <v>2.6</v>
      </c>
      <c r="CD139" s="14">
        <v>5.6</v>
      </c>
      <c r="CE139" s="14">
        <v>1.8231610261970788E-2</v>
      </c>
      <c r="CF139" s="14">
        <v>1.6654920032529136E-2</v>
      </c>
      <c r="CG139" s="14">
        <v>0.25595238095238093</v>
      </c>
      <c r="CH139" s="14">
        <v>-7</v>
      </c>
      <c r="CI139" s="14">
        <v>-3.6000000000000014</v>
      </c>
      <c r="CJ139" s="14">
        <v>5.8000000000000007</v>
      </c>
      <c r="CK139" s="14">
        <v>-1.4000000000000004</v>
      </c>
      <c r="CL139" s="14">
        <v>5</v>
      </c>
      <c r="CM139" s="14">
        <v>23.2</v>
      </c>
      <c r="CN139" s="14">
        <v>-1.4</v>
      </c>
      <c r="CO139" s="14">
        <v>130.39999999999998</v>
      </c>
      <c r="CP139" s="14">
        <v>130.19999999999999</v>
      </c>
      <c r="CQ139" s="14">
        <v>21.6</v>
      </c>
      <c r="CR139" s="14">
        <v>-11</v>
      </c>
      <c r="CS139" s="14">
        <v>-10.399999999999999</v>
      </c>
      <c r="CT139" t="s">
        <v>257</v>
      </c>
      <c r="CU139" t="s">
        <v>547</v>
      </c>
    </row>
    <row r="140" spans="1:99" x14ac:dyDescent="0.2">
      <c r="A140" s="19">
        <v>44115</v>
      </c>
      <c r="B140">
        <v>5</v>
      </c>
      <c r="C140" s="13" t="s">
        <v>381</v>
      </c>
      <c r="D140" s="41" t="s">
        <v>294</v>
      </c>
      <c r="E140" s="14" t="s">
        <v>309</v>
      </c>
      <c r="F140" t="s">
        <v>585</v>
      </c>
      <c r="G140">
        <v>19.420000000000002</v>
      </c>
      <c r="H140" t="s">
        <v>590</v>
      </c>
      <c r="I140">
        <v>23.9</v>
      </c>
      <c r="J140">
        <v>11</v>
      </c>
      <c r="K140">
        <v>80</v>
      </c>
      <c r="L140">
        <v>4</v>
      </c>
      <c r="M140" t="s">
        <v>586</v>
      </c>
      <c r="N140">
        <v>0.3</v>
      </c>
      <c r="O140">
        <v>1</v>
      </c>
      <c r="P140">
        <v>3</v>
      </c>
      <c r="Q140">
        <v>0</v>
      </c>
      <c r="R140" t="s">
        <v>588</v>
      </c>
      <c r="S140">
        <v>34.200000000000003</v>
      </c>
      <c r="T140">
        <v>152</v>
      </c>
      <c r="U140">
        <v>13</v>
      </c>
      <c r="V140" t="s">
        <v>184</v>
      </c>
      <c r="W140">
        <v>12.6</v>
      </c>
      <c r="X140">
        <v>26</v>
      </c>
      <c r="Y140">
        <v>5</v>
      </c>
      <c r="Z140" t="s">
        <v>591</v>
      </c>
      <c r="AA140">
        <v>5.8</v>
      </c>
      <c r="AB140">
        <v>18</v>
      </c>
      <c r="AC140">
        <v>6</v>
      </c>
      <c r="AD140">
        <v>24.2</v>
      </c>
      <c r="AE140">
        <v>92</v>
      </c>
      <c r="AF140">
        <v>11</v>
      </c>
      <c r="AG140" t="s">
        <v>11</v>
      </c>
      <c r="AH140">
        <v>1.6</v>
      </c>
      <c r="AI140">
        <v>6</v>
      </c>
      <c r="AJ140">
        <v>6</v>
      </c>
      <c r="AK140">
        <v>2</v>
      </c>
      <c r="AL140">
        <v>1</v>
      </c>
      <c r="AM140">
        <v>-1</v>
      </c>
      <c r="AN140" s="21">
        <v>0.3902439024390244</v>
      </c>
      <c r="AO140" s="21">
        <v>0.12195121951219512</v>
      </c>
      <c r="AP140" s="21">
        <v>0.45454545454545453</v>
      </c>
      <c r="AQ140" s="35">
        <v>8</v>
      </c>
      <c r="AR140" s="35">
        <v>36</v>
      </c>
      <c r="AS140" s="35">
        <v>12</v>
      </c>
      <c r="AT140" s="35">
        <v>4</v>
      </c>
      <c r="AU140" s="35">
        <v>57</v>
      </c>
      <c r="AV140" s="35">
        <v>29</v>
      </c>
      <c r="AW140" s="35">
        <v>0</v>
      </c>
      <c r="AX140">
        <v>370</v>
      </c>
      <c r="AY140" s="35">
        <v>276</v>
      </c>
      <c r="AZ140" s="35">
        <v>83</v>
      </c>
      <c r="BA140" s="35">
        <v>0</v>
      </c>
      <c r="BB140" s="35">
        <v>11</v>
      </c>
      <c r="BC140" t="s">
        <v>309</v>
      </c>
      <c r="BD140" s="14">
        <v>2.8400000000000034</v>
      </c>
      <c r="BE140" s="14">
        <v>8.75</v>
      </c>
      <c r="BF140" s="14">
        <v>-3</v>
      </c>
      <c r="BG140" s="14">
        <v>26.75</v>
      </c>
      <c r="BH140" s="14">
        <v>0.75</v>
      </c>
      <c r="BI140" s="14">
        <v>-1.4</v>
      </c>
      <c r="BJ140" s="14">
        <v>-1</v>
      </c>
      <c r="BK140" s="14">
        <v>-10</v>
      </c>
      <c r="BL140" s="14">
        <v>-0.25</v>
      </c>
      <c r="BM140" s="14">
        <v>18.275000000000002</v>
      </c>
      <c r="BN140" s="14">
        <v>77.75</v>
      </c>
      <c r="BO140" s="14">
        <v>6.25</v>
      </c>
      <c r="BP140" s="14">
        <v>0.27500000000000036</v>
      </c>
      <c r="BQ140" s="14">
        <v>-29.75</v>
      </c>
      <c r="BR140" s="14">
        <v>-0.25</v>
      </c>
      <c r="BS140" s="14">
        <v>-1.5250000000000004</v>
      </c>
      <c r="BT140" s="14">
        <v>-10.5</v>
      </c>
      <c r="BU140" s="14">
        <v>1.25</v>
      </c>
      <c r="BV140" s="14">
        <v>3.4999999999999964</v>
      </c>
      <c r="BW140" s="14">
        <v>0</v>
      </c>
      <c r="BX140" s="14">
        <v>0.5</v>
      </c>
      <c r="BY140" s="48">
        <v>-6.9749999999999996</v>
      </c>
      <c r="BZ140" s="14">
        <v>-29.75</v>
      </c>
      <c r="CA140" s="14">
        <v>1</v>
      </c>
      <c r="CB140" s="14">
        <v>-1.25</v>
      </c>
      <c r="CC140" s="14">
        <v>0</v>
      </c>
      <c r="CD140" s="14">
        <v>-2.5</v>
      </c>
      <c r="CE140" s="14">
        <v>-4.2584642480854251E-2</v>
      </c>
      <c r="CF140" s="14">
        <v>-1.3952446100863325E-2</v>
      </c>
      <c r="CG140" s="14">
        <v>-6.9909622541201533E-2</v>
      </c>
      <c r="CH140" s="14">
        <v>-3.5</v>
      </c>
      <c r="CI140" s="14">
        <v>3.5</v>
      </c>
      <c r="CJ140" s="14">
        <v>-5.25</v>
      </c>
      <c r="CK140" s="14">
        <v>2</v>
      </c>
      <c r="CL140" s="14">
        <v>-1</v>
      </c>
      <c r="CM140" s="14">
        <v>9.5</v>
      </c>
      <c r="CN140" s="14">
        <v>0</v>
      </c>
      <c r="CO140" s="14">
        <v>49.25</v>
      </c>
      <c r="CP140" s="14">
        <v>30.75</v>
      </c>
      <c r="CQ140" s="14">
        <v>16.25</v>
      </c>
      <c r="CR140" s="14">
        <v>-2.25</v>
      </c>
      <c r="CS140" s="14">
        <v>4.5</v>
      </c>
      <c r="CT140" t="s">
        <v>271</v>
      </c>
      <c r="CU140" t="s">
        <v>521</v>
      </c>
    </row>
    <row r="141" spans="1:99" x14ac:dyDescent="0.2">
      <c r="A141" s="19">
        <v>44115</v>
      </c>
      <c r="B141">
        <v>5</v>
      </c>
      <c r="C141" s="13" t="s">
        <v>381</v>
      </c>
      <c r="D141" s="41" t="s">
        <v>295</v>
      </c>
      <c r="E141" s="14" t="s">
        <v>301</v>
      </c>
      <c r="F141" t="s">
        <v>595</v>
      </c>
      <c r="G141">
        <v>7.94</v>
      </c>
      <c r="H141" t="s">
        <v>596</v>
      </c>
      <c r="I141">
        <v>28</v>
      </c>
      <c r="J141">
        <v>14</v>
      </c>
      <c r="K141">
        <v>121</v>
      </c>
      <c r="L141">
        <v>5</v>
      </c>
      <c r="M141" t="s">
        <v>597</v>
      </c>
      <c r="N141">
        <v>7.4</v>
      </c>
      <c r="O141">
        <v>6</v>
      </c>
      <c r="P141">
        <v>39</v>
      </c>
      <c r="Q141">
        <v>2</v>
      </c>
      <c r="R141" t="s">
        <v>93</v>
      </c>
      <c r="S141">
        <v>24.6</v>
      </c>
      <c r="T141">
        <v>136</v>
      </c>
      <c r="U141">
        <v>10</v>
      </c>
      <c r="V141" t="s">
        <v>598</v>
      </c>
      <c r="W141">
        <v>3.6</v>
      </c>
      <c r="X141">
        <v>16</v>
      </c>
      <c r="Y141">
        <v>5</v>
      </c>
      <c r="Z141" t="s">
        <v>600</v>
      </c>
      <c r="AA141">
        <v>2.2999999999999998</v>
      </c>
      <c r="AB141">
        <v>13</v>
      </c>
      <c r="AC141">
        <v>4</v>
      </c>
      <c r="AD141">
        <v>7.2</v>
      </c>
      <c r="AE141">
        <v>32</v>
      </c>
      <c r="AF141">
        <v>11</v>
      </c>
      <c r="AG141" t="s">
        <v>599</v>
      </c>
      <c r="AH141">
        <v>2.8</v>
      </c>
      <c r="AI141">
        <v>8</v>
      </c>
      <c r="AJ141">
        <v>6</v>
      </c>
      <c r="AK141">
        <v>13</v>
      </c>
      <c r="AL141">
        <v>3</v>
      </c>
      <c r="AM141">
        <v>0</v>
      </c>
      <c r="AN141" s="21">
        <v>0.38461538461538464</v>
      </c>
      <c r="AO141" s="21">
        <v>5.128205128205128E-2</v>
      </c>
      <c r="AP141" s="21">
        <v>0.58333333333333337</v>
      </c>
      <c r="AQ141" s="35">
        <v>5</v>
      </c>
      <c r="AR141" s="35">
        <v>37</v>
      </c>
      <c r="AS141" s="35">
        <v>24</v>
      </c>
      <c r="AT141" s="35">
        <v>1</v>
      </c>
      <c r="AU141" s="35">
        <v>64</v>
      </c>
      <c r="AV141" s="35">
        <v>16</v>
      </c>
      <c r="AW141" s="35">
        <v>0</v>
      </c>
      <c r="AX141">
        <v>392</v>
      </c>
      <c r="AY141" s="35">
        <v>226</v>
      </c>
      <c r="AZ141" s="35">
        <v>167</v>
      </c>
      <c r="BA141" s="35">
        <v>0</v>
      </c>
      <c r="BB141" s="35">
        <v>-1</v>
      </c>
      <c r="BC141" t="s">
        <v>301</v>
      </c>
      <c r="BD141" s="14">
        <v>-8.0119999999999969</v>
      </c>
      <c r="BE141" s="14">
        <v>6.5800000000000018</v>
      </c>
      <c r="BF141" s="14">
        <v>0</v>
      </c>
      <c r="BG141" s="14">
        <v>45.8</v>
      </c>
      <c r="BH141" s="14">
        <v>-0.20000000000000018</v>
      </c>
      <c r="BI141" s="14">
        <v>-0.45999999999999908</v>
      </c>
      <c r="BJ141" s="14">
        <v>1</v>
      </c>
      <c r="BK141" s="14">
        <v>14.8</v>
      </c>
      <c r="BL141" s="14">
        <v>-0.39999999999999991</v>
      </c>
      <c r="BM141" s="14">
        <v>3.2799999999999976</v>
      </c>
      <c r="BN141" s="14">
        <v>42.8</v>
      </c>
      <c r="BO141" s="14">
        <v>-1.4000000000000004</v>
      </c>
      <c r="BP141" s="14">
        <v>-2.2800000000000007</v>
      </c>
      <c r="BQ141" s="14">
        <v>-6.8000000000000007</v>
      </c>
      <c r="BR141" s="14">
        <v>1.2000000000000002</v>
      </c>
      <c r="BS141" s="14">
        <v>-1.1400000000000001</v>
      </c>
      <c r="BT141" s="14">
        <v>-3.1999999999999993</v>
      </c>
      <c r="BU141" s="14">
        <v>0.79999999999999982</v>
      </c>
      <c r="BV141" s="14">
        <v>-9.4600000000000009</v>
      </c>
      <c r="BW141" s="14">
        <v>-36.599999999999994</v>
      </c>
      <c r="BX141" s="14">
        <v>0.19999999999999929</v>
      </c>
      <c r="BY141" s="48">
        <v>-3.4400000000000004</v>
      </c>
      <c r="BZ141" s="14">
        <v>-20.399999999999999</v>
      </c>
      <c r="CA141" s="14">
        <v>0.40000000000000036</v>
      </c>
      <c r="CB141" s="14">
        <v>4.8000000000000007</v>
      </c>
      <c r="CC141" s="14">
        <v>1.4</v>
      </c>
      <c r="CD141" s="14">
        <v>-6</v>
      </c>
      <c r="CE141" s="14">
        <v>8.0387725482065131E-2</v>
      </c>
      <c r="CF141" s="14">
        <v>2.7764185500034559E-2</v>
      </c>
      <c r="CG141" s="14">
        <v>-1.9607843137254832E-2</v>
      </c>
      <c r="CH141" s="14">
        <v>0.20000000000000018</v>
      </c>
      <c r="CI141" s="14">
        <v>-1.2000000000000028</v>
      </c>
      <c r="CJ141" s="14">
        <v>4</v>
      </c>
      <c r="CK141" s="14">
        <v>-2.2000000000000002</v>
      </c>
      <c r="CL141" s="14">
        <v>-0.40000000000000568</v>
      </c>
      <c r="CM141" s="14">
        <v>-5.3999999999999986</v>
      </c>
      <c r="CN141" s="14">
        <v>0</v>
      </c>
      <c r="CO141" s="14">
        <v>52</v>
      </c>
      <c r="CP141" s="14">
        <v>5.1999999999999886</v>
      </c>
      <c r="CQ141" s="14">
        <v>67.400000000000006</v>
      </c>
      <c r="CR141" s="14">
        <v>-0.4</v>
      </c>
      <c r="CS141" s="14">
        <v>-20.2</v>
      </c>
      <c r="CT141" t="s">
        <v>279</v>
      </c>
      <c r="CU141" t="s">
        <v>484</v>
      </c>
    </row>
    <row r="142" spans="1:99" x14ac:dyDescent="0.2">
      <c r="A142" s="19">
        <v>44115</v>
      </c>
      <c r="B142">
        <v>5</v>
      </c>
      <c r="C142" s="13" t="s">
        <v>381</v>
      </c>
      <c r="D142" s="41" t="s">
        <v>296</v>
      </c>
      <c r="E142" s="14" t="s">
        <v>291</v>
      </c>
      <c r="F142" t="s">
        <v>602</v>
      </c>
      <c r="G142">
        <v>9.18</v>
      </c>
      <c r="H142" t="s">
        <v>605</v>
      </c>
      <c r="I142">
        <v>16.7</v>
      </c>
      <c r="J142">
        <v>17</v>
      </c>
      <c r="K142">
        <v>60</v>
      </c>
      <c r="L142">
        <v>3</v>
      </c>
      <c r="M142" t="s">
        <v>603</v>
      </c>
      <c r="N142">
        <v>4.4000000000000004</v>
      </c>
      <c r="O142">
        <v>5</v>
      </c>
      <c r="P142">
        <v>24</v>
      </c>
      <c r="Q142">
        <v>2</v>
      </c>
      <c r="R142" t="s">
        <v>115</v>
      </c>
      <c r="S142">
        <v>23.9</v>
      </c>
      <c r="T142">
        <v>129</v>
      </c>
      <c r="U142">
        <v>11</v>
      </c>
      <c r="V142" t="s">
        <v>139</v>
      </c>
      <c r="W142">
        <v>8.1999999999999993</v>
      </c>
      <c r="X142">
        <v>42</v>
      </c>
      <c r="Y142">
        <v>5</v>
      </c>
      <c r="Z142" t="s">
        <v>607</v>
      </c>
      <c r="AA142">
        <v>0</v>
      </c>
      <c r="AB142">
        <v>0</v>
      </c>
      <c r="AC142">
        <v>1</v>
      </c>
      <c r="AD142">
        <v>11.4</v>
      </c>
      <c r="AE142">
        <v>74</v>
      </c>
      <c r="AF142">
        <v>6</v>
      </c>
      <c r="AG142" t="s">
        <v>16</v>
      </c>
      <c r="AH142">
        <v>9.5</v>
      </c>
      <c r="AI142">
        <v>16</v>
      </c>
      <c r="AJ142">
        <v>2</v>
      </c>
      <c r="AK142">
        <v>20</v>
      </c>
      <c r="AL142">
        <v>4</v>
      </c>
      <c r="AM142">
        <v>11</v>
      </c>
      <c r="AN142" s="21">
        <v>0.6</v>
      </c>
      <c r="AO142" s="21">
        <v>5.7142857142857141E-2</v>
      </c>
      <c r="AP142" s="21">
        <v>0.75</v>
      </c>
      <c r="AQ142" s="35">
        <v>9</v>
      </c>
      <c r="AR142" s="35">
        <v>33</v>
      </c>
      <c r="AS142" s="35">
        <v>23</v>
      </c>
      <c r="AT142" s="35">
        <v>2</v>
      </c>
      <c r="AU142" s="35">
        <v>62</v>
      </c>
      <c r="AV142" s="35">
        <v>27</v>
      </c>
      <c r="AW142" s="35">
        <v>7</v>
      </c>
      <c r="AX142">
        <v>311</v>
      </c>
      <c r="AY142" s="35">
        <v>222</v>
      </c>
      <c r="AZ142" s="35">
        <v>87</v>
      </c>
      <c r="BA142" s="35">
        <v>9</v>
      </c>
      <c r="BB142" s="35">
        <v>-7</v>
      </c>
      <c r="BC142" t="s">
        <v>291</v>
      </c>
      <c r="BD142" s="14">
        <v>-15.143999999999998</v>
      </c>
      <c r="BE142" s="14">
        <v>-7.9999999999994742E-2</v>
      </c>
      <c r="BF142" s="14">
        <v>0.39999999999999858</v>
      </c>
      <c r="BG142" s="14">
        <v>-24</v>
      </c>
      <c r="BH142" s="14">
        <v>1.4</v>
      </c>
      <c r="BI142" s="14">
        <v>-0.71999999999999975</v>
      </c>
      <c r="BJ142" s="14">
        <v>-1</v>
      </c>
      <c r="BK142" s="14">
        <v>-9.6000000000000014</v>
      </c>
      <c r="BL142" s="14">
        <v>0.60000000000000009</v>
      </c>
      <c r="BM142" s="14">
        <v>0.69999999999999929</v>
      </c>
      <c r="BN142" s="14">
        <v>47.599999999999994</v>
      </c>
      <c r="BO142" s="14">
        <v>2.1999999999999993</v>
      </c>
      <c r="BP142" s="14">
        <v>-12.195999999999998</v>
      </c>
      <c r="BQ142" s="14">
        <v>-37</v>
      </c>
      <c r="BR142" s="14">
        <v>-1.4000000000000004</v>
      </c>
      <c r="BS142" s="14">
        <v>-4.5999999999999996</v>
      </c>
      <c r="BT142" s="14">
        <v>-14</v>
      </c>
      <c r="BU142" s="14">
        <v>-2</v>
      </c>
      <c r="BV142" s="14">
        <v>-2.5199999999999978</v>
      </c>
      <c r="BW142" s="14">
        <v>10.799999999999997</v>
      </c>
      <c r="BX142" s="14">
        <v>-2.1999999999999993</v>
      </c>
      <c r="BY142" s="48">
        <v>-1.3599999999999994</v>
      </c>
      <c r="BZ142" s="14">
        <v>-20.799999999999997</v>
      </c>
      <c r="CA142" s="14">
        <v>-2.8</v>
      </c>
      <c r="CB142" s="14">
        <v>7.8000000000000007</v>
      </c>
      <c r="CC142" s="14">
        <v>1.7999999999999998</v>
      </c>
      <c r="CD142" s="14">
        <v>2</v>
      </c>
      <c r="CE142" s="14">
        <v>0.25918778376095442</v>
      </c>
      <c r="CF142" s="14">
        <v>4.9055010030619739E-3</v>
      </c>
      <c r="CG142" s="14">
        <v>-7.4999999999999956E-2</v>
      </c>
      <c r="CH142" s="14">
        <v>8.4</v>
      </c>
      <c r="CI142" s="14">
        <v>0.39999999999999858</v>
      </c>
      <c r="CJ142" s="14">
        <v>-3.6000000000000014</v>
      </c>
      <c r="CK142" s="14">
        <v>-3</v>
      </c>
      <c r="CL142" s="14">
        <v>-5.4000000000000057</v>
      </c>
      <c r="CM142" s="14">
        <v>-10.799999999999997</v>
      </c>
      <c r="CN142" s="14">
        <v>5.2</v>
      </c>
      <c r="CO142" s="14">
        <v>-99</v>
      </c>
      <c r="CP142" s="14">
        <v>-10.599999999999994</v>
      </c>
      <c r="CQ142" s="14">
        <v>-51.800000000000011</v>
      </c>
      <c r="CR142" s="14">
        <v>-7.3999999999999986</v>
      </c>
      <c r="CS142" s="14">
        <v>-29.2</v>
      </c>
      <c r="CT142" t="s">
        <v>282</v>
      </c>
      <c r="CU142" t="s">
        <v>453</v>
      </c>
    </row>
    <row r="143" spans="1:99" x14ac:dyDescent="0.2">
      <c r="A143" s="19">
        <v>44115</v>
      </c>
      <c r="B143">
        <v>5</v>
      </c>
      <c r="C143" s="13" t="s">
        <v>381</v>
      </c>
      <c r="D143" s="41" t="s">
        <v>297</v>
      </c>
      <c r="E143" s="14" t="s">
        <v>311</v>
      </c>
      <c r="F143" t="s">
        <v>609</v>
      </c>
      <c r="G143">
        <v>23.84</v>
      </c>
      <c r="H143" t="s">
        <v>610</v>
      </c>
      <c r="I143">
        <v>11</v>
      </c>
      <c r="J143">
        <v>13</v>
      </c>
      <c r="K143">
        <v>48</v>
      </c>
      <c r="L143">
        <v>7</v>
      </c>
      <c r="M143" t="s">
        <v>615</v>
      </c>
      <c r="N143">
        <v>7.2</v>
      </c>
      <c r="O143">
        <v>2</v>
      </c>
      <c r="P143">
        <v>7</v>
      </c>
      <c r="Q143">
        <v>3</v>
      </c>
      <c r="R143" t="s">
        <v>612</v>
      </c>
      <c r="S143">
        <v>4.5999999999999996</v>
      </c>
      <c r="T143">
        <v>16</v>
      </c>
      <c r="U143">
        <v>4</v>
      </c>
      <c r="V143" t="s">
        <v>613</v>
      </c>
      <c r="W143">
        <v>14.9</v>
      </c>
      <c r="X143">
        <v>79</v>
      </c>
      <c r="Y143">
        <v>8</v>
      </c>
      <c r="Z143" t="s">
        <v>616</v>
      </c>
      <c r="AA143">
        <v>10.7</v>
      </c>
      <c r="AB143">
        <v>25</v>
      </c>
      <c r="AC143">
        <v>6</v>
      </c>
      <c r="AD143">
        <v>25.1</v>
      </c>
      <c r="AE143">
        <v>61</v>
      </c>
      <c r="AF143">
        <v>12</v>
      </c>
      <c r="AG143" t="s">
        <v>617</v>
      </c>
      <c r="AH143">
        <v>4.5999999999999996</v>
      </c>
      <c r="AI143">
        <v>16</v>
      </c>
      <c r="AJ143">
        <v>7</v>
      </c>
      <c r="AK143">
        <v>0</v>
      </c>
      <c r="AL143">
        <v>2</v>
      </c>
      <c r="AM143">
        <v>4</v>
      </c>
      <c r="AN143" s="21">
        <v>0.36363636363636365</v>
      </c>
      <c r="AO143" s="21">
        <v>5.4545454545454543E-2</v>
      </c>
      <c r="AP143" s="21">
        <v>0.58333333333333337</v>
      </c>
      <c r="AQ143">
        <v>9</v>
      </c>
      <c r="AR143" s="35">
        <v>49</v>
      </c>
      <c r="AS143" s="35">
        <v>15</v>
      </c>
      <c r="AT143" s="35">
        <v>4</v>
      </c>
      <c r="AU143" s="35">
        <v>73</v>
      </c>
      <c r="AV143" s="35">
        <v>14</v>
      </c>
      <c r="AW143" s="35">
        <v>0</v>
      </c>
      <c r="AX143">
        <v>376</v>
      </c>
      <c r="AY143" s="35">
        <v>301</v>
      </c>
      <c r="AZ143" s="35">
        <v>55</v>
      </c>
      <c r="BA143" s="35">
        <v>2</v>
      </c>
      <c r="BB143" s="35">
        <v>18</v>
      </c>
      <c r="BC143" t="s">
        <v>311</v>
      </c>
      <c r="BD143" s="14">
        <v>2.0159999999999982</v>
      </c>
      <c r="BE143" s="14">
        <v>-14.919999999999998</v>
      </c>
      <c r="BF143" s="14">
        <v>-4.8000000000000007</v>
      </c>
      <c r="BG143" s="14">
        <v>-62.8</v>
      </c>
      <c r="BH143" s="14">
        <v>2.5999999999999996</v>
      </c>
      <c r="BI143" s="14">
        <v>-5.9999999999999609E-2</v>
      </c>
      <c r="BJ143" s="14">
        <v>-4</v>
      </c>
      <c r="BK143" s="14">
        <v>-31</v>
      </c>
      <c r="BL143" s="14">
        <v>1.4</v>
      </c>
      <c r="BM143" s="14">
        <v>-11.819999999999999</v>
      </c>
      <c r="BN143" s="14">
        <v>-38.6</v>
      </c>
      <c r="BO143" s="14">
        <v>-2.4000000000000004</v>
      </c>
      <c r="BP143" s="14">
        <v>1.5</v>
      </c>
      <c r="BQ143" s="14">
        <v>15</v>
      </c>
      <c r="BR143" s="14">
        <v>1.7999999999999998</v>
      </c>
      <c r="BS143" s="14">
        <v>5.66</v>
      </c>
      <c r="BT143" s="14">
        <v>3</v>
      </c>
      <c r="BU143" s="14">
        <v>2.8</v>
      </c>
      <c r="BV143" s="14">
        <v>8.9400000000000013</v>
      </c>
      <c r="BW143" s="14">
        <v>-4.5999999999999943</v>
      </c>
      <c r="BX143" s="14">
        <v>3.5999999999999996</v>
      </c>
      <c r="BY143" s="48">
        <v>-6.9399999999999995</v>
      </c>
      <c r="BZ143" s="14">
        <v>-31.4</v>
      </c>
      <c r="CA143" s="14">
        <v>1.4000000000000004</v>
      </c>
      <c r="CB143" s="14">
        <v>-6.4</v>
      </c>
      <c r="CC143" s="14">
        <v>-0.39999999999999991</v>
      </c>
      <c r="CD143" s="14">
        <v>-1.7999999999999998</v>
      </c>
      <c r="CE143" s="14">
        <v>2.9325906651488043E-2</v>
      </c>
      <c r="CF143" s="14">
        <v>-2.399929527836505E-2</v>
      </c>
      <c r="CG143" s="14">
        <v>-0.17460317460317465</v>
      </c>
      <c r="CH143" s="14">
        <v>5</v>
      </c>
      <c r="CI143" s="14">
        <v>14.600000000000001</v>
      </c>
      <c r="CJ143" s="14">
        <v>-11</v>
      </c>
      <c r="CK143" s="14">
        <v>-1.7999999999999998</v>
      </c>
      <c r="CL143" s="14">
        <v>3.2000000000000028</v>
      </c>
      <c r="CM143" s="14">
        <v>-14.2</v>
      </c>
      <c r="CN143" s="14">
        <v>-1.4</v>
      </c>
      <c r="CO143" s="14">
        <v>-77.399999999999977</v>
      </c>
      <c r="CP143" s="14">
        <v>27.399999999999977</v>
      </c>
      <c r="CQ143" s="14">
        <v>-106.19999999999999</v>
      </c>
      <c r="CR143" s="14">
        <v>-1.7999999999999998</v>
      </c>
      <c r="CS143" s="14">
        <v>3.1999999999999993</v>
      </c>
      <c r="CT143" t="s">
        <v>275</v>
      </c>
      <c r="CU143" t="s">
        <v>477</v>
      </c>
    </row>
    <row r="144" spans="1:99" x14ac:dyDescent="0.2">
      <c r="A144" s="19">
        <v>44115</v>
      </c>
      <c r="B144">
        <v>5</v>
      </c>
      <c r="C144" s="13" t="s">
        <v>381</v>
      </c>
      <c r="D144" s="41" t="s">
        <v>298</v>
      </c>
      <c r="E144" s="14" t="s">
        <v>285</v>
      </c>
      <c r="F144" t="s">
        <v>623</v>
      </c>
      <c r="G144">
        <v>13.8</v>
      </c>
      <c r="H144" t="s">
        <v>566</v>
      </c>
      <c r="I144">
        <v>7.7</v>
      </c>
      <c r="J144">
        <v>13</v>
      </c>
      <c r="K144">
        <v>60</v>
      </c>
      <c r="L144">
        <v>1</v>
      </c>
      <c r="M144" t="s">
        <v>620</v>
      </c>
      <c r="N144">
        <v>3</v>
      </c>
      <c r="O144">
        <v>9</v>
      </c>
      <c r="P144">
        <v>30</v>
      </c>
      <c r="Q144">
        <v>0</v>
      </c>
      <c r="R144" t="s">
        <v>26</v>
      </c>
      <c r="S144">
        <v>28.6</v>
      </c>
      <c r="T144">
        <v>116</v>
      </c>
      <c r="U144">
        <v>10</v>
      </c>
      <c r="V144" t="s">
        <v>624</v>
      </c>
      <c r="W144">
        <v>5.3</v>
      </c>
      <c r="X144">
        <v>23</v>
      </c>
      <c r="Y144">
        <v>11</v>
      </c>
      <c r="Z144" t="s">
        <v>626</v>
      </c>
      <c r="AA144">
        <v>5</v>
      </c>
      <c r="AB144">
        <v>20</v>
      </c>
      <c r="AC144">
        <v>3</v>
      </c>
      <c r="AD144">
        <v>17.2</v>
      </c>
      <c r="AE144">
        <v>102</v>
      </c>
      <c r="AF144">
        <v>13</v>
      </c>
      <c r="AG144" t="s">
        <v>433</v>
      </c>
      <c r="AH144">
        <v>4.4000000000000004</v>
      </c>
      <c r="AI144">
        <v>24</v>
      </c>
      <c r="AJ144">
        <v>3</v>
      </c>
      <c r="AK144">
        <v>4</v>
      </c>
      <c r="AL144">
        <v>1</v>
      </c>
      <c r="AM144">
        <v>2</v>
      </c>
      <c r="AN144" s="21">
        <v>0.41025641025641024</v>
      </c>
      <c r="AO144" s="21">
        <v>5.128205128205128E-2</v>
      </c>
      <c r="AP144" s="21">
        <v>0.77777777777777779</v>
      </c>
      <c r="AQ144" s="35">
        <v>7</v>
      </c>
      <c r="AR144" s="35">
        <v>33</v>
      </c>
      <c r="AS144" s="35">
        <v>22</v>
      </c>
      <c r="AT144" s="35">
        <v>4</v>
      </c>
      <c r="AU144" s="35">
        <v>64</v>
      </c>
      <c r="AV144" s="35">
        <v>10</v>
      </c>
      <c r="AW144" s="35">
        <v>0</v>
      </c>
      <c r="AX144">
        <v>318</v>
      </c>
      <c r="AY144" s="35">
        <v>195</v>
      </c>
      <c r="AZ144" s="35">
        <v>90</v>
      </c>
      <c r="BA144" s="35">
        <v>13</v>
      </c>
      <c r="BB144" s="35">
        <v>20</v>
      </c>
      <c r="BC144" t="s">
        <v>285</v>
      </c>
      <c r="BD144" s="14">
        <v>-3.259999999999998</v>
      </c>
      <c r="BE144" s="14">
        <v>-5.3999999999999995</v>
      </c>
      <c r="BF144" s="14">
        <v>-2.1999999999999993</v>
      </c>
      <c r="BG144" s="14">
        <v>-4.5999999999999943</v>
      </c>
      <c r="BH144" s="14">
        <v>-3</v>
      </c>
      <c r="BI144" s="14">
        <v>-3.6799999999999997</v>
      </c>
      <c r="BJ144" s="14">
        <v>1</v>
      </c>
      <c r="BK144" s="14">
        <v>-6.6000000000000014</v>
      </c>
      <c r="BL144" s="14">
        <v>-1.4</v>
      </c>
      <c r="BM144" s="14">
        <v>5.879999999999999</v>
      </c>
      <c r="BN144" s="14">
        <v>20.799999999999997</v>
      </c>
      <c r="BO144" s="14">
        <v>0.40000000000000036</v>
      </c>
      <c r="BP144" s="14">
        <v>-3.3</v>
      </c>
      <c r="BQ144" s="14">
        <v>-25</v>
      </c>
      <c r="BR144" s="14">
        <v>4</v>
      </c>
      <c r="BS144" s="14">
        <v>0.54</v>
      </c>
      <c r="BT144" s="14">
        <v>-3.1999999999999993</v>
      </c>
      <c r="BU144" s="14">
        <v>-0.79999999999999982</v>
      </c>
      <c r="BV144" s="14">
        <v>-7.3800000000000026</v>
      </c>
      <c r="BW144" s="14">
        <v>-3.7999999999999972</v>
      </c>
      <c r="BX144" s="14">
        <v>-0.80000000000000071</v>
      </c>
      <c r="BY144" s="48">
        <v>-2.8599999999999994</v>
      </c>
      <c r="BZ144" s="14">
        <v>-4.6000000000000014</v>
      </c>
      <c r="CA144" s="14">
        <v>-2.8</v>
      </c>
      <c r="CB144" s="14">
        <v>-2</v>
      </c>
      <c r="CC144" s="14">
        <v>-1</v>
      </c>
      <c r="CD144" s="14">
        <v>-0.60000000000000009</v>
      </c>
      <c r="CE144" s="14">
        <v>0.12527725768136116</v>
      </c>
      <c r="CF144" s="14">
        <v>-1.3053624935872934E-2</v>
      </c>
      <c r="CG144" s="14">
        <v>7.5555555555555598E-2</v>
      </c>
      <c r="CH144" s="14">
        <v>-0.20000000000000018</v>
      </c>
      <c r="CI144" s="14">
        <v>-4.6000000000000014</v>
      </c>
      <c r="CJ144" s="14">
        <v>-2.1999999999999993</v>
      </c>
      <c r="CK144" s="14">
        <v>1.2000000000000002</v>
      </c>
      <c r="CL144" s="14">
        <v>-4.4000000000000057</v>
      </c>
      <c r="CM144" s="14">
        <v>-8.3999999999999986</v>
      </c>
      <c r="CN144" s="14">
        <v>0</v>
      </c>
      <c r="CO144" s="14">
        <v>-47</v>
      </c>
      <c r="CP144" s="14">
        <v>-51</v>
      </c>
      <c r="CQ144" s="14">
        <v>-14.400000000000006</v>
      </c>
      <c r="CR144" s="14">
        <v>10.6</v>
      </c>
      <c r="CS144" s="14">
        <v>7.8000000000000007</v>
      </c>
      <c r="CT144" t="s">
        <v>249</v>
      </c>
      <c r="CU144" t="s">
        <v>452</v>
      </c>
    </row>
    <row r="145" spans="1:99" x14ac:dyDescent="0.2">
      <c r="A145" s="19">
        <v>44115</v>
      </c>
      <c r="B145">
        <v>5</v>
      </c>
      <c r="C145" s="13" t="s">
        <v>381</v>
      </c>
      <c r="D145" s="41" t="s">
        <v>301</v>
      </c>
      <c r="E145" s="14" t="s">
        <v>295</v>
      </c>
      <c r="F145" t="s">
        <v>645</v>
      </c>
      <c r="G145">
        <v>23.82</v>
      </c>
      <c r="H145" t="s">
        <v>646</v>
      </c>
      <c r="I145">
        <v>29.9</v>
      </c>
      <c r="J145">
        <v>16</v>
      </c>
      <c r="K145">
        <v>89</v>
      </c>
      <c r="L145">
        <v>10</v>
      </c>
      <c r="M145" t="s">
        <v>649</v>
      </c>
      <c r="N145">
        <v>0.2</v>
      </c>
      <c r="O145">
        <v>1</v>
      </c>
      <c r="P145">
        <v>2</v>
      </c>
      <c r="Q145">
        <v>0</v>
      </c>
      <c r="R145" t="s">
        <v>27</v>
      </c>
      <c r="S145">
        <v>22.5</v>
      </c>
      <c r="T145">
        <v>112</v>
      </c>
      <c r="U145">
        <v>13</v>
      </c>
      <c r="V145" t="s">
        <v>85</v>
      </c>
      <c r="W145">
        <v>19.3</v>
      </c>
      <c r="X145">
        <v>93</v>
      </c>
      <c r="Y145">
        <v>5</v>
      </c>
      <c r="Z145" t="s">
        <v>49</v>
      </c>
      <c r="AA145">
        <v>11.4</v>
      </c>
      <c r="AB145">
        <v>36</v>
      </c>
      <c r="AC145">
        <v>5</v>
      </c>
      <c r="AD145">
        <v>5</v>
      </c>
      <c r="AE145">
        <v>20</v>
      </c>
      <c r="AF145">
        <v>5</v>
      </c>
      <c r="AG145" t="s">
        <v>167</v>
      </c>
      <c r="AH145">
        <v>0</v>
      </c>
      <c r="AI145">
        <v>0</v>
      </c>
      <c r="AJ145">
        <v>0</v>
      </c>
      <c r="AK145">
        <v>11</v>
      </c>
      <c r="AL145">
        <v>3</v>
      </c>
      <c r="AM145">
        <v>5</v>
      </c>
      <c r="AN145" s="21">
        <v>0.23076923076923078</v>
      </c>
      <c r="AO145" s="21">
        <v>0</v>
      </c>
      <c r="AP145" s="21">
        <v>0.8571428571428571</v>
      </c>
      <c r="AQ145" s="35">
        <v>0</v>
      </c>
      <c r="AR145" s="35">
        <v>37</v>
      </c>
      <c r="AS145" s="35">
        <v>19</v>
      </c>
      <c r="AT145" s="35">
        <v>3</v>
      </c>
      <c r="AU145" s="35">
        <v>64</v>
      </c>
      <c r="AV145" s="35">
        <v>23</v>
      </c>
      <c r="AW145" s="35">
        <v>0</v>
      </c>
      <c r="AX145">
        <v>437</v>
      </c>
      <c r="AY145" s="35">
        <v>313</v>
      </c>
      <c r="AZ145" s="35">
        <v>90</v>
      </c>
      <c r="BA145" s="35">
        <v>31</v>
      </c>
      <c r="BB145" s="35">
        <v>3</v>
      </c>
      <c r="BC145" t="s">
        <v>295</v>
      </c>
      <c r="BD145" s="14">
        <v>-9.1319999999999979</v>
      </c>
      <c r="BE145" s="14">
        <v>12.579999999999998</v>
      </c>
      <c r="BF145" s="14">
        <v>0.59999999999999964</v>
      </c>
      <c r="BG145" s="14">
        <v>25</v>
      </c>
      <c r="BH145" s="14">
        <v>4.5999999999999996</v>
      </c>
      <c r="BI145" s="14">
        <v>-5.6399999999999988</v>
      </c>
      <c r="BJ145" s="14">
        <v>-1.7999999999999998</v>
      </c>
      <c r="BK145" s="14">
        <v>-5.6</v>
      </c>
      <c r="BL145" s="14">
        <v>-3.2</v>
      </c>
      <c r="BM145" s="14">
        <v>3.4199999999999982</v>
      </c>
      <c r="BN145" s="14">
        <v>25.799999999999997</v>
      </c>
      <c r="BO145" s="14">
        <v>3.4000000000000004</v>
      </c>
      <c r="BP145" s="14">
        <v>-0.59999999999999787</v>
      </c>
      <c r="BQ145" s="14">
        <v>7.5999999999999943</v>
      </c>
      <c r="BR145" s="14">
        <v>-1.5999999999999996</v>
      </c>
      <c r="BS145" s="14">
        <v>5.5200000000000005</v>
      </c>
      <c r="BT145" s="14">
        <v>6.8000000000000007</v>
      </c>
      <c r="BU145" s="14">
        <v>0.59999999999999964</v>
      </c>
      <c r="BV145" s="14">
        <v>-20.48</v>
      </c>
      <c r="BW145" s="14">
        <v>-88.8</v>
      </c>
      <c r="BX145" s="14">
        <v>-6.8000000000000007</v>
      </c>
      <c r="BY145" s="48">
        <v>-18.419999999999998</v>
      </c>
      <c r="BZ145" s="14">
        <v>-60.2</v>
      </c>
      <c r="CA145" s="14">
        <v>-6.2</v>
      </c>
      <c r="CB145" s="14">
        <v>4</v>
      </c>
      <c r="CC145" s="14">
        <v>1.4</v>
      </c>
      <c r="CD145" s="14">
        <v>2.8</v>
      </c>
      <c r="CE145" s="14">
        <v>-3.2910140910140939E-2</v>
      </c>
      <c r="CF145" s="14">
        <v>-2.2527098527098527E-2</v>
      </c>
      <c r="CG145" s="14">
        <v>0.20142857142857151</v>
      </c>
      <c r="CH145" s="14">
        <v>-3</v>
      </c>
      <c r="CI145" s="14">
        <v>-4</v>
      </c>
      <c r="CJ145" s="14">
        <v>-1.1999999999999993</v>
      </c>
      <c r="CK145" s="14">
        <v>0.20000000000000018</v>
      </c>
      <c r="CL145" s="14">
        <v>-2.5999999999999943</v>
      </c>
      <c r="CM145" s="14">
        <v>-6.1999999999999993</v>
      </c>
      <c r="CN145" s="14">
        <v>0</v>
      </c>
      <c r="CO145" s="14">
        <v>-12.600000000000023</v>
      </c>
      <c r="CP145" s="14">
        <v>-36.800000000000011</v>
      </c>
      <c r="CQ145" s="14">
        <v>16.400000000000006</v>
      </c>
      <c r="CR145" s="14">
        <v>18.2</v>
      </c>
      <c r="CS145" s="14">
        <v>-10.4</v>
      </c>
      <c r="CT145" t="s">
        <v>280</v>
      </c>
      <c r="CU145" t="s">
        <v>489</v>
      </c>
    </row>
    <row r="146" spans="1:99" x14ac:dyDescent="0.2">
      <c r="A146" s="19">
        <v>44115</v>
      </c>
      <c r="B146">
        <v>5</v>
      </c>
      <c r="C146" s="13" t="s">
        <v>381</v>
      </c>
      <c r="D146" s="41" t="s">
        <v>303</v>
      </c>
      <c r="E146" s="14" t="s">
        <v>288</v>
      </c>
      <c r="F146" t="s">
        <v>661</v>
      </c>
      <c r="G146">
        <v>27.98</v>
      </c>
      <c r="H146" t="s">
        <v>662</v>
      </c>
      <c r="I146">
        <v>22.5</v>
      </c>
      <c r="J146">
        <v>23</v>
      </c>
      <c r="K146">
        <v>77</v>
      </c>
      <c r="L146">
        <v>3</v>
      </c>
      <c r="M146" t="s">
        <v>663</v>
      </c>
      <c r="N146">
        <v>7.7</v>
      </c>
      <c r="O146">
        <v>7</v>
      </c>
      <c r="P146">
        <v>62</v>
      </c>
      <c r="Q146">
        <v>1</v>
      </c>
      <c r="R146" t="s">
        <v>664</v>
      </c>
      <c r="S146">
        <v>22.8</v>
      </c>
      <c r="T146">
        <v>118</v>
      </c>
      <c r="U146">
        <v>3</v>
      </c>
      <c r="V146" t="s">
        <v>10</v>
      </c>
      <c r="W146">
        <v>14.7</v>
      </c>
      <c r="X146">
        <v>67</v>
      </c>
      <c r="Y146">
        <v>2</v>
      </c>
      <c r="Z146" t="s">
        <v>79</v>
      </c>
      <c r="AA146">
        <v>5.2</v>
      </c>
      <c r="AB146">
        <v>42</v>
      </c>
      <c r="AC146">
        <v>1</v>
      </c>
      <c r="AD146">
        <v>6.3</v>
      </c>
      <c r="AE146">
        <v>43</v>
      </c>
      <c r="AF146">
        <v>5</v>
      </c>
      <c r="AG146" t="s">
        <v>107</v>
      </c>
      <c r="AH146">
        <v>15.8</v>
      </c>
      <c r="AI146">
        <v>48</v>
      </c>
      <c r="AJ146">
        <v>7</v>
      </c>
      <c r="AK146">
        <v>11</v>
      </c>
      <c r="AL146">
        <v>2</v>
      </c>
      <c r="AM146">
        <v>4</v>
      </c>
      <c r="AN146" s="21">
        <v>0.3125</v>
      </c>
      <c r="AO146" s="21">
        <v>3.125E-2</v>
      </c>
      <c r="AP146" s="21">
        <v>0.5</v>
      </c>
      <c r="AQ146">
        <v>-1</v>
      </c>
      <c r="AR146" s="35">
        <v>31</v>
      </c>
      <c r="AS146" s="35">
        <v>31</v>
      </c>
      <c r="AT146" s="35">
        <v>4</v>
      </c>
      <c r="AU146" s="35">
        <v>67</v>
      </c>
      <c r="AV146" s="35">
        <v>40</v>
      </c>
      <c r="AW146" s="35">
        <v>0</v>
      </c>
      <c r="AX146" s="35">
        <v>491</v>
      </c>
      <c r="AY146" s="35">
        <v>347</v>
      </c>
      <c r="AZ146" s="35">
        <v>143</v>
      </c>
      <c r="BA146" s="35">
        <v>0</v>
      </c>
      <c r="BB146" s="35">
        <v>1</v>
      </c>
      <c r="BC146" t="s">
        <v>288</v>
      </c>
      <c r="BD146" s="14">
        <v>9.1440000000000019</v>
      </c>
      <c r="BE146" s="14">
        <v>9.9599999999999991</v>
      </c>
      <c r="BF146" s="14">
        <v>11.2</v>
      </c>
      <c r="BG146" s="14">
        <v>26.4</v>
      </c>
      <c r="BH146" s="14">
        <v>-0.39999999999999991</v>
      </c>
      <c r="BI146" s="14">
        <v>-0.98000000000000131</v>
      </c>
      <c r="BJ146" s="14">
        <v>-3.5999999999999996</v>
      </c>
      <c r="BK146" s="14">
        <v>13.600000000000001</v>
      </c>
      <c r="BL146" s="14">
        <v>-0.39999999999999991</v>
      </c>
      <c r="BM146" s="14">
        <v>9.6399999999999988</v>
      </c>
      <c r="BN146" s="14">
        <v>56.4</v>
      </c>
      <c r="BO146" s="14">
        <v>-3.5999999999999996</v>
      </c>
      <c r="BP146" s="14">
        <v>4.2199999999999989</v>
      </c>
      <c r="BQ146" s="14">
        <v>36.200000000000003</v>
      </c>
      <c r="BR146" s="14">
        <v>-2.4000000000000004</v>
      </c>
      <c r="BS146" s="14">
        <v>-0.93999999999999861</v>
      </c>
      <c r="BT146" s="14">
        <v>12.600000000000001</v>
      </c>
      <c r="BU146" s="14">
        <v>-2.2000000000000002</v>
      </c>
      <c r="BV146" s="14">
        <v>-5.22</v>
      </c>
      <c r="BW146" s="14">
        <v>-12.200000000000003</v>
      </c>
      <c r="BX146" s="14">
        <v>-3.5999999999999996</v>
      </c>
      <c r="BY146" s="48">
        <v>8.4</v>
      </c>
      <c r="BZ146" s="14">
        <v>16</v>
      </c>
      <c r="CA146" s="14">
        <v>1.4000000000000004</v>
      </c>
      <c r="CB146" s="14">
        <v>3.2</v>
      </c>
      <c r="CC146" s="14">
        <v>0.19999999999999996</v>
      </c>
      <c r="CD146" s="14">
        <v>-0.20000000000000018</v>
      </c>
      <c r="CE146" s="14">
        <v>-5.4370248989901948E-2</v>
      </c>
      <c r="CF146" s="14">
        <v>-1.8139556207592153E-2</v>
      </c>
      <c r="CG146" s="14">
        <v>-0.16590909090909089</v>
      </c>
      <c r="CH146" s="14">
        <v>-7.8</v>
      </c>
      <c r="CI146" s="14">
        <v>-0.19999999999999929</v>
      </c>
      <c r="CJ146" s="14">
        <v>5.3999999999999986</v>
      </c>
      <c r="CK146" s="14">
        <v>-1.5999999999999996</v>
      </c>
      <c r="CL146" s="14">
        <v>2.4000000000000057</v>
      </c>
      <c r="CM146" s="14">
        <v>20</v>
      </c>
      <c r="CN146" s="14">
        <v>-1.4</v>
      </c>
      <c r="CO146" s="14">
        <v>126.80000000000001</v>
      </c>
      <c r="CP146" s="14">
        <v>133.6</v>
      </c>
      <c r="CQ146" s="14">
        <v>26.400000000000006</v>
      </c>
      <c r="CR146" s="14">
        <v>-3.2</v>
      </c>
      <c r="CS146" s="14">
        <v>-30</v>
      </c>
      <c r="CT146" t="s">
        <v>270</v>
      </c>
      <c r="CU146" t="s">
        <v>508</v>
      </c>
    </row>
    <row r="147" spans="1:99" x14ac:dyDescent="0.2">
      <c r="A147" s="19">
        <v>44115</v>
      </c>
      <c r="B147">
        <v>5</v>
      </c>
      <c r="C147" s="13" t="s">
        <v>381</v>
      </c>
      <c r="D147" s="41" t="s">
        <v>304</v>
      </c>
      <c r="E147" s="14" t="s">
        <v>306</v>
      </c>
      <c r="F147" t="s">
        <v>666</v>
      </c>
      <c r="G147">
        <v>28.36</v>
      </c>
      <c r="H147" t="s">
        <v>667</v>
      </c>
      <c r="I147">
        <v>21.8</v>
      </c>
      <c r="J147">
        <v>15</v>
      </c>
      <c r="K147">
        <v>38</v>
      </c>
      <c r="L147">
        <v>4</v>
      </c>
      <c r="M147" t="s">
        <v>671</v>
      </c>
      <c r="N147">
        <v>6.1</v>
      </c>
      <c r="O147">
        <v>9</v>
      </c>
      <c r="P147">
        <v>61</v>
      </c>
      <c r="Q147">
        <v>0</v>
      </c>
      <c r="R147" t="s">
        <v>59</v>
      </c>
      <c r="S147">
        <v>17.100000000000001</v>
      </c>
      <c r="T147">
        <v>71</v>
      </c>
      <c r="U147">
        <v>5</v>
      </c>
      <c r="V147" t="s">
        <v>146</v>
      </c>
      <c r="W147">
        <v>11.6</v>
      </c>
      <c r="X147">
        <v>66</v>
      </c>
      <c r="Y147">
        <v>8</v>
      </c>
      <c r="Z147" t="s">
        <v>669</v>
      </c>
      <c r="AA147">
        <v>6.6</v>
      </c>
      <c r="AB147">
        <v>46</v>
      </c>
      <c r="AC147">
        <v>4</v>
      </c>
      <c r="AD147">
        <v>26</v>
      </c>
      <c r="AE147">
        <v>130</v>
      </c>
      <c r="AF147">
        <v>8</v>
      </c>
      <c r="AG147" t="s">
        <v>99</v>
      </c>
      <c r="AH147">
        <v>13</v>
      </c>
      <c r="AI147">
        <v>90</v>
      </c>
      <c r="AJ147">
        <v>4</v>
      </c>
      <c r="AK147">
        <v>6</v>
      </c>
      <c r="AL147">
        <v>1</v>
      </c>
      <c r="AM147">
        <v>12</v>
      </c>
      <c r="AN147" s="21">
        <v>9.375E-2</v>
      </c>
      <c r="AO147" s="21">
        <v>3.125E-2</v>
      </c>
      <c r="AP147" s="21">
        <v>0</v>
      </c>
      <c r="AQ147" s="35">
        <v>2</v>
      </c>
      <c r="AR147" s="35">
        <v>30</v>
      </c>
      <c r="AS147" s="35">
        <v>32</v>
      </c>
      <c r="AT147" s="35">
        <v>3</v>
      </c>
      <c r="AU147" s="35">
        <v>66</v>
      </c>
      <c r="AV147" s="35">
        <v>30</v>
      </c>
      <c r="AW147" s="35">
        <v>0</v>
      </c>
      <c r="AX147">
        <v>438</v>
      </c>
      <c r="AY147" s="35">
        <v>309</v>
      </c>
      <c r="AZ147" s="35">
        <v>129</v>
      </c>
      <c r="BA147" s="35">
        <v>0</v>
      </c>
      <c r="BB147" s="35">
        <v>0</v>
      </c>
      <c r="BC147" t="s">
        <v>306</v>
      </c>
      <c r="BD147" s="14">
        <v>5.0119999999999969</v>
      </c>
      <c r="BE147" s="14">
        <v>6.26</v>
      </c>
      <c r="BF147" s="14">
        <v>-1</v>
      </c>
      <c r="BG147" s="14">
        <v>-27.400000000000006</v>
      </c>
      <c r="BH147" s="14">
        <v>2</v>
      </c>
      <c r="BI147" s="14">
        <v>-1.9999999999999574E-2</v>
      </c>
      <c r="BJ147" s="14">
        <v>1.5999999999999996</v>
      </c>
      <c r="BK147" s="14">
        <v>31.2</v>
      </c>
      <c r="BL147" s="14">
        <v>-1.6</v>
      </c>
      <c r="BM147" s="14">
        <v>2.66</v>
      </c>
      <c r="BN147" s="14">
        <v>6</v>
      </c>
      <c r="BO147" s="14">
        <v>-1.4000000000000004</v>
      </c>
      <c r="BP147" s="14">
        <v>3.9799999999999995</v>
      </c>
      <c r="BQ147" s="14">
        <v>27.799999999999997</v>
      </c>
      <c r="BR147" s="14">
        <v>3.2</v>
      </c>
      <c r="BS147" s="14">
        <v>2.5199999999999996</v>
      </c>
      <c r="BT147" s="14">
        <v>19.8</v>
      </c>
      <c r="BU147" s="14">
        <v>1.2000000000000002</v>
      </c>
      <c r="BV147" s="14">
        <v>11.12</v>
      </c>
      <c r="BW147" s="14">
        <v>63.2</v>
      </c>
      <c r="BX147" s="14">
        <v>1</v>
      </c>
      <c r="BY147" s="48">
        <v>3.2399999999999984</v>
      </c>
      <c r="BZ147" s="14">
        <v>44.4</v>
      </c>
      <c r="CA147" s="14">
        <v>0.39999999999999991</v>
      </c>
      <c r="CB147" s="14">
        <v>-3.1999999999999993</v>
      </c>
      <c r="CC147" s="14">
        <v>-0.8</v>
      </c>
      <c r="CD147" s="14">
        <v>1</v>
      </c>
      <c r="CE147" s="14">
        <v>-0.23557977681233494</v>
      </c>
      <c r="CF147" s="14">
        <v>-2.1861913280517932E-2</v>
      </c>
      <c r="CG147" s="14">
        <v>-0.51809523809523816</v>
      </c>
      <c r="CH147" s="14">
        <v>-1</v>
      </c>
      <c r="CI147" s="14">
        <v>3.6000000000000014</v>
      </c>
      <c r="CJ147" s="14">
        <v>6</v>
      </c>
      <c r="CK147" s="14">
        <v>-2.8</v>
      </c>
      <c r="CL147" s="14">
        <v>5.3999999999999986</v>
      </c>
      <c r="CM147" s="14">
        <v>2.3999999999999986</v>
      </c>
      <c r="CN147" s="14">
        <v>-1.4</v>
      </c>
      <c r="CO147" s="14">
        <v>82.199999999999989</v>
      </c>
      <c r="CP147" s="14">
        <v>97.800000000000011</v>
      </c>
      <c r="CQ147" s="14">
        <v>24.599999999999994</v>
      </c>
      <c r="CR147" s="14">
        <v>-0.6</v>
      </c>
      <c r="CS147" s="14">
        <v>-39.6</v>
      </c>
      <c r="CT147" t="s">
        <v>283</v>
      </c>
      <c r="CU147" t="s">
        <v>454</v>
      </c>
    </row>
    <row r="148" spans="1:99" x14ac:dyDescent="0.2">
      <c r="A148" s="19">
        <v>44115</v>
      </c>
      <c r="B148">
        <v>5</v>
      </c>
      <c r="C148" s="13" t="s">
        <v>381</v>
      </c>
      <c r="D148" s="41" t="s">
        <v>305</v>
      </c>
      <c r="E148" s="14" t="s">
        <v>272</v>
      </c>
      <c r="F148" t="s">
        <v>673</v>
      </c>
      <c r="G148">
        <v>14.5</v>
      </c>
      <c r="H148" t="s">
        <v>677</v>
      </c>
      <c r="I148">
        <v>5.7</v>
      </c>
      <c r="J148">
        <v>11</v>
      </c>
      <c r="K148">
        <v>57</v>
      </c>
      <c r="L148">
        <v>0</v>
      </c>
      <c r="M148" t="s">
        <v>675</v>
      </c>
      <c r="N148">
        <v>8.5</v>
      </c>
      <c r="O148">
        <v>1</v>
      </c>
      <c r="P148">
        <v>34</v>
      </c>
      <c r="Q148">
        <v>3</v>
      </c>
      <c r="R148" t="s">
        <v>4</v>
      </c>
      <c r="S148">
        <v>19.8</v>
      </c>
      <c r="T148">
        <v>77</v>
      </c>
      <c r="U148">
        <v>10</v>
      </c>
      <c r="V148" t="s">
        <v>676</v>
      </c>
      <c r="W148">
        <v>7.9</v>
      </c>
      <c r="X148">
        <v>17</v>
      </c>
      <c r="Y148">
        <v>2</v>
      </c>
      <c r="Z148" t="s">
        <v>147</v>
      </c>
      <c r="AA148">
        <v>0</v>
      </c>
      <c r="AB148">
        <v>0</v>
      </c>
      <c r="AC148">
        <v>3</v>
      </c>
      <c r="AD148">
        <v>17.7</v>
      </c>
      <c r="AE148">
        <v>57</v>
      </c>
      <c r="AF148">
        <v>11</v>
      </c>
      <c r="AG148" t="s">
        <v>7</v>
      </c>
      <c r="AH148">
        <v>17.600000000000001</v>
      </c>
      <c r="AI148">
        <v>56</v>
      </c>
      <c r="AJ148">
        <v>9</v>
      </c>
      <c r="AK148">
        <v>9</v>
      </c>
      <c r="AL148">
        <v>3</v>
      </c>
      <c r="AM148">
        <v>26</v>
      </c>
      <c r="AN148" s="21">
        <v>0.28205128205128205</v>
      </c>
      <c r="AO148" s="21">
        <v>2.564102564102564E-2</v>
      </c>
      <c r="AP148" s="21">
        <v>0.33333333333333331</v>
      </c>
      <c r="AQ148" s="35">
        <v>3</v>
      </c>
      <c r="AR148" s="35">
        <v>37</v>
      </c>
      <c r="AS148" s="35">
        <v>19</v>
      </c>
      <c r="AT148" s="35">
        <v>3</v>
      </c>
      <c r="AU148" s="35">
        <v>62</v>
      </c>
      <c r="AV148" s="35">
        <v>20</v>
      </c>
      <c r="AW148" s="35">
        <v>7</v>
      </c>
      <c r="AX148">
        <v>341</v>
      </c>
      <c r="AY148" s="35">
        <v>180</v>
      </c>
      <c r="AZ148" s="35">
        <v>116</v>
      </c>
      <c r="BA148" s="35">
        <v>43</v>
      </c>
      <c r="BB148" s="35">
        <v>2</v>
      </c>
      <c r="BC148" t="s">
        <v>272</v>
      </c>
      <c r="BD148" s="14">
        <v>-7.088000000000001</v>
      </c>
      <c r="BE148" s="14">
        <v>-10.279999999999998</v>
      </c>
      <c r="BF148" s="14">
        <v>-5</v>
      </c>
      <c r="BG148" s="14">
        <v>-25.200000000000003</v>
      </c>
      <c r="BH148" s="14">
        <v>-3.4</v>
      </c>
      <c r="BI148" s="14">
        <v>0.27999999999999936</v>
      </c>
      <c r="BJ148" s="14">
        <v>-1.7999999999999998</v>
      </c>
      <c r="BK148" s="14">
        <v>8.3999999999999986</v>
      </c>
      <c r="BL148" s="14">
        <v>0.79999999999999982</v>
      </c>
      <c r="BM148" s="14">
        <v>1.9199999999999982</v>
      </c>
      <c r="BN148" s="14">
        <v>11.200000000000003</v>
      </c>
      <c r="BO148" s="14">
        <v>1.8000000000000007</v>
      </c>
      <c r="BP148" s="14">
        <v>-1.7200000000000006</v>
      </c>
      <c r="BQ148" s="14">
        <v>-25.799999999999997</v>
      </c>
      <c r="BR148" s="14">
        <v>-2.4000000000000004</v>
      </c>
      <c r="BS148" s="14">
        <v>-7.6399999999999988</v>
      </c>
      <c r="BT148" s="14">
        <v>-42.4</v>
      </c>
      <c r="BU148" s="14">
        <v>-1.4000000000000004</v>
      </c>
      <c r="BV148" s="14">
        <v>-1.3399999999999999</v>
      </c>
      <c r="BW148" s="14">
        <v>-29.400000000000006</v>
      </c>
      <c r="BX148" s="14">
        <v>-0.40000000000000036</v>
      </c>
      <c r="BY148" s="48">
        <v>5.2200000000000006</v>
      </c>
      <c r="BZ148" s="14">
        <v>10.399999999999999</v>
      </c>
      <c r="CA148" s="14">
        <v>2.2000000000000002</v>
      </c>
      <c r="CB148" s="14">
        <v>-1</v>
      </c>
      <c r="CC148" s="14">
        <v>0.60000000000000009</v>
      </c>
      <c r="CD148" s="14">
        <v>17.2</v>
      </c>
      <c r="CE148" s="14">
        <v>1.4346764346764296E-3</v>
      </c>
      <c r="CF148" s="14">
        <v>-7.9792429792429759E-3</v>
      </c>
      <c r="CG148" s="14">
        <v>-0.36952380952380953</v>
      </c>
      <c r="CH148" s="14">
        <v>-0.39999999999999991</v>
      </c>
      <c r="CI148" s="14">
        <v>-1.2000000000000028</v>
      </c>
      <c r="CJ148" s="14">
        <v>-2</v>
      </c>
      <c r="CK148" s="14">
        <v>-1</v>
      </c>
      <c r="CL148" s="14">
        <v>-3.7999999999999972</v>
      </c>
      <c r="CM148" s="14">
        <v>-6.8000000000000007</v>
      </c>
      <c r="CN148" s="14">
        <v>5.6</v>
      </c>
      <c r="CO148" s="14">
        <v>-68</v>
      </c>
      <c r="CP148" s="14">
        <v>-89.199999999999989</v>
      </c>
      <c r="CQ148" s="14">
        <v>2.4000000000000057</v>
      </c>
      <c r="CR148" s="14">
        <v>34.4</v>
      </c>
      <c r="CS148" s="14">
        <v>-15.600000000000001</v>
      </c>
      <c r="CT148" t="s">
        <v>277</v>
      </c>
      <c r="CU148" t="s">
        <v>528</v>
      </c>
    </row>
    <row r="149" spans="1:99" x14ac:dyDescent="0.2">
      <c r="A149" s="19">
        <v>44115</v>
      </c>
      <c r="B149">
        <v>5</v>
      </c>
      <c r="C149" s="13" t="s">
        <v>381</v>
      </c>
      <c r="D149" s="41" t="s">
        <v>306</v>
      </c>
      <c r="E149" s="14" t="s">
        <v>304</v>
      </c>
      <c r="F149" t="s">
        <v>467</v>
      </c>
      <c r="G149">
        <v>11.24</v>
      </c>
      <c r="H149" t="s">
        <v>680</v>
      </c>
      <c r="I149">
        <v>10.1</v>
      </c>
      <c r="J149">
        <v>11</v>
      </c>
      <c r="K149">
        <v>27</v>
      </c>
      <c r="L149">
        <v>5</v>
      </c>
      <c r="M149" t="s">
        <v>681</v>
      </c>
      <c r="N149">
        <v>10.9</v>
      </c>
      <c r="O149">
        <v>1</v>
      </c>
      <c r="P149">
        <v>3</v>
      </c>
      <c r="Q149">
        <v>8</v>
      </c>
      <c r="R149" t="s">
        <v>94</v>
      </c>
      <c r="S149">
        <v>5.6</v>
      </c>
      <c r="T149">
        <v>26</v>
      </c>
      <c r="U149">
        <v>7</v>
      </c>
      <c r="V149" t="s">
        <v>684</v>
      </c>
      <c r="W149">
        <v>0.8</v>
      </c>
      <c r="X149">
        <v>-2</v>
      </c>
      <c r="Y149">
        <v>1</v>
      </c>
      <c r="Z149" t="s">
        <v>685</v>
      </c>
      <c r="AA149">
        <v>1.3</v>
      </c>
      <c r="AB149">
        <v>3</v>
      </c>
      <c r="AC149">
        <v>1</v>
      </c>
      <c r="AD149">
        <v>8.8000000000000007</v>
      </c>
      <c r="AE149">
        <v>28</v>
      </c>
      <c r="AF149">
        <v>8</v>
      </c>
      <c r="AG149" t="s">
        <v>683</v>
      </c>
      <c r="AH149">
        <v>1.4</v>
      </c>
      <c r="AI149">
        <v>4</v>
      </c>
      <c r="AJ149">
        <v>4</v>
      </c>
      <c r="AK149">
        <v>5</v>
      </c>
      <c r="AL149">
        <v>1</v>
      </c>
      <c r="AM149">
        <v>2</v>
      </c>
      <c r="AN149" s="21">
        <v>0.35</v>
      </c>
      <c r="AO149" s="21">
        <v>0.2</v>
      </c>
      <c r="AP149" s="21">
        <v>0.66666666666666663</v>
      </c>
      <c r="AQ149" s="35">
        <v>12</v>
      </c>
      <c r="AR149" s="35">
        <v>30</v>
      </c>
      <c r="AS149" s="35">
        <v>12</v>
      </c>
      <c r="AT149" s="35">
        <v>2</v>
      </c>
      <c r="AU149" s="35">
        <v>52</v>
      </c>
      <c r="AV149" s="35">
        <v>10</v>
      </c>
      <c r="AW149" s="35">
        <v>0</v>
      </c>
      <c r="AX149">
        <v>149</v>
      </c>
      <c r="AY149" s="35">
        <v>111</v>
      </c>
      <c r="AZ149" s="35">
        <v>30</v>
      </c>
      <c r="BA149" s="35">
        <v>0</v>
      </c>
      <c r="BB149" s="35">
        <v>8</v>
      </c>
      <c r="BC149" t="s">
        <v>304</v>
      </c>
      <c r="BD149" s="14">
        <v>-4.0560000000000009</v>
      </c>
      <c r="BE149" s="14">
        <v>-3.4400000000000013</v>
      </c>
      <c r="BF149" s="14">
        <v>-3.4000000000000004</v>
      </c>
      <c r="BG149" s="14">
        <v>-31.200000000000003</v>
      </c>
      <c r="BH149" s="14">
        <v>0.40000000000000036</v>
      </c>
      <c r="BI149" s="14">
        <v>5.04</v>
      </c>
      <c r="BJ149" s="14">
        <v>-3</v>
      </c>
      <c r="BK149" s="14">
        <v>-17.600000000000001</v>
      </c>
      <c r="BL149" s="14">
        <v>5.2</v>
      </c>
      <c r="BM149" s="14">
        <v>-6.1400000000000006</v>
      </c>
      <c r="BN149" s="14">
        <v>-24.6</v>
      </c>
      <c r="BO149" s="14">
        <v>0</v>
      </c>
      <c r="BP149" s="14">
        <v>-7.8200000000000012</v>
      </c>
      <c r="BQ149" s="14">
        <v>-36.200000000000003</v>
      </c>
      <c r="BR149" s="14">
        <v>-3.2</v>
      </c>
      <c r="BS149" s="14">
        <v>-4.2400000000000011</v>
      </c>
      <c r="BT149" s="14">
        <v>-31</v>
      </c>
      <c r="BU149" s="14">
        <v>-1.4</v>
      </c>
      <c r="BV149" s="14">
        <v>-11.02</v>
      </c>
      <c r="BW149" s="14">
        <v>-60.2</v>
      </c>
      <c r="BX149" s="14">
        <v>-3</v>
      </c>
      <c r="BY149" s="48">
        <v>-11.679999999999998</v>
      </c>
      <c r="BZ149" s="14">
        <v>-38.799999999999997</v>
      </c>
      <c r="CA149" s="14">
        <v>-3.2</v>
      </c>
      <c r="CB149" s="14">
        <v>-1.5999999999999996</v>
      </c>
      <c r="CC149" s="14">
        <v>-0.39999999999999991</v>
      </c>
      <c r="CD149" s="14">
        <v>-1.6</v>
      </c>
      <c r="CE149" s="14">
        <v>4.8114049878755727E-2</v>
      </c>
      <c r="CF149" s="14">
        <v>0.11615615615615617</v>
      </c>
      <c r="CG149" s="14">
        <v>6.2783882783882805E-2</v>
      </c>
      <c r="CH149" s="14">
        <v>5.2</v>
      </c>
      <c r="CI149" s="14">
        <v>-5</v>
      </c>
      <c r="CJ149" s="14">
        <v>-8.3999999999999986</v>
      </c>
      <c r="CK149" s="14">
        <v>-1.6</v>
      </c>
      <c r="CL149" s="14">
        <v>-11</v>
      </c>
      <c r="CM149" s="14">
        <v>-9.3999999999999986</v>
      </c>
      <c r="CN149" s="14">
        <v>0</v>
      </c>
      <c r="CO149" s="14">
        <v>-179</v>
      </c>
      <c r="CP149" s="14">
        <v>-113.4</v>
      </c>
      <c r="CQ149" s="14">
        <v>-58.2</v>
      </c>
      <c r="CR149" s="14">
        <v>-0.2</v>
      </c>
      <c r="CS149" s="14">
        <v>-7.1999999999999993</v>
      </c>
      <c r="CT149" t="s">
        <v>251</v>
      </c>
      <c r="CU149" t="s">
        <v>456</v>
      </c>
    </row>
    <row r="150" spans="1:99" x14ac:dyDescent="0.2">
      <c r="A150" s="19">
        <v>44115</v>
      </c>
      <c r="B150">
        <v>5</v>
      </c>
      <c r="C150" s="13" t="s">
        <v>381</v>
      </c>
      <c r="D150" s="41" t="s">
        <v>307</v>
      </c>
      <c r="E150" s="14" t="s">
        <v>287</v>
      </c>
      <c r="F150" t="s">
        <v>689</v>
      </c>
      <c r="G150">
        <v>32.4</v>
      </c>
      <c r="H150" t="s">
        <v>690</v>
      </c>
      <c r="I150">
        <v>19.899999999999999</v>
      </c>
      <c r="J150">
        <v>11</v>
      </c>
      <c r="K150">
        <v>45</v>
      </c>
      <c r="L150">
        <v>10</v>
      </c>
      <c r="M150" t="s">
        <v>691</v>
      </c>
      <c r="N150">
        <v>7.7</v>
      </c>
      <c r="O150">
        <v>8</v>
      </c>
      <c r="P150">
        <v>34</v>
      </c>
      <c r="Q150">
        <v>2</v>
      </c>
      <c r="R150" t="s">
        <v>129</v>
      </c>
      <c r="S150">
        <v>27.2</v>
      </c>
      <c r="T150">
        <v>122</v>
      </c>
      <c r="U150">
        <v>14</v>
      </c>
      <c r="V150" t="s">
        <v>693</v>
      </c>
      <c r="W150">
        <v>7.4</v>
      </c>
      <c r="X150">
        <v>34</v>
      </c>
      <c r="Y150">
        <v>6</v>
      </c>
      <c r="Z150" t="s">
        <v>692</v>
      </c>
      <c r="AA150">
        <v>2.8</v>
      </c>
      <c r="AB150">
        <v>8</v>
      </c>
      <c r="AC150">
        <v>3</v>
      </c>
      <c r="AD150">
        <v>30.6</v>
      </c>
      <c r="AE150">
        <v>136</v>
      </c>
      <c r="AF150">
        <v>14</v>
      </c>
      <c r="AG150" t="s">
        <v>80</v>
      </c>
      <c r="AH150">
        <v>13.2</v>
      </c>
      <c r="AI150">
        <v>52</v>
      </c>
      <c r="AJ150">
        <v>3</v>
      </c>
      <c r="AK150">
        <v>15</v>
      </c>
      <c r="AL150">
        <v>3</v>
      </c>
      <c r="AM150">
        <v>3</v>
      </c>
      <c r="AN150" s="21">
        <v>0.37254901960784315</v>
      </c>
      <c r="AO150" s="21">
        <v>3.9215686274509803E-2</v>
      </c>
      <c r="AP150" s="21">
        <v>0.75</v>
      </c>
      <c r="AQ150" s="35">
        <v>3</v>
      </c>
      <c r="AR150" s="35">
        <v>48</v>
      </c>
      <c r="AS150" s="35">
        <v>21</v>
      </c>
      <c r="AT150" s="35">
        <v>4</v>
      </c>
      <c r="AU150" s="35">
        <v>75</v>
      </c>
      <c r="AV150" s="35">
        <v>30</v>
      </c>
      <c r="AW150" s="35">
        <v>0</v>
      </c>
      <c r="AX150" s="35">
        <v>420</v>
      </c>
      <c r="AY150" s="35">
        <v>325</v>
      </c>
      <c r="AZ150" s="35">
        <v>81</v>
      </c>
      <c r="BA150" s="35">
        <v>0</v>
      </c>
      <c r="BB150" s="35">
        <v>14</v>
      </c>
      <c r="BC150" t="s">
        <v>287</v>
      </c>
      <c r="BD150" s="14">
        <v>3.9149999999999991</v>
      </c>
      <c r="BE150" s="14">
        <v>0.44999999999999574</v>
      </c>
      <c r="BF150" s="14">
        <v>-2.5</v>
      </c>
      <c r="BG150" s="14">
        <v>-15</v>
      </c>
      <c r="BH150" s="14">
        <v>1</v>
      </c>
      <c r="BI150" s="14">
        <v>2.1749999999999998</v>
      </c>
      <c r="BJ150" s="14">
        <v>4.75</v>
      </c>
      <c r="BK150" s="14">
        <v>20.5</v>
      </c>
      <c r="BL150" s="14">
        <v>0.5</v>
      </c>
      <c r="BM150" s="14">
        <v>5.2749999999999986</v>
      </c>
      <c r="BN150" s="14">
        <v>22.5</v>
      </c>
      <c r="BO150" s="14">
        <v>4.5</v>
      </c>
      <c r="BP150" s="14">
        <v>-3.2249999999999996</v>
      </c>
      <c r="BQ150" s="14">
        <v>-19</v>
      </c>
      <c r="BR150" s="14">
        <v>1</v>
      </c>
      <c r="BS150" s="14">
        <v>-2.7250000000000005</v>
      </c>
      <c r="BT150" s="14">
        <v>-18</v>
      </c>
      <c r="BU150" s="14">
        <v>-1</v>
      </c>
      <c r="BV150" s="14">
        <v>1.25</v>
      </c>
      <c r="BW150" s="14">
        <v>10</v>
      </c>
      <c r="BX150" s="14">
        <v>3</v>
      </c>
      <c r="BY150" s="48">
        <v>-7.4999999999999289E-2</v>
      </c>
      <c r="BZ150" s="14">
        <v>1.75</v>
      </c>
      <c r="CA150" s="14">
        <v>-3.25</v>
      </c>
      <c r="CB150" s="14">
        <v>2.5</v>
      </c>
      <c r="CC150" s="14">
        <v>-0.25</v>
      </c>
      <c r="CD150" s="14">
        <v>-3.25</v>
      </c>
      <c r="CE150" s="14">
        <v>6.4935893322577598E-2</v>
      </c>
      <c r="CF150" s="14">
        <v>8.6531028181882075E-3</v>
      </c>
      <c r="CG150" s="14">
        <v>0.21354166666666674</v>
      </c>
      <c r="CH150" s="14">
        <v>-0.5</v>
      </c>
      <c r="CI150" s="14">
        <v>5.75</v>
      </c>
      <c r="CJ150" s="14">
        <v>2.5</v>
      </c>
      <c r="CK150" s="14">
        <v>0.25</v>
      </c>
      <c r="CL150" s="14">
        <v>7.75</v>
      </c>
      <c r="CM150" s="14">
        <v>2</v>
      </c>
      <c r="CN150" s="14">
        <v>0</v>
      </c>
      <c r="CO150" s="14">
        <v>8.25</v>
      </c>
      <c r="CP150" s="14">
        <v>17.25</v>
      </c>
      <c r="CQ150" s="14">
        <v>1</v>
      </c>
      <c r="CR150" s="14">
        <v>-4.75</v>
      </c>
      <c r="CS150" s="14">
        <v>-5.25</v>
      </c>
      <c r="CT150" t="s">
        <v>267</v>
      </c>
      <c r="CU150" t="s">
        <v>502</v>
      </c>
    </row>
    <row r="151" spans="1:99" x14ac:dyDescent="0.2">
      <c r="A151" s="19">
        <v>44115</v>
      </c>
      <c r="B151">
        <v>5</v>
      </c>
      <c r="C151" s="13" t="s">
        <v>381</v>
      </c>
      <c r="D151" s="41" t="s">
        <v>308</v>
      </c>
      <c r="E151" s="14" t="s">
        <v>312</v>
      </c>
      <c r="F151" t="s">
        <v>696</v>
      </c>
      <c r="G151">
        <v>25.48</v>
      </c>
      <c r="H151" t="s">
        <v>698</v>
      </c>
      <c r="I151">
        <v>19.899999999999999</v>
      </c>
      <c r="J151">
        <v>8</v>
      </c>
      <c r="K151">
        <v>52</v>
      </c>
      <c r="L151">
        <v>7</v>
      </c>
      <c r="M151" t="s">
        <v>700</v>
      </c>
      <c r="N151">
        <v>1.4</v>
      </c>
      <c r="O151">
        <v>3</v>
      </c>
      <c r="P151">
        <v>14</v>
      </c>
      <c r="Q151">
        <v>0</v>
      </c>
      <c r="R151" t="s">
        <v>163</v>
      </c>
      <c r="S151">
        <v>8.4</v>
      </c>
      <c r="T151">
        <v>44</v>
      </c>
      <c r="U151">
        <v>5</v>
      </c>
      <c r="V151" t="s">
        <v>103</v>
      </c>
      <c r="W151">
        <v>27.3</v>
      </c>
      <c r="X151">
        <v>93</v>
      </c>
      <c r="Y151">
        <v>11</v>
      </c>
      <c r="Z151" t="s">
        <v>699</v>
      </c>
      <c r="AA151">
        <v>0</v>
      </c>
      <c r="AB151">
        <v>0</v>
      </c>
      <c r="AC151">
        <v>3</v>
      </c>
      <c r="AD151">
        <v>11.5</v>
      </c>
      <c r="AE151">
        <v>65</v>
      </c>
      <c r="AF151">
        <v>5</v>
      </c>
      <c r="AG151" t="s">
        <v>701</v>
      </c>
      <c r="AH151">
        <v>8.9</v>
      </c>
      <c r="AI151">
        <v>19</v>
      </c>
      <c r="AJ151">
        <v>1</v>
      </c>
      <c r="AK151">
        <v>3</v>
      </c>
      <c r="AL151">
        <v>0</v>
      </c>
      <c r="AM151">
        <v>7</v>
      </c>
      <c r="AN151" s="21">
        <v>0.43902439024390244</v>
      </c>
      <c r="AO151" s="21">
        <v>9.7560975609756101E-2</v>
      </c>
      <c r="AP151" s="21">
        <v>0.7</v>
      </c>
      <c r="AQ151" s="35">
        <v>6</v>
      </c>
      <c r="AR151" s="35">
        <v>32</v>
      </c>
      <c r="AS151" s="35">
        <v>11</v>
      </c>
      <c r="AT151" s="35">
        <v>5</v>
      </c>
      <c r="AU151" s="35">
        <v>52</v>
      </c>
      <c r="AV151" s="35">
        <v>27</v>
      </c>
      <c r="AW151" s="35">
        <v>0</v>
      </c>
      <c r="AX151">
        <v>341</v>
      </c>
      <c r="AY151" s="35">
        <v>217</v>
      </c>
      <c r="AZ151" s="35">
        <v>66</v>
      </c>
      <c r="BA151" s="35">
        <v>0</v>
      </c>
      <c r="BB151" s="35">
        <v>58</v>
      </c>
      <c r="BC151" t="s">
        <v>312</v>
      </c>
      <c r="BD151" s="14">
        <v>2.9559999999999995</v>
      </c>
      <c r="BE151" s="14">
        <v>1.3399999999999999</v>
      </c>
      <c r="BF151" s="14">
        <v>-11.2</v>
      </c>
      <c r="BG151" s="14">
        <v>-24.400000000000006</v>
      </c>
      <c r="BH151" s="14">
        <v>3.2</v>
      </c>
      <c r="BI151" s="14">
        <v>-2.3600000000000003</v>
      </c>
      <c r="BJ151" s="14">
        <v>-2.4000000000000004</v>
      </c>
      <c r="BK151" s="14">
        <v>-7.1999999999999993</v>
      </c>
      <c r="BL151" s="14">
        <v>-1.4</v>
      </c>
      <c r="BM151" s="14">
        <v>-9.3200000000000021</v>
      </c>
      <c r="BN151" s="14">
        <v>-33.200000000000003</v>
      </c>
      <c r="BO151" s="14">
        <v>-1.5999999999999996</v>
      </c>
      <c r="BP151" s="14">
        <v>10</v>
      </c>
      <c r="BQ151" s="14">
        <v>27</v>
      </c>
      <c r="BR151" s="14">
        <v>5.2</v>
      </c>
      <c r="BS151" s="14">
        <v>-6.3800000000000008</v>
      </c>
      <c r="BT151" s="14">
        <v>-35.799999999999997</v>
      </c>
      <c r="BU151" s="14">
        <v>-2</v>
      </c>
      <c r="BV151" s="14">
        <v>-5.7800000000000011</v>
      </c>
      <c r="BW151" s="14">
        <v>-13.799999999999997</v>
      </c>
      <c r="BX151" s="14">
        <v>-3.1999999999999993</v>
      </c>
      <c r="BY151" s="48">
        <v>-3.58</v>
      </c>
      <c r="BZ151" s="14">
        <v>-39.799999999999997</v>
      </c>
      <c r="CA151" s="14">
        <v>-3.4000000000000004</v>
      </c>
      <c r="CB151" s="14">
        <v>-12.2</v>
      </c>
      <c r="CC151" s="14">
        <v>-3.4</v>
      </c>
      <c r="CD151" s="14">
        <v>-0.59999999999999964</v>
      </c>
      <c r="CE151" s="14">
        <v>0.13354015451576429</v>
      </c>
      <c r="CF151" s="14">
        <v>3.901485145387585E-2</v>
      </c>
      <c r="CG151" s="14">
        <v>2.6666666666666616E-2</v>
      </c>
      <c r="CH151" s="14">
        <v>2.4</v>
      </c>
      <c r="CI151" s="14">
        <v>-1.3999999999999986</v>
      </c>
      <c r="CJ151" s="14">
        <v>-14.600000000000001</v>
      </c>
      <c r="CK151" s="14">
        <v>0.59999999999999964</v>
      </c>
      <c r="CL151" s="14">
        <v>-14.599999999999994</v>
      </c>
      <c r="CM151" s="14">
        <v>-2.3999999999999986</v>
      </c>
      <c r="CN151" s="14">
        <v>0</v>
      </c>
      <c r="CO151" s="14">
        <v>-64.399999999999977</v>
      </c>
      <c r="CP151" s="14">
        <v>-67.600000000000023</v>
      </c>
      <c r="CQ151" s="14">
        <v>-35</v>
      </c>
      <c r="CR151" s="14">
        <v>-2.4</v>
      </c>
      <c r="CS151" s="14">
        <v>40.6</v>
      </c>
      <c r="CT151" t="s">
        <v>260</v>
      </c>
      <c r="CU151" t="s">
        <v>476</v>
      </c>
    </row>
    <row r="152" spans="1:99" x14ac:dyDescent="0.2">
      <c r="A152" s="19">
        <v>44115</v>
      </c>
      <c r="B152">
        <v>5</v>
      </c>
      <c r="C152" s="13" t="s">
        <v>381</v>
      </c>
      <c r="D152" s="41" t="s">
        <v>309</v>
      </c>
      <c r="E152" s="14" t="s">
        <v>294</v>
      </c>
      <c r="F152" t="s">
        <v>702</v>
      </c>
      <c r="G152">
        <v>21.36</v>
      </c>
      <c r="H152" t="s">
        <v>703</v>
      </c>
      <c r="I152">
        <v>15.3</v>
      </c>
      <c r="J152">
        <v>15</v>
      </c>
      <c r="K152">
        <v>44</v>
      </c>
      <c r="L152">
        <v>3</v>
      </c>
      <c r="M152" t="s">
        <v>704</v>
      </c>
      <c r="N152">
        <v>1.9</v>
      </c>
      <c r="O152">
        <v>7</v>
      </c>
      <c r="P152">
        <v>19</v>
      </c>
      <c r="Q152">
        <v>0</v>
      </c>
      <c r="R152" t="s">
        <v>706</v>
      </c>
      <c r="S152">
        <v>45.6</v>
      </c>
      <c r="T152">
        <v>110</v>
      </c>
      <c r="U152">
        <v>11</v>
      </c>
      <c r="V152" t="s">
        <v>705</v>
      </c>
      <c r="W152">
        <v>6.8</v>
      </c>
      <c r="X152">
        <v>28</v>
      </c>
      <c r="Y152">
        <v>5</v>
      </c>
      <c r="Z152" t="s">
        <v>105</v>
      </c>
      <c r="AA152">
        <v>0.8</v>
      </c>
      <c r="AB152">
        <v>-2</v>
      </c>
      <c r="AC152">
        <v>1</v>
      </c>
      <c r="AD152">
        <v>25.2</v>
      </c>
      <c r="AE152">
        <v>62</v>
      </c>
      <c r="AF152">
        <v>7</v>
      </c>
      <c r="AG152" t="s">
        <v>100</v>
      </c>
      <c r="AH152">
        <v>8.3000000000000007</v>
      </c>
      <c r="AI152">
        <v>43</v>
      </c>
      <c r="AJ152">
        <v>6</v>
      </c>
      <c r="AK152">
        <v>9</v>
      </c>
      <c r="AL152">
        <v>1</v>
      </c>
      <c r="AM152">
        <v>8</v>
      </c>
      <c r="AN152" s="21">
        <v>0.2857142857142857</v>
      </c>
      <c r="AO152" s="21">
        <v>2.8571428571428571E-2</v>
      </c>
      <c r="AP152" s="21">
        <v>0.77777777777777779</v>
      </c>
      <c r="AQ152" s="35">
        <v>-1</v>
      </c>
      <c r="AR152" s="35">
        <v>34</v>
      </c>
      <c r="AS152" s="35">
        <v>25</v>
      </c>
      <c r="AT152" s="35">
        <v>2</v>
      </c>
      <c r="AU152" s="35">
        <v>67</v>
      </c>
      <c r="AV152" s="35">
        <v>38</v>
      </c>
      <c r="AW152" s="35">
        <v>0</v>
      </c>
      <c r="AX152">
        <v>375</v>
      </c>
      <c r="AY152" s="35">
        <v>239</v>
      </c>
      <c r="AZ152" s="35">
        <v>69</v>
      </c>
      <c r="BA152" s="35">
        <v>69</v>
      </c>
      <c r="BB152" s="35">
        <v>-2</v>
      </c>
      <c r="BC152" t="s">
        <v>294</v>
      </c>
      <c r="BD152" s="14">
        <v>-1.5440000000000005</v>
      </c>
      <c r="BE152" s="14">
        <v>0.23999999999999844</v>
      </c>
      <c r="BF152" s="14">
        <v>0.59999999999999964</v>
      </c>
      <c r="BG152" s="14">
        <v>-6.7999999999999972</v>
      </c>
      <c r="BH152" s="14">
        <v>-0.60000000000000009</v>
      </c>
      <c r="BI152" s="14">
        <v>-2.68</v>
      </c>
      <c r="BJ152" s="14">
        <v>1</v>
      </c>
      <c r="BK152" s="14">
        <v>-1</v>
      </c>
      <c r="BL152" s="14">
        <v>-1.6</v>
      </c>
      <c r="BM152" s="14">
        <v>24.460000000000004</v>
      </c>
      <c r="BN152" s="14">
        <v>45.2</v>
      </c>
      <c r="BO152" s="14">
        <v>3</v>
      </c>
      <c r="BP152" s="14">
        <v>-1.7999999999999998</v>
      </c>
      <c r="BQ152" s="14">
        <v>-14.200000000000003</v>
      </c>
      <c r="BR152" s="14">
        <v>0.40000000000000036</v>
      </c>
      <c r="BS152" s="14">
        <v>-7.339999999999999</v>
      </c>
      <c r="BT152" s="14">
        <v>-29.8</v>
      </c>
      <c r="BU152" s="14">
        <v>-3.4000000000000004</v>
      </c>
      <c r="BV152" s="14">
        <v>7.8599999999999994</v>
      </c>
      <c r="BW152" s="14">
        <v>-7.4000000000000057</v>
      </c>
      <c r="BX152" s="14">
        <v>-1.8000000000000007</v>
      </c>
      <c r="BY152" s="48">
        <v>-8.6999999999999993</v>
      </c>
      <c r="BZ152" s="14">
        <v>-17.399999999999999</v>
      </c>
      <c r="CA152" s="14">
        <v>-0.40000000000000036</v>
      </c>
      <c r="CB152" s="14">
        <v>-0.19999999999999929</v>
      </c>
      <c r="CC152" s="14">
        <v>-0.60000000000000009</v>
      </c>
      <c r="CD152" s="14">
        <v>1.2000000000000002</v>
      </c>
      <c r="CE152" s="14">
        <v>-0.10434643787584963</v>
      </c>
      <c r="CF152" s="14">
        <v>-5.2368415897827675E-2</v>
      </c>
      <c r="CG152" s="14">
        <v>5.0555555555555576E-2</v>
      </c>
      <c r="CH152" s="14">
        <v>-6.6</v>
      </c>
      <c r="CI152" s="14">
        <v>-1.3999999999999986</v>
      </c>
      <c r="CJ152" s="14">
        <v>2.3999999999999986</v>
      </c>
      <c r="CK152" s="14">
        <v>-1.7999999999999998</v>
      </c>
      <c r="CL152" s="14">
        <v>-1.2000000000000028</v>
      </c>
      <c r="CM152" s="14">
        <v>8.3999999999999986</v>
      </c>
      <c r="CN152" s="14">
        <v>0</v>
      </c>
      <c r="CO152" s="14">
        <v>-26.600000000000023</v>
      </c>
      <c r="CP152" s="14">
        <v>-29.600000000000023</v>
      </c>
      <c r="CQ152" s="14">
        <v>-9.5999999999999943</v>
      </c>
      <c r="CR152" s="14">
        <v>38.200000000000003</v>
      </c>
      <c r="CS152" s="14">
        <v>-25.6</v>
      </c>
      <c r="CT152" t="s">
        <v>290</v>
      </c>
      <c r="CU152" t="s">
        <v>469</v>
      </c>
    </row>
    <row r="153" spans="1:99" x14ac:dyDescent="0.2">
      <c r="A153" s="19">
        <v>44115</v>
      </c>
      <c r="B153">
        <v>5</v>
      </c>
      <c r="C153" s="13" t="s">
        <v>381</v>
      </c>
      <c r="D153" s="41" t="s">
        <v>310</v>
      </c>
      <c r="E153" s="14" t="s">
        <v>276</v>
      </c>
      <c r="F153" t="s">
        <v>709</v>
      </c>
      <c r="G153">
        <v>30</v>
      </c>
      <c r="H153" t="s">
        <v>710</v>
      </c>
      <c r="I153">
        <v>19.3</v>
      </c>
      <c r="J153">
        <v>19</v>
      </c>
      <c r="K153">
        <v>57</v>
      </c>
      <c r="L153">
        <v>2</v>
      </c>
      <c r="M153" t="s">
        <v>711</v>
      </c>
      <c r="N153">
        <v>4.0999999999999996</v>
      </c>
      <c r="O153">
        <v>9</v>
      </c>
      <c r="P153">
        <v>28</v>
      </c>
      <c r="Q153">
        <v>1</v>
      </c>
      <c r="R153" t="s">
        <v>64</v>
      </c>
      <c r="S153">
        <v>21.2</v>
      </c>
      <c r="T153">
        <v>82</v>
      </c>
      <c r="U153">
        <v>9</v>
      </c>
      <c r="V153" t="s">
        <v>712</v>
      </c>
      <c r="W153">
        <v>4.5999999999999996</v>
      </c>
      <c r="X153">
        <v>26</v>
      </c>
      <c r="Y153">
        <v>2</v>
      </c>
      <c r="Z153" t="s">
        <v>714</v>
      </c>
      <c r="AA153">
        <v>2.2000000000000002</v>
      </c>
      <c r="AB153">
        <v>12</v>
      </c>
      <c r="AC153">
        <v>1</v>
      </c>
      <c r="AD153">
        <v>16.899999999999999</v>
      </c>
      <c r="AE153">
        <v>79</v>
      </c>
      <c r="AF153">
        <v>12</v>
      </c>
      <c r="AG153" t="s">
        <v>171</v>
      </c>
      <c r="AH153">
        <v>21</v>
      </c>
      <c r="AI153">
        <v>40</v>
      </c>
      <c r="AJ153">
        <v>7</v>
      </c>
      <c r="AK153">
        <v>6</v>
      </c>
      <c r="AL153">
        <v>0</v>
      </c>
      <c r="AM153">
        <v>8</v>
      </c>
      <c r="AN153" s="21">
        <v>0.29032258064516131</v>
      </c>
      <c r="AO153" s="21">
        <v>0</v>
      </c>
      <c r="AP153" s="21">
        <v>1</v>
      </c>
      <c r="AQ153" s="35">
        <v>-4</v>
      </c>
      <c r="AR153" s="35">
        <v>28</v>
      </c>
      <c r="AS153" s="35">
        <v>30</v>
      </c>
      <c r="AT153" s="35">
        <v>4</v>
      </c>
      <c r="AU153" s="35">
        <v>62</v>
      </c>
      <c r="AV153" s="35">
        <v>42</v>
      </c>
      <c r="AW153" s="35">
        <v>0</v>
      </c>
      <c r="AX153">
        <v>334</v>
      </c>
      <c r="AY153" s="35">
        <v>195</v>
      </c>
      <c r="AZ153" s="35">
        <v>97</v>
      </c>
      <c r="BA153" s="35">
        <v>0</v>
      </c>
      <c r="BB153" s="35">
        <v>42</v>
      </c>
      <c r="BC153" t="s">
        <v>276</v>
      </c>
      <c r="BD153" s="14">
        <v>5.2800000000000011</v>
      </c>
      <c r="BE153" s="14">
        <v>1.3599999999999994</v>
      </c>
      <c r="BF153" s="14">
        <v>1.6000000000000014</v>
      </c>
      <c r="BG153" s="14">
        <v>-28.200000000000003</v>
      </c>
      <c r="BH153" s="14">
        <v>-2</v>
      </c>
      <c r="BI153" s="14">
        <v>-1.3200000000000003</v>
      </c>
      <c r="BJ153" s="14">
        <v>3.4000000000000004</v>
      </c>
      <c r="BK153" s="14">
        <v>11.399999999999999</v>
      </c>
      <c r="BL153" s="14">
        <v>-0.60000000000000009</v>
      </c>
      <c r="BM153" s="14">
        <v>6.18</v>
      </c>
      <c r="BN153" s="14">
        <v>24.799999999999997</v>
      </c>
      <c r="BO153" s="14">
        <v>2.2000000000000002</v>
      </c>
      <c r="BP153" s="14">
        <v>-10.239999999999998</v>
      </c>
      <c r="BQ153" s="14">
        <v>-38.400000000000006</v>
      </c>
      <c r="BR153" s="14">
        <v>-4.2</v>
      </c>
      <c r="BS153" s="14">
        <v>-2.5999999999999996</v>
      </c>
      <c r="BT153" s="14">
        <v>-14</v>
      </c>
      <c r="BU153" s="14">
        <v>-2.6</v>
      </c>
      <c r="BV153" s="14">
        <v>-6.5600000000000023</v>
      </c>
      <c r="BW153" s="14">
        <v>-23.599999999999994</v>
      </c>
      <c r="BX153" s="14">
        <v>-0.19999999999999929</v>
      </c>
      <c r="BY153" s="48">
        <v>1.3399999999999999</v>
      </c>
      <c r="BZ153" s="14">
        <v>-32.599999999999994</v>
      </c>
      <c r="CA153" s="14">
        <v>-0.79999999999999982</v>
      </c>
      <c r="CB153" s="14">
        <v>-2.5999999999999996</v>
      </c>
      <c r="CC153" s="14">
        <v>-1.8</v>
      </c>
      <c r="CD153" s="14">
        <v>4.5999999999999996</v>
      </c>
      <c r="CE153" s="14">
        <v>-7.6048960527138609E-3</v>
      </c>
      <c r="CF153" s="14">
        <v>-3.6849385908209444E-2</v>
      </c>
      <c r="CG153" s="14">
        <v>0.25238095238095237</v>
      </c>
      <c r="CH153" s="14">
        <v>-6.4</v>
      </c>
      <c r="CI153" s="14">
        <v>-7.3999999999999986</v>
      </c>
      <c r="CJ153" s="14">
        <v>4</v>
      </c>
      <c r="CK153" s="14">
        <v>-0.59999999999999964</v>
      </c>
      <c r="CL153" s="14">
        <v>-3.5999999999999943</v>
      </c>
      <c r="CM153" s="14">
        <v>11.8</v>
      </c>
      <c r="CN153" s="14">
        <v>0</v>
      </c>
      <c r="CO153" s="14">
        <v>-89.199999999999989</v>
      </c>
      <c r="CP153" s="14">
        <v>-81</v>
      </c>
      <c r="CQ153" s="14">
        <v>-20.400000000000006</v>
      </c>
      <c r="CR153" s="14">
        <v>-7</v>
      </c>
      <c r="CS153" s="14">
        <v>19.2</v>
      </c>
      <c r="CT153" t="s">
        <v>261</v>
      </c>
      <c r="CU153" t="s">
        <v>455</v>
      </c>
    </row>
    <row r="154" spans="1:99" x14ac:dyDescent="0.2">
      <c r="A154" s="19">
        <v>44115</v>
      </c>
      <c r="B154">
        <v>5</v>
      </c>
      <c r="C154" s="13" t="s">
        <v>381</v>
      </c>
      <c r="D154" s="41" t="s">
        <v>311</v>
      </c>
      <c r="E154" s="14" t="s">
        <v>297</v>
      </c>
      <c r="F154" t="s">
        <v>718</v>
      </c>
      <c r="G154">
        <v>29.86</v>
      </c>
      <c r="H154" t="s">
        <v>719</v>
      </c>
      <c r="I154">
        <v>12.3</v>
      </c>
      <c r="J154">
        <v>17</v>
      </c>
      <c r="K154">
        <v>96</v>
      </c>
      <c r="L154">
        <v>4</v>
      </c>
      <c r="M154" t="s">
        <v>720</v>
      </c>
      <c r="N154">
        <v>2.9</v>
      </c>
      <c r="O154">
        <v>3</v>
      </c>
      <c r="P154">
        <v>8</v>
      </c>
      <c r="Q154">
        <v>1</v>
      </c>
      <c r="R154" t="s">
        <v>23</v>
      </c>
      <c r="S154">
        <v>15.8</v>
      </c>
      <c r="T154">
        <v>58</v>
      </c>
      <c r="U154">
        <v>8</v>
      </c>
      <c r="V154" t="s">
        <v>71</v>
      </c>
      <c r="W154">
        <v>33.1</v>
      </c>
      <c r="X154">
        <v>161</v>
      </c>
      <c r="Y154">
        <v>12</v>
      </c>
      <c r="Z154" t="s">
        <v>84</v>
      </c>
      <c r="AA154">
        <v>10.7</v>
      </c>
      <c r="AB154">
        <v>47</v>
      </c>
      <c r="AC154">
        <v>6</v>
      </c>
      <c r="AD154">
        <v>43</v>
      </c>
      <c r="AE154">
        <v>190</v>
      </c>
      <c r="AF154">
        <v>13</v>
      </c>
      <c r="AG154" t="s">
        <v>169</v>
      </c>
      <c r="AH154">
        <v>13.7</v>
      </c>
      <c r="AI154">
        <v>57</v>
      </c>
      <c r="AJ154">
        <v>2</v>
      </c>
      <c r="AK154">
        <v>13</v>
      </c>
      <c r="AL154">
        <v>3</v>
      </c>
      <c r="AM154">
        <v>9</v>
      </c>
      <c r="AN154" s="21">
        <v>0.28947368421052633</v>
      </c>
      <c r="AO154" s="21">
        <v>2.6315789473684209E-2</v>
      </c>
      <c r="AP154" s="21">
        <v>0.5</v>
      </c>
      <c r="AQ154" s="35">
        <v>4</v>
      </c>
      <c r="AR154" s="35">
        <v>35</v>
      </c>
      <c r="AS154" s="35">
        <v>20</v>
      </c>
      <c r="AT154" s="35">
        <v>2</v>
      </c>
      <c r="AU154" s="35">
        <v>58</v>
      </c>
      <c r="AV154" s="35">
        <v>30</v>
      </c>
      <c r="AW154" s="35">
        <v>0</v>
      </c>
      <c r="AX154">
        <v>488</v>
      </c>
      <c r="AY154" s="35">
        <v>359</v>
      </c>
      <c r="AZ154" s="35">
        <v>104</v>
      </c>
      <c r="BA154" s="35">
        <v>0</v>
      </c>
      <c r="BB154" s="35">
        <v>25</v>
      </c>
      <c r="BC154" t="s">
        <v>297</v>
      </c>
      <c r="BD154" s="14">
        <v>7.0119999999999969</v>
      </c>
      <c r="BE154" s="14">
        <v>-10.02</v>
      </c>
      <c r="BF154" s="14">
        <v>-3.6000000000000014</v>
      </c>
      <c r="BG154" s="14">
        <v>-6.5999999999999943</v>
      </c>
      <c r="BH154" s="14">
        <v>-0.20000000000000018</v>
      </c>
      <c r="BI154" s="14">
        <v>-2.02</v>
      </c>
      <c r="BJ154" s="14">
        <v>-2</v>
      </c>
      <c r="BK154" s="14">
        <v>-7.4</v>
      </c>
      <c r="BL154" s="14">
        <v>0.6</v>
      </c>
      <c r="BM154" s="14">
        <v>0.96000000000000263</v>
      </c>
      <c r="BN154" s="14">
        <v>-11.599999999999994</v>
      </c>
      <c r="BO154" s="14">
        <v>1.5999999999999996</v>
      </c>
      <c r="BP154" s="14">
        <v>20.3</v>
      </c>
      <c r="BQ154" s="14">
        <v>111</v>
      </c>
      <c r="BR154" s="14">
        <v>6.6</v>
      </c>
      <c r="BS154" s="14">
        <v>3.0999999999999996</v>
      </c>
      <c r="BT154" s="14">
        <v>11.600000000000001</v>
      </c>
      <c r="BU154" s="14">
        <v>1.7999999999999998</v>
      </c>
      <c r="BV154" s="14">
        <v>14.220000000000006</v>
      </c>
      <c r="BW154" s="14">
        <v>82.2</v>
      </c>
      <c r="BX154" s="14">
        <v>2.4000000000000004</v>
      </c>
      <c r="BY154" s="48">
        <v>0.90000000000000036</v>
      </c>
      <c r="BZ154" s="14">
        <v>13</v>
      </c>
      <c r="CA154" s="14">
        <v>-2</v>
      </c>
      <c r="CB154" s="14">
        <v>1.1999999999999993</v>
      </c>
      <c r="CC154" s="14">
        <v>0.39999999999999991</v>
      </c>
      <c r="CD154" s="14">
        <v>1.5999999999999996</v>
      </c>
      <c r="CE154" s="14">
        <v>-1.4596978557504858E-2</v>
      </c>
      <c r="CF154" s="14">
        <v>5.6452241715399601E-3</v>
      </c>
      <c r="CG154" s="14">
        <v>-0.2138888888888888</v>
      </c>
      <c r="CH154" s="14">
        <v>2.6</v>
      </c>
      <c r="CI154" s="14">
        <v>5.8000000000000007</v>
      </c>
      <c r="CJ154" s="14">
        <v>-7.3999999999999986</v>
      </c>
      <c r="CK154" s="14">
        <v>-2.4000000000000004</v>
      </c>
      <c r="CL154" s="14">
        <v>-5</v>
      </c>
      <c r="CM154" s="14">
        <v>-2.2000000000000028</v>
      </c>
      <c r="CN154" s="14">
        <v>0</v>
      </c>
      <c r="CO154" s="14">
        <v>76.800000000000011</v>
      </c>
      <c r="CP154" s="14">
        <v>102.80000000000001</v>
      </c>
      <c r="CQ154" s="14">
        <v>-18</v>
      </c>
      <c r="CR154" s="14">
        <v>-13</v>
      </c>
      <c r="CS154" s="14">
        <v>5</v>
      </c>
      <c r="CT154" t="s">
        <v>474</v>
      </c>
      <c r="CU154" t="s">
        <v>475</v>
      </c>
    </row>
    <row r="155" spans="1:99" x14ac:dyDescent="0.2">
      <c r="A155" s="19">
        <v>44115</v>
      </c>
      <c r="B155">
        <v>5</v>
      </c>
      <c r="C155" s="13" t="s">
        <v>381</v>
      </c>
      <c r="D155" s="41" t="s">
        <v>312</v>
      </c>
      <c r="E155" s="14" t="s">
        <v>308</v>
      </c>
      <c r="F155" t="s">
        <v>725</v>
      </c>
      <c r="G155">
        <v>16.16</v>
      </c>
      <c r="H155" t="s">
        <v>731</v>
      </c>
      <c r="I155">
        <v>19.899999999999999</v>
      </c>
      <c r="J155">
        <v>17</v>
      </c>
      <c r="K155">
        <v>65</v>
      </c>
      <c r="L155">
        <v>5</v>
      </c>
      <c r="M155" t="s">
        <v>726</v>
      </c>
      <c r="N155">
        <v>19.600000000000001</v>
      </c>
      <c r="O155">
        <v>20</v>
      </c>
      <c r="P155">
        <v>112</v>
      </c>
      <c r="Q155">
        <v>3</v>
      </c>
      <c r="R155" t="s">
        <v>45</v>
      </c>
      <c r="S155">
        <v>29.3</v>
      </c>
      <c r="T155">
        <v>80</v>
      </c>
      <c r="U155">
        <v>13</v>
      </c>
      <c r="V155" t="s">
        <v>728</v>
      </c>
      <c r="W155">
        <v>5.5</v>
      </c>
      <c r="X155">
        <v>23</v>
      </c>
      <c r="Y155">
        <v>5</v>
      </c>
      <c r="Z155" t="s">
        <v>732</v>
      </c>
      <c r="AA155">
        <v>2.2999999999999998</v>
      </c>
      <c r="AB155">
        <v>13</v>
      </c>
      <c r="AC155">
        <v>1</v>
      </c>
      <c r="AD155">
        <v>7.8</v>
      </c>
      <c r="AE155">
        <v>38</v>
      </c>
      <c r="AF155">
        <v>7</v>
      </c>
      <c r="AG155" t="s">
        <v>730</v>
      </c>
      <c r="AH155">
        <v>10.4</v>
      </c>
      <c r="AI155">
        <v>64</v>
      </c>
      <c r="AJ155">
        <v>5</v>
      </c>
      <c r="AK155">
        <v>11</v>
      </c>
      <c r="AL155">
        <v>2</v>
      </c>
      <c r="AM155">
        <v>6</v>
      </c>
      <c r="AN155" s="21">
        <v>0.33333333333333331</v>
      </c>
      <c r="AO155" s="21">
        <v>7.1428571428571425E-2</v>
      </c>
      <c r="AP155" s="21">
        <v>0.8</v>
      </c>
      <c r="AQ155" s="35">
        <v>7</v>
      </c>
      <c r="AR155" s="35">
        <v>39</v>
      </c>
      <c r="AS155" s="35">
        <v>39</v>
      </c>
      <c r="AT155" s="35">
        <v>1</v>
      </c>
      <c r="AU155" s="35">
        <v>83</v>
      </c>
      <c r="AV155" s="35">
        <v>26</v>
      </c>
      <c r="AW155" s="35">
        <v>0</v>
      </c>
      <c r="AX155">
        <v>450</v>
      </c>
      <c r="AY155" s="35">
        <v>249</v>
      </c>
      <c r="AZ155" s="35">
        <v>196</v>
      </c>
      <c r="BA155" s="35">
        <v>3</v>
      </c>
      <c r="BB155" s="35">
        <v>2</v>
      </c>
      <c r="BC155" t="s">
        <v>308</v>
      </c>
      <c r="BD155" s="14">
        <v>-12.469999999999999</v>
      </c>
      <c r="BE155" s="14">
        <v>7.6999999999999993</v>
      </c>
      <c r="BF155" s="14">
        <v>5</v>
      </c>
      <c r="BG155" s="14">
        <v>25.5</v>
      </c>
      <c r="BH155" s="14">
        <v>-0.25</v>
      </c>
      <c r="BI155" s="14">
        <v>10.4</v>
      </c>
      <c r="BJ155" s="14">
        <v>12.75</v>
      </c>
      <c r="BK155" s="14">
        <v>81.25</v>
      </c>
      <c r="BL155" s="14">
        <v>-0.25</v>
      </c>
      <c r="BM155" s="14">
        <v>4.3499999999999979</v>
      </c>
      <c r="BN155" s="14">
        <v>-33.75</v>
      </c>
      <c r="BO155" s="14">
        <v>1</v>
      </c>
      <c r="BP155" s="14">
        <v>-9.0749999999999993</v>
      </c>
      <c r="BQ155" s="14">
        <v>-47.5</v>
      </c>
      <c r="BR155" s="14">
        <v>-4</v>
      </c>
      <c r="BS155" s="14">
        <v>-10.375</v>
      </c>
      <c r="BT155" s="14">
        <v>-38.75</v>
      </c>
      <c r="BU155" s="14">
        <v>-4</v>
      </c>
      <c r="BV155" s="14">
        <v>-15.849999999999998</v>
      </c>
      <c r="BW155" s="14">
        <v>-86</v>
      </c>
      <c r="BX155" s="14">
        <v>-8</v>
      </c>
      <c r="BY155" s="48">
        <v>4</v>
      </c>
      <c r="BZ155" s="14">
        <v>27.5</v>
      </c>
      <c r="CA155" s="14">
        <v>1</v>
      </c>
      <c r="CB155" s="14">
        <v>0.25</v>
      </c>
      <c r="CC155" s="14">
        <v>-0.75</v>
      </c>
      <c r="CD155" s="14">
        <v>1.75</v>
      </c>
      <c r="CE155" s="14">
        <v>7.3560662055857651E-2</v>
      </c>
      <c r="CF155" s="14">
        <v>3.5380071198533793E-2</v>
      </c>
      <c r="CG155" s="14">
        <v>3.7229437229437279E-2</v>
      </c>
      <c r="CH155" s="14">
        <v>0.5</v>
      </c>
      <c r="CI155" s="14">
        <v>-7.25</v>
      </c>
      <c r="CJ155" s="14">
        <v>18.5</v>
      </c>
      <c r="CK155" s="14">
        <v>-5</v>
      </c>
      <c r="CL155" s="14">
        <v>7.75</v>
      </c>
      <c r="CM155" s="14">
        <v>0.25</v>
      </c>
      <c r="CN155" s="14">
        <v>-1.75</v>
      </c>
      <c r="CO155" s="14">
        <v>-16.25</v>
      </c>
      <c r="CP155" s="14">
        <v>-109.25</v>
      </c>
      <c r="CQ155" s="14">
        <v>120.75</v>
      </c>
      <c r="CR155" s="14">
        <v>0.75</v>
      </c>
      <c r="CS155" s="14">
        <v>-28.5</v>
      </c>
      <c r="CT155" t="s">
        <v>238</v>
      </c>
      <c r="CU155" t="s">
        <v>451</v>
      </c>
    </row>
    <row r="156" spans="1:99" x14ac:dyDescent="0.2">
      <c r="A156" s="19">
        <v>44122</v>
      </c>
      <c r="B156">
        <v>6</v>
      </c>
      <c r="C156" s="14" t="s">
        <v>252</v>
      </c>
      <c r="D156" s="40" t="s">
        <v>256</v>
      </c>
      <c r="E156" s="13" t="s">
        <v>304</v>
      </c>
      <c r="F156" t="s">
        <v>459</v>
      </c>
      <c r="G156">
        <v>3.52</v>
      </c>
      <c r="H156" t="s">
        <v>465</v>
      </c>
      <c r="I156">
        <v>9.6</v>
      </c>
      <c r="J156">
        <v>17</v>
      </c>
      <c r="K156">
        <v>65</v>
      </c>
      <c r="L156">
        <v>2</v>
      </c>
      <c r="M156" t="s">
        <v>466</v>
      </c>
      <c r="N156">
        <v>4.8</v>
      </c>
      <c r="O156">
        <v>6</v>
      </c>
      <c r="P156">
        <v>18</v>
      </c>
      <c r="Q156">
        <v>3</v>
      </c>
      <c r="R156" t="s">
        <v>127</v>
      </c>
      <c r="S156">
        <v>18</v>
      </c>
      <c r="T156">
        <v>66</v>
      </c>
      <c r="U156">
        <v>6</v>
      </c>
      <c r="V156" t="s">
        <v>462</v>
      </c>
      <c r="W156">
        <v>9.1999999999999993</v>
      </c>
      <c r="X156">
        <v>12</v>
      </c>
      <c r="Y156">
        <v>3</v>
      </c>
      <c r="Z156" t="s">
        <v>463</v>
      </c>
      <c r="AA156">
        <v>6.4</v>
      </c>
      <c r="AB156">
        <v>44</v>
      </c>
      <c r="AC156">
        <v>3</v>
      </c>
      <c r="AD156">
        <v>36.5</v>
      </c>
      <c r="AE156">
        <v>135</v>
      </c>
      <c r="AF156">
        <v>13</v>
      </c>
      <c r="AG156" t="s">
        <v>78</v>
      </c>
      <c r="AH156">
        <v>26.9</v>
      </c>
      <c r="AI156">
        <v>109</v>
      </c>
      <c r="AJ156">
        <v>10</v>
      </c>
      <c r="AK156">
        <v>7</v>
      </c>
      <c r="AL156">
        <v>1</v>
      </c>
      <c r="AM156">
        <v>5</v>
      </c>
      <c r="AN156" s="21">
        <v>0.11764705882352941</v>
      </c>
      <c r="AO156" s="21">
        <v>0</v>
      </c>
      <c r="AP156" s="21">
        <v>0.5</v>
      </c>
      <c r="AQ156" s="35">
        <v>0</v>
      </c>
      <c r="AR156" s="35">
        <v>33</v>
      </c>
      <c r="AS156" s="35">
        <v>32</v>
      </c>
      <c r="AT156" s="35">
        <v>4</v>
      </c>
      <c r="AU156" s="35">
        <v>70</v>
      </c>
      <c r="AV156" s="35">
        <v>24</v>
      </c>
      <c r="AW156" s="35">
        <v>0</v>
      </c>
      <c r="AX156">
        <v>390</v>
      </c>
      <c r="AY156" s="35">
        <v>268</v>
      </c>
      <c r="AZ156" s="35">
        <v>120</v>
      </c>
      <c r="BA156" s="35">
        <v>-6</v>
      </c>
      <c r="BB156" s="35">
        <v>8</v>
      </c>
      <c r="BC156" t="s">
        <v>304</v>
      </c>
      <c r="BD156" s="14">
        <v>-11.776000000000002</v>
      </c>
      <c r="BE156" s="14">
        <v>-3.9400000000000013</v>
      </c>
      <c r="BF156" s="14">
        <v>2.5999999999999996</v>
      </c>
      <c r="BG156" s="14">
        <v>6.7999999999999972</v>
      </c>
      <c r="BH156" s="14">
        <v>-2.5999999999999996</v>
      </c>
      <c r="BI156" s="14">
        <v>-1.0600000000000005</v>
      </c>
      <c r="BJ156" s="14">
        <v>2</v>
      </c>
      <c r="BK156" s="14">
        <v>-2.6000000000000014</v>
      </c>
      <c r="BL156" s="14">
        <v>0.20000000000000018</v>
      </c>
      <c r="BM156" s="14">
        <v>6.26</v>
      </c>
      <c r="BN156" s="14">
        <v>15.399999999999999</v>
      </c>
      <c r="BO156" s="14">
        <v>-1</v>
      </c>
      <c r="BP156" s="14">
        <v>0.57999999999999829</v>
      </c>
      <c r="BQ156" s="14">
        <v>-22.200000000000003</v>
      </c>
      <c r="BR156" s="14">
        <v>-1.2000000000000002</v>
      </c>
      <c r="BS156" s="14">
        <v>0.85999999999999943</v>
      </c>
      <c r="BT156" s="14">
        <v>10</v>
      </c>
      <c r="BU156" s="14">
        <v>0.60000000000000009</v>
      </c>
      <c r="BV156" s="14">
        <v>16.68</v>
      </c>
      <c r="BW156" s="14">
        <v>46.8</v>
      </c>
      <c r="BX156" s="14">
        <v>2</v>
      </c>
      <c r="BY156" s="48">
        <v>13.82</v>
      </c>
      <c r="BZ156" s="14">
        <v>66.2</v>
      </c>
      <c r="CA156" s="14">
        <v>2.8</v>
      </c>
      <c r="CB156" s="14">
        <v>0.40000000000000036</v>
      </c>
      <c r="CC156" s="14">
        <v>-0.39999999999999991</v>
      </c>
      <c r="CD156" s="14">
        <v>1.4</v>
      </c>
      <c r="CE156" s="14">
        <v>-0.18423889129771484</v>
      </c>
      <c r="CF156" s="14">
        <v>-8.3843843843843843E-2</v>
      </c>
      <c r="CG156" s="14">
        <v>-0.10388278388278382</v>
      </c>
      <c r="CH156" s="14">
        <v>-6.8</v>
      </c>
      <c r="CI156" s="14">
        <v>-2</v>
      </c>
      <c r="CJ156" s="14">
        <v>11.600000000000001</v>
      </c>
      <c r="CK156" s="14">
        <v>0.39999999999999991</v>
      </c>
      <c r="CL156" s="14">
        <v>7</v>
      </c>
      <c r="CM156" s="14">
        <v>4.6000000000000014</v>
      </c>
      <c r="CN156" s="14">
        <v>0</v>
      </c>
      <c r="CO156" s="14">
        <v>62</v>
      </c>
      <c r="CP156" s="14">
        <v>43.599999999999994</v>
      </c>
      <c r="CQ156" s="14">
        <v>31.799999999999997</v>
      </c>
      <c r="CR156" s="14">
        <v>-6.2</v>
      </c>
      <c r="CS156" s="14">
        <v>-7.1999999999999993</v>
      </c>
      <c r="CT156" t="s">
        <v>251</v>
      </c>
      <c r="CU156" t="s">
        <v>456</v>
      </c>
    </row>
    <row r="157" spans="1:99" x14ac:dyDescent="0.2">
      <c r="A157" s="19">
        <v>44122</v>
      </c>
      <c r="B157">
        <v>6</v>
      </c>
      <c r="C157" s="13" t="s">
        <v>252</v>
      </c>
      <c r="D157" s="41" t="s">
        <v>265</v>
      </c>
      <c r="E157" s="13" t="s">
        <v>301</v>
      </c>
      <c r="F157" t="s">
        <v>480</v>
      </c>
      <c r="G157">
        <v>17.32</v>
      </c>
      <c r="H157" t="s">
        <v>481</v>
      </c>
      <c r="I157">
        <v>13.7</v>
      </c>
      <c r="J157">
        <v>19</v>
      </c>
      <c r="K157">
        <v>58</v>
      </c>
      <c r="L157">
        <v>5</v>
      </c>
      <c r="M157" t="s">
        <v>482</v>
      </c>
      <c r="N157">
        <v>0</v>
      </c>
      <c r="O157">
        <v>0</v>
      </c>
      <c r="P157">
        <v>0</v>
      </c>
      <c r="Q157">
        <v>0</v>
      </c>
      <c r="R157" t="s">
        <v>56</v>
      </c>
      <c r="S157">
        <v>10.3</v>
      </c>
      <c r="T157">
        <v>53</v>
      </c>
      <c r="U157">
        <v>9</v>
      </c>
      <c r="V157" t="s">
        <v>60</v>
      </c>
      <c r="W157">
        <v>3.8</v>
      </c>
      <c r="X157">
        <v>8</v>
      </c>
      <c r="Y157">
        <v>3</v>
      </c>
      <c r="Z157" t="s">
        <v>483</v>
      </c>
      <c r="AA157">
        <v>6.6</v>
      </c>
      <c r="AB157">
        <v>36</v>
      </c>
      <c r="AC157">
        <v>5</v>
      </c>
      <c r="AD157">
        <v>13.5</v>
      </c>
      <c r="AE157">
        <v>55</v>
      </c>
      <c r="AF157">
        <v>9</v>
      </c>
      <c r="AG157" t="s">
        <v>81</v>
      </c>
      <c r="AH157">
        <v>8.4</v>
      </c>
      <c r="AI157">
        <v>34</v>
      </c>
      <c r="AJ157">
        <v>8</v>
      </c>
      <c r="AK157">
        <v>13</v>
      </c>
      <c r="AL157">
        <v>3</v>
      </c>
      <c r="AM157">
        <v>11</v>
      </c>
      <c r="AN157" s="21">
        <v>0.35</v>
      </c>
      <c r="AO157" s="21">
        <v>0</v>
      </c>
      <c r="AP157" s="21">
        <v>0.4</v>
      </c>
      <c r="AQ157" s="35">
        <v>2</v>
      </c>
      <c r="AR157" s="35">
        <v>39</v>
      </c>
      <c r="AS157" s="35">
        <v>19</v>
      </c>
      <c r="AT157" s="35">
        <v>5</v>
      </c>
      <c r="AU157" s="35">
        <v>64</v>
      </c>
      <c r="AV157" s="35">
        <v>23</v>
      </c>
      <c r="AW157" s="35">
        <v>0</v>
      </c>
      <c r="AX157">
        <v>261</v>
      </c>
      <c r="AY157" s="35">
        <v>198</v>
      </c>
      <c r="AZ157" s="35">
        <v>58</v>
      </c>
      <c r="BA157" s="35">
        <v>1</v>
      </c>
      <c r="BB157" s="35">
        <v>4</v>
      </c>
      <c r="BC157" t="s">
        <v>301</v>
      </c>
      <c r="BD157" s="14">
        <v>1.3680000000000021</v>
      </c>
      <c r="BE157" s="14">
        <v>-7.7199999999999989</v>
      </c>
      <c r="BF157" s="14">
        <v>5</v>
      </c>
      <c r="BG157" s="14">
        <v>-17.200000000000003</v>
      </c>
      <c r="BH157" s="14">
        <v>-0.20000000000000018</v>
      </c>
      <c r="BI157" s="14">
        <v>-7.8599999999999994</v>
      </c>
      <c r="BJ157" s="14">
        <v>-5</v>
      </c>
      <c r="BK157" s="14">
        <v>-24.2</v>
      </c>
      <c r="BL157" s="14">
        <v>-2.4</v>
      </c>
      <c r="BM157" s="14">
        <v>-11.020000000000003</v>
      </c>
      <c r="BN157" s="14">
        <v>-40.200000000000003</v>
      </c>
      <c r="BO157" s="14">
        <v>-2.4000000000000004</v>
      </c>
      <c r="BP157" s="14">
        <v>-2.080000000000001</v>
      </c>
      <c r="BQ157" s="14">
        <v>-14.8</v>
      </c>
      <c r="BR157" s="14">
        <v>-0.79999999999999982</v>
      </c>
      <c r="BS157" s="14">
        <v>3.1599999999999997</v>
      </c>
      <c r="BT157" s="14">
        <v>19.8</v>
      </c>
      <c r="BU157" s="14">
        <v>1.7999999999999998</v>
      </c>
      <c r="BV157" s="14">
        <v>-3.16</v>
      </c>
      <c r="BW157" s="14">
        <v>-13.599999999999994</v>
      </c>
      <c r="BX157" s="14">
        <v>-1.8000000000000007</v>
      </c>
      <c r="BY157" s="48">
        <v>2.16</v>
      </c>
      <c r="BZ157" s="14">
        <v>5.6000000000000014</v>
      </c>
      <c r="CA157" s="14">
        <v>2.4000000000000004</v>
      </c>
      <c r="CB157" s="14">
        <v>4.8000000000000007</v>
      </c>
      <c r="CC157" s="14">
        <v>1.4</v>
      </c>
      <c r="CD157" s="14">
        <v>5</v>
      </c>
      <c r="CE157" s="14">
        <v>4.5772340866680472E-2</v>
      </c>
      <c r="CF157" s="14">
        <v>-2.3517865782016721E-2</v>
      </c>
      <c r="CG157" s="14">
        <v>-0.20294117647058818</v>
      </c>
      <c r="CH157" s="14">
        <v>-2.8</v>
      </c>
      <c r="CI157" s="14">
        <v>0.79999999999999716</v>
      </c>
      <c r="CJ157" s="14">
        <v>-1</v>
      </c>
      <c r="CK157" s="14">
        <v>1.7999999999999998</v>
      </c>
      <c r="CL157" s="14">
        <v>-0.40000000000000568</v>
      </c>
      <c r="CM157" s="14">
        <v>1.6000000000000014</v>
      </c>
      <c r="CN157" s="14">
        <v>0</v>
      </c>
      <c r="CO157" s="14">
        <v>-79</v>
      </c>
      <c r="CP157" s="14">
        <v>-22.800000000000011</v>
      </c>
      <c r="CQ157" s="14">
        <v>-41.599999999999994</v>
      </c>
      <c r="CR157" s="14">
        <v>0.6</v>
      </c>
      <c r="CS157" s="14">
        <v>-15.2</v>
      </c>
      <c r="CT157" t="s">
        <v>279</v>
      </c>
      <c r="CU157" t="s">
        <v>484</v>
      </c>
    </row>
    <row r="158" spans="1:99" x14ac:dyDescent="0.2">
      <c r="A158" s="19">
        <v>44122</v>
      </c>
      <c r="B158">
        <v>6</v>
      </c>
      <c r="C158" s="13" t="s">
        <v>252</v>
      </c>
      <c r="D158" s="17" t="s">
        <v>272</v>
      </c>
      <c r="E158" s="14" t="s">
        <v>289</v>
      </c>
      <c r="F158" t="s">
        <v>492</v>
      </c>
      <c r="G158">
        <v>20.72</v>
      </c>
      <c r="H158" t="s">
        <v>499</v>
      </c>
      <c r="I158">
        <v>14.9</v>
      </c>
      <c r="J158">
        <v>18</v>
      </c>
      <c r="K158">
        <v>54</v>
      </c>
      <c r="L158">
        <v>3</v>
      </c>
      <c r="M158" t="s">
        <v>493</v>
      </c>
      <c r="N158">
        <v>11.8</v>
      </c>
      <c r="O158">
        <v>8</v>
      </c>
      <c r="P158">
        <v>15</v>
      </c>
      <c r="Q158">
        <v>3</v>
      </c>
      <c r="R158" t="s">
        <v>91</v>
      </c>
      <c r="S158">
        <v>12.9</v>
      </c>
      <c r="T158">
        <v>54</v>
      </c>
      <c r="U158">
        <v>8</v>
      </c>
      <c r="V158" t="s">
        <v>495</v>
      </c>
      <c r="W158">
        <v>21.7</v>
      </c>
      <c r="X158">
        <v>125</v>
      </c>
      <c r="Y158">
        <v>8</v>
      </c>
      <c r="Z158" t="s">
        <v>496</v>
      </c>
      <c r="AA158">
        <v>17.600000000000001</v>
      </c>
      <c r="AB158">
        <v>96</v>
      </c>
      <c r="AC158">
        <v>11</v>
      </c>
      <c r="AD158">
        <v>10.4</v>
      </c>
      <c r="AE158">
        <v>54</v>
      </c>
      <c r="AF158">
        <v>9</v>
      </c>
      <c r="AG158" t="s">
        <v>497</v>
      </c>
      <c r="AH158">
        <v>0</v>
      </c>
      <c r="AI158">
        <v>0</v>
      </c>
      <c r="AJ158">
        <v>1</v>
      </c>
      <c r="AK158">
        <v>1</v>
      </c>
      <c r="AL158">
        <v>3</v>
      </c>
      <c r="AM158">
        <v>4</v>
      </c>
      <c r="AN158" s="21">
        <v>0.21428571428571427</v>
      </c>
      <c r="AO158" s="21">
        <v>4.7619047619047616E-2</v>
      </c>
      <c r="AP158" s="21">
        <v>0.5</v>
      </c>
      <c r="AQ158" s="35">
        <v>4</v>
      </c>
      <c r="AR158" s="35">
        <v>39</v>
      </c>
      <c r="AS158" s="35">
        <v>27</v>
      </c>
      <c r="AT158" s="35">
        <v>3</v>
      </c>
      <c r="AU158" s="35">
        <v>73</v>
      </c>
      <c r="AV158" s="35">
        <v>27</v>
      </c>
      <c r="AW158" s="35">
        <v>0</v>
      </c>
      <c r="AX158">
        <v>409</v>
      </c>
      <c r="AY158" s="35">
        <v>313</v>
      </c>
      <c r="AZ158" s="35">
        <v>69</v>
      </c>
      <c r="BA158" s="35">
        <v>25</v>
      </c>
      <c r="BB158" s="35">
        <v>2</v>
      </c>
      <c r="BC158" t="s">
        <v>289</v>
      </c>
      <c r="BD158" s="14">
        <v>8.2399999999999984</v>
      </c>
      <c r="BE158" s="14">
        <v>1.2599999999999962</v>
      </c>
      <c r="BF158" s="14">
        <v>2.5999999999999996</v>
      </c>
      <c r="BG158" s="14">
        <v>-0.60000000000000142</v>
      </c>
      <c r="BH158" s="14">
        <v>-0.20000000000000018</v>
      </c>
      <c r="BI158" s="14">
        <v>5.9600000000000009</v>
      </c>
      <c r="BJ158" s="14">
        <v>3.8</v>
      </c>
      <c r="BK158" s="14">
        <v>1.4000000000000004</v>
      </c>
      <c r="BL158" s="14">
        <v>0.79999999999999982</v>
      </c>
      <c r="BM158" s="14">
        <v>-1.6839999999999975</v>
      </c>
      <c r="BN158" s="14">
        <v>-7.6000000000000014</v>
      </c>
      <c r="BO158" s="14">
        <v>0.20000000000000018</v>
      </c>
      <c r="BP158" s="14">
        <v>11.299999999999999</v>
      </c>
      <c r="BQ158" s="14">
        <v>63.4</v>
      </c>
      <c r="BR158" s="14">
        <v>2.2000000000000002</v>
      </c>
      <c r="BS158" s="14">
        <v>9.0000000000000018</v>
      </c>
      <c r="BT158" s="14">
        <v>55.4</v>
      </c>
      <c r="BU158" s="14">
        <v>5.2</v>
      </c>
      <c r="BV158" s="14">
        <v>-6.1799999999999979</v>
      </c>
      <c r="BW158" s="14">
        <v>-19.799999999999997</v>
      </c>
      <c r="BX158" s="14">
        <v>-1.4000000000000004</v>
      </c>
      <c r="BY158" s="48">
        <v>-4.62</v>
      </c>
      <c r="BZ158" s="14">
        <v>-22.2</v>
      </c>
      <c r="CA158" s="14">
        <v>-3.4000000000000004</v>
      </c>
      <c r="CB158" s="14">
        <v>-3.2</v>
      </c>
      <c r="CC158" s="14">
        <v>1.4</v>
      </c>
      <c r="CD158" s="14">
        <v>-0.59999999999999964</v>
      </c>
      <c r="CE158" s="14">
        <v>-7.9802572906021191E-2</v>
      </c>
      <c r="CF158" s="14">
        <v>-3.3791878619464852E-3</v>
      </c>
      <c r="CG158" s="14">
        <v>-8.9285714285714191E-2</v>
      </c>
      <c r="CH158" s="14">
        <v>-8.6</v>
      </c>
      <c r="CI158" s="14">
        <v>4.3999999999999986</v>
      </c>
      <c r="CJ158" s="14">
        <v>5.1999999999999993</v>
      </c>
      <c r="CK158" s="14">
        <v>0.60000000000000009</v>
      </c>
      <c r="CL158" s="14">
        <v>8</v>
      </c>
      <c r="CM158" s="14">
        <v>11.2</v>
      </c>
      <c r="CN158" s="14">
        <v>-1.8</v>
      </c>
      <c r="CO158" s="14">
        <v>103.60000000000002</v>
      </c>
      <c r="CP158" s="14">
        <v>95</v>
      </c>
      <c r="CQ158" s="14">
        <v>-5.5999999999999943</v>
      </c>
      <c r="CR158" s="14">
        <v>19.8</v>
      </c>
      <c r="CS158" s="14">
        <v>-5.6</v>
      </c>
      <c r="CT158" t="s">
        <v>274</v>
      </c>
      <c r="CU158" t="s">
        <v>488</v>
      </c>
    </row>
    <row r="159" spans="1:99" x14ac:dyDescent="0.2">
      <c r="A159" s="19">
        <v>44122</v>
      </c>
      <c r="B159">
        <v>6</v>
      </c>
      <c r="C159" s="13" t="s">
        <v>252</v>
      </c>
      <c r="D159" s="41" t="s">
        <v>276</v>
      </c>
      <c r="E159" s="14" t="s">
        <v>288</v>
      </c>
      <c r="F159" t="s">
        <v>503</v>
      </c>
      <c r="G159">
        <v>16.079999999999998</v>
      </c>
      <c r="H159" t="s">
        <v>504</v>
      </c>
      <c r="I159">
        <v>5.5</v>
      </c>
      <c r="J159">
        <v>10</v>
      </c>
      <c r="K159">
        <v>32</v>
      </c>
      <c r="L159">
        <v>2</v>
      </c>
      <c r="M159" t="s">
        <v>505</v>
      </c>
      <c r="N159">
        <v>1</v>
      </c>
      <c r="O159">
        <v>5</v>
      </c>
      <c r="P159">
        <v>10</v>
      </c>
      <c r="Q159">
        <v>0</v>
      </c>
      <c r="R159" t="s">
        <v>44</v>
      </c>
      <c r="S159">
        <v>16.600000000000001</v>
      </c>
      <c r="T159">
        <v>46</v>
      </c>
      <c r="U159">
        <v>8</v>
      </c>
      <c r="V159" t="s">
        <v>46</v>
      </c>
      <c r="W159">
        <v>14.5</v>
      </c>
      <c r="X159">
        <v>45</v>
      </c>
      <c r="Y159">
        <v>7</v>
      </c>
      <c r="Z159" t="s">
        <v>506</v>
      </c>
      <c r="AA159">
        <v>1.7</v>
      </c>
      <c r="AB159">
        <v>7</v>
      </c>
      <c r="AC159">
        <v>1</v>
      </c>
      <c r="AD159">
        <v>17.600000000000001</v>
      </c>
      <c r="AE159">
        <v>56</v>
      </c>
      <c r="AF159">
        <v>10</v>
      </c>
      <c r="AG159" t="s">
        <v>507</v>
      </c>
      <c r="AH159">
        <v>1.7</v>
      </c>
      <c r="AI159">
        <v>7</v>
      </c>
      <c r="AJ159">
        <v>2</v>
      </c>
      <c r="AK159">
        <v>5</v>
      </c>
      <c r="AL159">
        <v>2</v>
      </c>
      <c r="AM159">
        <v>3</v>
      </c>
      <c r="AN159" s="21">
        <v>0.54838709677419351</v>
      </c>
      <c r="AO159" s="21">
        <v>0</v>
      </c>
      <c r="AP159" s="21">
        <v>0.45454545454545453</v>
      </c>
      <c r="AQ159" s="35">
        <v>3</v>
      </c>
      <c r="AR159" s="35">
        <v>27</v>
      </c>
      <c r="AS159" s="35">
        <v>15</v>
      </c>
      <c r="AT159" s="35">
        <v>8</v>
      </c>
      <c r="AU159" s="35">
        <v>50</v>
      </c>
      <c r="AV159" s="35">
        <v>17</v>
      </c>
      <c r="AW159" s="35">
        <v>0</v>
      </c>
      <c r="AX159">
        <v>206</v>
      </c>
      <c r="AY159" s="35">
        <v>122</v>
      </c>
      <c r="AZ159" s="35">
        <v>42</v>
      </c>
      <c r="BA159" s="35">
        <v>0</v>
      </c>
      <c r="BB159" s="35">
        <v>42</v>
      </c>
      <c r="BC159" t="s">
        <v>288</v>
      </c>
      <c r="BD159" s="14">
        <v>-2.7560000000000002</v>
      </c>
      <c r="BE159" s="14">
        <v>-7.0400000000000009</v>
      </c>
      <c r="BF159" s="14">
        <v>-1.8000000000000007</v>
      </c>
      <c r="BG159" s="14">
        <v>-18.600000000000001</v>
      </c>
      <c r="BH159" s="14">
        <v>-1.4</v>
      </c>
      <c r="BI159" s="14">
        <v>-7.6800000000000015</v>
      </c>
      <c r="BJ159" s="14">
        <v>-5.6</v>
      </c>
      <c r="BK159" s="14">
        <v>-38.4</v>
      </c>
      <c r="BL159" s="14">
        <v>-1.4</v>
      </c>
      <c r="BM159" s="14">
        <v>3.4399999999999995</v>
      </c>
      <c r="BN159" s="14">
        <v>-15.600000000000001</v>
      </c>
      <c r="BO159" s="14">
        <v>1.4000000000000004</v>
      </c>
      <c r="BP159" s="14">
        <v>4.0199999999999996</v>
      </c>
      <c r="BQ159" s="14">
        <v>14.2</v>
      </c>
      <c r="BR159" s="14">
        <v>2.5999999999999996</v>
      </c>
      <c r="BS159" s="14">
        <v>-4.4399999999999986</v>
      </c>
      <c r="BT159" s="14">
        <v>-22.4</v>
      </c>
      <c r="BU159" s="14">
        <v>-2.2000000000000002</v>
      </c>
      <c r="BV159" s="14">
        <v>6.0800000000000018</v>
      </c>
      <c r="BW159" s="14">
        <v>0.79999999999999716</v>
      </c>
      <c r="BX159" s="14">
        <v>1.4000000000000004</v>
      </c>
      <c r="BY159" s="48">
        <v>-5.7</v>
      </c>
      <c r="BZ159" s="14">
        <v>-25</v>
      </c>
      <c r="CA159" s="14">
        <v>-3.5999999999999996</v>
      </c>
      <c r="CB159" s="14">
        <v>-2.8</v>
      </c>
      <c r="CC159" s="14">
        <v>0.19999999999999996</v>
      </c>
      <c r="CD159" s="14">
        <v>-1.2000000000000002</v>
      </c>
      <c r="CE159" s="14">
        <v>0.18151684778429156</v>
      </c>
      <c r="CF159" s="14">
        <v>-4.9389556207592153E-2</v>
      </c>
      <c r="CG159" s="14">
        <v>-0.21136363636363636</v>
      </c>
      <c r="CH159" s="14">
        <v>-3.8</v>
      </c>
      <c r="CI159" s="14">
        <v>-4.1999999999999993</v>
      </c>
      <c r="CJ159" s="14">
        <v>-10.600000000000001</v>
      </c>
      <c r="CK159" s="14">
        <v>2.4000000000000004</v>
      </c>
      <c r="CL159" s="14">
        <v>-14.599999999999994</v>
      </c>
      <c r="CM159" s="14">
        <v>-3</v>
      </c>
      <c r="CN159" s="14">
        <v>-1.4</v>
      </c>
      <c r="CO159" s="14">
        <v>-158.19999999999999</v>
      </c>
      <c r="CP159" s="14">
        <v>-91.4</v>
      </c>
      <c r="CQ159" s="14">
        <v>-74.599999999999994</v>
      </c>
      <c r="CR159" s="14">
        <v>-3.2</v>
      </c>
      <c r="CS159" s="14">
        <v>11</v>
      </c>
      <c r="CT159" t="s">
        <v>270</v>
      </c>
      <c r="CU159" t="s">
        <v>508</v>
      </c>
    </row>
    <row r="160" spans="1:99" x14ac:dyDescent="0.2">
      <c r="A160" s="19">
        <v>44122</v>
      </c>
      <c r="B160">
        <v>6</v>
      </c>
      <c r="C160" s="13" t="s">
        <v>252</v>
      </c>
      <c r="D160" s="41" t="s">
        <v>278</v>
      </c>
      <c r="E160" s="14" t="s">
        <v>302</v>
      </c>
      <c r="F160" t="s">
        <v>511</v>
      </c>
      <c r="G160">
        <v>5.46</v>
      </c>
      <c r="H160" t="s">
        <v>513</v>
      </c>
      <c r="I160">
        <v>13.1</v>
      </c>
      <c r="J160">
        <v>23</v>
      </c>
      <c r="K160">
        <v>101</v>
      </c>
      <c r="L160">
        <v>0</v>
      </c>
      <c r="M160" t="s">
        <v>516</v>
      </c>
      <c r="N160">
        <v>4</v>
      </c>
      <c r="O160">
        <v>8</v>
      </c>
      <c r="P160">
        <v>26</v>
      </c>
      <c r="Q160">
        <v>0</v>
      </c>
      <c r="R160" t="s">
        <v>514</v>
      </c>
      <c r="S160">
        <v>5.2</v>
      </c>
      <c r="T160">
        <v>32</v>
      </c>
      <c r="U160">
        <v>5</v>
      </c>
      <c r="V160" t="s">
        <v>170</v>
      </c>
      <c r="W160">
        <v>17.100000000000001</v>
      </c>
      <c r="X160">
        <v>101</v>
      </c>
      <c r="Y160">
        <v>8</v>
      </c>
      <c r="Z160" t="s">
        <v>517</v>
      </c>
      <c r="AA160">
        <v>0</v>
      </c>
      <c r="AB160">
        <v>0</v>
      </c>
      <c r="AC160">
        <v>2</v>
      </c>
      <c r="AD160">
        <v>9</v>
      </c>
      <c r="AE160">
        <v>60</v>
      </c>
      <c r="AF160">
        <v>8</v>
      </c>
      <c r="AG160" t="s">
        <v>518</v>
      </c>
      <c r="AH160">
        <v>6.5</v>
      </c>
      <c r="AI160">
        <v>45</v>
      </c>
      <c r="AJ160">
        <v>6</v>
      </c>
      <c r="AK160">
        <v>24</v>
      </c>
      <c r="AL160">
        <v>6</v>
      </c>
      <c r="AM160">
        <v>14</v>
      </c>
      <c r="AN160" s="21">
        <v>0.22222222222222221</v>
      </c>
      <c r="AO160" s="21">
        <v>7.407407407407407E-2</v>
      </c>
      <c r="AP160" s="21">
        <v>0.5</v>
      </c>
      <c r="AQ160" s="35">
        <v>7</v>
      </c>
      <c r="AR160" s="35">
        <v>24</v>
      </c>
      <c r="AS160" s="35">
        <v>31</v>
      </c>
      <c r="AT160" s="35">
        <v>5</v>
      </c>
      <c r="AU160" s="35">
        <v>63</v>
      </c>
      <c r="AV160" s="35">
        <v>18</v>
      </c>
      <c r="AW160" s="35">
        <v>0</v>
      </c>
      <c r="AX160">
        <v>324</v>
      </c>
      <c r="AY160" s="35">
        <v>189</v>
      </c>
      <c r="AZ160" s="35">
        <v>127</v>
      </c>
      <c r="BA160" s="35">
        <v>9</v>
      </c>
      <c r="BB160" s="35">
        <v>-1</v>
      </c>
      <c r="BC160" t="s">
        <v>302</v>
      </c>
      <c r="BD160" s="14">
        <v>-13.93</v>
      </c>
      <c r="BE160" s="14">
        <v>-0.72499999999999964</v>
      </c>
      <c r="BF160" s="14">
        <v>5</v>
      </c>
      <c r="BG160" s="14">
        <v>24</v>
      </c>
      <c r="BH160" s="14">
        <v>-2.5</v>
      </c>
      <c r="BI160" s="14">
        <v>0.22499999999999964</v>
      </c>
      <c r="BJ160" s="14">
        <v>4.25</v>
      </c>
      <c r="BK160" s="14">
        <v>10</v>
      </c>
      <c r="BL160" s="14">
        <v>-1.5</v>
      </c>
      <c r="BM160" s="14">
        <v>-10.225000000000001</v>
      </c>
      <c r="BN160" s="14">
        <v>-29.75</v>
      </c>
      <c r="BO160" s="14">
        <v>-2</v>
      </c>
      <c r="BP160" s="14">
        <v>4.9000000000000021</v>
      </c>
      <c r="BQ160" s="14">
        <v>34</v>
      </c>
      <c r="BR160" s="14">
        <v>2</v>
      </c>
      <c r="BS160" s="14">
        <v>-8.1750000000000007</v>
      </c>
      <c r="BT160" s="14">
        <v>-26.75</v>
      </c>
      <c r="BU160" s="14">
        <v>-1</v>
      </c>
      <c r="BV160" s="14">
        <v>-13.05</v>
      </c>
      <c r="BW160" s="14">
        <v>-45.5</v>
      </c>
      <c r="BX160" s="14">
        <v>-2.75</v>
      </c>
      <c r="BY160" s="48">
        <v>1.6500000000000004</v>
      </c>
      <c r="BZ160" s="14">
        <v>14</v>
      </c>
      <c r="CA160" s="14">
        <v>1.75</v>
      </c>
      <c r="CB160" s="14">
        <v>13</v>
      </c>
      <c r="CC160" s="14">
        <v>3.25</v>
      </c>
      <c r="CD160" s="14">
        <v>4</v>
      </c>
      <c r="CE160" s="14">
        <v>-9.5238095238095233E-2</v>
      </c>
      <c r="CF160" s="14">
        <v>2.0238095238095243E-2</v>
      </c>
      <c r="CG160" s="14">
        <v>-0.25</v>
      </c>
      <c r="CH160" s="14">
        <v>-1</v>
      </c>
      <c r="CI160" s="14">
        <v>-4.25</v>
      </c>
      <c r="CJ160" s="14">
        <v>7.75</v>
      </c>
      <c r="CK160" s="14">
        <v>0</v>
      </c>
      <c r="CL160" s="14">
        <v>4.5</v>
      </c>
      <c r="CM160" s="14">
        <v>-5</v>
      </c>
      <c r="CN160" s="14">
        <v>-1.75</v>
      </c>
      <c r="CO160" s="14">
        <v>-24.75</v>
      </c>
      <c r="CP160" s="14">
        <v>-54.5</v>
      </c>
      <c r="CQ160" s="14">
        <v>43</v>
      </c>
      <c r="CR160" s="14">
        <v>6.75</v>
      </c>
      <c r="CS160" s="14">
        <v>-20</v>
      </c>
      <c r="CT160" t="s">
        <v>292</v>
      </c>
      <c r="CU160" t="s">
        <v>464</v>
      </c>
    </row>
    <row r="161" spans="1:99" x14ac:dyDescent="0.2">
      <c r="A161" s="19">
        <v>44122</v>
      </c>
      <c r="B161">
        <v>6</v>
      </c>
      <c r="C161" s="13" t="s">
        <v>252</v>
      </c>
      <c r="D161" s="41" t="s">
        <v>281</v>
      </c>
      <c r="E161" s="14" t="s">
        <v>309</v>
      </c>
      <c r="F161" t="s">
        <v>522</v>
      </c>
      <c r="G161">
        <v>9.1</v>
      </c>
      <c r="H161" t="s">
        <v>523</v>
      </c>
      <c r="I161">
        <v>7.7</v>
      </c>
      <c r="J161">
        <v>13</v>
      </c>
      <c r="K161">
        <v>40</v>
      </c>
      <c r="L161">
        <v>3</v>
      </c>
      <c r="M161" t="s">
        <v>529</v>
      </c>
      <c r="N161">
        <v>2.9</v>
      </c>
      <c r="O161">
        <v>4</v>
      </c>
      <c r="P161">
        <v>29</v>
      </c>
      <c r="Q161">
        <v>0</v>
      </c>
      <c r="R161" t="s">
        <v>51</v>
      </c>
      <c r="S161">
        <v>4.5</v>
      </c>
      <c r="T161">
        <v>25</v>
      </c>
      <c r="U161">
        <v>3</v>
      </c>
      <c r="V161" t="s">
        <v>52</v>
      </c>
      <c r="W161">
        <v>7</v>
      </c>
      <c r="X161">
        <v>40</v>
      </c>
      <c r="Y161">
        <v>5</v>
      </c>
      <c r="Z161" t="s">
        <v>525</v>
      </c>
      <c r="AA161">
        <v>8.3000000000000007</v>
      </c>
      <c r="AB161">
        <v>13</v>
      </c>
      <c r="AC161">
        <v>2</v>
      </c>
      <c r="AD161">
        <v>7</v>
      </c>
      <c r="AE161">
        <v>40</v>
      </c>
      <c r="AF161">
        <v>7</v>
      </c>
      <c r="AG161" t="s">
        <v>174</v>
      </c>
      <c r="AH161">
        <v>10.199999999999999</v>
      </c>
      <c r="AI161">
        <v>52</v>
      </c>
      <c r="AJ161">
        <v>6</v>
      </c>
      <c r="AK161">
        <v>1</v>
      </c>
      <c r="AL161">
        <v>0</v>
      </c>
      <c r="AM161">
        <v>1</v>
      </c>
      <c r="AN161" s="21">
        <v>0.36363636363636365</v>
      </c>
      <c r="AO161" s="21">
        <v>0.12121212121212122</v>
      </c>
      <c r="AP161" s="21">
        <v>0.33333333333333331</v>
      </c>
      <c r="AQ161" s="35">
        <v>18</v>
      </c>
      <c r="AR161" s="35">
        <v>28</v>
      </c>
      <c r="AS161" s="35">
        <v>21</v>
      </c>
      <c r="AT161" s="35">
        <v>1</v>
      </c>
      <c r="AU161" s="35">
        <v>56</v>
      </c>
      <c r="AV161" s="35">
        <v>7</v>
      </c>
      <c r="AW161" s="35">
        <v>0</v>
      </c>
      <c r="AX161">
        <v>240</v>
      </c>
      <c r="AY161" s="35">
        <v>165</v>
      </c>
      <c r="AZ161" s="35">
        <v>70</v>
      </c>
      <c r="BA161" s="35">
        <v>0</v>
      </c>
      <c r="BB161" s="35">
        <v>5</v>
      </c>
      <c r="BC161" t="s">
        <v>309</v>
      </c>
      <c r="BD161" s="14">
        <v>-7.4799999999999986</v>
      </c>
      <c r="BE161" s="14">
        <v>-7.4499999999999984</v>
      </c>
      <c r="BF161" s="14">
        <v>-1</v>
      </c>
      <c r="BG161" s="14">
        <v>-13.25</v>
      </c>
      <c r="BH161" s="14">
        <v>-0.25</v>
      </c>
      <c r="BI161" s="14">
        <v>1.2</v>
      </c>
      <c r="BJ161" s="14">
        <v>2</v>
      </c>
      <c r="BK161" s="14">
        <v>16</v>
      </c>
      <c r="BL161" s="14">
        <v>-0.25</v>
      </c>
      <c r="BM161" s="14">
        <v>-11.425000000000001</v>
      </c>
      <c r="BN161" s="14">
        <v>-49.25</v>
      </c>
      <c r="BO161" s="14">
        <v>-3.75</v>
      </c>
      <c r="BP161" s="14">
        <v>-5.3249999999999993</v>
      </c>
      <c r="BQ161" s="14">
        <v>-15.75</v>
      </c>
      <c r="BR161" s="14">
        <v>-0.25</v>
      </c>
      <c r="BS161" s="14">
        <v>0.97500000000000053</v>
      </c>
      <c r="BT161" s="14">
        <v>-15.5</v>
      </c>
      <c r="BU161" s="14">
        <v>-2.75</v>
      </c>
      <c r="BV161" s="14">
        <v>-13.700000000000003</v>
      </c>
      <c r="BW161" s="14">
        <v>-52</v>
      </c>
      <c r="BX161" s="14">
        <v>-3.5</v>
      </c>
      <c r="BY161" s="48">
        <v>1.625</v>
      </c>
      <c r="BZ161" s="14">
        <v>16.25</v>
      </c>
      <c r="CA161" s="14">
        <v>1</v>
      </c>
      <c r="CB161" s="14">
        <v>-2.25</v>
      </c>
      <c r="CC161" s="14">
        <v>-1</v>
      </c>
      <c r="CD161" s="14">
        <v>-0.5</v>
      </c>
      <c r="CE161" s="14">
        <v>-6.9192181283515009E-2</v>
      </c>
      <c r="CF161" s="14">
        <v>-1.4691544400937229E-2</v>
      </c>
      <c r="CG161" s="14">
        <v>-0.19112174375332275</v>
      </c>
      <c r="CH161" s="14">
        <v>6.5</v>
      </c>
      <c r="CI161" s="14">
        <v>-4.5</v>
      </c>
      <c r="CJ161" s="14">
        <v>3.75</v>
      </c>
      <c r="CK161" s="14">
        <v>-1</v>
      </c>
      <c r="CL161" s="14">
        <v>-2</v>
      </c>
      <c r="CM161" s="14">
        <v>-12.5</v>
      </c>
      <c r="CN161" s="14">
        <v>0</v>
      </c>
      <c r="CO161" s="14">
        <v>-80.75</v>
      </c>
      <c r="CP161" s="14">
        <v>-80.25</v>
      </c>
      <c r="CQ161" s="14">
        <v>3.25</v>
      </c>
      <c r="CR161" s="14">
        <v>-2.25</v>
      </c>
      <c r="CS161" s="14">
        <v>-1.5</v>
      </c>
      <c r="CT161" t="s">
        <v>271</v>
      </c>
      <c r="CU161" t="s">
        <v>521</v>
      </c>
    </row>
    <row r="162" spans="1:99" x14ac:dyDescent="0.2">
      <c r="A162" s="19">
        <v>44122</v>
      </c>
      <c r="B162">
        <v>6</v>
      </c>
      <c r="C162" s="13" t="s">
        <v>252</v>
      </c>
      <c r="D162" s="41" t="s">
        <v>284</v>
      </c>
      <c r="E162" s="14" t="s">
        <v>300</v>
      </c>
      <c r="F162" t="s">
        <v>533</v>
      </c>
      <c r="G162">
        <v>14.64</v>
      </c>
      <c r="H162" t="s">
        <v>534</v>
      </c>
      <c r="I162">
        <v>29.1</v>
      </c>
      <c r="J162">
        <v>23</v>
      </c>
      <c r="K162">
        <v>113</v>
      </c>
      <c r="L162">
        <v>2</v>
      </c>
      <c r="M162" t="s">
        <v>537</v>
      </c>
      <c r="N162">
        <v>4.2</v>
      </c>
      <c r="O162">
        <v>5</v>
      </c>
      <c r="P162">
        <v>42</v>
      </c>
      <c r="Q162">
        <v>1</v>
      </c>
      <c r="R162" t="s">
        <v>20</v>
      </c>
      <c r="S162">
        <v>2</v>
      </c>
      <c r="T162">
        <v>10</v>
      </c>
      <c r="U162">
        <v>2</v>
      </c>
      <c r="V162" t="s">
        <v>92</v>
      </c>
      <c r="W162">
        <v>9.8000000000000007</v>
      </c>
      <c r="X162">
        <v>48</v>
      </c>
      <c r="Y162">
        <v>7</v>
      </c>
      <c r="Z162" t="s">
        <v>538</v>
      </c>
      <c r="AA162">
        <v>7.7</v>
      </c>
      <c r="AB162">
        <v>7</v>
      </c>
      <c r="AC162">
        <v>1</v>
      </c>
      <c r="AD162">
        <v>16.899999999999999</v>
      </c>
      <c r="AE162">
        <v>59</v>
      </c>
      <c r="AF162">
        <v>6</v>
      </c>
      <c r="AG162" t="s">
        <v>536</v>
      </c>
      <c r="AH162">
        <v>18.8</v>
      </c>
      <c r="AI162">
        <v>78</v>
      </c>
      <c r="AJ162">
        <v>8</v>
      </c>
      <c r="AK162">
        <v>10</v>
      </c>
      <c r="AL162">
        <v>1</v>
      </c>
      <c r="AM162">
        <v>19</v>
      </c>
      <c r="AN162" s="21">
        <v>0.18518518518518517</v>
      </c>
      <c r="AO162" s="21">
        <v>0</v>
      </c>
      <c r="AP162" s="21">
        <v>0.4</v>
      </c>
      <c r="AQ162" s="35">
        <v>-1</v>
      </c>
      <c r="AR162" s="35">
        <v>28</v>
      </c>
      <c r="AS162" s="35">
        <v>32</v>
      </c>
      <c r="AT162" s="35">
        <v>3</v>
      </c>
      <c r="AU162" s="35">
        <v>63</v>
      </c>
      <c r="AV162" s="35">
        <v>31</v>
      </c>
      <c r="AW162" s="35">
        <v>7</v>
      </c>
      <c r="AX162">
        <v>324</v>
      </c>
      <c r="AY162" s="35">
        <v>166</v>
      </c>
      <c r="AZ162" s="35">
        <v>156</v>
      </c>
      <c r="BA162" s="35">
        <v>0</v>
      </c>
      <c r="BB162" s="35">
        <v>2</v>
      </c>
      <c r="BC162" t="s">
        <v>300</v>
      </c>
      <c r="BD162" s="14">
        <v>-2.2899999999999991</v>
      </c>
      <c r="BE162" s="14">
        <v>2.7749999999999986</v>
      </c>
      <c r="BF162" s="14">
        <v>9.75</v>
      </c>
      <c r="BG162" s="14">
        <v>48</v>
      </c>
      <c r="BH162" s="14">
        <v>-3.5</v>
      </c>
      <c r="BI162" s="14">
        <v>-3.1999999999999993</v>
      </c>
      <c r="BJ162" s="14">
        <v>-1</v>
      </c>
      <c r="BK162" s="14">
        <v>13.25</v>
      </c>
      <c r="BL162" s="14">
        <v>-0.5</v>
      </c>
      <c r="BM162" s="14">
        <v>-7.2749999999999986</v>
      </c>
      <c r="BN162" s="14">
        <v>-20.25</v>
      </c>
      <c r="BO162" s="14">
        <v>-2.25</v>
      </c>
      <c r="BP162" s="14">
        <v>4.2750000000000004</v>
      </c>
      <c r="BQ162" s="14">
        <v>20.25</v>
      </c>
      <c r="BR162" s="14">
        <v>0.75</v>
      </c>
      <c r="BS162" s="14">
        <v>2.0499999999999998</v>
      </c>
      <c r="BT162" s="14">
        <v>-15</v>
      </c>
      <c r="BU162" s="14">
        <v>-1.5</v>
      </c>
      <c r="BV162" s="14">
        <v>1.2249999999999979</v>
      </c>
      <c r="BW162" s="14">
        <v>-2.75</v>
      </c>
      <c r="BX162" s="14">
        <v>-2.75</v>
      </c>
      <c r="BY162" s="48">
        <v>8.25</v>
      </c>
      <c r="BZ162" s="14">
        <v>25</v>
      </c>
      <c r="CA162" s="14">
        <v>2.75</v>
      </c>
      <c r="CB162" s="14">
        <v>2.75</v>
      </c>
      <c r="CC162" s="14">
        <v>-0.5</v>
      </c>
      <c r="CD162" s="14">
        <v>15.75</v>
      </c>
      <c r="CE162" s="14">
        <v>-2.6461988304093575E-2</v>
      </c>
      <c r="CF162" s="14">
        <v>-6.169590643274854E-2</v>
      </c>
      <c r="CG162" s="14">
        <v>-0.24464285714285705</v>
      </c>
      <c r="CH162" s="14">
        <v>-5.75</v>
      </c>
      <c r="CI162" s="14">
        <v>-6</v>
      </c>
      <c r="CJ162" s="14">
        <v>9</v>
      </c>
      <c r="CK162" s="14">
        <v>1</v>
      </c>
      <c r="CL162" s="14">
        <v>1.25</v>
      </c>
      <c r="CM162" s="14">
        <v>6.5</v>
      </c>
      <c r="CN162" s="14">
        <v>5.25</v>
      </c>
      <c r="CO162" s="14">
        <v>-33.5</v>
      </c>
      <c r="CP162" s="14">
        <v>-79.75</v>
      </c>
      <c r="CQ162" s="14">
        <v>49.25</v>
      </c>
      <c r="CR162" s="14">
        <v>0.5</v>
      </c>
      <c r="CS162" s="14">
        <v>-3.5</v>
      </c>
      <c r="CT162" t="s">
        <v>253</v>
      </c>
      <c r="CU162" t="s">
        <v>458</v>
      </c>
    </row>
    <row r="163" spans="1:99" x14ac:dyDescent="0.2">
      <c r="A163" s="19">
        <v>44122</v>
      </c>
      <c r="B163">
        <v>6</v>
      </c>
      <c r="C163" s="13" t="s">
        <v>252</v>
      </c>
      <c r="D163" s="41" t="s">
        <v>285</v>
      </c>
      <c r="E163" s="14" t="s">
        <v>291</v>
      </c>
      <c r="F163" t="s">
        <v>541</v>
      </c>
      <c r="G163">
        <v>28.92</v>
      </c>
      <c r="H163" t="s">
        <v>542</v>
      </c>
      <c r="I163">
        <v>31.4</v>
      </c>
      <c r="J163">
        <v>20</v>
      </c>
      <c r="K163">
        <v>164</v>
      </c>
      <c r="L163">
        <v>2</v>
      </c>
      <c r="M163" t="s">
        <v>543</v>
      </c>
      <c r="N163">
        <v>3.9</v>
      </c>
      <c r="O163">
        <v>5</v>
      </c>
      <c r="P163">
        <v>23</v>
      </c>
      <c r="Q163">
        <v>2</v>
      </c>
      <c r="R163" t="s">
        <v>22</v>
      </c>
      <c r="S163">
        <v>9.3000000000000007</v>
      </c>
      <c r="T163">
        <v>73</v>
      </c>
      <c r="U163">
        <v>8</v>
      </c>
      <c r="V163" t="s">
        <v>50</v>
      </c>
      <c r="W163">
        <v>22.6</v>
      </c>
      <c r="X163">
        <v>86</v>
      </c>
      <c r="Y163">
        <v>3</v>
      </c>
      <c r="Z163" t="s">
        <v>17</v>
      </c>
      <c r="AA163">
        <v>5.2</v>
      </c>
      <c r="AB163">
        <v>22</v>
      </c>
      <c r="AC163">
        <v>4</v>
      </c>
      <c r="AD163">
        <v>12.4</v>
      </c>
      <c r="AE163">
        <v>24</v>
      </c>
      <c r="AF163">
        <v>6</v>
      </c>
      <c r="AG163" t="s">
        <v>545</v>
      </c>
      <c r="AH163">
        <v>1.1000000000000001</v>
      </c>
      <c r="AI163">
        <v>1</v>
      </c>
      <c r="AJ163">
        <v>1</v>
      </c>
      <c r="AK163">
        <v>8</v>
      </c>
      <c r="AL163">
        <v>1</v>
      </c>
      <c r="AM163">
        <v>15</v>
      </c>
      <c r="AN163" s="21">
        <v>0.17857142857142858</v>
      </c>
      <c r="AO163" s="21">
        <v>3.5714285714285712E-2</v>
      </c>
      <c r="AP163" s="21">
        <v>1</v>
      </c>
      <c r="AQ163" s="35">
        <v>-3</v>
      </c>
      <c r="AR163" s="35">
        <v>24</v>
      </c>
      <c r="AS163" s="35">
        <v>25</v>
      </c>
      <c r="AT163" s="35">
        <v>10</v>
      </c>
      <c r="AU163" s="35">
        <v>60</v>
      </c>
      <c r="AV163" s="35">
        <v>38</v>
      </c>
      <c r="AW163" s="35">
        <v>0</v>
      </c>
      <c r="AX163">
        <v>449</v>
      </c>
      <c r="AY163" s="35">
        <v>188</v>
      </c>
      <c r="AZ163" s="35">
        <v>187</v>
      </c>
      <c r="BA163" s="35">
        <v>0</v>
      </c>
      <c r="BB163" s="35">
        <v>74</v>
      </c>
      <c r="BC163" t="s">
        <v>291</v>
      </c>
      <c r="BD163" s="14">
        <v>4.5960000000000036</v>
      </c>
      <c r="BE163" s="14">
        <v>14.620000000000005</v>
      </c>
      <c r="BF163" s="14">
        <v>3.3999999999999986</v>
      </c>
      <c r="BG163" s="14">
        <v>80</v>
      </c>
      <c r="BH163" s="14">
        <v>0.39999999999999991</v>
      </c>
      <c r="BI163" s="14">
        <v>-1.2200000000000002</v>
      </c>
      <c r="BJ163" s="14">
        <v>-1</v>
      </c>
      <c r="BK163" s="14">
        <v>-10.600000000000001</v>
      </c>
      <c r="BL163" s="14">
        <v>0.60000000000000009</v>
      </c>
      <c r="BM163" s="14">
        <v>-13.899999999999999</v>
      </c>
      <c r="BN163" s="14">
        <v>-8.4000000000000057</v>
      </c>
      <c r="BO163" s="14">
        <v>-0.80000000000000071</v>
      </c>
      <c r="BP163" s="14">
        <v>2.2040000000000042</v>
      </c>
      <c r="BQ163" s="14">
        <v>7</v>
      </c>
      <c r="BR163" s="14">
        <v>-3.4000000000000004</v>
      </c>
      <c r="BS163" s="14">
        <v>0.60000000000000053</v>
      </c>
      <c r="BT163" s="14">
        <v>8</v>
      </c>
      <c r="BU163" s="14">
        <v>1</v>
      </c>
      <c r="BV163" s="14">
        <v>-1.5199999999999978</v>
      </c>
      <c r="BW163" s="14">
        <v>-39.200000000000003</v>
      </c>
      <c r="BX163" s="14">
        <v>-2.1999999999999993</v>
      </c>
      <c r="BY163" s="48">
        <v>-9.76</v>
      </c>
      <c r="BZ163" s="14">
        <v>-35.799999999999997</v>
      </c>
      <c r="CA163" s="14">
        <v>-3.8</v>
      </c>
      <c r="CB163" s="14">
        <v>-4.1999999999999993</v>
      </c>
      <c r="CC163" s="14">
        <v>-1.2000000000000002</v>
      </c>
      <c r="CD163" s="14">
        <v>6</v>
      </c>
      <c r="CE163" s="14">
        <v>-0.16224078766761699</v>
      </c>
      <c r="CF163" s="14">
        <v>-1.6523070425509455E-2</v>
      </c>
      <c r="CG163" s="14">
        <v>0.17500000000000004</v>
      </c>
      <c r="CH163" s="14">
        <v>-3.6</v>
      </c>
      <c r="CI163" s="14">
        <v>-8.6000000000000014</v>
      </c>
      <c r="CJ163" s="14">
        <v>-1.6000000000000014</v>
      </c>
      <c r="CK163" s="14">
        <v>5</v>
      </c>
      <c r="CL163" s="14">
        <v>-7.4000000000000057</v>
      </c>
      <c r="CM163" s="14">
        <v>0.20000000000000284</v>
      </c>
      <c r="CN163" s="14">
        <v>-1.8</v>
      </c>
      <c r="CO163" s="14">
        <v>39</v>
      </c>
      <c r="CP163" s="14">
        <v>-44.599999999999994</v>
      </c>
      <c r="CQ163" s="14">
        <v>48.199999999999989</v>
      </c>
      <c r="CR163" s="14">
        <v>-16.399999999999999</v>
      </c>
      <c r="CS163" s="14">
        <v>51.8</v>
      </c>
      <c r="CT163" t="s">
        <v>282</v>
      </c>
      <c r="CU163" t="s">
        <v>453</v>
      </c>
    </row>
    <row r="164" spans="1:99" x14ac:dyDescent="0.2">
      <c r="A164" s="19">
        <v>44122</v>
      </c>
      <c r="B164">
        <v>6</v>
      </c>
      <c r="C164" s="13" t="s">
        <v>252</v>
      </c>
      <c r="D164" s="41" t="s">
        <v>289</v>
      </c>
      <c r="E164" s="14" t="s">
        <v>272</v>
      </c>
      <c r="F164" t="s">
        <v>548</v>
      </c>
      <c r="G164">
        <v>28.74</v>
      </c>
      <c r="H164" t="s">
        <v>549</v>
      </c>
      <c r="I164">
        <v>15.5</v>
      </c>
      <c r="J164">
        <v>12</v>
      </c>
      <c r="K164">
        <v>60</v>
      </c>
      <c r="L164">
        <v>4</v>
      </c>
      <c r="M164" t="s">
        <v>550</v>
      </c>
      <c r="N164">
        <v>7.7</v>
      </c>
      <c r="O164">
        <v>0</v>
      </c>
      <c r="P164">
        <v>0</v>
      </c>
      <c r="Q164">
        <v>6</v>
      </c>
      <c r="R164" t="s">
        <v>182</v>
      </c>
      <c r="S164">
        <v>2.1</v>
      </c>
      <c r="T164">
        <v>11</v>
      </c>
      <c r="U164">
        <v>5</v>
      </c>
      <c r="V164" t="s">
        <v>96</v>
      </c>
      <c r="W164">
        <v>15.4</v>
      </c>
      <c r="X164">
        <v>54</v>
      </c>
      <c r="Y164">
        <v>7</v>
      </c>
      <c r="Z164" t="s">
        <v>551</v>
      </c>
      <c r="AA164">
        <v>18.8</v>
      </c>
      <c r="AB164">
        <v>108</v>
      </c>
      <c r="AC164">
        <v>8</v>
      </c>
      <c r="AD164">
        <v>23.4</v>
      </c>
      <c r="AE164">
        <v>94</v>
      </c>
      <c r="AF164">
        <v>12</v>
      </c>
      <c r="AG164" t="s">
        <v>552</v>
      </c>
      <c r="AH164">
        <v>21.9</v>
      </c>
      <c r="AI164">
        <v>58</v>
      </c>
      <c r="AJ164">
        <v>5</v>
      </c>
      <c r="AK164">
        <v>8</v>
      </c>
      <c r="AL164">
        <v>1</v>
      </c>
      <c r="AM164">
        <v>4</v>
      </c>
      <c r="AN164" s="21">
        <v>0.28888888888888886</v>
      </c>
      <c r="AO164" s="21">
        <v>2.2222222222222223E-2</v>
      </c>
      <c r="AP164" s="21">
        <v>0.8</v>
      </c>
      <c r="AQ164" s="35">
        <v>4</v>
      </c>
      <c r="AR164" s="35">
        <v>44</v>
      </c>
      <c r="AS164" s="35">
        <v>13</v>
      </c>
      <c r="AT164" s="35">
        <v>1</v>
      </c>
      <c r="AU164" s="35">
        <v>60</v>
      </c>
      <c r="AV164" s="35">
        <v>31</v>
      </c>
      <c r="AW164" s="35">
        <v>0</v>
      </c>
      <c r="AX164">
        <v>430</v>
      </c>
      <c r="AY164" s="35">
        <v>371</v>
      </c>
      <c r="AZ164" s="35">
        <v>59</v>
      </c>
      <c r="BA164" s="35">
        <v>1</v>
      </c>
      <c r="BB164" s="35">
        <v>-1</v>
      </c>
      <c r="BC164" t="s">
        <v>272</v>
      </c>
      <c r="BD164" s="14">
        <v>7.1519999999999975</v>
      </c>
      <c r="BE164" s="14">
        <v>-0.47999999999999865</v>
      </c>
      <c r="BF164" s="14">
        <v>-4</v>
      </c>
      <c r="BG164" s="14">
        <v>-22.200000000000003</v>
      </c>
      <c r="BH164" s="14">
        <v>0.60000000000000009</v>
      </c>
      <c r="BI164" s="14">
        <v>-0.52000000000000046</v>
      </c>
      <c r="BJ164" s="14">
        <v>-2.8</v>
      </c>
      <c r="BK164" s="14">
        <v>-25.6</v>
      </c>
      <c r="BL164" s="14">
        <v>3.8</v>
      </c>
      <c r="BM164" s="14">
        <v>-15.780000000000003</v>
      </c>
      <c r="BN164" s="14">
        <v>-54.8</v>
      </c>
      <c r="BO164" s="14">
        <v>-3.1999999999999993</v>
      </c>
      <c r="BP164" s="14">
        <v>5.7799999999999994</v>
      </c>
      <c r="BQ164" s="14">
        <v>11.200000000000003</v>
      </c>
      <c r="BR164" s="14">
        <v>2.5999999999999996</v>
      </c>
      <c r="BS164" s="14">
        <v>11.160000000000002</v>
      </c>
      <c r="BT164" s="14">
        <v>65.599999999999994</v>
      </c>
      <c r="BU164" s="14">
        <v>3.5999999999999996</v>
      </c>
      <c r="BV164" s="14">
        <v>4.3599999999999994</v>
      </c>
      <c r="BW164" s="14">
        <v>7.5999999999999943</v>
      </c>
      <c r="BX164" s="14">
        <v>0.59999999999999964</v>
      </c>
      <c r="BY164" s="48">
        <v>9.5199999999999978</v>
      </c>
      <c r="BZ164" s="14">
        <v>12.399999999999999</v>
      </c>
      <c r="CA164" s="14">
        <v>-1.7999999999999998</v>
      </c>
      <c r="CB164" s="14">
        <v>-2</v>
      </c>
      <c r="CC164" s="14">
        <v>-1.4</v>
      </c>
      <c r="CD164" s="14">
        <v>-4.8000000000000007</v>
      </c>
      <c r="CE164" s="14">
        <v>8.2722832722832429E-3</v>
      </c>
      <c r="CF164" s="14">
        <v>-1.1398046398046393E-2</v>
      </c>
      <c r="CG164" s="14">
        <v>9.7142857142857197E-2</v>
      </c>
      <c r="CH164" s="14">
        <v>0.60000000000000009</v>
      </c>
      <c r="CI164" s="14">
        <v>5.7999999999999972</v>
      </c>
      <c r="CJ164" s="14">
        <v>-8</v>
      </c>
      <c r="CK164" s="14">
        <v>-3</v>
      </c>
      <c r="CL164" s="14">
        <v>-5.7999999999999972</v>
      </c>
      <c r="CM164" s="14">
        <v>4.1999999999999993</v>
      </c>
      <c r="CN164" s="14">
        <v>-1.4</v>
      </c>
      <c r="CO164" s="14">
        <v>21</v>
      </c>
      <c r="CP164" s="14">
        <v>101.80000000000001</v>
      </c>
      <c r="CQ164" s="14">
        <v>-54.599999999999994</v>
      </c>
      <c r="CR164" s="14">
        <v>-7.6</v>
      </c>
      <c r="CS164" s="14">
        <v>-18.600000000000001</v>
      </c>
      <c r="CT164" t="s">
        <v>277</v>
      </c>
      <c r="CU164" t="s">
        <v>528</v>
      </c>
    </row>
    <row r="165" spans="1:99" x14ac:dyDescent="0.2">
      <c r="A165" s="19">
        <v>44122</v>
      </c>
      <c r="B165">
        <v>6</v>
      </c>
      <c r="C165" s="13" t="s">
        <v>252</v>
      </c>
      <c r="D165" s="41" t="s">
        <v>288</v>
      </c>
      <c r="E165" s="14" t="s">
        <v>276</v>
      </c>
      <c r="F165" t="s">
        <v>564</v>
      </c>
      <c r="G165">
        <v>20.6</v>
      </c>
      <c r="H165" t="s">
        <v>565</v>
      </c>
      <c r="I165">
        <v>23.9</v>
      </c>
      <c r="J165">
        <v>26</v>
      </c>
      <c r="K165">
        <v>161</v>
      </c>
      <c r="L165">
        <v>4</v>
      </c>
      <c r="M165" t="s">
        <v>569</v>
      </c>
      <c r="N165">
        <v>11.1</v>
      </c>
      <c r="O165">
        <v>6</v>
      </c>
      <c r="P165">
        <v>26</v>
      </c>
      <c r="Q165">
        <v>1</v>
      </c>
      <c r="R165" t="s">
        <v>168</v>
      </c>
      <c r="S165">
        <v>5.5</v>
      </c>
      <c r="T165">
        <v>20</v>
      </c>
      <c r="U165">
        <v>3</v>
      </c>
      <c r="V165" t="s">
        <v>568</v>
      </c>
      <c r="W165">
        <v>11.9</v>
      </c>
      <c r="X165">
        <v>69</v>
      </c>
      <c r="Y165">
        <v>6</v>
      </c>
      <c r="Z165" t="s">
        <v>567</v>
      </c>
      <c r="AA165">
        <v>0</v>
      </c>
      <c r="AB165">
        <v>0</v>
      </c>
      <c r="AC165">
        <v>1</v>
      </c>
      <c r="AD165">
        <v>15.7</v>
      </c>
      <c r="AE165">
        <v>57</v>
      </c>
      <c r="AF165">
        <v>6</v>
      </c>
      <c r="AG165" t="s">
        <v>19</v>
      </c>
      <c r="AH165">
        <v>22.5</v>
      </c>
      <c r="AI165">
        <v>65</v>
      </c>
      <c r="AJ165">
        <v>7</v>
      </c>
      <c r="AK165">
        <v>8</v>
      </c>
      <c r="AL165">
        <v>2</v>
      </c>
      <c r="AM165">
        <v>3</v>
      </c>
      <c r="AN165" s="21">
        <v>0.35294117647058826</v>
      </c>
      <c r="AO165" s="21">
        <v>2.9411764705882353E-2</v>
      </c>
      <c r="AP165" s="21">
        <v>0.66666666666666663</v>
      </c>
      <c r="AQ165" s="35">
        <v>3</v>
      </c>
      <c r="AR165" s="35">
        <v>26</v>
      </c>
      <c r="AS165" s="35">
        <v>35</v>
      </c>
      <c r="AT165" s="35">
        <v>10</v>
      </c>
      <c r="AU165" s="35">
        <v>73</v>
      </c>
      <c r="AV165" s="35">
        <v>26</v>
      </c>
      <c r="AW165" s="35">
        <v>0</v>
      </c>
      <c r="AX165" s="35">
        <v>470</v>
      </c>
      <c r="AY165" s="35">
        <v>225</v>
      </c>
      <c r="AZ165" s="35">
        <v>204</v>
      </c>
      <c r="BA165" s="35">
        <v>5</v>
      </c>
      <c r="BB165" s="35">
        <v>36</v>
      </c>
      <c r="BC165" t="s">
        <v>276</v>
      </c>
      <c r="BD165" s="14">
        <v>-4.1199999999999974</v>
      </c>
      <c r="BE165" s="14">
        <v>5.9599999999999973</v>
      </c>
      <c r="BF165" s="14">
        <v>8.6000000000000014</v>
      </c>
      <c r="BG165" s="14">
        <v>75.8</v>
      </c>
      <c r="BH165" s="14">
        <v>0</v>
      </c>
      <c r="BI165" s="14">
        <v>5.68</v>
      </c>
      <c r="BJ165" s="14">
        <v>0.40000000000000036</v>
      </c>
      <c r="BK165" s="14">
        <v>9.3999999999999986</v>
      </c>
      <c r="BL165" s="14">
        <v>-0.60000000000000009</v>
      </c>
      <c r="BM165" s="14">
        <v>-9.52</v>
      </c>
      <c r="BN165" s="14">
        <v>-37.200000000000003</v>
      </c>
      <c r="BO165" s="14">
        <v>-3.8</v>
      </c>
      <c r="BP165" s="14">
        <v>-2.9399999999999977</v>
      </c>
      <c r="BQ165" s="14">
        <v>4.5999999999999943</v>
      </c>
      <c r="BR165" s="14">
        <v>-0.20000000000000018</v>
      </c>
      <c r="BS165" s="14">
        <v>-4.8</v>
      </c>
      <c r="BT165" s="14">
        <v>-26</v>
      </c>
      <c r="BU165" s="14">
        <v>-2.6</v>
      </c>
      <c r="BV165" s="14">
        <v>-7.7600000000000016</v>
      </c>
      <c r="BW165" s="14">
        <v>-45.599999999999994</v>
      </c>
      <c r="BX165" s="14">
        <v>-6.1999999999999993</v>
      </c>
      <c r="BY165" s="48">
        <v>2.84</v>
      </c>
      <c r="BZ165" s="14">
        <v>-7.5999999999999943</v>
      </c>
      <c r="CA165" s="14">
        <v>-0.79999999999999982</v>
      </c>
      <c r="CB165" s="14">
        <v>-0.59999999999999964</v>
      </c>
      <c r="CC165" s="14">
        <v>0.19999999999999996</v>
      </c>
      <c r="CD165" s="14">
        <v>-0.39999999999999991</v>
      </c>
      <c r="CE165" s="14">
        <v>5.5013699772713087E-2</v>
      </c>
      <c r="CF165" s="14">
        <v>-7.437621202327091E-3</v>
      </c>
      <c r="CG165" s="14">
        <v>-8.0952380952380998E-2</v>
      </c>
      <c r="CH165" s="14">
        <v>0.60000000000000009</v>
      </c>
      <c r="CI165" s="14">
        <v>-9.3999999999999986</v>
      </c>
      <c r="CJ165" s="14">
        <v>9</v>
      </c>
      <c r="CK165" s="14">
        <v>5.4</v>
      </c>
      <c r="CL165" s="14">
        <v>7.4000000000000057</v>
      </c>
      <c r="CM165" s="14">
        <v>-4.1999999999999993</v>
      </c>
      <c r="CN165" s="14">
        <v>0</v>
      </c>
      <c r="CO165" s="14">
        <v>46.800000000000011</v>
      </c>
      <c r="CP165" s="14">
        <v>-51</v>
      </c>
      <c r="CQ165" s="14">
        <v>86.6</v>
      </c>
      <c r="CR165" s="14">
        <v>-2</v>
      </c>
      <c r="CS165" s="14">
        <v>13.2</v>
      </c>
      <c r="CT165" t="s">
        <v>261</v>
      </c>
      <c r="CU165" t="s">
        <v>455</v>
      </c>
    </row>
    <row r="166" spans="1:99" x14ac:dyDescent="0.2">
      <c r="A166" s="19">
        <v>44122</v>
      </c>
      <c r="B166">
        <v>6</v>
      </c>
      <c r="C166" s="13" t="s">
        <v>252</v>
      </c>
      <c r="D166" s="41" t="s">
        <v>291</v>
      </c>
      <c r="E166" s="14" t="s">
        <v>285</v>
      </c>
      <c r="F166" t="s">
        <v>571</v>
      </c>
      <c r="G166">
        <v>13.04</v>
      </c>
      <c r="H166" t="s">
        <v>572</v>
      </c>
      <c r="I166">
        <v>14</v>
      </c>
      <c r="J166">
        <v>12</v>
      </c>
      <c r="K166">
        <v>49</v>
      </c>
      <c r="L166">
        <v>10</v>
      </c>
      <c r="M166" t="s">
        <v>573</v>
      </c>
      <c r="N166">
        <v>6</v>
      </c>
      <c r="O166">
        <v>10</v>
      </c>
      <c r="P166">
        <v>31</v>
      </c>
      <c r="Q166">
        <v>4</v>
      </c>
      <c r="R166" t="s">
        <v>116</v>
      </c>
      <c r="S166">
        <v>20.9</v>
      </c>
      <c r="T166">
        <v>79</v>
      </c>
      <c r="U166">
        <v>10</v>
      </c>
      <c r="V166" t="s">
        <v>574</v>
      </c>
      <c r="W166">
        <v>13.4</v>
      </c>
      <c r="X166">
        <v>64</v>
      </c>
      <c r="Y166">
        <v>11</v>
      </c>
      <c r="Z166" t="s">
        <v>576</v>
      </c>
      <c r="AA166">
        <v>3</v>
      </c>
      <c r="AB166">
        <v>10</v>
      </c>
      <c r="AC166">
        <v>3</v>
      </c>
      <c r="AD166">
        <v>31.6</v>
      </c>
      <c r="AE166">
        <v>156</v>
      </c>
      <c r="AF166">
        <v>23</v>
      </c>
      <c r="AG166" t="s">
        <v>575</v>
      </c>
      <c r="AH166">
        <v>7.5</v>
      </c>
      <c r="AI166">
        <v>35</v>
      </c>
      <c r="AJ166">
        <v>5</v>
      </c>
      <c r="AK166">
        <v>3</v>
      </c>
      <c r="AL166">
        <v>2</v>
      </c>
      <c r="AM166">
        <v>-3</v>
      </c>
      <c r="AN166" s="21">
        <v>0.28813559322033899</v>
      </c>
      <c r="AO166" s="21">
        <v>5.0847457627118647E-2</v>
      </c>
      <c r="AP166" s="21">
        <v>1</v>
      </c>
      <c r="AQ166" s="35">
        <v>15</v>
      </c>
      <c r="AR166" s="35">
        <v>54</v>
      </c>
      <c r="AS166" s="35">
        <v>25</v>
      </c>
      <c r="AT166" s="35">
        <v>2</v>
      </c>
      <c r="AU166" s="35">
        <v>84</v>
      </c>
      <c r="AV166" s="35">
        <v>10</v>
      </c>
      <c r="AW166" s="35">
        <v>0</v>
      </c>
      <c r="AX166">
        <v>363</v>
      </c>
      <c r="AY166" s="35">
        <v>266</v>
      </c>
      <c r="AZ166" s="35">
        <v>93</v>
      </c>
      <c r="BA166" s="35">
        <v>0</v>
      </c>
      <c r="BB166" s="35">
        <v>4</v>
      </c>
      <c r="BC166" t="s">
        <v>285</v>
      </c>
      <c r="BD166" s="14">
        <v>-4.0199999999999996</v>
      </c>
      <c r="BE166" s="14">
        <v>0.90000000000000036</v>
      </c>
      <c r="BF166" s="14">
        <v>-3.1999999999999993</v>
      </c>
      <c r="BG166" s="14">
        <v>-15.599999999999994</v>
      </c>
      <c r="BH166" s="14">
        <v>6</v>
      </c>
      <c r="BI166" s="14">
        <v>-0.67999999999999972</v>
      </c>
      <c r="BJ166" s="14">
        <v>2</v>
      </c>
      <c r="BK166" s="14">
        <v>-5.6000000000000014</v>
      </c>
      <c r="BL166" s="14">
        <v>2.6</v>
      </c>
      <c r="BM166" s="14">
        <v>-1.8200000000000038</v>
      </c>
      <c r="BN166" s="14">
        <v>-16.200000000000003</v>
      </c>
      <c r="BO166" s="14">
        <v>0.40000000000000036</v>
      </c>
      <c r="BP166" s="14">
        <v>4.8000000000000007</v>
      </c>
      <c r="BQ166" s="14">
        <v>16</v>
      </c>
      <c r="BR166" s="14">
        <v>4</v>
      </c>
      <c r="BS166" s="14">
        <v>-1.46</v>
      </c>
      <c r="BT166" s="14">
        <v>-13.2</v>
      </c>
      <c r="BU166" s="14">
        <v>-0.79999999999999982</v>
      </c>
      <c r="BV166" s="14">
        <v>7.02</v>
      </c>
      <c r="BW166" s="14">
        <v>50.2</v>
      </c>
      <c r="BX166" s="14">
        <v>9.1999999999999993</v>
      </c>
      <c r="BY166" s="48">
        <v>0.24000000000000021</v>
      </c>
      <c r="BZ166" s="14">
        <v>6.3999999999999986</v>
      </c>
      <c r="CA166" s="14">
        <v>-0.79999999999999982</v>
      </c>
      <c r="CB166" s="14">
        <v>-3</v>
      </c>
      <c r="CC166" s="14">
        <v>0</v>
      </c>
      <c r="CD166" s="14">
        <v>-5.6</v>
      </c>
      <c r="CE166" s="14">
        <v>3.1564406452899152E-3</v>
      </c>
      <c r="CF166" s="14">
        <v>-1.3488218590805567E-2</v>
      </c>
      <c r="CG166" s="14">
        <v>0.29777777777777781</v>
      </c>
      <c r="CH166" s="14">
        <v>7.8</v>
      </c>
      <c r="CI166" s="14">
        <v>16.399999999999999</v>
      </c>
      <c r="CJ166" s="14">
        <v>0.80000000000000071</v>
      </c>
      <c r="CK166" s="14">
        <v>-0.79999999999999982</v>
      </c>
      <c r="CL166" s="14">
        <v>15.599999999999994</v>
      </c>
      <c r="CM166" s="14">
        <v>-8.3999999999999986</v>
      </c>
      <c r="CN166" s="14">
        <v>0</v>
      </c>
      <c r="CO166" s="14">
        <v>-2</v>
      </c>
      <c r="CP166" s="14">
        <v>20</v>
      </c>
      <c r="CQ166" s="14">
        <v>-11.400000000000006</v>
      </c>
      <c r="CR166" s="14">
        <v>-2.4</v>
      </c>
      <c r="CS166" s="14">
        <v>-8.1999999999999993</v>
      </c>
      <c r="CT166" t="s">
        <v>249</v>
      </c>
      <c r="CU166" t="s">
        <v>452</v>
      </c>
    </row>
    <row r="167" spans="1:99" x14ac:dyDescent="0.2">
      <c r="A167" s="19">
        <v>44122</v>
      </c>
      <c r="B167">
        <v>6</v>
      </c>
      <c r="C167" s="13" t="s">
        <v>252</v>
      </c>
      <c r="D167" s="41" t="s">
        <v>293</v>
      </c>
      <c r="E167" s="14" t="s">
        <v>298</v>
      </c>
      <c r="F167" t="s">
        <v>578</v>
      </c>
      <c r="G167">
        <v>18.04</v>
      </c>
      <c r="H167" t="s">
        <v>579</v>
      </c>
      <c r="I167">
        <v>16.600000000000001</v>
      </c>
      <c r="J167">
        <v>18</v>
      </c>
      <c r="K167">
        <v>91</v>
      </c>
      <c r="L167">
        <v>4</v>
      </c>
      <c r="M167" t="s">
        <v>580</v>
      </c>
      <c r="N167">
        <v>4.2</v>
      </c>
      <c r="O167">
        <v>6</v>
      </c>
      <c r="P167">
        <v>15</v>
      </c>
      <c r="Q167">
        <v>2</v>
      </c>
      <c r="R167" t="s">
        <v>24</v>
      </c>
      <c r="S167">
        <v>6.5</v>
      </c>
      <c r="T167">
        <v>35</v>
      </c>
      <c r="U167">
        <v>8</v>
      </c>
      <c r="V167" t="s">
        <v>5</v>
      </c>
      <c r="W167">
        <v>9.8000000000000007</v>
      </c>
      <c r="X167">
        <v>18</v>
      </c>
      <c r="Y167">
        <v>3</v>
      </c>
      <c r="Z167" t="s">
        <v>581</v>
      </c>
      <c r="AA167">
        <v>8.8000000000000007</v>
      </c>
      <c r="AB167">
        <v>48</v>
      </c>
      <c r="AC167">
        <v>4</v>
      </c>
      <c r="AD167">
        <v>11.4</v>
      </c>
      <c r="AE167">
        <v>74</v>
      </c>
      <c r="AF167">
        <v>6</v>
      </c>
      <c r="AG167" t="s">
        <v>582</v>
      </c>
      <c r="AH167">
        <v>14.1</v>
      </c>
      <c r="AI167">
        <v>51</v>
      </c>
      <c r="AJ167">
        <v>3</v>
      </c>
      <c r="AK167">
        <v>6</v>
      </c>
      <c r="AL167">
        <v>1</v>
      </c>
      <c r="AM167">
        <v>15</v>
      </c>
      <c r="AN167" s="21">
        <v>0.375</v>
      </c>
      <c r="AO167" s="21">
        <v>6.25E-2</v>
      </c>
      <c r="AP167" s="21">
        <v>0.77777777777777779</v>
      </c>
      <c r="AQ167">
        <v>6</v>
      </c>
      <c r="AR167">
        <v>29</v>
      </c>
      <c r="AS167">
        <v>24</v>
      </c>
      <c r="AT167">
        <v>1</v>
      </c>
      <c r="AU167">
        <v>56</v>
      </c>
      <c r="AV167">
        <v>24</v>
      </c>
      <c r="AW167">
        <v>0</v>
      </c>
      <c r="AX167">
        <v>308</v>
      </c>
      <c r="AY167">
        <v>200</v>
      </c>
      <c r="AZ167">
        <v>104</v>
      </c>
      <c r="BA167">
        <v>0</v>
      </c>
      <c r="BB167">
        <v>4</v>
      </c>
      <c r="BC167" t="s">
        <v>298</v>
      </c>
      <c r="BD167" s="14">
        <v>-0.15599999999999881</v>
      </c>
      <c r="BE167" s="14">
        <v>-1.2999999999999972</v>
      </c>
      <c r="BF167" s="14">
        <v>2</v>
      </c>
      <c r="BG167" s="14">
        <v>9.2000000000000028</v>
      </c>
      <c r="BH167" s="14">
        <v>1.7999999999999998</v>
      </c>
      <c r="BI167" s="14">
        <v>-4.5399999999999983</v>
      </c>
      <c r="BJ167" s="14">
        <v>-0.59999999999999964</v>
      </c>
      <c r="BK167" s="14">
        <v>-3</v>
      </c>
      <c r="BL167" s="14">
        <v>-1.4</v>
      </c>
      <c r="BM167" s="14">
        <v>-7.0200000000000014</v>
      </c>
      <c r="BN167" s="14">
        <v>-34.200000000000003</v>
      </c>
      <c r="BO167" s="14">
        <v>2.5999999999999996</v>
      </c>
      <c r="BP167" s="14">
        <v>-1.9200000000000017</v>
      </c>
      <c r="BQ167" s="14">
        <v>-33.200000000000003</v>
      </c>
      <c r="BR167" s="14">
        <v>-1.7999999999999998</v>
      </c>
      <c r="BS167" s="14">
        <v>3.4800000000000004</v>
      </c>
      <c r="BT167" s="14">
        <v>20.8</v>
      </c>
      <c r="BU167" s="14">
        <v>-0.20000000000000018</v>
      </c>
      <c r="BV167" s="14">
        <v>-5.6600000000000019</v>
      </c>
      <c r="BW167" s="14">
        <v>-4.5999999999999943</v>
      </c>
      <c r="BX167" s="14">
        <v>-1.5999999999999996</v>
      </c>
      <c r="BY167" s="48">
        <v>0.83999999999999986</v>
      </c>
      <c r="BZ167" s="14">
        <v>6.3999999999999986</v>
      </c>
      <c r="CA167" s="14">
        <v>-1.4000000000000004</v>
      </c>
      <c r="CB167" s="14">
        <v>-4.5999999999999996</v>
      </c>
      <c r="CC167" s="14">
        <v>-1</v>
      </c>
      <c r="CD167" s="14">
        <v>3.1999999999999993</v>
      </c>
      <c r="CE167" s="14">
        <v>4.9883418222976761E-2</v>
      </c>
      <c r="CF167" s="14">
        <v>2.4736842105263154E-2</v>
      </c>
      <c r="CG167" s="14">
        <v>0.23444444444444446</v>
      </c>
      <c r="CH167" s="14">
        <v>2</v>
      </c>
      <c r="CI167" s="14">
        <v>-0.80000000000000071</v>
      </c>
      <c r="CJ167" s="14">
        <v>-1.3999999999999986</v>
      </c>
      <c r="CK167" s="14">
        <v>-3</v>
      </c>
      <c r="CL167" s="14">
        <v>-4.3999999999999986</v>
      </c>
      <c r="CM167" s="14">
        <v>-4.3999999999999986</v>
      </c>
      <c r="CN167" s="14">
        <v>-3.2</v>
      </c>
      <c r="CO167" s="14">
        <v>-74.199999999999989</v>
      </c>
      <c r="CP167" s="14">
        <v>-51.599999999999994</v>
      </c>
      <c r="CQ167" s="14">
        <v>-19.200000000000003</v>
      </c>
      <c r="CR167" s="14">
        <v>0</v>
      </c>
      <c r="CS167" s="14">
        <v>-3.4000000000000004</v>
      </c>
      <c r="CT167" t="s">
        <v>262</v>
      </c>
      <c r="CU167" t="s">
        <v>473</v>
      </c>
    </row>
    <row r="168" spans="1:99" x14ac:dyDescent="0.2">
      <c r="A168" s="19">
        <v>44122</v>
      </c>
      <c r="B168">
        <v>6</v>
      </c>
      <c r="C168" s="13" t="s">
        <v>252</v>
      </c>
      <c r="D168" s="41" t="s">
        <v>294</v>
      </c>
      <c r="E168" s="14" t="s">
        <v>305</v>
      </c>
      <c r="F168" t="s">
        <v>585</v>
      </c>
      <c r="G168">
        <v>30.42</v>
      </c>
      <c r="H168" t="s">
        <v>590</v>
      </c>
      <c r="I168">
        <v>15.2</v>
      </c>
      <c r="J168">
        <v>9</v>
      </c>
      <c r="K168">
        <v>118</v>
      </c>
      <c r="L168">
        <v>2</v>
      </c>
      <c r="M168" t="s">
        <v>586</v>
      </c>
      <c r="N168">
        <v>2.9</v>
      </c>
      <c r="O168">
        <v>2</v>
      </c>
      <c r="P168">
        <v>4</v>
      </c>
      <c r="Q168">
        <v>4</v>
      </c>
      <c r="R168" t="s">
        <v>588</v>
      </c>
      <c r="S168">
        <v>19.5</v>
      </c>
      <c r="T168">
        <v>75</v>
      </c>
      <c r="U168">
        <v>10</v>
      </c>
      <c r="V168" t="s">
        <v>184</v>
      </c>
      <c r="W168">
        <v>5.9</v>
      </c>
      <c r="X168">
        <v>19</v>
      </c>
      <c r="Y168">
        <v>3</v>
      </c>
      <c r="Z168" t="s">
        <v>591</v>
      </c>
      <c r="AA168">
        <v>6</v>
      </c>
      <c r="AB168">
        <v>50</v>
      </c>
      <c r="AC168">
        <v>4</v>
      </c>
      <c r="AD168">
        <v>17.5</v>
      </c>
      <c r="AE168">
        <v>105</v>
      </c>
      <c r="AF168">
        <v>11</v>
      </c>
      <c r="AG168" t="s">
        <v>11</v>
      </c>
      <c r="AH168">
        <v>7.3</v>
      </c>
      <c r="AI168">
        <v>33</v>
      </c>
      <c r="AJ168">
        <v>10</v>
      </c>
      <c r="AK168">
        <v>-1</v>
      </c>
      <c r="AL168">
        <v>1</v>
      </c>
      <c r="AM168">
        <v>2</v>
      </c>
      <c r="AN168" s="21">
        <v>0.51063829787234039</v>
      </c>
      <c r="AO168" s="21">
        <v>0.1276595744680851</v>
      </c>
      <c r="AP168" s="21">
        <v>0.7142857142857143</v>
      </c>
      <c r="AQ168" s="35">
        <v>7</v>
      </c>
      <c r="AR168" s="35">
        <v>40</v>
      </c>
      <c r="AS168" s="35">
        <v>11</v>
      </c>
      <c r="AT168" s="35">
        <v>7</v>
      </c>
      <c r="AU168" s="35">
        <v>64</v>
      </c>
      <c r="AV168" s="35">
        <v>28</v>
      </c>
      <c r="AW168" s="35">
        <v>0</v>
      </c>
      <c r="AX168">
        <v>407</v>
      </c>
      <c r="AY168" s="35">
        <v>213</v>
      </c>
      <c r="AZ168" s="35">
        <v>122</v>
      </c>
      <c r="BA168" s="35">
        <v>0</v>
      </c>
      <c r="BB168" s="35">
        <v>72</v>
      </c>
      <c r="BC168" t="s">
        <v>305</v>
      </c>
      <c r="BD168" s="14">
        <v>6.9600000000000009</v>
      </c>
      <c r="BE168" s="14">
        <v>-0.56000000000000227</v>
      </c>
      <c r="BF168" s="14">
        <v>-6.4</v>
      </c>
      <c r="BG168" s="14">
        <v>53.8</v>
      </c>
      <c r="BH168" s="14">
        <v>-3</v>
      </c>
      <c r="BI168" s="14">
        <v>-1.5799999999999996</v>
      </c>
      <c r="BJ168" s="14">
        <v>1</v>
      </c>
      <c r="BK168" s="14">
        <v>2</v>
      </c>
      <c r="BL168" s="14">
        <v>1</v>
      </c>
      <c r="BM168" s="14">
        <v>4.3599999999999994</v>
      </c>
      <c r="BN168" s="14">
        <v>8.5999999999999943</v>
      </c>
      <c r="BO168" s="14">
        <v>2.4000000000000004</v>
      </c>
      <c r="BP168" s="14">
        <v>-4.82</v>
      </c>
      <c r="BQ168" s="14">
        <v>-34.200000000000003</v>
      </c>
      <c r="BR168" s="14">
        <v>-2.5999999999999996</v>
      </c>
      <c r="BS168" s="14">
        <v>0.16000000000000103</v>
      </c>
      <c r="BT168" s="14">
        <v>9.3999999999999986</v>
      </c>
      <c r="BU168" s="14">
        <v>-0.79999999999999982</v>
      </c>
      <c r="BV168" s="14">
        <v>-2.1799999999999997</v>
      </c>
      <c r="BW168" s="14">
        <v>-3.7999999999999972</v>
      </c>
      <c r="BX168" s="14">
        <v>-1</v>
      </c>
      <c r="BY168" s="48">
        <v>-0.79999999999999982</v>
      </c>
      <c r="BZ168" s="14">
        <v>-8</v>
      </c>
      <c r="CA168" s="14">
        <v>4</v>
      </c>
      <c r="CB168" s="14">
        <v>-4.5999999999999996</v>
      </c>
      <c r="CC168" s="14">
        <v>-0.39999999999999991</v>
      </c>
      <c r="CD168" s="14">
        <v>-2</v>
      </c>
      <c r="CE168" s="14">
        <v>0.13155019070176993</v>
      </c>
      <c r="CF168" s="14">
        <v>3.659402137002242E-2</v>
      </c>
      <c r="CG168" s="14">
        <v>0.1411255411255411</v>
      </c>
      <c r="CH168" s="14">
        <v>-5.1999999999999993</v>
      </c>
      <c r="CI168" s="14">
        <v>1.3999999999999986</v>
      </c>
      <c r="CJ168" s="14">
        <v>-6.8000000000000007</v>
      </c>
      <c r="CK168" s="14">
        <v>2.5999999999999996</v>
      </c>
      <c r="CL168" s="14">
        <v>-1.7999999999999972</v>
      </c>
      <c r="CM168" s="14">
        <v>8.3999999999999986</v>
      </c>
      <c r="CN168" s="14">
        <v>0</v>
      </c>
      <c r="CO168" s="14">
        <v>29.800000000000011</v>
      </c>
      <c r="CP168" s="14">
        <v>-61</v>
      </c>
      <c r="CQ168" s="14">
        <v>51.400000000000006</v>
      </c>
      <c r="CR168" s="14">
        <v>-7</v>
      </c>
      <c r="CS168" s="14">
        <v>46.4</v>
      </c>
      <c r="CT168" t="s">
        <v>268</v>
      </c>
      <c r="CU168" t="s">
        <v>500</v>
      </c>
    </row>
    <row r="169" spans="1:99" x14ac:dyDescent="0.2">
      <c r="A169" s="19">
        <v>44122</v>
      </c>
      <c r="B169">
        <v>6</v>
      </c>
      <c r="C169" s="13" t="s">
        <v>252</v>
      </c>
      <c r="D169" s="41" t="s">
        <v>295</v>
      </c>
      <c r="E169" s="14" t="s">
        <v>312</v>
      </c>
      <c r="F169" t="s">
        <v>595</v>
      </c>
      <c r="G169">
        <v>34.64</v>
      </c>
      <c r="H169" t="s">
        <v>596</v>
      </c>
      <c r="I169">
        <v>9.6999999999999993</v>
      </c>
      <c r="J169">
        <v>20</v>
      </c>
      <c r="K169">
        <v>47</v>
      </c>
      <c r="L169">
        <v>4</v>
      </c>
      <c r="M169" t="s">
        <v>597</v>
      </c>
      <c r="N169">
        <v>4.4000000000000004</v>
      </c>
      <c r="O169">
        <v>10</v>
      </c>
      <c r="P169">
        <v>28</v>
      </c>
      <c r="Q169">
        <v>2</v>
      </c>
      <c r="R169" t="s">
        <v>95</v>
      </c>
      <c r="S169">
        <v>36.700000000000003</v>
      </c>
      <c r="T169">
        <v>137</v>
      </c>
      <c r="U169">
        <v>10</v>
      </c>
      <c r="V169" t="s">
        <v>93</v>
      </c>
      <c r="W169">
        <v>18.899999999999999</v>
      </c>
      <c r="X169">
        <v>61</v>
      </c>
      <c r="Y169">
        <v>7</v>
      </c>
      <c r="Z169" t="s">
        <v>598</v>
      </c>
      <c r="AA169">
        <v>10.5</v>
      </c>
      <c r="AB169">
        <v>65</v>
      </c>
      <c r="AC169">
        <v>4</v>
      </c>
      <c r="AD169">
        <v>30.9</v>
      </c>
      <c r="AE169">
        <v>119</v>
      </c>
      <c r="AF169">
        <v>7</v>
      </c>
      <c r="AG169" t="s">
        <v>599</v>
      </c>
      <c r="AH169">
        <v>15.7</v>
      </c>
      <c r="AI169">
        <v>57</v>
      </c>
      <c r="AJ169">
        <v>4</v>
      </c>
      <c r="AK169">
        <v>20</v>
      </c>
      <c r="AL169">
        <v>4</v>
      </c>
      <c r="AM169">
        <v>7</v>
      </c>
      <c r="AN169" s="21">
        <v>0.27272727272727271</v>
      </c>
      <c r="AO169" s="21">
        <v>4.5454545454545456E-2</v>
      </c>
      <c r="AP169" s="21">
        <v>0.66666666666666663</v>
      </c>
      <c r="AQ169" s="35">
        <v>0</v>
      </c>
      <c r="AR169" s="35">
        <v>40</v>
      </c>
      <c r="AS169" s="35">
        <v>32</v>
      </c>
      <c r="AT169" s="35">
        <v>4</v>
      </c>
      <c r="AU169" s="35">
        <v>79</v>
      </c>
      <c r="AV169" s="35">
        <v>40</v>
      </c>
      <c r="AW169" s="35">
        <v>0</v>
      </c>
      <c r="AX169">
        <v>470</v>
      </c>
      <c r="AY169" s="35">
        <v>371</v>
      </c>
      <c r="AZ169" s="35">
        <v>83</v>
      </c>
      <c r="BA169" s="35">
        <v>8</v>
      </c>
      <c r="BB169" s="35">
        <v>8</v>
      </c>
      <c r="BC169" t="s">
        <v>312</v>
      </c>
      <c r="BD169" s="14">
        <v>12.116</v>
      </c>
      <c r="BE169" s="14">
        <v>-8.86</v>
      </c>
      <c r="BF169" s="14">
        <v>0.80000000000000071</v>
      </c>
      <c r="BG169" s="14">
        <v>-29.400000000000006</v>
      </c>
      <c r="BH169" s="14">
        <v>0.20000000000000018</v>
      </c>
      <c r="BI169" s="14">
        <v>0.64000000000000012</v>
      </c>
      <c r="BJ169" s="14">
        <v>4.5999999999999996</v>
      </c>
      <c r="BK169" s="14">
        <v>6.8000000000000007</v>
      </c>
      <c r="BL169" s="14">
        <v>0.60000000000000009</v>
      </c>
      <c r="BM169" s="14">
        <v>18.98</v>
      </c>
      <c r="BN169" s="14">
        <v>59.8</v>
      </c>
      <c r="BO169" s="14">
        <v>3.4000000000000004</v>
      </c>
      <c r="BP169" s="14">
        <v>1.5999999999999979</v>
      </c>
      <c r="BQ169" s="14">
        <v>-5</v>
      </c>
      <c r="BR169" s="14">
        <v>1.2000000000000002</v>
      </c>
      <c r="BS169" s="14">
        <v>4.1199999999999992</v>
      </c>
      <c r="BT169" s="14">
        <v>29.200000000000003</v>
      </c>
      <c r="BU169" s="14">
        <v>-1</v>
      </c>
      <c r="BV169" s="14">
        <v>13.619999999999997</v>
      </c>
      <c r="BW169" s="14">
        <v>40.200000000000003</v>
      </c>
      <c r="BX169" s="14">
        <v>-1.1999999999999993</v>
      </c>
      <c r="BY169" s="48">
        <v>3.2199999999999989</v>
      </c>
      <c r="BZ169" s="14">
        <v>-1.7999999999999972</v>
      </c>
      <c r="CA169" s="14">
        <v>-0.40000000000000036</v>
      </c>
      <c r="CB169" s="14">
        <v>4.8000000000000007</v>
      </c>
      <c r="CC169" s="14">
        <v>0.60000000000000009</v>
      </c>
      <c r="CD169" s="14">
        <v>-0.59999999999999964</v>
      </c>
      <c r="CE169" s="14">
        <v>-3.2756963000865447E-2</v>
      </c>
      <c r="CF169" s="14">
        <v>-1.3091578701334795E-2</v>
      </c>
      <c r="CG169" s="14">
        <v>-6.6666666666667096E-3</v>
      </c>
      <c r="CH169" s="14">
        <v>-3.6</v>
      </c>
      <c r="CI169" s="14">
        <v>6.6000000000000014</v>
      </c>
      <c r="CJ169" s="14">
        <v>6.3999999999999986</v>
      </c>
      <c r="CK169" s="14">
        <v>-0.40000000000000036</v>
      </c>
      <c r="CL169" s="14">
        <v>12.400000000000006</v>
      </c>
      <c r="CM169" s="14">
        <v>10.600000000000001</v>
      </c>
      <c r="CN169" s="14">
        <v>0</v>
      </c>
      <c r="CO169" s="14">
        <v>64.600000000000023</v>
      </c>
      <c r="CP169" s="14">
        <v>86.399999999999977</v>
      </c>
      <c r="CQ169" s="14">
        <v>-18</v>
      </c>
      <c r="CR169" s="14">
        <v>5.6</v>
      </c>
      <c r="CS169" s="14">
        <v>-9.3999999999999986</v>
      </c>
      <c r="CT169" t="s">
        <v>260</v>
      </c>
      <c r="CU169" t="s">
        <v>476</v>
      </c>
    </row>
    <row r="170" spans="1:99" x14ac:dyDescent="0.2">
      <c r="A170" s="19">
        <v>44122</v>
      </c>
      <c r="B170">
        <v>6</v>
      </c>
      <c r="C170" s="13" t="s">
        <v>252</v>
      </c>
      <c r="D170" s="41" t="s">
        <v>296</v>
      </c>
      <c r="E170" s="14" t="s">
        <v>306</v>
      </c>
      <c r="F170" t="s">
        <v>602</v>
      </c>
      <c r="G170">
        <v>14.88</v>
      </c>
      <c r="H170" t="s">
        <v>605</v>
      </c>
      <c r="I170">
        <v>6.7</v>
      </c>
      <c r="J170">
        <v>18</v>
      </c>
      <c r="K170">
        <v>61</v>
      </c>
      <c r="L170">
        <v>2</v>
      </c>
      <c r="M170" t="s">
        <v>604</v>
      </c>
      <c r="N170">
        <v>2</v>
      </c>
      <c r="O170">
        <v>0</v>
      </c>
      <c r="P170">
        <v>0</v>
      </c>
      <c r="Q170">
        <v>1</v>
      </c>
      <c r="R170" t="s">
        <v>115</v>
      </c>
      <c r="S170">
        <v>11.8</v>
      </c>
      <c r="T170">
        <v>41</v>
      </c>
      <c r="U170">
        <v>4</v>
      </c>
      <c r="V170" t="s">
        <v>139</v>
      </c>
      <c r="W170">
        <v>2.1</v>
      </c>
      <c r="X170">
        <v>11</v>
      </c>
      <c r="Y170">
        <v>1</v>
      </c>
      <c r="Z170" t="s">
        <v>606</v>
      </c>
      <c r="AA170">
        <v>1.8</v>
      </c>
      <c r="AB170">
        <v>8</v>
      </c>
      <c r="AC170">
        <v>3</v>
      </c>
      <c r="AD170">
        <v>8.6</v>
      </c>
      <c r="AE170">
        <v>46</v>
      </c>
      <c r="AF170">
        <v>4</v>
      </c>
      <c r="AG170" t="s">
        <v>16</v>
      </c>
      <c r="AH170">
        <v>5</v>
      </c>
      <c r="AI170">
        <v>30</v>
      </c>
      <c r="AJ170">
        <v>3</v>
      </c>
      <c r="AK170">
        <v>8</v>
      </c>
      <c r="AL170">
        <v>2</v>
      </c>
      <c r="AM170">
        <v>14</v>
      </c>
      <c r="AN170" s="21">
        <v>0.47619047619047616</v>
      </c>
      <c r="AO170" s="21">
        <v>4.7619047619047616E-2</v>
      </c>
      <c r="AP170" s="21">
        <v>0.5</v>
      </c>
      <c r="AQ170" s="35">
        <v>4</v>
      </c>
      <c r="AR170" s="35">
        <v>19</v>
      </c>
      <c r="AS170" s="35">
        <v>18</v>
      </c>
      <c r="AT170" s="35">
        <v>7</v>
      </c>
      <c r="AU170" s="35">
        <v>46</v>
      </c>
      <c r="AV170" s="35">
        <v>13</v>
      </c>
      <c r="AW170" s="35">
        <v>7</v>
      </c>
      <c r="AX170">
        <v>244</v>
      </c>
      <c r="AY170" s="35">
        <v>112</v>
      </c>
      <c r="AZ170" s="35">
        <v>61</v>
      </c>
      <c r="BA170" s="35">
        <v>-3</v>
      </c>
      <c r="BB170" s="35">
        <v>74</v>
      </c>
      <c r="BC170" t="s">
        <v>306</v>
      </c>
      <c r="BD170" s="14">
        <v>-8.4680000000000017</v>
      </c>
      <c r="BE170" s="14">
        <v>-8.84</v>
      </c>
      <c r="BF170" s="14">
        <v>2</v>
      </c>
      <c r="BG170" s="14">
        <v>-4.4000000000000057</v>
      </c>
      <c r="BH170" s="14">
        <v>0</v>
      </c>
      <c r="BI170" s="14">
        <v>-4.1199999999999992</v>
      </c>
      <c r="BJ170" s="14">
        <v>-7.4</v>
      </c>
      <c r="BK170" s="14">
        <v>-29.8</v>
      </c>
      <c r="BL170" s="14">
        <v>-0.60000000000000009</v>
      </c>
      <c r="BM170" s="14">
        <v>-2.6400000000000006</v>
      </c>
      <c r="BN170" s="14">
        <v>-24</v>
      </c>
      <c r="BO170" s="14">
        <v>-2.4000000000000004</v>
      </c>
      <c r="BP170" s="14">
        <v>-5.52</v>
      </c>
      <c r="BQ170" s="14">
        <v>-27.200000000000003</v>
      </c>
      <c r="BR170" s="14">
        <v>-3.8</v>
      </c>
      <c r="BS170" s="14">
        <v>-2.2800000000000002</v>
      </c>
      <c r="BT170" s="14">
        <v>-18.2</v>
      </c>
      <c r="BU170" s="14">
        <v>0.20000000000000018</v>
      </c>
      <c r="BV170" s="14">
        <v>-6.2800000000000011</v>
      </c>
      <c r="BW170" s="14">
        <v>-20.799999999999997</v>
      </c>
      <c r="BX170" s="14">
        <v>-3</v>
      </c>
      <c r="BY170" s="48">
        <v>-4.7600000000000016</v>
      </c>
      <c r="BZ170" s="14">
        <v>-15.600000000000001</v>
      </c>
      <c r="CA170" s="14">
        <v>-0.60000000000000009</v>
      </c>
      <c r="CB170" s="14">
        <v>-1.1999999999999993</v>
      </c>
      <c r="CC170" s="14">
        <v>0.19999999999999996</v>
      </c>
      <c r="CD170" s="14">
        <v>3</v>
      </c>
      <c r="CE170" s="14">
        <v>0.14686069937814122</v>
      </c>
      <c r="CF170" s="14">
        <v>-5.4928656614703156E-3</v>
      </c>
      <c r="CG170" s="14">
        <v>-1.8095238095238164E-2</v>
      </c>
      <c r="CH170" s="14">
        <v>1</v>
      </c>
      <c r="CI170" s="14">
        <v>-7.3999999999999986</v>
      </c>
      <c r="CJ170" s="14">
        <v>-8</v>
      </c>
      <c r="CK170" s="14">
        <v>1.2000000000000002</v>
      </c>
      <c r="CL170" s="14">
        <v>-14.600000000000001</v>
      </c>
      <c r="CM170" s="14">
        <v>-14.600000000000001</v>
      </c>
      <c r="CN170" s="14">
        <v>5.6</v>
      </c>
      <c r="CO170" s="14">
        <v>-111.80000000000001</v>
      </c>
      <c r="CP170" s="14">
        <v>-99.199999999999989</v>
      </c>
      <c r="CQ170" s="14">
        <v>-43.400000000000006</v>
      </c>
      <c r="CR170" s="14">
        <v>-3.6</v>
      </c>
      <c r="CS170" s="14">
        <v>34.4</v>
      </c>
      <c r="CT170" t="s">
        <v>283</v>
      </c>
      <c r="CU170" t="s">
        <v>454</v>
      </c>
    </row>
    <row r="171" spans="1:99" x14ac:dyDescent="0.2">
      <c r="A171" s="19">
        <v>44122</v>
      </c>
      <c r="B171">
        <v>6</v>
      </c>
      <c r="C171" s="13" t="s">
        <v>252</v>
      </c>
      <c r="D171" s="41" t="s">
        <v>297</v>
      </c>
      <c r="E171" s="14" t="s">
        <v>299</v>
      </c>
      <c r="F171" t="s">
        <v>609</v>
      </c>
      <c r="G171">
        <v>20.12</v>
      </c>
      <c r="H171" t="s">
        <v>610</v>
      </c>
      <c r="I171">
        <v>15.3</v>
      </c>
      <c r="J171">
        <v>12</v>
      </c>
      <c r="K171">
        <v>29</v>
      </c>
      <c r="L171">
        <v>4</v>
      </c>
      <c r="M171" t="s">
        <v>615</v>
      </c>
      <c r="N171">
        <v>4.5</v>
      </c>
      <c r="O171">
        <v>0</v>
      </c>
      <c r="P171">
        <v>0</v>
      </c>
      <c r="Q171">
        <v>4</v>
      </c>
      <c r="R171" t="s">
        <v>612</v>
      </c>
      <c r="S171">
        <v>11.5</v>
      </c>
      <c r="T171">
        <v>45</v>
      </c>
      <c r="U171">
        <v>14</v>
      </c>
      <c r="V171" t="s">
        <v>616</v>
      </c>
      <c r="W171">
        <v>23.3</v>
      </c>
      <c r="X171">
        <v>143</v>
      </c>
      <c r="Y171">
        <v>9</v>
      </c>
      <c r="Z171" t="s">
        <v>613</v>
      </c>
      <c r="AA171">
        <v>4.0999999999999996</v>
      </c>
      <c r="AB171">
        <v>10</v>
      </c>
      <c r="AC171">
        <v>7</v>
      </c>
      <c r="AD171">
        <v>14.6</v>
      </c>
      <c r="AE171">
        <v>86</v>
      </c>
      <c r="AF171">
        <v>13</v>
      </c>
      <c r="AG171" t="s">
        <v>617</v>
      </c>
      <c r="AH171">
        <v>0</v>
      </c>
      <c r="AI171">
        <v>0</v>
      </c>
      <c r="AJ171">
        <v>0</v>
      </c>
      <c r="AK171">
        <v>3</v>
      </c>
      <c r="AL171">
        <v>2</v>
      </c>
      <c r="AM171">
        <v>1</v>
      </c>
      <c r="AN171" s="21">
        <v>0.34042553191489361</v>
      </c>
      <c r="AO171" s="21">
        <v>2.1276595744680851E-2</v>
      </c>
      <c r="AP171" s="21">
        <v>0.69230769230769229</v>
      </c>
      <c r="AQ171">
        <v>6</v>
      </c>
      <c r="AR171" s="35">
        <v>44</v>
      </c>
      <c r="AS171" s="35">
        <v>12</v>
      </c>
      <c r="AT171" s="35">
        <v>3</v>
      </c>
      <c r="AU171" s="35">
        <v>61</v>
      </c>
      <c r="AV171" s="35">
        <v>16</v>
      </c>
      <c r="AW171" s="35">
        <v>0</v>
      </c>
      <c r="AX171">
        <v>287</v>
      </c>
      <c r="AY171" s="35">
        <v>243</v>
      </c>
      <c r="AZ171" s="35">
        <v>29</v>
      </c>
      <c r="BA171" s="35">
        <v>1</v>
      </c>
      <c r="BB171" s="35">
        <v>14</v>
      </c>
      <c r="BC171" t="s">
        <v>299</v>
      </c>
      <c r="BD171" s="14">
        <v>-1.370000000000001</v>
      </c>
      <c r="BE171" s="14">
        <v>-8.125</v>
      </c>
      <c r="BF171" s="14">
        <v>-4.75</v>
      </c>
      <c r="BG171" s="14">
        <v>-59.25</v>
      </c>
      <c r="BH171" s="14">
        <v>-0.25</v>
      </c>
      <c r="BI171" s="14">
        <v>-5.375</v>
      </c>
      <c r="BJ171" s="14">
        <v>-6.25</v>
      </c>
      <c r="BK171" s="14">
        <v>-35</v>
      </c>
      <c r="BL171" s="14">
        <v>2</v>
      </c>
      <c r="BM171" s="14">
        <v>-5.2749999999999986</v>
      </c>
      <c r="BN171" s="14">
        <v>-25.25</v>
      </c>
      <c r="BO171" s="14">
        <v>5.25</v>
      </c>
      <c r="BP171" s="14">
        <v>6.2749999999999986</v>
      </c>
      <c r="BQ171" s="14">
        <v>56.25</v>
      </c>
      <c r="BR171" s="14">
        <v>1.75</v>
      </c>
      <c r="BS171" s="14">
        <v>2.0749999999999997</v>
      </c>
      <c r="BT171" s="14">
        <v>5</v>
      </c>
      <c r="BU171" s="14">
        <v>4</v>
      </c>
      <c r="BV171" s="14">
        <v>-3.4249999999999989</v>
      </c>
      <c r="BW171" s="14">
        <v>3.25</v>
      </c>
      <c r="BX171" s="14">
        <v>4</v>
      </c>
      <c r="BY171" s="48">
        <v>-3.5750000000000002</v>
      </c>
      <c r="BZ171" s="14">
        <v>-10.75</v>
      </c>
      <c r="CA171" s="14">
        <v>-1.5</v>
      </c>
      <c r="CB171" s="14">
        <v>-3.5</v>
      </c>
      <c r="CC171" s="14">
        <v>0.75</v>
      </c>
      <c r="CD171" s="14">
        <v>-4.25</v>
      </c>
      <c r="CE171" s="14">
        <v>8.1736475353496596E-2</v>
      </c>
      <c r="CF171" s="14">
        <v>-1.6893586042522214E-2</v>
      </c>
      <c r="CG171" s="14">
        <v>-6.8269230769230749E-2</v>
      </c>
      <c r="CH171" s="14">
        <v>3.5</v>
      </c>
      <c r="CI171" s="14">
        <v>10.5</v>
      </c>
      <c r="CJ171" s="14">
        <v>-12.5</v>
      </c>
      <c r="CK171" s="14">
        <v>-1.5</v>
      </c>
      <c r="CL171" s="14">
        <v>-3.75</v>
      </c>
      <c r="CM171" s="14">
        <v>-11.25</v>
      </c>
      <c r="CN171" s="14">
        <v>-1.75</v>
      </c>
      <c r="CO171" s="14">
        <v>-106.75</v>
      </c>
      <c r="CP171" s="14">
        <v>-6.75</v>
      </c>
      <c r="CQ171" s="14">
        <v>-99.5</v>
      </c>
      <c r="CR171" s="14">
        <v>-0.25</v>
      </c>
      <c r="CS171" s="14">
        <v>-0.25</v>
      </c>
      <c r="CT171" t="s">
        <v>258</v>
      </c>
      <c r="CU171" t="s">
        <v>478</v>
      </c>
    </row>
    <row r="172" spans="1:99" x14ac:dyDescent="0.2">
      <c r="A172" s="19">
        <v>44122</v>
      </c>
      <c r="B172">
        <v>6</v>
      </c>
      <c r="C172" s="13" t="s">
        <v>252</v>
      </c>
      <c r="D172" s="41" t="s">
        <v>298</v>
      </c>
      <c r="E172" s="14" t="s">
        <v>293</v>
      </c>
      <c r="F172" t="s">
        <v>623</v>
      </c>
      <c r="G172">
        <v>6.44</v>
      </c>
      <c r="H172" t="s">
        <v>620</v>
      </c>
      <c r="I172">
        <v>11</v>
      </c>
      <c r="J172">
        <v>11</v>
      </c>
      <c r="K172">
        <v>46</v>
      </c>
      <c r="L172">
        <v>4</v>
      </c>
      <c r="M172" t="s">
        <v>619</v>
      </c>
      <c r="N172">
        <v>5.6</v>
      </c>
      <c r="O172">
        <v>7</v>
      </c>
      <c r="P172">
        <v>27</v>
      </c>
      <c r="Q172">
        <v>3</v>
      </c>
      <c r="R172" t="s">
        <v>26</v>
      </c>
      <c r="S172">
        <v>11.8</v>
      </c>
      <c r="T172">
        <v>48</v>
      </c>
      <c r="U172">
        <v>13</v>
      </c>
      <c r="V172" t="s">
        <v>21</v>
      </c>
      <c r="W172">
        <v>10.199999999999999</v>
      </c>
      <c r="X172">
        <v>62</v>
      </c>
      <c r="Y172">
        <v>8</v>
      </c>
      <c r="Z172" t="s">
        <v>624</v>
      </c>
      <c r="AA172">
        <v>1.8</v>
      </c>
      <c r="AB172">
        <v>8</v>
      </c>
      <c r="AC172">
        <v>4</v>
      </c>
      <c r="AD172">
        <v>17.7</v>
      </c>
      <c r="AE172">
        <v>87</v>
      </c>
      <c r="AF172">
        <v>13</v>
      </c>
      <c r="AG172" t="s">
        <v>625</v>
      </c>
      <c r="AH172">
        <v>3.7</v>
      </c>
      <c r="AI172">
        <v>17</v>
      </c>
      <c r="AJ172">
        <v>3</v>
      </c>
      <c r="AK172">
        <v>-1</v>
      </c>
      <c r="AL172">
        <v>1</v>
      </c>
      <c r="AM172">
        <v>6</v>
      </c>
      <c r="AN172" s="21">
        <v>0.48936170212765956</v>
      </c>
      <c r="AO172" s="21">
        <v>6.3829787234042548E-2</v>
      </c>
      <c r="AP172" s="21">
        <v>0.5</v>
      </c>
      <c r="AQ172" s="35">
        <v>15</v>
      </c>
      <c r="AR172" s="35">
        <v>44</v>
      </c>
      <c r="AS172" s="35">
        <v>21</v>
      </c>
      <c r="AT172" s="35">
        <v>1</v>
      </c>
      <c r="AU172" s="35">
        <v>67</v>
      </c>
      <c r="AV172" s="35"/>
      <c r="AW172" s="35">
        <v>0</v>
      </c>
      <c r="AX172">
        <v>301</v>
      </c>
      <c r="AY172" s="35">
        <v>186</v>
      </c>
      <c r="AZ172" s="35">
        <v>115</v>
      </c>
      <c r="BA172" s="35">
        <v>0</v>
      </c>
      <c r="BB172" s="35">
        <v>0</v>
      </c>
      <c r="BC172" t="s">
        <v>293</v>
      </c>
      <c r="BD172" s="14">
        <v>-11.135999999999999</v>
      </c>
      <c r="BE172" s="14">
        <v>-7.2799999999999976</v>
      </c>
      <c r="BF172" s="14">
        <v>-0.80000000000000071</v>
      </c>
      <c r="BG172" s="14">
        <v>-17.600000000000001</v>
      </c>
      <c r="BH172" s="14">
        <v>0</v>
      </c>
      <c r="BI172" s="14">
        <v>-0.12000000000000099</v>
      </c>
      <c r="BJ172" s="14">
        <v>2</v>
      </c>
      <c r="BK172" s="14">
        <v>7.1999999999999993</v>
      </c>
      <c r="BL172" s="14">
        <v>0.79999999999999982</v>
      </c>
      <c r="BM172" s="14">
        <v>-0.71999999999999886</v>
      </c>
      <c r="BN172" s="14">
        <v>-10.399999999999999</v>
      </c>
      <c r="BO172" s="14">
        <v>4.1999999999999993</v>
      </c>
      <c r="BP172" s="14">
        <v>-2.1400000000000006</v>
      </c>
      <c r="BQ172" s="14">
        <v>-5.4000000000000057</v>
      </c>
      <c r="BR172" s="14">
        <v>1.5999999999999996</v>
      </c>
      <c r="BS172" s="14">
        <v>-8.14</v>
      </c>
      <c r="BT172" s="14">
        <v>-39.4</v>
      </c>
      <c r="BU172" s="14">
        <v>-1.2000000000000002</v>
      </c>
      <c r="BV172" s="14">
        <v>-2.240000000000002</v>
      </c>
      <c r="BW172" s="14">
        <v>-4.4000000000000057</v>
      </c>
      <c r="BX172" s="14">
        <v>0.80000000000000071</v>
      </c>
      <c r="BY172" s="48">
        <v>-1.7600000000000007</v>
      </c>
      <c r="BZ172" s="14">
        <v>-11.600000000000001</v>
      </c>
      <c r="CA172" s="14">
        <v>-1.7999999999999998</v>
      </c>
      <c r="CB172" s="14">
        <v>-5.2</v>
      </c>
      <c r="CC172" s="14">
        <v>0.19999999999999996</v>
      </c>
      <c r="CD172" s="14">
        <v>3.8</v>
      </c>
      <c r="CE172" s="14">
        <v>9.7479433406485072E-2</v>
      </c>
      <c r="CF172" s="14">
        <v>-6.4789170412270641E-3</v>
      </c>
      <c r="CG172" s="14">
        <v>-0.18515151515151518</v>
      </c>
      <c r="CH172" s="14">
        <v>6.1999999999999993</v>
      </c>
      <c r="CI172" s="14">
        <v>6</v>
      </c>
      <c r="CJ172" s="14">
        <v>3</v>
      </c>
      <c r="CK172" s="14">
        <v>-1.4</v>
      </c>
      <c r="CL172" s="14">
        <v>5</v>
      </c>
      <c r="CM172" s="14">
        <v>-18.399999999999999</v>
      </c>
      <c r="CN172" s="14">
        <v>0</v>
      </c>
      <c r="CO172" s="14">
        <v>-87</v>
      </c>
      <c r="CP172" s="14">
        <v>-95.399999999999977</v>
      </c>
      <c r="CQ172" s="14">
        <v>18.400000000000006</v>
      </c>
      <c r="CR172" s="14">
        <v>-0.8</v>
      </c>
      <c r="CS172" s="14">
        <v>-9.1999999999999993</v>
      </c>
      <c r="CT172" t="s">
        <v>264</v>
      </c>
      <c r="CU172" t="s">
        <v>468</v>
      </c>
    </row>
    <row r="173" spans="1:99" x14ac:dyDescent="0.2">
      <c r="A173" s="19">
        <v>44122</v>
      </c>
      <c r="B173">
        <v>6</v>
      </c>
      <c r="C173" s="13" t="s">
        <v>252</v>
      </c>
      <c r="D173" s="41" t="s">
        <v>299</v>
      </c>
      <c r="E173" s="14" t="s">
        <v>297</v>
      </c>
      <c r="F173" t="s">
        <v>631</v>
      </c>
      <c r="G173">
        <v>13.32</v>
      </c>
      <c r="H173" t="s">
        <v>632</v>
      </c>
      <c r="I173">
        <v>30.3</v>
      </c>
      <c r="J173">
        <v>14</v>
      </c>
      <c r="K173">
        <v>116</v>
      </c>
      <c r="L173">
        <v>4</v>
      </c>
      <c r="M173" t="s">
        <v>633</v>
      </c>
      <c r="N173">
        <v>12.8</v>
      </c>
      <c r="O173">
        <v>15</v>
      </c>
      <c r="P173">
        <v>40</v>
      </c>
      <c r="Q173">
        <v>1</v>
      </c>
      <c r="R173" t="s">
        <v>156</v>
      </c>
      <c r="S173">
        <v>17.5</v>
      </c>
      <c r="T173">
        <v>105</v>
      </c>
      <c r="U173">
        <v>6</v>
      </c>
      <c r="V173" t="s">
        <v>98</v>
      </c>
      <c r="W173">
        <v>5.0999999999999996</v>
      </c>
      <c r="X173">
        <v>31</v>
      </c>
      <c r="Y173">
        <v>2</v>
      </c>
      <c r="Z173" t="s">
        <v>55</v>
      </c>
      <c r="AA173">
        <v>2.8</v>
      </c>
      <c r="AB173">
        <v>8</v>
      </c>
      <c r="AC173">
        <v>5</v>
      </c>
      <c r="AD173">
        <v>15.1</v>
      </c>
      <c r="AE173">
        <v>41</v>
      </c>
      <c r="AF173">
        <v>8</v>
      </c>
      <c r="AG173" t="s">
        <v>634</v>
      </c>
      <c r="AH173">
        <v>9.6999999999999993</v>
      </c>
      <c r="AI173">
        <v>17</v>
      </c>
      <c r="AJ173">
        <v>5</v>
      </c>
      <c r="AK173">
        <v>10</v>
      </c>
      <c r="AL173">
        <v>3</v>
      </c>
      <c r="AM173">
        <v>6</v>
      </c>
      <c r="AN173" s="21">
        <v>0.28125</v>
      </c>
      <c r="AO173" s="21">
        <v>0</v>
      </c>
      <c r="AP173" s="21">
        <v>0.625</v>
      </c>
      <c r="AQ173" s="35">
        <v>1</v>
      </c>
      <c r="AR173" s="35">
        <v>31</v>
      </c>
      <c r="AS173" s="35">
        <v>33</v>
      </c>
      <c r="AT173" s="35">
        <v>5</v>
      </c>
      <c r="AU173" s="35">
        <v>70</v>
      </c>
      <c r="AV173" s="35">
        <v>34</v>
      </c>
      <c r="AW173" s="35">
        <v>0</v>
      </c>
      <c r="AX173">
        <v>403</v>
      </c>
      <c r="AY173" s="35">
        <v>223</v>
      </c>
      <c r="AZ173" s="35">
        <v>165</v>
      </c>
      <c r="BA173" s="35">
        <v>1</v>
      </c>
      <c r="BB173" s="35">
        <v>14</v>
      </c>
      <c r="BC173" t="s">
        <v>297</v>
      </c>
      <c r="BD173" s="14">
        <v>-9.5280000000000022</v>
      </c>
      <c r="BE173" s="14">
        <v>7.98</v>
      </c>
      <c r="BF173" s="14">
        <v>-6.6000000000000014</v>
      </c>
      <c r="BG173" s="14">
        <v>13.400000000000006</v>
      </c>
      <c r="BH173" s="14">
        <v>-0.20000000000000018</v>
      </c>
      <c r="BI173" s="14">
        <v>7.8800000000000008</v>
      </c>
      <c r="BJ173" s="14">
        <v>10</v>
      </c>
      <c r="BK173" s="14">
        <v>24.6</v>
      </c>
      <c r="BL173" s="14">
        <v>0.6</v>
      </c>
      <c r="BM173" s="14">
        <v>2.6600000000000019</v>
      </c>
      <c r="BN173" s="14">
        <v>35.400000000000006</v>
      </c>
      <c r="BO173" s="14">
        <v>-0.40000000000000036</v>
      </c>
      <c r="BP173" s="14">
        <v>-7.7000000000000011</v>
      </c>
      <c r="BQ173" s="14">
        <v>-19</v>
      </c>
      <c r="BR173" s="14">
        <v>-3.4000000000000004</v>
      </c>
      <c r="BS173" s="14">
        <v>-4.8</v>
      </c>
      <c r="BT173" s="14">
        <v>-27.4</v>
      </c>
      <c r="BU173" s="14">
        <v>0.79999999999999982</v>
      </c>
      <c r="BV173" s="14">
        <v>-13.679999999999994</v>
      </c>
      <c r="BW173" s="14">
        <v>-66.8</v>
      </c>
      <c r="BX173" s="14">
        <v>-2.5999999999999996</v>
      </c>
      <c r="BY173" s="48">
        <v>-3.0999999999999996</v>
      </c>
      <c r="BZ173" s="14">
        <v>-27</v>
      </c>
      <c r="CA173" s="14">
        <v>1</v>
      </c>
      <c r="CB173" s="14">
        <v>-1.8000000000000007</v>
      </c>
      <c r="CC173" s="14">
        <v>0.39999999999999991</v>
      </c>
      <c r="CD173" s="14">
        <v>-1.4000000000000004</v>
      </c>
      <c r="CE173" s="14">
        <v>-2.2820662768031186E-2</v>
      </c>
      <c r="CF173" s="14">
        <v>-2.0670565302144249E-2</v>
      </c>
      <c r="CG173" s="14">
        <v>-8.8888888888888795E-2</v>
      </c>
      <c r="CH173" s="14">
        <v>-0.39999999999999991</v>
      </c>
      <c r="CI173" s="14">
        <v>1.8000000000000007</v>
      </c>
      <c r="CJ173" s="14">
        <v>5.6000000000000014</v>
      </c>
      <c r="CK173" s="14">
        <v>0.59999999999999964</v>
      </c>
      <c r="CL173" s="14">
        <v>7</v>
      </c>
      <c r="CM173" s="14">
        <v>1.7999999999999972</v>
      </c>
      <c r="CN173" s="14">
        <v>0</v>
      </c>
      <c r="CO173" s="14">
        <v>-8.1999999999999886</v>
      </c>
      <c r="CP173" s="14">
        <v>-33.199999999999989</v>
      </c>
      <c r="CQ173" s="14">
        <v>43</v>
      </c>
      <c r="CR173" s="14">
        <v>-12</v>
      </c>
      <c r="CS173" s="14">
        <v>-6</v>
      </c>
      <c r="CT173" t="s">
        <v>474</v>
      </c>
      <c r="CU173" t="s">
        <v>475</v>
      </c>
    </row>
    <row r="174" spans="1:99" x14ac:dyDescent="0.2">
      <c r="A174" s="19">
        <v>44122</v>
      </c>
      <c r="B174">
        <v>6</v>
      </c>
      <c r="C174" s="13" t="s">
        <v>252</v>
      </c>
      <c r="D174" s="41" t="s">
        <v>300</v>
      </c>
      <c r="E174" s="14" t="s">
        <v>284</v>
      </c>
      <c r="F174" t="s">
        <v>637</v>
      </c>
      <c r="G174">
        <v>5.8</v>
      </c>
      <c r="H174" t="s">
        <v>642</v>
      </c>
      <c r="I174">
        <v>13.1</v>
      </c>
      <c r="J174">
        <v>10</v>
      </c>
      <c r="K174">
        <v>15</v>
      </c>
      <c r="L174">
        <v>5</v>
      </c>
      <c r="M174" t="s">
        <v>638</v>
      </c>
      <c r="N174">
        <v>3.4</v>
      </c>
      <c r="O174">
        <v>4</v>
      </c>
      <c r="P174">
        <v>34</v>
      </c>
      <c r="Q174">
        <v>1</v>
      </c>
      <c r="R174" t="s">
        <v>57</v>
      </c>
      <c r="S174">
        <v>12.1</v>
      </c>
      <c r="T174">
        <v>61</v>
      </c>
      <c r="U174">
        <v>10</v>
      </c>
      <c r="V174" t="s">
        <v>58</v>
      </c>
      <c r="W174">
        <v>6.2</v>
      </c>
      <c r="X174">
        <v>32</v>
      </c>
      <c r="Y174">
        <v>5</v>
      </c>
      <c r="Z174" t="s">
        <v>643</v>
      </c>
      <c r="AA174">
        <v>2.6</v>
      </c>
      <c r="AB174">
        <v>16</v>
      </c>
      <c r="AC174">
        <v>1</v>
      </c>
      <c r="AD174">
        <v>13.4</v>
      </c>
      <c r="AE174">
        <v>64</v>
      </c>
      <c r="AF174">
        <v>14</v>
      </c>
      <c r="AG174" t="s">
        <v>641</v>
      </c>
      <c r="AH174">
        <v>5.5</v>
      </c>
      <c r="AI174">
        <v>25</v>
      </c>
      <c r="AJ174">
        <v>4</v>
      </c>
      <c r="AK174">
        <v>4</v>
      </c>
      <c r="AL174">
        <v>1</v>
      </c>
      <c r="AM174">
        <v>-1</v>
      </c>
      <c r="AN174" s="21">
        <v>0.43902439024390244</v>
      </c>
      <c r="AO174" s="21">
        <v>9.7560975609756101E-2</v>
      </c>
      <c r="AP174" s="21">
        <v>0.44444444444444442</v>
      </c>
      <c r="AQ174" s="35">
        <v>19</v>
      </c>
      <c r="AR174" s="35">
        <v>35</v>
      </c>
      <c r="AS174" s="35">
        <v>19</v>
      </c>
      <c r="AT174" s="35">
        <v>2</v>
      </c>
      <c r="AU174" s="35">
        <v>61</v>
      </c>
      <c r="AV174" s="35">
        <v>10</v>
      </c>
      <c r="AW174" s="35">
        <v>0</v>
      </c>
      <c r="AX174">
        <v>254</v>
      </c>
      <c r="AY174" s="35">
        <v>160</v>
      </c>
      <c r="AZ174" s="35">
        <v>80</v>
      </c>
      <c r="BA174" s="35">
        <v>0</v>
      </c>
      <c r="BB174" s="35">
        <v>14</v>
      </c>
      <c r="BC174" t="s">
        <v>284</v>
      </c>
      <c r="BD174" s="14">
        <v>-8.1319999999999979</v>
      </c>
      <c r="BE174" s="14">
        <v>-0.30000000000000071</v>
      </c>
      <c r="BF174" s="14">
        <v>0.40000000000000036</v>
      </c>
      <c r="BG174" s="14">
        <v>-13.2</v>
      </c>
      <c r="BH174" s="14">
        <v>0</v>
      </c>
      <c r="BI174" s="14">
        <v>-2.5399999999999996</v>
      </c>
      <c r="BJ174" s="14">
        <v>0.79999999999999982</v>
      </c>
      <c r="BK174" s="14">
        <v>24.8</v>
      </c>
      <c r="BL174" s="14">
        <v>-1.7999999999999998</v>
      </c>
      <c r="BM174" s="14">
        <v>-3.4399999999999977</v>
      </c>
      <c r="BN174" s="14">
        <v>-14.400000000000006</v>
      </c>
      <c r="BO174" s="14">
        <v>-1.4000000000000004</v>
      </c>
      <c r="BP174" s="14">
        <v>-6.7</v>
      </c>
      <c r="BQ174" s="14">
        <v>-27</v>
      </c>
      <c r="BR174" s="14">
        <v>-0.40000000000000036</v>
      </c>
      <c r="BS174" s="14">
        <v>-3.4200000000000004</v>
      </c>
      <c r="BT174" s="14">
        <v>-9.3999999999999986</v>
      </c>
      <c r="BU174" s="14">
        <v>-1.7999999999999998</v>
      </c>
      <c r="BV174" s="14">
        <v>-4.1199999999999992</v>
      </c>
      <c r="BW174" s="14">
        <v>-21.200000000000003</v>
      </c>
      <c r="BX174" s="14">
        <v>3.1999999999999993</v>
      </c>
      <c r="BY174" s="48">
        <v>-1.160000000000001</v>
      </c>
      <c r="BZ174" s="14">
        <v>-3.6000000000000014</v>
      </c>
      <c r="CA174" s="14">
        <v>-0.40000000000000036</v>
      </c>
      <c r="CB174" s="14">
        <v>-2.4000000000000004</v>
      </c>
      <c r="CC174" s="14">
        <v>-0.39999999999999991</v>
      </c>
      <c r="CD174" s="14">
        <v>-4.2</v>
      </c>
      <c r="CE174" s="14">
        <v>1.7220979546552551E-2</v>
      </c>
      <c r="CF174" s="14">
        <v>4.1138330678978097E-3</v>
      </c>
      <c r="CG174" s="14">
        <v>-0.22734487734487741</v>
      </c>
      <c r="CH174" s="14">
        <v>6.4</v>
      </c>
      <c r="CI174" s="14">
        <v>-1.6000000000000014</v>
      </c>
      <c r="CJ174" s="14">
        <v>3.8000000000000007</v>
      </c>
      <c r="CK174" s="14">
        <v>-0.20000000000000018</v>
      </c>
      <c r="CL174" s="14">
        <v>0.20000000000000284</v>
      </c>
      <c r="CM174" s="14">
        <v>-6.1999999999999993</v>
      </c>
      <c r="CN174" s="14">
        <v>-1.4</v>
      </c>
      <c r="CO174" s="14">
        <v>-64.399999999999977</v>
      </c>
      <c r="CP174" s="14">
        <v>-97.800000000000011</v>
      </c>
      <c r="CQ174" s="14">
        <v>33.799999999999997</v>
      </c>
      <c r="CR174" s="14">
        <v>-6.2</v>
      </c>
      <c r="CS174" s="14">
        <v>5.8000000000000007</v>
      </c>
      <c r="CT174" t="s">
        <v>243</v>
      </c>
      <c r="CU174" t="s">
        <v>486</v>
      </c>
    </row>
    <row r="175" spans="1:99" x14ac:dyDescent="0.2">
      <c r="A175" s="19">
        <v>44122</v>
      </c>
      <c r="B175">
        <v>6</v>
      </c>
      <c r="C175" s="13" t="s">
        <v>252</v>
      </c>
      <c r="D175" s="41" t="s">
        <v>301</v>
      </c>
      <c r="E175" s="14" t="s">
        <v>265</v>
      </c>
      <c r="F175" t="s">
        <v>645</v>
      </c>
      <c r="G175">
        <v>11.44</v>
      </c>
      <c r="H175" t="s">
        <v>646</v>
      </c>
      <c r="I175">
        <v>12.5</v>
      </c>
      <c r="J175">
        <v>18</v>
      </c>
      <c r="K175">
        <v>52</v>
      </c>
      <c r="L175">
        <v>3</v>
      </c>
      <c r="M175" t="s">
        <v>647</v>
      </c>
      <c r="N175">
        <v>4.7</v>
      </c>
      <c r="O175">
        <v>3</v>
      </c>
      <c r="P175">
        <v>12</v>
      </c>
      <c r="Q175">
        <v>2</v>
      </c>
      <c r="R175" t="s">
        <v>27</v>
      </c>
      <c r="S175">
        <v>11.7</v>
      </c>
      <c r="T175">
        <v>77</v>
      </c>
      <c r="U175">
        <v>5</v>
      </c>
      <c r="V175" t="s">
        <v>85</v>
      </c>
      <c r="W175">
        <v>14.3</v>
      </c>
      <c r="X175">
        <v>93</v>
      </c>
      <c r="Y175">
        <v>11</v>
      </c>
      <c r="Z175" t="s">
        <v>648</v>
      </c>
      <c r="AA175">
        <v>2.2999999999999998</v>
      </c>
      <c r="AB175">
        <v>13</v>
      </c>
      <c r="AC175">
        <v>2</v>
      </c>
      <c r="AD175">
        <v>7.5</v>
      </c>
      <c r="AE175">
        <v>45</v>
      </c>
      <c r="AF175">
        <v>5</v>
      </c>
      <c r="AG175" t="s">
        <v>167</v>
      </c>
      <c r="AH175">
        <v>1.9</v>
      </c>
      <c r="AI175">
        <v>9</v>
      </c>
      <c r="AJ175">
        <v>1</v>
      </c>
      <c r="AK175">
        <v>10</v>
      </c>
      <c r="AL175">
        <v>4</v>
      </c>
      <c r="AM175">
        <v>2</v>
      </c>
      <c r="AN175" s="21">
        <v>0.3</v>
      </c>
      <c r="AO175" s="21">
        <v>0.1</v>
      </c>
      <c r="AP175" s="21">
        <v>0.5</v>
      </c>
      <c r="AQ175" s="35">
        <v>11</v>
      </c>
      <c r="AR175" s="35">
        <v>29</v>
      </c>
      <c r="AS175" s="35">
        <v>21</v>
      </c>
      <c r="AT175" s="35">
        <v>8</v>
      </c>
      <c r="AU175" s="35">
        <v>62</v>
      </c>
      <c r="AV175" s="35">
        <v>16</v>
      </c>
      <c r="AW175" s="35">
        <v>0</v>
      </c>
      <c r="AX175">
        <v>328</v>
      </c>
      <c r="AY175" s="35">
        <v>216</v>
      </c>
      <c r="AZ175" s="35">
        <v>64</v>
      </c>
      <c r="BA175" s="35">
        <v>0</v>
      </c>
      <c r="BB175" s="35">
        <v>48</v>
      </c>
      <c r="BC175" t="s">
        <v>265</v>
      </c>
      <c r="BD175" s="14">
        <v>5.5999999999999162E-2</v>
      </c>
      <c r="BE175" s="14">
        <v>-1.639999999999997</v>
      </c>
      <c r="BF175" s="14">
        <v>2.8000000000000007</v>
      </c>
      <c r="BG175" s="14">
        <v>-13.200000000000003</v>
      </c>
      <c r="BH175" s="14">
        <v>-0.20000000000000018</v>
      </c>
      <c r="BI175" s="14">
        <v>-1.3399999999999999</v>
      </c>
      <c r="BJ175" s="14">
        <v>-2</v>
      </c>
      <c r="BK175" s="14">
        <v>-12.399999999999999</v>
      </c>
      <c r="BL175" s="14">
        <v>-0.20000000000000018</v>
      </c>
      <c r="BM175" s="14">
        <v>-3.9999999999999147E-2</v>
      </c>
      <c r="BN175" s="14">
        <v>17</v>
      </c>
      <c r="BO175" s="14">
        <v>-2.5999999999999996</v>
      </c>
      <c r="BP175" s="14">
        <v>6.8199999999999994</v>
      </c>
      <c r="BQ175" s="14">
        <v>48.2</v>
      </c>
      <c r="BR175" s="14">
        <v>5.6</v>
      </c>
      <c r="BS175" s="14">
        <v>-3.6399999999999997</v>
      </c>
      <c r="BT175" s="14">
        <v>-21.200000000000003</v>
      </c>
      <c r="BU175" s="14">
        <v>-1.7999999999999998</v>
      </c>
      <c r="BV175" s="14">
        <v>-2.74</v>
      </c>
      <c r="BW175" s="14">
        <v>-7.3999999999999986</v>
      </c>
      <c r="BX175" s="14">
        <v>-2.2000000000000002</v>
      </c>
      <c r="BY175" s="48">
        <v>-5.6999999999999993</v>
      </c>
      <c r="BZ175" s="14">
        <v>-19</v>
      </c>
      <c r="CA175" s="14">
        <v>-3</v>
      </c>
      <c r="CB175" s="14">
        <v>-0.19999999999999929</v>
      </c>
      <c r="CC175" s="14">
        <v>0.39999999999999991</v>
      </c>
      <c r="CD175" s="14">
        <v>-3.8</v>
      </c>
      <c r="CE175" s="14">
        <v>-2.4258542875564115E-2</v>
      </c>
      <c r="CF175" s="14">
        <v>3.267569310122502E-2</v>
      </c>
      <c r="CG175" s="14">
        <v>-4.0317460317460307E-2</v>
      </c>
      <c r="CH175" s="14">
        <v>4</v>
      </c>
      <c r="CI175" s="14">
        <v>-6.3999999999999986</v>
      </c>
      <c r="CJ175" s="14">
        <v>-1</v>
      </c>
      <c r="CK175" s="14">
        <v>4.4000000000000004</v>
      </c>
      <c r="CL175" s="14">
        <v>-2.2000000000000028</v>
      </c>
      <c r="CM175" s="14">
        <v>-2.6000000000000014</v>
      </c>
      <c r="CN175" s="14">
        <v>0</v>
      </c>
      <c r="CO175" s="14">
        <v>-7.6000000000000227</v>
      </c>
      <c r="CP175" s="14">
        <v>-11.599999999999994</v>
      </c>
      <c r="CQ175" s="14">
        <v>-28.599999999999994</v>
      </c>
      <c r="CR175" s="14">
        <v>-2.6</v>
      </c>
      <c r="CS175" s="14">
        <v>35.200000000000003</v>
      </c>
      <c r="CT175" t="s">
        <v>236</v>
      </c>
      <c r="CU175" t="s">
        <v>539</v>
      </c>
    </row>
    <row r="176" spans="1:99" x14ac:dyDescent="0.2">
      <c r="A176" s="19">
        <v>44122</v>
      </c>
      <c r="B176">
        <v>6</v>
      </c>
      <c r="C176" s="13" t="s">
        <v>252</v>
      </c>
      <c r="D176" s="41" t="s">
        <v>302</v>
      </c>
      <c r="E176" s="14" t="s">
        <v>278</v>
      </c>
      <c r="F176" t="s">
        <v>652</v>
      </c>
      <c r="G176">
        <v>20.48</v>
      </c>
      <c r="H176" t="s">
        <v>657</v>
      </c>
      <c r="I176">
        <v>15.3</v>
      </c>
      <c r="J176">
        <v>4</v>
      </c>
      <c r="K176">
        <v>8</v>
      </c>
      <c r="L176">
        <v>9</v>
      </c>
      <c r="M176" t="s">
        <v>653</v>
      </c>
      <c r="N176">
        <v>4.3</v>
      </c>
      <c r="O176">
        <v>6</v>
      </c>
      <c r="P176">
        <v>19</v>
      </c>
      <c r="Q176">
        <v>1</v>
      </c>
      <c r="R176" t="s">
        <v>159</v>
      </c>
      <c r="S176">
        <v>4.32</v>
      </c>
      <c r="T176">
        <v>8</v>
      </c>
      <c r="U176">
        <v>6</v>
      </c>
      <c r="V176" t="s">
        <v>73</v>
      </c>
      <c r="W176">
        <v>6.8</v>
      </c>
      <c r="X176">
        <v>38</v>
      </c>
      <c r="Y176">
        <v>4</v>
      </c>
      <c r="Z176" t="s">
        <v>658</v>
      </c>
      <c r="AA176">
        <v>0</v>
      </c>
      <c r="AB176">
        <v>0</v>
      </c>
      <c r="AC176">
        <v>2</v>
      </c>
      <c r="AD176">
        <v>3.9</v>
      </c>
      <c r="AE176">
        <v>19</v>
      </c>
      <c r="AF176">
        <v>5</v>
      </c>
      <c r="AG176" t="s">
        <v>656</v>
      </c>
      <c r="AH176">
        <v>5.8</v>
      </c>
      <c r="AI176">
        <v>38</v>
      </c>
      <c r="AJ176">
        <v>3</v>
      </c>
      <c r="AK176">
        <v>7</v>
      </c>
      <c r="AL176">
        <v>2</v>
      </c>
      <c r="AM176">
        <v>7</v>
      </c>
      <c r="AN176" s="21">
        <v>0.4375</v>
      </c>
      <c r="AO176" s="21">
        <v>0.125</v>
      </c>
      <c r="AP176" s="21">
        <v>0.5</v>
      </c>
      <c r="AQ176" s="35">
        <v>14</v>
      </c>
      <c r="AR176" s="35">
        <v>25</v>
      </c>
      <c r="AS176" s="35">
        <v>15</v>
      </c>
      <c r="AT176" s="35">
        <v>10</v>
      </c>
      <c r="AU176" s="35">
        <v>56</v>
      </c>
      <c r="AV176" s="35">
        <v>12</v>
      </c>
      <c r="AW176" s="35">
        <v>0</v>
      </c>
      <c r="AX176">
        <v>274</v>
      </c>
      <c r="AY176" s="35">
        <v>157</v>
      </c>
      <c r="AZ176" s="35">
        <v>41</v>
      </c>
      <c r="BA176" s="35">
        <v>0</v>
      </c>
      <c r="BB176" s="35">
        <v>76</v>
      </c>
      <c r="BC176" t="s">
        <v>278</v>
      </c>
      <c r="BD176" s="14">
        <v>-2.0699999999999967</v>
      </c>
      <c r="BE176" s="14">
        <v>2.2250000000000014</v>
      </c>
      <c r="BF176" s="14">
        <v>-7.5</v>
      </c>
      <c r="BG176" s="14">
        <v>-41.25</v>
      </c>
      <c r="BH176" s="14">
        <v>4.75</v>
      </c>
      <c r="BI176" s="14">
        <v>1.0499999999999994</v>
      </c>
      <c r="BJ176" s="14">
        <v>2.75</v>
      </c>
      <c r="BK176" s="14">
        <v>10.5</v>
      </c>
      <c r="BL176" s="14">
        <v>-1</v>
      </c>
      <c r="BM176" s="14">
        <v>-12.009999999999998</v>
      </c>
      <c r="BN176" s="14">
        <v>-59</v>
      </c>
      <c r="BO176" s="14">
        <v>-2.75</v>
      </c>
      <c r="BP176" s="14">
        <v>-5.174999999999998</v>
      </c>
      <c r="BQ176" s="14">
        <v>-4.25</v>
      </c>
      <c r="BR176" s="14">
        <v>-2.25</v>
      </c>
      <c r="BS176" s="14">
        <v>-8.8500000000000014</v>
      </c>
      <c r="BT176" s="14">
        <v>-48.5</v>
      </c>
      <c r="BU176" s="14">
        <v>-2.5</v>
      </c>
      <c r="BV176" s="14">
        <v>-11.749999999999998</v>
      </c>
      <c r="BW176" s="14">
        <v>-60</v>
      </c>
      <c r="BX176" s="14">
        <v>-4.25</v>
      </c>
      <c r="BY176" s="48">
        <v>-0.70000000000000107</v>
      </c>
      <c r="BZ176" s="14">
        <v>3</v>
      </c>
      <c r="CA176" s="14">
        <v>-1.5</v>
      </c>
      <c r="CB176" s="14">
        <v>-3</v>
      </c>
      <c r="CC176" s="14">
        <v>-0.5</v>
      </c>
      <c r="CD176" s="14">
        <v>-4.5</v>
      </c>
      <c r="CE176" s="14">
        <v>0.12795187967041394</v>
      </c>
      <c r="CF176" s="14">
        <v>4.7300610303946694E-2</v>
      </c>
      <c r="CG176" s="14">
        <v>-6.7857142857142838E-2</v>
      </c>
      <c r="CH176" s="14">
        <v>6.75</v>
      </c>
      <c r="CI176" s="14">
        <v>-12</v>
      </c>
      <c r="CJ176" s="14">
        <v>-3</v>
      </c>
      <c r="CK176" s="14">
        <v>4</v>
      </c>
      <c r="CL176" s="14">
        <v>-8.75</v>
      </c>
      <c r="CM176" s="14">
        <v>-8.75</v>
      </c>
      <c r="CN176" s="14">
        <v>-2.75</v>
      </c>
      <c r="CO176" s="14">
        <v>-84.5</v>
      </c>
      <c r="CP176" s="14">
        <v>-95.75</v>
      </c>
      <c r="CQ176" s="14">
        <v>-25.25</v>
      </c>
      <c r="CR176" s="14">
        <v>0</v>
      </c>
      <c r="CS176" s="14">
        <v>36.5</v>
      </c>
      <c r="CT176" t="s">
        <v>240</v>
      </c>
      <c r="CU176" t="s">
        <v>540</v>
      </c>
    </row>
    <row r="177" spans="1:99" x14ac:dyDescent="0.2">
      <c r="A177" s="19">
        <v>44122</v>
      </c>
      <c r="B177">
        <v>6</v>
      </c>
      <c r="C177" s="13" t="s">
        <v>252</v>
      </c>
      <c r="D177" s="41" t="s">
        <v>304</v>
      </c>
      <c r="E177" s="14" t="s">
        <v>256</v>
      </c>
      <c r="F177" t="s">
        <v>666</v>
      </c>
      <c r="G177">
        <v>15.92</v>
      </c>
      <c r="H177" t="s">
        <v>667</v>
      </c>
      <c r="I177">
        <v>9.1999999999999993</v>
      </c>
      <c r="J177">
        <v>14</v>
      </c>
      <c r="K177">
        <v>88</v>
      </c>
      <c r="L177">
        <v>0</v>
      </c>
      <c r="M177" t="s">
        <v>668</v>
      </c>
      <c r="N177">
        <v>5.2</v>
      </c>
      <c r="O177">
        <v>2</v>
      </c>
      <c r="P177">
        <v>4</v>
      </c>
      <c r="Q177">
        <v>4</v>
      </c>
      <c r="R177" t="s">
        <v>59</v>
      </c>
      <c r="S177">
        <v>14</v>
      </c>
      <c r="T177">
        <v>29</v>
      </c>
      <c r="U177">
        <v>10</v>
      </c>
      <c r="V177" t="s">
        <v>146</v>
      </c>
      <c r="W177">
        <v>4.0999999999999996</v>
      </c>
      <c r="X177">
        <v>11</v>
      </c>
      <c r="Y177">
        <v>9</v>
      </c>
      <c r="Z177" t="s">
        <v>669</v>
      </c>
      <c r="AA177">
        <v>12.5</v>
      </c>
      <c r="AB177">
        <v>45</v>
      </c>
      <c r="AC177">
        <v>5</v>
      </c>
      <c r="AD177">
        <v>23.1</v>
      </c>
      <c r="AE177">
        <v>61</v>
      </c>
      <c r="AF177">
        <v>8</v>
      </c>
      <c r="AG177" t="s">
        <v>670</v>
      </c>
      <c r="AH177">
        <v>8.6</v>
      </c>
      <c r="AI177">
        <v>56</v>
      </c>
      <c r="AJ177">
        <v>4</v>
      </c>
      <c r="AK177">
        <v>5</v>
      </c>
      <c r="AL177">
        <v>1</v>
      </c>
      <c r="AM177">
        <v>0</v>
      </c>
      <c r="AN177" s="21">
        <v>0.20512820512820512</v>
      </c>
      <c r="AO177" s="21">
        <v>0</v>
      </c>
      <c r="AP177" s="21">
        <v>0.5</v>
      </c>
      <c r="AQ177" s="35">
        <v>5</v>
      </c>
      <c r="AR177" s="35">
        <v>38</v>
      </c>
      <c r="AS177" s="35">
        <v>16</v>
      </c>
      <c r="AT177" s="35">
        <v>1</v>
      </c>
      <c r="AU177" s="35">
        <v>57</v>
      </c>
      <c r="AV177" s="35">
        <v>16</v>
      </c>
      <c r="AW177" s="35">
        <v>0</v>
      </c>
      <c r="AX177">
        <v>311</v>
      </c>
      <c r="AY177" s="35">
        <v>198</v>
      </c>
      <c r="AZ177" s="35">
        <v>92</v>
      </c>
      <c r="BA177" s="35">
        <v>11</v>
      </c>
      <c r="BB177" s="35">
        <v>10</v>
      </c>
      <c r="BC177" t="s">
        <v>256</v>
      </c>
      <c r="BD177" s="14">
        <v>-2.1519999999999992</v>
      </c>
      <c r="BE177" s="14">
        <v>-0.24000000000000021</v>
      </c>
      <c r="BF177" s="14">
        <v>1</v>
      </c>
      <c r="BG177" s="14">
        <v>37.200000000000003</v>
      </c>
      <c r="BH177" s="14">
        <v>-2.8</v>
      </c>
      <c r="BI177" s="14">
        <v>1.2999999999999994</v>
      </c>
      <c r="BJ177" s="14">
        <v>-1.6</v>
      </c>
      <c r="BK177" s="14">
        <v>-5.4</v>
      </c>
      <c r="BL177" s="14">
        <v>2</v>
      </c>
      <c r="BM177" s="14">
        <v>2.0000000000000018</v>
      </c>
      <c r="BN177" s="14">
        <v>-16.799999999999997</v>
      </c>
      <c r="BO177" s="14">
        <v>3.2</v>
      </c>
      <c r="BP177" s="14">
        <v>-8.6000000000000014</v>
      </c>
      <c r="BQ177" s="14">
        <v>-46</v>
      </c>
      <c r="BR177" s="14">
        <v>2.4000000000000004</v>
      </c>
      <c r="BS177" s="14">
        <v>6.16</v>
      </c>
      <c r="BT177" s="14">
        <v>18</v>
      </c>
      <c r="BU177" s="14">
        <v>1.6</v>
      </c>
      <c r="BV177" s="14">
        <v>4.1000000000000014</v>
      </c>
      <c r="BW177" s="14">
        <v>-15</v>
      </c>
      <c r="BX177" s="14">
        <v>-1</v>
      </c>
      <c r="BY177" s="48">
        <v>1.339999999999999</v>
      </c>
      <c r="BZ177" s="14">
        <v>14.200000000000003</v>
      </c>
      <c r="CA177" s="14">
        <v>-0.79999999999999982</v>
      </c>
      <c r="CB177" s="14">
        <v>-5.6</v>
      </c>
      <c r="CC177" s="14">
        <v>-1.4</v>
      </c>
      <c r="CD177" s="14">
        <v>-6.4</v>
      </c>
      <c r="CE177" s="14">
        <v>-0.16373695880337247</v>
      </c>
      <c r="CF177" s="14">
        <v>-4.7861208999728927E-2</v>
      </c>
      <c r="CG177" s="14">
        <v>-0.11904761904761907</v>
      </c>
      <c r="CH177" s="14">
        <v>0</v>
      </c>
      <c r="CI177" s="14">
        <v>6.3999999999999986</v>
      </c>
      <c r="CJ177" s="14">
        <v>-3.1999999999999993</v>
      </c>
      <c r="CK177" s="14">
        <v>-3.4000000000000004</v>
      </c>
      <c r="CL177" s="14">
        <v>-1</v>
      </c>
      <c r="CM177" s="14">
        <v>-3.8000000000000007</v>
      </c>
      <c r="CN177" s="14">
        <v>-1.4</v>
      </c>
      <c r="CO177" s="14">
        <v>-1.6000000000000227</v>
      </c>
      <c r="CP177" s="14">
        <v>-21.800000000000011</v>
      </c>
      <c r="CQ177" s="14">
        <v>28.6</v>
      </c>
      <c r="CR177" s="14">
        <v>8</v>
      </c>
      <c r="CS177" s="14">
        <v>-16.399999999999999</v>
      </c>
      <c r="CT177" t="s">
        <v>257</v>
      </c>
      <c r="CU177" t="s">
        <v>547</v>
      </c>
    </row>
    <row r="178" spans="1:99" x14ac:dyDescent="0.2">
      <c r="A178" s="19">
        <v>44122</v>
      </c>
      <c r="B178">
        <v>6</v>
      </c>
      <c r="C178" s="13" t="s">
        <v>252</v>
      </c>
      <c r="D178" s="41" t="s">
        <v>305</v>
      </c>
      <c r="E178" s="14" t="s">
        <v>294</v>
      </c>
      <c r="F178" t="s">
        <v>673</v>
      </c>
      <c r="G178">
        <v>31.24</v>
      </c>
      <c r="H178" t="s">
        <v>674</v>
      </c>
      <c r="I178">
        <v>8.6</v>
      </c>
      <c r="J178">
        <v>14</v>
      </c>
      <c r="K178">
        <v>26</v>
      </c>
      <c r="L178">
        <v>0</v>
      </c>
      <c r="M178" t="s">
        <v>675</v>
      </c>
      <c r="N178">
        <v>4.9000000000000004</v>
      </c>
      <c r="O178">
        <v>9</v>
      </c>
      <c r="P178">
        <v>28</v>
      </c>
      <c r="Q178">
        <v>4</v>
      </c>
      <c r="R178" t="s">
        <v>4</v>
      </c>
      <c r="S178">
        <v>9.6999999999999993</v>
      </c>
      <c r="T178">
        <v>57</v>
      </c>
      <c r="U178">
        <v>6</v>
      </c>
      <c r="V178" t="s">
        <v>676</v>
      </c>
      <c r="W178">
        <v>6.1</v>
      </c>
      <c r="X178">
        <v>31</v>
      </c>
      <c r="Y178">
        <v>3</v>
      </c>
      <c r="Z178" t="s">
        <v>147</v>
      </c>
      <c r="AA178">
        <v>4.2</v>
      </c>
      <c r="AB178">
        <v>23</v>
      </c>
      <c r="AC178">
        <v>2</v>
      </c>
      <c r="AD178">
        <v>5.4</v>
      </c>
      <c r="AE178">
        <v>24</v>
      </c>
      <c r="AF178">
        <v>6</v>
      </c>
      <c r="AG178" t="s">
        <v>7</v>
      </c>
      <c r="AH178">
        <v>4.0999999999999996</v>
      </c>
      <c r="AI178">
        <v>21</v>
      </c>
      <c r="AJ178">
        <v>4</v>
      </c>
      <c r="AK178">
        <v>16</v>
      </c>
      <c r="AL178">
        <v>3</v>
      </c>
      <c r="AM178">
        <v>7</v>
      </c>
      <c r="AN178" s="21">
        <v>0.42424242424242425</v>
      </c>
      <c r="AO178" s="21">
        <v>9.0909090909090912E-2</v>
      </c>
      <c r="AP178" s="21">
        <v>0.875</v>
      </c>
      <c r="AQ178" s="35">
        <v>2</v>
      </c>
      <c r="AR178" s="35">
        <v>27</v>
      </c>
      <c r="AS178" s="35">
        <v>28</v>
      </c>
      <c r="AT178" s="35">
        <v>9</v>
      </c>
      <c r="AU178" s="35">
        <v>67</v>
      </c>
      <c r="AV178" s="35">
        <v>30</v>
      </c>
      <c r="AW178" s="35">
        <v>0</v>
      </c>
      <c r="AX178">
        <v>368</v>
      </c>
      <c r="AY178" s="35">
        <v>186</v>
      </c>
      <c r="AZ178" s="35">
        <v>74</v>
      </c>
      <c r="BA178" s="35">
        <v>0</v>
      </c>
      <c r="BB178" s="35">
        <v>108</v>
      </c>
      <c r="BC178" t="s">
        <v>294</v>
      </c>
      <c r="BD178" s="14">
        <v>8.3359999999999985</v>
      </c>
      <c r="BE178" s="14">
        <v>-6.4600000000000026</v>
      </c>
      <c r="BF178" s="14">
        <v>-0.40000000000000036</v>
      </c>
      <c r="BG178" s="14">
        <v>-24.799999999999997</v>
      </c>
      <c r="BH178" s="14">
        <v>-3.6</v>
      </c>
      <c r="BI178" s="14">
        <v>0.32000000000000028</v>
      </c>
      <c r="BJ178" s="14">
        <v>3</v>
      </c>
      <c r="BK178" s="14">
        <v>8</v>
      </c>
      <c r="BL178" s="14">
        <v>2.4</v>
      </c>
      <c r="BM178" s="14">
        <v>-11.439999999999998</v>
      </c>
      <c r="BN178" s="14">
        <v>-7.7999999999999972</v>
      </c>
      <c r="BO178" s="14">
        <v>-2</v>
      </c>
      <c r="BP178" s="14">
        <v>-2.5</v>
      </c>
      <c r="BQ178" s="14">
        <v>-11.200000000000003</v>
      </c>
      <c r="BR178" s="14">
        <v>-1.5999999999999996</v>
      </c>
      <c r="BS178" s="14">
        <v>-3.9399999999999986</v>
      </c>
      <c r="BT178" s="14">
        <v>-4.8000000000000007</v>
      </c>
      <c r="BU178" s="14">
        <v>-2.4000000000000004</v>
      </c>
      <c r="BV178" s="14">
        <v>-11.94</v>
      </c>
      <c r="BW178" s="14">
        <v>-45.400000000000006</v>
      </c>
      <c r="BX178" s="14">
        <v>-2.8000000000000007</v>
      </c>
      <c r="BY178" s="48">
        <v>-12.9</v>
      </c>
      <c r="BZ178" s="14">
        <v>-39.4</v>
      </c>
      <c r="CA178" s="14">
        <v>-2.4000000000000004</v>
      </c>
      <c r="CB178" s="14">
        <v>6.8000000000000007</v>
      </c>
      <c r="CC178" s="14">
        <v>1.4</v>
      </c>
      <c r="CD178" s="14">
        <v>0.20000000000000018</v>
      </c>
      <c r="CE178" s="14">
        <v>3.4181700652288927E-2</v>
      </c>
      <c r="CF178" s="14">
        <v>9.9692464398346697E-3</v>
      </c>
      <c r="CG178" s="14">
        <v>0.14777777777777779</v>
      </c>
      <c r="CH178" s="14">
        <v>-3.5999999999999996</v>
      </c>
      <c r="CI178" s="14">
        <v>-8.3999999999999986</v>
      </c>
      <c r="CJ178" s="14">
        <v>5.3999999999999986</v>
      </c>
      <c r="CK178" s="14">
        <v>5.2</v>
      </c>
      <c r="CL178" s="14">
        <v>-1.2000000000000028</v>
      </c>
      <c r="CM178" s="14">
        <v>0.39999999999999858</v>
      </c>
      <c r="CN178" s="14">
        <v>0</v>
      </c>
      <c r="CO178" s="14">
        <v>-33.600000000000023</v>
      </c>
      <c r="CP178" s="14">
        <v>-82.600000000000023</v>
      </c>
      <c r="CQ178" s="14">
        <v>-4.5999999999999943</v>
      </c>
      <c r="CR178" s="14">
        <v>-30.8</v>
      </c>
      <c r="CS178" s="14">
        <v>84.4</v>
      </c>
      <c r="CT178" t="s">
        <v>290</v>
      </c>
      <c r="CU178" t="s">
        <v>469</v>
      </c>
    </row>
    <row r="179" spans="1:99" x14ac:dyDescent="0.2">
      <c r="A179" s="19">
        <v>44122</v>
      </c>
      <c r="B179">
        <v>6</v>
      </c>
      <c r="C179" s="13" t="s">
        <v>252</v>
      </c>
      <c r="D179" s="41" t="s">
        <v>306</v>
      </c>
      <c r="E179" s="14" t="s">
        <v>296</v>
      </c>
      <c r="F179" t="s">
        <v>679</v>
      </c>
      <c r="G179">
        <v>18</v>
      </c>
      <c r="H179" t="s">
        <v>680</v>
      </c>
      <c r="I179">
        <v>9.5</v>
      </c>
      <c r="J179">
        <v>9</v>
      </c>
      <c r="K179">
        <v>30</v>
      </c>
      <c r="L179">
        <v>5</v>
      </c>
      <c r="M179" t="s">
        <v>681</v>
      </c>
      <c r="N179">
        <v>14.4</v>
      </c>
      <c r="O179">
        <v>8</v>
      </c>
      <c r="P179">
        <v>41</v>
      </c>
      <c r="Q179">
        <v>6</v>
      </c>
      <c r="R179" t="s">
        <v>94</v>
      </c>
      <c r="S179">
        <v>14.4</v>
      </c>
      <c r="T179">
        <v>74</v>
      </c>
      <c r="U179">
        <v>12</v>
      </c>
      <c r="V179" t="s">
        <v>684</v>
      </c>
      <c r="W179">
        <v>9.5</v>
      </c>
      <c r="X179">
        <v>45</v>
      </c>
      <c r="Y179">
        <v>5</v>
      </c>
      <c r="Z179" t="s">
        <v>685</v>
      </c>
      <c r="AA179">
        <v>6.6</v>
      </c>
      <c r="AB179">
        <v>25</v>
      </c>
      <c r="AC179">
        <v>5</v>
      </c>
      <c r="AD179">
        <v>11.1</v>
      </c>
      <c r="AE179">
        <v>41</v>
      </c>
      <c r="AF179">
        <v>9</v>
      </c>
      <c r="AG179" t="s">
        <v>683</v>
      </c>
      <c r="AH179">
        <v>13.2</v>
      </c>
      <c r="AI179">
        <v>42</v>
      </c>
      <c r="AJ179">
        <v>4</v>
      </c>
      <c r="AK179">
        <v>6</v>
      </c>
      <c r="AL179">
        <v>3</v>
      </c>
      <c r="AM179">
        <v>4</v>
      </c>
      <c r="AN179" s="21">
        <v>0.31914893617021278</v>
      </c>
      <c r="AO179" s="21">
        <v>6.3829787234042548E-2</v>
      </c>
      <c r="AP179" s="21">
        <v>0.88888888888888884</v>
      </c>
      <c r="AQ179" s="35">
        <v>14</v>
      </c>
      <c r="AR179" s="35">
        <v>42</v>
      </c>
      <c r="AS179" s="35">
        <v>21</v>
      </c>
      <c r="AT179" s="35">
        <v>2</v>
      </c>
      <c r="AU179" s="35">
        <v>69</v>
      </c>
      <c r="AV179" s="35">
        <v>19</v>
      </c>
      <c r="AW179" s="35">
        <v>0</v>
      </c>
      <c r="AX179">
        <v>366</v>
      </c>
      <c r="AY179" s="35">
        <v>280</v>
      </c>
      <c r="AZ179" s="35">
        <v>77</v>
      </c>
      <c r="BA179" s="35">
        <v>1</v>
      </c>
      <c r="BB179" s="35">
        <v>8</v>
      </c>
      <c r="BC179" t="s">
        <v>296</v>
      </c>
      <c r="BD179" s="14">
        <v>1.3000000000000007</v>
      </c>
      <c r="BE179" s="14">
        <v>-6.8999999999999986</v>
      </c>
      <c r="BF179" s="14">
        <v>-4.4000000000000004</v>
      </c>
      <c r="BG179" s="14">
        <v>-25.6</v>
      </c>
      <c r="BH179" s="14">
        <v>1</v>
      </c>
      <c r="BI179" s="14">
        <v>4.4000000000000004</v>
      </c>
      <c r="BJ179" s="14">
        <v>0.20000000000000018</v>
      </c>
      <c r="BK179" s="14">
        <v>17</v>
      </c>
      <c r="BL179" s="14">
        <v>3.2</v>
      </c>
      <c r="BM179" s="14">
        <v>3.2800000000000011</v>
      </c>
      <c r="BN179" s="14">
        <v>27</v>
      </c>
      <c r="BO179" s="14">
        <v>4</v>
      </c>
      <c r="BP179" s="14">
        <v>-2.6799999999999979</v>
      </c>
      <c r="BQ179" s="14">
        <v>-15.200000000000003</v>
      </c>
      <c r="BR179" s="14">
        <v>-1.4000000000000004</v>
      </c>
      <c r="BS179" s="14">
        <v>-1.0680000000000014</v>
      </c>
      <c r="BT179" s="14">
        <v>-0.60000000000000142</v>
      </c>
      <c r="BU179" s="14">
        <v>1.6</v>
      </c>
      <c r="BV179" s="14">
        <v>-4.16</v>
      </c>
      <c r="BW179" s="14">
        <v>-31.599999999999994</v>
      </c>
      <c r="BX179" s="14">
        <v>-0.59999999999999964</v>
      </c>
      <c r="BY179" s="48">
        <v>7.7999999999999989</v>
      </c>
      <c r="BZ179" s="14">
        <v>20</v>
      </c>
      <c r="CA179" s="14">
        <v>0.39999999999999991</v>
      </c>
      <c r="CB179" s="14">
        <v>-2.4000000000000004</v>
      </c>
      <c r="CC179" s="14">
        <v>0.39999999999999991</v>
      </c>
      <c r="CD179" s="14">
        <v>-5.6</v>
      </c>
      <c r="CE179" s="14">
        <v>1.4442894128026795E-2</v>
      </c>
      <c r="CF179" s="14">
        <v>-7.2343220093697702E-3</v>
      </c>
      <c r="CG179" s="14">
        <v>0.29555555555555557</v>
      </c>
      <c r="CH179" s="14">
        <v>6.6</v>
      </c>
      <c r="CI179" s="14">
        <v>8</v>
      </c>
      <c r="CJ179" s="14">
        <v>-1.3999999999999986</v>
      </c>
      <c r="CK179" s="14">
        <v>-1.2000000000000002</v>
      </c>
      <c r="CL179" s="14">
        <v>3.4000000000000057</v>
      </c>
      <c r="CM179" s="14">
        <v>-4.8000000000000007</v>
      </c>
      <c r="CN179" s="14">
        <v>-1.4</v>
      </c>
      <c r="CO179" s="14">
        <v>8.8000000000000114</v>
      </c>
      <c r="CP179" s="14">
        <v>22</v>
      </c>
      <c r="CQ179" s="14">
        <v>-5.5999999999999943</v>
      </c>
      <c r="CR179" s="14">
        <v>-10</v>
      </c>
      <c r="CS179" s="14">
        <v>2.4000000000000004</v>
      </c>
      <c r="CT179" t="s">
        <v>245</v>
      </c>
      <c r="CU179" t="s">
        <v>472</v>
      </c>
    </row>
    <row r="180" spans="1:99" x14ac:dyDescent="0.2">
      <c r="A180" s="19">
        <v>44122</v>
      </c>
      <c r="B180">
        <v>6</v>
      </c>
      <c r="C180" s="13" t="s">
        <v>252</v>
      </c>
      <c r="D180" s="41" t="s">
        <v>309</v>
      </c>
      <c r="E180" s="14" t="s">
        <v>281</v>
      </c>
      <c r="F180" t="s">
        <v>702</v>
      </c>
      <c r="G180">
        <v>10.98</v>
      </c>
      <c r="H180" t="s">
        <v>703</v>
      </c>
      <c r="I180">
        <v>20.2</v>
      </c>
      <c r="J180">
        <v>20</v>
      </c>
      <c r="K180">
        <v>101</v>
      </c>
      <c r="L180">
        <v>1</v>
      </c>
      <c r="M180" t="s">
        <v>704</v>
      </c>
      <c r="N180">
        <v>9.1</v>
      </c>
      <c r="O180">
        <v>6</v>
      </c>
      <c r="P180">
        <v>17</v>
      </c>
      <c r="Q180">
        <v>1</v>
      </c>
      <c r="R180" t="s">
        <v>706</v>
      </c>
      <c r="S180">
        <v>18.100000000000001</v>
      </c>
      <c r="T180">
        <v>74</v>
      </c>
      <c r="U180">
        <v>4</v>
      </c>
      <c r="V180" t="s">
        <v>70</v>
      </c>
      <c r="W180">
        <v>16.8</v>
      </c>
      <c r="X180">
        <v>68</v>
      </c>
      <c r="Y180">
        <v>7</v>
      </c>
      <c r="Z180" t="s">
        <v>705</v>
      </c>
      <c r="AA180">
        <v>2.6</v>
      </c>
      <c r="AB180">
        <v>6</v>
      </c>
      <c r="AC180">
        <v>4</v>
      </c>
      <c r="AD180">
        <v>2.6</v>
      </c>
      <c r="AE180">
        <v>6</v>
      </c>
      <c r="AF180">
        <v>5</v>
      </c>
      <c r="AG180" t="s">
        <v>100</v>
      </c>
      <c r="AH180">
        <v>2.9</v>
      </c>
      <c r="AI180">
        <v>9</v>
      </c>
      <c r="AJ180">
        <v>4</v>
      </c>
      <c r="AK180">
        <v>8</v>
      </c>
      <c r="AL180">
        <v>1</v>
      </c>
      <c r="AM180">
        <v>18</v>
      </c>
      <c r="AN180" s="21">
        <v>0.16666666666666666</v>
      </c>
      <c r="AO180" s="21">
        <v>8.3333333333333329E-2</v>
      </c>
      <c r="AP180" s="21">
        <v>0</v>
      </c>
      <c r="AQ180" s="35">
        <v>1</v>
      </c>
      <c r="AR180" s="35">
        <v>23</v>
      </c>
      <c r="AS180" s="35">
        <v>29</v>
      </c>
      <c r="AT180" s="35">
        <v>6</v>
      </c>
      <c r="AU180" s="35">
        <v>62</v>
      </c>
      <c r="AV180" s="35">
        <v>31</v>
      </c>
      <c r="AW180" s="35">
        <v>7</v>
      </c>
      <c r="AX180">
        <v>297</v>
      </c>
      <c r="AY180" s="35">
        <v>168</v>
      </c>
      <c r="AZ180" s="35">
        <v>120</v>
      </c>
      <c r="BA180" s="35">
        <v>7</v>
      </c>
      <c r="BB180" s="35">
        <v>2</v>
      </c>
      <c r="BC180" t="s">
        <v>281</v>
      </c>
      <c r="BD180" s="14">
        <v>-9.4759999999999991</v>
      </c>
      <c r="BE180" s="14">
        <v>3.4600000000000009</v>
      </c>
      <c r="BF180" s="14">
        <v>6.1999999999999993</v>
      </c>
      <c r="BG180" s="14">
        <v>39.6</v>
      </c>
      <c r="BH180" s="14">
        <v>-2.8</v>
      </c>
      <c r="BI180" s="14">
        <v>1.0999999999999996</v>
      </c>
      <c r="BJ180" s="14">
        <v>2.4</v>
      </c>
      <c r="BK180" s="14">
        <v>5.1999999999999993</v>
      </c>
      <c r="BL180" s="14">
        <v>-2.6</v>
      </c>
      <c r="BM180" s="14">
        <v>-1.9399999999999977</v>
      </c>
      <c r="BN180" s="14">
        <v>-12.400000000000006</v>
      </c>
      <c r="BO180" s="14">
        <v>-5.1999999999999993</v>
      </c>
      <c r="BP180" s="14">
        <v>2.76</v>
      </c>
      <c r="BQ180" s="14">
        <v>22.200000000000003</v>
      </c>
      <c r="BR180" s="14">
        <v>0</v>
      </c>
      <c r="BS180" s="14">
        <v>-3.2600000000000002</v>
      </c>
      <c r="BT180" s="14">
        <v>-23.4</v>
      </c>
      <c r="BU180" s="14">
        <v>-0.79999999999999982</v>
      </c>
      <c r="BV180" s="14">
        <v>-24.18</v>
      </c>
      <c r="BW180" s="14">
        <v>-105.8</v>
      </c>
      <c r="BX180" s="14">
        <v>-10</v>
      </c>
      <c r="BY180" s="48">
        <v>-9.34</v>
      </c>
      <c r="BZ180" s="14">
        <v>-37.4</v>
      </c>
      <c r="CA180" s="14">
        <v>-4</v>
      </c>
      <c r="CB180" s="14">
        <v>0.79999999999999982</v>
      </c>
      <c r="CC180" s="14">
        <v>-0.39999999999999991</v>
      </c>
      <c r="CD180" s="14">
        <v>12.8</v>
      </c>
      <c r="CE180" s="14">
        <v>-8.8367967171132794E-2</v>
      </c>
      <c r="CF180" s="14">
        <v>2.7649218617423359E-2</v>
      </c>
      <c r="CG180" s="14">
        <v>-0.46846153846153837</v>
      </c>
      <c r="CH180" s="14">
        <v>-6.4</v>
      </c>
      <c r="CI180" s="14">
        <v>-19.399999999999999</v>
      </c>
      <c r="CJ180" s="14">
        <v>10.199999999999999</v>
      </c>
      <c r="CK180" s="14">
        <v>2.4</v>
      </c>
      <c r="CL180" s="14">
        <v>-6.5999999999999943</v>
      </c>
      <c r="CM180" s="14">
        <v>4</v>
      </c>
      <c r="CN180" s="14">
        <v>4.2</v>
      </c>
      <c r="CO180" s="14">
        <v>-83.800000000000011</v>
      </c>
      <c r="CP180" s="14">
        <v>-122.60000000000002</v>
      </c>
      <c r="CQ180" s="14">
        <v>45</v>
      </c>
      <c r="CR180" s="14">
        <v>-1.4000000000000004</v>
      </c>
      <c r="CS180" s="14">
        <v>-4.8</v>
      </c>
      <c r="CT180" t="s">
        <v>266</v>
      </c>
      <c r="CU180" t="s">
        <v>498</v>
      </c>
    </row>
    <row r="181" spans="1:99" x14ac:dyDescent="0.2">
      <c r="A181" s="19">
        <v>44122</v>
      </c>
      <c r="B181">
        <v>6</v>
      </c>
      <c r="C181" s="13" t="s">
        <v>252</v>
      </c>
      <c r="D181" s="41" t="s">
        <v>310</v>
      </c>
      <c r="E181" s="14" t="s">
        <v>311</v>
      </c>
      <c r="F181" t="s">
        <v>709</v>
      </c>
      <c r="G181">
        <v>33.64</v>
      </c>
      <c r="H181" t="s">
        <v>710</v>
      </c>
      <c r="I181">
        <v>43.4</v>
      </c>
      <c r="J181">
        <v>22</v>
      </c>
      <c r="K181">
        <v>212</v>
      </c>
      <c r="L181">
        <v>5</v>
      </c>
      <c r="M181" t="s">
        <v>711</v>
      </c>
      <c r="N181">
        <v>8.1999999999999993</v>
      </c>
      <c r="O181">
        <v>5</v>
      </c>
      <c r="P181">
        <v>51</v>
      </c>
      <c r="Q181">
        <v>3</v>
      </c>
      <c r="R181" t="s">
        <v>64</v>
      </c>
      <c r="S181">
        <v>22.8</v>
      </c>
      <c r="T181">
        <v>58</v>
      </c>
      <c r="U181">
        <v>7</v>
      </c>
      <c r="V181" t="s">
        <v>54</v>
      </c>
      <c r="W181">
        <v>18.399999999999999</v>
      </c>
      <c r="X181">
        <v>64</v>
      </c>
      <c r="Y181">
        <v>6</v>
      </c>
      <c r="Z181" t="s">
        <v>712</v>
      </c>
      <c r="AA181">
        <v>6.2</v>
      </c>
      <c r="AB181">
        <v>32</v>
      </c>
      <c r="AC181">
        <v>4</v>
      </c>
      <c r="AD181">
        <v>21.4</v>
      </c>
      <c r="AE181">
        <v>104</v>
      </c>
      <c r="AF181">
        <v>13</v>
      </c>
      <c r="AG181" t="s">
        <v>713</v>
      </c>
      <c r="AH181">
        <v>28.3</v>
      </c>
      <c r="AI181">
        <v>113</v>
      </c>
      <c r="AJ181">
        <v>9</v>
      </c>
      <c r="AK181">
        <v>2</v>
      </c>
      <c r="AL181">
        <v>2</v>
      </c>
      <c r="AM181">
        <v>-2</v>
      </c>
      <c r="AN181" s="21">
        <v>0.27906976744186046</v>
      </c>
      <c r="AO181" s="21">
        <v>4.6511627906976744E-2</v>
      </c>
      <c r="AP181" s="21">
        <v>0.77777777777777779</v>
      </c>
      <c r="AQ181" s="35">
        <v>4</v>
      </c>
      <c r="AR181" s="35">
        <v>41</v>
      </c>
      <c r="AS181" s="35">
        <v>27</v>
      </c>
      <c r="AT181" s="35">
        <v>0</v>
      </c>
      <c r="AU181" s="35">
        <v>70</v>
      </c>
      <c r="AV181" s="35">
        <v>42</v>
      </c>
      <c r="AW181" s="35">
        <v>0</v>
      </c>
      <c r="AX181">
        <v>629</v>
      </c>
      <c r="AY181" s="35">
        <v>366</v>
      </c>
      <c r="AZ181" s="35">
        <v>263</v>
      </c>
      <c r="BA181" s="35">
        <v>0</v>
      </c>
      <c r="BB181" s="35">
        <v>0</v>
      </c>
      <c r="BC181" t="s">
        <v>311</v>
      </c>
      <c r="BD181" s="14">
        <v>11.815999999999999</v>
      </c>
      <c r="BE181" s="14">
        <v>17.48</v>
      </c>
      <c r="BF181" s="14">
        <v>4.1999999999999993</v>
      </c>
      <c r="BG181" s="14">
        <v>101.2</v>
      </c>
      <c r="BH181" s="14">
        <v>0.59999999999999964</v>
      </c>
      <c r="BI181" s="14">
        <v>0.9399999999999995</v>
      </c>
      <c r="BJ181" s="14">
        <v>-1</v>
      </c>
      <c r="BK181" s="14">
        <v>13</v>
      </c>
      <c r="BL181" s="14">
        <v>1.4</v>
      </c>
      <c r="BM181" s="14">
        <v>6.3800000000000026</v>
      </c>
      <c r="BN181" s="14">
        <v>3.3999999999999986</v>
      </c>
      <c r="BO181" s="14">
        <v>0.59999999999999964</v>
      </c>
      <c r="BP181" s="14">
        <v>4.9999999999999982</v>
      </c>
      <c r="BQ181" s="14">
        <v>0</v>
      </c>
      <c r="BR181" s="14">
        <v>-0.20000000000000018</v>
      </c>
      <c r="BS181" s="14">
        <v>1.160000000000001</v>
      </c>
      <c r="BT181" s="14">
        <v>10</v>
      </c>
      <c r="BU181" s="14">
        <v>0.79999999999999982</v>
      </c>
      <c r="BV181" s="14">
        <v>5.2399999999999984</v>
      </c>
      <c r="BW181" s="14">
        <v>38.400000000000006</v>
      </c>
      <c r="BX181" s="14">
        <v>4.5999999999999996</v>
      </c>
      <c r="BY181" s="48">
        <v>16.760000000000002</v>
      </c>
      <c r="BZ181" s="14">
        <v>65.599999999999994</v>
      </c>
      <c r="CA181" s="14">
        <v>3.4000000000000004</v>
      </c>
      <c r="CB181" s="14">
        <v>-4.4000000000000004</v>
      </c>
      <c r="CC181" s="14">
        <v>-0.39999999999999991</v>
      </c>
      <c r="CD181" s="14">
        <v>-7.8</v>
      </c>
      <c r="CE181" s="14">
        <v>-5.5240689543015142E-2</v>
      </c>
      <c r="CF181" s="14">
        <v>-3.2033121916842849E-2</v>
      </c>
      <c r="CG181" s="14">
        <v>1.9841269841269771E-2</v>
      </c>
      <c r="CH181" s="14">
        <v>0</v>
      </c>
      <c r="CI181" s="14">
        <v>6.6000000000000014</v>
      </c>
      <c r="CJ181" s="14">
        <v>1</v>
      </c>
      <c r="CK181" s="14">
        <v>-5.8</v>
      </c>
      <c r="CL181" s="14">
        <v>0.20000000000000284</v>
      </c>
      <c r="CM181" s="14">
        <v>13.8</v>
      </c>
      <c r="CN181" s="14">
        <v>-1.4</v>
      </c>
      <c r="CO181" s="14">
        <v>175.60000000000002</v>
      </c>
      <c r="CP181" s="14">
        <v>92.399999999999977</v>
      </c>
      <c r="CQ181" s="14">
        <v>101.80000000000001</v>
      </c>
      <c r="CR181" s="14">
        <v>-3.8</v>
      </c>
      <c r="CS181" s="14">
        <v>-14.8</v>
      </c>
      <c r="CT181" t="s">
        <v>275</v>
      </c>
      <c r="CU181" t="s">
        <v>477</v>
      </c>
    </row>
    <row r="182" spans="1:99" x14ac:dyDescent="0.2">
      <c r="A182" s="19">
        <v>44122</v>
      </c>
      <c r="B182">
        <v>6</v>
      </c>
      <c r="C182" s="13" t="s">
        <v>252</v>
      </c>
      <c r="D182" s="41" t="s">
        <v>311</v>
      </c>
      <c r="E182" s="14" t="s">
        <v>310</v>
      </c>
      <c r="F182" t="s">
        <v>718</v>
      </c>
      <c r="G182">
        <v>35</v>
      </c>
      <c r="H182" t="s">
        <v>719</v>
      </c>
      <c r="I182">
        <v>13.9</v>
      </c>
      <c r="J182">
        <v>19</v>
      </c>
      <c r="K182">
        <v>57</v>
      </c>
      <c r="L182">
        <v>2</v>
      </c>
      <c r="M182" t="s">
        <v>720</v>
      </c>
      <c r="N182">
        <v>2.1</v>
      </c>
      <c r="O182">
        <v>4</v>
      </c>
      <c r="P182">
        <v>9</v>
      </c>
      <c r="Q182">
        <v>2</v>
      </c>
      <c r="R182" t="s">
        <v>23</v>
      </c>
      <c r="S182">
        <v>27.3</v>
      </c>
      <c r="T182">
        <v>123</v>
      </c>
      <c r="U182">
        <v>11</v>
      </c>
      <c r="V182" t="s">
        <v>71</v>
      </c>
      <c r="W182">
        <v>21.8</v>
      </c>
      <c r="X182">
        <v>68</v>
      </c>
      <c r="Y182">
        <v>9</v>
      </c>
      <c r="Z182" t="s">
        <v>84</v>
      </c>
      <c r="AA182">
        <v>10.7</v>
      </c>
      <c r="AB182">
        <v>14</v>
      </c>
      <c r="AC182">
        <v>4</v>
      </c>
      <c r="AD182">
        <v>25</v>
      </c>
      <c r="AE182">
        <v>120</v>
      </c>
      <c r="AF182">
        <v>15</v>
      </c>
      <c r="AG182" t="s">
        <v>169</v>
      </c>
      <c r="AH182">
        <v>20.5</v>
      </c>
      <c r="AI182">
        <v>85</v>
      </c>
      <c r="AJ182">
        <v>7</v>
      </c>
      <c r="AK182">
        <v>6</v>
      </c>
      <c r="AL182">
        <v>1</v>
      </c>
      <c r="AM182">
        <v>4</v>
      </c>
      <c r="AN182" s="21">
        <v>0.26190476190476192</v>
      </c>
      <c r="AO182" s="21">
        <v>4.7619047619047616E-2</v>
      </c>
      <c r="AP182" s="21">
        <v>0.66666666666666663</v>
      </c>
      <c r="AQ182" s="35">
        <v>-2</v>
      </c>
      <c r="AR182" s="35">
        <v>37</v>
      </c>
      <c r="AS182" s="35">
        <v>23</v>
      </c>
      <c r="AT182" s="35">
        <v>4</v>
      </c>
      <c r="AU182" s="35">
        <v>67</v>
      </c>
      <c r="AV182" s="35">
        <v>36</v>
      </c>
      <c r="AW182" s="35">
        <v>0</v>
      </c>
      <c r="AX182">
        <v>427</v>
      </c>
      <c r="AY182" s="35">
        <v>335</v>
      </c>
      <c r="AZ182" s="35">
        <v>66</v>
      </c>
      <c r="BA182" s="35">
        <v>0</v>
      </c>
      <c r="BB182" s="35">
        <v>26</v>
      </c>
      <c r="BC182" t="s">
        <v>310</v>
      </c>
      <c r="BD182" s="14">
        <v>9.1950000000000003</v>
      </c>
      <c r="BE182" s="14">
        <v>-4.1249999999999982</v>
      </c>
      <c r="BF182" s="14">
        <v>2</v>
      </c>
      <c r="BG182" s="14">
        <v>-34.25</v>
      </c>
      <c r="BH182" s="14">
        <v>-1</v>
      </c>
      <c r="BI182" s="14">
        <v>-5.625</v>
      </c>
      <c r="BJ182" s="14">
        <v>-1.25</v>
      </c>
      <c r="BK182" s="14">
        <v>-14.75</v>
      </c>
      <c r="BL182" s="14">
        <v>-0.25</v>
      </c>
      <c r="BM182" s="14">
        <v>8.3999999999999986</v>
      </c>
      <c r="BN182" s="14">
        <v>37.5</v>
      </c>
      <c r="BO182" s="14">
        <v>2</v>
      </c>
      <c r="BP182" s="14">
        <v>0.70000000000000284</v>
      </c>
      <c r="BQ182" s="14">
        <v>-20.5</v>
      </c>
      <c r="BR182" s="14">
        <v>1.25</v>
      </c>
      <c r="BS182" s="14">
        <v>2.3499999999999996</v>
      </c>
      <c r="BT182" s="14">
        <v>-14.5</v>
      </c>
      <c r="BU182" s="14">
        <v>-0.5</v>
      </c>
      <c r="BV182" s="14">
        <v>-2.25</v>
      </c>
      <c r="BW182" s="14">
        <v>-2.5</v>
      </c>
      <c r="BX182" s="14">
        <v>2.25</v>
      </c>
      <c r="BY182" s="48">
        <v>9.3249999999999993</v>
      </c>
      <c r="BZ182" s="14">
        <v>48.25</v>
      </c>
      <c r="CA182" s="14">
        <v>2.25</v>
      </c>
      <c r="CB182" s="14">
        <v>0.25</v>
      </c>
      <c r="CC182" s="14">
        <v>-0.25</v>
      </c>
      <c r="CD182" s="14">
        <v>3.25</v>
      </c>
      <c r="CE182" s="14">
        <v>-0.10520408163265305</v>
      </c>
      <c r="CF182" s="14">
        <v>3.9455782312925111E-3</v>
      </c>
      <c r="CG182" s="14">
        <v>8.3333333333334147E-3</v>
      </c>
      <c r="CH182" s="14">
        <v>-6.5</v>
      </c>
      <c r="CI182" s="14">
        <v>-1.75</v>
      </c>
      <c r="CJ182" s="14">
        <v>0.75</v>
      </c>
      <c r="CK182" s="14">
        <v>0.5</v>
      </c>
      <c r="CL182" s="14">
        <v>1.75</v>
      </c>
      <c r="CM182" s="14">
        <v>8</v>
      </c>
      <c r="CN182" s="14">
        <v>0</v>
      </c>
      <c r="CO182" s="14">
        <v>-20</v>
      </c>
      <c r="CP182" s="14">
        <v>32.5</v>
      </c>
      <c r="CQ182" s="14">
        <v>-49</v>
      </c>
      <c r="CR182" s="14">
        <v>-10.25</v>
      </c>
      <c r="CS182" s="14">
        <v>6.75</v>
      </c>
      <c r="CT182" t="s">
        <v>286</v>
      </c>
      <c r="CU182" t="s">
        <v>479</v>
      </c>
    </row>
    <row r="183" spans="1:99" x14ac:dyDescent="0.2">
      <c r="A183" s="19">
        <v>44122</v>
      </c>
      <c r="B183">
        <v>6</v>
      </c>
      <c r="C183" s="13" t="s">
        <v>252</v>
      </c>
      <c r="D183" s="41" t="s">
        <v>312</v>
      </c>
      <c r="E183" s="14" t="s">
        <v>295</v>
      </c>
      <c r="F183" t="s">
        <v>725</v>
      </c>
      <c r="G183">
        <v>29.72</v>
      </c>
      <c r="H183" t="s">
        <v>726</v>
      </c>
      <c r="I183">
        <v>4</v>
      </c>
      <c r="J183">
        <v>10</v>
      </c>
      <c r="K183">
        <v>26</v>
      </c>
      <c r="L183">
        <v>2</v>
      </c>
      <c r="M183" t="s">
        <v>727</v>
      </c>
      <c r="N183">
        <v>1.5</v>
      </c>
      <c r="O183">
        <v>1</v>
      </c>
      <c r="P183">
        <v>-1</v>
      </c>
      <c r="Q183">
        <v>1</v>
      </c>
      <c r="R183" t="s">
        <v>45</v>
      </c>
      <c r="S183">
        <v>14.1</v>
      </c>
      <c r="T183">
        <v>51</v>
      </c>
      <c r="U183">
        <v>5</v>
      </c>
      <c r="V183" t="s">
        <v>728</v>
      </c>
      <c r="W183">
        <v>42.6</v>
      </c>
      <c r="X183">
        <v>166</v>
      </c>
      <c r="Y183">
        <v>11</v>
      </c>
      <c r="Z183" t="s">
        <v>729</v>
      </c>
      <c r="AA183">
        <v>3.3</v>
      </c>
      <c r="AB183">
        <v>13</v>
      </c>
      <c r="AC183">
        <v>6</v>
      </c>
      <c r="AD183">
        <v>28.4</v>
      </c>
      <c r="AE183">
        <v>144</v>
      </c>
      <c r="AF183">
        <v>13</v>
      </c>
      <c r="AG183" t="s">
        <v>730</v>
      </c>
      <c r="AH183">
        <v>11.5</v>
      </c>
      <c r="AI183">
        <v>55</v>
      </c>
      <c r="AJ183">
        <v>5</v>
      </c>
      <c r="AK183">
        <v>1</v>
      </c>
      <c r="AL183">
        <v>0</v>
      </c>
      <c r="AM183">
        <v>0</v>
      </c>
      <c r="AN183" s="21">
        <v>0.40540540540540543</v>
      </c>
      <c r="AO183" s="21">
        <v>2.7027027027027029E-2</v>
      </c>
      <c r="AP183" s="21">
        <v>0.58333333333333337</v>
      </c>
      <c r="AQ183" s="35">
        <v>7</v>
      </c>
      <c r="AR183" s="35">
        <v>36</v>
      </c>
      <c r="AS183" s="35">
        <v>13</v>
      </c>
      <c r="AT183" s="35">
        <v>0</v>
      </c>
      <c r="AU183" s="35">
        <v>50</v>
      </c>
      <c r="AV183" s="35">
        <v>23</v>
      </c>
      <c r="AW183" s="35">
        <v>0</v>
      </c>
      <c r="AX183">
        <v>376</v>
      </c>
      <c r="AY183" s="35">
        <v>343</v>
      </c>
      <c r="AZ183" s="35">
        <v>33</v>
      </c>
      <c r="BA183" s="35">
        <v>0</v>
      </c>
      <c r="BB183" s="35">
        <v>0</v>
      </c>
      <c r="BC183" t="s">
        <v>295</v>
      </c>
      <c r="BD183" s="14">
        <v>-3.2319999999999993</v>
      </c>
      <c r="BE183" s="14">
        <v>-13.32</v>
      </c>
      <c r="BF183" s="14">
        <v>-5.4</v>
      </c>
      <c r="BG183" s="14">
        <v>-38</v>
      </c>
      <c r="BH183" s="14">
        <v>-3.4000000000000004</v>
      </c>
      <c r="BI183" s="14">
        <v>-4.339999999999999</v>
      </c>
      <c r="BJ183" s="14">
        <v>-1.7999999999999998</v>
      </c>
      <c r="BK183" s="14">
        <v>-8.6</v>
      </c>
      <c r="BL183" s="14">
        <v>-2.2000000000000002</v>
      </c>
      <c r="BM183" s="14">
        <v>-4.9800000000000022</v>
      </c>
      <c r="BN183" s="14">
        <v>-35.200000000000003</v>
      </c>
      <c r="BO183" s="14">
        <v>-4.5999999999999996</v>
      </c>
      <c r="BP183" s="14">
        <v>22.700000000000003</v>
      </c>
      <c r="BQ183" s="14">
        <v>80.599999999999994</v>
      </c>
      <c r="BR183" s="14">
        <v>4.4000000000000004</v>
      </c>
      <c r="BS183" s="14">
        <v>-2.58</v>
      </c>
      <c r="BT183" s="14">
        <v>-16.2</v>
      </c>
      <c r="BU183" s="14">
        <v>1.5999999999999996</v>
      </c>
      <c r="BV183" s="14">
        <v>2.9199999999999982</v>
      </c>
      <c r="BW183" s="14">
        <v>35.200000000000003</v>
      </c>
      <c r="BX183" s="14">
        <v>1.1999999999999993</v>
      </c>
      <c r="BY183" s="48">
        <v>-6.9199999999999982</v>
      </c>
      <c r="BZ183" s="14">
        <v>-5.2000000000000028</v>
      </c>
      <c r="CA183" s="14">
        <v>-1.2000000000000002</v>
      </c>
      <c r="CB183" s="14">
        <v>-6</v>
      </c>
      <c r="CC183" s="14">
        <v>-1.6</v>
      </c>
      <c r="CD183" s="14">
        <v>-2.2000000000000002</v>
      </c>
      <c r="CE183" s="14">
        <v>0.14172603372603371</v>
      </c>
      <c r="CF183" s="14">
        <v>4.4999284999285016E-3</v>
      </c>
      <c r="CG183" s="14">
        <v>-7.2380952380952213E-2</v>
      </c>
      <c r="CH183" s="14">
        <v>4</v>
      </c>
      <c r="CI183" s="14">
        <v>-5</v>
      </c>
      <c r="CJ183" s="14">
        <v>-7.1999999999999993</v>
      </c>
      <c r="CK183" s="14">
        <v>-2.8</v>
      </c>
      <c r="CL183" s="14">
        <v>-16.599999999999994</v>
      </c>
      <c r="CM183" s="14">
        <v>-6.1999999999999993</v>
      </c>
      <c r="CN183" s="14">
        <v>0</v>
      </c>
      <c r="CO183" s="14">
        <v>-73.600000000000023</v>
      </c>
      <c r="CP183" s="14">
        <v>-6.8000000000000114</v>
      </c>
      <c r="CQ183" s="14">
        <v>-40.599999999999994</v>
      </c>
      <c r="CR183" s="14">
        <v>-12.8</v>
      </c>
      <c r="CS183" s="14">
        <v>-13.4</v>
      </c>
      <c r="CT183" t="s">
        <v>280</v>
      </c>
      <c r="CU183" t="s">
        <v>489</v>
      </c>
    </row>
    <row r="184" spans="1:99" x14ac:dyDescent="0.2">
      <c r="A184" s="19">
        <v>44129</v>
      </c>
      <c r="B184">
        <v>7</v>
      </c>
      <c r="C184" s="14" t="s">
        <v>250</v>
      </c>
      <c r="D184" s="40" t="s">
        <v>256</v>
      </c>
      <c r="E184" s="13" t="s">
        <v>302</v>
      </c>
      <c r="F184" t="s">
        <v>459</v>
      </c>
      <c r="G184">
        <v>9.48</v>
      </c>
      <c r="H184" t="s">
        <v>460</v>
      </c>
      <c r="I184">
        <v>35</v>
      </c>
      <c r="J184">
        <v>17</v>
      </c>
      <c r="K184">
        <v>112</v>
      </c>
      <c r="L184">
        <v>2</v>
      </c>
      <c r="M184" t="s">
        <v>461</v>
      </c>
      <c r="N184">
        <v>8.3000000000000007</v>
      </c>
      <c r="O184">
        <v>9</v>
      </c>
      <c r="P184">
        <v>57</v>
      </c>
      <c r="Q184">
        <v>1</v>
      </c>
      <c r="R184" t="s">
        <v>127</v>
      </c>
      <c r="S184">
        <v>12.2</v>
      </c>
      <c r="T184">
        <v>65</v>
      </c>
      <c r="U184">
        <v>5</v>
      </c>
      <c r="V184" t="s">
        <v>462</v>
      </c>
      <c r="W184">
        <v>20.5</v>
      </c>
      <c r="X184">
        <v>115</v>
      </c>
      <c r="Y184">
        <v>7</v>
      </c>
      <c r="Z184" t="s">
        <v>463</v>
      </c>
      <c r="AA184">
        <v>0</v>
      </c>
      <c r="AB184">
        <v>0</v>
      </c>
      <c r="AC184">
        <v>1</v>
      </c>
      <c r="AD184">
        <v>26.2</v>
      </c>
      <c r="AE184">
        <v>162</v>
      </c>
      <c r="AF184">
        <v>12</v>
      </c>
      <c r="AG184" t="s">
        <v>78</v>
      </c>
      <c r="AH184">
        <v>10.5</v>
      </c>
      <c r="AI184">
        <v>55</v>
      </c>
      <c r="AJ184">
        <v>7</v>
      </c>
      <c r="AK184">
        <v>10</v>
      </c>
      <c r="AL184">
        <v>2</v>
      </c>
      <c r="AM184">
        <v>17</v>
      </c>
      <c r="AN184" s="21">
        <v>0.18518518518518517</v>
      </c>
      <c r="AO184" s="21">
        <v>3.7037037037037035E-2</v>
      </c>
      <c r="AP184" s="21">
        <v>0.33333333333333331</v>
      </c>
      <c r="AQ184" s="35">
        <v>6</v>
      </c>
      <c r="AR184" s="35">
        <v>25</v>
      </c>
      <c r="AS184" s="35">
        <v>33</v>
      </c>
      <c r="AT184" s="35">
        <v>1</v>
      </c>
      <c r="AU184" s="35">
        <v>63</v>
      </c>
      <c r="AV184" s="35">
        <v>33</v>
      </c>
      <c r="AW184" s="35">
        <v>0</v>
      </c>
      <c r="AX184">
        <v>474</v>
      </c>
      <c r="AY184" s="35">
        <v>277</v>
      </c>
      <c r="AZ184" s="35">
        <v>186</v>
      </c>
      <c r="BA184" s="35">
        <v>7</v>
      </c>
      <c r="BB184" s="35">
        <v>4</v>
      </c>
      <c r="BC184" t="s">
        <v>302</v>
      </c>
      <c r="BD184" s="14">
        <v>-9.91</v>
      </c>
      <c r="BE184" s="14">
        <v>21.175000000000001</v>
      </c>
      <c r="BF184" s="14">
        <v>-1</v>
      </c>
      <c r="BG184" s="14">
        <v>35</v>
      </c>
      <c r="BH184" s="14">
        <v>-0.5</v>
      </c>
      <c r="BI184" s="14">
        <v>4.5250000000000004</v>
      </c>
      <c r="BJ184" s="14">
        <v>5.25</v>
      </c>
      <c r="BK184" s="14">
        <v>41</v>
      </c>
      <c r="BL184" s="14">
        <v>-0.5</v>
      </c>
      <c r="BM184" s="14">
        <v>-3.2250000000000014</v>
      </c>
      <c r="BN184" s="14">
        <v>3.25</v>
      </c>
      <c r="BO184" s="14">
        <v>-2</v>
      </c>
      <c r="BP184" s="14">
        <v>8.3000000000000007</v>
      </c>
      <c r="BQ184" s="14">
        <v>48</v>
      </c>
      <c r="BR184" s="14">
        <v>1</v>
      </c>
      <c r="BS184" s="14">
        <v>-8.1750000000000007</v>
      </c>
      <c r="BT184" s="14">
        <v>-26.75</v>
      </c>
      <c r="BU184" s="14">
        <v>-2</v>
      </c>
      <c r="BV184" s="14">
        <v>4.1499999999999986</v>
      </c>
      <c r="BW184" s="14">
        <v>56.5</v>
      </c>
      <c r="BX184" s="14">
        <v>1.25</v>
      </c>
      <c r="BY184" s="48">
        <v>5.65</v>
      </c>
      <c r="BZ184" s="14">
        <v>24</v>
      </c>
      <c r="CA184" s="14">
        <v>2.75</v>
      </c>
      <c r="CB184" s="14">
        <v>-1</v>
      </c>
      <c r="CC184" s="14">
        <v>-0.75</v>
      </c>
      <c r="CD184" s="14">
        <v>7</v>
      </c>
      <c r="CE184" s="14">
        <v>-0.13227513227513227</v>
      </c>
      <c r="CF184" s="14">
        <v>-1.6798941798941792E-2</v>
      </c>
      <c r="CG184" s="14">
        <v>-0.41666666666666669</v>
      </c>
      <c r="CH184" s="14">
        <v>-2</v>
      </c>
      <c r="CI184" s="14">
        <v>-3.25</v>
      </c>
      <c r="CJ184" s="14">
        <v>9.75</v>
      </c>
      <c r="CK184" s="14">
        <v>-4</v>
      </c>
      <c r="CL184" s="14">
        <v>4.5</v>
      </c>
      <c r="CM184" s="14">
        <v>10</v>
      </c>
      <c r="CN184" s="14">
        <v>-1.75</v>
      </c>
      <c r="CO184" s="14">
        <v>125.25</v>
      </c>
      <c r="CP184" s="14">
        <v>33.5</v>
      </c>
      <c r="CQ184" s="14">
        <v>102</v>
      </c>
      <c r="CR184" s="14">
        <v>4.75</v>
      </c>
      <c r="CS184" s="14">
        <v>-15</v>
      </c>
      <c r="CT184" t="s">
        <v>292</v>
      </c>
      <c r="CU184" t="s">
        <v>464</v>
      </c>
    </row>
    <row r="185" spans="1:99" x14ac:dyDescent="0.2">
      <c r="A185" s="19">
        <v>44129</v>
      </c>
      <c r="B185">
        <v>7</v>
      </c>
      <c r="C185" s="13" t="s">
        <v>250</v>
      </c>
      <c r="D185" s="41" t="s">
        <v>265</v>
      </c>
      <c r="E185" s="13" t="s">
        <v>304</v>
      </c>
      <c r="F185" t="s">
        <v>480</v>
      </c>
      <c r="G185">
        <v>8.44</v>
      </c>
      <c r="H185" t="s">
        <v>481</v>
      </c>
      <c r="I185">
        <v>11.9</v>
      </c>
      <c r="J185">
        <v>14</v>
      </c>
      <c r="K185">
        <v>48</v>
      </c>
      <c r="L185">
        <v>5</v>
      </c>
      <c r="M185" t="s">
        <v>482</v>
      </c>
      <c r="N185">
        <v>0</v>
      </c>
      <c r="O185">
        <v>0</v>
      </c>
      <c r="P185">
        <v>0</v>
      </c>
      <c r="Q185">
        <v>0</v>
      </c>
      <c r="R185" t="s">
        <v>56</v>
      </c>
      <c r="S185">
        <v>11</v>
      </c>
      <c r="T185">
        <v>70</v>
      </c>
      <c r="U185">
        <v>4</v>
      </c>
      <c r="V185" t="s">
        <v>60</v>
      </c>
      <c r="W185">
        <v>5</v>
      </c>
      <c r="X185">
        <v>20</v>
      </c>
      <c r="Y185">
        <v>5</v>
      </c>
      <c r="Z185" t="s">
        <v>483</v>
      </c>
      <c r="AA185">
        <v>7</v>
      </c>
      <c r="AB185">
        <v>40</v>
      </c>
      <c r="AC185">
        <v>7</v>
      </c>
      <c r="AD185">
        <v>17.8</v>
      </c>
      <c r="AE185">
        <v>78</v>
      </c>
      <c r="AF185">
        <v>15</v>
      </c>
      <c r="AG185" t="s">
        <v>81</v>
      </c>
      <c r="AH185">
        <v>8.1</v>
      </c>
      <c r="AI185">
        <v>31</v>
      </c>
      <c r="AJ185">
        <v>6</v>
      </c>
      <c r="AK185">
        <v>5</v>
      </c>
      <c r="AL185">
        <v>1</v>
      </c>
      <c r="AM185">
        <v>11</v>
      </c>
      <c r="AN185" s="21">
        <v>0.45454545454545453</v>
      </c>
      <c r="AO185" s="21">
        <v>9.0909090909090912E-2</v>
      </c>
      <c r="AP185" s="21">
        <v>0.7857142857142857</v>
      </c>
      <c r="AQ185" s="35">
        <v>15</v>
      </c>
      <c r="AR185" s="35">
        <v>40</v>
      </c>
      <c r="AS185" s="35">
        <v>14</v>
      </c>
      <c r="AT185" s="35">
        <v>0</v>
      </c>
      <c r="AU185" s="35">
        <v>61</v>
      </c>
      <c r="AV185" s="35">
        <v>3</v>
      </c>
      <c r="AW185" s="35">
        <v>7</v>
      </c>
      <c r="AX185">
        <v>310</v>
      </c>
      <c r="AY185" s="35">
        <v>261</v>
      </c>
      <c r="AZ185" s="35">
        <v>48</v>
      </c>
      <c r="BA185" s="35">
        <v>1</v>
      </c>
      <c r="BB185" s="35">
        <v>0</v>
      </c>
      <c r="BC185" t="s">
        <v>304</v>
      </c>
      <c r="BD185" s="14">
        <v>-6.8560000000000016</v>
      </c>
      <c r="BE185" s="14">
        <v>-1.6400000000000006</v>
      </c>
      <c r="BF185" s="14">
        <v>-0.40000000000000036</v>
      </c>
      <c r="BG185" s="14">
        <v>-10.200000000000003</v>
      </c>
      <c r="BH185" s="14">
        <v>0.40000000000000036</v>
      </c>
      <c r="BI185" s="14">
        <v>-5.86</v>
      </c>
      <c r="BJ185" s="14">
        <v>-4</v>
      </c>
      <c r="BK185" s="14">
        <v>-20.6</v>
      </c>
      <c r="BL185" s="14">
        <v>-2.8</v>
      </c>
      <c r="BM185" s="14">
        <v>-0.74000000000000021</v>
      </c>
      <c r="BN185" s="14">
        <v>19.399999999999999</v>
      </c>
      <c r="BO185" s="14">
        <v>-3</v>
      </c>
      <c r="BP185" s="14">
        <v>-3.620000000000001</v>
      </c>
      <c r="BQ185" s="14">
        <v>-14.200000000000003</v>
      </c>
      <c r="BR185" s="14">
        <v>0.79999999999999982</v>
      </c>
      <c r="BS185" s="14">
        <v>1.4599999999999991</v>
      </c>
      <c r="BT185" s="14">
        <v>6</v>
      </c>
      <c r="BU185" s="14">
        <v>4.5999999999999996</v>
      </c>
      <c r="BV185" s="14">
        <v>-2.0199999999999996</v>
      </c>
      <c r="BW185" s="14">
        <v>-10.200000000000003</v>
      </c>
      <c r="BX185" s="14">
        <v>4</v>
      </c>
      <c r="BY185" s="48">
        <v>-4.9799999999999986</v>
      </c>
      <c r="BZ185" s="14">
        <v>-11.799999999999997</v>
      </c>
      <c r="CA185" s="14">
        <v>-1.2000000000000002</v>
      </c>
      <c r="CB185" s="14">
        <v>-1.5999999999999996</v>
      </c>
      <c r="CC185" s="14">
        <v>-0.39999999999999991</v>
      </c>
      <c r="CD185" s="14">
        <v>7.4</v>
      </c>
      <c r="CE185" s="14">
        <v>0.15265950442421028</v>
      </c>
      <c r="CF185" s="14">
        <v>7.0652470652470684E-3</v>
      </c>
      <c r="CG185" s="14">
        <v>0.18183150183150187</v>
      </c>
      <c r="CH185" s="14">
        <v>8.1999999999999993</v>
      </c>
      <c r="CI185" s="14">
        <v>5</v>
      </c>
      <c r="CJ185" s="14">
        <v>-6.3999999999999986</v>
      </c>
      <c r="CK185" s="14">
        <v>-3.6</v>
      </c>
      <c r="CL185" s="14">
        <v>-2</v>
      </c>
      <c r="CM185" s="14">
        <v>-16.399999999999999</v>
      </c>
      <c r="CN185" s="14">
        <v>7</v>
      </c>
      <c r="CO185" s="14">
        <v>-18</v>
      </c>
      <c r="CP185" s="14">
        <v>36.599999999999994</v>
      </c>
      <c r="CQ185" s="14">
        <v>-40.200000000000003</v>
      </c>
      <c r="CR185" s="14">
        <v>0.8</v>
      </c>
      <c r="CS185" s="14">
        <v>-15.2</v>
      </c>
      <c r="CT185" t="s">
        <v>251</v>
      </c>
      <c r="CU185" t="s">
        <v>456</v>
      </c>
    </row>
    <row r="186" spans="1:99" x14ac:dyDescent="0.2">
      <c r="A186" s="19">
        <v>44129</v>
      </c>
      <c r="B186">
        <v>7</v>
      </c>
      <c r="C186" s="13" t="s">
        <v>250</v>
      </c>
      <c r="D186" s="17" t="s">
        <v>272</v>
      </c>
      <c r="E186" s="14" t="s">
        <v>281</v>
      </c>
      <c r="F186" t="s">
        <v>492</v>
      </c>
      <c r="G186">
        <v>38.64</v>
      </c>
      <c r="H186" t="s">
        <v>493</v>
      </c>
      <c r="I186">
        <v>20.6</v>
      </c>
      <c r="J186">
        <v>13</v>
      </c>
      <c r="K186">
        <v>37</v>
      </c>
      <c r="L186">
        <v>5</v>
      </c>
      <c r="M186" t="s">
        <v>494</v>
      </c>
      <c r="N186">
        <v>1.6</v>
      </c>
      <c r="O186">
        <v>1</v>
      </c>
      <c r="P186">
        <v>3</v>
      </c>
      <c r="Q186">
        <v>1</v>
      </c>
      <c r="R186" t="s">
        <v>91</v>
      </c>
      <c r="S186">
        <v>30.74</v>
      </c>
      <c r="T186">
        <v>101</v>
      </c>
      <c r="U186">
        <v>13</v>
      </c>
      <c r="V186" t="s">
        <v>495</v>
      </c>
      <c r="W186">
        <v>18.8</v>
      </c>
      <c r="X186">
        <v>71</v>
      </c>
      <c r="Y186">
        <v>5</v>
      </c>
      <c r="Z186" t="s">
        <v>496</v>
      </c>
      <c r="AA186">
        <v>15.2</v>
      </c>
      <c r="AB186">
        <v>82</v>
      </c>
      <c r="AC186">
        <v>13</v>
      </c>
      <c r="AD186">
        <v>47.8</v>
      </c>
      <c r="AE186">
        <v>188</v>
      </c>
      <c r="AF186">
        <v>21</v>
      </c>
      <c r="AG186" t="s">
        <v>497</v>
      </c>
      <c r="AH186">
        <v>10.199999999999999</v>
      </c>
      <c r="AI186">
        <v>52</v>
      </c>
      <c r="AJ186">
        <v>6</v>
      </c>
      <c r="AK186">
        <v>10</v>
      </c>
      <c r="AL186">
        <v>2</v>
      </c>
      <c r="AM186">
        <v>-2</v>
      </c>
      <c r="AN186" s="21">
        <v>0.21153846153846154</v>
      </c>
      <c r="AO186" s="21">
        <v>7.6923076923076927E-2</v>
      </c>
      <c r="AP186" s="21">
        <v>0.2857142857142857</v>
      </c>
      <c r="AQ186" s="35">
        <v>7</v>
      </c>
      <c r="AR186" s="35">
        <v>47</v>
      </c>
      <c r="AS186" s="35">
        <v>14</v>
      </c>
      <c r="AT186" s="35">
        <v>6</v>
      </c>
      <c r="AU186" s="35">
        <v>73</v>
      </c>
      <c r="AV186" s="35">
        <v>34</v>
      </c>
      <c r="AW186" s="35">
        <v>0</v>
      </c>
      <c r="AX186">
        <v>487</v>
      </c>
      <c r="AY186" s="35">
        <v>406</v>
      </c>
      <c r="AZ186" s="35">
        <v>40</v>
      </c>
      <c r="BA186" s="35">
        <v>7</v>
      </c>
      <c r="BB186" s="35">
        <v>34</v>
      </c>
      <c r="BC186" t="s">
        <v>281</v>
      </c>
      <c r="BD186" s="14">
        <v>18.184000000000001</v>
      </c>
      <c r="BE186" s="14">
        <v>3.860000000000003</v>
      </c>
      <c r="BF186" s="14">
        <v>-0.80000000000000071</v>
      </c>
      <c r="BG186" s="14">
        <v>-24.4</v>
      </c>
      <c r="BH186" s="14">
        <v>1.2000000000000002</v>
      </c>
      <c r="BI186" s="14">
        <v>-6.4</v>
      </c>
      <c r="BJ186" s="14">
        <v>-2.6</v>
      </c>
      <c r="BK186" s="14">
        <v>-8.8000000000000007</v>
      </c>
      <c r="BL186" s="14">
        <v>-2.6</v>
      </c>
      <c r="BM186" s="14">
        <v>10.7</v>
      </c>
      <c r="BN186" s="14">
        <v>14.599999999999994</v>
      </c>
      <c r="BO186" s="14">
        <v>3.8000000000000007</v>
      </c>
      <c r="BP186" s="14">
        <v>4.76</v>
      </c>
      <c r="BQ186" s="14">
        <v>25.200000000000003</v>
      </c>
      <c r="BR186" s="14">
        <v>-2</v>
      </c>
      <c r="BS186" s="14">
        <v>9.34</v>
      </c>
      <c r="BT186" s="14">
        <v>52.6</v>
      </c>
      <c r="BU186" s="14">
        <v>8.1999999999999993</v>
      </c>
      <c r="BV186" s="14">
        <v>21.019999999999996</v>
      </c>
      <c r="BW186" s="14">
        <v>76.2</v>
      </c>
      <c r="BX186" s="14">
        <v>6</v>
      </c>
      <c r="BY186" s="48">
        <v>-2.0400000000000009</v>
      </c>
      <c r="BZ186" s="14">
        <v>5.6000000000000014</v>
      </c>
      <c r="CA186" s="14">
        <v>-2</v>
      </c>
      <c r="CB186" s="14">
        <v>2.8</v>
      </c>
      <c r="CC186" s="14">
        <v>0.60000000000000009</v>
      </c>
      <c r="CD186" s="14">
        <v>-7.2</v>
      </c>
      <c r="CE186" s="14">
        <v>-4.3496172299337915E-2</v>
      </c>
      <c r="CF186" s="14">
        <v>2.1238962207166957E-2</v>
      </c>
      <c r="CG186" s="14">
        <v>-0.18274725274725268</v>
      </c>
      <c r="CH186" s="14">
        <v>-0.40000000000000036</v>
      </c>
      <c r="CI186" s="14">
        <v>4.6000000000000014</v>
      </c>
      <c r="CJ186" s="14">
        <v>-4.8000000000000007</v>
      </c>
      <c r="CK186" s="14">
        <v>2.4</v>
      </c>
      <c r="CL186" s="14">
        <v>4.4000000000000057</v>
      </c>
      <c r="CM186" s="14">
        <v>7</v>
      </c>
      <c r="CN186" s="14">
        <v>-2.8</v>
      </c>
      <c r="CO186" s="14">
        <v>106.19999999999999</v>
      </c>
      <c r="CP186" s="14">
        <v>115.39999999999998</v>
      </c>
      <c r="CQ186" s="14">
        <v>-35</v>
      </c>
      <c r="CR186" s="14">
        <v>-1.4000000000000004</v>
      </c>
      <c r="CS186" s="14">
        <v>27.2</v>
      </c>
      <c r="CT186" t="s">
        <v>266</v>
      </c>
      <c r="CU186" t="s">
        <v>498</v>
      </c>
    </row>
    <row r="187" spans="1:99" x14ac:dyDescent="0.2">
      <c r="A187" s="19">
        <v>44129</v>
      </c>
      <c r="B187">
        <v>7</v>
      </c>
      <c r="C187" s="13" t="s">
        <v>250</v>
      </c>
      <c r="D187" s="41" t="s">
        <v>276</v>
      </c>
      <c r="E187" s="14" t="s">
        <v>298</v>
      </c>
      <c r="F187" t="s">
        <v>503</v>
      </c>
      <c r="G187">
        <v>20.38</v>
      </c>
      <c r="H187" t="s">
        <v>504</v>
      </c>
      <c r="I187">
        <v>6.7</v>
      </c>
      <c r="J187">
        <v>8</v>
      </c>
      <c r="K187">
        <v>29</v>
      </c>
      <c r="L187">
        <v>5</v>
      </c>
      <c r="M187" t="s">
        <v>505</v>
      </c>
      <c r="N187">
        <v>10.199999999999999</v>
      </c>
      <c r="O187">
        <v>7</v>
      </c>
      <c r="P187">
        <v>47</v>
      </c>
      <c r="Q187">
        <v>3</v>
      </c>
      <c r="R187" t="s">
        <v>44</v>
      </c>
      <c r="S187">
        <v>10.8</v>
      </c>
      <c r="T187">
        <v>48</v>
      </c>
      <c r="U187">
        <v>11</v>
      </c>
      <c r="V187" t="s">
        <v>46</v>
      </c>
      <c r="W187">
        <v>25.2</v>
      </c>
      <c r="X187">
        <v>112</v>
      </c>
      <c r="Y187">
        <v>12</v>
      </c>
      <c r="Z187" t="s">
        <v>506</v>
      </c>
      <c r="AA187">
        <v>2.1</v>
      </c>
      <c r="AB187">
        <v>11</v>
      </c>
      <c r="AC187">
        <v>3</v>
      </c>
      <c r="AD187">
        <v>25.3</v>
      </c>
      <c r="AE187">
        <v>123</v>
      </c>
      <c r="AF187">
        <v>15</v>
      </c>
      <c r="AG187" t="s">
        <v>507</v>
      </c>
      <c r="AH187">
        <v>10.4</v>
      </c>
      <c r="AI187">
        <v>64</v>
      </c>
      <c r="AJ187">
        <v>4</v>
      </c>
      <c r="AK187">
        <v>21</v>
      </c>
      <c r="AL187">
        <v>8</v>
      </c>
      <c r="AM187">
        <v>14</v>
      </c>
      <c r="AN187" s="21">
        <v>0.41666666666666669</v>
      </c>
      <c r="AO187" s="21">
        <v>4.1666666666666664E-2</v>
      </c>
      <c r="AP187" s="21">
        <v>0.5714285714285714</v>
      </c>
      <c r="AQ187" s="35">
        <v>5</v>
      </c>
      <c r="AR187" s="35">
        <v>43</v>
      </c>
      <c r="AS187" s="35">
        <v>15</v>
      </c>
      <c r="AT187" s="35">
        <v>11</v>
      </c>
      <c r="AU187" s="35">
        <v>72</v>
      </c>
      <c r="AV187" s="35">
        <v>18</v>
      </c>
      <c r="AW187" s="35">
        <v>0</v>
      </c>
      <c r="AX187">
        <v>433</v>
      </c>
      <c r="AY187" s="35">
        <v>307</v>
      </c>
      <c r="AZ187" s="35">
        <v>76</v>
      </c>
      <c r="BA187" s="35">
        <v>-11</v>
      </c>
      <c r="BB187" s="35">
        <v>61</v>
      </c>
      <c r="BC187" t="s">
        <v>298</v>
      </c>
      <c r="BD187" s="14">
        <v>2.1840000000000011</v>
      </c>
      <c r="BE187" s="14">
        <v>-11.2</v>
      </c>
      <c r="BF187" s="14">
        <v>-8</v>
      </c>
      <c r="BG187" s="14">
        <v>-52.8</v>
      </c>
      <c r="BH187" s="14">
        <v>2.8</v>
      </c>
      <c r="BI187" s="14">
        <v>1.4600000000000009</v>
      </c>
      <c r="BJ187" s="14">
        <v>0.40000000000000036</v>
      </c>
      <c r="BK187" s="14">
        <v>29</v>
      </c>
      <c r="BL187" s="14">
        <v>-0.39999999999999991</v>
      </c>
      <c r="BM187" s="14">
        <v>-2.7200000000000006</v>
      </c>
      <c r="BN187" s="14">
        <v>-21.200000000000003</v>
      </c>
      <c r="BO187" s="14">
        <v>5.6</v>
      </c>
      <c r="BP187" s="14">
        <v>13.479999999999997</v>
      </c>
      <c r="BQ187" s="14">
        <v>60.8</v>
      </c>
      <c r="BR187" s="14">
        <v>7.2</v>
      </c>
      <c r="BS187" s="14">
        <v>-3.22</v>
      </c>
      <c r="BT187" s="14">
        <v>-16.2</v>
      </c>
      <c r="BU187" s="14">
        <v>-1.2000000000000002</v>
      </c>
      <c r="BV187" s="14">
        <v>8.2399999999999984</v>
      </c>
      <c r="BW187" s="14">
        <v>44.400000000000006</v>
      </c>
      <c r="BX187" s="14">
        <v>7.4</v>
      </c>
      <c r="BY187" s="48">
        <v>-2.8599999999999994</v>
      </c>
      <c r="BZ187" s="14">
        <v>19.399999999999999</v>
      </c>
      <c r="CA187" s="14">
        <v>-0.40000000000000036</v>
      </c>
      <c r="CB187" s="14">
        <v>10.4</v>
      </c>
      <c r="CC187" s="14">
        <v>6</v>
      </c>
      <c r="CD187" s="14">
        <v>2.1999999999999993</v>
      </c>
      <c r="CE187" s="14">
        <v>9.1550084889643446E-2</v>
      </c>
      <c r="CF187" s="14">
        <v>3.9035087719298187E-3</v>
      </c>
      <c r="CG187" s="14">
        <v>2.8095238095238062E-2</v>
      </c>
      <c r="CH187" s="14">
        <v>1</v>
      </c>
      <c r="CI187" s="14">
        <v>13.2</v>
      </c>
      <c r="CJ187" s="14">
        <v>-10.399999999999999</v>
      </c>
      <c r="CK187" s="14">
        <v>7</v>
      </c>
      <c r="CL187" s="14">
        <v>11.600000000000001</v>
      </c>
      <c r="CM187" s="14">
        <v>-10.399999999999999</v>
      </c>
      <c r="CN187" s="14">
        <v>-3.2</v>
      </c>
      <c r="CO187" s="14">
        <v>50.800000000000011</v>
      </c>
      <c r="CP187" s="14">
        <v>55.400000000000006</v>
      </c>
      <c r="CQ187" s="14">
        <v>-47.2</v>
      </c>
      <c r="CR187" s="14">
        <v>-11</v>
      </c>
      <c r="CS187" s="14">
        <v>53.6</v>
      </c>
      <c r="CT187" t="s">
        <v>262</v>
      </c>
      <c r="CU187" t="s">
        <v>473</v>
      </c>
    </row>
    <row r="188" spans="1:99" x14ac:dyDescent="0.2">
      <c r="A188" s="19">
        <v>44129</v>
      </c>
      <c r="B188">
        <v>7</v>
      </c>
      <c r="C188" s="13" t="s">
        <v>250</v>
      </c>
      <c r="D188" s="41" t="s">
        <v>278</v>
      </c>
      <c r="E188" s="14" t="s">
        <v>288</v>
      </c>
      <c r="F188" t="s">
        <v>511</v>
      </c>
      <c r="G188">
        <v>14.96</v>
      </c>
      <c r="H188" t="s">
        <v>512</v>
      </c>
      <c r="I188">
        <v>14</v>
      </c>
      <c r="J188">
        <v>17</v>
      </c>
      <c r="K188">
        <v>68</v>
      </c>
      <c r="L188">
        <v>4</v>
      </c>
      <c r="M188" t="s">
        <v>513</v>
      </c>
      <c r="N188">
        <v>7.9</v>
      </c>
      <c r="O188">
        <v>9</v>
      </c>
      <c r="P188">
        <v>79</v>
      </c>
      <c r="Q188">
        <v>0</v>
      </c>
      <c r="R188" t="s">
        <v>514</v>
      </c>
      <c r="S188">
        <v>4</v>
      </c>
      <c r="T188">
        <v>20</v>
      </c>
      <c r="U188">
        <v>4</v>
      </c>
      <c r="V188" t="s">
        <v>170</v>
      </c>
      <c r="W188">
        <v>7.4</v>
      </c>
      <c r="X188">
        <v>44</v>
      </c>
      <c r="Y188">
        <v>4</v>
      </c>
      <c r="Z188" t="s">
        <v>515</v>
      </c>
      <c r="AA188">
        <v>5.4</v>
      </c>
      <c r="AB188">
        <v>24</v>
      </c>
      <c r="AC188">
        <v>3</v>
      </c>
      <c r="AD188">
        <v>9.9</v>
      </c>
      <c r="AE188">
        <v>59</v>
      </c>
      <c r="AF188">
        <v>10</v>
      </c>
      <c r="AG188" t="s">
        <v>106</v>
      </c>
      <c r="AH188">
        <v>6.8</v>
      </c>
      <c r="AI188">
        <v>38</v>
      </c>
      <c r="AJ188">
        <v>7</v>
      </c>
      <c r="AK188">
        <v>5</v>
      </c>
      <c r="AL188">
        <v>1</v>
      </c>
      <c r="AM188">
        <v>2</v>
      </c>
      <c r="AN188" s="21">
        <v>0.34090909090909088</v>
      </c>
      <c r="AO188" s="21">
        <v>6.8181818181818177E-2</v>
      </c>
      <c r="AP188" s="21">
        <v>0.33333333333333331</v>
      </c>
      <c r="AQ188" s="35">
        <v>24</v>
      </c>
      <c r="AR188" s="35">
        <v>40</v>
      </c>
      <c r="AS188" s="35">
        <v>27</v>
      </c>
      <c r="AT188" s="35">
        <v>3</v>
      </c>
      <c r="AU188" s="35">
        <v>76</v>
      </c>
      <c r="AV188" s="35">
        <v>16</v>
      </c>
      <c r="AW188" s="35">
        <v>0</v>
      </c>
      <c r="AX188">
        <v>431</v>
      </c>
      <c r="AY188" s="35">
        <v>254</v>
      </c>
      <c r="AZ188" s="35">
        <v>159</v>
      </c>
      <c r="BA188" s="35">
        <v>10</v>
      </c>
      <c r="BB188" s="35">
        <v>8</v>
      </c>
      <c r="BC188" t="s">
        <v>288</v>
      </c>
      <c r="BD188" s="14">
        <v>-3.8759999999999977</v>
      </c>
      <c r="BE188" s="14">
        <v>1.4599999999999991</v>
      </c>
      <c r="BF188" s="14">
        <v>5.1999999999999993</v>
      </c>
      <c r="BG188" s="14">
        <v>17.399999999999999</v>
      </c>
      <c r="BH188" s="14">
        <v>0.60000000000000009</v>
      </c>
      <c r="BI188" s="14">
        <v>-0.78000000000000114</v>
      </c>
      <c r="BJ188" s="14">
        <v>-1.5999999999999996</v>
      </c>
      <c r="BK188" s="14">
        <v>30.6</v>
      </c>
      <c r="BL188" s="14">
        <v>-1.4</v>
      </c>
      <c r="BM188" s="14">
        <v>-9.1600000000000019</v>
      </c>
      <c r="BN188" s="14">
        <v>-41.6</v>
      </c>
      <c r="BO188" s="14">
        <v>-2.5999999999999996</v>
      </c>
      <c r="BP188" s="14">
        <v>-3.08</v>
      </c>
      <c r="BQ188" s="14">
        <v>13.2</v>
      </c>
      <c r="BR188" s="14">
        <v>-0.40000000000000036</v>
      </c>
      <c r="BS188" s="14">
        <v>-0.73999999999999844</v>
      </c>
      <c r="BT188" s="14">
        <v>-5.3999999999999986</v>
      </c>
      <c r="BU188" s="14">
        <v>-0.20000000000000018</v>
      </c>
      <c r="BV188" s="14">
        <v>-1.6199999999999992</v>
      </c>
      <c r="BW188" s="14">
        <v>3.7999999999999972</v>
      </c>
      <c r="BX188" s="14">
        <v>1.4000000000000004</v>
      </c>
      <c r="BY188" s="48">
        <v>-0.60000000000000053</v>
      </c>
      <c r="BZ188" s="14">
        <v>6</v>
      </c>
      <c r="CA188" s="14">
        <v>1.4000000000000004</v>
      </c>
      <c r="CB188" s="14">
        <v>-2.8</v>
      </c>
      <c r="CC188" s="14">
        <v>-0.8</v>
      </c>
      <c r="CD188" s="14">
        <v>-2.2000000000000002</v>
      </c>
      <c r="CE188" s="14">
        <v>-2.5961158080811064E-2</v>
      </c>
      <c r="CF188" s="14">
        <v>1.8792261974226024E-2</v>
      </c>
      <c r="CG188" s="14">
        <v>-0.33257575757575758</v>
      </c>
      <c r="CH188" s="14">
        <v>17.2</v>
      </c>
      <c r="CI188" s="14">
        <v>8.8000000000000007</v>
      </c>
      <c r="CJ188" s="14">
        <v>1.3999999999999986</v>
      </c>
      <c r="CK188" s="14">
        <v>-2.5999999999999996</v>
      </c>
      <c r="CL188" s="14">
        <v>11.400000000000006</v>
      </c>
      <c r="CM188" s="14">
        <v>-4</v>
      </c>
      <c r="CN188" s="14">
        <v>-1.4</v>
      </c>
      <c r="CO188" s="14">
        <v>66.800000000000011</v>
      </c>
      <c r="CP188" s="14">
        <v>40.599999999999994</v>
      </c>
      <c r="CQ188" s="14">
        <v>42.400000000000006</v>
      </c>
      <c r="CR188" s="14">
        <v>6.8</v>
      </c>
      <c r="CS188" s="14">
        <v>-23</v>
      </c>
      <c r="CT188" t="s">
        <v>270</v>
      </c>
      <c r="CU188" t="s">
        <v>508</v>
      </c>
    </row>
    <row r="189" spans="1:99" x14ac:dyDescent="0.2">
      <c r="A189" s="19">
        <v>44129</v>
      </c>
      <c r="B189">
        <v>7</v>
      </c>
      <c r="C189" s="13" t="s">
        <v>250</v>
      </c>
      <c r="D189" s="41" t="s">
        <v>281</v>
      </c>
      <c r="E189" s="14" t="s">
        <v>272</v>
      </c>
      <c r="F189" t="s">
        <v>522</v>
      </c>
      <c r="G189">
        <v>30.78</v>
      </c>
      <c r="H189" t="s">
        <v>523</v>
      </c>
      <c r="I189">
        <v>19.2</v>
      </c>
      <c r="J189">
        <v>18</v>
      </c>
      <c r="K189">
        <v>76</v>
      </c>
      <c r="L189">
        <v>4</v>
      </c>
      <c r="M189" t="s">
        <v>524</v>
      </c>
      <c r="N189">
        <v>0.3</v>
      </c>
      <c r="O189">
        <v>1</v>
      </c>
      <c r="P189">
        <v>3</v>
      </c>
      <c r="Q189">
        <v>0</v>
      </c>
      <c r="R189" t="s">
        <v>52</v>
      </c>
      <c r="S189">
        <v>10.96</v>
      </c>
      <c r="T189">
        <v>48</v>
      </c>
      <c r="U189">
        <v>6</v>
      </c>
      <c r="V189" t="s">
        <v>525</v>
      </c>
      <c r="W189">
        <v>20</v>
      </c>
      <c r="X189">
        <v>110</v>
      </c>
      <c r="Y189">
        <v>6</v>
      </c>
      <c r="Z189" t="s">
        <v>526</v>
      </c>
      <c r="AA189">
        <v>14.6</v>
      </c>
      <c r="AB189">
        <v>56</v>
      </c>
      <c r="AC189">
        <v>3</v>
      </c>
      <c r="AD189">
        <v>26.4</v>
      </c>
      <c r="AE189">
        <v>134</v>
      </c>
      <c r="AF189">
        <v>10</v>
      </c>
      <c r="AG189" t="s">
        <v>527</v>
      </c>
      <c r="AH189">
        <v>21.6</v>
      </c>
      <c r="AI189">
        <v>56</v>
      </c>
      <c r="AJ189">
        <v>5</v>
      </c>
      <c r="AK189">
        <v>8</v>
      </c>
      <c r="AL189">
        <v>1</v>
      </c>
      <c r="AM189">
        <v>7</v>
      </c>
      <c r="AN189" s="21">
        <v>0.17241379310344829</v>
      </c>
      <c r="AO189" s="21">
        <v>0</v>
      </c>
      <c r="AP189" s="21">
        <v>0.8</v>
      </c>
      <c r="AQ189" s="35">
        <v>-2</v>
      </c>
      <c r="AR189" s="35">
        <v>28</v>
      </c>
      <c r="AS189" s="35">
        <v>19</v>
      </c>
      <c r="AT189" s="35">
        <v>1</v>
      </c>
      <c r="AU189" s="35">
        <v>51</v>
      </c>
      <c r="AV189" s="35">
        <v>37</v>
      </c>
      <c r="AW189" s="35">
        <v>0</v>
      </c>
      <c r="AX189">
        <v>379</v>
      </c>
      <c r="AY189" s="35">
        <v>297</v>
      </c>
      <c r="AZ189" s="35">
        <v>79</v>
      </c>
      <c r="BA189" s="35">
        <v>4</v>
      </c>
      <c r="BB189" s="35">
        <v>-1</v>
      </c>
      <c r="BC189" t="s">
        <v>272</v>
      </c>
      <c r="BD189" s="14">
        <v>9.1920000000000002</v>
      </c>
      <c r="BE189" s="14">
        <v>3.2200000000000006</v>
      </c>
      <c r="BF189" s="14">
        <v>2</v>
      </c>
      <c r="BG189" s="14">
        <v>-6.2000000000000028</v>
      </c>
      <c r="BH189" s="14">
        <v>0.60000000000000009</v>
      </c>
      <c r="BI189" s="14">
        <v>-7.9200000000000008</v>
      </c>
      <c r="BJ189" s="14">
        <v>-1.7999999999999998</v>
      </c>
      <c r="BK189" s="14">
        <v>-22.6</v>
      </c>
      <c r="BL189" s="14">
        <v>-2.2000000000000002</v>
      </c>
      <c r="BM189" s="14">
        <v>-6.9200000000000017</v>
      </c>
      <c r="BN189" s="14">
        <v>-17.799999999999997</v>
      </c>
      <c r="BO189" s="14">
        <v>-2.1999999999999993</v>
      </c>
      <c r="BP189" s="14">
        <v>10.379999999999999</v>
      </c>
      <c r="BQ189" s="14">
        <v>67.2</v>
      </c>
      <c r="BR189" s="14">
        <v>1.5999999999999996</v>
      </c>
      <c r="BS189" s="14">
        <v>6.9600000000000009</v>
      </c>
      <c r="BT189" s="14">
        <v>13.600000000000001</v>
      </c>
      <c r="BU189" s="14">
        <v>-1.4000000000000004</v>
      </c>
      <c r="BV189" s="14">
        <v>7.3599999999999994</v>
      </c>
      <c r="BW189" s="14">
        <v>47.599999999999994</v>
      </c>
      <c r="BX189" s="14">
        <v>-1.4000000000000004</v>
      </c>
      <c r="BY189" s="48">
        <v>9.2200000000000006</v>
      </c>
      <c r="BZ189" s="14">
        <v>10.399999999999999</v>
      </c>
      <c r="CA189" s="14">
        <v>-1.7999999999999998</v>
      </c>
      <c r="CB189" s="14">
        <v>-2</v>
      </c>
      <c r="CC189" s="14">
        <v>-1.4</v>
      </c>
      <c r="CD189" s="14">
        <v>-1.8000000000000007</v>
      </c>
      <c r="CE189" s="14">
        <v>-0.10820281251315733</v>
      </c>
      <c r="CF189" s="14">
        <v>-3.3620268620268616E-2</v>
      </c>
      <c r="CG189" s="14">
        <v>9.7142857142857197E-2</v>
      </c>
      <c r="CH189" s="14">
        <v>-5.4</v>
      </c>
      <c r="CI189" s="14">
        <v>-10.200000000000003</v>
      </c>
      <c r="CJ189" s="14">
        <v>-2</v>
      </c>
      <c r="CK189" s="14">
        <v>-3</v>
      </c>
      <c r="CL189" s="14">
        <v>-14.799999999999997</v>
      </c>
      <c r="CM189" s="14">
        <v>10.199999999999999</v>
      </c>
      <c r="CN189" s="14">
        <v>-1.4</v>
      </c>
      <c r="CO189" s="14">
        <v>-30</v>
      </c>
      <c r="CP189" s="14">
        <v>27.800000000000011</v>
      </c>
      <c r="CQ189" s="14">
        <v>-34.599999999999994</v>
      </c>
      <c r="CR189" s="14">
        <v>-4.5999999999999996</v>
      </c>
      <c r="CS189" s="14">
        <v>-18.600000000000001</v>
      </c>
      <c r="CT189" t="s">
        <v>277</v>
      </c>
      <c r="CU189" t="s">
        <v>528</v>
      </c>
    </row>
    <row r="190" spans="1:99" x14ac:dyDescent="0.2">
      <c r="A190" s="19">
        <v>44129</v>
      </c>
      <c r="B190">
        <v>7</v>
      </c>
      <c r="C190" s="13" t="s">
        <v>250</v>
      </c>
      <c r="D190" s="41" t="s">
        <v>284</v>
      </c>
      <c r="E190" s="14" t="s">
        <v>303</v>
      </c>
      <c r="F190" t="s">
        <v>533</v>
      </c>
      <c r="G190">
        <v>39.86</v>
      </c>
      <c r="H190" t="s">
        <v>534</v>
      </c>
      <c r="I190">
        <v>10.6</v>
      </c>
      <c r="J190">
        <v>13</v>
      </c>
      <c r="K190">
        <v>34</v>
      </c>
      <c r="L190">
        <v>2</v>
      </c>
      <c r="M190" t="s">
        <v>535</v>
      </c>
      <c r="N190">
        <v>15.7</v>
      </c>
      <c r="O190">
        <v>11</v>
      </c>
      <c r="P190">
        <v>50</v>
      </c>
      <c r="Q190">
        <v>7</v>
      </c>
      <c r="R190" t="s">
        <v>92</v>
      </c>
      <c r="S190">
        <v>23.8</v>
      </c>
      <c r="T190">
        <v>88</v>
      </c>
      <c r="U190">
        <v>9</v>
      </c>
      <c r="V190" t="s">
        <v>20</v>
      </c>
      <c r="W190">
        <v>5.7</v>
      </c>
      <c r="X190">
        <v>37</v>
      </c>
      <c r="Y190">
        <v>2</v>
      </c>
      <c r="Z190" t="s">
        <v>162</v>
      </c>
      <c r="AA190">
        <v>25.9</v>
      </c>
      <c r="AB190">
        <v>109</v>
      </c>
      <c r="AC190">
        <v>9</v>
      </c>
      <c r="AD190">
        <v>30.3</v>
      </c>
      <c r="AE190">
        <v>143</v>
      </c>
      <c r="AF190">
        <v>11</v>
      </c>
      <c r="AG190" t="s">
        <v>536</v>
      </c>
      <c r="AH190">
        <v>17.2</v>
      </c>
      <c r="AI190">
        <v>62</v>
      </c>
      <c r="AJ190">
        <v>8</v>
      </c>
      <c r="AK190">
        <v>9</v>
      </c>
      <c r="AL190">
        <v>1</v>
      </c>
      <c r="AM190">
        <v>6</v>
      </c>
      <c r="AN190" s="21">
        <v>6.6666666666666666E-2</v>
      </c>
      <c r="AO190" s="21">
        <v>0</v>
      </c>
      <c r="AP190" s="21">
        <v>0.5</v>
      </c>
      <c r="AQ190" s="35">
        <v>-4</v>
      </c>
      <c r="AR190" s="35">
        <v>45</v>
      </c>
      <c r="AS190" s="35">
        <v>24</v>
      </c>
      <c r="AT190" s="35">
        <v>1</v>
      </c>
      <c r="AU190" s="35">
        <v>70</v>
      </c>
      <c r="AV190" s="35">
        <v>45</v>
      </c>
      <c r="AW190" s="35">
        <v>0</v>
      </c>
      <c r="AX190">
        <v>454</v>
      </c>
      <c r="AY190" s="35">
        <v>369</v>
      </c>
      <c r="AZ190" s="35">
        <v>84</v>
      </c>
      <c r="BA190" s="35">
        <v>0</v>
      </c>
      <c r="BB190" s="35">
        <v>1</v>
      </c>
      <c r="BC190" t="s">
        <v>303</v>
      </c>
      <c r="BD190" s="14">
        <v>17.414999999999996</v>
      </c>
      <c r="BE190" s="14">
        <v>-12.600000000000003</v>
      </c>
      <c r="BF190" s="14">
        <v>1.25</v>
      </c>
      <c r="BG190" s="14">
        <v>-21.75</v>
      </c>
      <c r="BH190" s="14">
        <v>-6.25</v>
      </c>
      <c r="BI190" s="14">
        <v>8.3999999999999986</v>
      </c>
      <c r="BJ190" s="14">
        <v>7.75</v>
      </c>
      <c r="BK190" s="14">
        <v>16.25</v>
      </c>
      <c r="BL190" s="14">
        <v>4.5</v>
      </c>
      <c r="BM190" s="14">
        <v>9.65</v>
      </c>
      <c r="BN190" s="14">
        <v>19.25</v>
      </c>
      <c r="BO190" s="14">
        <v>2.5</v>
      </c>
      <c r="BP190" s="14">
        <v>-1.0750000000000002</v>
      </c>
      <c r="BQ190" s="14">
        <v>9.25</v>
      </c>
      <c r="BR190" s="14">
        <v>-1.25</v>
      </c>
      <c r="BS190" s="14">
        <v>18.100000000000001</v>
      </c>
      <c r="BT190" s="14">
        <v>74.25</v>
      </c>
      <c r="BU190" s="14">
        <v>5</v>
      </c>
      <c r="BV190" s="14">
        <v>11.025000000000002</v>
      </c>
      <c r="BW190" s="14">
        <v>52.75</v>
      </c>
      <c r="BX190" s="14">
        <v>1.25</v>
      </c>
      <c r="BY190" s="48">
        <v>7.0249999999999986</v>
      </c>
      <c r="BZ190" s="14">
        <v>27.75</v>
      </c>
      <c r="CA190" s="14">
        <v>2.75</v>
      </c>
      <c r="CB190" s="14">
        <v>1.5</v>
      </c>
      <c r="CC190" s="14">
        <v>-0.5</v>
      </c>
      <c r="CD190" s="14">
        <v>0</v>
      </c>
      <c r="CE190" s="14">
        <v>-0.25122899754129158</v>
      </c>
      <c r="CF190" s="14">
        <v>-3.7977771753862834E-2</v>
      </c>
      <c r="CG190" s="14">
        <v>-0.19107142857142856</v>
      </c>
      <c r="CH190" s="14">
        <v>-6.25</v>
      </c>
      <c r="CI190" s="14">
        <v>9.25</v>
      </c>
      <c r="CJ190" s="14">
        <v>6.25</v>
      </c>
      <c r="CK190" s="14">
        <v>-4</v>
      </c>
      <c r="CL190" s="14">
        <v>7.5</v>
      </c>
      <c r="CM190" s="14">
        <v>16.25</v>
      </c>
      <c r="CN190" s="14">
        <v>-1.75</v>
      </c>
      <c r="CO190" s="14">
        <v>52.5</v>
      </c>
      <c r="CP190" s="14">
        <v>93.5</v>
      </c>
      <c r="CQ190" s="14">
        <v>-16.25</v>
      </c>
      <c r="CR190" s="14">
        <v>-12</v>
      </c>
      <c r="CS190" s="14">
        <v>-12.75</v>
      </c>
      <c r="CT190" t="s">
        <v>247</v>
      </c>
      <c r="CU190" t="s">
        <v>510</v>
      </c>
    </row>
    <row r="191" spans="1:99" x14ac:dyDescent="0.2">
      <c r="A191" s="19">
        <v>44129</v>
      </c>
      <c r="B191">
        <v>7</v>
      </c>
      <c r="C191" s="13" t="s">
        <v>250</v>
      </c>
      <c r="D191" s="41" t="s">
        <v>285</v>
      </c>
      <c r="E191" s="14" t="s">
        <v>308</v>
      </c>
      <c r="F191" t="s">
        <v>541</v>
      </c>
      <c r="G191">
        <v>41.1</v>
      </c>
      <c r="H191" t="s">
        <v>542</v>
      </c>
      <c r="I191">
        <v>5.0999999999999996</v>
      </c>
      <c r="J191">
        <v>14</v>
      </c>
      <c r="K191">
        <v>34</v>
      </c>
      <c r="L191">
        <v>2</v>
      </c>
      <c r="M191" t="s">
        <v>543</v>
      </c>
      <c r="N191">
        <v>21.5</v>
      </c>
      <c r="O191">
        <v>5</v>
      </c>
      <c r="P191">
        <v>58</v>
      </c>
      <c r="Q191">
        <v>7</v>
      </c>
      <c r="R191" t="s">
        <v>22</v>
      </c>
      <c r="S191">
        <v>28.3</v>
      </c>
      <c r="T191">
        <v>103</v>
      </c>
      <c r="U191">
        <v>12</v>
      </c>
      <c r="V191" t="s">
        <v>50</v>
      </c>
      <c r="W191">
        <v>20.7</v>
      </c>
      <c r="X191">
        <v>37</v>
      </c>
      <c r="Y191">
        <v>8</v>
      </c>
      <c r="Z191" t="s">
        <v>17</v>
      </c>
      <c r="AA191">
        <v>14.2</v>
      </c>
      <c r="AB191">
        <v>62</v>
      </c>
      <c r="AC191">
        <v>8</v>
      </c>
      <c r="AD191">
        <v>24.4</v>
      </c>
      <c r="AE191">
        <v>114</v>
      </c>
      <c r="AF191">
        <v>15</v>
      </c>
      <c r="AG191" t="s">
        <v>544</v>
      </c>
      <c r="AH191">
        <v>7.7</v>
      </c>
      <c r="AI191">
        <v>57</v>
      </c>
      <c r="AJ191">
        <v>3</v>
      </c>
      <c r="AK191">
        <v>15</v>
      </c>
      <c r="AL191">
        <v>4</v>
      </c>
      <c r="AM191">
        <v>7</v>
      </c>
      <c r="AN191" s="21">
        <v>0.21153846153846154</v>
      </c>
      <c r="AO191" s="21">
        <v>0</v>
      </c>
      <c r="AP191" s="21">
        <v>0.75</v>
      </c>
      <c r="AQ191" s="35">
        <v>0</v>
      </c>
      <c r="AR191" s="35">
        <v>48</v>
      </c>
      <c r="AS191" s="35">
        <v>19</v>
      </c>
      <c r="AT191" s="35">
        <v>14</v>
      </c>
      <c r="AU191" s="35">
        <v>81</v>
      </c>
      <c r="AV191" s="35">
        <v>37</v>
      </c>
      <c r="AW191" s="35">
        <v>0</v>
      </c>
      <c r="AX191">
        <v>519</v>
      </c>
      <c r="AY191" s="35">
        <v>360</v>
      </c>
      <c r="AZ191" s="35">
        <v>92</v>
      </c>
      <c r="BA191" s="35">
        <v>0</v>
      </c>
      <c r="BB191" s="35">
        <v>67</v>
      </c>
      <c r="BC191" t="s">
        <v>308</v>
      </c>
      <c r="BD191" s="14">
        <v>12.470000000000002</v>
      </c>
      <c r="BE191" s="14">
        <v>-7.1</v>
      </c>
      <c r="BF191" s="14">
        <v>2</v>
      </c>
      <c r="BG191" s="14">
        <v>-5.5</v>
      </c>
      <c r="BH191" s="14">
        <v>-3.25</v>
      </c>
      <c r="BI191" s="14">
        <v>12.299999999999999</v>
      </c>
      <c r="BJ191" s="14">
        <v>-2.25</v>
      </c>
      <c r="BK191" s="14">
        <v>27.25</v>
      </c>
      <c r="BL191" s="14">
        <v>3.75</v>
      </c>
      <c r="BM191" s="14">
        <v>3.3499999999999979</v>
      </c>
      <c r="BN191" s="14">
        <v>-10.75</v>
      </c>
      <c r="BO191" s="14">
        <v>0</v>
      </c>
      <c r="BP191" s="14">
        <v>6.125</v>
      </c>
      <c r="BQ191" s="14">
        <v>-33.5</v>
      </c>
      <c r="BR191" s="14">
        <v>-1</v>
      </c>
      <c r="BS191" s="14">
        <v>1.5249999999999986</v>
      </c>
      <c r="BT191" s="14">
        <v>10.25</v>
      </c>
      <c r="BU191" s="14">
        <v>3</v>
      </c>
      <c r="BV191" s="14">
        <v>0.75</v>
      </c>
      <c r="BW191" s="14">
        <v>-10</v>
      </c>
      <c r="BX191" s="14">
        <v>0</v>
      </c>
      <c r="BY191" s="48">
        <v>1.2999999999999998</v>
      </c>
      <c r="BZ191" s="14">
        <v>20.5</v>
      </c>
      <c r="CA191" s="14">
        <v>-1</v>
      </c>
      <c r="CB191" s="14">
        <v>4.25</v>
      </c>
      <c r="CC191" s="14">
        <v>1.25</v>
      </c>
      <c r="CD191" s="14">
        <v>2.75</v>
      </c>
      <c r="CE191" s="14">
        <v>-4.8234209739014128E-2</v>
      </c>
      <c r="CF191" s="14">
        <v>-3.6048500230037632E-2</v>
      </c>
      <c r="CG191" s="14">
        <v>-1.2770562770562766E-2</v>
      </c>
      <c r="CH191" s="14">
        <v>-6.5</v>
      </c>
      <c r="CI191" s="14">
        <v>1.75</v>
      </c>
      <c r="CJ191" s="14">
        <v>-1.5</v>
      </c>
      <c r="CK191" s="14">
        <v>8</v>
      </c>
      <c r="CL191" s="14">
        <v>5.75</v>
      </c>
      <c r="CM191" s="14">
        <v>11.25</v>
      </c>
      <c r="CN191" s="14">
        <v>-1.75</v>
      </c>
      <c r="CO191" s="14">
        <v>52.75</v>
      </c>
      <c r="CP191" s="14">
        <v>1.75</v>
      </c>
      <c r="CQ191" s="14">
        <v>16.75</v>
      </c>
      <c r="CR191" s="14">
        <v>-2.25</v>
      </c>
      <c r="CS191" s="14">
        <v>36.5</v>
      </c>
      <c r="CT191" t="s">
        <v>238</v>
      </c>
      <c r="CU191" t="s">
        <v>451</v>
      </c>
    </row>
    <row r="192" spans="1:99" x14ac:dyDescent="0.2">
      <c r="A192" s="19">
        <v>44129</v>
      </c>
      <c r="B192">
        <v>7</v>
      </c>
      <c r="C192" s="13" t="s">
        <v>250</v>
      </c>
      <c r="D192" s="41" t="s">
        <v>287</v>
      </c>
      <c r="E192" s="14" t="s">
        <v>297</v>
      </c>
      <c r="F192" t="s">
        <v>557</v>
      </c>
      <c r="G192">
        <v>41.48</v>
      </c>
      <c r="H192" t="s">
        <v>558</v>
      </c>
      <c r="I192">
        <v>10.5</v>
      </c>
      <c r="J192">
        <v>5</v>
      </c>
      <c r="K192">
        <v>12</v>
      </c>
      <c r="L192">
        <v>6</v>
      </c>
      <c r="M192" t="s">
        <v>559</v>
      </c>
      <c r="N192">
        <v>10.3</v>
      </c>
      <c r="O192">
        <v>12</v>
      </c>
      <c r="P192">
        <v>29</v>
      </c>
      <c r="Q192">
        <v>5</v>
      </c>
      <c r="R192" t="s">
        <v>62</v>
      </c>
      <c r="S192">
        <v>25.5</v>
      </c>
      <c r="T192">
        <v>125</v>
      </c>
      <c r="U192">
        <v>13</v>
      </c>
      <c r="V192" t="s">
        <v>560</v>
      </c>
      <c r="W192">
        <v>16.399999999999999</v>
      </c>
      <c r="X192">
        <v>84</v>
      </c>
      <c r="Y192">
        <v>3</v>
      </c>
      <c r="Z192" t="s">
        <v>83</v>
      </c>
      <c r="AA192">
        <v>1.4</v>
      </c>
      <c r="AB192">
        <v>4</v>
      </c>
      <c r="AC192">
        <v>3</v>
      </c>
      <c r="AD192">
        <v>9.3000000000000007</v>
      </c>
      <c r="AE192">
        <v>53</v>
      </c>
      <c r="AF192">
        <v>9</v>
      </c>
      <c r="AG192" t="s">
        <v>117</v>
      </c>
      <c r="AH192">
        <v>5.3</v>
      </c>
      <c r="AI192">
        <v>23</v>
      </c>
      <c r="AJ192">
        <v>7</v>
      </c>
      <c r="AK192">
        <v>8</v>
      </c>
      <c r="AL192">
        <v>3</v>
      </c>
      <c r="AM192">
        <v>6</v>
      </c>
      <c r="AN192" s="21">
        <v>0.21276595744680851</v>
      </c>
      <c r="AO192" s="21">
        <v>2.1276595744680851E-2</v>
      </c>
      <c r="AP192" s="21">
        <v>0.55555555555555558</v>
      </c>
      <c r="AQ192" s="35">
        <v>5</v>
      </c>
      <c r="AR192" s="35">
        <v>43</v>
      </c>
      <c r="AS192" s="35">
        <v>18</v>
      </c>
      <c r="AT192" s="35">
        <v>10</v>
      </c>
      <c r="AU192" s="35">
        <v>77</v>
      </c>
      <c r="AV192" s="35">
        <v>39</v>
      </c>
      <c r="AW192" s="35">
        <v>0</v>
      </c>
      <c r="AX192">
        <v>486</v>
      </c>
      <c r="AY192" s="35">
        <v>351</v>
      </c>
      <c r="AZ192" s="35">
        <v>47</v>
      </c>
      <c r="BA192" s="35">
        <v>24</v>
      </c>
      <c r="BB192" s="35">
        <v>64</v>
      </c>
      <c r="BC192" t="s">
        <v>297</v>
      </c>
      <c r="BD192" s="14">
        <v>18.631999999999994</v>
      </c>
      <c r="BE192" s="14">
        <v>-11.82</v>
      </c>
      <c r="BF192" s="14">
        <v>-15.600000000000001</v>
      </c>
      <c r="BG192" s="14">
        <v>-90.6</v>
      </c>
      <c r="BH192" s="14">
        <v>1.7999999999999998</v>
      </c>
      <c r="BI192" s="14">
        <v>5.3800000000000008</v>
      </c>
      <c r="BJ192" s="14">
        <v>7</v>
      </c>
      <c r="BK192" s="14">
        <v>13.6</v>
      </c>
      <c r="BL192" s="14">
        <v>4.5999999999999996</v>
      </c>
      <c r="BM192" s="14">
        <v>10.660000000000002</v>
      </c>
      <c r="BN192" s="14">
        <v>55.400000000000006</v>
      </c>
      <c r="BO192" s="14">
        <v>6.6</v>
      </c>
      <c r="BP192" s="14">
        <v>3.5999999999999979</v>
      </c>
      <c r="BQ192" s="14">
        <v>34</v>
      </c>
      <c r="BR192" s="14">
        <v>-2.4000000000000004</v>
      </c>
      <c r="BS192" s="14">
        <v>-6.1999999999999993</v>
      </c>
      <c r="BT192" s="14">
        <v>-31.4</v>
      </c>
      <c r="BU192" s="14">
        <v>-1.2000000000000002</v>
      </c>
      <c r="BV192" s="14">
        <v>-19.479999999999993</v>
      </c>
      <c r="BW192" s="14">
        <v>-54.8</v>
      </c>
      <c r="BX192" s="14">
        <v>-1.5999999999999996</v>
      </c>
      <c r="BY192" s="48">
        <v>-7.4999999999999991</v>
      </c>
      <c r="BZ192" s="14">
        <v>-21</v>
      </c>
      <c r="CA192" s="14">
        <v>3</v>
      </c>
      <c r="CB192" s="14">
        <v>-3.8000000000000007</v>
      </c>
      <c r="CC192" s="14">
        <v>0.39999999999999991</v>
      </c>
      <c r="CD192" s="14">
        <v>-1.4000000000000004</v>
      </c>
      <c r="CE192" s="14">
        <v>-9.1304705321222673E-2</v>
      </c>
      <c r="CF192" s="14">
        <v>6.0603044253660157E-4</v>
      </c>
      <c r="CG192" s="14">
        <v>-0.15833333333333321</v>
      </c>
      <c r="CH192" s="14">
        <v>3.6</v>
      </c>
      <c r="CI192" s="14">
        <v>13.8</v>
      </c>
      <c r="CJ192" s="14">
        <v>-9.3999999999999986</v>
      </c>
      <c r="CK192" s="14">
        <v>5.6</v>
      </c>
      <c r="CL192" s="14">
        <v>14</v>
      </c>
      <c r="CM192" s="14">
        <v>6.7999999999999972</v>
      </c>
      <c r="CN192" s="14">
        <v>0</v>
      </c>
      <c r="CO192" s="14">
        <v>74.800000000000011</v>
      </c>
      <c r="CP192" s="14">
        <v>94.800000000000011</v>
      </c>
      <c r="CQ192" s="14">
        <v>-75</v>
      </c>
      <c r="CR192" s="14">
        <v>11</v>
      </c>
      <c r="CS192" s="14">
        <v>44</v>
      </c>
      <c r="CT192" t="s">
        <v>474</v>
      </c>
      <c r="CU192" t="s">
        <v>475</v>
      </c>
    </row>
    <row r="193" spans="1:99" x14ac:dyDescent="0.2">
      <c r="A193" s="19">
        <v>44129</v>
      </c>
      <c r="B193">
        <v>7</v>
      </c>
      <c r="C193" s="13" t="s">
        <v>250</v>
      </c>
      <c r="D193" s="41" t="s">
        <v>288</v>
      </c>
      <c r="E193" s="14" t="s">
        <v>278</v>
      </c>
      <c r="F193" t="s">
        <v>564</v>
      </c>
      <c r="G193">
        <v>18.32</v>
      </c>
      <c r="H193" t="s">
        <v>565</v>
      </c>
      <c r="I193">
        <v>13.3</v>
      </c>
      <c r="J193">
        <v>8</v>
      </c>
      <c r="K193">
        <v>46</v>
      </c>
      <c r="L193">
        <v>4</v>
      </c>
      <c r="M193" t="s">
        <v>566</v>
      </c>
      <c r="N193">
        <v>3.9</v>
      </c>
      <c r="O193">
        <v>6</v>
      </c>
      <c r="P193">
        <v>39</v>
      </c>
      <c r="Q193">
        <v>0</v>
      </c>
      <c r="R193" t="s">
        <v>168</v>
      </c>
      <c r="S193">
        <v>17.5</v>
      </c>
      <c r="T193">
        <v>55</v>
      </c>
      <c r="U193">
        <v>10</v>
      </c>
      <c r="V193" t="s">
        <v>567</v>
      </c>
      <c r="W193">
        <v>9</v>
      </c>
      <c r="X193">
        <v>57</v>
      </c>
      <c r="Y193">
        <v>2</v>
      </c>
      <c r="Z193" t="s">
        <v>568</v>
      </c>
      <c r="AA193">
        <v>1.4</v>
      </c>
      <c r="AB193">
        <v>4</v>
      </c>
      <c r="AC193">
        <v>1</v>
      </c>
      <c r="AD193">
        <v>18.3</v>
      </c>
      <c r="AE193">
        <v>63</v>
      </c>
      <c r="AF193">
        <v>10</v>
      </c>
      <c r="AG193" t="s">
        <v>19</v>
      </c>
      <c r="AH193">
        <v>6.1</v>
      </c>
      <c r="AI193">
        <v>31</v>
      </c>
      <c r="AJ193">
        <v>3</v>
      </c>
      <c r="AK193">
        <v>14</v>
      </c>
      <c r="AL193">
        <v>3</v>
      </c>
      <c r="AM193">
        <v>24</v>
      </c>
      <c r="AN193" s="21">
        <v>0.38461538461538464</v>
      </c>
      <c r="AO193" s="21">
        <v>0.11538461538461539</v>
      </c>
      <c r="AP193" s="21">
        <v>0.5</v>
      </c>
      <c r="AQ193" s="35">
        <v>2</v>
      </c>
      <c r="AR193" s="35">
        <v>25</v>
      </c>
      <c r="AS193" s="35">
        <v>17</v>
      </c>
      <c r="AT193" s="35">
        <v>4</v>
      </c>
      <c r="AU193" s="35">
        <v>51</v>
      </c>
      <c r="AV193" s="35">
        <v>29</v>
      </c>
      <c r="AW193" s="35">
        <v>14</v>
      </c>
      <c r="AX193" s="35">
        <v>314</v>
      </c>
      <c r="AY193" s="35">
        <v>213</v>
      </c>
      <c r="AZ193" s="35">
        <v>90</v>
      </c>
      <c r="BA193" s="35">
        <v>13</v>
      </c>
      <c r="BB193" s="35">
        <v>-2</v>
      </c>
      <c r="BC193" t="s">
        <v>278</v>
      </c>
      <c r="BD193" s="14">
        <v>-4.2299999999999969</v>
      </c>
      <c r="BE193" s="14">
        <v>0.22500000000000142</v>
      </c>
      <c r="BF193" s="14">
        <v>-3.5</v>
      </c>
      <c r="BG193" s="14">
        <v>-3.25</v>
      </c>
      <c r="BH193" s="14">
        <v>-0.25</v>
      </c>
      <c r="BI193" s="14">
        <v>0.64999999999999947</v>
      </c>
      <c r="BJ193" s="14">
        <v>2.75</v>
      </c>
      <c r="BK193" s="14">
        <v>30.5</v>
      </c>
      <c r="BL193" s="14">
        <v>-2</v>
      </c>
      <c r="BM193" s="14">
        <v>1.1700000000000017</v>
      </c>
      <c r="BN193" s="14">
        <v>-12</v>
      </c>
      <c r="BO193" s="14">
        <v>1.25</v>
      </c>
      <c r="BP193" s="14">
        <v>-2.9749999999999979</v>
      </c>
      <c r="BQ193" s="14">
        <v>14.75</v>
      </c>
      <c r="BR193" s="14">
        <v>-4.25</v>
      </c>
      <c r="BS193" s="14">
        <v>-7.4500000000000011</v>
      </c>
      <c r="BT193" s="14">
        <v>-44.5</v>
      </c>
      <c r="BU193" s="14">
        <v>-3.5</v>
      </c>
      <c r="BV193" s="14">
        <v>2.6500000000000021</v>
      </c>
      <c r="BW193" s="14">
        <v>-16</v>
      </c>
      <c r="BX193" s="14">
        <v>0.75</v>
      </c>
      <c r="BY193" s="48">
        <v>-0.40000000000000124</v>
      </c>
      <c r="BZ193" s="14">
        <v>-4</v>
      </c>
      <c r="CA193" s="14">
        <v>-1.5</v>
      </c>
      <c r="CB193" s="14">
        <v>4</v>
      </c>
      <c r="CC193" s="14">
        <v>0.5</v>
      </c>
      <c r="CD193" s="14">
        <v>12.5</v>
      </c>
      <c r="CE193" s="14">
        <v>7.5067264285798574E-2</v>
      </c>
      <c r="CF193" s="14">
        <v>3.7685225688562085E-2</v>
      </c>
      <c r="CG193" s="14">
        <v>-6.7857142857142838E-2</v>
      </c>
      <c r="CH193" s="14">
        <v>-5.25</v>
      </c>
      <c r="CI193" s="14">
        <v>-12</v>
      </c>
      <c r="CJ193" s="14">
        <v>-1</v>
      </c>
      <c r="CK193" s="14">
        <v>-2</v>
      </c>
      <c r="CL193" s="14">
        <v>-13.75</v>
      </c>
      <c r="CM193" s="14">
        <v>8.25</v>
      </c>
      <c r="CN193" s="14">
        <v>11.25</v>
      </c>
      <c r="CO193" s="14">
        <v>-44.5</v>
      </c>
      <c r="CP193" s="14">
        <v>-39.75</v>
      </c>
      <c r="CQ193" s="14">
        <v>23.75</v>
      </c>
      <c r="CR193" s="14">
        <v>13</v>
      </c>
      <c r="CS193" s="14">
        <v>-41.5</v>
      </c>
      <c r="CT193" t="s">
        <v>240</v>
      </c>
      <c r="CU193" t="s">
        <v>540</v>
      </c>
    </row>
    <row r="194" spans="1:99" x14ac:dyDescent="0.2">
      <c r="A194" s="19">
        <v>44129</v>
      </c>
      <c r="B194">
        <v>7</v>
      </c>
      <c r="C194" s="13" t="s">
        <v>250</v>
      </c>
      <c r="D194" s="41" t="s">
        <v>291</v>
      </c>
      <c r="E194" s="14" t="s">
        <v>306</v>
      </c>
      <c r="F194" t="s">
        <v>571</v>
      </c>
      <c r="G194">
        <v>5.16</v>
      </c>
      <c r="H194" t="s">
        <v>572</v>
      </c>
      <c r="I194">
        <v>6.1</v>
      </c>
      <c r="J194">
        <v>12</v>
      </c>
      <c r="K194">
        <v>45</v>
      </c>
      <c r="L194">
        <v>2</v>
      </c>
      <c r="M194" t="s">
        <v>573</v>
      </c>
      <c r="N194">
        <v>3.2</v>
      </c>
      <c r="O194">
        <v>8</v>
      </c>
      <c r="P194">
        <v>16</v>
      </c>
      <c r="Q194">
        <v>1</v>
      </c>
      <c r="R194" t="s">
        <v>116</v>
      </c>
      <c r="S194">
        <v>15.5</v>
      </c>
      <c r="T194">
        <v>80</v>
      </c>
      <c r="U194">
        <v>7</v>
      </c>
      <c r="V194" t="s">
        <v>574</v>
      </c>
      <c r="W194">
        <v>0.1</v>
      </c>
      <c r="X194">
        <v>0</v>
      </c>
      <c r="Y194">
        <v>5</v>
      </c>
      <c r="Z194" t="s">
        <v>14</v>
      </c>
      <c r="AA194">
        <v>0</v>
      </c>
      <c r="AB194">
        <v>0</v>
      </c>
      <c r="AC194">
        <v>2</v>
      </c>
      <c r="AD194">
        <v>1.8</v>
      </c>
      <c r="AE194">
        <v>8</v>
      </c>
      <c r="AF194">
        <v>6</v>
      </c>
      <c r="AG194" t="s">
        <v>575</v>
      </c>
      <c r="AH194">
        <v>4.2</v>
      </c>
      <c r="AI194">
        <v>22</v>
      </c>
      <c r="AJ194">
        <v>4</v>
      </c>
      <c r="AK194">
        <v>4</v>
      </c>
      <c r="AL194">
        <v>1</v>
      </c>
      <c r="AM194">
        <v>2</v>
      </c>
      <c r="AN194" s="21">
        <v>0.5</v>
      </c>
      <c r="AO194" s="21">
        <v>0.1875</v>
      </c>
      <c r="AP194" s="21">
        <v>0.42857142857142855</v>
      </c>
      <c r="AQ194" s="35">
        <v>17</v>
      </c>
      <c r="AR194" s="35">
        <v>22</v>
      </c>
      <c r="AS194" s="35">
        <v>20</v>
      </c>
      <c r="AT194" s="35">
        <v>4</v>
      </c>
      <c r="AU194" s="35">
        <v>54</v>
      </c>
      <c r="AV194" s="35">
        <v>3</v>
      </c>
      <c r="AW194" s="35">
        <v>0</v>
      </c>
      <c r="AX194">
        <v>197</v>
      </c>
      <c r="AY194" s="35">
        <v>114</v>
      </c>
      <c r="AZ194" s="35">
        <v>61</v>
      </c>
      <c r="BA194" s="35">
        <v>6</v>
      </c>
      <c r="BB194" s="35">
        <v>16</v>
      </c>
      <c r="BC194" t="s">
        <v>306</v>
      </c>
      <c r="BD194" s="14">
        <v>-18.188000000000002</v>
      </c>
      <c r="BE194" s="14">
        <v>-9.4400000000000013</v>
      </c>
      <c r="BF194" s="14">
        <v>-4</v>
      </c>
      <c r="BG194" s="14">
        <v>-20.400000000000006</v>
      </c>
      <c r="BH194" s="14">
        <v>0</v>
      </c>
      <c r="BI194" s="14">
        <v>-2.919999999999999</v>
      </c>
      <c r="BJ194" s="14">
        <v>0.59999999999999964</v>
      </c>
      <c r="BK194" s="14">
        <v>-13.8</v>
      </c>
      <c r="BL194" s="14">
        <v>-0.60000000000000009</v>
      </c>
      <c r="BM194" s="14">
        <v>1.0599999999999987</v>
      </c>
      <c r="BN194" s="14">
        <v>15</v>
      </c>
      <c r="BO194" s="14">
        <v>0.59999999999999964</v>
      </c>
      <c r="BP194" s="14">
        <v>-7.5200000000000005</v>
      </c>
      <c r="BQ194" s="14">
        <v>-38.200000000000003</v>
      </c>
      <c r="BR194" s="14">
        <v>0.20000000000000018</v>
      </c>
      <c r="BS194" s="14">
        <v>-4.08</v>
      </c>
      <c r="BT194" s="14">
        <v>-26.2</v>
      </c>
      <c r="BU194" s="14">
        <v>-0.79999999999999982</v>
      </c>
      <c r="BV194" s="14">
        <v>-13.08</v>
      </c>
      <c r="BW194" s="14">
        <v>-58.8</v>
      </c>
      <c r="BX194" s="14">
        <v>-1</v>
      </c>
      <c r="BY194" s="48">
        <v>-5.5600000000000014</v>
      </c>
      <c r="BZ194" s="14">
        <v>-23.6</v>
      </c>
      <c r="CA194" s="14">
        <v>0.39999999999999991</v>
      </c>
      <c r="CB194" s="14">
        <v>-5.1999999999999993</v>
      </c>
      <c r="CC194" s="14">
        <v>-0.8</v>
      </c>
      <c r="CD194" s="14">
        <v>-9</v>
      </c>
      <c r="CE194" s="14">
        <v>0.17067022318766506</v>
      </c>
      <c r="CF194" s="14">
        <v>0.13438808671948207</v>
      </c>
      <c r="CG194" s="14">
        <v>-8.9523809523809617E-2</v>
      </c>
      <c r="CH194" s="14">
        <v>14</v>
      </c>
      <c r="CI194" s="14">
        <v>-4.3999999999999986</v>
      </c>
      <c r="CJ194" s="14">
        <v>-6</v>
      </c>
      <c r="CK194" s="14">
        <v>-1.7999999999999998</v>
      </c>
      <c r="CL194" s="14">
        <v>-6.6000000000000014</v>
      </c>
      <c r="CM194" s="14">
        <v>-24.6</v>
      </c>
      <c r="CN194" s="14">
        <v>-1.4</v>
      </c>
      <c r="CO194" s="14">
        <v>-158.80000000000001</v>
      </c>
      <c r="CP194" s="14">
        <v>-97.199999999999989</v>
      </c>
      <c r="CQ194" s="14">
        <v>-43.400000000000006</v>
      </c>
      <c r="CR194" s="14">
        <v>5.4</v>
      </c>
      <c r="CS194" s="14">
        <v>-23.6</v>
      </c>
      <c r="CT194" t="s">
        <v>283</v>
      </c>
      <c r="CU194" t="s">
        <v>454</v>
      </c>
    </row>
    <row r="195" spans="1:99" x14ac:dyDescent="0.2">
      <c r="A195" s="19">
        <v>44129</v>
      </c>
      <c r="B195">
        <v>7</v>
      </c>
      <c r="C195" s="13" t="s">
        <v>250</v>
      </c>
      <c r="D195" s="41" t="s">
        <v>294</v>
      </c>
      <c r="E195" s="14" t="s">
        <v>296</v>
      </c>
      <c r="F195" t="s">
        <v>585</v>
      </c>
      <c r="G195">
        <v>31.76</v>
      </c>
      <c r="H195" t="s">
        <v>586</v>
      </c>
      <c r="I195">
        <v>18.2</v>
      </c>
      <c r="J195">
        <v>12</v>
      </c>
      <c r="K195">
        <v>46</v>
      </c>
      <c r="L195">
        <v>5</v>
      </c>
      <c r="M195" t="s">
        <v>587</v>
      </c>
      <c r="N195">
        <v>3.1</v>
      </c>
      <c r="O195">
        <v>2</v>
      </c>
      <c r="P195">
        <v>9</v>
      </c>
      <c r="Q195">
        <v>1</v>
      </c>
      <c r="R195" t="s">
        <v>588</v>
      </c>
      <c r="S195">
        <v>12.3</v>
      </c>
      <c r="T195">
        <v>73</v>
      </c>
      <c r="U195">
        <v>11</v>
      </c>
      <c r="V195" t="s">
        <v>184</v>
      </c>
      <c r="W195">
        <v>15.2</v>
      </c>
      <c r="X195">
        <v>42</v>
      </c>
      <c r="Y195">
        <v>6</v>
      </c>
      <c r="Z195" t="s">
        <v>426</v>
      </c>
      <c r="AA195">
        <v>7.6</v>
      </c>
      <c r="AB195">
        <v>34</v>
      </c>
      <c r="AC195">
        <v>5</v>
      </c>
      <c r="AD195">
        <v>16.2</v>
      </c>
      <c r="AE195">
        <v>92</v>
      </c>
      <c r="AF195">
        <v>11</v>
      </c>
      <c r="AG195" t="s">
        <v>589</v>
      </c>
      <c r="AH195">
        <v>14.5</v>
      </c>
      <c r="AI195">
        <v>85</v>
      </c>
      <c r="AJ195">
        <v>8</v>
      </c>
      <c r="AK195">
        <v>3</v>
      </c>
      <c r="AL195">
        <v>2</v>
      </c>
      <c r="AM195">
        <v>9</v>
      </c>
      <c r="AN195" s="21">
        <v>0.41666666666666669</v>
      </c>
      <c r="AO195" s="21">
        <v>6.25E-2</v>
      </c>
      <c r="AP195" s="21">
        <v>0.53846153846153844</v>
      </c>
      <c r="AQ195" s="35">
        <v>5</v>
      </c>
      <c r="AR195" s="35">
        <v>43</v>
      </c>
      <c r="AS195" s="35">
        <v>16</v>
      </c>
      <c r="AT195" s="35">
        <v>9</v>
      </c>
      <c r="AU195" s="35">
        <v>72</v>
      </c>
      <c r="AV195" s="35">
        <v>22</v>
      </c>
      <c r="AW195" s="35">
        <v>0</v>
      </c>
      <c r="AX195">
        <v>455</v>
      </c>
      <c r="AY195" s="35">
        <v>359</v>
      </c>
      <c r="AZ195" s="35">
        <v>68</v>
      </c>
      <c r="BA195" s="35">
        <v>12</v>
      </c>
      <c r="BB195" s="35">
        <v>16</v>
      </c>
      <c r="BC195" t="s">
        <v>296</v>
      </c>
      <c r="BD195" s="14">
        <v>15.060000000000002</v>
      </c>
      <c r="BE195" s="14">
        <v>1.8000000000000007</v>
      </c>
      <c r="BF195" s="14">
        <v>-1.4000000000000004</v>
      </c>
      <c r="BG195" s="14">
        <v>-9.6000000000000014</v>
      </c>
      <c r="BH195" s="14">
        <v>1</v>
      </c>
      <c r="BI195" s="14">
        <v>-6.9</v>
      </c>
      <c r="BJ195" s="14">
        <v>-5.8</v>
      </c>
      <c r="BK195" s="14">
        <v>-15</v>
      </c>
      <c r="BL195" s="14">
        <v>-1.7999999999999998</v>
      </c>
      <c r="BM195" s="14">
        <v>1.1800000000000015</v>
      </c>
      <c r="BN195" s="14">
        <v>26</v>
      </c>
      <c r="BO195" s="14">
        <v>3</v>
      </c>
      <c r="BP195" s="14">
        <v>3.0200000000000014</v>
      </c>
      <c r="BQ195" s="14">
        <v>-18.200000000000003</v>
      </c>
      <c r="BR195" s="14">
        <v>-0.40000000000000036</v>
      </c>
      <c r="BS195" s="14">
        <v>-6.8000000000001393E-2</v>
      </c>
      <c r="BT195" s="14">
        <v>8.3999999999999986</v>
      </c>
      <c r="BU195" s="14">
        <v>1.6</v>
      </c>
      <c r="BV195" s="14">
        <v>0.9399999999999995</v>
      </c>
      <c r="BW195" s="14">
        <v>19.400000000000006</v>
      </c>
      <c r="BX195" s="14">
        <v>1.4000000000000004</v>
      </c>
      <c r="BY195" s="48">
        <v>9.1</v>
      </c>
      <c r="BZ195" s="14">
        <v>63</v>
      </c>
      <c r="CA195" s="14">
        <v>4.4000000000000004</v>
      </c>
      <c r="CB195" s="14">
        <v>-5.4</v>
      </c>
      <c r="CC195" s="14">
        <v>-0.60000000000000009</v>
      </c>
      <c r="CD195" s="14">
        <v>-0.59999999999999964</v>
      </c>
      <c r="CE195" s="14">
        <v>0.1119606246244807</v>
      </c>
      <c r="CF195" s="14">
        <v>-8.5641092434123184E-3</v>
      </c>
      <c r="CG195" s="14">
        <v>-5.4871794871794832E-2</v>
      </c>
      <c r="CH195" s="14">
        <v>-2.4000000000000004</v>
      </c>
      <c r="CI195" s="14">
        <v>9</v>
      </c>
      <c r="CJ195" s="14">
        <v>-6.3999999999999986</v>
      </c>
      <c r="CK195" s="14">
        <v>5.8</v>
      </c>
      <c r="CL195" s="14">
        <v>6.4000000000000057</v>
      </c>
      <c r="CM195" s="14">
        <v>-1.8000000000000007</v>
      </c>
      <c r="CN195" s="14">
        <v>-1.4</v>
      </c>
      <c r="CO195" s="14">
        <v>97.800000000000011</v>
      </c>
      <c r="CP195" s="14">
        <v>101</v>
      </c>
      <c r="CQ195" s="14">
        <v>-14.599999999999994</v>
      </c>
      <c r="CR195" s="14">
        <v>1</v>
      </c>
      <c r="CS195" s="14">
        <v>10.4</v>
      </c>
      <c r="CT195" t="s">
        <v>245</v>
      </c>
      <c r="CU195" t="s">
        <v>472</v>
      </c>
    </row>
    <row r="196" spans="1:99" x14ac:dyDescent="0.2">
      <c r="A196" s="19">
        <v>44129</v>
      </c>
      <c r="B196">
        <v>7</v>
      </c>
      <c r="C196" s="13" t="s">
        <v>250</v>
      </c>
      <c r="D196" s="41" t="s">
        <v>295</v>
      </c>
      <c r="E196" s="14" t="s">
        <v>299</v>
      </c>
      <c r="F196" t="s">
        <v>595</v>
      </c>
      <c r="G196">
        <v>21.52</v>
      </c>
      <c r="H196" t="s">
        <v>596</v>
      </c>
      <c r="I196">
        <v>22.2</v>
      </c>
      <c r="J196">
        <v>23</v>
      </c>
      <c r="K196">
        <v>63</v>
      </c>
      <c r="L196">
        <v>3</v>
      </c>
      <c r="M196" t="s">
        <v>597</v>
      </c>
      <c r="N196">
        <v>6</v>
      </c>
      <c r="O196">
        <v>2</v>
      </c>
      <c r="P196">
        <v>3</v>
      </c>
      <c r="Q196">
        <v>3</v>
      </c>
      <c r="R196" t="s">
        <v>95</v>
      </c>
      <c r="S196">
        <v>17.7</v>
      </c>
      <c r="T196">
        <v>97</v>
      </c>
      <c r="U196">
        <v>9</v>
      </c>
      <c r="V196" t="s">
        <v>93</v>
      </c>
      <c r="W196">
        <v>19.899999999999999</v>
      </c>
      <c r="X196">
        <v>69</v>
      </c>
      <c r="Y196">
        <v>7</v>
      </c>
      <c r="Z196" t="s">
        <v>598</v>
      </c>
      <c r="AA196">
        <v>11.4</v>
      </c>
      <c r="AB196">
        <v>54</v>
      </c>
      <c r="AC196">
        <v>7</v>
      </c>
      <c r="AD196">
        <v>20.8</v>
      </c>
      <c r="AE196">
        <v>108</v>
      </c>
      <c r="AF196">
        <v>11</v>
      </c>
      <c r="AG196" t="s">
        <v>599</v>
      </c>
      <c r="AH196">
        <v>12.8</v>
      </c>
      <c r="AI196">
        <v>68</v>
      </c>
      <c r="AJ196">
        <v>7</v>
      </c>
      <c r="AK196">
        <v>2</v>
      </c>
      <c r="AL196">
        <v>0</v>
      </c>
      <c r="AM196">
        <v>2</v>
      </c>
      <c r="AN196" s="21">
        <v>0.27272727272727271</v>
      </c>
      <c r="AO196" s="21">
        <v>4.5454545454545456E-2</v>
      </c>
      <c r="AP196" s="21">
        <v>0.625</v>
      </c>
      <c r="AQ196" s="35">
        <v>4</v>
      </c>
      <c r="AR196" s="35">
        <v>42</v>
      </c>
      <c r="AS196" s="35">
        <v>25</v>
      </c>
      <c r="AT196" s="35">
        <v>0</v>
      </c>
      <c r="AU196" s="35">
        <v>68</v>
      </c>
      <c r="AV196" s="35">
        <v>22</v>
      </c>
      <c r="AW196" s="35">
        <v>0</v>
      </c>
      <c r="AX196">
        <v>403</v>
      </c>
      <c r="AY196" s="35">
        <v>338</v>
      </c>
      <c r="AZ196" s="35">
        <v>65</v>
      </c>
      <c r="BA196" s="35">
        <v>0</v>
      </c>
      <c r="BB196" s="35">
        <v>0</v>
      </c>
      <c r="BC196" t="s">
        <v>299</v>
      </c>
      <c r="BD196" s="14">
        <v>2.9999999999997584E-2</v>
      </c>
      <c r="BE196" s="14">
        <v>-1.2250000000000014</v>
      </c>
      <c r="BF196" s="14">
        <v>6.25</v>
      </c>
      <c r="BG196" s="14">
        <v>-25.25</v>
      </c>
      <c r="BH196" s="14">
        <v>-1.25</v>
      </c>
      <c r="BI196" s="14">
        <v>-3.875</v>
      </c>
      <c r="BJ196" s="14">
        <v>-4.25</v>
      </c>
      <c r="BK196" s="14">
        <v>-32</v>
      </c>
      <c r="BL196" s="14">
        <v>1</v>
      </c>
      <c r="BM196" s="14">
        <v>0.92500000000000071</v>
      </c>
      <c r="BN196" s="14">
        <v>26.75</v>
      </c>
      <c r="BO196" s="14">
        <v>0.25</v>
      </c>
      <c r="BP196" s="14">
        <v>2.8749999999999964</v>
      </c>
      <c r="BQ196" s="14">
        <v>-17.75</v>
      </c>
      <c r="BR196" s="14">
        <v>-0.25</v>
      </c>
      <c r="BS196" s="14">
        <v>9.375</v>
      </c>
      <c r="BT196" s="14">
        <v>49</v>
      </c>
      <c r="BU196" s="14">
        <v>4</v>
      </c>
      <c r="BV196" s="14">
        <v>2.7750000000000021</v>
      </c>
      <c r="BW196" s="14">
        <v>25.25</v>
      </c>
      <c r="BX196" s="14">
        <v>2</v>
      </c>
      <c r="BY196" s="48">
        <v>9.2250000000000014</v>
      </c>
      <c r="BZ196" s="14">
        <v>57.25</v>
      </c>
      <c r="CA196" s="14">
        <v>5.5</v>
      </c>
      <c r="CB196" s="14">
        <v>-4.5</v>
      </c>
      <c r="CC196" s="14">
        <v>-1.25</v>
      </c>
      <c r="CD196" s="14">
        <v>-3.25</v>
      </c>
      <c r="CE196" s="14">
        <v>1.4038216165875694E-2</v>
      </c>
      <c r="CF196" s="14">
        <v>7.2843636673423917E-3</v>
      </c>
      <c r="CG196" s="14">
        <v>-0.13557692307692304</v>
      </c>
      <c r="CH196" s="14">
        <v>1.5</v>
      </c>
      <c r="CI196" s="14">
        <v>8.5</v>
      </c>
      <c r="CJ196" s="14">
        <v>0.5</v>
      </c>
      <c r="CK196" s="14">
        <v>-4.5</v>
      </c>
      <c r="CL196" s="14">
        <v>3.25</v>
      </c>
      <c r="CM196" s="14">
        <v>-5.25</v>
      </c>
      <c r="CN196" s="14">
        <v>-1.75</v>
      </c>
      <c r="CO196" s="14">
        <v>9.25</v>
      </c>
      <c r="CP196" s="14">
        <v>88.25</v>
      </c>
      <c r="CQ196" s="14">
        <v>-63.5</v>
      </c>
      <c r="CR196" s="14">
        <v>-1.25</v>
      </c>
      <c r="CS196" s="14">
        <v>-14.25</v>
      </c>
      <c r="CT196" t="s">
        <v>258</v>
      </c>
      <c r="CU196" t="s">
        <v>478</v>
      </c>
    </row>
    <row r="197" spans="1:99" x14ac:dyDescent="0.2">
      <c r="A197" s="19">
        <v>44129</v>
      </c>
      <c r="B197">
        <v>7</v>
      </c>
      <c r="C197" s="13" t="s">
        <v>250</v>
      </c>
      <c r="D197" s="41" t="s">
        <v>296</v>
      </c>
      <c r="E197" s="14" t="s">
        <v>294</v>
      </c>
      <c r="F197" t="s">
        <v>602</v>
      </c>
      <c r="G197">
        <v>22.68</v>
      </c>
      <c r="H197" t="s">
        <v>603</v>
      </c>
      <c r="I197">
        <v>16.399999999999999</v>
      </c>
      <c r="J197">
        <v>10</v>
      </c>
      <c r="K197">
        <v>34</v>
      </c>
      <c r="L197">
        <v>5</v>
      </c>
      <c r="M197" t="s">
        <v>604</v>
      </c>
      <c r="N197">
        <v>1.3</v>
      </c>
      <c r="O197">
        <v>3</v>
      </c>
      <c r="P197">
        <v>23</v>
      </c>
      <c r="Q197">
        <v>0</v>
      </c>
      <c r="R197" t="s">
        <v>115</v>
      </c>
      <c r="S197">
        <v>4.3</v>
      </c>
      <c r="T197">
        <v>23</v>
      </c>
      <c r="U197">
        <v>3</v>
      </c>
      <c r="V197" t="s">
        <v>102</v>
      </c>
      <c r="W197">
        <v>17.899999999999999</v>
      </c>
      <c r="X197">
        <v>59</v>
      </c>
      <c r="Y197">
        <v>8</v>
      </c>
      <c r="Z197" t="s">
        <v>139</v>
      </c>
      <c r="AA197">
        <v>10.9</v>
      </c>
      <c r="AB197">
        <v>39</v>
      </c>
      <c r="AC197">
        <v>2</v>
      </c>
      <c r="AD197">
        <v>30.4</v>
      </c>
      <c r="AE197">
        <v>94</v>
      </c>
      <c r="AF197">
        <v>11</v>
      </c>
      <c r="AG197" t="s">
        <v>16</v>
      </c>
      <c r="AH197">
        <v>10.9</v>
      </c>
      <c r="AI197">
        <v>46</v>
      </c>
      <c r="AJ197">
        <v>9</v>
      </c>
      <c r="AK197">
        <v>3</v>
      </c>
      <c r="AL197">
        <v>0</v>
      </c>
      <c r="AM197">
        <v>5</v>
      </c>
      <c r="AN197" s="21">
        <v>0.41176470588235292</v>
      </c>
      <c r="AO197" s="21">
        <v>8.8235294117647065E-2</v>
      </c>
      <c r="AP197" s="21">
        <v>0.6</v>
      </c>
      <c r="AQ197" s="35">
        <v>9</v>
      </c>
      <c r="AR197" s="35">
        <v>30</v>
      </c>
      <c r="AS197" s="35">
        <v>16</v>
      </c>
      <c r="AT197" s="35">
        <v>4</v>
      </c>
      <c r="AU197" s="35">
        <v>55</v>
      </c>
      <c r="AV197" s="35">
        <v>21</v>
      </c>
      <c r="AW197" s="35">
        <v>0</v>
      </c>
      <c r="AX197">
        <v>344</v>
      </c>
      <c r="AY197" s="35">
        <v>187</v>
      </c>
      <c r="AZ197" s="35">
        <v>65</v>
      </c>
      <c r="BA197" s="35">
        <v>0</v>
      </c>
      <c r="BB197" s="35">
        <v>92</v>
      </c>
      <c r="BC197" t="s">
        <v>294</v>
      </c>
      <c r="BD197" s="14">
        <v>-0.2240000000000002</v>
      </c>
      <c r="BE197" s="14">
        <v>1.3399999999999963</v>
      </c>
      <c r="BF197" s="14">
        <v>-4.4000000000000004</v>
      </c>
      <c r="BG197" s="14">
        <v>-16.799999999999997</v>
      </c>
      <c r="BH197" s="14">
        <v>1.4</v>
      </c>
      <c r="BI197" s="14">
        <v>-3.2800000000000002</v>
      </c>
      <c r="BJ197" s="14">
        <v>-3</v>
      </c>
      <c r="BK197" s="14">
        <v>3</v>
      </c>
      <c r="BL197" s="14">
        <v>-1.6</v>
      </c>
      <c r="BM197" s="14">
        <v>-16.839999999999996</v>
      </c>
      <c r="BN197" s="14">
        <v>-41.8</v>
      </c>
      <c r="BO197" s="14">
        <v>-5</v>
      </c>
      <c r="BP197" s="14">
        <v>9.2999999999999989</v>
      </c>
      <c r="BQ197" s="14">
        <v>16.799999999999997</v>
      </c>
      <c r="BR197" s="14">
        <v>3.4000000000000004</v>
      </c>
      <c r="BS197" s="14">
        <v>2.7600000000000016</v>
      </c>
      <c r="BT197" s="14">
        <v>11.2</v>
      </c>
      <c r="BU197" s="14">
        <v>-2.4000000000000004</v>
      </c>
      <c r="BV197" s="14">
        <v>13.059999999999999</v>
      </c>
      <c r="BW197" s="14">
        <v>24.599999999999994</v>
      </c>
      <c r="BX197" s="14">
        <v>2.1999999999999993</v>
      </c>
      <c r="BY197" s="48">
        <v>-6.1</v>
      </c>
      <c r="BZ197" s="14">
        <v>-14.399999999999999</v>
      </c>
      <c r="CA197" s="14">
        <v>2.5999999999999996</v>
      </c>
      <c r="CB197" s="14">
        <v>-6.1999999999999993</v>
      </c>
      <c r="CC197" s="14">
        <v>-1.6</v>
      </c>
      <c r="CD197" s="14">
        <v>-1.7999999999999998</v>
      </c>
      <c r="CE197" s="14">
        <v>2.1703982292217594E-2</v>
      </c>
      <c r="CF197" s="14">
        <v>7.2954496483908227E-3</v>
      </c>
      <c r="CG197" s="14">
        <v>-0.12722222222222224</v>
      </c>
      <c r="CH197" s="14">
        <v>3.4000000000000004</v>
      </c>
      <c r="CI197" s="14">
        <v>-5.3999999999999986</v>
      </c>
      <c r="CJ197" s="14">
        <v>-6.6000000000000014</v>
      </c>
      <c r="CK197" s="14">
        <v>0.20000000000000018</v>
      </c>
      <c r="CL197" s="14">
        <v>-13.200000000000003</v>
      </c>
      <c r="CM197" s="14">
        <v>-8.6000000000000014</v>
      </c>
      <c r="CN197" s="14">
        <v>0</v>
      </c>
      <c r="CO197" s="14">
        <v>-57.600000000000023</v>
      </c>
      <c r="CP197" s="14">
        <v>-81.600000000000023</v>
      </c>
      <c r="CQ197" s="14">
        <v>-13.599999999999994</v>
      </c>
      <c r="CR197" s="14">
        <v>-30.8</v>
      </c>
      <c r="CS197" s="14">
        <v>68.400000000000006</v>
      </c>
      <c r="CT197" t="s">
        <v>290</v>
      </c>
      <c r="CU197" t="s">
        <v>469</v>
      </c>
    </row>
    <row r="198" spans="1:99" x14ac:dyDescent="0.2">
      <c r="A198" s="19">
        <v>44129</v>
      </c>
      <c r="B198">
        <v>7</v>
      </c>
      <c r="C198" s="13" t="s">
        <v>250</v>
      </c>
      <c r="D198" s="41" t="s">
        <v>297</v>
      </c>
      <c r="E198" s="14" t="s">
        <v>287</v>
      </c>
      <c r="F198" t="s">
        <v>609</v>
      </c>
      <c r="G198">
        <v>19.02</v>
      </c>
      <c r="H198" t="s">
        <v>610</v>
      </c>
      <c r="I198">
        <v>34.700000000000003</v>
      </c>
      <c r="J198">
        <v>22</v>
      </c>
      <c r="K198">
        <v>119</v>
      </c>
      <c r="L198">
        <v>6</v>
      </c>
      <c r="M198" t="s">
        <v>611</v>
      </c>
      <c r="N198">
        <v>0</v>
      </c>
      <c r="O198">
        <v>0</v>
      </c>
      <c r="P198">
        <v>0</v>
      </c>
      <c r="Q198">
        <v>0</v>
      </c>
      <c r="R198" t="s">
        <v>612</v>
      </c>
      <c r="S198">
        <v>3.6</v>
      </c>
      <c r="T198">
        <v>26</v>
      </c>
      <c r="U198">
        <v>7</v>
      </c>
      <c r="V198" t="s">
        <v>613</v>
      </c>
      <c r="W198">
        <v>7.4</v>
      </c>
      <c r="X198">
        <v>44</v>
      </c>
      <c r="Y198">
        <v>3</v>
      </c>
      <c r="Z198" t="s">
        <v>97</v>
      </c>
      <c r="AA198">
        <v>9.8000000000000007</v>
      </c>
      <c r="AB198">
        <v>28</v>
      </c>
      <c r="AC198">
        <v>2</v>
      </c>
      <c r="AD198">
        <v>15.5</v>
      </c>
      <c r="AE198">
        <v>95</v>
      </c>
      <c r="AF198">
        <v>9</v>
      </c>
      <c r="AG198" t="s">
        <v>614</v>
      </c>
      <c r="AH198">
        <v>6.2</v>
      </c>
      <c r="AI198">
        <v>32</v>
      </c>
      <c r="AJ198">
        <v>3</v>
      </c>
      <c r="AK198">
        <v>1</v>
      </c>
      <c r="AL198">
        <v>0</v>
      </c>
      <c r="AM198">
        <v>5</v>
      </c>
      <c r="AN198" s="21">
        <v>0.52777777777777779</v>
      </c>
      <c r="AO198" s="21">
        <v>0.1388888888888889</v>
      </c>
      <c r="AP198" s="21">
        <v>0.88888888888888884</v>
      </c>
      <c r="AQ198">
        <v>6</v>
      </c>
      <c r="AR198" s="35">
        <v>27</v>
      </c>
      <c r="AS198" s="35">
        <v>22</v>
      </c>
      <c r="AT198" s="35">
        <v>4</v>
      </c>
      <c r="AU198" s="35">
        <v>59</v>
      </c>
      <c r="AV198" s="35">
        <v>22</v>
      </c>
      <c r="AW198" s="35">
        <v>7</v>
      </c>
      <c r="AX198">
        <v>313</v>
      </c>
      <c r="AY198" s="35">
        <v>173</v>
      </c>
      <c r="AZ198" s="35">
        <v>119</v>
      </c>
      <c r="BA198" s="35">
        <v>0</v>
      </c>
      <c r="BB198" s="35">
        <v>21</v>
      </c>
      <c r="BC198" t="s">
        <v>287</v>
      </c>
      <c r="BD198" s="14">
        <v>-9.4649999999999999</v>
      </c>
      <c r="BE198" s="14">
        <v>15.25</v>
      </c>
      <c r="BF198" s="14">
        <v>8.5</v>
      </c>
      <c r="BG198" s="14">
        <v>59</v>
      </c>
      <c r="BH198" s="14">
        <v>-3</v>
      </c>
      <c r="BI198" s="14">
        <v>-5.5250000000000004</v>
      </c>
      <c r="BJ198" s="14">
        <v>-3.25</v>
      </c>
      <c r="BK198" s="14">
        <v>-13.5</v>
      </c>
      <c r="BL198" s="14">
        <v>-1.5</v>
      </c>
      <c r="BM198" s="14">
        <v>-18.324999999999999</v>
      </c>
      <c r="BN198" s="14">
        <v>-73.5</v>
      </c>
      <c r="BO198" s="14">
        <v>-2.5</v>
      </c>
      <c r="BP198" s="14">
        <v>-3.2249999999999996</v>
      </c>
      <c r="BQ198" s="14">
        <v>-9</v>
      </c>
      <c r="BR198" s="14">
        <v>-2</v>
      </c>
      <c r="BS198" s="14">
        <v>4.2750000000000004</v>
      </c>
      <c r="BT198" s="14">
        <v>2</v>
      </c>
      <c r="BU198" s="14">
        <v>-2</v>
      </c>
      <c r="BV198" s="14">
        <v>-13.850000000000001</v>
      </c>
      <c r="BW198" s="14">
        <v>-31</v>
      </c>
      <c r="BX198" s="14">
        <v>-2</v>
      </c>
      <c r="BY198" s="48">
        <v>-7.0749999999999984</v>
      </c>
      <c r="BZ198" s="14">
        <v>-18.25</v>
      </c>
      <c r="CA198" s="14">
        <v>-3.25</v>
      </c>
      <c r="CB198" s="14">
        <v>-11.5</v>
      </c>
      <c r="CC198" s="14">
        <v>-3.25</v>
      </c>
      <c r="CD198" s="14">
        <v>-1.25</v>
      </c>
      <c r="CE198" s="14">
        <v>0.22016465149251224</v>
      </c>
      <c r="CF198" s="14">
        <v>0.1083263054325673</v>
      </c>
      <c r="CG198" s="14">
        <v>0.35243055555555558</v>
      </c>
      <c r="CH198" s="14">
        <v>2.5</v>
      </c>
      <c r="CI198" s="14">
        <v>-15.25</v>
      </c>
      <c r="CJ198" s="14">
        <v>3.5</v>
      </c>
      <c r="CK198" s="14">
        <v>0.25</v>
      </c>
      <c r="CL198" s="14">
        <v>-8.25</v>
      </c>
      <c r="CM198" s="14">
        <v>-6</v>
      </c>
      <c r="CN198" s="14">
        <v>7</v>
      </c>
      <c r="CO198" s="14">
        <v>-98.75</v>
      </c>
      <c r="CP198" s="14">
        <v>-134.75</v>
      </c>
      <c r="CQ198" s="14">
        <v>39</v>
      </c>
      <c r="CR198" s="14">
        <v>-4.75</v>
      </c>
      <c r="CS198" s="14">
        <v>1.75</v>
      </c>
      <c r="CT198" t="s">
        <v>267</v>
      </c>
      <c r="CU198" t="s">
        <v>502</v>
      </c>
    </row>
    <row r="199" spans="1:99" x14ac:dyDescent="0.2">
      <c r="A199" s="19">
        <v>44129</v>
      </c>
      <c r="B199">
        <v>7</v>
      </c>
      <c r="C199" s="13" t="s">
        <v>250</v>
      </c>
      <c r="D199" s="41" t="s">
        <v>298</v>
      </c>
      <c r="E199" s="14" t="s">
        <v>276</v>
      </c>
      <c r="F199" t="s">
        <v>618</v>
      </c>
      <c r="G199">
        <v>2.8</v>
      </c>
      <c r="H199" t="s">
        <v>619</v>
      </c>
      <c r="I199">
        <v>13.6</v>
      </c>
      <c r="J199">
        <v>11</v>
      </c>
      <c r="K199">
        <v>40</v>
      </c>
      <c r="L199">
        <v>3</v>
      </c>
      <c r="M199" t="s">
        <v>620</v>
      </c>
      <c r="N199">
        <v>6</v>
      </c>
      <c r="O199">
        <v>11</v>
      </c>
      <c r="P199">
        <v>60</v>
      </c>
      <c r="Q199">
        <v>0</v>
      </c>
      <c r="R199" t="s">
        <v>21</v>
      </c>
      <c r="S199">
        <v>4.7</v>
      </c>
      <c r="T199">
        <v>27</v>
      </c>
      <c r="U199">
        <v>2</v>
      </c>
      <c r="V199" t="s">
        <v>621</v>
      </c>
      <c r="W199">
        <v>7.5</v>
      </c>
      <c r="X199">
        <v>35</v>
      </c>
      <c r="Y199">
        <v>7</v>
      </c>
      <c r="Z199" t="s">
        <v>622</v>
      </c>
      <c r="AA199">
        <v>8.1999999999999993</v>
      </c>
      <c r="AB199">
        <v>42</v>
      </c>
      <c r="AC199">
        <v>7</v>
      </c>
      <c r="AD199">
        <v>6.1</v>
      </c>
      <c r="AE199">
        <v>21</v>
      </c>
      <c r="AF199">
        <v>8</v>
      </c>
      <c r="AG199" t="s">
        <v>433</v>
      </c>
      <c r="AH199">
        <v>0</v>
      </c>
      <c r="AI199">
        <v>0</v>
      </c>
      <c r="AJ199">
        <v>0</v>
      </c>
      <c r="AK199">
        <v>4</v>
      </c>
      <c r="AL199">
        <v>1</v>
      </c>
      <c r="AM199">
        <v>5</v>
      </c>
      <c r="AN199" s="21">
        <v>0.58620689655172409</v>
      </c>
      <c r="AO199" s="21">
        <v>0.20689655172413793</v>
      </c>
      <c r="AP199" s="21">
        <v>0.8571428571428571</v>
      </c>
      <c r="AQ199" s="35">
        <v>14</v>
      </c>
      <c r="AR199" s="35">
        <v>23</v>
      </c>
      <c r="AS199" s="35">
        <v>22</v>
      </c>
      <c r="AT199" s="35">
        <v>0</v>
      </c>
      <c r="AU199" s="35">
        <v>51</v>
      </c>
      <c r="AV199" s="35">
        <v>10</v>
      </c>
      <c r="AW199" s="35">
        <v>0</v>
      </c>
      <c r="AX199">
        <v>220</v>
      </c>
      <c r="AY199" s="35">
        <v>120</v>
      </c>
      <c r="AZ199" s="35">
        <v>100</v>
      </c>
      <c r="BA199" s="35">
        <v>0</v>
      </c>
      <c r="BB199" s="35">
        <v>0</v>
      </c>
      <c r="BC199" t="s">
        <v>276</v>
      </c>
      <c r="BD199" s="14">
        <v>-21.919999999999998</v>
      </c>
      <c r="BE199" s="14">
        <v>-4.3400000000000016</v>
      </c>
      <c r="BF199" s="14">
        <v>-6.3999999999999986</v>
      </c>
      <c r="BG199" s="14">
        <v>-45.2</v>
      </c>
      <c r="BH199" s="14">
        <v>-1</v>
      </c>
      <c r="BI199" s="14">
        <v>0.58000000000000007</v>
      </c>
      <c r="BJ199" s="14">
        <v>5.4</v>
      </c>
      <c r="BK199" s="14">
        <v>43.4</v>
      </c>
      <c r="BL199" s="14">
        <v>-1.6</v>
      </c>
      <c r="BM199" s="14">
        <v>-10.32</v>
      </c>
      <c r="BN199" s="14">
        <v>-30.200000000000003</v>
      </c>
      <c r="BO199" s="14">
        <v>-4.8</v>
      </c>
      <c r="BP199" s="14">
        <v>-7.3399999999999981</v>
      </c>
      <c r="BQ199" s="14">
        <v>-29.400000000000006</v>
      </c>
      <c r="BR199" s="14">
        <v>0.79999999999999982</v>
      </c>
      <c r="BS199" s="14">
        <v>3.3999999999999995</v>
      </c>
      <c r="BT199" s="14">
        <v>16</v>
      </c>
      <c r="BU199" s="14">
        <v>3.4</v>
      </c>
      <c r="BV199" s="14">
        <v>-17.36</v>
      </c>
      <c r="BW199" s="14">
        <v>-81.599999999999994</v>
      </c>
      <c r="BX199" s="14">
        <v>-4.1999999999999993</v>
      </c>
      <c r="BY199" s="48">
        <v>-19.66</v>
      </c>
      <c r="BZ199" s="14">
        <v>-72.599999999999994</v>
      </c>
      <c r="CA199" s="14">
        <v>-7.8</v>
      </c>
      <c r="CB199" s="14">
        <v>-4.5999999999999996</v>
      </c>
      <c r="CC199" s="14">
        <v>-0.8</v>
      </c>
      <c r="CD199" s="14">
        <v>1.6</v>
      </c>
      <c r="CE199" s="14">
        <v>0.28827941985384892</v>
      </c>
      <c r="CF199" s="14">
        <v>0.17004716581592849</v>
      </c>
      <c r="CG199" s="14">
        <v>0.10952380952380947</v>
      </c>
      <c r="CH199" s="14">
        <v>11.6</v>
      </c>
      <c r="CI199" s="14">
        <v>-12.399999999999999</v>
      </c>
      <c r="CJ199" s="14">
        <v>-4</v>
      </c>
      <c r="CK199" s="14">
        <v>-4.5999999999999996</v>
      </c>
      <c r="CL199" s="14">
        <v>-14.599999999999994</v>
      </c>
      <c r="CM199" s="14">
        <v>-20.2</v>
      </c>
      <c r="CN199" s="14">
        <v>0</v>
      </c>
      <c r="CO199" s="14">
        <v>-203.2</v>
      </c>
      <c r="CP199" s="14">
        <v>-156</v>
      </c>
      <c r="CQ199" s="14">
        <v>-17.400000000000006</v>
      </c>
      <c r="CR199" s="14">
        <v>-7</v>
      </c>
      <c r="CS199" s="14">
        <v>-22.8</v>
      </c>
      <c r="CT199" t="s">
        <v>261</v>
      </c>
      <c r="CU199" t="s">
        <v>455</v>
      </c>
    </row>
    <row r="200" spans="1:99" x14ac:dyDescent="0.2">
      <c r="A200" s="19">
        <v>44129</v>
      </c>
      <c r="B200">
        <v>7</v>
      </c>
      <c r="C200" s="13" t="s">
        <v>250</v>
      </c>
      <c r="D200" s="41" t="s">
        <v>299</v>
      </c>
      <c r="E200" s="14" t="s">
        <v>295</v>
      </c>
      <c r="F200" t="s">
        <v>631</v>
      </c>
      <c r="G200">
        <v>21.4</v>
      </c>
      <c r="H200" t="s">
        <v>632</v>
      </c>
      <c r="I200">
        <v>14.8</v>
      </c>
      <c r="J200">
        <v>9</v>
      </c>
      <c r="K200">
        <v>27</v>
      </c>
      <c r="L200">
        <v>5</v>
      </c>
      <c r="M200" t="s">
        <v>633</v>
      </c>
      <c r="N200">
        <v>4</v>
      </c>
      <c r="O200">
        <v>11</v>
      </c>
      <c r="P200">
        <v>29</v>
      </c>
      <c r="Q200">
        <v>1</v>
      </c>
      <c r="R200" t="s">
        <v>156</v>
      </c>
      <c r="S200">
        <v>20.399999999999999</v>
      </c>
      <c r="T200">
        <v>114</v>
      </c>
      <c r="U200">
        <v>7</v>
      </c>
      <c r="V200" t="s">
        <v>55</v>
      </c>
      <c r="W200">
        <v>13</v>
      </c>
      <c r="X200">
        <v>80</v>
      </c>
      <c r="Y200">
        <v>6</v>
      </c>
      <c r="Z200" t="s">
        <v>98</v>
      </c>
      <c r="AA200">
        <v>9.1999999999999993</v>
      </c>
      <c r="AB200">
        <v>62</v>
      </c>
      <c r="AC200">
        <v>4</v>
      </c>
      <c r="AD200">
        <v>20</v>
      </c>
      <c r="AE200">
        <v>90</v>
      </c>
      <c r="AF200">
        <v>8</v>
      </c>
      <c r="AG200" t="s">
        <v>634</v>
      </c>
      <c r="AH200">
        <v>16.899999999999999</v>
      </c>
      <c r="AI200">
        <v>59</v>
      </c>
      <c r="AJ200">
        <v>6</v>
      </c>
      <c r="AK200">
        <v>15</v>
      </c>
      <c r="AL200">
        <v>4</v>
      </c>
      <c r="AM200">
        <v>4</v>
      </c>
      <c r="AN200" s="21">
        <v>0.28205128205128205</v>
      </c>
      <c r="AO200" s="21">
        <v>5.128205128205128E-2</v>
      </c>
      <c r="AP200" s="21">
        <v>0.875</v>
      </c>
      <c r="AQ200" s="35">
        <v>2</v>
      </c>
      <c r="AR200" s="35">
        <v>36</v>
      </c>
      <c r="AS200" s="35">
        <v>20</v>
      </c>
      <c r="AT200" s="35">
        <v>1</v>
      </c>
      <c r="AU200" s="35">
        <v>59</v>
      </c>
      <c r="AV200" s="35">
        <v>23</v>
      </c>
      <c r="AW200" s="35">
        <v>0</v>
      </c>
      <c r="AX200">
        <v>404</v>
      </c>
      <c r="AY200" s="35">
        <v>340</v>
      </c>
      <c r="AZ200" s="35">
        <v>56</v>
      </c>
      <c r="BA200" s="35">
        <v>0</v>
      </c>
      <c r="BB200" s="35">
        <v>8</v>
      </c>
      <c r="BC200" t="s">
        <v>295</v>
      </c>
      <c r="BD200" s="14">
        <v>-11.552</v>
      </c>
      <c r="BE200" s="14">
        <v>-2.5199999999999996</v>
      </c>
      <c r="BF200" s="14">
        <v>-6.4</v>
      </c>
      <c r="BG200" s="14">
        <v>-37</v>
      </c>
      <c r="BH200" s="14">
        <v>-0.40000000000000036</v>
      </c>
      <c r="BI200" s="14">
        <v>-1.839999999999999</v>
      </c>
      <c r="BJ200" s="14">
        <v>8.1999999999999993</v>
      </c>
      <c r="BK200" s="14">
        <v>21.4</v>
      </c>
      <c r="BL200" s="14">
        <v>-2.2000000000000002</v>
      </c>
      <c r="BM200" s="14">
        <v>1.3199999999999967</v>
      </c>
      <c r="BN200" s="14">
        <v>27.799999999999997</v>
      </c>
      <c r="BO200" s="14">
        <v>-2.5999999999999996</v>
      </c>
      <c r="BP200" s="14">
        <v>-6.8999999999999986</v>
      </c>
      <c r="BQ200" s="14">
        <v>-5.4000000000000057</v>
      </c>
      <c r="BR200" s="14">
        <v>-0.59999999999999964</v>
      </c>
      <c r="BS200" s="14">
        <v>3.3199999999999994</v>
      </c>
      <c r="BT200" s="14">
        <v>32.799999999999997</v>
      </c>
      <c r="BU200" s="14">
        <v>-0.40000000000000036</v>
      </c>
      <c r="BV200" s="14">
        <v>-5.48</v>
      </c>
      <c r="BW200" s="14">
        <v>-18.799999999999997</v>
      </c>
      <c r="BX200" s="14">
        <v>-3.8000000000000007</v>
      </c>
      <c r="BY200" s="48">
        <v>-1.5199999999999996</v>
      </c>
      <c r="BZ200" s="14">
        <v>-1.2000000000000028</v>
      </c>
      <c r="CA200" s="14">
        <v>-0.20000000000000018</v>
      </c>
      <c r="CB200" s="14">
        <v>8</v>
      </c>
      <c r="CC200" s="14">
        <v>2.4</v>
      </c>
      <c r="CD200" s="14">
        <v>1.7999999999999998</v>
      </c>
      <c r="CE200" s="14">
        <v>1.8371910371910327E-2</v>
      </c>
      <c r="CF200" s="14">
        <v>2.8754952754952753E-2</v>
      </c>
      <c r="CG200" s="14">
        <v>0.21928571428571442</v>
      </c>
      <c r="CH200" s="14">
        <v>-1</v>
      </c>
      <c r="CI200" s="14">
        <v>-5</v>
      </c>
      <c r="CJ200" s="14">
        <v>-0.19999999999999929</v>
      </c>
      <c r="CK200" s="14">
        <v>-1.7999999999999998</v>
      </c>
      <c r="CL200" s="14">
        <v>-7.5999999999999943</v>
      </c>
      <c r="CM200" s="14">
        <v>-6.1999999999999993</v>
      </c>
      <c r="CN200" s="14">
        <v>0</v>
      </c>
      <c r="CO200" s="14">
        <v>-45.600000000000023</v>
      </c>
      <c r="CP200" s="14">
        <v>-9.8000000000000114</v>
      </c>
      <c r="CQ200" s="14">
        <v>-17.599999999999994</v>
      </c>
      <c r="CR200" s="14">
        <v>-12.8</v>
      </c>
      <c r="CS200" s="14">
        <v>-5.4</v>
      </c>
      <c r="CT200" t="s">
        <v>280</v>
      </c>
      <c r="CU200" t="s">
        <v>489</v>
      </c>
    </row>
    <row r="201" spans="1:99" x14ac:dyDescent="0.2">
      <c r="A201" s="19">
        <v>44129</v>
      </c>
      <c r="B201">
        <v>7</v>
      </c>
      <c r="C201" s="13" t="s">
        <v>250</v>
      </c>
      <c r="D201" s="41" t="s">
        <v>300</v>
      </c>
      <c r="E201" s="14" t="s">
        <v>311</v>
      </c>
      <c r="F201" t="s">
        <v>637</v>
      </c>
      <c r="G201">
        <v>27.32</v>
      </c>
      <c r="H201" t="s">
        <v>638</v>
      </c>
      <c r="I201">
        <v>21.4</v>
      </c>
      <c r="J201">
        <v>19</v>
      </c>
      <c r="K201">
        <v>77</v>
      </c>
      <c r="L201">
        <v>5</v>
      </c>
      <c r="M201" t="s">
        <v>639</v>
      </c>
      <c r="N201">
        <v>1.1000000000000001</v>
      </c>
      <c r="O201">
        <v>5</v>
      </c>
      <c r="P201">
        <v>11</v>
      </c>
      <c r="Q201">
        <v>0</v>
      </c>
      <c r="R201" t="s">
        <v>57</v>
      </c>
      <c r="S201">
        <v>47.6</v>
      </c>
      <c r="T201">
        <v>196</v>
      </c>
      <c r="U201">
        <v>16</v>
      </c>
      <c r="V201" t="s">
        <v>58</v>
      </c>
      <c r="W201">
        <v>0.9</v>
      </c>
      <c r="X201">
        <v>0</v>
      </c>
      <c r="Y201">
        <v>4</v>
      </c>
      <c r="Z201" t="s">
        <v>640</v>
      </c>
      <c r="AA201">
        <v>8.6</v>
      </c>
      <c r="AB201">
        <v>6</v>
      </c>
      <c r="AC201">
        <v>2</v>
      </c>
      <c r="AD201">
        <v>24.2</v>
      </c>
      <c r="AE201">
        <v>62</v>
      </c>
      <c r="AF201">
        <v>6</v>
      </c>
      <c r="AG201" t="s">
        <v>641</v>
      </c>
      <c r="AH201">
        <v>5.2</v>
      </c>
      <c r="AI201">
        <v>32</v>
      </c>
      <c r="AJ201">
        <v>2</v>
      </c>
      <c r="AK201">
        <v>5</v>
      </c>
      <c r="AL201">
        <v>0</v>
      </c>
      <c r="AM201">
        <v>6</v>
      </c>
      <c r="AN201" s="21">
        <v>0.17647058823529413</v>
      </c>
      <c r="AO201" s="21">
        <v>0</v>
      </c>
      <c r="AP201" s="21">
        <v>0.66666666666666663</v>
      </c>
      <c r="AQ201" s="35">
        <v>-2</v>
      </c>
      <c r="AR201" s="35">
        <v>34</v>
      </c>
      <c r="AS201" s="35">
        <v>24</v>
      </c>
      <c r="AT201" s="35">
        <v>2</v>
      </c>
      <c r="AU201" s="35">
        <v>61</v>
      </c>
      <c r="AV201" s="35">
        <v>35</v>
      </c>
      <c r="AW201" s="35">
        <v>0</v>
      </c>
      <c r="AX201">
        <v>379</v>
      </c>
      <c r="AY201" s="35">
        <v>283</v>
      </c>
      <c r="AZ201" s="35">
        <v>88</v>
      </c>
      <c r="BA201" s="35">
        <v>9</v>
      </c>
      <c r="BB201" s="35">
        <v>-1</v>
      </c>
      <c r="BC201" t="s">
        <v>311</v>
      </c>
      <c r="BD201" s="14">
        <v>5.4959999999999987</v>
      </c>
      <c r="BE201" s="14">
        <v>-4.5199999999999996</v>
      </c>
      <c r="BF201" s="14">
        <v>1.1999999999999993</v>
      </c>
      <c r="BG201" s="14">
        <v>-33.799999999999997</v>
      </c>
      <c r="BH201" s="14">
        <v>0.59999999999999964</v>
      </c>
      <c r="BI201" s="14">
        <v>-6.16</v>
      </c>
      <c r="BJ201" s="14">
        <v>-1</v>
      </c>
      <c r="BK201" s="14">
        <v>-27</v>
      </c>
      <c r="BL201" s="14">
        <v>-1.6</v>
      </c>
      <c r="BM201" s="14">
        <v>31.180000000000003</v>
      </c>
      <c r="BN201" s="14">
        <v>141.4</v>
      </c>
      <c r="BO201" s="14">
        <v>9.6</v>
      </c>
      <c r="BP201" s="14">
        <v>-12.5</v>
      </c>
      <c r="BQ201" s="14">
        <v>-64</v>
      </c>
      <c r="BR201" s="14">
        <v>-2.2000000000000002</v>
      </c>
      <c r="BS201" s="14">
        <v>3.5600000000000005</v>
      </c>
      <c r="BT201" s="14">
        <v>-16</v>
      </c>
      <c r="BU201" s="14">
        <v>-1.2000000000000002</v>
      </c>
      <c r="BV201" s="14">
        <v>8.0399999999999991</v>
      </c>
      <c r="BW201" s="14">
        <v>-3.5999999999999943</v>
      </c>
      <c r="BX201" s="14">
        <v>-2.4000000000000004</v>
      </c>
      <c r="BY201" s="48">
        <v>-6.339999999999999</v>
      </c>
      <c r="BZ201" s="14">
        <v>-15.399999999999999</v>
      </c>
      <c r="CA201" s="14">
        <v>-3.5999999999999996</v>
      </c>
      <c r="CB201" s="14">
        <v>-1.4000000000000004</v>
      </c>
      <c r="CC201" s="14">
        <v>-2.4</v>
      </c>
      <c r="CD201" s="14">
        <v>0.20000000000000018</v>
      </c>
      <c r="CE201" s="14">
        <v>-0.15783986874958147</v>
      </c>
      <c r="CF201" s="14">
        <v>-7.8544749823819593E-2</v>
      </c>
      <c r="CG201" s="14">
        <v>-9.126984126984139E-2</v>
      </c>
      <c r="CH201" s="14">
        <v>-6</v>
      </c>
      <c r="CI201" s="14">
        <v>-0.39999999999999858</v>
      </c>
      <c r="CJ201" s="14">
        <v>-2</v>
      </c>
      <c r="CK201" s="14">
        <v>-3.8</v>
      </c>
      <c r="CL201" s="14">
        <v>-8.7999999999999972</v>
      </c>
      <c r="CM201" s="14">
        <v>6.8000000000000007</v>
      </c>
      <c r="CN201" s="14">
        <v>-1.4</v>
      </c>
      <c r="CO201" s="14">
        <v>-74.399999999999977</v>
      </c>
      <c r="CP201" s="14">
        <v>9.3999999999999773</v>
      </c>
      <c r="CQ201" s="14">
        <v>-73.199999999999989</v>
      </c>
      <c r="CR201" s="14">
        <v>5.2</v>
      </c>
      <c r="CS201" s="14">
        <v>-15.8</v>
      </c>
      <c r="CT201" t="s">
        <v>275</v>
      </c>
      <c r="CU201" t="s">
        <v>477</v>
      </c>
    </row>
    <row r="202" spans="1:99" x14ac:dyDescent="0.2">
      <c r="A202" s="19">
        <v>44129</v>
      </c>
      <c r="B202">
        <v>7</v>
      </c>
      <c r="C202" s="13" t="s">
        <v>250</v>
      </c>
      <c r="D202" s="41" t="s">
        <v>301</v>
      </c>
      <c r="E202" s="14" t="s">
        <v>307</v>
      </c>
      <c r="F202" t="s">
        <v>645</v>
      </c>
      <c r="G202">
        <v>19.16</v>
      </c>
      <c r="H202" t="s">
        <v>646</v>
      </c>
      <c r="I202">
        <v>8.6</v>
      </c>
      <c r="J202">
        <v>7</v>
      </c>
      <c r="K202">
        <v>12</v>
      </c>
      <c r="L202">
        <v>5</v>
      </c>
      <c r="M202" t="s">
        <v>647</v>
      </c>
      <c r="N202">
        <v>0.7</v>
      </c>
      <c r="O202">
        <v>1</v>
      </c>
      <c r="P202">
        <v>7</v>
      </c>
      <c r="Q202">
        <v>0</v>
      </c>
      <c r="R202" t="s">
        <v>27</v>
      </c>
      <c r="S202">
        <v>13.4</v>
      </c>
      <c r="T202">
        <v>74</v>
      </c>
      <c r="U202">
        <v>8</v>
      </c>
      <c r="V202" t="s">
        <v>85</v>
      </c>
      <c r="W202">
        <v>25.3</v>
      </c>
      <c r="X202">
        <v>93</v>
      </c>
      <c r="Y202">
        <v>5</v>
      </c>
      <c r="Z202" t="s">
        <v>49</v>
      </c>
      <c r="AA202">
        <v>17.3</v>
      </c>
      <c r="AB202">
        <v>48</v>
      </c>
      <c r="AC202">
        <v>6</v>
      </c>
      <c r="AD202">
        <v>32.1</v>
      </c>
      <c r="AE202">
        <v>131</v>
      </c>
      <c r="AF202">
        <v>14</v>
      </c>
      <c r="AG202" t="s">
        <v>167</v>
      </c>
      <c r="AH202">
        <v>2.1</v>
      </c>
      <c r="AI202">
        <v>11</v>
      </c>
      <c r="AJ202">
        <v>1</v>
      </c>
      <c r="AK202">
        <v>6</v>
      </c>
      <c r="AL202">
        <v>2</v>
      </c>
      <c r="AM202">
        <v>3</v>
      </c>
      <c r="AN202" s="21">
        <v>0.29032258064516131</v>
      </c>
      <c r="AO202" s="21">
        <v>3.2258064516129031E-2</v>
      </c>
      <c r="AP202" s="21">
        <v>1</v>
      </c>
      <c r="AQ202" s="35">
        <v>1</v>
      </c>
      <c r="AR202" s="35">
        <v>28</v>
      </c>
      <c r="AS202" s="35">
        <v>9</v>
      </c>
      <c r="AT202" s="35">
        <v>2</v>
      </c>
      <c r="AU202" s="35">
        <v>52</v>
      </c>
      <c r="AV202" s="35">
        <v>24</v>
      </c>
      <c r="AW202" s="35">
        <v>2</v>
      </c>
      <c r="AX202">
        <v>288</v>
      </c>
      <c r="AY202" s="35">
        <v>254</v>
      </c>
      <c r="AZ202" s="35">
        <v>19</v>
      </c>
      <c r="BA202" s="35">
        <v>5</v>
      </c>
      <c r="BB202" s="35">
        <v>10</v>
      </c>
      <c r="BC202" t="s">
        <v>307</v>
      </c>
      <c r="BD202" s="14">
        <v>-5.3099999999999987</v>
      </c>
      <c r="BE202" s="14">
        <v>-4.9250000000000007</v>
      </c>
      <c r="BF202" s="14">
        <v>-10.25</v>
      </c>
      <c r="BG202" s="14">
        <v>-54</v>
      </c>
      <c r="BH202" s="14">
        <v>1.25</v>
      </c>
      <c r="BI202" s="14">
        <v>-7.2749999999999995</v>
      </c>
      <c r="BJ202" s="14">
        <v>-3.5</v>
      </c>
      <c r="BK202" s="14">
        <v>-13.5</v>
      </c>
      <c r="BL202" s="14">
        <v>-1.75</v>
      </c>
      <c r="BM202" s="14">
        <v>-1.0749999999999993</v>
      </c>
      <c r="BN202" s="14">
        <v>13.75</v>
      </c>
      <c r="BO202" s="14">
        <v>2.75</v>
      </c>
      <c r="BP202" s="14">
        <v>13.15</v>
      </c>
      <c r="BQ202" s="14">
        <v>46.5</v>
      </c>
      <c r="BR202" s="14">
        <v>1</v>
      </c>
      <c r="BS202" s="14">
        <v>13.775</v>
      </c>
      <c r="BT202" s="14">
        <v>24.25</v>
      </c>
      <c r="BU202" s="14">
        <v>3.75</v>
      </c>
      <c r="BV202" s="14">
        <v>16.524999999999999</v>
      </c>
      <c r="BW202" s="14">
        <v>72.75</v>
      </c>
      <c r="BX202" s="14">
        <v>6.75</v>
      </c>
      <c r="BY202" s="48">
        <v>-15.575000000000001</v>
      </c>
      <c r="BZ202" s="14">
        <v>-35.75</v>
      </c>
      <c r="CA202" s="14">
        <v>-7.25</v>
      </c>
      <c r="CB202" s="14">
        <v>-2.25</v>
      </c>
      <c r="CC202" s="14">
        <v>0.5</v>
      </c>
      <c r="CD202" s="14">
        <v>1</v>
      </c>
      <c r="CE202" s="14">
        <v>-8.9797449823166342E-2</v>
      </c>
      <c r="CF202" s="14">
        <v>-3.3522194956080914E-2</v>
      </c>
      <c r="CG202" s="14">
        <v>0.40109890109890112</v>
      </c>
      <c r="CH202" s="14">
        <v>-1</v>
      </c>
      <c r="CI202" s="14">
        <v>-5.75</v>
      </c>
      <c r="CJ202" s="14">
        <v>-15.75</v>
      </c>
      <c r="CK202" s="14">
        <v>-1</v>
      </c>
      <c r="CL202" s="14">
        <v>-13</v>
      </c>
      <c r="CM202" s="14">
        <v>-7.75</v>
      </c>
      <c r="CN202" s="14">
        <v>2</v>
      </c>
      <c r="CO202" s="14">
        <v>-75</v>
      </c>
      <c r="CP202" s="14">
        <v>-5.25</v>
      </c>
      <c r="CQ202" s="14">
        <v>-73</v>
      </c>
      <c r="CR202" s="14">
        <v>4.25</v>
      </c>
      <c r="CS202" s="14">
        <v>-1</v>
      </c>
      <c r="CT202" t="s">
        <v>269</v>
      </c>
      <c r="CU202" t="s">
        <v>457</v>
      </c>
    </row>
    <row r="203" spans="1:99" x14ac:dyDescent="0.2">
      <c r="A203" s="19">
        <v>44129</v>
      </c>
      <c r="B203">
        <v>7</v>
      </c>
      <c r="C203" s="13" t="s">
        <v>250</v>
      </c>
      <c r="D203" s="41" t="s">
        <v>302</v>
      </c>
      <c r="E203" s="14" t="s">
        <v>256</v>
      </c>
      <c r="F203" t="s">
        <v>652</v>
      </c>
      <c r="G203">
        <v>4.68</v>
      </c>
      <c r="H203" t="s">
        <v>653</v>
      </c>
      <c r="I203">
        <v>8</v>
      </c>
      <c r="J203">
        <v>10</v>
      </c>
      <c r="K203">
        <v>58</v>
      </c>
      <c r="L203">
        <v>1</v>
      </c>
      <c r="M203" t="s">
        <v>654</v>
      </c>
      <c r="N203">
        <v>7.7</v>
      </c>
      <c r="O203">
        <v>4</v>
      </c>
      <c r="P203">
        <v>12</v>
      </c>
      <c r="Q203">
        <v>4</v>
      </c>
      <c r="R203" t="s">
        <v>159</v>
      </c>
      <c r="S203">
        <v>2.2999999999999998</v>
      </c>
      <c r="T203">
        <v>13</v>
      </c>
      <c r="U203">
        <v>3</v>
      </c>
      <c r="V203" t="s">
        <v>655</v>
      </c>
      <c r="W203">
        <v>10.199999999999999</v>
      </c>
      <c r="X203">
        <v>60</v>
      </c>
      <c r="Y203">
        <v>6</v>
      </c>
      <c r="Z203" t="s">
        <v>73</v>
      </c>
      <c r="AA203">
        <v>2.6</v>
      </c>
      <c r="AB203">
        <v>16</v>
      </c>
      <c r="AC203">
        <v>2</v>
      </c>
      <c r="AD203">
        <v>6.7</v>
      </c>
      <c r="AE203">
        <v>37</v>
      </c>
      <c r="AF203">
        <v>5</v>
      </c>
      <c r="AG203" t="s">
        <v>656</v>
      </c>
      <c r="AH203">
        <v>1.8</v>
      </c>
      <c r="AI203">
        <v>8</v>
      </c>
      <c r="AJ203">
        <v>1</v>
      </c>
      <c r="AK203">
        <v>8</v>
      </c>
      <c r="AL203">
        <v>2</v>
      </c>
      <c r="AM203">
        <v>6</v>
      </c>
      <c r="AN203" s="21">
        <v>0.33333333333333331</v>
      </c>
      <c r="AO203" s="21">
        <v>6.6666666666666666E-2</v>
      </c>
      <c r="AP203" s="21">
        <v>0.4</v>
      </c>
      <c r="AQ203" s="35">
        <v>17</v>
      </c>
      <c r="AR203" s="35">
        <v>25</v>
      </c>
      <c r="AS203" s="35">
        <v>14</v>
      </c>
      <c r="AT203" s="35">
        <v>7</v>
      </c>
      <c r="AU203" s="35">
        <v>49</v>
      </c>
      <c r="AV203" s="35">
        <v>6</v>
      </c>
      <c r="AW203" s="35">
        <v>0</v>
      </c>
      <c r="AX203">
        <v>256</v>
      </c>
      <c r="AY203" s="35">
        <v>162</v>
      </c>
      <c r="AZ203" s="35">
        <v>70</v>
      </c>
      <c r="BA203" s="35">
        <v>2</v>
      </c>
      <c r="BB203" s="35">
        <v>22</v>
      </c>
      <c r="BC203" t="s">
        <v>256</v>
      </c>
      <c r="BD203" s="14">
        <v>-13.391999999999999</v>
      </c>
      <c r="BE203" s="14">
        <v>-1.4399999999999995</v>
      </c>
      <c r="BF203" s="14">
        <v>-3</v>
      </c>
      <c r="BG203" s="14">
        <v>7.2000000000000028</v>
      </c>
      <c r="BH203" s="14">
        <v>-1.7999999999999998</v>
      </c>
      <c r="BI203" s="14">
        <v>3.7999999999999994</v>
      </c>
      <c r="BJ203" s="14">
        <v>0.39999999999999991</v>
      </c>
      <c r="BK203" s="14">
        <v>2.5999999999999996</v>
      </c>
      <c r="BL203" s="14">
        <v>2</v>
      </c>
      <c r="BM203" s="14">
        <v>-9.6999999999999993</v>
      </c>
      <c r="BN203" s="14">
        <v>-32.799999999999997</v>
      </c>
      <c r="BO203" s="14">
        <v>-3.8</v>
      </c>
      <c r="BP203" s="14">
        <v>-2.5000000000000018</v>
      </c>
      <c r="BQ203" s="14">
        <v>3</v>
      </c>
      <c r="BR203" s="14">
        <v>-0.59999999999999964</v>
      </c>
      <c r="BS203" s="14">
        <v>-3.7399999999999998</v>
      </c>
      <c r="BT203" s="14">
        <v>-11</v>
      </c>
      <c r="BU203" s="14">
        <v>-1.4</v>
      </c>
      <c r="BV203" s="14">
        <v>-12.3</v>
      </c>
      <c r="BW203" s="14">
        <v>-39</v>
      </c>
      <c r="BX203" s="14">
        <v>-4</v>
      </c>
      <c r="BY203" s="48">
        <v>-5.4600000000000009</v>
      </c>
      <c r="BZ203" s="14">
        <v>-33.799999999999997</v>
      </c>
      <c r="CA203" s="14">
        <v>-3.8</v>
      </c>
      <c r="CB203" s="14">
        <v>-2.5999999999999996</v>
      </c>
      <c r="CC203" s="14">
        <v>-0.39999999999999991</v>
      </c>
      <c r="CD203" s="14">
        <v>-0.40000000000000036</v>
      </c>
      <c r="CE203" s="14">
        <v>-3.5531830598244274E-2</v>
      </c>
      <c r="CF203" s="14">
        <v>1.8805457666937739E-2</v>
      </c>
      <c r="CG203" s="14">
        <v>-0.21904761904761905</v>
      </c>
      <c r="CH203" s="14">
        <v>12</v>
      </c>
      <c r="CI203" s="14">
        <v>-6.6000000000000014</v>
      </c>
      <c r="CJ203" s="14">
        <v>-5.1999999999999993</v>
      </c>
      <c r="CK203" s="14">
        <v>2.5999999999999996</v>
      </c>
      <c r="CL203" s="14">
        <v>-9</v>
      </c>
      <c r="CM203" s="14">
        <v>-13.8</v>
      </c>
      <c r="CN203" s="14">
        <v>-1.4</v>
      </c>
      <c r="CO203" s="14">
        <v>-56.600000000000023</v>
      </c>
      <c r="CP203" s="14">
        <v>-57.800000000000011</v>
      </c>
      <c r="CQ203" s="14">
        <v>6.6000000000000014</v>
      </c>
      <c r="CR203" s="14">
        <v>-1</v>
      </c>
      <c r="CS203" s="14">
        <v>-4.3999999999999986</v>
      </c>
      <c r="CT203" t="s">
        <v>257</v>
      </c>
      <c r="CU203" t="s">
        <v>547</v>
      </c>
    </row>
    <row r="204" spans="1:99" x14ac:dyDescent="0.2">
      <c r="A204" s="19">
        <v>44129</v>
      </c>
      <c r="B204">
        <v>7</v>
      </c>
      <c r="C204" s="13" t="s">
        <v>250</v>
      </c>
      <c r="D204" s="41" t="s">
        <v>303</v>
      </c>
      <c r="E204" s="14" t="s">
        <v>284</v>
      </c>
      <c r="F204" t="s">
        <v>661</v>
      </c>
      <c r="G204">
        <v>20.260000000000002</v>
      </c>
      <c r="H204" t="s">
        <v>662</v>
      </c>
      <c r="I204">
        <v>6.1</v>
      </c>
      <c r="J204">
        <v>10</v>
      </c>
      <c r="K204">
        <v>17</v>
      </c>
      <c r="L204">
        <v>4</v>
      </c>
      <c r="M204" t="s">
        <v>663</v>
      </c>
      <c r="N204">
        <v>3.4</v>
      </c>
      <c r="O204">
        <v>3</v>
      </c>
      <c r="P204">
        <v>5</v>
      </c>
      <c r="Q204">
        <v>2</v>
      </c>
      <c r="R204" t="s">
        <v>664</v>
      </c>
      <c r="S204">
        <v>6.5</v>
      </c>
      <c r="T204">
        <v>35</v>
      </c>
      <c r="U204">
        <v>3</v>
      </c>
      <c r="V204" t="s">
        <v>10</v>
      </c>
      <c r="W204">
        <v>24.7</v>
      </c>
      <c r="X204">
        <v>107</v>
      </c>
      <c r="Y204">
        <v>9</v>
      </c>
      <c r="Z204" t="s">
        <v>79</v>
      </c>
      <c r="AA204">
        <v>8.1999999999999993</v>
      </c>
      <c r="AB204">
        <v>42</v>
      </c>
      <c r="AC204">
        <v>6</v>
      </c>
      <c r="AD204">
        <v>11</v>
      </c>
      <c r="AE204">
        <v>30</v>
      </c>
      <c r="AF204">
        <v>6</v>
      </c>
      <c r="AG204" t="s">
        <v>107</v>
      </c>
      <c r="AH204">
        <v>17</v>
      </c>
      <c r="AI204">
        <v>50</v>
      </c>
      <c r="AJ204">
        <v>9</v>
      </c>
      <c r="AK204">
        <v>9</v>
      </c>
      <c r="AL204">
        <v>2</v>
      </c>
      <c r="AM204">
        <v>-4</v>
      </c>
      <c r="AN204" s="21">
        <v>0.31707317073170732</v>
      </c>
      <c r="AO204" s="21">
        <v>7.3170731707317069E-2</v>
      </c>
      <c r="AP204" s="21">
        <v>0.42857142857142855</v>
      </c>
      <c r="AQ204">
        <v>6</v>
      </c>
      <c r="AR204" s="35">
        <v>36</v>
      </c>
      <c r="AS204" s="35">
        <v>20</v>
      </c>
      <c r="AT204" s="35">
        <v>2</v>
      </c>
      <c r="AU204" s="35">
        <v>63</v>
      </c>
      <c r="AV204" s="35">
        <v>20</v>
      </c>
      <c r="AW204" s="35">
        <v>0</v>
      </c>
      <c r="AX204" s="35">
        <v>359</v>
      </c>
      <c r="AY204" s="35">
        <v>284</v>
      </c>
      <c r="AZ204" s="35">
        <v>46</v>
      </c>
      <c r="BA204" s="35">
        <v>10</v>
      </c>
      <c r="BB204" s="35">
        <v>19</v>
      </c>
      <c r="BC204" t="s">
        <v>284</v>
      </c>
      <c r="BD204" s="14">
        <v>6.328000000000003</v>
      </c>
      <c r="BE204" s="14">
        <v>-7.3000000000000007</v>
      </c>
      <c r="BF204" s="14">
        <v>0.40000000000000036</v>
      </c>
      <c r="BG204" s="14">
        <v>-11.2</v>
      </c>
      <c r="BH204" s="14">
        <v>-1</v>
      </c>
      <c r="BI204" s="14">
        <v>-2.5399999999999996</v>
      </c>
      <c r="BJ204" s="14">
        <v>-0.20000000000000018</v>
      </c>
      <c r="BK204" s="14">
        <v>-4.1999999999999993</v>
      </c>
      <c r="BL204" s="14">
        <v>-0.79999999999999982</v>
      </c>
      <c r="BM204" s="14">
        <v>-9.0399999999999974</v>
      </c>
      <c r="BN204" s="14">
        <v>-40.400000000000006</v>
      </c>
      <c r="BO204" s="14">
        <v>-8.4</v>
      </c>
      <c r="BP204" s="14">
        <v>11.799999999999999</v>
      </c>
      <c r="BQ204" s="14">
        <v>48</v>
      </c>
      <c r="BR204" s="14">
        <v>3.5999999999999996</v>
      </c>
      <c r="BS204" s="14">
        <v>2.1799999999999988</v>
      </c>
      <c r="BT204" s="14">
        <v>16.600000000000001</v>
      </c>
      <c r="BU204" s="14">
        <v>3.2</v>
      </c>
      <c r="BV204" s="14">
        <v>-6.52</v>
      </c>
      <c r="BW204" s="14">
        <v>-55.2</v>
      </c>
      <c r="BX204" s="14">
        <v>-4.8000000000000007</v>
      </c>
      <c r="BY204" s="48">
        <v>10.34</v>
      </c>
      <c r="BZ204" s="14">
        <v>21.4</v>
      </c>
      <c r="CA204" s="14">
        <v>4.5999999999999996</v>
      </c>
      <c r="CB204" s="14">
        <v>2.5999999999999996</v>
      </c>
      <c r="CC204" s="14">
        <v>0.60000000000000009</v>
      </c>
      <c r="CD204" s="14">
        <v>-7.2</v>
      </c>
      <c r="CE204" s="14">
        <v>-0.10473023996564257</v>
      </c>
      <c r="CF204" s="14">
        <v>-2.0276410834541223E-2</v>
      </c>
      <c r="CG204" s="14">
        <v>-0.24321789321789328</v>
      </c>
      <c r="CH204" s="14">
        <v>-6.6</v>
      </c>
      <c r="CI204" s="14">
        <v>-0.60000000000000142</v>
      </c>
      <c r="CJ204" s="14">
        <v>4.8000000000000007</v>
      </c>
      <c r="CK204" s="14">
        <v>-0.20000000000000018</v>
      </c>
      <c r="CL204" s="14">
        <v>2.2000000000000028</v>
      </c>
      <c r="CM204" s="14">
        <v>3.8000000000000007</v>
      </c>
      <c r="CN204" s="14">
        <v>-1.4</v>
      </c>
      <c r="CO204" s="14">
        <v>40.600000000000023</v>
      </c>
      <c r="CP204" s="14">
        <v>26.199999999999989</v>
      </c>
      <c r="CQ204" s="14">
        <v>-0.20000000000000284</v>
      </c>
      <c r="CR204" s="14">
        <v>3.8</v>
      </c>
      <c r="CS204" s="14">
        <v>10.8</v>
      </c>
      <c r="CT204" t="s">
        <v>243</v>
      </c>
      <c r="CU204" t="s">
        <v>486</v>
      </c>
    </row>
    <row r="205" spans="1:99" x14ac:dyDescent="0.2">
      <c r="A205" s="19">
        <v>44129</v>
      </c>
      <c r="B205">
        <v>7</v>
      </c>
      <c r="C205" s="13" t="s">
        <v>250</v>
      </c>
      <c r="D205" s="41" t="s">
        <v>304</v>
      </c>
      <c r="E205" s="14" t="s">
        <v>265</v>
      </c>
      <c r="F205" t="s">
        <v>666</v>
      </c>
      <c r="G205">
        <v>16.899999999999999</v>
      </c>
      <c r="H205" t="s">
        <v>667</v>
      </c>
      <c r="I205">
        <v>9.6</v>
      </c>
      <c r="J205">
        <v>15</v>
      </c>
      <c r="K205">
        <v>63</v>
      </c>
      <c r="L205">
        <v>2</v>
      </c>
      <c r="M205" t="s">
        <v>668</v>
      </c>
      <c r="N205">
        <v>11.7</v>
      </c>
      <c r="O205">
        <v>10</v>
      </c>
      <c r="P205">
        <v>57</v>
      </c>
      <c r="Q205">
        <v>2</v>
      </c>
      <c r="R205" t="s">
        <v>59</v>
      </c>
      <c r="S205">
        <v>6.5</v>
      </c>
      <c r="T205">
        <v>22</v>
      </c>
      <c r="U205">
        <v>5</v>
      </c>
      <c r="V205" t="s">
        <v>146</v>
      </c>
      <c r="W205">
        <v>11.9</v>
      </c>
      <c r="X205">
        <v>43</v>
      </c>
      <c r="Y205">
        <v>6</v>
      </c>
      <c r="Z205" t="s">
        <v>669</v>
      </c>
      <c r="AA205">
        <v>15.2</v>
      </c>
      <c r="AB205">
        <v>52</v>
      </c>
      <c r="AC205">
        <v>8</v>
      </c>
      <c r="AD205">
        <v>14.2</v>
      </c>
      <c r="AE205">
        <v>62</v>
      </c>
      <c r="AF205">
        <v>11</v>
      </c>
      <c r="AG205" t="s">
        <v>99</v>
      </c>
      <c r="AH205">
        <v>12.8</v>
      </c>
      <c r="AI205">
        <v>28</v>
      </c>
      <c r="AJ205">
        <v>5</v>
      </c>
      <c r="AK205">
        <v>5</v>
      </c>
      <c r="AL205">
        <v>2</v>
      </c>
      <c r="AM205">
        <v>15</v>
      </c>
      <c r="AN205" s="21">
        <v>0.25714285714285712</v>
      </c>
      <c r="AO205" s="21">
        <v>2.8571428571428571E-2</v>
      </c>
      <c r="AP205" s="21">
        <v>0.42857142857142855</v>
      </c>
      <c r="AQ205" s="35">
        <v>11</v>
      </c>
      <c r="AR205" s="35">
        <v>33</v>
      </c>
      <c r="AS205" s="35">
        <v>25</v>
      </c>
      <c r="AT205" s="35">
        <v>4</v>
      </c>
      <c r="AU205" s="35">
        <v>68</v>
      </c>
      <c r="AV205" s="35">
        <v>24</v>
      </c>
      <c r="AW205" s="35">
        <v>0</v>
      </c>
      <c r="AX205">
        <v>380</v>
      </c>
      <c r="AY205" s="35">
        <v>220</v>
      </c>
      <c r="AZ205" s="35">
        <v>120</v>
      </c>
      <c r="BA205" s="35">
        <v>39</v>
      </c>
      <c r="BB205" s="35">
        <v>1</v>
      </c>
      <c r="BC205" t="s">
        <v>265</v>
      </c>
      <c r="BD205" s="14">
        <v>5.5159999999999982</v>
      </c>
      <c r="BE205" s="14">
        <v>-4.5399999999999974</v>
      </c>
      <c r="BF205" s="14">
        <v>-0.19999999999999929</v>
      </c>
      <c r="BG205" s="14">
        <v>-2.2000000000000028</v>
      </c>
      <c r="BH205" s="14">
        <v>-1.2000000000000002</v>
      </c>
      <c r="BI205" s="14">
        <v>5.6599999999999993</v>
      </c>
      <c r="BJ205" s="14">
        <v>5</v>
      </c>
      <c r="BK205" s="14">
        <v>32.6</v>
      </c>
      <c r="BL205" s="14">
        <v>-0.20000000000000018</v>
      </c>
      <c r="BM205" s="14">
        <v>-5.2399999999999984</v>
      </c>
      <c r="BN205" s="14">
        <v>-38</v>
      </c>
      <c r="BO205" s="14">
        <v>-2.5999999999999996</v>
      </c>
      <c r="BP205" s="14">
        <v>4.419999999999999</v>
      </c>
      <c r="BQ205" s="14">
        <v>-1.7999999999999972</v>
      </c>
      <c r="BR205" s="14">
        <v>0.59999999999999964</v>
      </c>
      <c r="BS205" s="14">
        <v>9.26</v>
      </c>
      <c r="BT205" s="14">
        <v>17.799999999999997</v>
      </c>
      <c r="BU205" s="14">
        <v>4.2</v>
      </c>
      <c r="BV205" s="14">
        <v>3.9599999999999991</v>
      </c>
      <c r="BW205" s="14">
        <v>9.6000000000000014</v>
      </c>
      <c r="BX205" s="14">
        <v>3.8</v>
      </c>
      <c r="BY205" s="48">
        <v>5.2000000000000011</v>
      </c>
      <c r="BZ205" s="14">
        <v>0</v>
      </c>
      <c r="CA205" s="14">
        <v>1</v>
      </c>
      <c r="CB205" s="14">
        <v>-5.1999999999999993</v>
      </c>
      <c r="CC205" s="14">
        <v>-1.6</v>
      </c>
      <c r="CD205" s="14">
        <v>9.1999999999999993</v>
      </c>
      <c r="CE205" s="14">
        <v>-6.7115685732706987E-2</v>
      </c>
      <c r="CF205" s="14">
        <v>-3.8752878327346418E-2</v>
      </c>
      <c r="CG205" s="14">
        <v>-0.11174603174603176</v>
      </c>
      <c r="CH205" s="14">
        <v>4</v>
      </c>
      <c r="CI205" s="14">
        <v>-2.3999999999999986</v>
      </c>
      <c r="CJ205" s="14">
        <v>3</v>
      </c>
      <c r="CK205" s="14">
        <v>0.39999999999999991</v>
      </c>
      <c r="CL205" s="14">
        <v>3.7999999999999972</v>
      </c>
      <c r="CM205" s="14">
        <v>5.3999999999999986</v>
      </c>
      <c r="CN205" s="14">
        <v>0</v>
      </c>
      <c r="CO205" s="14">
        <v>44.399999999999977</v>
      </c>
      <c r="CP205" s="14">
        <v>-7.5999999999999943</v>
      </c>
      <c r="CQ205" s="14">
        <v>27.400000000000006</v>
      </c>
      <c r="CR205" s="14">
        <v>36.4</v>
      </c>
      <c r="CS205" s="14">
        <v>-11.8</v>
      </c>
      <c r="CT205" t="s">
        <v>236</v>
      </c>
      <c r="CU205" t="s">
        <v>539</v>
      </c>
    </row>
    <row r="206" spans="1:99" x14ac:dyDescent="0.2">
      <c r="A206" s="19">
        <v>44129</v>
      </c>
      <c r="B206">
        <v>7</v>
      </c>
      <c r="C206" s="13" t="s">
        <v>250</v>
      </c>
      <c r="D206" s="41" t="s">
        <v>306</v>
      </c>
      <c r="E206" s="14" t="s">
        <v>291</v>
      </c>
      <c r="F206" t="s">
        <v>679</v>
      </c>
      <c r="G206">
        <v>16.86</v>
      </c>
      <c r="H206" t="s">
        <v>680</v>
      </c>
      <c r="I206">
        <v>21.8</v>
      </c>
      <c r="J206">
        <v>20</v>
      </c>
      <c r="K206">
        <v>128</v>
      </c>
      <c r="L206">
        <v>1</v>
      </c>
      <c r="M206" t="s">
        <v>681</v>
      </c>
      <c r="N206">
        <v>7.1</v>
      </c>
      <c r="O206">
        <v>5</v>
      </c>
      <c r="P206">
        <v>35</v>
      </c>
      <c r="Q206">
        <v>2</v>
      </c>
      <c r="R206" t="s">
        <v>94</v>
      </c>
      <c r="S206">
        <v>22</v>
      </c>
      <c r="T206">
        <v>90</v>
      </c>
      <c r="U206">
        <v>11</v>
      </c>
      <c r="V206" t="s">
        <v>682</v>
      </c>
      <c r="W206">
        <v>3.2</v>
      </c>
      <c r="X206">
        <v>22</v>
      </c>
      <c r="Y206">
        <v>1</v>
      </c>
      <c r="AA206">
        <v>0</v>
      </c>
      <c r="AB206">
        <v>0</v>
      </c>
      <c r="AC206">
        <v>0</v>
      </c>
      <c r="AD206">
        <v>8.5</v>
      </c>
      <c r="AE206">
        <v>35</v>
      </c>
      <c r="AF206">
        <v>8</v>
      </c>
      <c r="AG206" t="s">
        <v>683</v>
      </c>
      <c r="AH206">
        <v>16</v>
      </c>
      <c r="AI206">
        <v>60</v>
      </c>
      <c r="AJ206">
        <v>4</v>
      </c>
      <c r="AK206">
        <v>4</v>
      </c>
      <c r="AL206">
        <v>2</v>
      </c>
      <c r="AM206">
        <v>17</v>
      </c>
      <c r="AN206" s="21">
        <v>0.39285714285714285</v>
      </c>
      <c r="AO206" s="21">
        <v>7.1428571428571425E-2</v>
      </c>
      <c r="AP206" s="21">
        <v>0.6</v>
      </c>
      <c r="AQ206" s="35">
        <v>2</v>
      </c>
      <c r="AR206" s="35">
        <v>25</v>
      </c>
      <c r="AS206" s="35">
        <v>35</v>
      </c>
      <c r="AT206" s="35">
        <v>4</v>
      </c>
      <c r="AU206" s="35">
        <v>66</v>
      </c>
      <c r="AV206" s="35">
        <v>23</v>
      </c>
      <c r="AW206" s="35">
        <v>2</v>
      </c>
      <c r="AX206">
        <v>468</v>
      </c>
      <c r="AY206" s="35">
        <v>194</v>
      </c>
      <c r="AZ206" s="35">
        <v>263</v>
      </c>
      <c r="BA206" s="35">
        <v>0</v>
      </c>
      <c r="BB206" s="35">
        <v>11</v>
      </c>
      <c r="BC206" t="s">
        <v>291</v>
      </c>
      <c r="BD206" s="14">
        <v>-7.4639999999999986</v>
      </c>
      <c r="BE206" s="14">
        <v>5.0200000000000067</v>
      </c>
      <c r="BF206" s="14">
        <v>3.3999999999999986</v>
      </c>
      <c r="BG206" s="14">
        <v>44</v>
      </c>
      <c r="BH206" s="14">
        <v>-0.60000000000000009</v>
      </c>
      <c r="BI206" s="14">
        <v>1.9799999999999995</v>
      </c>
      <c r="BJ206" s="14">
        <v>-1</v>
      </c>
      <c r="BK206" s="14">
        <v>1.3999999999999986</v>
      </c>
      <c r="BL206" s="14">
        <v>0.60000000000000009</v>
      </c>
      <c r="BM206" s="14">
        <v>-1.1999999999999993</v>
      </c>
      <c r="BN206" s="14">
        <v>8.5999999999999943</v>
      </c>
      <c r="BO206" s="14">
        <v>2.1999999999999993</v>
      </c>
      <c r="BP206" s="14">
        <v>-17.195999999999998</v>
      </c>
      <c r="BQ206" s="14">
        <v>-57</v>
      </c>
      <c r="BR206" s="14">
        <v>-5.4</v>
      </c>
      <c r="BS206" s="14">
        <v>-4.5999999999999996</v>
      </c>
      <c r="BT206" s="14">
        <v>-14</v>
      </c>
      <c r="BU206" s="14">
        <v>-3</v>
      </c>
      <c r="BV206" s="14">
        <v>-5.4199999999999982</v>
      </c>
      <c r="BW206" s="14">
        <v>-28.200000000000003</v>
      </c>
      <c r="BX206" s="14">
        <v>-0.19999999999999929</v>
      </c>
      <c r="BY206" s="48">
        <v>5.1400000000000006</v>
      </c>
      <c r="BZ206" s="14">
        <v>23.200000000000003</v>
      </c>
      <c r="CA206" s="14">
        <v>-0.79999999999999982</v>
      </c>
      <c r="CB206" s="14">
        <v>-8.1999999999999993</v>
      </c>
      <c r="CC206" s="14">
        <v>-0.20000000000000018</v>
      </c>
      <c r="CD206" s="14">
        <v>8</v>
      </c>
      <c r="CE206" s="14">
        <v>5.2044926618097287E-2</v>
      </c>
      <c r="CF206" s="14">
        <v>1.9191215288776257E-2</v>
      </c>
      <c r="CG206" s="14">
        <v>-0.22499999999999998</v>
      </c>
      <c r="CH206" s="14">
        <v>1.4</v>
      </c>
      <c r="CI206" s="14">
        <v>-7.6000000000000014</v>
      </c>
      <c r="CJ206" s="14">
        <v>8.3999999999999986</v>
      </c>
      <c r="CK206" s="14">
        <v>-1</v>
      </c>
      <c r="CL206" s="14">
        <v>-1.4000000000000057</v>
      </c>
      <c r="CM206" s="14">
        <v>-14.799999999999997</v>
      </c>
      <c r="CN206" s="14">
        <v>0.19999999999999996</v>
      </c>
      <c r="CO206" s="14">
        <v>58</v>
      </c>
      <c r="CP206" s="14">
        <v>-38.599999999999994</v>
      </c>
      <c r="CQ206" s="14">
        <v>124.19999999999999</v>
      </c>
      <c r="CR206" s="14">
        <v>-16.399999999999999</v>
      </c>
      <c r="CS206" s="14">
        <v>-11.2</v>
      </c>
      <c r="CT206" t="s">
        <v>282</v>
      </c>
      <c r="CU206" t="s">
        <v>453</v>
      </c>
    </row>
    <row r="207" spans="1:99" x14ac:dyDescent="0.2">
      <c r="A207" s="19">
        <v>44129</v>
      </c>
      <c r="B207">
        <v>7</v>
      </c>
      <c r="C207" s="13" t="s">
        <v>250</v>
      </c>
      <c r="D207" s="41" t="s">
        <v>307</v>
      </c>
      <c r="E207" s="14" t="s">
        <v>301</v>
      </c>
      <c r="F207" t="s">
        <v>689</v>
      </c>
      <c r="G207">
        <v>24.68</v>
      </c>
      <c r="H207" t="s">
        <v>690</v>
      </c>
      <c r="I207">
        <v>22.8</v>
      </c>
      <c r="J207">
        <v>14</v>
      </c>
      <c r="K207">
        <v>83</v>
      </c>
      <c r="L207">
        <v>8</v>
      </c>
      <c r="M207" t="s">
        <v>691</v>
      </c>
      <c r="N207">
        <v>6.6</v>
      </c>
      <c r="O207">
        <v>11</v>
      </c>
      <c r="P207">
        <v>47</v>
      </c>
      <c r="Q207">
        <v>1</v>
      </c>
      <c r="R207" t="s">
        <v>692</v>
      </c>
      <c r="S207">
        <v>9.4</v>
      </c>
      <c r="T207">
        <v>54</v>
      </c>
      <c r="U207">
        <v>4</v>
      </c>
      <c r="V207" t="s">
        <v>693</v>
      </c>
      <c r="W207">
        <v>15.5</v>
      </c>
      <c r="X207">
        <v>75</v>
      </c>
      <c r="Y207">
        <v>10</v>
      </c>
      <c r="Z207" t="s">
        <v>694</v>
      </c>
      <c r="AA207">
        <v>14.6</v>
      </c>
      <c r="AB207">
        <v>46</v>
      </c>
      <c r="AC207">
        <v>5</v>
      </c>
      <c r="AD207">
        <v>24.5</v>
      </c>
      <c r="AE207">
        <v>55</v>
      </c>
      <c r="AF207">
        <v>8</v>
      </c>
      <c r="AG207" t="s">
        <v>80</v>
      </c>
      <c r="AH207">
        <v>12.2</v>
      </c>
      <c r="AI207">
        <v>32</v>
      </c>
      <c r="AJ207">
        <v>4</v>
      </c>
      <c r="AK207">
        <v>11</v>
      </c>
      <c r="AL207">
        <v>2</v>
      </c>
      <c r="AM207">
        <v>1</v>
      </c>
      <c r="AN207" s="21">
        <v>0.10810810810810811</v>
      </c>
      <c r="AO207" s="21">
        <v>2.7027027027027029E-2</v>
      </c>
      <c r="AP207" s="21">
        <v>1</v>
      </c>
      <c r="AQ207" s="35">
        <v>3</v>
      </c>
      <c r="AR207" s="35">
        <v>37</v>
      </c>
      <c r="AS207" s="35">
        <v>25</v>
      </c>
      <c r="AT207" s="35">
        <v>4</v>
      </c>
      <c r="AU207" s="35">
        <v>67</v>
      </c>
      <c r="AV207" s="35">
        <v>27</v>
      </c>
      <c r="AW207" s="35">
        <v>0</v>
      </c>
      <c r="AX207" s="35">
        <v>425</v>
      </c>
      <c r="AY207" s="35">
        <v>287</v>
      </c>
      <c r="AZ207" s="35">
        <v>130</v>
      </c>
      <c r="BA207" s="35">
        <v>0</v>
      </c>
      <c r="BB207" s="35">
        <v>8</v>
      </c>
      <c r="BC207" t="s">
        <v>301</v>
      </c>
      <c r="BD207" s="14">
        <v>8.7280000000000015</v>
      </c>
      <c r="BE207" s="14">
        <v>1.3800000000000026</v>
      </c>
      <c r="BF207" s="14">
        <v>0</v>
      </c>
      <c r="BG207" s="14">
        <v>7.7999999999999972</v>
      </c>
      <c r="BH207" s="14">
        <v>2.8</v>
      </c>
      <c r="BI207" s="14">
        <v>-1.2599999999999998</v>
      </c>
      <c r="BJ207" s="14">
        <v>6</v>
      </c>
      <c r="BK207" s="14">
        <v>22.8</v>
      </c>
      <c r="BL207" s="14">
        <v>-1.4</v>
      </c>
      <c r="BM207" s="14">
        <v>-11.920000000000003</v>
      </c>
      <c r="BN207" s="14">
        <v>-39.200000000000003</v>
      </c>
      <c r="BO207" s="14">
        <v>-7.4</v>
      </c>
      <c r="BP207" s="14">
        <v>9.6199999999999992</v>
      </c>
      <c r="BQ207" s="14">
        <v>52.2</v>
      </c>
      <c r="BR207" s="14">
        <v>6.2</v>
      </c>
      <c r="BS207" s="14">
        <v>11.16</v>
      </c>
      <c r="BT207" s="14">
        <v>29.8</v>
      </c>
      <c r="BU207" s="14">
        <v>1.7999999999999998</v>
      </c>
      <c r="BV207" s="14">
        <v>7.84</v>
      </c>
      <c r="BW207" s="14">
        <v>-13.599999999999994</v>
      </c>
      <c r="BX207" s="14">
        <v>-2.8000000000000007</v>
      </c>
      <c r="BY207" s="48">
        <v>5.9599999999999991</v>
      </c>
      <c r="BZ207" s="14">
        <v>3.6000000000000014</v>
      </c>
      <c r="CA207" s="14">
        <v>-1.5999999999999996</v>
      </c>
      <c r="CB207" s="14">
        <v>2.8000000000000007</v>
      </c>
      <c r="CC207" s="14">
        <v>0.39999999999999991</v>
      </c>
      <c r="CD207" s="14">
        <v>-5</v>
      </c>
      <c r="CE207" s="14">
        <v>-0.19611955102521139</v>
      </c>
      <c r="CF207" s="14">
        <v>3.5091612450103074E-3</v>
      </c>
      <c r="CG207" s="14">
        <v>0.3970588235294118</v>
      </c>
      <c r="CH207" s="14">
        <v>-1.7999999999999998</v>
      </c>
      <c r="CI207" s="14">
        <v>-1.2000000000000028</v>
      </c>
      <c r="CJ207" s="14">
        <v>5</v>
      </c>
      <c r="CK207" s="14">
        <v>0.79999999999999982</v>
      </c>
      <c r="CL207" s="14">
        <v>2.5999999999999943</v>
      </c>
      <c r="CM207" s="14">
        <v>5.6000000000000014</v>
      </c>
      <c r="CN207" s="14">
        <v>0</v>
      </c>
      <c r="CO207" s="14">
        <v>85</v>
      </c>
      <c r="CP207" s="14">
        <v>66.199999999999989</v>
      </c>
      <c r="CQ207" s="14">
        <v>30.400000000000006</v>
      </c>
      <c r="CR207" s="14">
        <v>-0.4</v>
      </c>
      <c r="CS207" s="14">
        <v>-11.2</v>
      </c>
      <c r="CT207" t="s">
        <v>279</v>
      </c>
      <c r="CU207" t="s">
        <v>484</v>
      </c>
    </row>
    <row r="208" spans="1:99" x14ac:dyDescent="0.2">
      <c r="A208" s="19">
        <v>44129</v>
      </c>
      <c r="B208">
        <v>7</v>
      </c>
      <c r="C208" s="13" t="s">
        <v>250</v>
      </c>
      <c r="D208" s="41" t="s">
        <v>308</v>
      </c>
      <c r="E208" s="14" t="s">
        <v>285</v>
      </c>
      <c r="F208" t="s">
        <v>696</v>
      </c>
      <c r="G208">
        <v>35.92</v>
      </c>
      <c r="H208" t="s">
        <v>697</v>
      </c>
      <c r="I208">
        <v>16.600000000000001</v>
      </c>
      <c r="J208">
        <v>15</v>
      </c>
      <c r="K208">
        <v>68</v>
      </c>
      <c r="L208">
        <v>4</v>
      </c>
      <c r="M208" t="s">
        <v>698</v>
      </c>
      <c r="N208">
        <v>5.0999999999999996</v>
      </c>
      <c r="O208">
        <v>5</v>
      </c>
      <c r="P208">
        <v>34</v>
      </c>
      <c r="Q208">
        <v>2</v>
      </c>
      <c r="R208" t="s">
        <v>163</v>
      </c>
      <c r="S208">
        <v>56</v>
      </c>
      <c r="T208">
        <v>200</v>
      </c>
      <c r="U208">
        <v>20</v>
      </c>
      <c r="V208" t="s">
        <v>103</v>
      </c>
      <c r="W208">
        <v>4.3</v>
      </c>
      <c r="X208">
        <v>23</v>
      </c>
      <c r="Y208">
        <v>5</v>
      </c>
      <c r="Z208" t="s">
        <v>699</v>
      </c>
      <c r="AA208">
        <v>8.8000000000000007</v>
      </c>
      <c r="AB208">
        <v>54</v>
      </c>
      <c r="AC208">
        <v>3</v>
      </c>
      <c r="AD208">
        <v>6.5</v>
      </c>
      <c r="AE208">
        <v>35</v>
      </c>
      <c r="AF208">
        <v>6</v>
      </c>
      <c r="AG208" t="s">
        <v>68</v>
      </c>
      <c r="AH208">
        <v>3.8</v>
      </c>
      <c r="AI208">
        <v>18</v>
      </c>
      <c r="AJ208">
        <v>3</v>
      </c>
      <c r="AK208">
        <v>12</v>
      </c>
      <c r="AL208">
        <v>2</v>
      </c>
      <c r="AM208">
        <v>0</v>
      </c>
      <c r="AN208" s="21">
        <v>0.2982456140350877</v>
      </c>
      <c r="AO208" s="21">
        <v>3.5087719298245612E-2</v>
      </c>
      <c r="AP208" s="21">
        <v>0.7</v>
      </c>
      <c r="AQ208" s="35">
        <v>7</v>
      </c>
      <c r="AR208" s="35">
        <v>50</v>
      </c>
      <c r="AS208" s="35">
        <v>23</v>
      </c>
      <c r="AT208" s="35">
        <v>6</v>
      </c>
      <c r="AU208" s="35">
        <v>82</v>
      </c>
      <c r="AV208" s="35">
        <v>34</v>
      </c>
      <c r="AW208" s="35">
        <v>0</v>
      </c>
      <c r="AX208">
        <v>588</v>
      </c>
      <c r="AY208" s="35">
        <v>388</v>
      </c>
      <c r="AZ208" s="35">
        <v>112</v>
      </c>
      <c r="BA208" s="35">
        <v>4</v>
      </c>
      <c r="BB208" s="35">
        <v>84</v>
      </c>
      <c r="BC208" t="s">
        <v>285</v>
      </c>
      <c r="BD208" s="14">
        <v>18.860000000000003</v>
      </c>
      <c r="BE208" s="14">
        <v>3.5000000000000018</v>
      </c>
      <c r="BF208" s="14">
        <v>-0.19999999999999929</v>
      </c>
      <c r="BG208" s="14">
        <v>3.4000000000000057</v>
      </c>
      <c r="BH208" s="14">
        <v>0</v>
      </c>
      <c r="BI208" s="14">
        <v>-1.58</v>
      </c>
      <c r="BJ208" s="14">
        <v>-3</v>
      </c>
      <c r="BK208" s="14">
        <v>-2.6000000000000014</v>
      </c>
      <c r="BL208" s="14">
        <v>0.60000000000000009</v>
      </c>
      <c r="BM208" s="14">
        <v>33.28</v>
      </c>
      <c r="BN208" s="14">
        <v>104.8</v>
      </c>
      <c r="BO208" s="14">
        <v>10.4</v>
      </c>
      <c r="BP208" s="14">
        <v>-4.3</v>
      </c>
      <c r="BQ208" s="14">
        <v>-25</v>
      </c>
      <c r="BR208" s="14">
        <v>-2</v>
      </c>
      <c r="BS208" s="14">
        <v>4.3400000000000007</v>
      </c>
      <c r="BT208" s="14">
        <v>30.8</v>
      </c>
      <c r="BU208" s="14">
        <v>-0.79999999999999982</v>
      </c>
      <c r="BV208" s="14">
        <v>-18.080000000000002</v>
      </c>
      <c r="BW208" s="14">
        <v>-70.8</v>
      </c>
      <c r="BX208" s="14">
        <v>-7.8000000000000007</v>
      </c>
      <c r="BY208" s="48">
        <v>-3.46</v>
      </c>
      <c r="BZ208" s="14">
        <v>-10.600000000000001</v>
      </c>
      <c r="CA208" s="14">
        <v>-2.8</v>
      </c>
      <c r="CB208" s="14">
        <v>6</v>
      </c>
      <c r="CC208" s="14">
        <v>0</v>
      </c>
      <c r="CD208" s="14">
        <v>-2.6</v>
      </c>
      <c r="CE208" s="14">
        <v>1.3266461460038625E-2</v>
      </c>
      <c r="CF208" s="14">
        <v>-2.9247956919678603E-2</v>
      </c>
      <c r="CG208" s="14">
        <v>-2.2222222222222365E-3</v>
      </c>
      <c r="CH208" s="14">
        <v>-0.20000000000000018</v>
      </c>
      <c r="CI208" s="14">
        <v>12.399999999999999</v>
      </c>
      <c r="CJ208" s="14">
        <v>-1.1999999999999993</v>
      </c>
      <c r="CK208" s="14">
        <v>3.2</v>
      </c>
      <c r="CL208" s="14">
        <v>13.599999999999994</v>
      </c>
      <c r="CM208" s="14">
        <v>15.600000000000001</v>
      </c>
      <c r="CN208" s="14">
        <v>0</v>
      </c>
      <c r="CO208" s="14">
        <v>223</v>
      </c>
      <c r="CP208" s="14">
        <v>142</v>
      </c>
      <c r="CQ208" s="14">
        <v>7.5999999999999943</v>
      </c>
      <c r="CR208" s="14">
        <v>1.6</v>
      </c>
      <c r="CS208" s="14">
        <v>71.8</v>
      </c>
      <c r="CT208" t="s">
        <v>249</v>
      </c>
      <c r="CU208" t="s">
        <v>452</v>
      </c>
    </row>
    <row r="209" spans="1:99" x14ac:dyDescent="0.2">
      <c r="A209" s="19">
        <v>44129</v>
      </c>
      <c r="B209">
        <v>7</v>
      </c>
      <c r="C209" s="13" t="s">
        <v>250</v>
      </c>
      <c r="D209" s="41" t="s">
        <v>309</v>
      </c>
      <c r="E209" s="14" t="s">
        <v>310</v>
      </c>
      <c r="F209" t="s">
        <v>702</v>
      </c>
      <c r="G209">
        <v>15.62</v>
      </c>
      <c r="H209" t="s">
        <v>703</v>
      </c>
      <c r="I209">
        <v>14.1</v>
      </c>
      <c r="J209">
        <v>20</v>
      </c>
      <c r="K209">
        <v>82</v>
      </c>
      <c r="L209">
        <v>5</v>
      </c>
      <c r="M209" t="s">
        <v>704</v>
      </c>
      <c r="N209">
        <v>6.2</v>
      </c>
      <c r="O209">
        <v>2</v>
      </c>
      <c r="P209">
        <v>2</v>
      </c>
      <c r="Q209">
        <v>0</v>
      </c>
      <c r="R209" t="s">
        <v>105</v>
      </c>
      <c r="S209">
        <v>29</v>
      </c>
      <c r="T209">
        <v>80</v>
      </c>
      <c r="U209">
        <v>15</v>
      </c>
      <c r="V209" t="s">
        <v>705</v>
      </c>
      <c r="W209">
        <v>17.5</v>
      </c>
      <c r="X209">
        <v>85</v>
      </c>
      <c r="Y209">
        <v>14</v>
      </c>
      <c r="Z209" t="s">
        <v>706</v>
      </c>
      <c r="AA209">
        <v>0.8</v>
      </c>
      <c r="AB209">
        <v>-2</v>
      </c>
      <c r="AC209">
        <v>1</v>
      </c>
      <c r="AD209">
        <v>25.2</v>
      </c>
      <c r="AE209">
        <v>122</v>
      </c>
      <c r="AF209">
        <v>17</v>
      </c>
      <c r="AG209" t="s">
        <v>100</v>
      </c>
      <c r="AH209">
        <v>11</v>
      </c>
      <c r="AI209">
        <v>50</v>
      </c>
      <c r="AJ209">
        <v>8</v>
      </c>
      <c r="AK209">
        <v>9</v>
      </c>
      <c r="AL209">
        <v>2</v>
      </c>
      <c r="AM209">
        <v>2</v>
      </c>
      <c r="AN209" s="21">
        <v>0.18</v>
      </c>
      <c r="AO209" s="21">
        <v>0</v>
      </c>
      <c r="AP209" s="21">
        <v>0.625</v>
      </c>
      <c r="AQ209" s="35">
        <v>6</v>
      </c>
      <c r="AR209" s="35">
        <v>49</v>
      </c>
      <c r="AS209" s="35">
        <v>24</v>
      </c>
      <c r="AT209" s="35">
        <v>1</v>
      </c>
      <c r="AU209" s="35">
        <v>74</v>
      </c>
      <c r="AV209" s="35">
        <v>27</v>
      </c>
      <c r="AW209" s="35">
        <v>0</v>
      </c>
      <c r="AX209">
        <v>362</v>
      </c>
      <c r="AY209" s="35">
        <v>268</v>
      </c>
      <c r="AZ209" s="35">
        <v>95</v>
      </c>
      <c r="BA209" s="35">
        <v>0</v>
      </c>
      <c r="BB209" s="35">
        <v>-1</v>
      </c>
      <c r="BC209" t="s">
        <v>310</v>
      </c>
      <c r="BD209" s="14">
        <v>-10.185</v>
      </c>
      <c r="BE209" s="14">
        <v>-3.9249999999999989</v>
      </c>
      <c r="BF209" s="14">
        <v>3</v>
      </c>
      <c r="BG209" s="14">
        <v>-9.25</v>
      </c>
      <c r="BH209" s="14">
        <v>2</v>
      </c>
      <c r="BI209" s="14">
        <v>-1.5249999999999995</v>
      </c>
      <c r="BJ209" s="14">
        <v>-3.25</v>
      </c>
      <c r="BK209" s="14">
        <v>-21.75</v>
      </c>
      <c r="BL209" s="14">
        <v>-2.25</v>
      </c>
      <c r="BM209" s="14">
        <v>10.099999999999998</v>
      </c>
      <c r="BN209" s="14">
        <v>-5.5</v>
      </c>
      <c r="BO209" s="14">
        <v>6</v>
      </c>
      <c r="BP209" s="14">
        <v>-3.5999999999999979</v>
      </c>
      <c r="BQ209" s="14">
        <v>-3.5</v>
      </c>
      <c r="BR209" s="14">
        <v>6.25</v>
      </c>
      <c r="BS209" s="14">
        <v>-7.55</v>
      </c>
      <c r="BT209" s="14">
        <v>-30.5</v>
      </c>
      <c r="BU209" s="14">
        <v>-3.5</v>
      </c>
      <c r="BV209" s="14">
        <v>-2.0500000000000007</v>
      </c>
      <c r="BW209" s="14">
        <v>-0.5</v>
      </c>
      <c r="BX209" s="14">
        <v>4.25</v>
      </c>
      <c r="BY209" s="48">
        <v>-0.17500000000000071</v>
      </c>
      <c r="BZ209" s="14">
        <v>13.25</v>
      </c>
      <c r="CA209" s="14">
        <v>3.25</v>
      </c>
      <c r="CB209" s="14">
        <v>3.25</v>
      </c>
      <c r="CC209" s="14">
        <v>0.75</v>
      </c>
      <c r="CD209" s="14">
        <v>1.25</v>
      </c>
      <c r="CE209" s="14">
        <v>-0.18710884353741497</v>
      </c>
      <c r="CF209" s="14">
        <v>-4.3673469387755105E-2</v>
      </c>
      <c r="CG209" s="14">
        <v>-3.3333333333333215E-2</v>
      </c>
      <c r="CH209" s="14">
        <v>1.5</v>
      </c>
      <c r="CI209" s="14">
        <v>10.25</v>
      </c>
      <c r="CJ209" s="14">
        <v>1.75</v>
      </c>
      <c r="CK209" s="14">
        <v>-2.5</v>
      </c>
      <c r="CL209" s="14">
        <v>8.75</v>
      </c>
      <c r="CM209" s="14">
        <v>-1</v>
      </c>
      <c r="CN209" s="14">
        <v>0</v>
      </c>
      <c r="CO209" s="14">
        <v>-85</v>
      </c>
      <c r="CP209" s="14">
        <v>-34.5</v>
      </c>
      <c r="CQ209" s="14">
        <v>-20</v>
      </c>
      <c r="CR209" s="14">
        <v>-10.25</v>
      </c>
      <c r="CS209" s="14">
        <v>-20.25</v>
      </c>
      <c r="CT209" t="s">
        <v>286</v>
      </c>
      <c r="CU209" t="s">
        <v>479</v>
      </c>
    </row>
    <row r="210" spans="1:99" x14ac:dyDescent="0.2">
      <c r="A210" s="19">
        <v>44129</v>
      </c>
      <c r="B210">
        <v>7</v>
      </c>
      <c r="C210" s="13" t="s">
        <v>250</v>
      </c>
      <c r="D210" s="41" t="s">
        <v>310</v>
      </c>
      <c r="E210" s="14" t="s">
        <v>309</v>
      </c>
      <c r="F210" t="s">
        <v>709</v>
      </c>
      <c r="G210">
        <v>17.3</v>
      </c>
      <c r="H210" t="s">
        <v>710</v>
      </c>
      <c r="I210">
        <v>15.2</v>
      </c>
      <c r="J210">
        <v>20</v>
      </c>
      <c r="K210">
        <v>75</v>
      </c>
      <c r="L210">
        <v>2</v>
      </c>
      <c r="M210" t="s">
        <v>711</v>
      </c>
      <c r="N210">
        <v>0.2</v>
      </c>
      <c r="O210">
        <v>1</v>
      </c>
      <c r="P210">
        <v>2</v>
      </c>
      <c r="Q210">
        <v>0</v>
      </c>
      <c r="R210" t="s">
        <v>64</v>
      </c>
      <c r="S210">
        <v>30.3</v>
      </c>
      <c r="T210">
        <v>153</v>
      </c>
      <c r="U210">
        <v>8</v>
      </c>
      <c r="V210" t="s">
        <v>53</v>
      </c>
      <c r="W210">
        <v>15.5</v>
      </c>
      <c r="X210">
        <v>35</v>
      </c>
      <c r="Y210">
        <v>10</v>
      </c>
      <c r="Z210" t="s">
        <v>54</v>
      </c>
      <c r="AA210">
        <v>2.9</v>
      </c>
      <c r="AB210">
        <v>19</v>
      </c>
      <c r="AC210">
        <v>3</v>
      </c>
      <c r="AD210">
        <v>15.6</v>
      </c>
      <c r="AE210">
        <v>36</v>
      </c>
      <c r="AF210">
        <v>9</v>
      </c>
      <c r="AG210" t="s">
        <v>171</v>
      </c>
      <c r="AH210">
        <v>1.9</v>
      </c>
      <c r="AI210">
        <v>9</v>
      </c>
      <c r="AJ210">
        <v>4</v>
      </c>
      <c r="AK210">
        <v>7</v>
      </c>
      <c r="AL210">
        <v>2</v>
      </c>
      <c r="AM210">
        <v>6</v>
      </c>
      <c r="AN210" s="21">
        <v>0.3235294117647059</v>
      </c>
      <c r="AO210" s="21">
        <v>5.8823529411764705E-2</v>
      </c>
      <c r="AP210" s="21">
        <v>0.6</v>
      </c>
      <c r="AQ210" s="35">
        <v>2</v>
      </c>
      <c r="AR210" s="35">
        <v>30</v>
      </c>
      <c r="AS210" s="35">
        <v>21</v>
      </c>
      <c r="AT210" s="35">
        <v>2</v>
      </c>
      <c r="AU210" s="35">
        <v>56</v>
      </c>
      <c r="AV210" s="35">
        <v>24</v>
      </c>
      <c r="AW210" s="35">
        <v>0</v>
      </c>
      <c r="AX210">
        <v>302</v>
      </c>
      <c r="AY210" s="35">
        <v>220</v>
      </c>
      <c r="AZ210" s="35">
        <v>77</v>
      </c>
      <c r="BA210" s="35">
        <v>0</v>
      </c>
      <c r="BB210" s="35">
        <v>5</v>
      </c>
      <c r="BC210" t="s">
        <v>309</v>
      </c>
      <c r="BD210" s="14">
        <v>0.72000000000000242</v>
      </c>
      <c r="BE210" s="14">
        <v>5.0000000000000711E-2</v>
      </c>
      <c r="BF210" s="14">
        <v>6</v>
      </c>
      <c r="BG210" s="14">
        <v>21.75</v>
      </c>
      <c r="BH210" s="14">
        <v>-1.25</v>
      </c>
      <c r="BI210" s="14">
        <v>-1.5</v>
      </c>
      <c r="BJ210" s="14">
        <v>-1</v>
      </c>
      <c r="BK210" s="14">
        <v>-11</v>
      </c>
      <c r="BL210" s="14">
        <v>-0.25</v>
      </c>
      <c r="BM210" s="14">
        <v>14.375</v>
      </c>
      <c r="BN210" s="14">
        <v>78.75</v>
      </c>
      <c r="BO210" s="14">
        <v>1.25</v>
      </c>
      <c r="BP210" s="14">
        <v>3.1750000000000007</v>
      </c>
      <c r="BQ210" s="14">
        <v>-20.75</v>
      </c>
      <c r="BR210" s="14">
        <v>4.75</v>
      </c>
      <c r="BS210" s="14">
        <v>-4.4250000000000007</v>
      </c>
      <c r="BT210" s="14">
        <v>-9.5</v>
      </c>
      <c r="BU210" s="14">
        <v>-1.75</v>
      </c>
      <c r="BV210" s="14">
        <v>-5.1000000000000032</v>
      </c>
      <c r="BW210" s="14">
        <v>-56</v>
      </c>
      <c r="BX210" s="14">
        <v>-1.5</v>
      </c>
      <c r="BY210" s="48">
        <v>-6.6749999999999989</v>
      </c>
      <c r="BZ210" s="14">
        <v>-26.75</v>
      </c>
      <c r="CA210" s="14">
        <v>-1</v>
      </c>
      <c r="CB210" s="14">
        <v>3.75</v>
      </c>
      <c r="CC210" s="14">
        <v>1</v>
      </c>
      <c r="CD210" s="14">
        <v>4.5</v>
      </c>
      <c r="CE210" s="14">
        <v>-0.10929913315517276</v>
      </c>
      <c r="CF210" s="14">
        <v>-7.7080136201293739E-2</v>
      </c>
      <c r="CG210" s="14">
        <v>7.5544922913343915E-2</v>
      </c>
      <c r="CH210" s="14">
        <v>-9.5</v>
      </c>
      <c r="CI210" s="14">
        <v>-2.5</v>
      </c>
      <c r="CJ210" s="14">
        <v>3.75</v>
      </c>
      <c r="CK210" s="14">
        <v>0</v>
      </c>
      <c r="CL210" s="14">
        <v>-2</v>
      </c>
      <c r="CM210" s="14">
        <v>4.5</v>
      </c>
      <c r="CN210" s="14">
        <v>0</v>
      </c>
      <c r="CO210" s="14">
        <v>-18.75</v>
      </c>
      <c r="CP210" s="14">
        <v>-25.25</v>
      </c>
      <c r="CQ210" s="14">
        <v>10.25</v>
      </c>
      <c r="CR210" s="14">
        <v>-2.25</v>
      </c>
      <c r="CS210" s="14">
        <v>-1.5</v>
      </c>
      <c r="CT210" t="s">
        <v>271</v>
      </c>
      <c r="CU210" t="s">
        <v>521</v>
      </c>
    </row>
    <row r="211" spans="1:99" x14ac:dyDescent="0.2">
      <c r="A211" s="19">
        <v>44129</v>
      </c>
      <c r="B211">
        <v>7</v>
      </c>
      <c r="C211" s="13" t="s">
        <v>250</v>
      </c>
      <c r="D211" s="41" t="s">
        <v>311</v>
      </c>
      <c r="E211" s="14" t="s">
        <v>300</v>
      </c>
      <c r="F211" t="s">
        <v>718</v>
      </c>
      <c r="G211">
        <v>27.16</v>
      </c>
      <c r="H211" t="s">
        <v>719</v>
      </c>
      <c r="I211">
        <v>17.399999999999999</v>
      </c>
      <c r="J211">
        <v>14</v>
      </c>
      <c r="K211">
        <v>42</v>
      </c>
      <c r="L211">
        <v>4</v>
      </c>
      <c r="M211" t="s">
        <v>720</v>
      </c>
      <c r="N211">
        <v>9.1999999999999993</v>
      </c>
      <c r="O211">
        <v>1</v>
      </c>
      <c r="P211">
        <v>-1</v>
      </c>
      <c r="Q211">
        <v>5</v>
      </c>
      <c r="R211" t="s">
        <v>23</v>
      </c>
      <c r="S211">
        <v>12.5</v>
      </c>
      <c r="T211">
        <v>35</v>
      </c>
      <c r="U211">
        <v>6</v>
      </c>
      <c r="V211" t="s">
        <v>71</v>
      </c>
      <c r="W211">
        <v>13</v>
      </c>
      <c r="X211">
        <v>60</v>
      </c>
      <c r="Y211">
        <v>9</v>
      </c>
      <c r="Z211" t="s">
        <v>84</v>
      </c>
      <c r="AA211">
        <v>17.5</v>
      </c>
      <c r="AB211">
        <v>95</v>
      </c>
      <c r="AC211">
        <v>10</v>
      </c>
      <c r="AD211">
        <v>24.3</v>
      </c>
      <c r="AE211">
        <v>133</v>
      </c>
      <c r="AF211">
        <v>16</v>
      </c>
      <c r="AG211" t="s">
        <v>169</v>
      </c>
      <c r="AH211">
        <v>0</v>
      </c>
      <c r="AI211">
        <v>0</v>
      </c>
      <c r="AJ211">
        <v>0</v>
      </c>
      <c r="AK211">
        <v>7</v>
      </c>
      <c r="AL211">
        <v>3</v>
      </c>
      <c r="AM211">
        <v>-2</v>
      </c>
      <c r="AN211" s="21">
        <v>0.27083333333333331</v>
      </c>
      <c r="AO211" s="21">
        <v>6.25E-2</v>
      </c>
      <c r="AP211" s="21">
        <v>0.8</v>
      </c>
      <c r="AQ211" s="35">
        <v>6</v>
      </c>
      <c r="AR211" s="35">
        <v>39</v>
      </c>
      <c r="AS211" s="35">
        <v>15</v>
      </c>
      <c r="AT211" s="35">
        <v>7</v>
      </c>
      <c r="AU211" s="35">
        <v>64</v>
      </c>
      <c r="AV211" s="35">
        <v>20</v>
      </c>
      <c r="AW211" s="35">
        <v>0</v>
      </c>
      <c r="AX211">
        <v>388</v>
      </c>
      <c r="AY211" s="35">
        <v>309</v>
      </c>
      <c r="AZ211" s="35">
        <v>41</v>
      </c>
      <c r="BA211" s="35">
        <v>0</v>
      </c>
      <c r="BB211" s="35">
        <v>38</v>
      </c>
      <c r="BC211" t="s">
        <v>300</v>
      </c>
      <c r="BD211" s="14">
        <v>10.23</v>
      </c>
      <c r="BE211" s="14">
        <v>-8.9250000000000043</v>
      </c>
      <c r="BF211" s="14">
        <v>0.75</v>
      </c>
      <c r="BG211" s="14">
        <v>-23</v>
      </c>
      <c r="BH211" s="14">
        <v>-1.5</v>
      </c>
      <c r="BI211" s="14">
        <v>1.7999999999999998</v>
      </c>
      <c r="BJ211" s="14">
        <v>-5</v>
      </c>
      <c r="BK211" s="14">
        <v>-29.75</v>
      </c>
      <c r="BL211" s="14">
        <v>3.5</v>
      </c>
      <c r="BM211" s="14">
        <v>3.2250000000000014</v>
      </c>
      <c r="BN211" s="14">
        <v>4.75</v>
      </c>
      <c r="BO211" s="14">
        <v>1.75</v>
      </c>
      <c r="BP211" s="14">
        <v>7.4749999999999996</v>
      </c>
      <c r="BQ211" s="14">
        <v>32.25</v>
      </c>
      <c r="BR211" s="14">
        <v>2.75</v>
      </c>
      <c r="BS211" s="14">
        <v>11.85</v>
      </c>
      <c r="BT211" s="14">
        <v>73</v>
      </c>
      <c r="BU211" s="14">
        <v>7.5</v>
      </c>
      <c r="BV211" s="14">
        <v>8.625</v>
      </c>
      <c r="BW211" s="14">
        <v>71.25</v>
      </c>
      <c r="BX211" s="14">
        <v>7.25</v>
      </c>
      <c r="BY211" s="48">
        <v>-10.55</v>
      </c>
      <c r="BZ211" s="14">
        <v>-53</v>
      </c>
      <c r="CA211" s="14">
        <v>-5.25</v>
      </c>
      <c r="CB211" s="14">
        <v>-0.25</v>
      </c>
      <c r="CC211" s="14">
        <v>1.5</v>
      </c>
      <c r="CD211" s="14">
        <v>-5.25</v>
      </c>
      <c r="CE211" s="14">
        <v>5.9186159844054564E-2</v>
      </c>
      <c r="CF211" s="14">
        <v>8.0409356725145986E-4</v>
      </c>
      <c r="CG211" s="14">
        <v>0.15535714285714297</v>
      </c>
      <c r="CH211" s="14">
        <v>1.25</v>
      </c>
      <c r="CI211" s="14">
        <v>5</v>
      </c>
      <c r="CJ211" s="14">
        <v>-8</v>
      </c>
      <c r="CK211" s="14">
        <v>5</v>
      </c>
      <c r="CL211" s="14">
        <v>2.25</v>
      </c>
      <c r="CM211" s="14">
        <v>-4.5</v>
      </c>
      <c r="CN211" s="14">
        <v>-1.75</v>
      </c>
      <c r="CO211" s="14">
        <v>30.5</v>
      </c>
      <c r="CP211" s="14">
        <v>63.25</v>
      </c>
      <c r="CQ211" s="14">
        <v>-65.75</v>
      </c>
      <c r="CR211" s="14">
        <v>0.5</v>
      </c>
      <c r="CS211" s="14">
        <v>32.5</v>
      </c>
      <c r="CT211" t="s">
        <v>253</v>
      </c>
      <c r="CU211" t="s">
        <v>458</v>
      </c>
    </row>
  </sheetData>
  <autoFilter ref="A1:CU211" xr:uid="{D7EC26C1-BA84-054E-972D-76A059D49B1F}">
    <sortState xmlns:xlrd2="http://schemas.microsoft.com/office/spreadsheetml/2017/richdata2" ref="A2:CU211">
      <sortCondition ref="B1:B211"/>
    </sortState>
  </autoFilter>
  <conditionalFormatting sqref="D2:D8">
    <cfRule type="cellIs" dxfId="91" priority="29" operator="between">
      <formula>21</formula>
      <formula>26</formula>
    </cfRule>
    <cfRule type="cellIs" dxfId="90" priority="30" operator="between">
      <formula>27</formula>
      <formula>32</formula>
    </cfRule>
    <cfRule type="cellIs" dxfId="89" priority="31" operator="between">
      <formula>7</formula>
      <formula>12</formula>
    </cfRule>
    <cfRule type="cellIs" dxfId="88" priority="32" operator="between">
      <formula>1</formula>
      <formula>6</formula>
    </cfRule>
  </conditionalFormatting>
  <conditionalFormatting sqref="D43:D49">
    <cfRule type="cellIs" dxfId="87" priority="25" operator="between">
      <formula>21</formula>
      <formula>26</formula>
    </cfRule>
    <cfRule type="cellIs" dxfId="86" priority="26" operator="between">
      <formula>27</formula>
      <formula>32</formula>
    </cfRule>
    <cfRule type="cellIs" dxfId="85" priority="27" operator="between">
      <formula>7</formula>
      <formula>12</formula>
    </cfRule>
    <cfRule type="cellIs" dxfId="84" priority="28" operator="between">
      <formula>1</formula>
      <formula>6</formula>
    </cfRule>
  </conditionalFormatting>
  <conditionalFormatting sqref="D89:D95">
    <cfRule type="cellIs" dxfId="83" priority="21" operator="between">
      <formula>21</formula>
      <formula>26</formula>
    </cfRule>
    <cfRule type="cellIs" dxfId="82" priority="22" operator="between">
      <formula>27</formula>
      <formula>32</formula>
    </cfRule>
    <cfRule type="cellIs" dxfId="81" priority="23" operator="between">
      <formula>7</formula>
      <formula>12</formula>
    </cfRule>
    <cfRule type="cellIs" dxfId="80" priority="24" operator="between">
      <formula>1</formula>
      <formula>6</formula>
    </cfRule>
  </conditionalFormatting>
  <conditionalFormatting sqref="D117:D123">
    <cfRule type="cellIs" dxfId="79" priority="17" operator="between">
      <formula>21</formula>
      <formula>26</formula>
    </cfRule>
    <cfRule type="cellIs" dxfId="78" priority="18" operator="between">
      <formula>27</formula>
      <formula>32</formula>
    </cfRule>
    <cfRule type="cellIs" dxfId="77" priority="19" operator="between">
      <formula>7</formula>
      <formula>12</formula>
    </cfRule>
    <cfRule type="cellIs" dxfId="76" priority="20" operator="between">
      <formula>1</formula>
      <formula>6</formula>
    </cfRule>
  </conditionalFormatting>
  <conditionalFormatting sqref="D168:D174">
    <cfRule type="cellIs" dxfId="75" priority="13" operator="between">
      <formula>21</formula>
      <formula>26</formula>
    </cfRule>
    <cfRule type="cellIs" dxfId="74" priority="14" operator="between">
      <formula>27</formula>
      <formula>32</formula>
    </cfRule>
    <cfRule type="cellIs" dxfId="73" priority="15" operator="between">
      <formula>7</formula>
      <formula>12</formula>
    </cfRule>
    <cfRule type="cellIs" dxfId="72" priority="16" operator="between">
      <formula>1</formula>
      <formula>6</formula>
    </cfRule>
  </conditionalFormatting>
  <conditionalFormatting sqref="D181:D186">
    <cfRule type="cellIs" dxfId="71" priority="9" operator="between">
      <formula>21</formula>
      <formula>26</formula>
    </cfRule>
    <cfRule type="cellIs" dxfId="70" priority="10" operator="between">
      <formula>27</formula>
      <formula>32</formula>
    </cfRule>
    <cfRule type="cellIs" dxfId="69" priority="11" operator="between">
      <formula>7</formula>
      <formula>12</formula>
    </cfRule>
    <cfRule type="cellIs" dxfId="68" priority="12" operator="between">
      <formula>1</formula>
      <formula>6</formula>
    </cfRule>
  </conditionalFormatting>
  <conditionalFormatting sqref="D187:D192">
    <cfRule type="cellIs" dxfId="67" priority="5" operator="between">
      <formula>21</formula>
      <formula>26</formula>
    </cfRule>
    <cfRule type="cellIs" dxfId="66" priority="6" operator="between">
      <formula>27</formula>
      <formula>32</formula>
    </cfRule>
    <cfRule type="cellIs" dxfId="65" priority="7" operator="between">
      <formula>7</formula>
      <formula>12</formula>
    </cfRule>
    <cfRule type="cellIs" dxfId="64" priority="8" operator="between">
      <formula>1</formula>
      <formula>6</formula>
    </cfRule>
  </conditionalFormatting>
  <conditionalFormatting sqref="D193:D198">
    <cfRule type="cellIs" dxfId="63" priority="1" operator="between">
      <formula>21</formula>
      <formula>26</formula>
    </cfRule>
    <cfRule type="cellIs" dxfId="62" priority="2" operator="between">
      <formula>27</formula>
      <formula>32</formula>
    </cfRule>
    <cfRule type="cellIs" dxfId="61" priority="3" operator="between">
      <formula>7</formula>
      <formula>12</formula>
    </cfRule>
    <cfRule type="cellIs" dxfId="60" priority="4" operator="between">
      <formula>1</formula>
      <formula>6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42060-C126-B540-95A3-0F06CAE178D2}">
  <sheetPr codeName="Sheet14"/>
  <dimension ref="A1:GL385"/>
  <sheetViews>
    <sheetView workbookViewId="0">
      <pane ySplit="1" topLeftCell="A2" activePane="bottomLeft" state="frozen"/>
      <selection pane="bottomLeft" activeCell="I23" sqref="A1:GL385"/>
    </sheetView>
  </sheetViews>
  <sheetFormatPr baseColWidth="10" defaultRowHeight="16" x14ac:dyDescent="0.2"/>
  <cols>
    <col min="3" max="3" width="19" style="41" bestFit="1" customWidth="1"/>
    <col min="4" max="4" width="19" bestFit="1" customWidth="1"/>
    <col min="11" max="11" width="11.6640625" bestFit="1" customWidth="1"/>
  </cols>
  <sheetData>
    <row r="1" spans="1:194" x14ac:dyDescent="0.2">
      <c r="A1" t="s">
        <v>226</v>
      </c>
      <c r="B1" t="s">
        <v>255</v>
      </c>
      <c r="C1" s="41" t="s">
        <v>254</v>
      </c>
      <c r="D1" t="s">
        <v>227</v>
      </c>
      <c r="E1" t="s">
        <v>191</v>
      </c>
      <c r="F1" t="s">
        <v>192</v>
      </c>
      <c r="G1" t="s">
        <v>395</v>
      </c>
      <c r="H1" t="s">
        <v>193</v>
      </c>
      <c r="I1" t="s">
        <v>9</v>
      </c>
      <c r="J1" t="s">
        <v>13</v>
      </c>
      <c r="K1" t="s">
        <v>108</v>
      </c>
      <c r="L1" s="1" t="s">
        <v>254</v>
      </c>
      <c r="M1" t="s">
        <v>736</v>
      </c>
      <c r="N1" t="s">
        <v>228</v>
      </c>
      <c r="O1" t="s">
        <v>737</v>
      </c>
      <c r="P1" t="s">
        <v>738</v>
      </c>
      <c r="Q1" t="s">
        <v>739</v>
      </c>
      <c r="R1" t="s">
        <v>385</v>
      </c>
      <c r="S1" t="s">
        <v>740</v>
      </c>
      <c r="T1" t="s">
        <v>386</v>
      </c>
      <c r="U1" t="s">
        <v>387</v>
      </c>
      <c r="V1" t="s">
        <v>741</v>
      </c>
      <c r="W1" t="s">
        <v>742</v>
      </c>
      <c r="X1" t="s">
        <v>743</v>
      </c>
      <c r="Y1" t="s">
        <v>388</v>
      </c>
      <c r="Z1" t="s">
        <v>744</v>
      </c>
      <c r="AA1" t="s">
        <v>389</v>
      </c>
      <c r="AB1" t="s">
        <v>390</v>
      </c>
      <c r="AC1" t="s">
        <v>745</v>
      </c>
      <c r="AD1" t="s">
        <v>746</v>
      </c>
      <c r="AE1" t="s">
        <v>747</v>
      </c>
      <c r="AF1" t="s">
        <v>191</v>
      </c>
      <c r="AG1" t="s">
        <v>748</v>
      </c>
      <c r="AH1" t="s">
        <v>391</v>
      </c>
      <c r="AI1" t="s">
        <v>392</v>
      </c>
      <c r="AJ1" t="s">
        <v>749</v>
      </c>
      <c r="AK1" t="s">
        <v>750</v>
      </c>
      <c r="AL1" t="s">
        <v>751</v>
      </c>
      <c r="AM1" t="s">
        <v>192</v>
      </c>
      <c r="AN1" t="s">
        <v>752</v>
      </c>
      <c r="AO1" t="s">
        <v>393</v>
      </c>
      <c r="AP1" t="s">
        <v>394</v>
      </c>
      <c r="AQ1" t="s">
        <v>753</v>
      </c>
      <c r="AR1" t="s">
        <v>754</v>
      </c>
      <c r="AS1" t="s">
        <v>755</v>
      </c>
      <c r="AT1" t="s">
        <v>395</v>
      </c>
      <c r="AU1" t="s">
        <v>756</v>
      </c>
      <c r="AV1" t="s">
        <v>396</v>
      </c>
      <c r="AW1" t="s">
        <v>397</v>
      </c>
      <c r="AX1" t="s">
        <v>757</v>
      </c>
      <c r="AY1" t="s">
        <v>758</v>
      </c>
      <c r="AZ1" t="s">
        <v>759</v>
      </c>
      <c r="BA1" t="s">
        <v>230</v>
      </c>
      <c r="BB1" t="s">
        <v>760</v>
      </c>
      <c r="BC1" t="s">
        <v>398</v>
      </c>
      <c r="BD1" t="s">
        <v>761</v>
      </c>
      <c r="BE1" t="s">
        <v>762</v>
      </c>
      <c r="BF1" t="s">
        <v>763</v>
      </c>
      <c r="BG1" t="s">
        <v>764</v>
      </c>
      <c r="BH1" t="s">
        <v>193</v>
      </c>
      <c r="BI1" t="s">
        <v>765</v>
      </c>
      <c r="BJ1" t="s">
        <v>400</v>
      </c>
      <c r="BK1" t="s">
        <v>401</v>
      </c>
      <c r="BL1" t="s">
        <v>766</v>
      </c>
      <c r="BM1" t="s">
        <v>767</v>
      </c>
      <c r="BN1" t="s">
        <v>768</v>
      </c>
      <c r="BO1" t="s">
        <v>231</v>
      </c>
      <c r="BP1" t="s">
        <v>769</v>
      </c>
      <c r="BQ1" t="s">
        <v>402</v>
      </c>
      <c r="BR1" t="s">
        <v>232</v>
      </c>
      <c r="BS1" t="s">
        <v>770</v>
      </c>
      <c r="BT1" t="s">
        <v>771</v>
      </c>
      <c r="BU1" t="s">
        <v>772</v>
      </c>
      <c r="BV1" t="s">
        <v>233</v>
      </c>
      <c r="BW1" t="s">
        <v>773</v>
      </c>
      <c r="BX1" t="s">
        <v>234</v>
      </c>
      <c r="BY1" t="s">
        <v>774</v>
      </c>
      <c r="BZ1" t="s">
        <v>403</v>
      </c>
      <c r="CA1" t="s">
        <v>775</v>
      </c>
      <c r="CB1" t="s">
        <v>404</v>
      </c>
      <c r="CC1" t="s">
        <v>408</v>
      </c>
      <c r="CD1" t="s">
        <v>409</v>
      </c>
      <c r="CE1" t="s">
        <v>410</v>
      </c>
      <c r="CF1" t="s">
        <v>411</v>
      </c>
      <c r="CG1" t="s">
        <v>412</v>
      </c>
      <c r="CH1" t="s">
        <v>413</v>
      </c>
      <c r="CI1" t="s">
        <v>414</v>
      </c>
      <c r="CJ1" t="s">
        <v>415</v>
      </c>
      <c r="CK1" t="s">
        <v>776</v>
      </c>
      <c r="CL1" t="s">
        <v>777</v>
      </c>
      <c r="CM1" t="s">
        <v>778</v>
      </c>
      <c r="CN1" t="s">
        <v>779</v>
      </c>
      <c r="CO1" t="s">
        <v>780</v>
      </c>
      <c r="CP1" t="s">
        <v>781</v>
      </c>
      <c r="CQ1" t="s">
        <v>782</v>
      </c>
      <c r="CR1" t="s">
        <v>783</v>
      </c>
      <c r="CS1" t="s">
        <v>784</v>
      </c>
      <c r="CT1" t="s">
        <v>785</v>
      </c>
      <c r="CU1" t="s">
        <v>786</v>
      </c>
      <c r="CV1" t="s">
        <v>787</v>
      </c>
      <c r="CW1" t="s">
        <v>788</v>
      </c>
      <c r="CX1" t="s">
        <v>789</v>
      </c>
      <c r="CY1" s="1" t="s">
        <v>227</v>
      </c>
      <c r="CZ1" t="s">
        <v>790</v>
      </c>
      <c r="DA1" t="s">
        <v>228</v>
      </c>
      <c r="DB1" t="s">
        <v>791</v>
      </c>
      <c r="DC1" t="s">
        <v>792</v>
      </c>
      <c r="DD1" t="s">
        <v>739</v>
      </c>
      <c r="DE1" t="s">
        <v>385</v>
      </c>
      <c r="DF1" t="s">
        <v>793</v>
      </c>
      <c r="DG1" t="s">
        <v>386</v>
      </c>
      <c r="DH1" t="s">
        <v>387</v>
      </c>
      <c r="DI1" t="s">
        <v>741</v>
      </c>
      <c r="DJ1" t="s">
        <v>742</v>
      </c>
      <c r="DK1" t="s">
        <v>743</v>
      </c>
      <c r="DL1" t="s">
        <v>388</v>
      </c>
      <c r="DM1" t="s">
        <v>794</v>
      </c>
      <c r="DN1" t="s">
        <v>389</v>
      </c>
      <c r="DO1" t="s">
        <v>390</v>
      </c>
      <c r="DP1" t="s">
        <v>795</v>
      </c>
      <c r="DQ1" t="s">
        <v>796</v>
      </c>
      <c r="DR1" t="s">
        <v>747</v>
      </c>
      <c r="DS1" t="s">
        <v>191</v>
      </c>
      <c r="DT1" t="s">
        <v>797</v>
      </c>
      <c r="DU1" t="s">
        <v>391</v>
      </c>
      <c r="DV1" t="s">
        <v>392</v>
      </c>
      <c r="DW1" t="s">
        <v>798</v>
      </c>
      <c r="DX1" t="s">
        <v>799</v>
      </c>
      <c r="DY1" t="s">
        <v>751</v>
      </c>
      <c r="DZ1" t="s">
        <v>192</v>
      </c>
      <c r="EA1" t="s">
        <v>800</v>
      </c>
      <c r="EB1" t="s">
        <v>393</v>
      </c>
      <c r="EC1" t="s">
        <v>394</v>
      </c>
      <c r="ED1" t="s">
        <v>801</v>
      </c>
      <c r="EE1" t="s">
        <v>802</v>
      </c>
      <c r="EF1" t="s">
        <v>755</v>
      </c>
      <c r="EG1" t="s">
        <v>395</v>
      </c>
      <c r="EH1" t="s">
        <v>756</v>
      </c>
      <c r="EI1" t="s">
        <v>396</v>
      </c>
      <c r="EJ1" t="s">
        <v>397</v>
      </c>
      <c r="EK1" t="s">
        <v>803</v>
      </c>
      <c r="EL1" t="s">
        <v>804</v>
      </c>
      <c r="EM1" t="s">
        <v>805</v>
      </c>
      <c r="EN1" t="s">
        <v>230</v>
      </c>
      <c r="EO1" t="s">
        <v>806</v>
      </c>
      <c r="EP1" t="s">
        <v>398</v>
      </c>
      <c r="EQ1" t="s">
        <v>399</v>
      </c>
      <c r="ER1" t="s">
        <v>807</v>
      </c>
      <c r="ES1" t="s">
        <v>808</v>
      </c>
      <c r="ET1" t="s">
        <v>764</v>
      </c>
      <c r="EU1" t="s">
        <v>193</v>
      </c>
      <c r="EV1" t="s">
        <v>809</v>
      </c>
      <c r="EW1" t="s">
        <v>400</v>
      </c>
      <c r="EX1" t="s">
        <v>401</v>
      </c>
      <c r="EY1" t="s">
        <v>810</v>
      </c>
      <c r="EZ1" t="s">
        <v>767</v>
      </c>
      <c r="FA1" t="s">
        <v>768</v>
      </c>
      <c r="FB1" t="s">
        <v>231</v>
      </c>
      <c r="FC1" t="s">
        <v>769</v>
      </c>
      <c r="FD1" t="s">
        <v>402</v>
      </c>
      <c r="FE1" t="s">
        <v>232</v>
      </c>
      <c r="FF1" t="s">
        <v>811</v>
      </c>
      <c r="FG1" t="s">
        <v>812</v>
      </c>
      <c r="FH1" t="s">
        <v>772</v>
      </c>
      <c r="FI1" s="48" t="s">
        <v>233</v>
      </c>
      <c r="FJ1" s="14" t="s">
        <v>773</v>
      </c>
      <c r="FK1" s="48" t="s">
        <v>234</v>
      </c>
      <c r="FL1" t="s">
        <v>774</v>
      </c>
      <c r="FM1" t="s">
        <v>403</v>
      </c>
      <c r="FN1" t="s">
        <v>813</v>
      </c>
      <c r="FO1" t="s">
        <v>404</v>
      </c>
      <c r="FP1" t="s">
        <v>405</v>
      </c>
      <c r="FQ1" t="s">
        <v>406</v>
      </c>
      <c r="FR1" t="s">
        <v>407</v>
      </c>
      <c r="FS1" t="s">
        <v>408</v>
      </c>
      <c r="FT1" t="s">
        <v>409</v>
      </c>
      <c r="FU1" t="s">
        <v>410</v>
      </c>
      <c r="FV1" t="s">
        <v>411</v>
      </c>
      <c r="FW1" t="s">
        <v>412</v>
      </c>
      <c r="FX1" t="s">
        <v>413</v>
      </c>
      <c r="FY1" t="s">
        <v>414</v>
      </c>
      <c r="FZ1" t="s">
        <v>415</v>
      </c>
      <c r="GA1" t="s">
        <v>776</v>
      </c>
      <c r="GB1" t="s">
        <v>777</v>
      </c>
      <c r="GC1" t="s">
        <v>778</v>
      </c>
      <c r="GD1" t="s">
        <v>814</v>
      </c>
      <c r="GE1" t="s">
        <v>780</v>
      </c>
      <c r="GF1" t="s">
        <v>815</v>
      </c>
      <c r="GG1" t="s">
        <v>782</v>
      </c>
      <c r="GH1" t="s">
        <v>783</v>
      </c>
      <c r="GI1" t="s">
        <v>784</v>
      </c>
      <c r="GJ1" t="s">
        <v>785</v>
      </c>
      <c r="GK1" t="s">
        <v>786</v>
      </c>
      <c r="GL1" t="s">
        <v>787</v>
      </c>
    </row>
    <row r="2" spans="1:194" x14ac:dyDescent="0.2">
      <c r="A2" s="39">
        <v>43716</v>
      </c>
      <c r="B2" s="25" t="s">
        <v>384</v>
      </c>
      <c r="C2" s="41" t="s">
        <v>285</v>
      </c>
      <c r="D2" s="24" t="s">
        <v>299</v>
      </c>
      <c r="E2">
        <v>28.3</v>
      </c>
      <c r="F2">
        <v>10.4</v>
      </c>
      <c r="G2" s="14">
        <v>9.6</v>
      </c>
      <c r="H2">
        <v>4</v>
      </c>
      <c r="I2">
        <v>3</v>
      </c>
      <c r="J2">
        <v>45.5</v>
      </c>
      <c r="K2" t="s">
        <v>110</v>
      </c>
      <c r="L2" s="21"/>
      <c r="M2" s="21"/>
    </row>
    <row r="3" spans="1:194" x14ac:dyDescent="0.2">
      <c r="A3" s="39">
        <v>43716</v>
      </c>
      <c r="B3" s="25" t="s">
        <v>384</v>
      </c>
      <c r="C3" s="41" t="s">
        <v>295</v>
      </c>
      <c r="D3" s="24" t="s">
        <v>312</v>
      </c>
      <c r="E3">
        <v>15.1</v>
      </c>
      <c r="F3">
        <v>16.399999999999999</v>
      </c>
      <c r="G3" s="14">
        <v>10.7</v>
      </c>
      <c r="H3">
        <v>16.7</v>
      </c>
      <c r="I3">
        <v>3.5</v>
      </c>
      <c r="J3">
        <v>47</v>
      </c>
      <c r="L3" s="21"/>
      <c r="M3" s="21"/>
    </row>
    <row r="4" spans="1:194" x14ac:dyDescent="0.2">
      <c r="A4" s="39">
        <v>43716</v>
      </c>
      <c r="B4" s="25" t="s">
        <v>384</v>
      </c>
      <c r="C4" s="41" t="s">
        <v>305</v>
      </c>
      <c r="D4" s="24" t="s">
        <v>293</v>
      </c>
      <c r="E4">
        <v>33.700000000000003</v>
      </c>
      <c r="F4">
        <v>12.1</v>
      </c>
      <c r="G4" s="14">
        <v>2</v>
      </c>
      <c r="H4">
        <f>27.8+7.1+5.6</f>
        <v>40.5</v>
      </c>
      <c r="I4">
        <v>-7</v>
      </c>
      <c r="J4">
        <v>41</v>
      </c>
      <c r="L4" s="21"/>
      <c r="M4" s="21"/>
    </row>
    <row r="5" spans="1:194" x14ac:dyDescent="0.2">
      <c r="A5" s="39">
        <v>43716</v>
      </c>
      <c r="B5" s="25" t="s">
        <v>384</v>
      </c>
      <c r="C5" s="41" t="s">
        <v>276</v>
      </c>
      <c r="D5" s="24" t="s">
        <v>298</v>
      </c>
      <c r="E5">
        <v>28.3</v>
      </c>
      <c r="F5">
        <v>9</v>
      </c>
      <c r="G5" s="14">
        <v>3.8</v>
      </c>
      <c r="H5">
        <f>5.5+1.1</f>
        <v>6.6</v>
      </c>
      <c r="I5">
        <v>2.5</v>
      </c>
      <c r="J5">
        <v>41</v>
      </c>
      <c r="L5" s="21"/>
      <c r="M5" s="21"/>
    </row>
    <row r="6" spans="1:194" x14ac:dyDescent="0.2">
      <c r="A6" s="39">
        <v>43716</v>
      </c>
      <c r="B6" s="25" t="s">
        <v>384</v>
      </c>
      <c r="C6" s="41" t="s">
        <v>301</v>
      </c>
      <c r="D6" s="24" t="s">
        <v>304</v>
      </c>
      <c r="E6">
        <v>13.6</v>
      </c>
      <c r="F6">
        <v>6.2</v>
      </c>
      <c r="G6" s="14">
        <v>2.4</v>
      </c>
      <c r="H6">
        <v>7.6</v>
      </c>
      <c r="I6">
        <v>1.5</v>
      </c>
      <c r="J6">
        <v>49.5</v>
      </c>
      <c r="K6" t="s">
        <v>109</v>
      </c>
    </row>
    <row r="7" spans="1:194" x14ac:dyDescent="0.2">
      <c r="A7" s="39">
        <v>43716</v>
      </c>
      <c r="B7" s="25" t="s">
        <v>384</v>
      </c>
      <c r="C7" s="41" t="s">
        <v>265</v>
      </c>
      <c r="D7" s="24" t="s">
        <v>300</v>
      </c>
      <c r="E7">
        <v>20.2</v>
      </c>
      <c r="F7">
        <v>4.4000000000000004</v>
      </c>
      <c r="G7" s="14">
        <v>0</v>
      </c>
      <c r="H7">
        <v>1.6</v>
      </c>
      <c r="I7">
        <v>-3.5</v>
      </c>
      <c r="J7">
        <v>47</v>
      </c>
      <c r="L7" s="21"/>
      <c r="M7" s="21"/>
    </row>
    <row r="8" spans="1:194" x14ac:dyDescent="0.2">
      <c r="A8" s="39">
        <v>43716</v>
      </c>
      <c r="B8" s="25" t="s">
        <v>384</v>
      </c>
      <c r="C8" s="17" t="s">
        <v>272</v>
      </c>
      <c r="D8" s="24" t="s">
        <v>308</v>
      </c>
      <c r="E8">
        <v>14.3</v>
      </c>
      <c r="F8">
        <v>37.799999999999997</v>
      </c>
      <c r="G8" s="14">
        <v>6</v>
      </c>
      <c r="H8">
        <f>10.6+7.7</f>
        <v>18.3</v>
      </c>
      <c r="I8">
        <v>9.5</v>
      </c>
      <c r="J8">
        <v>44</v>
      </c>
      <c r="L8" s="21"/>
      <c r="M8" s="21"/>
    </row>
    <row r="9" spans="1:194" x14ac:dyDescent="0.2">
      <c r="A9" s="39">
        <v>43716</v>
      </c>
      <c r="B9" s="25" t="s">
        <v>384</v>
      </c>
      <c r="C9" s="41" t="s">
        <v>281</v>
      </c>
      <c r="D9" s="24" t="s">
        <v>310</v>
      </c>
      <c r="E9">
        <v>14.1</v>
      </c>
      <c r="F9">
        <v>11.7</v>
      </c>
      <c r="G9" s="14">
        <v>6.6</v>
      </c>
      <c r="H9">
        <v>13.7</v>
      </c>
      <c r="I9">
        <v>-5.5</v>
      </c>
      <c r="J9">
        <v>44</v>
      </c>
      <c r="K9" t="s">
        <v>110</v>
      </c>
      <c r="L9" s="21"/>
      <c r="M9" s="21"/>
    </row>
    <row r="10" spans="1:194" x14ac:dyDescent="0.2">
      <c r="A10" s="39">
        <v>43716</v>
      </c>
      <c r="B10" s="25" t="s">
        <v>384</v>
      </c>
      <c r="C10" s="41" t="s">
        <v>291</v>
      </c>
      <c r="D10" s="24" t="s">
        <v>296</v>
      </c>
      <c r="E10">
        <v>25.6</v>
      </c>
      <c r="F10">
        <v>25.8</v>
      </c>
      <c r="G10" s="14">
        <v>16.899999999999999</v>
      </c>
      <c r="H10">
        <f>SUM(12.9+10.5)</f>
        <v>23.4</v>
      </c>
      <c r="I10">
        <v>-7</v>
      </c>
      <c r="J10">
        <v>44</v>
      </c>
      <c r="L10" s="21"/>
      <c r="M10" s="21"/>
    </row>
    <row r="11" spans="1:194" x14ac:dyDescent="0.2">
      <c r="A11" s="39">
        <v>43716</v>
      </c>
      <c r="B11" t="s">
        <v>384</v>
      </c>
      <c r="C11" s="41" t="s">
        <v>278</v>
      </c>
      <c r="D11" t="s">
        <v>303</v>
      </c>
      <c r="E11">
        <v>22</v>
      </c>
      <c r="F11">
        <v>19.5</v>
      </c>
      <c r="G11">
        <v>2.5</v>
      </c>
      <c r="H11">
        <v>4.4000000000000004</v>
      </c>
      <c r="I11">
        <v>-3</v>
      </c>
      <c r="J11">
        <v>42.5</v>
      </c>
      <c r="L11" s="21"/>
      <c r="M11" s="21"/>
    </row>
    <row r="12" spans="1:194" x14ac:dyDescent="0.2">
      <c r="A12" s="39">
        <v>43716</v>
      </c>
      <c r="B12" s="25" t="s">
        <v>384</v>
      </c>
      <c r="C12" s="41" t="s">
        <v>299</v>
      </c>
      <c r="D12" s="24" t="s">
        <v>285</v>
      </c>
      <c r="E12">
        <v>14.2</v>
      </c>
      <c r="F12" s="14">
        <v>10</v>
      </c>
      <c r="G12">
        <v>26.4</v>
      </c>
      <c r="H12">
        <v>30.6</v>
      </c>
      <c r="I12">
        <v>-3</v>
      </c>
      <c r="J12">
        <v>45.5</v>
      </c>
      <c r="K12" t="s">
        <v>110</v>
      </c>
      <c r="L12" s="21"/>
      <c r="M12" s="21"/>
    </row>
    <row r="13" spans="1:194" x14ac:dyDescent="0.2">
      <c r="A13" s="39">
        <v>43716</v>
      </c>
      <c r="B13" s="25" t="s">
        <v>384</v>
      </c>
      <c r="C13" s="41" t="s">
        <v>300</v>
      </c>
      <c r="D13" s="24" t="s">
        <v>265</v>
      </c>
      <c r="E13">
        <v>7.6</v>
      </c>
      <c r="F13">
        <v>9.1999999999999993</v>
      </c>
      <c r="G13" s="14">
        <v>0</v>
      </c>
      <c r="H13">
        <f>12+3.8+3.4</f>
        <v>19.2</v>
      </c>
      <c r="I13">
        <v>3.5</v>
      </c>
      <c r="J13">
        <v>47</v>
      </c>
      <c r="L13" s="21"/>
      <c r="M13" s="21"/>
    </row>
    <row r="14" spans="1:194" x14ac:dyDescent="0.2">
      <c r="A14" s="39">
        <v>43716</v>
      </c>
      <c r="B14" s="25" t="s">
        <v>384</v>
      </c>
      <c r="C14" s="41" t="s">
        <v>311</v>
      </c>
      <c r="D14" s="24" t="s">
        <v>307</v>
      </c>
      <c r="E14">
        <v>34.1</v>
      </c>
      <c r="F14" s="14">
        <v>8.9</v>
      </c>
      <c r="G14">
        <v>12.7</v>
      </c>
      <c r="H14">
        <v>2.7</v>
      </c>
      <c r="I14">
        <v>6.5</v>
      </c>
      <c r="J14">
        <v>52</v>
      </c>
      <c r="L14" s="21"/>
      <c r="M14" s="21"/>
    </row>
    <row r="15" spans="1:194" x14ac:dyDescent="0.2">
      <c r="A15" s="39">
        <v>43716</v>
      </c>
      <c r="B15" s="25" t="s">
        <v>384</v>
      </c>
      <c r="C15" s="41" t="s">
        <v>289</v>
      </c>
      <c r="D15" s="24" t="s">
        <v>287</v>
      </c>
      <c r="E15">
        <v>28.7</v>
      </c>
      <c r="F15">
        <v>6.2</v>
      </c>
      <c r="G15" s="14">
        <v>5.5</v>
      </c>
      <c r="H15">
        <v>6.1</v>
      </c>
      <c r="I15">
        <v>5.5</v>
      </c>
      <c r="J15">
        <v>45</v>
      </c>
      <c r="L15" s="21"/>
      <c r="M15" s="21"/>
    </row>
    <row r="16" spans="1:194" x14ac:dyDescent="0.2">
      <c r="A16" s="39">
        <v>43716</v>
      </c>
      <c r="B16" s="25" t="s">
        <v>384</v>
      </c>
      <c r="C16" s="41" t="s">
        <v>297</v>
      </c>
      <c r="D16" s="24" t="s">
        <v>288</v>
      </c>
      <c r="E16">
        <v>14.2</v>
      </c>
      <c r="F16">
        <v>27.6</v>
      </c>
      <c r="G16">
        <v>21.7</v>
      </c>
      <c r="H16">
        <f>5.7+7.2</f>
        <v>12.9</v>
      </c>
      <c r="I16">
        <v>3.5</v>
      </c>
      <c r="J16">
        <v>49</v>
      </c>
      <c r="L16" s="21"/>
      <c r="M16" s="21"/>
    </row>
    <row r="17" spans="1:13" x14ac:dyDescent="0.2">
      <c r="A17" s="39">
        <v>43716</v>
      </c>
      <c r="B17" s="25" t="s">
        <v>384</v>
      </c>
      <c r="C17" s="41" t="s">
        <v>288</v>
      </c>
      <c r="D17" s="24" t="s">
        <v>297</v>
      </c>
      <c r="E17">
        <v>49.8</v>
      </c>
      <c r="F17">
        <v>4.0999999999999996</v>
      </c>
      <c r="G17" s="14">
        <v>1</v>
      </c>
      <c r="H17">
        <f>11.8+1.7</f>
        <v>13.5</v>
      </c>
      <c r="I17">
        <v>-3.5</v>
      </c>
      <c r="J17">
        <v>49</v>
      </c>
      <c r="K17" t="s">
        <v>109</v>
      </c>
      <c r="L17" s="21"/>
      <c r="M17" s="21"/>
    </row>
    <row r="18" spans="1:13" x14ac:dyDescent="0.2">
      <c r="A18" s="39">
        <v>43716</v>
      </c>
      <c r="B18" s="25" t="s">
        <v>384</v>
      </c>
      <c r="C18" s="41" t="s">
        <v>303</v>
      </c>
      <c r="D18" s="24" t="s">
        <v>278</v>
      </c>
      <c r="E18">
        <v>25.5</v>
      </c>
      <c r="F18">
        <v>4.5999999999999996</v>
      </c>
      <c r="G18" s="14">
        <v>3.3</v>
      </c>
      <c r="H18">
        <v>18</v>
      </c>
      <c r="I18">
        <v>3</v>
      </c>
      <c r="J18">
        <v>42.5</v>
      </c>
      <c r="K18" t="s">
        <v>109</v>
      </c>
      <c r="L18" s="21"/>
      <c r="M18" s="21"/>
    </row>
    <row r="19" spans="1:13" x14ac:dyDescent="0.2">
      <c r="A19" s="39">
        <v>43716</v>
      </c>
      <c r="B19" s="25" t="s">
        <v>384</v>
      </c>
      <c r="C19" s="41" t="s">
        <v>287</v>
      </c>
      <c r="D19" s="24" t="s">
        <v>289</v>
      </c>
      <c r="E19">
        <v>29.3</v>
      </c>
      <c r="F19">
        <v>4.9000000000000004</v>
      </c>
      <c r="G19" s="14">
        <v>3.2</v>
      </c>
      <c r="H19">
        <v>11.4</v>
      </c>
      <c r="I19">
        <v>-5.5</v>
      </c>
      <c r="J19">
        <v>45</v>
      </c>
      <c r="L19" s="21"/>
      <c r="M19" s="21"/>
    </row>
    <row r="20" spans="1:13" x14ac:dyDescent="0.2">
      <c r="A20" s="39">
        <v>43716</v>
      </c>
      <c r="B20" s="25" t="s">
        <v>384</v>
      </c>
      <c r="C20" s="41" t="s">
        <v>304</v>
      </c>
      <c r="D20" s="24" t="s">
        <v>301</v>
      </c>
      <c r="E20" s="14">
        <v>11.6</v>
      </c>
      <c r="F20">
        <v>16.600000000000001</v>
      </c>
      <c r="G20">
        <v>5.9</v>
      </c>
      <c r="H20">
        <v>13.7</v>
      </c>
      <c r="I20">
        <v>-1.5</v>
      </c>
      <c r="J20">
        <v>49.5</v>
      </c>
      <c r="K20" t="s">
        <v>109</v>
      </c>
      <c r="L20" s="21"/>
      <c r="M20" s="21"/>
    </row>
    <row r="21" spans="1:13" x14ac:dyDescent="0.2">
      <c r="A21" s="39">
        <v>43716</v>
      </c>
      <c r="B21" s="25" t="s">
        <v>384</v>
      </c>
      <c r="C21" s="41" t="s">
        <v>293</v>
      </c>
      <c r="D21" s="24" t="s">
        <v>305</v>
      </c>
      <c r="E21" s="14">
        <v>11.4</v>
      </c>
      <c r="F21">
        <v>10.5</v>
      </c>
      <c r="G21">
        <v>3.4</v>
      </c>
      <c r="H21">
        <v>5.0999999999999996</v>
      </c>
      <c r="I21">
        <v>7</v>
      </c>
      <c r="J21">
        <v>41</v>
      </c>
      <c r="L21" s="21"/>
      <c r="M21" s="21"/>
    </row>
    <row r="22" spans="1:13" x14ac:dyDescent="0.2">
      <c r="A22" s="39">
        <v>43716</v>
      </c>
      <c r="B22" s="25" t="s">
        <v>384</v>
      </c>
      <c r="C22" s="41" t="s">
        <v>312</v>
      </c>
      <c r="D22" s="24" t="s">
        <v>295</v>
      </c>
      <c r="E22">
        <v>13.3</v>
      </c>
      <c r="F22">
        <v>5.7</v>
      </c>
      <c r="G22" s="14">
        <v>1.9</v>
      </c>
      <c r="H22">
        <v>0</v>
      </c>
      <c r="I22">
        <v>-3.5</v>
      </c>
      <c r="J22">
        <v>47</v>
      </c>
      <c r="L22" s="21"/>
      <c r="M22" s="21"/>
    </row>
    <row r="23" spans="1:13" x14ac:dyDescent="0.2">
      <c r="A23" s="39">
        <v>43716</v>
      </c>
      <c r="B23" s="25" t="s">
        <v>384</v>
      </c>
      <c r="C23" s="41" t="s">
        <v>302</v>
      </c>
      <c r="D23" s="24" t="s">
        <v>309</v>
      </c>
      <c r="E23">
        <v>16.38</v>
      </c>
      <c r="F23">
        <v>16.3</v>
      </c>
      <c r="G23" s="14">
        <v>25.5</v>
      </c>
      <c r="H23">
        <v>1.3</v>
      </c>
      <c r="I23">
        <v>-5.5</v>
      </c>
      <c r="J23">
        <v>49</v>
      </c>
      <c r="L23" s="21"/>
      <c r="M23" s="21"/>
    </row>
    <row r="24" spans="1:13" x14ac:dyDescent="0.2">
      <c r="A24" s="39">
        <v>43716</v>
      </c>
      <c r="B24" s="25" t="s">
        <v>384</v>
      </c>
      <c r="C24" s="41" t="s">
        <v>307</v>
      </c>
      <c r="D24" s="24" t="s">
        <v>311</v>
      </c>
      <c r="E24">
        <v>25.3</v>
      </c>
      <c r="F24">
        <v>20.100000000000001</v>
      </c>
      <c r="G24" s="14">
        <v>10.6</v>
      </c>
      <c r="H24">
        <v>4.9000000000000004</v>
      </c>
      <c r="I24">
        <v>-6.5</v>
      </c>
      <c r="J24">
        <v>52</v>
      </c>
      <c r="L24" s="21"/>
      <c r="M24" s="21"/>
    </row>
    <row r="25" spans="1:13" x14ac:dyDescent="0.2">
      <c r="A25" s="39">
        <v>43716</v>
      </c>
      <c r="B25" s="25" t="s">
        <v>384</v>
      </c>
      <c r="C25" s="41" t="s">
        <v>296</v>
      </c>
      <c r="D25" s="24" t="s">
        <v>291</v>
      </c>
      <c r="E25">
        <v>10.199999999999999</v>
      </c>
      <c r="F25">
        <v>10.4</v>
      </c>
      <c r="G25" s="14">
        <v>9</v>
      </c>
      <c r="H25">
        <f>31.6+1.8</f>
        <v>33.4</v>
      </c>
      <c r="I25">
        <v>7</v>
      </c>
      <c r="J25">
        <v>44</v>
      </c>
      <c r="L25" s="21"/>
      <c r="M25" s="21"/>
    </row>
    <row r="26" spans="1:13" x14ac:dyDescent="0.2">
      <c r="A26" s="39">
        <v>43716</v>
      </c>
      <c r="B26" s="25" t="s">
        <v>384</v>
      </c>
      <c r="C26" s="41" t="s">
        <v>298</v>
      </c>
      <c r="D26" s="24" t="s">
        <v>276</v>
      </c>
      <c r="E26">
        <v>24.3</v>
      </c>
      <c r="F26">
        <v>5.3</v>
      </c>
      <c r="G26" s="14">
        <v>-0.4</v>
      </c>
      <c r="H26">
        <v>4</v>
      </c>
      <c r="I26">
        <v>-2.5</v>
      </c>
      <c r="J26">
        <v>41</v>
      </c>
      <c r="L26" s="21"/>
      <c r="M26" s="21"/>
    </row>
    <row r="27" spans="1:13" x14ac:dyDescent="0.2">
      <c r="A27" s="39">
        <v>43716</v>
      </c>
      <c r="B27" s="25" t="s">
        <v>384</v>
      </c>
      <c r="C27" s="41" t="s">
        <v>294</v>
      </c>
      <c r="D27" s="24" t="s">
        <v>306</v>
      </c>
      <c r="E27">
        <v>22.1</v>
      </c>
      <c r="F27">
        <v>38.4</v>
      </c>
      <c r="G27" s="14">
        <v>3.1</v>
      </c>
      <c r="H27">
        <f>10.4+3.6</f>
        <v>14</v>
      </c>
      <c r="I27">
        <v>-10.5</v>
      </c>
      <c r="J27">
        <v>44</v>
      </c>
      <c r="K27" t="s">
        <v>110</v>
      </c>
      <c r="L27" s="21"/>
      <c r="M27" s="21"/>
    </row>
    <row r="28" spans="1:13" x14ac:dyDescent="0.2">
      <c r="A28" s="39">
        <v>43716</v>
      </c>
      <c r="B28" s="25" t="s">
        <v>384</v>
      </c>
      <c r="C28" s="41" t="s">
        <v>309</v>
      </c>
      <c r="D28" s="24" t="s">
        <v>302</v>
      </c>
      <c r="E28">
        <v>13.8</v>
      </c>
      <c r="F28">
        <v>3.7</v>
      </c>
      <c r="G28" s="14">
        <v>8.9</v>
      </c>
      <c r="H28">
        <v>6</v>
      </c>
      <c r="I28">
        <v>5.5</v>
      </c>
      <c r="J28">
        <v>49</v>
      </c>
      <c r="L28" s="21"/>
      <c r="M28" s="21"/>
    </row>
    <row r="29" spans="1:13" x14ac:dyDescent="0.2">
      <c r="A29" s="39">
        <v>43716</v>
      </c>
      <c r="B29" s="25" t="s">
        <v>384</v>
      </c>
      <c r="C29" s="40" t="s">
        <v>256</v>
      </c>
      <c r="D29" s="24" t="s">
        <v>284</v>
      </c>
      <c r="E29">
        <v>5.7</v>
      </c>
      <c r="F29">
        <v>1.7</v>
      </c>
      <c r="G29">
        <v>10.9</v>
      </c>
      <c r="H29" s="14">
        <v>13.4</v>
      </c>
      <c r="I29">
        <v>1</v>
      </c>
      <c r="J29">
        <v>51</v>
      </c>
      <c r="K29" t="s">
        <v>109</v>
      </c>
      <c r="L29" s="21"/>
      <c r="M29" s="21"/>
    </row>
    <row r="30" spans="1:13" x14ac:dyDescent="0.2">
      <c r="A30" s="39">
        <v>43716</v>
      </c>
      <c r="B30" s="25" t="s">
        <v>384</v>
      </c>
      <c r="C30" s="41" t="s">
        <v>308</v>
      </c>
      <c r="D30" s="24" t="s">
        <v>272</v>
      </c>
      <c r="E30">
        <v>11.4</v>
      </c>
      <c r="F30">
        <v>12.9</v>
      </c>
      <c r="G30" s="14">
        <v>0</v>
      </c>
      <c r="H30">
        <v>5.8</v>
      </c>
      <c r="I30">
        <v>-9.5</v>
      </c>
      <c r="J30">
        <v>44</v>
      </c>
      <c r="L30" s="21"/>
      <c r="M30" s="21"/>
    </row>
    <row r="31" spans="1:13" x14ac:dyDescent="0.2">
      <c r="A31" s="39">
        <v>43716</v>
      </c>
      <c r="B31" s="25" t="s">
        <v>384</v>
      </c>
      <c r="C31" s="41" t="s">
        <v>284</v>
      </c>
      <c r="D31" s="24" t="s">
        <v>256</v>
      </c>
      <c r="E31">
        <v>4.8</v>
      </c>
      <c r="F31">
        <v>14.3</v>
      </c>
      <c r="G31" s="14">
        <v>3</v>
      </c>
      <c r="H31">
        <v>6.2</v>
      </c>
      <c r="I31">
        <v>-1</v>
      </c>
      <c r="J31">
        <v>51</v>
      </c>
      <c r="K31" t="s">
        <v>109</v>
      </c>
      <c r="L31" s="21"/>
      <c r="M31" s="21"/>
    </row>
    <row r="32" spans="1:13" x14ac:dyDescent="0.2">
      <c r="A32" s="39">
        <v>43716</v>
      </c>
      <c r="B32" s="25" t="s">
        <v>384</v>
      </c>
      <c r="C32" s="41" t="s">
        <v>310</v>
      </c>
      <c r="D32" s="24" t="s">
        <v>281</v>
      </c>
      <c r="E32">
        <v>0</v>
      </c>
      <c r="F32">
        <v>16</v>
      </c>
      <c r="G32" s="14">
        <v>1.5</v>
      </c>
      <c r="H32">
        <f>22.5+2.7</f>
        <v>25.2</v>
      </c>
      <c r="I32">
        <v>5.5</v>
      </c>
      <c r="J32">
        <v>44</v>
      </c>
      <c r="K32" t="s">
        <v>110</v>
      </c>
      <c r="L32" s="21"/>
      <c r="M32" s="21"/>
    </row>
    <row r="33" spans="1:26" x14ac:dyDescent="0.2">
      <c r="A33" s="39">
        <v>43716</v>
      </c>
      <c r="B33" s="25" t="s">
        <v>384</v>
      </c>
      <c r="C33" s="41" t="s">
        <v>306</v>
      </c>
      <c r="D33" s="24" t="s">
        <v>294</v>
      </c>
      <c r="E33">
        <v>26.5</v>
      </c>
      <c r="F33">
        <v>7.6</v>
      </c>
      <c r="G33" s="14">
        <v>13.3</v>
      </c>
      <c r="H33">
        <f>15.9+1.8</f>
        <v>17.7</v>
      </c>
      <c r="I33">
        <v>10.5</v>
      </c>
      <c r="J33">
        <v>44</v>
      </c>
      <c r="K33" t="s">
        <v>110</v>
      </c>
      <c r="L33" s="21"/>
      <c r="M33" s="21"/>
    </row>
    <row r="34" spans="1:26" x14ac:dyDescent="0.2">
      <c r="A34" s="39">
        <v>43723</v>
      </c>
      <c r="B34" s="25" t="s">
        <v>383</v>
      </c>
      <c r="C34" s="41" t="s">
        <v>285</v>
      </c>
      <c r="D34" s="24" t="s">
        <v>305</v>
      </c>
      <c r="E34">
        <v>18.399999999999999</v>
      </c>
      <c r="F34">
        <v>20.399999999999999</v>
      </c>
      <c r="G34" s="14">
        <v>10.5</v>
      </c>
      <c r="H34">
        <v>4.7</v>
      </c>
      <c r="I34">
        <v>13</v>
      </c>
      <c r="J34">
        <v>46</v>
      </c>
      <c r="K34" t="s">
        <v>109</v>
      </c>
      <c r="L34" s="21"/>
      <c r="M34" s="21"/>
    </row>
    <row r="35" spans="1:26" x14ac:dyDescent="0.2">
      <c r="A35" s="39">
        <v>43723</v>
      </c>
      <c r="B35" s="25" t="s">
        <v>383</v>
      </c>
      <c r="C35" s="41" t="s">
        <v>295</v>
      </c>
      <c r="D35" s="24" t="s">
        <v>294</v>
      </c>
      <c r="E35">
        <v>30.6</v>
      </c>
      <c r="F35">
        <v>27.5</v>
      </c>
      <c r="G35" s="14">
        <v>5.6</v>
      </c>
      <c r="H35">
        <v>8.8000000000000007</v>
      </c>
      <c r="I35">
        <v>1</v>
      </c>
      <c r="J35">
        <v>53</v>
      </c>
      <c r="L35" s="21"/>
      <c r="M35" s="21"/>
    </row>
    <row r="36" spans="1:26" x14ac:dyDescent="0.2">
      <c r="A36" s="39">
        <v>43723</v>
      </c>
      <c r="B36" s="25" t="s">
        <v>383</v>
      </c>
      <c r="C36" s="41" t="s">
        <v>305</v>
      </c>
      <c r="D36" s="24" t="s">
        <v>285</v>
      </c>
      <c r="E36">
        <v>16.600000000000001</v>
      </c>
      <c r="F36">
        <v>1.5</v>
      </c>
      <c r="G36" s="14">
        <v>0</v>
      </c>
      <c r="H36">
        <f>28.2+7.1+2.4</f>
        <v>37.699999999999996</v>
      </c>
      <c r="I36">
        <v>-13</v>
      </c>
      <c r="J36">
        <v>46</v>
      </c>
      <c r="K36" t="s">
        <v>109</v>
      </c>
      <c r="L36" s="29"/>
      <c r="M36" s="29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2">
      <c r="A37" s="39">
        <v>43723</v>
      </c>
      <c r="B37" s="25" t="s">
        <v>383</v>
      </c>
      <c r="C37" s="41" t="s">
        <v>276</v>
      </c>
      <c r="D37" s="24" t="s">
        <v>296</v>
      </c>
      <c r="E37">
        <v>14.2</v>
      </c>
      <c r="F37">
        <v>12.3</v>
      </c>
      <c r="G37" s="14">
        <v>12.4</v>
      </c>
      <c r="H37">
        <v>4.5999999999999996</v>
      </c>
      <c r="I37">
        <v>-1</v>
      </c>
      <c r="J37">
        <v>44.5</v>
      </c>
      <c r="L37" s="21"/>
      <c r="M37" s="21"/>
    </row>
    <row r="38" spans="1:26" x14ac:dyDescent="0.2">
      <c r="A38" s="39">
        <v>43723</v>
      </c>
      <c r="B38" s="25" t="s">
        <v>383</v>
      </c>
      <c r="C38" s="41" t="s">
        <v>301</v>
      </c>
      <c r="D38" s="24" t="s">
        <v>284</v>
      </c>
      <c r="E38">
        <v>17.899999999999999</v>
      </c>
      <c r="F38">
        <v>14.3</v>
      </c>
      <c r="G38" s="14">
        <v>3.5</v>
      </c>
      <c r="H38">
        <v>20</v>
      </c>
      <c r="I38">
        <v>-6.5</v>
      </c>
      <c r="J38">
        <v>48</v>
      </c>
      <c r="L38" s="21"/>
      <c r="M38" s="21"/>
    </row>
    <row r="39" spans="1:26" x14ac:dyDescent="0.2">
      <c r="A39" s="39">
        <v>43723</v>
      </c>
      <c r="B39" s="25" t="s">
        <v>383</v>
      </c>
      <c r="C39" s="41" t="s">
        <v>265</v>
      </c>
      <c r="D39" s="24" t="s">
        <v>278</v>
      </c>
      <c r="E39">
        <v>8.1</v>
      </c>
      <c r="F39">
        <v>3.5</v>
      </c>
      <c r="G39" s="14">
        <v>1.2</v>
      </c>
      <c r="H39">
        <f>5.4+4.4+2.5</f>
        <v>12.3</v>
      </c>
      <c r="I39">
        <v>-3</v>
      </c>
      <c r="J39">
        <v>41</v>
      </c>
      <c r="L39" s="21"/>
      <c r="M39" s="21"/>
    </row>
    <row r="40" spans="1:26" x14ac:dyDescent="0.2">
      <c r="A40" s="39">
        <v>43723</v>
      </c>
      <c r="B40" s="25" t="s">
        <v>383</v>
      </c>
      <c r="C40" s="17" t="s">
        <v>272</v>
      </c>
      <c r="D40" s="24" t="s">
        <v>256</v>
      </c>
      <c r="E40">
        <v>25.2</v>
      </c>
      <c r="F40">
        <v>24.2</v>
      </c>
      <c r="G40" s="14">
        <v>2.4</v>
      </c>
      <c r="H40">
        <f>9.9+4.5</f>
        <v>14.4</v>
      </c>
      <c r="I40">
        <v>-1</v>
      </c>
      <c r="J40">
        <v>46</v>
      </c>
      <c r="K40" t="s">
        <v>109</v>
      </c>
      <c r="L40" s="21"/>
      <c r="M40" s="21"/>
    </row>
    <row r="41" spans="1:26" x14ac:dyDescent="0.2">
      <c r="A41" s="39">
        <v>43723</v>
      </c>
      <c r="B41" s="25" t="s">
        <v>383</v>
      </c>
      <c r="C41" s="41" t="s">
        <v>281</v>
      </c>
      <c r="D41" s="24" t="s">
        <v>298</v>
      </c>
      <c r="E41">
        <v>31.1</v>
      </c>
      <c r="F41">
        <v>6.2</v>
      </c>
      <c r="G41" s="14">
        <v>7</v>
      </c>
      <c r="H41">
        <v>1.4</v>
      </c>
      <c r="I41">
        <v>-6.5</v>
      </c>
      <c r="J41">
        <v>45.5</v>
      </c>
      <c r="L41" s="21"/>
      <c r="M41" s="21"/>
    </row>
    <row r="42" spans="1:26" x14ac:dyDescent="0.2">
      <c r="A42" s="39">
        <v>43723</v>
      </c>
      <c r="B42" s="25" t="s">
        <v>383</v>
      </c>
      <c r="C42" s="41" t="s">
        <v>291</v>
      </c>
      <c r="D42" s="24" t="s">
        <v>306</v>
      </c>
      <c r="E42">
        <v>14.4</v>
      </c>
      <c r="F42">
        <f>12.8+16.4</f>
        <v>29.2</v>
      </c>
      <c r="G42" s="14">
        <v>8.5</v>
      </c>
      <c r="H42">
        <v>15.7</v>
      </c>
      <c r="I42">
        <v>-6</v>
      </c>
      <c r="J42">
        <v>46.5</v>
      </c>
      <c r="L42" s="21"/>
      <c r="M42" s="21"/>
    </row>
    <row r="43" spans="1:26" x14ac:dyDescent="0.2">
      <c r="A43" s="39">
        <v>43723</v>
      </c>
      <c r="B43" t="s">
        <v>383</v>
      </c>
      <c r="C43" s="41" t="s">
        <v>278</v>
      </c>
      <c r="D43" t="s">
        <v>265</v>
      </c>
      <c r="E43">
        <v>8</v>
      </c>
      <c r="F43">
        <v>28.8</v>
      </c>
      <c r="G43">
        <v>3.5</v>
      </c>
      <c r="H43">
        <v>15.099999999999998</v>
      </c>
      <c r="I43">
        <v>3</v>
      </c>
      <c r="J43">
        <v>41</v>
      </c>
      <c r="L43" s="29"/>
      <c r="M43" s="29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2">
      <c r="A44" s="39">
        <v>43723</v>
      </c>
      <c r="B44" s="25" t="s">
        <v>383</v>
      </c>
      <c r="C44" s="41" t="s">
        <v>299</v>
      </c>
      <c r="D44" s="24" t="s">
        <v>287</v>
      </c>
      <c r="E44">
        <v>28.7</v>
      </c>
      <c r="F44" s="14">
        <v>9.3000000000000007</v>
      </c>
      <c r="G44">
        <v>0</v>
      </c>
      <c r="H44">
        <f>4.8+1.7+1.7</f>
        <v>8.1999999999999993</v>
      </c>
      <c r="I44">
        <v>1</v>
      </c>
      <c r="J44">
        <v>47</v>
      </c>
      <c r="K44" t="s">
        <v>110</v>
      </c>
      <c r="L44" s="21"/>
      <c r="M44" s="21"/>
    </row>
    <row r="45" spans="1:26" x14ac:dyDescent="0.2">
      <c r="A45" s="39">
        <v>43723</v>
      </c>
      <c r="B45" s="25" t="s">
        <v>383</v>
      </c>
      <c r="C45" s="41" t="s">
        <v>300</v>
      </c>
      <c r="D45" s="24" t="s">
        <v>312</v>
      </c>
      <c r="E45">
        <v>20.6</v>
      </c>
      <c r="F45">
        <v>4.9000000000000004</v>
      </c>
      <c r="G45" s="14">
        <v>11.5</v>
      </c>
      <c r="H45">
        <v>0</v>
      </c>
      <c r="I45">
        <v>-3</v>
      </c>
      <c r="J45">
        <v>43</v>
      </c>
      <c r="K45" t="s">
        <v>110</v>
      </c>
      <c r="L45" s="21"/>
      <c r="M45" s="21"/>
    </row>
    <row r="46" spans="1:26" x14ac:dyDescent="0.2">
      <c r="A46" s="39">
        <v>43723</v>
      </c>
      <c r="B46" s="25" t="s">
        <v>383</v>
      </c>
      <c r="C46" s="41" t="s">
        <v>311</v>
      </c>
      <c r="D46" s="24" t="s">
        <v>297</v>
      </c>
      <c r="E46">
        <v>9</v>
      </c>
      <c r="F46" s="14">
        <v>8</v>
      </c>
      <c r="G46">
        <v>5.8</v>
      </c>
      <c r="H46">
        <v>6.4</v>
      </c>
      <c r="I46">
        <v>-7.5</v>
      </c>
      <c r="J46">
        <v>43</v>
      </c>
      <c r="L46" s="21"/>
      <c r="M46" s="21"/>
    </row>
    <row r="47" spans="1:26" x14ac:dyDescent="0.2">
      <c r="A47" s="39">
        <v>43723</v>
      </c>
      <c r="B47" s="25" t="s">
        <v>383</v>
      </c>
      <c r="C47" s="41" t="s">
        <v>289</v>
      </c>
      <c r="D47" s="24" t="s">
        <v>310</v>
      </c>
      <c r="E47">
        <v>14.3</v>
      </c>
      <c r="F47">
        <v>8.1999999999999993</v>
      </c>
      <c r="G47" s="14">
        <v>5.4</v>
      </c>
      <c r="H47">
        <f>11.5+4.1</f>
        <v>15.6</v>
      </c>
      <c r="I47">
        <v>3</v>
      </c>
      <c r="J47">
        <v>43.5</v>
      </c>
      <c r="K47" t="s">
        <v>110</v>
      </c>
      <c r="L47" s="21"/>
      <c r="M47" s="21"/>
    </row>
    <row r="48" spans="1:26" x14ac:dyDescent="0.2">
      <c r="A48" s="39">
        <v>43723</v>
      </c>
      <c r="B48" s="25" t="s">
        <v>383</v>
      </c>
      <c r="C48" s="41" t="s">
        <v>297</v>
      </c>
      <c r="D48" s="24" t="s">
        <v>311</v>
      </c>
      <c r="E48">
        <v>1.3</v>
      </c>
      <c r="F48">
        <v>18.5</v>
      </c>
      <c r="G48">
        <v>11.3</v>
      </c>
      <c r="H48">
        <v>11.2</v>
      </c>
      <c r="I48">
        <v>7.5</v>
      </c>
      <c r="J48">
        <v>43</v>
      </c>
      <c r="L48" s="21"/>
      <c r="M48" s="21"/>
    </row>
    <row r="49" spans="1:26" x14ac:dyDescent="0.2">
      <c r="A49" s="39">
        <v>43723</v>
      </c>
      <c r="B49" s="25" t="s">
        <v>383</v>
      </c>
      <c r="C49" s="41" t="s">
        <v>288</v>
      </c>
      <c r="D49" s="24" t="s">
        <v>303</v>
      </c>
      <c r="E49">
        <v>10.9</v>
      </c>
      <c r="F49">
        <v>38.200000000000003</v>
      </c>
      <c r="G49" s="14">
        <v>16.100000000000001</v>
      </c>
      <c r="H49">
        <v>26.7</v>
      </c>
      <c r="I49">
        <v>-7</v>
      </c>
      <c r="J49">
        <v>53.5</v>
      </c>
      <c r="L49" s="21"/>
      <c r="M49" s="21"/>
    </row>
    <row r="50" spans="1:26" x14ac:dyDescent="0.2">
      <c r="A50" s="39">
        <v>43723</v>
      </c>
      <c r="B50" s="25" t="s">
        <v>383</v>
      </c>
      <c r="C50" s="41" t="s">
        <v>303</v>
      </c>
      <c r="D50" s="24" t="s">
        <v>288</v>
      </c>
      <c r="E50">
        <v>15.6</v>
      </c>
      <c r="F50">
        <v>7</v>
      </c>
      <c r="G50" s="14">
        <v>0.8</v>
      </c>
      <c r="H50">
        <f>12.3+6.3</f>
        <v>18.600000000000001</v>
      </c>
      <c r="I50">
        <v>7</v>
      </c>
      <c r="J50">
        <v>53.5</v>
      </c>
      <c r="L50" s="21"/>
      <c r="M50" s="21"/>
    </row>
    <row r="51" spans="1:26" x14ac:dyDescent="0.2">
      <c r="A51" s="39">
        <v>43723</v>
      </c>
      <c r="B51" s="25" t="s">
        <v>383</v>
      </c>
      <c r="C51" s="41" t="s">
        <v>287</v>
      </c>
      <c r="D51" s="24" t="s">
        <v>299</v>
      </c>
      <c r="E51">
        <v>17.8</v>
      </c>
      <c r="F51">
        <v>11.3</v>
      </c>
      <c r="G51" s="14">
        <v>3.8</v>
      </c>
      <c r="H51">
        <v>1.9</v>
      </c>
      <c r="I51">
        <v>-1</v>
      </c>
      <c r="J51">
        <v>47</v>
      </c>
      <c r="K51" t="s">
        <v>110</v>
      </c>
      <c r="L51" s="21"/>
      <c r="M51" s="21"/>
    </row>
    <row r="52" spans="1:26" x14ac:dyDescent="0.2">
      <c r="A52" s="39">
        <v>43723</v>
      </c>
      <c r="B52" s="25" t="s">
        <v>383</v>
      </c>
      <c r="C52" s="41" t="s">
        <v>304</v>
      </c>
      <c r="D52" s="24" t="s">
        <v>307</v>
      </c>
      <c r="E52" s="14">
        <v>20.6</v>
      </c>
      <c r="F52">
        <v>6.2</v>
      </c>
      <c r="G52">
        <v>16.600000000000001</v>
      </c>
      <c r="H52">
        <v>9.1999999999999993</v>
      </c>
      <c r="I52">
        <v>-2</v>
      </c>
      <c r="J52">
        <v>52.5</v>
      </c>
      <c r="K52" t="s">
        <v>109</v>
      </c>
      <c r="L52" s="21"/>
      <c r="M52" s="21"/>
    </row>
    <row r="53" spans="1:26" x14ac:dyDescent="0.2">
      <c r="A53" s="39">
        <v>43723</v>
      </c>
      <c r="B53" s="25" t="s">
        <v>383</v>
      </c>
      <c r="C53" s="41" t="s">
        <v>293</v>
      </c>
      <c r="D53" s="24" t="s">
        <v>302</v>
      </c>
      <c r="E53" s="14">
        <v>10.3</v>
      </c>
      <c r="F53">
        <v>0</v>
      </c>
      <c r="G53" s="14">
        <v>4.8</v>
      </c>
      <c r="H53">
        <f>3.4+2.1+1.6</f>
        <v>7.1</v>
      </c>
      <c r="I53">
        <v>18</v>
      </c>
      <c r="J53">
        <v>48.5</v>
      </c>
      <c r="L53" s="21"/>
      <c r="M53" s="21"/>
    </row>
    <row r="54" spans="1:26" x14ac:dyDescent="0.2">
      <c r="A54" s="39">
        <v>43723</v>
      </c>
      <c r="B54" s="25" t="s">
        <v>383</v>
      </c>
      <c r="C54" s="41" t="s">
        <v>312</v>
      </c>
      <c r="D54" s="24" t="s">
        <v>300</v>
      </c>
      <c r="E54">
        <v>12.5</v>
      </c>
      <c r="F54">
        <v>10.9</v>
      </c>
      <c r="G54" s="14">
        <v>7.1</v>
      </c>
      <c r="H54">
        <v>4.8</v>
      </c>
      <c r="I54">
        <v>3</v>
      </c>
      <c r="J54">
        <v>43</v>
      </c>
      <c r="K54" t="s">
        <v>110</v>
      </c>
      <c r="L54" s="21"/>
      <c r="M54" s="21"/>
    </row>
    <row r="55" spans="1:26" x14ac:dyDescent="0.2">
      <c r="A55" s="39">
        <v>43723</v>
      </c>
      <c r="B55" s="25" t="s">
        <v>383</v>
      </c>
      <c r="C55" s="41" t="s">
        <v>302</v>
      </c>
      <c r="D55" s="24" t="s">
        <v>293</v>
      </c>
      <c r="E55">
        <v>16.100000000000001</v>
      </c>
      <c r="F55">
        <v>9.1999999999999993</v>
      </c>
      <c r="G55" s="14">
        <v>3.9</v>
      </c>
      <c r="H55">
        <v>5.3</v>
      </c>
      <c r="I55">
        <v>-18</v>
      </c>
      <c r="J55">
        <v>48.5</v>
      </c>
      <c r="L55" s="21"/>
      <c r="M55" s="21"/>
    </row>
    <row r="56" spans="1:26" x14ac:dyDescent="0.2">
      <c r="A56" s="39">
        <v>43723</v>
      </c>
      <c r="B56" s="25" t="s">
        <v>383</v>
      </c>
      <c r="C56" s="41" t="s">
        <v>307</v>
      </c>
      <c r="D56" s="24" t="s">
        <v>304</v>
      </c>
      <c r="E56">
        <v>18.899999999999999</v>
      </c>
      <c r="F56" s="14">
        <v>7.9</v>
      </c>
      <c r="G56">
        <v>0</v>
      </c>
      <c r="H56">
        <v>4.5</v>
      </c>
      <c r="I56">
        <v>2</v>
      </c>
      <c r="J56">
        <v>52.5</v>
      </c>
      <c r="K56" t="s">
        <v>109</v>
      </c>
      <c r="L56" s="21"/>
      <c r="M56" s="21"/>
    </row>
    <row r="57" spans="1:26" x14ac:dyDescent="0.2">
      <c r="A57" s="39">
        <v>43723</v>
      </c>
      <c r="B57" s="25" t="s">
        <v>383</v>
      </c>
      <c r="C57" s="41" t="s">
        <v>296</v>
      </c>
      <c r="D57" s="24" t="s">
        <v>276</v>
      </c>
      <c r="E57">
        <v>12.1</v>
      </c>
      <c r="F57">
        <v>6</v>
      </c>
      <c r="G57" s="14">
        <v>12.8</v>
      </c>
      <c r="H57">
        <f>10.8+1.8</f>
        <v>12.600000000000001</v>
      </c>
      <c r="I57">
        <v>1</v>
      </c>
      <c r="J57">
        <v>44.5</v>
      </c>
      <c r="L57" s="21"/>
      <c r="M57" s="21"/>
    </row>
    <row r="58" spans="1:26" x14ac:dyDescent="0.2">
      <c r="A58" s="39">
        <v>43723</v>
      </c>
      <c r="B58" s="33" t="s">
        <v>383</v>
      </c>
      <c r="C58" s="41" t="s">
        <v>298</v>
      </c>
      <c r="D58" s="36" t="s">
        <v>281</v>
      </c>
      <c r="E58" s="3">
        <v>8</v>
      </c>
      <c r="F58" s="3">
        <v>12.1</v>
      </c>
      <c r="G58" s="30">
        <v>1.5</v>
      </c>
      <c r="H58" s="3">
        <v>0</v>
      </c>
      <c r="I58">
        <v>6.5</v>
      </c>
      <c r="J58">
        <v>45.5</v>
      </c>
      <c r="K58" s="3"/>
      <c r="L58" s="21"/>
      <c r="M58" s="21"/>
    </row>
    <row r="59" spans="1:26" x14ac:dyDescent="0.2">
      <c r="A59" s="39">
        <v>43723</v>
      </c>
      <c r="B59" s="25" t="s">
        <v>383</v>
      </c>
      <c r="C59" s="41" t="s">
        <v>294</v>
      </c>
      <c r="D59" s="24" t="s">
        <v>295</v>
      </c>
      <c r="E59">
        <v>27.7</v>
      </c>
      <c r="F59">
        <v>10</v>
      </c>
      <c r="G59">
        <v>1.4</v>
      </c>
      <c r="H59">
        <v>17.2</v>
      </c>
      <c r="I59">
        <v>-1</v>
      </c>
      <c r="J59">
        <v>53</v>
      </c>
      <c r="L59" s="21"/>
      <c r="M59" s="21"/>
    </row>
    <row r="60" spans="1:26" x14ac:dyDescent="0.2">
      <c r="A60" s="39">
        <v>43723</v>
      </c>
      <c r="B60" s="25" t="s">
        <v>383</v>
      </c>
      <c r="C60" s="41" t="s">
        <v>309</v>
      </c>
      <c r="D60" s="24" t="s">
        <v>308</v>
      </c>
      <c r="E60">
        <v>13.4</v>
      </c>
      <c r="F60">
        <v>4.3</v>
      </c>
      <c r="G60" s="14">
        <v>1</v>
      </c>
      <c r="H60">
        <v>22.8</v>
      </c>
      <c r="I60">
        <v>-4</v>
      </c>
      <c r="J60">
        <v>47</v>
      </c>
      <c r="L60" s="21"/>
      <c r="M60" s="21"/>
    </row>
    <row r="61" spans="1:26" x14ac:dyDescent="0.2">
      <c r="A61" s="39">
        <v>43723</v>
      </c>
      <c r="B61" s="25" t="s">
        <v>383</v>
      </c>
      <c r="C61" s="40" t="s">
        <v>256</v>
      </c>
      <c r="D61" s="24" t="s">
        <v>272</v>
      </c>
      <c r="E61">
        <v>20.399999999999999</v>
      </c>
      <c r="F61">
        <v>16.7</v>
      </c>
      <c r="G61">
        <v>1.7</v>
      </c>
      <c r="H61" s="14">
        <v>8.4</v>
      </c>
      <c r="I61">
        <v>1</v>
      </c>
      <c r="J61">
        <v>46</v>
      </c>
      <c r="K61" t="s">
        <v>109</v>
      </c>
      <c r="L61" s="21"/>
      <c r="M61" s="21"/>
    </row>
    <row r="62" spans="1:26" x14ac:dyDescent="0.2">
      <c r="A62" s="39">
        <v>43723</v>
      </c>
      <c r="B62" s="25" t="s">
        <v>383</v>
      </c>
      <c r="C62" s="41" t="s">
        <v>308</v>
      </c>
      <c r="D62" s="24" t="s">
        <v>309</v>
      </c>
      <c r="E62">
        <v>17.899999999999999</v>
      </c>
      <c r="F62">
        <v>15.1</v>
      </c>
      <c r="G62" s="14">
        <v>8.4</v>
      </c>
      <c r="H62">
        <v>22.3</v>
      </c>
      <c r="I62">
        <v>4</v>
      </c>
      <c r="J62">
        <v>47</v>
      </c>
      <c r="L62" s="29"/>
      <c r="M62" s="29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x14ac:dyDescent="0.2">
      <c r="A63" s="39">
        <v>43723</v>
      </c>
      <c r="B63" s="25" t="s">
        <v>383</v>
      </c>
      <c r="C63" s="41" t="s">
        <v>284</v>
      </c>
      <c r="D63" s="24" t="s">
        <v>301</v>
      </c>
      <c r="E63">
        <v>10.1</v>
      </c>
      <c r="F63">
        <v>29.1</v>
      </c>
      <c r="G63" s="14">
        <v>0</v>
      </c>
      <c r="H63">
        <v>3</v>
      </c>
      <c r="I63">
        <v>6.5</v>
      </c>
      <c r="J63">
        <v>48</v>
      </c>
      <c r="L63" s="21"/>
      <c r="M63" s="21"/>
    </row>
    <row r="64" spans="1:26" x14ac:dyDescent="0.2">
      <c r="A64" s="39">
        <v>43723</v>
      </c>
      <c r="B64" s="25" t="s">
        <v>383</v>
      </c>
      <c r="C64" s="41" t="s">
        <v>310</v>
      </c>
      <c r="D64" s="24" t="s">
        <v>289</v>
      </c>
      <c r="E64">
        <v>6.8</v>
      </c>
      <c r="F64">
        <v>5.5</v>
      </c>
      <c r="G64" s="14">
        <v>2</v>
      </c>
      <c r="H64">
        <v>7.9</v>
      </c>
      <c r="I64">
        <v>-3</v>
      </c>
      <c r="J64">
        <v>43.5</v>
      </c>
      <c r="K64" t="s">
        <v>110</v>
      </c>
    </row>
    <row r="65" spans="1:13" x14ac:dyDescent="0.2">
      <c r="A65" s="39">
        <v>43723</v>
      </c>
      <c r="B65" s="25" t="s">
        <v>383</v>
      </c>
      <c r="C65" s="41" t="s">
        <v>306</v>
      </c>
      <c r="D65" s="24" t="s">
        <v>291</v>
      </c>
      <c r="E65">
        <v>17.2</v>
      </c>
      <c r="F65">
        <v>10.6</v>
      </c>
      <c r="G65" s="14">
        <v>7.6</v>
      </c>
      <c r="H65">
        <f>5.9+2.1</f>
        <v>8</v>
      </c>
      <c r="I65">
        <v>6</v>
      </c>
      <c r="J65">
        <v>46.5</v>
      </c>
      <c r="L65" s="21"/>
      <c r="M65" s="21"/>
    </row>
    <row r="66" spans="1:13" x14ac:dyDescent="0.2">
      <c r="A66" s="39">
        <v>43730</v>
      </c>
      <c r="B66" s="25" t="s">
        <v>382</v>
      </c>
      <c r="C66" s="41" t="s">
        <v>285</v>
      </c>
      <c r="D66" s="22" t="s">
        <v>301</v>
      </c>
      <c r="E66">
        <v>14.6</v>
      </c>
      <c r="F66">
        <v>15.9</v>
      </c>
      <c r="G66" s="14">
        <v>2.9</v>
      </c>
      <c r="H66">
        <v>1.9</v>
      </c>
      <c r="I66">
        <v>-2.5</v>
      </c>
      <c r="J66">
        <v>46</v>
      </c>
      <c r="L66" s="21"/>
      <c r="M66" s="21"/>
    </row>
    <row r="67" spans="1:13" x14ac:dyDescent="0.2">
      <c r="A67" s="39">
        <v>43730</v>
      </c>
      <c r="B67" s="25" t="s">
        <v>382</v>
      </c>
      <c r="C67" s="41" t="s">
        <v>295</v>
      </c>
      <c r="D67" s="34" t="s">
        <v>289</v>
      </c>
      <c r="E67">
        <v>29.8</v>
      </c>
      <c r="F67">
        <v>1.6</v>
      </c>
      <c r="G67" s="14">
        <v>13.7</v>
      </c>
      <c r="H67">
        <f>24.6+4.2</f>
        <v>28.8</v>
      </c>
      <c r="I67">
        <v>1</v>
      </c>
      <c r="J67">
        <v>48</v>
      </c>
      <c r="L67" s="21"/>
      <c r="M67" s="21"/>
    </row>
    <row r="68" spans="1:13" x14ac:dyDescent="0.2">
      <c r="A68" s="39">
        <v>43730</v>
      </c>
      <c r="B68" s="25" t="s">
        <v>382</v>
      </c>
      <c r="C68" s="41" t="s">
        <v>305</v>
      </c>
      <c r="D68" s="22" t="s">
        <v>288</v>
      </c>
      <c r="E68">
        <v>6.9</v>
      </c>
      <c r="F68">
        <v>7.7</v>
      </c>
      <c r="G68" s="14">
        <v>5.7</v>
      </c>
      <c r="H68">
        <f>9.9+4.5+3.4</f>
        <v>17.8</v>
      </c>
      <c r="I68">
        <v>4.5</v>
      </c>
      <c r="J68">
        <v>52</v>
      </c>
      <c r="L68" s="21"/>
      <c r="M68" s="21"/>
    </row>
    <row r="69" spans="1:13" x14ac:dyDescent="0.2">
      <c r="A69" s="39">
        <v>43730</v>
      </c>
      <c r="B69" s="25" t="s">
        <v>382</v>
      </c>
      <c r="C69" s="41" t="s">
        <v>276</v>
      </c>
      <c r="D69" s="22" t="s">
        <v>272</v>
      </c>
      <c r="E69">
        <v>9.5</v>
      </c>
      <c r="F69">
        <v>14.8</v>
      </c>
      <c r="G69" s="14">
        <v>5.3</v>
      </c>
      <c r="H69">
        <v>17.899999999999999</v>
      </c>
      <c r="I69">
        <v>-5.5</v>
      </c>
      <c r="J69">
        <v>43.5</v>
      </c>
      <c r="L69" s="21"/>
      <c r="M69" s="21"/>
    </row>
    <row r="70" spans="1:13" x14ac:dyDescent="0.2">
      <c r="A70" s="39">
        <v>43730</v>
      </c>
      <c r="B70" s="25" t="s">
        <v>382</v>
      </c>
      <c r="C70" s="41" t="s">
        <v>301</v>
      </c>
      <c r="D70" s="22" t="s">
        <v>285</v>
      </c>
      <c r="E70">
        <v>13.4</v>
      </c>
      <c r="F70">
        <v>16.3</v>
      </c>
      <c r="G70">
        <v>5.8</v>
      </c>
      <c r="H70">
        <v>25.5</v>
      </c>
      <c r="I70">
        <v>2.5</v>
      </c>
      <c r="J70">
        <v>46</v>
      </c>
      <c r="L70" s="21"/>
      <c r="M70" s="21"/>
    </row>
    <row r="71" spans="1:13" x14ac:dyDescent="0.2">
      <c r="A71" s="39">
        <v>43730</v>
      </c>
      <c r="B71" s="25" t="s">
        <v>382</v>
      </c>
      <c r="C71" s="41" t="s">
        <v>265</v>
      </c>
      <c r="D71" s="22" t="s">
        <v>306</v>
      </c>
      <c r="E71">
        <v>12</v>
      </c>
      <c r="F71">
        <v>32.200000000000003</v>
      </c>
      <c r="G71" s="14">
        <v>2.5</v>
      </c>
      <c r="H71">
        <v>7.7</v>
      </c>
      <c r="I71">
        <v>5</v>
      </c>
      <c r="J71">
        <v>41</v>
      </c>
      <c r="L71" s="21"/>
      <c r="M71" s="21"/>
    </row>
    <row r="72" spans="1:13" x14ac:dyDescent="0.2">
      <c r="A72" s="39">
        <v>43730</v>
      </c>
      <c r="B72" s="25" t="s">
        <v>382</v>
      </c>
      <c r="C72" s="17" t="s">
        <v>272</v>
      </c>
      <c r="D72" s="22" t="s">
        <v>276</v>
      </c>
      <c r="E72">
        <v>12.7</v>
      </c>
      <c r="F72">
        <v>3.2</v>
      </c>
      <c r="G72">
        <v>13.8</v>
      </c>
      <c r="H72">
        <v>2.8</v>
      </c>
      <c r="I72">
        <v>5.5</v>
      </c>
      <c r="J72">
        <v>43.5</v>
      </c>
      <c r="L72" s="21"/>
      <c r="M72" s="21"/>
    </row>
    <row r="73" spans="1:13" x14ac:dyDescent="0.2">
      <c r="A73" s="39">
        <v>43730</v>
      </c>
      <c r="B73" s="25" t="s">
        <v>382</v>
      </c>
      <c r="C73" s="41" t="s">
        <v>281</v>
      </c>
      <c r="D73" s="22" t="s">
        <v>304</v>
      </c>
      <c r="E73">
        <v>11.6</v>
      </c>
      <c r="F73">
        <v>9.1999999999999993</v>
      </c>
      <c r="G73">
        <v>5.6</v>
      </c>
      <c r="H73">
        <v>9.6</v>
      </c>
      <c r="I73">
        <v>4</v>
      </c>
      <c r="J73">
        <v>48</v>
      </c>
      <c r="L73" s="21"/>
      <c r="M73" s="21"/>
    </row>
    <row r="74" spans="1:13" x14ac:dyDescent="0.2">
      <c r="A74" s="39">
        <v>43730</v>
      </c>
      <c r="B74" s="25" t="s">
        <v>382</v>
      </c>
      <c r="C74" s="41" t="s">
        <v>291</v>
      </c>
      <c r="D74" s="22" t="s">
        <v>293</v>
      </c>
      <c r="E74">
        <v>26.8</v>
      </c>
      <c r="F74">
        <v>5.9</v>
      </c>
      <c r="G74" s="14">
        <v>4.3</v>
      </c>
      <c r="H74">
        <v>9.6999999999999993</v>
      </c>
      <c r="I74">
        <v>-22</v>
      </c>
      <c r="J74">
        <v>46.5</v>
      </c>
      <c r="L74" s="21"/>
      <c r="M74" s="21"/>
    </row>
    <row r="75" spans="1:13" x14ac:dyDescent="0.2">
      <c r="A75" s="39">
        <v>43730</v>
      </c>
      <c r="B75" t="s">
        <v>382</v>
      </c>
      <c r="C75" s="41" t="s">
        <v>278</v>
      </c>
      <c r="D75" t="s">
        <v>300</v>
      </c>
      <c r="E75">
        <v>13.7</v>
      </c>
      <c r="F75">
        <v>3</v>
      </c>
      <c r="G75">
        <v>0</v>
      </c>
      <c r="H75">
        <v>9.6999999999999993</v>
      </c>
      <c r="I75">
        <v>7</v>
      </c>
      <c r="J75">
        <v>42</v>
      </c>
      <c r="L75" s="21"/>
      <c r="M75" s="21"/>
    </row>
    <row r="76" spans="1:13" x14ac:dyDescent="0.2">
      <c r="A76" s="39">
        <v>43730</v>
      </c>
      <c r="B76" s="25" t="s">
        <v>382</v>
      </c>
      <c r="C76" s="41" t="s">
        <v>299</v>
      </c>
      <c r="D76" s="22" t="s">
        <v>294</v>
      </c>
      <c r="E76">
        <v>3.7</v>
      </c>
      <c r="F76" s="14">
        <v>25.1</v>
      </c>
      <c r="G76">
        <v>7.7</v>
      </c>
      <c r="H76">
        <f>2.5+2.3+1.1</f>
        <v>5.9</v>
      </c>
      <c r="I76">
        <v>4</v>
      </c>
      <c r="J76">
        <v>45</v>
      </c>
      <c r="L76" s="21"/>
      <c r="M76" s="21"/>
    </row>
    <row r="77" spans="1:13" x14ac:dyDescent="0.2">
      <c r="A77" s="39">
        <v>43730</v>
      </c>
      <c r="B77" s="25" t="s">
        <v>382</v>
      </c>
      <c r="C77" s="41" t="s">
        <v>300</v>
      </c>
      <c r="D77" s="22" t="s">
        <v>278</v>
      </c>
      <c r="E77">
        <v>9.6</v>
      </c>
      <c r="F77">
        <v>21.9</v>
      </c>
      <c r="G77" s="14">
        <v>0.5</v>
      </c>
      <c r="H77">
        <f>2.9+1.4</f>
        <v>4.3</v>
      </c>
      <c r="I77">
        <v>-7</v>
      </c>
      <c r="J77">
        <v>42</v>
      </c>
      <c r="L77" s="21"/>
      <c r="M77" s="21"/>
    </row>
    <row r="78" spans="1:13" x14ac:dyDescent="0.2">
      <c r="A78" s="39">
        <v>43730</v>
      </c>
      <c r="B78" s="25" t="s">
        <v>382</v>
      </c>
      <c r="C78" s="41" t="s">
        <v>311</v>
      </c>
      <c r="D78" s="22" t="s">
        <v>287</v>
      </c>
      <c r="E78">
        <v>12.7</v>
      </c>
      <c r="F78" s="14">
        <v>10.1</v>
      </c>
      <c r="G78">
        <v>12.9</v>
      </c>
      <c r="H78">
        <f>22.3+15.9</f>
        <v>38.200000000000003</v>
      </c>
      <c r="I78">
        <v>3</v>
      </c>
      <c r="J78">
        <v>49</v>
      </c>
      <c r="L78" s="21"/>
      <c r="M78" s="21"/>
    </row>
    <row r="79" spans="1:13" x14ac:dyDescent="0.2">
      <c r="A79" s="39">
        <v>43730</v>
      </c>
      <c r="B79" s="25" t="s">
        <v>382</v>
      </c>
      <c r="C79" s="41" t="s">
        <v>289</v>
      </c>
      <c r="D79" s="22" t="s">
        <v>295</v>
      </c>
      <c r="E79">
        <v>20.5</v>
      </c>
      <c r="F79">
        <v>13.3</v>
      </c>
      <c r="G79">
        <v>5.4</v>
      </c>
      <c r="H79">
        <f>8.8+7.7+4.5</f>
        <v>21</v>
      </c>
      <c r="I79">
        <v>-1</v>
      </c>
      <c r="J79">
        <v>48</v>
      </c>
      <c r="L79" s="21"/>
      <c r="M79" s="21"/>
    </row>
    <row r="80" spans="1:13" x14ac:dyDescent="0.2">
      <c r="A80" s="39">
        <v>43730</v>
      </c>
      <c r="B80" s="25" t="s">
        <v>382</v>
      </c>
      <c r="C80" s="41" t="s">
        <v>297</v>
      </c>
      <c r="D80" s="22" t="s">
        <v>310</v>
      </c>
      <c r="E80">
        <v>10</v>
      </c>
      <c r="F80">
        <v>17.600000000000001</v>
      </c>
      <c r="G80">
        <v>5</v>
      </c>
      <c r="H80">
        <f>9.8+1.8</f>
        <v>11.600000000000001</v>
      </c>
      <c r="I80">
        <v>1.5</v>
      </c>
      <c r="J80">
        <v>38</v>
      </c>
      <c r="L80" s="21"/>
      <c r="M80" s="21"/>
    </row>
    <row r="81" spans="1:26" x14ac:dyDescent="0.2">
      <c r="A81" s="39">
        <v>43730</v>
      </c>
      <c r="B81" s="25" t="s">
        <v>382</v>
      </c>
      <c r="C81" s="41" t="s">
        <v>288</v>
      </c>
      <c r="D81" s="22" t="s">
        <v>305</v>
      </c>
      <c r="E81">
        <v>11.4</v>
      </c>
      <c r="F81">
        <v>13.3</v>
      </c>
      <c r="G81" s="14">
        <v>18.399999999999999</v>
      </c>
      <c r="H81">
        <v>17</v>
      </c>
      <c r="I81">
        <v>-4.5</v>
      </c>
      <c r="J81">
        <v>52</v>
      </c>
      <c r="L81" s="21"/>
      <c r="M81" s="21"/>
    </row>
    <row r="82" spans="1:26" x14ac:dyDescent="0.2">
      <c r="A82" s="39">
        <v>43730</v>
      </c>
      <c r="B82" s="25" t="s">
        <v>382</v>
      </c>
      <c r="C82" s="41" t="s">
        <v>303</v>
      </c>
      <c r="D82" s="22" t="s">
        <v>312</v>
      </c>
      <c r="E82">
        <v>11.9</v>
      </c>
      <c r="F82">
        <v>5.8</v>
      </c>
      <c r="G82">
        <v>13.6</v>
      </c>
      <c r="H82">
        <f>30.1+1.1</f>
        <v>31.200000000000003</v>
      </c>
      <c r="I82">
        <v>8.5</v>
      </c>
      <c r="J82">
        <v>43</v>
      </c>
      <c r="L82" s="21"/>
      <c r="M82" s="21"/>
    </row>
    <row r="83" spans="1:26" x14ac:dyDescent="0.2">
      <c r="A83" s="39">
        <v>43730</v>
      </c>
      <c r="B83" s="25" t="s">
        <v>382</v>
      </c>
      <c r="C83" s="41" t="s">
        <v>287</v>
      </c>
      <c r="D83" s="22" t="s">
        <v>311</v>
      </c>
      <c r="E83">
        <v>46.6</v>
      </c>
      <c r="F83">
        <v>7.5</v>
      </c>
      <c r="G83">
        <v>3.3</v>
      </c>
      <c r="H83">
        <v>2.2999999999999998</v>
      </c>
      <c r="I83">
        <v>-3</v>
      </c>
      <c r="J83">
        <v>49</v>
      </c>
      <c r="L83" s="21"/>
      <c r="M83" s="21"/>
    </row>
    <row r="84" spans="1:26" x14ac:dyDescent="0.2">
      <c r="A84" s="39">
        <v>43730</v>
      </c>
      <c r="B84" s="25" t="s">
        <v>382</v>
      </c>
      <c r="C84" s="41" t="s">
        <v>304</v>
      </c>
      <c r="D84" s="22" t="s">
        <v>281</v>
      </c>
      <c r="E84" s="14">
        <v>36.200000000000003</v>
      </c>
      <c r="F84">
        <v>8.8000000000000007</v>
      </c>
      <c r="G84">
        <v>23</v>
      </c>
      <c r="H84">
        <v>3.5</v>
      </c>
      <c r="I84">
        <v>-4</v>
      </c>
      <c r="J84">
        <v>48</v>
      </c>
      <c r="L84" s="21"/>
      <c r="M84" s="21"/>
    </row>
    <row r="85" spans="1:26" x14ac:dyDescent="0.2">
      <c r="A85" s="39">
        <v>43730</v>
      </c>
      <c r="B85" s="33" t="s">
        <v>382</v>
      </c>
      <c r="C85" s="41" t="s">
        <v>293</v>
      </c>
      <c r="D85" s="28" t="s">
        <v>291</v>
      </c>
      <c r="E85" s="30">
        <v>10.8</v>
      </c>
      <c r="F85" s="3">
        <v>8.6</v>
      </c>
      <c r="G85" s="30">
        <v>7.1</v>
      </c>
      <c r="H85" s="3">
        <f>3.9+2.9</f>
        <v>6.8</v>
      </c>
      <c r="I85" s="3">
        <v>22</v>
      </c>
      <c r="J85" s="3">
        <v>46.5</v>
      </c>
      <c r="K85" s="3"/>
      <c r="L85" s="21"/>
      <c r="M85" s="21"/>
    </row>
    <row r="86" spans="1:26" x14ac:dyDescent="0.2">
      <c r="A86" s="39">
        <v>43730</v>
      </c>
      <c r="B86" s="25" t="s">
        <v>382</v>
      </c>
      <c r="C86" s="41" t="s">
        <v>312</v>
      </c>
      <c r="D86" s="22" t="s">
        <v>303</v>
      </c>
      <c r="E86">
        <v>20.6</v>
      </c>
      <c r="F86">
        <v>4.5</v>
      </c>
      <c r="G86">
        <v>0</v>
      </c>
      <c r="H86">
        <f>9+2.1</f>
        <v>11.1</v>
      </c>
      <c r="I86">
        <v>-8.5</v>
      </c>
      <c r="J86">
        <v>43</v>
      </c>
      <c r="L86" s="21"/>
      <c r="M86" s="21"/>
    </row>
    <row r="87" spans="1:26" x14ac:dyDescent="0.2">
      <c r="A87" s="39">
        <v>43730</v>
      </c>
      <c r="B87" s="25" t="s">
        <v>382</v>
      </c>
      <c r="C87" s="41" t="s">
        <v>302</v>
      </c>
      <c r="D87" s="22" t="s">
        <v>298</v>
      </c>
      <c r="E87">
        <v>19.2</v>
      </c>
      <c r="F87" s="14">
        <v>14.4</v>
      </c>
      <c r="G87">
        <v>18.5</v>
      </c>
      <c r="H87">
        <v>5.0999999999999996</v>
      </c>
      <c r="I87" s="8">
        <v>-20.5</v>
      </c>
      <c r="J87" s="8">
        <v>43</v>
      </c>
      <c r="L87" s="21"/>
      <c r="M87" s="21"/>
    </row>
    <row r="88" spans="1:26" x14ac:dyDescent="0.2">
      <c r="A88" s="39">
        <v>43730</v>
      </c>
      <c r="B88" s="25" t="s">
        <v>382</v>
      </c>
      <c r="C88" s="41" t="s">
        <v>307</v>
      </c>
      <c r="D88" s="22" t="s">
        <v>308</v>
      </c>
      <c r="E88">
        <v>16.399999999999999</v>
      </c>
      <c r="F88">
        <v>3.5</v>
      </c>
      <c r="G88">
        <v>5</v>
      </c>
      <c r="H88">
        <v>3.1</v>
      </c>
      <c r="I88" s="8">
        <v>5</v>
      </c>
      <c r="J88" s="8">
        <v>44</v>
      </c>
      <c r="L88" s="21"/>
      <c r="M88" s="21"/>
    </row>
    <row r="89" spans="1:26" x14ac:dyDescent="0.2">
      <c r="A89" s="39">
        <v>43730</v>
      </c>
      <c r="B89" s="25" t="s">
        <v>382</v>
      </c>
      <c r="C89" s="41" t="s">
        <v>296</v>
      </c>
      <c r="D89" s="22" t="s">
        <v>284</v>
      </c>
      <c r="E89">
        <v>30.1</v>
      </c>
      <c r="F89">
        <v>11.2</v>
      </c>
      <c r="G89">
        <v>1.6</v>
      </c>
      <c r="H89">
        <f>27.6</f>
        <v>27.6</v>
      </c>
      <c r="I89">
        <v>5</v>
      </c>
      <c r="J89">
        <v>48</v>
      </c>
      <c r="L89" s="21"/>
      <c r="M89" s="21"/>
    </row>
    <row r="90" spans="1:26" x14ac:dyDescent="0.2">
      <c r="A90" s="39">
        <v>43730</v>
      </c>
      <c r="B90" s="33" t="s">
        <v>382</v>
      </c>
      <c r="C90" s="41" t="s">
        <v>298</v>
      </c>
      <c r="D90" s="28" t="s">
        <v>302</v>
      </c>
      <c r="E90" s="3">
        <v>4.5</v>
      </c>
      <c r="F90" s="3">
        <v>4.0999999999999996</v>
      </c>
      <c r="G90" s="3">
        <v>4.9000000000000004</v>
      </c>
      <c r="H90" s="3">
        <v>1.5</v>
      </c>
      <c r="I90" s="3">
        <v>20.5</v>
      </c>
      <c r="J90" s="3">
        <v>43</v>
      </c>
      <c r="K90" s="3"/>
      <c r="L90" s="29"/>
      <c r="M90" s="29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x14ac:dyDescent="0.2">
      <c r="A91" s="39">
        <v>43730</v>
      </c>
      <c r="B91" s="25" t="s">
        <v>382</v>
      </c>
      <c r="C91" s="41" t="s">
        <v>294</v>
      </c>
      <c r="D91" s="22" t="s">
        <v>299</v>
      </c>
      <c r="E91">
        <v>24</v>
      </c>
      <c r="F91">
        <v>10.199999999999999</v>
      </c>
      <c r="G91">
        <v>2</v>
      </c>
      <c r="H91">
        <v>10.4</v>
      </c>
      <c r="I91">
        <v>-4</v>
      </c>
      <c r="J91">
        <v>45</v>
      </c>
      <c r="L91" s="21"/>
      <c r="M91" s="21"/>
    </row>
    <row r="92" spans="1:26" x14ac:dyDescent="0.2">
      <c r="A92" s="39">
        <v>43730</v>
      </c>
      <c r="B92" s="25" t="s">
        <v>382</v>
      </c>
      <c r="C92" s="41" t="s">
        <v>309</v>
      </c>
      <c r="D92" s="22" t="s">
        <v>256</v>
      </c>
      <c r="E92">
        <v>17.100000000000001</v>
      </c>
      <c r="F92">
        <v>14.8</v>
      </c>
      <c r="G92">
        <v>3.4</v>
      </c>
      <c r="H92">
        <v>3.3</v>
      </c>
      <c r="I92">
        <v>6</v>
      </c>
      <c r="J92">
        <v>44.5</v>
      </c>
    </row>
    <row r="93" spans="1:26" x14ac:dyDescent="0.2">
      <c r="A93" s="39">
        <v>43730</v>
      </c>
      <c r="B93" s="25" t="s">
        <v>382</v>
      </c>
      <c r="C93" s="40" t="s">
        <v>256</v>
      </c>
      <c r="D93" s="22" t="s">
        <v>309</v>
      </c>
      <c r="E93">
        <v>7.4</v>
      </c>
      <c r="F93">
        <v>12</v>
      </c>
      <c r="G93">
        <v>6.1</v>
      </c>
      <c r="H93">
        <v>11.7</v>
      </c>
      <c r="I93">
        <v>-6</v>
      </c>
      <c r="J93">
        <v>44.5</v>
      </c>
      <c r="L93" s="21"/>
      <c r="M93" s="21"/>
    </row>
    <row r="94" spans="1:26" x14ac:dyDescent="0.2">
      <c r="A94" s="39">
        <v>43730</v>
      </c>
      <c r="B94" s="25" t="s">
        <v>382</v>
      </c>
      <c r="C94" s="41" t="s">
        <v>308</v>
      </c>
      <c r="D94" s="22" t="s">
        <v>307</v>
      </c>
      <c r="E94">
        <v>35.4</v>
      </c>
      <c r="F94">
        <v>8.6999999999999993</v>
      </c>
      <c r="G94" s="14">
        <v>6</v>
      </c>
      <c r="H94">
        <f>18.2+1.9</f>
        <v>20.099999999999998</v>
      </c>
      <c r="I94" s="8">
        <v>-5</v>
      </c>
      <c r="J94" s="8">
        <v>44</v>
      </c>
      <c r="L94" s="21"/>
      <c r="M94" s="21"/>
    </row>
    <row r="95" spans="1:26" x14ac:dyDescent="0.2">
      <c r="A95" s="39">
        <v>43730</v>
      </c>
      <c r="B95" s="25" t="s">
        <v>382</v>
      </c>
      <c r="C95" s="41" t="s">
        <v>284</v>
      </c>
      <c r="D95" s="22" t="s">
        <v>296</v>
      </c>
      <c r="E95">
        <v>48</v>
      </c>
      <c r="F95">
        <v>7</v>
      </c>
      <c r="G95">
        <v>2.9</v>
      </c>
      <c r="H95">
        <f>9.6+2.7</f>
        <v>12.3</v>
      </c>
      <c r="I95">
        <v>-5</v>
      </c>
      <c r="J95">
        <v>48</v>
      </c>
      <c r="L95" s="21"/>
      <c r="M95" s="21"/>
    </row>
    <row r="96" spans="1:26" x14ac:dyDescent="0.2">
      <c r="A96" s="39">
        <v>43730</v>
      </c>
      <c r="B96" s="25" t="s">
        <v>382</v>
      </c>
      <c r="C96" s="41" t="s">
        <v>310</v>
      </c>
      <c r="D96" s="22" t="s">
        <v>297</v>
      </c>
      <c r="E96">
        <v>7.4</v>
      </c>
      <c r="F96" s="14">
        <v>15.3</v>
      </c>
      <c r="G96">
        <v>1.4</v>
      </c>
      <c r="H96">
        <v>17.399999999999999</v>
      </c>
      <c r="I96">
        <v>-1.5</v>
      </c>
      <c r="J96">
        <v>38</v>
      </c>
      <c r="L96" s="21"/>
      <c r="M96" s="21"/>
    </row>
    <row r="97" spans="1:194" x14ac:dyDescent="0.2">
      <c r="A97" s="39">
        <v>43730</v>
      </c>
      <c r="B97" s="25" t="s">
        <v>382</v>
      </c>
      <c r="C97" s="41" t="s">
        <v>306</v>
      </c>
      <c r="D97" s="22" t="s">
        <v>265</v>
      </c>
      <c r="E97">
        <v>19</v>
      </c>
      <c r="F97">
        <v>22.3</v>
      </c>
      <c r="G97" s="14">
        <v>8</v>
      </c>
      <c r="H97">
        <v>8.9</v>
      </c>
      <c r="I97">
        <v>5</v>
      </c>
      <c r="J97">
        <v>41</v>
      </c>
      <c r="L97" s="21"/>
      <c r="M97" s="21"/>
    </row>
    <row r="98" spans="1:194" x14ac:dyDescent="0.2">
      <c r="A98" s="39">
        <v>43737</v>
      </c>
      <c r="B98" s="26" t="s">
        <v>417</v>
      </c>
      <c r="C98" s="41" t="s">
        <v>285</v>
      </c>
      <c r="D98" s="26" t="s">
        <v>308</v>
      </c>
      <c r="E98">
        <v>9.6999999999999993</v>
      </c>
      <c r="F98">
        <v>8.3000000000000007</v>
      </c>
      <c r="G98" s="14">
        <v>3.9</v>
      </c>
      <c r="H98" s="14">
        <v>4.4000000000000004</v>
      </c>
      <c r="I98">
        <v>5.5</v>
      </c>
      <c r="J98">
        <v>49</v>
      </c>
      <c r="K98" t="s">
        <v>109</v>
      </c>
      <c r="L98" s="1" t="s">
        <v>285</v>
      </c>
      <c r="M98">
        <v>14</v>
      </c>
      <c r="N98">
        <v>3.3666666666666671</v>
      </c>
      <c r="O98">
        <v>24</v>
      </c>
      <c r="P98">
        <v>22.5</v>
      </c>
      <c r="Q98">
        <v>22</v>
      </c>
      <c r="R98">
        <v>1.4000000000000004</v>
      </c>
      <c r="S98">
        <v>23</v>
      </c>
      <c r="T98">
        <v>-10.888888888888891</v>
      </c>
      <c r="U98">
        <v>1.7777777777777777</v>
      </c>
      <c r="V98">
        <v>29</v>
      </c>
      <c r="W98">
        <v>29</v>
      </c>
      <c r="X98">
        <v>30</v>
      </c>
      <c r="Y98">
        <v>-4.2222222222222223</v>
      </c>
      <c r="Z98">
        <v>28</v>
      </c>
      <c r="AA98">
        <v>-19.444444444444443</v>
      </c>
      <c r="AB98">
        <v>1.1102230246251565E-16</v>
      </c>
      <c r="AC98">
        <v>27</v>
      </c>
      <c r="AD98">
        <v>26.5</v>
      </c>
      <c r="AE98">
        <v>27</v>
      </c>
      <c r="AF98">
        <v>4.0333333333333341</v>
      </c>
      <c r="AG98">
        <v>26</v>
      </c>
      <c r="AH98">
        <v>18.111111111111111</v>
      </c>
      <c r="AI98">
        <v>0.44444444444444403</v>
      </c>
      <c r="AJ98">
        <v>7</v>
      </c>
      <c r="AK98">
        <v>8</v>
      </c>
      <c r="AL98">
        <v>6</v>
      </c>
      <c r="AM98">
        <v>0.26666666666666572</v>
      </c>
      <c r="AN98">
        <v>10</v>
      </c>
      <c r="AO98">
        <v>-4.8888888888888857</v>
      </c>
      <c r="AP98">
        <v>2.1111111111111112</v>
      </c>
      <c r="AQ98">
        <v>11</v>
      </c>
      <c r="AR98">
        <v>10.5</v>
      </c>
      <c r="AS98">
        <v>9</v>
      </c>
      <c r="AT98">
        <v>1.3888888888888893</v>
      </c>
      <c r="AU98">
        <v>12</v>
      </c>
      <c r="AV98">
        <v>1.6666666666666667</v>
      </c>
      <c r="AW98">
        <v>2</v>
      </c>
      <c r="AX98">
        <v>16</v>
      </c>
      <c r="AY98">
        <v>16</v>
      </c>
      <c r="AZ98">
        <v>18</v>
      </c>
      <c r="BA98">
        <v>6.7333333333333343</v>
      </c>
      <c r="BB98">
        <v>14</v>
      </c>
      <c r="BC98">
        <v>34</v>
      </c>
      <c r="BD98">
        <v>5.5555555555555545</v>
      </c>
      <c r="BE98">
        <v>24</v>
      </c>
      <c r="BF98">
        <v>23.5</v>
      </c>
      <c r="BG98">
        <v>29</v>
      </c>
      <c r="BH98">
        <v>-3.3222222222222215</v>
      </c>
      <c r="BI98">
        <v>18</v>
      </c>
      <c r="BJ98">
        <v>-13.222222222222223</v>
      </c>
      <c r="BK98">
        <v>-2.2222222222222219</v>
      </c>
      <c r="BL98">
        <v>21</v>
      </c>
      <c r="BM98">
        <v>20</v>
      </c>
      <c r="BN98">
        <v>17</v>
      </c>
      <c r="BO98">
        <v>1.5555555555555554</v>
      </c>
      <c r="BP98">
        <v>23</v>
      </c>
      <c r="BQ98">
        <v>0.44444444444444448</v>
      </c>
      <c r="BR98">
        <v>-1</v>
      </c>
      <c r="BS98">
        <v>9</v>
      </c>
      <c r="BT98">
        <v>12.25</v>
      </c>
      <c r="BU98">
        <v>20</v>
      </c>
      <c r="BV98">
        <v>-5.1070390420544141E-2</v>
      </c>
      <c r="BW98">
        <v>7</v>
      </c>
      <c r="BX98">
        <v>2.9384362811953973E-2</v>
      </c>
      <c r="BY98">
        <v>4</v>
      </c>
      <c r="BZ98">
        <v>-3.6111111111111072</v>
      </c>
      <c r="CA98">
        <v>18</v>
      </c>
      <c r="CB98">
        <v>0.33333333333333331</v>
      </c>
      <c r="CC98">
        <v>5</v>
      </c>
      <c r="CD98">
        <v>0.1111111111111119</v>
      </c>
      <c r="CE98">
        <v>0</v>
      </c>
      <c r="CF98">
        <v>-3.555555555555562</v>
      </c>
      <c r="CG98">
        <v>16.666666666666668</v>
      </c>
      <c r="CH98">
        <v>-31.444444444444446</v>
      </c>
      <c r="CI98">
        <v>0</v>
      </c>
      <c r="CJ98">
        <v>11.222222222222223</v>
      </c>
      <c r="CK98">
        <v>5</v>
      </c>
      <c r="CL98">
        <v>6.1888888888888891</v>
      </c>
      <c r="CM98">
        <v>2.5577777777777779</v>
      </c>
      <c r="CN98">
        <v>48.111111111111114</v>
      </c>
      <c r="CO98">
        <v>-6.1888888888888891</v>
      </c>
      <c r="CP98">
        <v>0.55833333333333357</v>
      </c>
      <c r="CQ98">
        <v>5.6888888888888891</v>
      </c>
      <c r="CR98">
        <v>14.888888888888891</v>
      </c>
      <c r="CS98">
        <v>-2.822222222222222</v>
      </c>
      <c r="CT98">
        <v>-30.333333333333336</v>
      </c>
      <c r="CU98">
        <v>2.3333333333333335</v>
      </c>
      <c r="CV98">
        <v>1.7777777777777777</v>
      </c>
      <c r="CW98">
        <v>1.2626388888888886</v>
      </c>
      <c r="CX98">
        <v>1.5663888888888884</v>
      </c>
      <c r="CY98" t="s">
        <v>308</v>
      </c>
      <c r="CZ98">
        <v>17</v>
      </c>
      <c r="DA98">
        <v>1.4155555555555548</v>
      </c>
      <c r="DB98">
        <v>24</v>
      </c>
      <c r="DC98">
        <v>22</v>
      </c>
      <c r="DD98">
        <v>18</v>
      </c>
      <c r="DE98">
        <v>3.9222222222222221</v>
      </c>
      <c r="DF98">
        <v>26</v>
      </c>
      <c r="DG98">
        <v>-6.6666666666666652</v>
      </c>
      <c r="DH98">
        <v>0.77777777777777779</v>
      </c>
      <c r="DI98">
        <v>25</v>
      </c>
      <c r="DJ98">
        <v>22.5</v>
      </c>
      <c r="DK98">
        <v>16</v>
      </c>
      <c r="DL98">
        <v>0.12222222222222208</v>
      </c>
      <c r="DM98">
        <v>29</v>
      </c>
      <c r="DN98">
        <v>1.555555555555556</v>
      </c>
      <c r="DO98">
        <v>-0.33333333333333326</v>
      </c>
      <c r="DP98">
        <v>5</v>
      </c>
      <c r="DQ98">
        <v>3.5</v>
      </c>
      <c r="DR98">
        <v>3</v>
      </c>
      <c r="DS98">
        <v>-2.755555555555556</v>
      </c>
      <c r="DT98">
        <v>4</v>
      </c>
      <c r="DU98">
        <v>-18.222222222222225</v>
      </c>
      <c r="DV98">
        <v>-1.1111111111111109</v>
      </c>
      <c r="DW98">
        <v>19</v>
      </c>
      <c r="DX98">
        <v>17.5</v>
      </c>
      <c r="DY98">
        <v>18</v>
      </c>
      <c r="DZ98">
        <v>1.9222222222222218</v>
      </c>
      <c r="EA98">
        <v>17</v>
      </c>
      <c r="EB98">
        <v>5.4444444444444473</v>
      </c>
      <c r="EC98">
        <v>2.9605947323337506E-16</v>
      </c>
      <c r="ED98">
        <v>13</v>
      </c>
      <c r="EE98">
        <v>13.5</v>
      </c>
      <c r="EF98">
        <v>6</v>
      </c>
      <c r="EG98">
        <v>-1.6777777777777778</v>
      </c>
      <c r="EH98">
        <v>21</v>
      </c>
      <c r="EI98">
        <v>-11.444444444444443</v>
      </c>
      <c r="EJ98">
        <v>-0.77777777777777779</v>
      </c>
      <c r="EK98">
        <v>18</v>
      </c>
      <c r="EL98">
        <v>18</v>
      </c>
      <c r="EM98">
        <v>16</v>
      </c>
      <c r="EN98">
        <v>-5.2888888888888888</v>
      </c>
      <c r="EO98">
        <v>20</v>
      </c>
      <c r="EP98">
        <v>-32.888888888888886</v>
      </c>
      <c r="EQ98">
        <v>-1.6666666666666661</v>
      </c>
      <c r="ER98">
        <v>15</v>
      </c>
      <c r="ES98">
        <v>15</v>
      </c>
      <c r="ET98">
        <v>11</v>
      </c>
      <c r="EU98">
        <v>5.833333333333333</v>
      </c>
      <c r="EV98">
        <v>19</v>
      </c>
      <c r="EW98">
        <v>13.222222222222221</v>
      </c>
      <c r="EX98">
        <v>1.7777777777777779</v>
      </c>
      <c r="EY98">
        <v>12</v>
      </c>
      <c r="EZ98">
        <v>12.5</v>
      </c>
      <c r="FA98">
        <v>17</v>
      </c>
      <c r="FB98">
        <v>-1.1111111111111109</v>
      </c>
      <c r="FC98">
        <v>8</v>
      </c>
      <c r="FD98">
        <v>-0.33333333333333331</v>
      </c>
      <c r="FE98">
        <v>3.1111111111111112</v>
      </c>
      <c r="FF98">
        <v>21</v>
      </c>
      <c r="FG98">
        <v>17.25</v>
      </c>
      <c r="FH98">
        <v>30</v>
      </c>
      <c r="FI98">
        <v>3.4214371210566773E-2</v>
      </c>
      <c r="FJ98">
        <v>28</v>
      </c>
      <c r="FK98">
        <v>-1.0483201266009351E-2</v>
      </c>
      <c r="FL98">
        <v>4</v>
      </c>
      <c r="FM98">
        <v>10.688888888888885</v>
      </c>
      <c r="FN98">
        <v>7</v>
      </c>
      <c r="FO98">
        <v>-1.2222222222222223</v>
      </c>
      <c r="FP98">
        <v>-0.66666666666666663</v>
      </c>
      <c r="FQ98">
        <v>-0.44444444444444464</v>
      </c>
      <c r="FR98">
        <v>-0.22222222222222218</v>
      </c>
      <c r="FS98">
        <v>-1.5555555555555571</v>
      </c>
      <c r="FT98">
        <v>3.7777777777777786</v>
      </c>
      <c r="FU98">
        <v>3.1111111111111107</v>
      </c>
      <c r="FV98">
        <v>-2.3333333333333335</v>
      </c>
      <c r="FW98">
        <v>-2.1111111111111143</v>
      </c>
      <c r="FX98">
        <v>-0.3333333333333357</v>
      </c>
      <c r="FY98">
        <v>-1</v>
      </c>
      <c r="FZ98">
        <v>1.1111111111111114</v>
      </c>
      <c r="GA98">
        <v>20</v>
      </c>
      <c r="GB98">
        <v>-2.6288888888888895</v>
      </c>
      <c r="GC98">
        <v>-1.0746666666666669</v>
      </c>
      <c r="GD98">
        <v>-1.7777777777777786</v>
      </c>
      <c r="GE98">
        <v>2.6288888888888895</v>
      </c>
      <c r="GF98">
        <v>0.95888888888888868</v>
      </c>
      <c r="GG98">
        <v>-2.511111111111112</v>
      </c>
      <c r="GH98">
        <v>-24.222222222222221</v>
      </c>
      <c r="GI98">
        <v>4.0444444444444443</v>
      </c>
      <c r="GJ98">
        <v>-5.1111111111111089</v>
      </c>
      <c r="GK98">
        <v>-0.11111111111111049</v>
      </c>
      <c r="GL98">
        <v>0.44444444444444453</v>
      </c>
    </row>
    <row r="99" spans="1:194" x14ac:dyDescent="0.2">
      <c r="A99" s="39">
        <v>43737</v>
      </c>
      <c r="B99" s="26" t="s">
        <v>417</v>
      </c>
      <c r="C99" s="41" t="s">
        <v>295</v>
      </c>
      <c r="D99" s="27" t="s">
        <v>310</v>
      </c>
      <c r="E99">
        <v>9.3000000000000007</v>
      </c>
      <c r="F99">
        <v>6.2</v>
      </c>
      <c r="G99" s="14">
        <v>18.100000000000001</v>
      </c>
      <c r="H99" s="14">
        <v>25</v>
      </c>
      <c r="I99">
        <v>-3.5</v>
      </c>
      <c r="J99">
        <v>46</v>
      </c>
      <c r="L99" s="1" t="s">
        <v>295</v>
      </c>
      <c r="M99">
        <v>20</v>
      </c>
      <c r="N99">
        <v>3.8422222222222224</v>
      </c>
      <c r="O99">
        <v>29</v>
      </c>
      <c r="P99">
        <v>28</v>
      </c>
      <c r="Q99">
        <v>29</v>
      </c>
      <c r="R99">
        <v>-5.9111111111111114</v>
      </c>
      <c r="S99">
        <v>27</v>
      </c>
      <c r="T99">
        <v>-6.666666666666667</v>
      </c>
      <c r="U99">
        <v>0.16666666666666652</v>
      </c>
      <c r="V99">
        <v>11</v>
      </c>
      <c r="W99">
        <v>11</v>
      </c>
      <c r="X99">
        <v>10</v>
      </c>
      <c r="Y99">
        <v>-2.1111111111111112</v>
      </c>
      <c r="Z99">
        <v>12</v>
      </c>
      <c r="AA99">
        <v>0.22222222222222263</v>
      </c>
      <c r="AB99">
        <v>-1.4444444444444446</v>
      </c>
      <c r="AC99">
        <v>15</v>
      </c>
      <c r="AD99">
        <v>16</v>
      </c>
      <c r="AE99">
        <v>23</v>
      </c>
      <c r="AF99">
        <v>5.8</v>
      </c>
      <c r="AG99">
        <v>9</v>
      </c>
      <c r="AH99">
        <v>10.222222222222221</v>
      </c>
      <c r="AI99">
        <v>1.9999999999999998</v>
      </c>
      <c r="AJ99">
        <v>6</v>
      </c>
      <c r="AK99">
        <v>7</v>
      </c>
      <c r="AL99">
        <v>8</v>
      </c>
      <c r="AM99">
        <v>4.1333333333333329</v>
      </c>
      <c r="AN99">
        <v>6</v>
      </c>
      <c r="AO99">
        <v>12.444444444444443</v>
      </c>
      <c r="AP99">
        <v>2.9605947323337506E-16</v>
      </c>
      <c r="AQ99">
        <v>6</v>
      </c>
      <c r="AR99">
        <v>6</v>
      </c>
      <c r="AS99">
        <v>6</v>
      </c>
      <c r="AT99">
        <v>0.96666666666666645</v>
      </c>
      <c r="AU99">
        <v>6</v>
      </c>
      <c r="AV99">
        <v>17.111111111111107</v>
      </c>
      <c r="AW99">
        <v>1.3333333333333333</v>
      </c>
      <c r="AX99">
        <v>7</v>
      </c>
      <c r="AY99">
        <v>6.5</v>
      </c>
      <c r="AZ99">
        <v>7</v>
      </c>
      <c r="BA99">
        <v>0.45555555555555455</v>
      </c>
      <c r="BB99">
        <v>6</v>
      </c>
      <c r="BC99">
        <v>-1</v>
      </c>
      <c r="BD99">
        <v>1.1111111111111109</v>
      </c>
      <c r="BE99">
        <v>16</v>
      </c>
      <c r="BF99">
        <v>17</v>
      </c>
      <c r="BG99">
        <v>17</v>
      </c>
      <c r="BH99">
        <v>3.8333333333333326</v>
      </c>
      <c r="BI99">
        <v>17</v>
      </c>
      <c r="BJ99">
        <v>5.7777777777777759</v>
      </c>
      <c r="BK99">
        <v>1.2222222222222223</v>
      </c>
      <c r="BL99">
        <v>4</v>
      </c>
      <c r="BM99">
        <v>7</v>
      </c>
      <c r="BN99">
        <v>10</v>
      </c>
      <c r="BO99">
        <v>-1.1111111111111114</v>
      </c>
      <c r="BP99">
        <v>4</v>
      </c>
      <c r="BQ99">
        <v>-0.33333333333333331</v>
      </c>
      <c r="BR99">
        <v>-1.3333333333333333</v>
      </c>
      <c r="BS99">
        <v>14</v>
      </c>
      <c r="BT99">
        <v>14</v>
      </c>
      <c r="BU99">
        <v>7</v>
      </c>
      <c r="BV99">
        <v>-3.2837872775953271E-2</v>
      </c>
      <c r="BW99">
        <v>9</v>
      </c>
      <c r="BX99">
        <v>-2.2233183636692411E-2</v>
      </c>
      <c r="BY99">
        <v>26</v>
      </c>
      <c r="BZ99">
        <v>-3.0555555555555522</v>
      </c>
      <c r="CA99">
        <v>14</v>
      </c>
      <c r="CB99">
        <v>2.4444444444444446</v>
      </c>
      <c r="CC99">
        <v>0.44444444444444287</v>
      </c>
      <c r="CD99">
        <v>-1.0000000000000007</v>
      </c>
      <c r="CE99">
        <v>-0.77777777777777779</v>
      </c>
      <c r="CF99">
        <v>21.000000000000018</v>
      </c>
      <c r="CG99">
        <v>37.44444444444445</v>
      </c>
      <c r="CH99">
        <v>-18.111111111111111</v>
      </c>
      <c r="CI99">
        <v>-0.66666666666666663</v>
      </c>
      <c r="CJ99">
        <v>2.3333333333333335</v>
      </c>
      <c r="CK99">
        <v>1</v>
      </c>
      <c r="CL99">
        <v>11.864444444444445</v>
      </c>
      <c r="CM99">
        <v>7.7262222222222228</v>
      </c>
      <c r="CN99">
        <v>55.555555555555557</v>
      </c>
      <c r="CO99">
        <v>-11.864444444444445</v>
      </c>
      <c r="CP99">
        <v>1.1802777777777778</v>
      </c>
      <c r="CQ99">
        <v>10.9</v>
      </c>
      <c r="CR99">
        <v>39.777777777777771</v>
      </c>
      <c r="CS99">
        <v>-8.0222222222222221</v>
      </c>
      <c r="CT99">
        <v>-6.4444444444444446</v>
      </c>
      <c r="CU99">
        <v>4.5555555555555554</v>
      </c>
      <c r="CV99">
        <v>-1.2777777777777781</v>
      </c>
      <c r="CW99">
        <v>-0.95666666666666678</v>
      </c>
      <c r="CX99">
        <v>-0.26166666666666699</v>
      </c>
      <c r="CY99" t="s">
        <v>310</v>
      </c>
      <c r="CZ99">
        <v>11</v>
      </c>
      <c r="DA99">
        <v>-2.0355555555555553</v>
      </c>
      <c r="DB99">
        <v>7</v>
      </c>
      <c r="DC99">
        <v>10</v>
      </c>
      <c r="DD99">
        <v>13</v>
      </c>
      <c r="DE99">
        <v>-4.1333333333333337</v>
      </c>
      <c r="DF99">
        <v>7</v>
      </c>
      <c r="DG99">
        <v>-15.000000000000002</v>
      </c>
      <c r="DH99">
        <v>0.44444444444444436</v>
      </c>
      <c r="DI99">
        <v>23</v>
      </c>
      <c r="DJ99">
        <v>19.5</v>
      </c>
      <c r="DK99">
        <v>22</v>
      </c>
      <c r="DL99">
        <v>0.23333333333333325</v>
      </c>
      <c r="DM99">
        <v>17</v>
      </c>
      <c r="DN99">
        <v>-0.5555555555555558</v>
      </c>
      <c r="DO99">
        <v>-0.55555555555555558</v>
      </c>
      <c r="DP99">
        <v>3</v>
      </c>
      <c r="DQ99">
        <v>1.5</v>
      </c>
      <c r="DR99">
        <v>2</v>
      </c>
      <c r="DS99">
        <v>-3.4000000000000004</v>
      </c>
      <c r="DT99">
        <v>1</v>
      </c>
      <c r="DU99">
        <v>-8.4444444444444446</v>
      </c>
      <c r="DV99">
        <v>0.33333333333333304</v>
      </c>
      <c r="DW99">
        <v>11</v>
      </c>
      <c r="DX99">
        <v>13</v>
      </c>
      <c r="DY99">
        <v>14</v>
      </c>
      <c r="DZ99">
        <v>-0.66666666666666663</v>
      </c>
      <c r="EA99">
        <v>12</v>
      </c>
      <c r="EB99">
        <v>-7.7777777777777759</v>
      </c>
      <c r="EC99">
        <v>-1.2222222222222223</v>
      </c>
      <c r="ED99">
        <v>28</v>
      </c>
      <c r="EE99">
        <v>30</v>
      </c>
      <c r="EF99">
        <v>30</v>
      </c>
      <c r="EG99">
        <v>-2.4999999999999996</v>
      </c>
      <c r="EH99">
        <v>30</v>
      </c>
      <c r="EI99">
        <v>-16.333333333333336</v>
      </c>
      <c r="EJ99">
        <v>3.8888888888888893</v>
      </c>
      <c r="EK99">
        <v>6</v>
      </c>
      <c r="EL99">
        <v>5.5</v>
      </c>
      <c r="EM99">
        <v>6</v>
      </c>
      <c r="EN99">
        <v>-4.6777777777777789</v>
      </c>
      <c r="EO99">
        <v>5</v>
      </c>
      <c r="EP99">
        <v>-19.000000000000004</v>
      </c>
      <c r="EQ99">
        <v>-0.33333333333333304</v>
      </c>
      <c r="ER99">
        <v>6</v>
      </c>
      <c r="ES99">
        <v>8</v>
      </c>
      <c r="ET99">
        <v>7</v>
      </c>
      <c r="EU99">
        <v>2.1777777777777776</v>
      </c>
      <c r="EV99">
        <v>9</v>
      </c>
      <c r="EW99">
        <v>-4.666666666666667</v>
      </c>
      <c r="EX99">
        <v>-0.22222222222222218</v>
      </c>
      <c r="EY99">
        <v>3</v>
      </c>
      <c r="EZ99">
        <v>3.5</v>
      </c>
      <c r="FA99">
        <v>6</v>
      </c>
      <c r="FB99">
        <v>-2.8888888888888893</v>
      </c>
      <c r="FC99">
        <v>1</v>
      </c>
      <c r="FD99">
        <v>-1.1111111111111112</v>
      </c>
      <c r="FE99">
        <v>0.55555555555555569</v>
      </c>
      <c r="FF99">
        <v>15</v>
      </c>
      <c r="FG99">
        <v>15.75</v>
      </c>
      <c r="FH99">
        <v>16</v>
      </c>
      <c r="FI99">
        <v>-7.6362473526896207E-2</v>
      </c>
      <c r="FJ99">
        <v>21</v>
      </c>
      <c r="FK99">
        <v>-3.0467477427901742E-3</v>
      </c>
      <c r="FL99">
        <v>13</v>
      </c>
      <c r="FM99">
        <v>2.9888888888888943</v>
      </c>
      <c r="FN99">
        <v>13</v>
      </c>
      <c r="FO99">
        <v>3.5555555555555558</v>
      </c>
      <c r="FP99">
        <v>-1.0000000000000011</v>
      </c>
      <c r="FQ99">
        <v>-0.11111111111111131</v>
      </c>
      <c r="FR99">
        <v>0.88888888888888895</v>
      </c>
      <c r="FS99">
        <v>0.22222222222222379</v>
      </c>
      <c r="FT99">
        <v>-2.3333333333333321</v>
      </c>
      <c r="FU99">
        <v>0</v>
      </c>
      <c r="FV99">
        <v>-25.555555555555543</v>
      </c>
      <c r="FW99">
        <v>-34.777777777777771</v>
      </c>
      <c r="FX99">
        <v>5.7777777777777812</v>
      </c>
      <c r="FY99">
        <v>2.1111111111111107</v>
      </c>
      <c r="FZ99">
        <v>1.3333333333333333</v>
      </c>
      <c r="GA99">
        <v>11</v>
      </c>
      <c r="GB99">
        <v>1.8644444444444452</v>
      </c>
      <c r="GC99">
        <v>0.66511111111111121</v>
      </c>
      <c r="GD99">
        <v>-40.55555555555555</v>
      </c>
      <c r="GE99">
        <v>-1.864444444444445</v>
      </c>
      <c r="GF99">
        <v>-1.6516666666666666</v>
      </c>
      <c r="GG99">
        <v>-6.5666666666666664</v>
      </c>
      <c r="GH99">
        <v>-32.555555555555557</v>
      </c>
      <c r="GI99">
        <v>-3.9000000000000004</v>
      </c>
      <c r="GJ99">
        <v>-15.555555555555557</v>
      </c>
      <c r="GK99">
        <v>2.7777777777777777</v>
      </c>
      <c r="GL99">
        <v>-0.11111111111111122</v>
      </c>
    </row>
    <row r="100" spans="1:194" x14ac:dyDescent="0.2">
      <c r="A100" s="39">
        <v>43737</v>
      </c>
      <c r="B100" s="26" t="s">
        <v>417</v>
      </c>
      <c r="C100" s="41" t="s">
        <v>305</v>
      </c>
      <c r="D100" s="27" t="s">
        <v>281</v>
      </c>
      <c r="E100">
        <v>6.2</v>
      </c>
      <c r="F100">
        <v>14.1</v>
      </c>
      <c r="G100" s="14">
        <v>7.6</v>
      </c>
      <c r="H100" s="14">
        <f>13.1+5.9+1.9</f>
        <v>20.9</v>
      </c>
      <c r="I100">
        <v>-7.5</v>
      </c>
      <c r="J100">
        <v>47</v>
      </c>
      <c r="K100" t="s">
        <v>110</v>
      </c>
      <c r="L100" s="1" t="s">
        <v>305</v>
      </c>
      <c r="M100">
        <v>1</v>
      </c>
      <c r="N100">
        <v>5.797777777777779</v>
      </c>
      <c r="O100">
        <v>4</v>
      </c>
      <c r="P100">
        <v>6.5</v>
      </c>
      <c r="Q100">
        <v>4</v>
      </c>
      <c r="R100">
        <v>6.011111111111112</v>
      </c>
      <c r="S100">
        <v>9</v>
      </c>
      <c r="T100">
        <v>-7</v>
      </c>
      <c r="U100">
        <v>-0.33333333333333331</v>
      </c>
      <c r="V100">
        <v>5</v>
      </c>
      <c r="W100">
        <v>8</v>
      </c>
      <c r="X100">
        <v>14</v>
      </c>
      <c r="Y100">
        <v>-1.555555555555556</v>
      </c>
      <c r="Z100">
        <v>2</v>
      </c>
      <c r="AA100">
        <v>8.6666666666666661</v>
      </c>
      <c r="AB100">
        <v>-0.88888888888888895</v>
      </c>
      <c r="AC100">
        <v>26</v>
      </c>
      <c r="AD100">
        <v>25</v>
      </c>
      <c r="AE100">
        <v>22</v>
      </c>
      <c r="AF100">
        <v>1.5666666666666671</v>
      </c>
      <c r="AG100">
        <v>28</v>
      </c>
      <c r="AH100">
        <v>27</v>
      </c>
      <c r="AI100">
        <v>1.6666666666666667</v>
      </c>
      <c r="AJ100">
        <v>25</v>
      </c>
      <c r="AK100">
        <v>26</v>
      </c>
      <c r="AL100">
        <v>24</v>
      </c>
      <c r="AM100">
        <v>-3.7111111111111117</v>
      </c>
      <c r="AN100">
        <v>28</v>
      </c>
      <c r="AO100">
        <v>-20.555555555555554</v>
      </c>
      <c r="AP100">
        <v>-1.5555555555555556</v>
      </c>
      <c r="AQ100">
        <v>31</v>
      </c>
      <c r="AR100">
        <v>30</v>
      </c>
      <c r="AS100">
        <v>29</v>
      </c>
      <c r="AT100">
        <v>-5.2777777777777777</v>
      </c>
      <c r="AU100">
        <v>31</v>
      </c>
      <c r="AV100">
        <v>-20.555555555555557</v>
      </c>
      <c r="AW100">
        <v>-3.3333333333333335</v>
      </c>
      <c r="AX100">
        <v>10</v>
      </c>
      <c r="AY100">
        <v>11</v>
      </c>
      <c r="AZ100">
        <v>5</v>
      </c>
      <c r="BA100">
        <v>0.76666666666666927</v>
      </c>
      <c r="BB100">
        <v>17</v>
      </c>
      <c r="BC100">
        <v>16.555555555555557</v>
      </c>
      <c r="BD100">
        <v>1</v>
      </c>
      <c r="BE100">
        <v>2</v>
      </c>
      <c r="BF100">
        <v>2</v>
      </c>
      <c r="BG100">
        <v>2</v>
      </c>
      <c r="BH100">
        <v>9.9333333333333318</v>
      </c>
      <c r="BI100">
        <v>2</v>
      </c>
      <c r="BJ100">
        <v>35.777777777777779</v>
      </c>
      <c r="BK100">
        <v>4.5555555555555562</v>
      </c>
      <c r="BL100">
        <v>8</v>
      </c>
      <c r="BM100">
        <v>8.5</v>
      </c>
      <c r="BN100">
        <v>2</v>
      </c>
      <c r="BO100">
        <v>1.2222222222222223</v>
      </c>
      <c r="BP100">
        <v>15</v>
      </c>
      <c r="BQ100">
        <v>-0.11111111111111116</v>
      </c>
      <c r="BR100">
        <v>-3.7777777777777781</v>
      </c>
      <c r="BS100">
        <v>31</v>
      </c>
      <c r="BT100">
        <v>29.25</v>
      </c>
      <c r="BU100">
        <v>27</v>
      </c>
      <c r="BV100">
        <v>-1.2336664744011017E-2</v>
      </c>
      <c r="BW100">
        <v>31</v>
      </c>
      <c r="BX100">
        <v>-4.3416705918081777E-3</v>
      </c>
      <c r="BY100">
        <v>27</v>
      </c>
      <c r="BZ100">
        <v>6.5999999999999988</v>
      </c>
      <c r="CA100">
        <v>32</v>
      </c>
      <c r="CB100">
        <v>-2.8888888888888888</v>
      </c>
      <c r="CC100">
        <v>7.2222222222222259</v>
      </c>
      <c r="CD100">
        <v>6.5555555555555571</v>
      </c>
      <c r="CE100">
        <v>-1.5555555555555556</v>
      </c>
      <c r="CF100">
        <v>38.666666666666664</v>
      </c>
      <c r="CG100">
        <v>2.444444444444438</v>
      </c>
      <c r="CH100">
        <v>4.5555555555555527</v>
      </c>
      <c r="CI100">
        <v>-2.6666666666666665</v>
      </c>
      <c r="CJ100">
        <v>34.333333333333336</v>
      </c>
      <c r="CK100">
        <v>15</v>
      </c>
      <c r="CL100">
        <v>1.3422222222222231</v>
      </c>
      <c r="CM100">
        <v>-0.56600000000000006</v>
      </c>
      <c r="CN100">
        <v>-2.1111111111111147</v>
      </c>
      <c r="CO100">
        <v>-1.3422222222222233</v>
      </c>
      <c r="CP100">
        <v>1.7483333333333331</v>
      </c>
      <c r="CQ100">
        <v>-7.4222222222222225</v>
      </c>
      <c r="CR100">
        <v>-14.111111111111111</v>
      </c>
      <c r="CS100">
        <v>4.4555555555555557</v>
      </c>
      <c r="CT100">
        <v>1.6666666666666661</v>
      </c>
      <c r="CU100">
        <v>1.3333333333333339</v>
      </c>
      <c r="CV100">
        <v>-1.2222222222222223</v>
      </c>
      <c r="CW100">
        <v>0.66152777777777805</v>
      </c>
      <c r="CX100">
        <v>-0.30194444444444396</v>
      </c>
      <c r="CY100" t="s">
        <v>281</v>
      </c>
      <c r="CZ100">
        <v>11</v>
      </c>
      <c r="DA100">
        <v>2.2888888888888892</v>
      </c>
      <c r="DB100">
        <v>19</v>
      </c>
      <c r="DC100">
        <v>20</v>
      </c>
      <c r="DD100">
        <v>20</v>
      </c>
      <c r="DE100">
        <v>2.3333333333333317</v>
      </c>
      <c r="DF100">
        <v>20</v>
      </c>
      <c r="DG100">
        <v>1.1111111111111072</v>
      </c>
      <c r="DH100">
        <v>0.3333333333333332</v>
      </c>
      <c r="DI100">
        <v>25</v>
      </c>
      <c r="DJ100">
        <v>22.5</v>
      </c>
      <c r="DK100">
        <v>19</v>
      </c>
      <c r="DL100">
        <v>-0.54444444444444473</v>
      </c>
      <c r="DM100">
        <v>26</v>
      </c>
      <c r="DN100">
        <v>-4.3333333333333339</v>
      </c>
      <c r="DO100">
        <v>1.3333333333333333</v>
      </c>
      <c r="DP100">
        <v>10</v>
      </c>
      <c r="DQ100">
        <v>12</v>
      </c>
      <c r="DR100">
        <v>13</v>
      </c>
      <c r="DS100">
        <v>1.4666666666666677</v>
      </c>
      <c r="DT100">
        <v>11</v>
      </c>
      <c r="DU100">
        <v>-9.777777777777775</v>
      </c>
      <c r="DV100">
        <v>-0.88888888888888928</v>
      </c>
      <c r="DW100">
        <v>21</v>
      </c>
      <c r="DX100">
        <v>22</v>
      </c>
      <c r="DY100">
        <v>21</v>
      </c>
      <c r="DZ100">
        <v>2.3111111111111113</v>
      </c>
      <c r="EA100">
        <v>23</v>
      </c>
      <c r="EB100">
        <v>20.777777777777775</v>
      </c>
      <c r="EC100">
        <v>-0.55555555555555569</v>
      </c>
      <c r="ED100">
        <v>21</v>
      </c>
      <c r="EE100">
        <v>19.5</v>
      </c>
      <c r="EF100">
        <v>19</v>
      </c>
      <c r="EG100">
        <v>2.4</v>
      </c>
      <c r="EH100">
        <v>20</v>
      </c>
      <c r="EI100">
        <v>11.444444444444445</v>
      </c>
      <c r="EJ100">
        <v>0.44444444444444464</v>
      </c>
      <c r="EK100">
        <v>10</v>
      </c>
      <c r="EL100">
        <v>11.5</v>
      </c>
      <c r="EM100">
        <v>12</v>
      </c>
      <c r="EN100">
        <v>-2.6888888888888869</v>
      </c>
      <c r="EO100">
        <v>11</v>
      </c>
      <c r="EP100">
        <v>-28</v>
      </c>
      <c r="EQ100">
        <v>-2</v>
      </c>
      <c r="ER100">
        <v>4</v>
      </c>
      <c r="ES100">
        <v>4</v>
      </c>
      <c r="ET100">
        <v>5</v>
      </c>
      <c r="EU100">
        <v>0.4111111111111117</v>
      </c>
      <c r="EV100">
        <v>3</v>
      </c>
      <c r="EW100">
        <v>-5.8888888888888884</v>
      </c>
      <c r="EX100">
        <v>-1.6666666666666663</v>
      </c>
      <c r="EY100">
        <v>29</v>
      </c>
      <c r="EZ100">
        <v>27</v>
      </c>
      <c r="FA100">
        <v>30</v>
      </c>
      <c r="FB100">
        <v>2.333333333333333</v>
      </c>
      <c r="FC100">
        <v>24</v>
      </c>
      <c r="FD100">
        <v>0.33333333333333331</v>
      </c>
      <c r="FE100">
        <v>1.555555555555556</v>
      </c>
      <c r="FF100">
        <v>9</v>
      </c>
      <c r="FG100">
        <v>12.5</v>
      </c>
      <c r="FH100">
        <v>8</v>
      </c>
      <c r="FI100">
        <v>-8.2226814052850927E-3</v>
      </c>
      <c r="FJ100">
        <v>16</v>
      </c>
      <c r="FK100">
        <v>-8.3821000018702001E-3</v>
      </c>
      <c r="FL100">
        <v>7</v>
      </c>
      <c r="FM100">
        <v>5.6666666666666643</v>
      </c>
      <c r="FN100">
        <v>19</v>
      </c>
      <c r="FO100">
        <v>-0.66666666666666696</v>
      </c>
      <c r="FP100">
        <v>-1.3333333333333333</v>
      </c>
      <c r="FQ100">
        <v>0.11111111111111072</v>
      </c>
      <c r="FR100">
        <v>-0.66666666666666685</v>
      </c>
      <c r="FS100">
        <v>-2.1111111111111143</v>
      </c>
      <c r="FT100">
        <v>1.4444444444444435</v>
      </c>
      <c r="FU100">
        <v>-0.55555555555555569</v>
      </c>
      <c r="FV100">
        <v>28.111111111111114</v>
      </c>
      <c r="FW100">
        <v>26.222222222222218</v>
      </c>
      <c r="FX100">
        <v>-3.2222222222222192</v>
      </c>
      <c r="FY100">
        <v>3.7777777777777772</v>
      </c>
      <c r="FZ100">
        <v>1.3333333333333333</v>
      </c>
      <c r="GA100">
        <v>13</v>
      </c>
      <c r="GB100">
        <v>0.50000000000000222</v>
      </c>
      <c r="GC100">
        <v>0.88111111111111251</v>
      </c>
      <c r="GD100">
        <v>29.444444444444436</v>
      </c>
      <c r="GE100">
        <v>-0.50000000000000222</v>
      </c>
      <c r="GF100">
        <v>1.625</v>
      </c>
      <c r="GG100">
        <v>6.1777777777777789</v>
      </c>
      <c r="GH100">
        <v>22.444444444444443</v>
      </c>
      <c r="GI100">
        <v>1.788888888888887</v>
      </c>
      <c r="GJ100">
        <v>-3.2222222222222268</v>
      </c>
      <c r="GK100">
        <v>-2.666666666666667</v>
      </c>
      <c r="GL100">
        <v>1.6666666666666665</v>
      </c>
    </row>
    <row r="101" spans="1:194" x14ac:dyDescent="0.2">
      <c r="A101" s="39">
        <v>43737</v>
      </c>
      <c r="B101" s="26" t="s">
        <v>417</v>
      </c>
      <c r="C101" s="41" t="s">
        <v>276</v>
      </c>
      <c r="D101" s="27" t="s">
        <v>302</v>
      </c>
      <c r="E101">
        <v>11.9</v>
      </c>
      <c r="F101">
        <v>14.5</v>
      </c>
      <c r="G101" s="14">
        <v>2.4</v>
      </c>
      <c r="H101" s="14">
        <v>8.8000000000000007</v>
      </c>
      <c r="I101">
        <v>7</v>
      </c>
      <c r="J101">
        <v>41.5</v>
      </c>
      <c r="L101" s="1" t="s">
        <v>276</v>
      </c>
      <c r="M101">
        <v>5</v>
      </c>
      <c r="N101">
        <v>-2.7688888888888896</v>
      </c>
      <c r="O101">
        <v>15</v>
      </c>
      <c r="P101">
        <v>16</v>
      </c>
      <c r="Q101">
        <v>21</v>
      </c>
      <c r="R101">
        <v>-0.97777777777777664</v>
      </c>
      <c r="S101">
        <v>11</v>
      </c>
      <c r="T101">
        <v>3.6666666666666665</v>
      </c>
      <c r="U101">
        <v>0</v>
      </c>
      <c r="V101">
        <v>15</v>
      </c>
      <c r="W101">
        <v>14.5</v>
      </c>
      <c r="X101">
        <v>20</v>
      </c>
      <c r="Y101">
        <v>-1.5888888888888879</v>
      </c>
      <c r="Z101">
        <v>9</v>
      </c>
      <c r="AA101">
        <v>0.8888888888888905</v>
      </c>
      <c r="AB101">
        <v>-0.77777777777777768</v>
      </c>
      <c r="AC101">
        <v>21</v>
      </c>
      <c r="AD101">
        <v>19.5</v>
      </c>
      <c r="AE101">
        <v>14</v>
      </c>
      <c r="AF101">
        <v>-5.7444444444444445</v>
      </c>
      <c r="AG101">
        <v>25</v>
      </c>
      <c r="AH101">
        <v>-17.555555555555554</v>
      </c>
      <c r="AI101">
        <v>-0.77777777777777768</v>
      </c>
      <c r="AJ101">
        <v>9</v>
      </c>
      <c r="AK101">
        <v>8.5</v>
      </c>
      <c r="AL101">
        <v>9</v>
      </c>
      <c r="AM101">
        <v>-1.2</v>
      </c>
      <c r="AN101">
        <v>8</v>
      </c>
      <c r="AO101">
        <v>-15.222222222222221</v>
      </c>
      <c r="AP101">
        <v>0.88888888888888895</v>
      </c>
      <c r="AQ101">
        <v>13</v>
      </c>
      <c r="AR101">
        <v>14.5</v>
      </c>
      <c r="AS101">
        <v>15</v>
      </c>
      <c r="AT101">
        <v>-0.44444444444444492</v>
      </c>
      <c r="AU101">
        <v>14</v>
      </c>
      <c r="AV101">
        <v>-0.3333333333333357</v>
      </c>
      <c r="AW101">
        <v>-0.11111111111111116</v>
      </c>
      <c r="AX101">
        <v>23</v>
      </c>
      <c r="AY101">
        <v>22.5</v>
      </c>
      <c r="AZ101">
        <v>25</v>
      </c>
      <c r="BA101">
        <v>-6.3111111111111127</v>
      </c>
      <c r="BB101">
        <v>20</v>
      </c>
      <c r="BC101">
        <v>-30.888888888888889</v>
      </c>
      <c r="BD101">
        <v>0.33333333333333331</v>
      </c>
      <c r="BE101">
        <v>29</v>
      </c>
      <c r="BF101">
        <v>28.5</v>
      </c>
      <c r="BG101">
        <v>30</v>
      </c>
      <c r="BH101">
        <v>0.20000000000000076</v>
      </c>
      <c r="BI101">
        <v>27</v>
      </c>
      <c r="BJ101">
        <v>1.1111111111111118</v>
      </c>
      <c r="BK101">
        <v>1</v>
      </c>
      <c r="BL101">
        <v>25</v>
      </c>
      <c r="BM101">
        <v>23</v>
      </c>
      <c r="BN101">
        <v>23</v>
      </c>
      <c r="BO101">
        <v>-2.0000000000000004</v>
      </c>
      <c r="BP101">
        <v>23</v>
      </c>
      <c r="BQ101">
        <v>-0.77777777777777779</v>
      </c>
      <c r="BR101">
        <v>-0.33333333333333365</v>
      </c>
      <c r="BS101">
        <v>24</v>
      </c>
      <c r="BT101">
        <v>20.75</v>
      </c>
      <c r="BU101">
        <v>25</v>
      </c>
      <c r="BV101">
        <v>6.1993532630206571E-2</v>
      </c>
      <c r="BW101">
        <v>25</v>
      </c>
      <c r="BX101">
        <v>-8.6372878861758432E-3</v>
      </c>
      <c r="BY101">
        <v>5</v>
      </c>
      <c r="BZ101">
        <v>14.066666666666668</v>
      </c>
      <c r="CA101">
        <v>28</v>
      </c>
      <c r="CB101">
        <v>2.3333333333333335</v>
      </c>
      <c r="CC101">
        <v>2.4444444444444451</v>
      </c>
      <c r="CD101">
        <v>-5.4444444444444438</v>
      </c>
      <c r="CE101">
        <v>0</v>
      </c>
      <c r="CF101">
        <v>-26</v>
      </c>
      <c r="CG101">
        <v>-47.000000000000007</v>
      </c>
      <c r="CH101">
        <v>0.55555555555555713</v>
      </c>
      <c r="CI101">
        <v>0.44444444444444436</v>
      </c>
      <c r="CJ101">
        <v>19.999999999999996</v>
      </c>
      <c r="CK101">
        <v>18</v>
      </c>
      <c r="CL101">
        <v>-0.20222222222222519</v>
      </c>
      <c r="CM101">
        <v>-0.70822222222222297</v>
      </c>
      <c r="CN101">
        <v>-47.555555555555564</v>
      </c>
      <c r="CO101">
        <v>0.20222222222222497</v>
      </c>
      <c r="CP101">
        <v>-1.8155555555555551</v>
      </c>
      <c r="CQ101">
        <v>-7.3888888888888893</v>
      </c>
      <c r="CR101">
        <v>-33.111111111111107</v>
      </c>
      <c r="CS101">
        <v>-2.5666666666666647</v>
      </c>
      <c r="CT101">
        <v>4.5555555555555571</v>
      </c>
      <c r="CU101">
        <v>1</v>
      </c>
      <c r="CV101">
        <v>-0.77777777777777768</v>
      </c>
      <c r="CW101">
        <v>-1.9338194444444445</v>
      </c>
      <c r="CX101">
        <v>-1.7031944444444447</v>
      </c>
      <c r="CY101" t="s">
        <v>302</v>
      </c>
      <c r="CZ101">
        <v>28</v>
      </c>
      <c r="DA101">
        <v>-4.2155555555555564</v>
      </c>
      <c r="DB101">
        <v>20</v>
      </c>
      <c r="DC101">
        <v>21</v>
      </c>
      <c r="DD101">
        <v>26</v>
      </c>
      <c r="DE101">
        <v>-2.2222222222222223</v>
      </c>
      <c r="DF101">
        <v>16</v>
      </c>
      <c r="DG101">
        <v>-11.555555555555557</v>
      </c>
      <c r="DH101">
        <v>-1</v>
      </c>
      <c r="DI101">
        <v>19</v>
      </c>
      <c r="DJ101">
        <v>17</v>
      </c>
      <c r="DK101">
        <v>15</v>
      </c>
      <c r="DL101">
        <v>-1.6111111111111107</v>
      </c>
      <c r="DM101">
        <v>19</v>
      </c>
      <c r="DN101">
        <v>-4.8888888888888884</v>
      </c>
      <c r="DO101">
        <v>0.88888888888888895</v>
      </c>
      <c r="DP101">
        <v>31</v>
      </c>
      <c r="DQ101">
        <v>29</v>
      </c>
      <c r="DR101">
        <v>30</v>
      </c>
      <c r="DS101">
        <v>-3.0888888888888881</v>
      </c>
      <c r="DT101">
        <v>28</v>
      </c>
      <c r="DU101">
        <v>-7.1111111111111098</v>
      </c>
      <c r="DV101">
        <v>-1.8888888888888893</v>
      </c>
      <c r="DW101">
        <v>24</v>
      </c>
      <c r="DX101">
        <v>25</v>
      </c>
      <c r="DY101">
        <v>26</v>
      </c>
      <c r="DZ101">
        <v>-4.4444444444444446</v>
      </c>
      <c r="EA101">
        <v>24</v>
      </c>
      <c r="EB101">
        <v>-30.444444444444443</v>
      </c>
      <c r="EC101">
        <v>1</v>
      </c>
      <c r="ED101">
        <v>23</v>
      </c>
      <c r="EE101">
        <v>21</v>
      </c>
      <c r="EF101">
        <v>25</v>
      </c>
      <c r="EG101">
        <v>2.3555555555555556</v>
      </c>
      <c r="EH101">
        <v>17</v>
      </c>
      <c r="EI101">
        <v>11.222222222222221</v>
      </c>
      <c r="EJ101">
        <v>1.5555555555555554</v>
      </c>
      <c r="EK101">
        <v>22</v>
      </c>
      <c r="EL101">
        <v>23</v>
      </c>
      <c r="EM101">
        <v>24</v>
      </c>
      <c r="EN101">
        <v>1.1888888888888889</v>
      </c>
      <c r="EO101">
        <v>22</v>
      </c>
      <c r="EP101">
        <v>11.888888888888891</v>
      </c>
      <c r="EQ101">
        <v>1.7777777777777779</v>
      </c>
      <c r="ER101">
        <v>20</v>
      </c>
      <c r="ES101">
        <v>20</v>
      </c>
      <c r="ET101">
        <v>18</v>
      </c>
      <c r="EU101">
        <v>-1.4222222222222225</v>
      </c>
      <c r="EV101">
        <v>22</v>
      </c>
      <c r="EW101">
        <v>5.7777777777777777</v>
      </c>
      <c r="EX101">
        <v>-1.1111111111111109</v>
      </c>
      <c r="EY101">
        <v>24</v>
      </c>
      <c r="EZ101">
        <v>23</v>
      </c>
      <c r="FA101">
        <v>24</v>
      </c>
      <c r="FB101">
        <v>-2.6666666666666665</v>
      </c>
      <c r="FC101">
        <v>22</v>
      </c>
      <c r="FD101">
        <v>-0.88888888888888895</v>
      </c>
      <c r="FE101">
        <v>-0.22222222222222202</v>
      </c>
      <c r="FF101">
        <v>5</v>
      </c>
      <c r="FG101">
        <v>9.75</v>
      </c>
      <c r="FH101">
        <v>1</v>
      </c>
      <c r="FI101">
        <v>-1.829281353090877E-2</v>
      </c>
      <c r="FJ101">
        <v>12</v>
      </c>
      <c r="FK101">
        <v>2.9238302237289068E-2</v>
      </c>
      <c r="FL101">
        <v>23</v>
      </c>
      <c r="FM101">
        <v>-4.4111111111111088</v>
      </c>
      <c r="FN101">
        <v>3</v>
      </c>
      <c r="FO101">
        <v>6.4444444444444438</v>
      </c>
      <c r="FP101">
        <v>1.1111111111111107</v>
      </c>
      <c r="FQ101">
        <v>-1.555555555555556</v>
      </c>
      <c r="FR101">
        <v>-0.66666666666666663</v>
      </c>
      <c r="FS101">
        <v>-0.44444444444444525</v>
      </c>
      <c r="FT101">
        <v>-7.333333333333333</v>
      </c>
      <c r="FU101">
        <v>2.1111111111111112</v>
      </c>
      <c r="FV101">
        <v>-25.555555555555543</v>
      </c>
      <c r="FW101">
        <v>-4</v>
      </c>
      <c r="FX101">
        <v>-16.111111111111111</v>
      </c>
      <c r="FY101">
        <v>-3.5555555555555554</v>
      </c>
      <c r="FZ101">
        <v>-1.8888888888888886</v>
      </c>
      <c r="GA101">
        <v>15</v>
      </c>
      <c r="GB101">
        <v>-0.38222222222222335</v>
      </c>
      <c r="GC101">
        <v>-0.24644444444444469</v>
      </c>
      <c r="GD101">
        <v>12.111111111111111</v>
      </c>
      <c r="GE101">
        <v>0.38222222222222335</v>
      </c>
      <c r="GF101">
        <v>-2.1644444444444444</v>
      </c>
      <c r="GG101">
        <v>-5.1777777777777771</v>
      </c>
      <c r="GH101">
        <v>-26.333333333333329</v>
      </c>
      <c r="GI101">
        <v>-3.833333333333333</v>
      </c>
      <c r="GJ101">
        <v>-16.444444444444446</v>
      </c>
      <c r="GK101">
        <v>-0.44444444444444486</v>
      </c>
      <c r="GL101">
        <v>-0.11111111111111105</v>
      </c>
    </row>
    <row r="102" spans="1:194" x14ac:dyDescent="0.2">
      <c r="A102" s="39">
        <v>43737</v>
      </c>
      <c r="B102" s="26" t="s">
        <v>417</v>
      </c>
      <c r="C102" s="41" t="s">
        <v>301</v>
      </c>
      <c r="D102" s="27" t="s">
        <v>311</v>
      </c>
      <c r="E102">
        <v>7.4</v>
      </c>
      <c r="F102">
        <v>6.3</v>
      </c>
      <c r="G102">
        <v>10.9</v>
      </c>
      <c r="H102" s="14">
        <v>2.5</v>
      </c>
      <c r="I102">
        <v>5.5</v>
      </c>
      <c r="J102">
        <v>47.5</v>
      </c>
      <c r="K102" t="s">
        <v>109</v>
      </c>
      <c r="L102" s="1" t="s">
        <v>301</v>
      </c>
      <c r="M102">
        <v>13</v>
      </c>
      <c r="N102">
        <v>-4.6666666666666652</v>
      </c>
      <c r="O102">
        <v>2</v>
      </c>
      <c r="P102">
        <v>3</v>
      </c>
      <c r="Q102">
        <v>1</v>
      </c>
      <c r="R102">
        <v>12.744444444444445</v>
      </c>
      <c r="S102">
        <v>5</v>
      </c>
      <c r="T102">
        <v>37.666666666666664</v>
      </c>
      <c r="U102">
        <v>2.7777777777777781</v>
      </c>
      <c r="V102">
        <v>32</v>
      </c>
      <c r="W102">
        <v>31.5</v>
      </c>
      <c r="X102">
        <v>31</v>
      </c>
      <c r="Y102">
        <v>0.23333333333333295</v>
      </c>
      <c r="Z102">
        <v>32</v>
      </c>
      <c r="AA102">
        <v>-9.2222222222222232</v>
      </c>
      <c r="AB102">
        <v>3.7007434154171883E-17</v>
      </c>
      <c r="AC102">
        <v>7</v>
      </c>
      <c r="AD102">
        <v>6.5</v>
      </c>
      <c r="AE102">
        <v>7</v>
      </c>
      <c r="AF102">
        <v>-0.81111111111111178</v>
      </c>
      <c r="AG102">
        <v>6</v>
      </c>
      <c r="AH102">
        <v>4.5555555555555527</v>
      </c>
      <c r="AI102">
        <v>-0.44444444444444403</v>
      </c>
      <c r="AJ102">
        <v>21</v>
      </c>
      <c r="AK102">
        <v>20.5</v>
      </c>
      <c r="AL102">
        <v>20</v>
      </c>
      <c r="AM102">
        <v>3.5666666666666669</v>
      </c>
      <c r="AN102">
        <v>21</v>
      </c>
      <c r="AO102">
        <v>10.111111111111112</v>
      </c>
      <c r="AP102">
        <v>2.5555555555555558</v>
      </c>
      <c r="AQ102">
        <v>23</v>
      </c>
      <c r="AR102">
        <v>23.5</v>
      </c>
      <c r="AS102">
        <v>23</v>
      </c>
      <c r="AT102">
        <v>-2.3444444444444441</v>
      </c>
      <c r="AU102">
        <v>24</v>
      </c>
      <c r="AV102">
        <v>-4.5555555555555562</v>
      </c>
      <c r="AW102">
        <v>-0.77777777777777768</v>
      </c>
      <c r="AX102">
        <v>24</v>
      </c>
      <c r="AY102">
        <v>25</v>
      </c>
      <c r="AZ102">
        <v>23</v>
      </c>
      <c r="BA102">
        <v>-7.6999999999999984</v>
      </c>
      <c r="BB102">
        <v>27</v>
      </c>
      <c r="BC102">
        <v>-35.888888888888886</v>
      </c>
      <c r="BD102">
        <v>-4.1111111111111116</v>
      </c>
      <c r="BE102">
        <v>20</v>
      </c>
      <c r="BF102">
        <v>22</v>
      </c>
      <c r="BG102">
        <v>20</v>
      </c>
      <c r="BH102">
        <v>-1.9111111111111105</v>
      </c>
      <c r="BI102">
        <v>24</v>
      </c>
      <c r="BJ102">
        <v>-4.6666666666666652</v>
      </c>
      <c r="BK102">
        <v>-0.33333333333333365</v>
      </c>
      <c r="BL102">
        <v>32</v>
      </c>
      <c r="BM102">
        <v>31.5</v>
      </c>
      <c r="BN102">
        <v>32</v>
      </c>
      <c r="BO102">
        <v>1.2222222222222221</v>
      </c>
      <c r="BP102">
        <v>31</v>
      </c>
      <c r="BQ102">
        <v>0</v>
      </c>
      <c r="BR102">
        <v>-1.4444444444444446</v>
      </c>
      <c r="BS102">
        <v>4</v>
      </c>
      <c r="BT102">
        <v>8.5</v>
      </c>
      <c r="BU102">
        <v>4</v>
      </c>
      <c r="BV102">
        <v>-3.4218211211845373E-2</v>
      </c>
      <c r="BW102">
        <v>6</v>
      </c>
      <c r="BX102">
        <v>-3.6591025562411083E-3</v>
      </c>
      <c r="BY102">
        <v>17</v>
      </c>
      <c r="BZ102">
        <v>-5.6888888888888927</v>
      </c>
      <c r="CA102">
        <v>7</v>
      </c>
      <c r="CB102">
        <v>-1.1111111111111107</v>
      </c>
      <c r="CC102">
        <v>2.3684757858670005E-15</v>
      </c>
      <c r="CD102">
        <v>3.6666666666666679</v>
      </c>
      <c r="CE102">
        <v>-1.1111111111111109</v>
      </c>
      <c r="CF102">
        <v>19</v>
      </c>
      <c r="CG102">
        <v>12.111111111111114</v>
      </c>
      <c r="CH102">
        <v>26.333333333333332</v>
      </c>
      <c r="CI102">
        <v>0.33333333333333331</v>
      </c>
      <c r="CJ102">
        <v>-19.777777777777775</v>
      </c>
      <c r="CK102">
        <v>32</v>
      </c>
      <c r="CL102">
        <v>-17.644444444444446</v>
      </c>
      <c r="CM102">
        <v>-7.7222222222222214</v>
      </c>
      <c r="CN102">
        <v>-14.222222222222218</v>
      </c>
      <c r="CO102">
        <v>17.644444444444442</v>
      </c>
      <c r="CP102">
        <v>1.0041666666666667</v>
      </c>
      <c r="CQ102">
        <v>0.41111111111111098</v>
      </c>
      <c r="CR102">
        <v>10.111111111111107</v>
      </c>
      <c r="CS102">
        <v>12.977777777777778</v>
      </c>
      <c r="CT102">
        <v>28.444444444444443</v>
      </c>
      <c r="CU102">
        <v>1.0000000000000002</v>
      </c>
      <c r="CV102">
        <v>2.7777777777777781</v>
      </c>
      <c r="CW102">
        <v>7.4861111111111489E-2</v>
      </c>
      <c r="CX102">
        <v>-1.0888888888888884</v>
      </c>
      <c r="CY102" t="s">
        <v>311</v>
      </c>
      <c r="CZ102">
        <v>6</v>
      </c>
      <c r="DA102">
        <v>2.2866666666666675</v>
      </c>
      <c r="DB102">
        <v>27</v>
      </c>
      <c r="DC102">
        <v>24</v>
      </c>
      <c r="DD102">
        <v>18</v>
      </c>
      <c r="DE102">
        <v>-3.5555555555555558</v>
      </c>
      <c r="DF102">
        <v>30</v>
      </c>
      <c r="DG102">
        <v>-1.1111111111111096</v>
      </c>
      <c r="DH102">
        <v>0.22222222222222202</v>
      </c>
      <c r="DI102">
        <v>1</v>
      </c>
      <c r="DJ102">
        <v>1</v>
      </c>
      <c r="DK102">
        <v>1</v>
      </c>
      <c r="DL102">
        <v>2.2555555555555551</v>
      </c>
      <c r="DM102">
        <v>1</v>
      </c>
      <c r="DN102">
        <v>0.66666666666666663</v>
      </c>
      <c r="DO102">
        <v>0.88888888888888895</v>
      </c>
      <c r="DP102">
        <v>15</v>
      </c>
      <c r="DQ102">
        <v>11.5</v>
      </c>
      <c r="DR102">
        <v>11</v>
      </c>
      <c r="DS102">
        <v>4.4222222222222234</v>
      </c>
      <c r="DT102">
        <v>12</v>
      </c>
      <c r="DU102">
        <v>19.444444444444446</v>
      </c>
      <c r="DV102">
        <v>1.1111111111111109</v>
      </c>
      <c r="DW102">
        <v>23</v>
      </c>
      <c r="DX102">
        <v>23</v>
      </c>
      <c r="DY102">
        <v>25</v>
      </c>
      <c r="DZ102">
        <v>2.1555555555555554</v>
      </c>
      <c r="EA102">
        <v>21</v>
      </c>
      <c r="EB102">
        <v>0.44444444444444525</v>
      </c>
      <c r="EC102">
        <v>2.3333333333333335</v>
      </c>
      <c r="ED102">
        <v>10</v>
      </c>
      <c r="EE102">
        <v>8.5</v>
      </c>
      <c r="EF102">
        <v>8</v>
      </c>
      <c r="EG102">
        <v>1.3</v>
      </c>
      <c r="EH102">
        <v>9</v>
      </c>
      <c r="EI102">
        <v>8.5555555555555554</v>
      </c>
      <c r="EJ102">
        <v>0.55555555555555569</v>
      </c>
      <c r="EK102">
        <v>15</v>
      </c>
      <c r="EL102">
        <v>15.5</v>
      </c>
      <c r="EM102">
        <v>18</v>
      </c>
      <c r="EN102">
        <v>2.2111111111111099</v>
      </c>
      <c r="EO102">
        <v>13</v>
      </c>
      <c r="EP102">
        <v>9.8888888888888875</v>
      </c>
      <c r="EQ102">
        <v>-0.44444444444444403</v>
      </c>
      <c r="ER102">
        <v>14</v>
      </c>
      <c r="ES102">
        <v>14</v>
      </c>
      <c r="ET102">
        <v>14</v>
      </c>
      <c r="EU102">
        <v>-0.95555555555555605</v>
      </c>
      <c r="EV102">
        <v>14</v>
      </c>
      <c r="EW102">
        <v>-0.44444444444444525</v>
      </c>
      <c r="EX102">
        <v>-0.55555555555555547</v>
      </c>
      <c r="EY102">
        <v>22</v>
      </c>
      <c r="EZ102">
        <v>21.5</v>
      </c>
      <c r="FA102">
        <v>19</v>
      </c>
      <c r="FB102">
        <v>1.9999999999999998</v>
      </c>
      <c r="FC102">
        <v>24</v>
      </c>
      <c r="FD102">
        <v>0.55555555555555547</v>
      </c>
      <c r="FE102">
        <v>-0.22222222222222202</v>
      </c>
      <c r="FF102">
        <v>27</v>
      </c>
      <c r="FG102">
        <v>22.75</v>
      </c>
      <c r="FH102">
        <v>31</v>
      </c>
      <c r="FI102">
        <v>2.4838427582504263E-2</v>
      </c>
      <c r="FJ102">
        <v>30</v>
      </c>
      <c r="FK102">
        <v>2.3582286807539501E-2</v>
      </c>
      <c r="FL102">
        <v>2</v>
      </c>
      <c r="FM102">
        <v>-11.211111111111114</v>
      </c>
      <c r="FN102">
        <v>28</v>
      </c>
      <c r="FO102">
        <v>0.88888888888888895</v>
      </c>
      <c r="FP102">
        <v>5.4444444444444455</v>
      </c>
      <c r="FQ102">
        <v>-1.5555555555555554</v>
      </c>
      <c r="FR102">
        <v>0.77777777777777779</v>
      </c>
      <c r="FS102">
        <v>6.2222222222222214</v>
      </c>
      <c r="FT102">
        <v>1.1111111111111118</v>
      </c>
      <c r="FU102">
        <v>-1.5555555555555556</v>
      </c>
      <c r="FV102">
        <v>35.222222222222229</v>
      </c>
      <c r="FW102">
        <v>26.888888888888886</v>
      </c>
      <c r="FX102">
        <v>-0.7777777777777809</v>
      </c>
      <c r="FY102">
        <v>0</v>
      </c>
      <c r="FZ102">
        <v>9.1111111111111107</v>
      </c>
      <c r="GA102">
        <v>10</v>
      </c>
      <c r="GB102">
        <v>3.5866666666666682</v>
      </c>
      <c r="GC102">
        <v>2.4917777777777785</v>
      </c>
      <c r="GD102">
        <v>27.666666666666668</v>
      </c>
      <c r="GE102">
        <v>-3.5866666666666682</v>
      </c>
      <c r="GF102">
        <v>1.2386111111111113</v>
      </c>
      <c r="GG102">
        <v>7.8777777777777791</v>
      </c>
      <c r="GH102">
        <v>28.44444444444445</v>
      </c>
      <c r="GI102">
        <v>-1.3000000000000007</v>
      </c>
      <c r="GJ102">
        <v>-0.44444444444444298</v>
      </c>
      <c r="GK102">
        <v>3.4444444444444446</v>
      </c>
      <c r="GL102">
        <v>1.1111111111111109</v>
      </c>
    </row>
    <row r="103" spans="1:194" x14ac:dyDescent="0.2">
      <c r="A103" s="39">
        <v>43737</v>
      </c>
      <c r="B103" s="26" t="s">
        <v>417</v>
      </c>
      <c r="C103" s="41" t="s">
        <v>265</v>
      </c>
      <c r="D103" s="27" t="s">
        <v>312</v>
      </c>
      <c r="E103">
        <v>14.7</v>
      </c>
      <c r="F103">
        <v>9.6</v>
      </c>
      <c r="G103">
        <v>3.1</v>
      </c>
      <c r="H103" s="14">
        <f>3.6+3.3+1.7</f>
        <v>8.6</v>
      </c>
      <c r="I103">
        <v>1</v>
      </c>
      <c r="J103">
        <v>38</v>
      </c>
      <c r="K103" t="s">
        <v>110</v>
      </c>
      <c r="L103" s="1" t="s">
        <v>265</v>
      </c>
      <c r="M103">
        <v>26</v>
      </c>
      <c r="N103">
        <v>-3.66</v>
      </c>
      <c r="O103">
        <v>20</v>
      </c>
      <c r="P103">
        <v>21</v>
      </c>
      <c r="Q103">
        <v>23</v>
      </c>
      <c r="R103">
        <v>-7.2888888888888888</v>
      </c>
      <c r="S103">
        <v>19</v>
      </c>
      <c r="T103">
        <v>-20.111111111111111</v>
      </c>
      <c r="U103">
        <v>-7.4014868308343765E-17</v>
      </c>
      <c r="V103">
        <v>13</v>
      </c>
      <c r="W103">
        <v>13.5</v>
      </c>
      <c r="X103">
        <v>7</v>
      </c>
      <c r="Y103">
        <v>0.4555555555555551</v>
      </c>
      <c r="Z103">
        <v>20</v>
      </c>
      <c r="AA103">
        <v>-20.777777777777775</v>
      </c>
      <c r="AB103">
        <v>3</v>
      </c>
      <c r="AC103">
        <v>16</v>
      </c>
      <c r="AD103">
        <v>17</v>
      </c>
      <c r="AE103">
        <v>16</v>
      </c>
      <c r="AF103">
        <v>-0.38888888888888989</v>
      </c>
      <c r="AG103">
        <v>18</v>
      </c>
      <c r="AH103">
        <v>8.5555555555555571</v>
      </c>
      <c r="AI103">
        <v>2.6666666666666665</v>
      </c>
      <c r="AJ103">
        <v>11</v>
      </c>
      <c r="AK103">
        <v>11</v>
      </c>
      <c r="AL103">
        <v>13</v>
      </c>
      <c r="AM103">
        <v>-3.0888888888888899</v>
      </c>
      <c r="AN103">
        <v>9</v>
      </c>
      <c r="AO103">
        <v>-27.777777777777782</v>
      </c>
      <c r="AP103">
        <v>-2</v>
      </c>
      <c r="AQ103">
        <v>26</v>
      </c>
      <c r="AR103">
        <v>26</v>
      </c>
      <c r="AS103">
        <v>26</v>
      </c>
      <c r="AT103">
        <v>-1.6777777777777778</v>
      </c>
      <c r="AU103">
        <v>26</v>
      </c>
      <c r="AV103">
        <v>-8.2222222222222232</v>
      </c>
      <c r="AW103">
        <v>-1.0000000000000002</v>
      </c>
      <c r="AX103">
        <v>8</v>
      </c>
      <c r="AY103">
        <v>9</v>
      </c>
      <c r="AZ103">
        <v>9</v>
      </c>
      <c r="BA103">
        <v>-4.4777777777777787</v>
      </c>
      <c r="BB103">
        <v>9</v>
      </c>
      <c r="BC103">
        <v>-14.77777777777778</v>
      </c>
      <c r="BD103">
        <v>2.333333333333333</v>
      </c>
      <c r="BE103">
        <v>29</v>
      </c>
      <c r="BF103">
        <v>28.5</v>
      </c>
      <c r="BG103">
        <v>25</v>
      </c>
      <c r="BH103">
        <v>-2.5888888888888886</v>
      </c>
      <c r="BI103">
        <v>32</v>
      </c>
      <c r="BJ103">
        <v>-13.666666666666666</v>
      </c>
      <c r="BK103">
        <v>-1.1111111111111114</v>
      </c>
      <c r="BL103">
        <v>30</v>
      </c>
      <c r="BM103">
        <v>29.5</v>
      </c>
      <c r="BN103">
        <v>31</v>
      </c>
      <c r="BO103">
        <v>1.3333333333333333</v>
      </c>
      <c r="BP103">
        <v>28</v>
      </c>
      <c r="BQ103">
        <v>0.33333333333333331</v>
      </c>
      <c r="BR103">
        <v>5</v>
      </c>
      <c r="BS103">
        <v>18</v>
      </c>
      <c r="BT103">
        <v>15.5</v>
      </c>
      <c r="BU103">
        <v>20</v>
      </c>
      <c r="BV103">
        <v>-3.5161517787359708E-2</v>
      </c>
      <c r="BW103">
        <v>11</v>
      </c>
      <c r="BX103">
        <v>1.2802051563860939E-2</v>
      </c>
      <c r="BY103">
        <v>20</v>
      </c>
      <c r="BZ103">
        <v>-19.499999999999996</v>
      </c>
      <c r="CA103">
        <v>11</v>
      </c>
      <c r="CB103">
        <v>1.4444444444444444</v>
      </c>
      <c r="CC103">
        <v>-1.8888888888888904</v>
      </c>
      <c r="CD103">
        <v>-6.666666666666667</v>
      </c>
      <c r="CE103">
        <v>1.5555555555555554</v>
      </c>
      <c r="CF103">
        <v>-71.222222222222229</v>
      </c>
      <c r="CG103">
        <v>-40.111111111111107</v>
      </c>
      <c r="CH103">
        <v>-42</v>
      </c>
      <c r="CI103">
        <v>17</v>
      </c>
      <c r="CJ103">
        <v>-6.1111111111111107</v>
      </c>
      <c r="CK103">
        <v>12</v>
      </c>
      <c r="CL103">
        <v>3.1733333333333333</v>
      </c>
      <c r="CM103">
        <v>1.1357777777777778</v>
      </c>
      <c r="CN103">
        <v>1.8888888888888928</v>
      </c>
      <c r="CO103">
        <v>-3.1733333333333338</v>
      </c>
      <c r="CP103">
        <v>-2.1130555555555559</v>
      </c>
      <c r="CQ103">
        <v>-5.1555555555555577</v>
      </c>
      <c r="CR103">
        <v>-27.44444444444445</v>
      </c>
      <c r="CS103">
        <v>-6.8333333333333339</v>
      </c>
      <c r="CT103">
        <v>-40.888888888888886</v>
      </c>
      <c r="CU103">
        <v>-1.4444444444444451</v>
      </c>
      <c r="CV103">
        <v>3</v>
      </c>
      <c r="CW103">
        <v>-0.35375000000000001</v>
      </c>
      <c r="CX103">
        <v>-0.77333333333333287</v>
      </c>
      <c r="CY103" t="s">
        <v>312</v>
      </c>
      <c r="CZ103">
        <v>7</v>
      </c>
      <c r="DA103">
        <v>0.79333333333333178</v>
      </c>
      <c r="DB103">
        <v>22</v>
      </c>
      <c r="DC103">
        <v>21.5</v>
      </c>
      <c r="DD103">
        <v>22</v>
      </c>
      <c r="DE103">
        <v>-0.14444444444444451</v>
      </c>
      <c r="DF103">
        <v>21</v>
      </c>
      <c r="DG103">
        <v>0.66666666666666663</v>
      </c>
      <c r="DH103">
        <v>1.4444444444444446</v>
      </c>
      <c r="DI103">
        <v>8</v>
      </c>
      <c r="DJ103">
        <v>11</v>
      </c>
      <c r="DK103">
        <v>9</v>
      </c>
      <c r="DL103">
        <v>2.5777777777777779</v>
      </c>
      <c r="DM103">
        <v>13</v>
      </c>
      <c r="DN103">
        <v>5.666666666666667</v>
      </c>
      <c r="DO103">
        <v>0.55555555555555558</v>
      </c>
      <c r="DP103">
        <v>6</v>
      </c>
      <c r="DQ103">
        <v>14.5</v>
      </c>
      <c r="DR103">
        <v>15</v>
      </c>
      <c r="DS103">
        <v>-2.611111111111112</v>
      </c>
      <c r="DT103">
        <v>14</v>
      </c>
      <c r="DU103">
        <v>-16.111111111111111</v>
      </c>
      <c r="DV103">
        <v>0.11111111111111101</v>
      </c>
      <c r="DW103">
        <v>4</v>
      </c>
      <c r="DX103">
        <v>5</v>
      </c>
      <c r="DY103">
        <v>3</v>
      </c>
      <c r="DZ103">
        <v>-1.9555555555555557</v>
      </c>
      <c r="EA103">
        <v>7</v>
      </c>
      <c r="EB103">
        <v>-9.5555555555555554</v>
      </c>
      <c r="EC103">
        <v>-0.77777777777777768</v>
      </c>
      <c r="ED103">
        <v>3</v>
      </c>
      <c r="EE103">
        <v>1</v>
      </c>
      <c r="EF103">
        <v>1</v>
      </c>
      <c r="EG103">
        <v>5.3</v>
      </c>
      <c r="EH103">
        <v>1</v>
      </c>
      <c r="EI103">
        <v>15</v>
      </c>
      <c r="EJ103">
        <v>0.88888888888888917</v>
      </c>
      <c r="EK103">
        <v>13</v>
      </c>
      <c r="EL103">
        <v>12.5</v>
      </c>
      <c r="EM103">
        <v>13</v>
      </c>
      <c r="EN103">
        <v>4.6777777777777771</v>
      </c>
      <c r="EO103">
        <v>12</v>
      </c>
      <c r="EP103">
        <v>27.888888888888889</v>
      </c>
      <c r="EQ103">
        <v>2.888888888888888</v>
      </c>
      <c r="ER103">
        <v>18</v>
      </c>
      <c r="ES103">
        <v>16</v>
      </c>
      <c r="ET103">
        <v>20</v>
      </c>
      <c r="EU103">
        <v>-0.21111111111111125</v>
      </c>
      <c r="EV103">
        <v>12</v>
      </c>
      <c r="EW103">
        <v>3.0000000000000013</v>
      </c>
      <c r="EX103">
        <v>0.44444444444444436</v>
      </c>
      <c r="EY103">
        <v>11</v>
      </c>
      <c r="EZ103">
        <v>12</v>
      </c>
      <c r="FA103">
        <v>11</v>
      </c>
      <c r="FB103">
        <v>-3.2222222222222228</v>
      </c>
      <c r="FC103">
        <v>13</v>
      </c>
      <c r="FD103">
        <v>-0.77777777777777768</v>
      </c>
      <c r="FE103">
        <v>-2.5555555555555554</v>
      </c>
      <c r="FF103">
        <v>7</v>
      </c>
      <c r="FG103">
        <v>12.25</v>
      </c>
      <c r="FH103">
        <v>19</v>
      </c>
      <c r="FI103">
        <v>6.3690128019434092E-2</v>
      </c>
      <c r="FJ103">
        <v>13</v>
      </c>
      <c r="FK103">
        <v>2.684466941912882E-2</v>
      </c>
      <c r="FL103">
        <v>1</v>
      </c>
      <c r="FM103">
        <v>-8.9222222222222189</v>
      </c>
      <c r="FN103">
        <v>16</v>
      </c>
      <c r="FO103">
        <v>3.2222222222222219</v>
      </c>
      <c r="FP103">
        <v>3.111111111111112</v>
      </c>
      <c r="FQ103">
        <v>1.3333333333333339</v>
      </c>
      <c r="FR103">
        <v>-0.44444444444444448</v>
      </c>
      <c r="FS103">
        <v>5.5555555555555545</v>
      </c>
      <c r="FT103">
        <v>-2.7777777777777772</v>
      </c>
      <c r="FU103">
        <v>0</v>
      </c>
      <c r="FV103">
        <v>11.111111111111105</v>
      </c>
      <c r="FW103">
        <v>-0.99999999999999056</v>
      </c>
      <c r="FX103">
        <v>9.3333333333333339</v>
      </c>
      <c r="FY103">
        <v>1.1111111111111109</v>
      </c>
      <c r="FZ103">
        <v>1.6666666666666667</v>
      </c>
      <c r="GA103">
        <v>19</v>
      </c>
      <c r="GB103">
        <v>-1.6400000000000017</v>
      </c>
      <c r="GC103">
        <v>-0.95355555555555627</v>
      </c>
      <c r="GD103">
        <v>-10.333333333333325</v>
      </c>
      <c r="GE103">
        <v>1.6400000000000019</v>
      </c>
      <c r="GF103">
        <v>6.5833333333332911E-2</v>
      </c>
      <c r="GG103">
        <v>0.73333333333333162</v>
      </c>
      <c r="GH103">
        <v>-10.666666666666664</v>
      </c>
      <c r="GI103">
        <v>2.4333333333333336</v>
      </c>
      <c r="GJ103">
        <v>6.3333333333333339</v>
      </c>
      <c r="GK103">
        <v>0.66666666666666696</v>
      </c>
      <c r="GL103">
        <v>2</v>
      </c>
    </row>
    <row r="104" spans="1:194" x14ac:dyDescent="0.2">
      <c r="A104" s="39">
        <v>43737</v>
      </c>
      <c r="B104" s="26" t="s">
        <v>417</v>
      </c>
      <c r="C104" s="17" t="s">
        <v>272</v>
      </c>
      <c r="D104" s="27" t="s">
        <v>309</v>
      </c>
      <c r="E104">
        <v>6.3</v>
      </c>
      <c r="F104">
        <v>6.6</v>
      </c>
      <c r="G104">
        <v>4</v>
      </c>
      <c r="H104" s="14">
        <v>4.7</v>
      </c>
      <c r="I104">
        <v>3.5</v>
      </c>
      <c r="J104">
        <v>45.5</v>
      </c>
      <c r="L104" s="1" t="s">
        <v>272</v>
      </c>
      <c r="M104">
        <v>24</v>
      </c>
      <c r="N104">
        <v>5.3466666666666667</v>
      </c>
      <c r="O104">
        <v>29</v>
      </c>
      <c r="P104">
        <v>28</v>
      </c>
      <c r="Q104">
        <v>26</v>
      </c>
      <c r="R104">
        <v>-7.166666666666667</v>
      </c>
      <c r="S104">
        <v>30</v>
      </c>
      <c r="T104">
        <v>-23.444444444444446</v>
      </c>
      <c r="U104">
        <v>-1.7777777777777779</v>
      </c>
      <c r="V104">
        <v>24</v>
      </c>
      <c r="W104">
        <v>24</v>
      </c>
      <c r="X104">
        <v>24</v>
      </c>
      <c r="Y104">
        <v>1.7555555555555558</v>
      </c>
      <c r="Z104">
        <v>24</v>
      </c>
      <c r="AA104">
        <v>0.44444444444444464</v>
      </c>
      <c r="AB104">
        <v>1.1111111111111109</v>
      </c>
      <c r="AC104">
        <v>22</v>
      </c>
      <c r="AD104">
        <v>20</v>
      </c>
      <c r="AE104">
        <v>17</v>
      </c>
      <c r="AF104">
        <v>1.8111111111111136</v>
      </c>
      <c r="AG104">
        <v>23</v>
      </c>
      <c r="AH104">
        <v>11.222222222222223</v>
      </c>
      <c r="AI104">
        <v>1.1111111111111116</v>
      </c>
      <c r="AJ104">
        <v>20</v>
      </c>
      <c r="AK104">
        <v>19</v>
      </c>
      <c r="AL104">
        <v>23</v>
      </c>
      <c r="AM104">
        <v>9.1333333333333346</v>
      </c>
      <c r="AN104">
        <v>15</v>
      </c>
      <c r="AO104">
        <v>43.111111111111114</v>
      </c>
      <c r="AP104">
        <v>2.2222222222222219</v>
      </c>
      <c r="AQ104">
        <v>2</v>
      </c>
      <c r="AR104">
        <v>2</v>
      </c>
      <c r="AS104">
        <v>2</v>
      </c>
      <c r="AT104">
        <v>2.1777777777777776</v>
      </c>
      <c r="AU104">
        <v>2</v>
      </c>
      <c r="AV104">
        <v>22.444444444444446</v>
      </c>
      <c r="AW104">
        <v>1.7777777777777777</v>
      </c>
      <c r="AX104">
        <v>14</v>
      </c>
      <c r="AY104">
        <v>14.5</v>
      </c>
      <c r="AZ104">
        <v>16</v>
      </c>
      <c r="BA104">
        <v>4.3777777777777791</v>
      </c>
      <c r="BB104">
        <v>13</v>
      </c>
      <c r="BC104">
        <v>21.555555555555554</v>
      </c>
      <c r="BD104">
        <v>1.4444444444444444</v>
      </c>
      <c r="BE104">
        <v>17</v>
      </c>
      <c r="BF104">
        <v>17.5</v>
      </c>
      <c r="BG104">
        <v>19</v>
      </c>
      <c r="BH104">
        <v>2.1111111111111112</v>
      </c>
      <c r="BI104">
        <v>16</v>
      </c>
      <c r="BJ104">
        <v>13.555555555555555</v>
      </c>
      <c r="BK104">
        <v>0.44444444444444436</v>
      </c>
      <c r="BL104">
        <v>12</v>
      </c>
      <c r="BM104">
        <v>11.5</v>
      </c>
      <c r="BN104">
        <v>12</v>
      </c>
      <c r="BO104">
        <v>1.1111111111111112</v>
      </c>
      <c r="BP104">
        <v>11</v>
      </c>
      <c r="BQ104">
        <v>0.55555555555555547</v>
      </c>
      <c r="BR104">
        <v>-5.1111111111111116</v>
      </c>
      <c r="BS104">
        <v>10</v>
      </c>
      <c r="BT104">
        <v>12.75</v>
      </c>
      <c r="BU104">
        <v>13</v>
      </c>
      <c r="BV104">
        <v>-3.4031099041706794E-3</v>
      </c>
      <c r="BW104">
        <v>15</v>
      </c>
      <c r="BX104">
        <v>1.6852793720378963E-2</v>
      </c>
      <c r="BY104">
        <v>11</v>
      </c>
      <c r="BZ104">
        <v>18.400000000000002</v>
      </c>
      <c r="CA104">
        <v>12</v>
      </c>
      <c r="CB104">
        <v>0.55555555555555569</v>
      </c>
      <c r="CC104">
        <v>4.1111111111111116</v>
      </c>
      <c r="CD104">
        <v>1.3333333333333333</v>
      </c>
      <c r="CE104">
        <v>-3.3333333333333335</v>
      </c>
      <c r="CF104">
        <v>53.888888888888893</v>
      </c>
      <c r="CG104">
        <v>88.777777777777771</v>
      </c>
      <c r="CH104">
        <v>-25.888888888888886</v>
      </c>
      <c r="CI104">
        <v>-3.6666666666666665</v>
      </c>
      <c r="CJ104">
        <v>-5.333333333333333</v>
      </c>
      <c r="CK104">
        <v>2</v>
      </c>
      <c r="CL104">
        <v>10.757777777777777</v>
      </c>
      <c r="CM104">
        <v>6.8215555555555563</v>
      </c>
      <c r="CN104">
        <v>114.66666666666666</v>
      </c>
      <c r="CO104">
        <v>-10.757777777777779</v>
      </c>
      <c r="CP104">
        <v>2.0350000000000006</v>
      </c>
      <c r="CQ104">
        <v>13.122222222222225</v>
      </c>
      <c r="CR104">
        <v>76.777777777777786</v>
      </c>
      <c r="CS104">
        <v>-5.4111111111111114</v>
      </c>
      <c r="CT104">
        <v>-23</v>
      </c>
      <c r="CU104">
        <v>5.5555555555555554</v>
      </c>
      <c r="CV104">
        <v>-0.66666666666666696</v>
      </c>
      <c r="CW104">
        <v>0.19138888888888889</v>
      </c>
      <c r="CX104">
        <v>0.13861111111111113</v>
      </c>
      <c r="CY104" t="s">
        <v>309</v>
      </c>
      <c r="CZ104">
        <v>31</v>
      </c>
      <c r="DA104">
        <v>-0.55333333333333401</v>
      </c>
      <c r="DB104">
        <v>22</v>
      </c>
      <c r="DC104">
        <v>21.5</v>
      </c>
      <c r="DD104">
        <v>32</v>
      </c>
      <c r="DE104">
        <v>-3.7222222222222219</v>
      </c>
      <c r="DF104">
        <v>11</v>
      </c>
      <c r="DG104">
        <v>-10.222222222222221</v>
      </c>
      <c r="DH104">
        <v>-0.1111111111111111</v>
      </c>
      <c r="DI104">
        <v>16</v>
      </c>
      <c r="DJ104">
        <v>16.5</v>
      </c>
      <c r="DK104">
        <v>12</v>
      </c>
      <c r="DL104">
        <v>-0.4222222222222225</v>
      </c>
      <c r="DM104">
        <v>21</v>
      </c>
      <c r="DN104">
        <v>14.555555555555557</v>
      </c>
      <c r="DO104">
        <v>-0.33333333333333331</v>
      </c>
      <c r="DP104">
        <v>26</v>
      </c>
      <c r="DQ104">
        <v>29.5</v>
      </c>
      <c r="DR104">
        <v>28</v>
      </c>
      <c r="DS104">
        <v>-2.7599999999999993</v>
      </c>
      <c r="DT104">
        <v>31</v>
      </c>
      <c r="DU104">
        <v>-0.88888888888888806</v>
      </c>
      <c r="DV104">
        <v>1.1111111111111109</v>
      </c>
      <c r="DW104">
        <v>29</v>
      </c>
      <c r="DX104">
        <v>29.5</v>
      </c>
      <c r="DY104">
        <v>31</v>
      </c>
      <c r="DZ104">
        <v>2.5777777777777775</v>
      </c>
      <c r="EA104">
        <v>28</v>
      </c>
      <c r="EB104">
        <v>-7.3333333333333313</v>
      </c>
      <c r="EC104">
        <v>-0.11111111111111087</v>
      </c>
      <c r="ED104">
        <v>5</v>
      </c>
      <c r="EE104">
        <v>25</v>
      </c>
      <c r="EF104">
        <v>27</v>
      </c>
      <c r="EG104">
        <v>4.333333333333333</v>
      </c>
      <c r="EH104">
        <v>23</v>
      </c>
      <c r="EI104">
        <v>26</v>
      </c>
      <c r="EJ104">
        <v>-0.66666666666666652</v>
      </c>
      <c r="EK104">
        <v>27</v>
      </c>
      <c r="EL104">
        <v>27</v>
      </c>
      <c r="EM104">
        <v>30</v>
      </c>
      <c r="EN104">
        <v>6.0444444444444452</v>
      </c>
      <c r="EO104">
        <v>24</v>
      </c>
      <c r="EP104">
        <v>34.888888888888886</v>
      </c>
      <c r="EQ104">
        <v>2</v>
      </c>
      <c r="ER104">
        <v>24</v>
      </c>
      <c r="ES104">
        <v>24</v>
      </c>
      <c r="ET104">
        <v>24</v>
      </c>
      <c r="EU104">
        <v>1.3888888888888893</v>
      </c>
      <c r="EV104">
        <v>24</v>
      </c>
      <c r="EW104">
        <v>-3.8888888888888893</v>
      </c>
      <c r="EX104">
        <v>0.33333333333333343</v>
      </c>
      <c r="EY104">
        <v>30</v>
      </c>
      <c r="EZ104">
        <v>27.5</v>
      </c>
      <c r="FA104">
        <v>31</v>
      </c>
      <c r="FB104">
        <v>1.1111111111111114</v>
      </c>
      <c r="FC104">
        <v>24</v>
      </c>
      <c r="FD104">
        <v>-0.11111111111111109</v>
      </c>
      <c r="FE104">
        <v>-6.2222222222222214</v>
      </c>
      <c r="FF104">
        <v>1</v>
      </c>
      <c r="FG104">
        <v>5.25</v>
      </c>
      <c r="FH104">
        <v>2</v>
      </c>
      <c r="FI104">
        <v>4.4741636543804586E-2</v>
      </c>
      <c r="FJ104">
        <v>1</v>
      </c>
      <c r="FK104">
        <v>4.5260496480008724E-3</v>
      </c>
      <c r="FL104">
        <v>16</v>
      </c>
      <c r="FM104">
        <v>3.2333333333333392</v>
      </c>
      <c r="FN104">
        <v>2</v>
      </c>
      <c r="FO104">
        <v>-1.4444444444444444</v>
      </c>
      <c r="FP104">
        <v>1.2222222222222214</v>
      </c>
      <c r="FQ104">
        <v>2.1111111111111107</v>
      </c>
      <c r="FR104">
        <v>0.33333333333333326</v>
      </c>
      <c r="FS104">
        <v>3.6666666666666665</v>
      </c>
      <c r="FT104">
        <v>0.55555555555555591</v>
      </c>
      <c r="FU104">
        <v>-3.1111111111111112</v>
      </c>
      <c r="FV104">
        <v>30.666666666666668</v>
      </c>
      <c r="FW104">
        <v>20.777777777777782</v>
      </c>
      <c r="FX104">
        <v>14.333333333333334</v>
      </c>
      <c r="FY104">
        <v>-2.7777777777777781</v>
      </c>
      <c r="FZ104">
        <v>-1.6666666666666667</v>
      </c>
      <c r="GA104">
        <v>9</v>
      </c>
      <c r="GB104">
        <v>3.5911111111111103</v>
      </c>
      <c r="GC104">
        <v>3.0695555555555551</v>
      </c>
      <c r="GD104">
        <v>6.4444444444444482</v>
      </c>
      <c r="GE104">
        <v>-3.5911111111111098</v>
      </c>
      <c r="GF104">
        <v>0.24416666666666662</v>
      </c>
      <c r="GG104">
        <v>4.1511111111111116</v>
      </c>
      <c r="GH104">
        <v>17.777777777777779</v>
      </c>
      <c r="GI104">
        <v>-4.1444444444444439</v>
      </c>
      <c r="GJ104">
        <v>4.3333333333333357</v>
      </c>
      <c r="GK104">
        <v>0.66666666666666696</v>
      </c>
      <c r="GL104">
        <v>-0.44444444444444442</v>
      </c>
    </row>
    <row r="105" spans="1:194" x14ac:dyDescent="0.2">
      <c r="A105" s="39">
        <v>43737</v>
      </c>
      <c r="B105" s="26" t="s">
        <v>417</v>
      </c>
      <c r="C105" s="41" t="s">
        <v>281</v>
      </c>
      <c r="D105" s="27" t="s">
        <v>305</v>
      </c>
      <c r="E105">
        <v>4</v>
      </c>
      <c r="F105">
        <v>27.7</v>
      </c>
      <c r="G105">
        <v>2</v>
      </c>
      <c r="H105" s="14">
        <v>20</v>
      </c>
      <c r="I105">
        <v>7.5</v>
      </c>
      <c r="J105">
        <v>47</v>
      </c>
      <c r="K105" t="s">
        <v>110</v>
      </c>
      <c r="L105" s="1" t="s">
        <v>281</v>
      </c>
      <c r="M105">
        <v>10</v>
      </c>
      <c r="N105">
        <v>-1.4822222222222219</v>
      </c>
      <c r="O105">
        <v>5</v>
      </c>
      <c r="P105">
        <v>7</v>
      </c>
      <c r="Q105">
        <v>8</v>
      </c>
      <c r="R105">
        <v>-0.16666666666666549</v>
      </c>
      <c r="S105">
        <v>6</v>
      </c>
      <c r="T105">
        <v>10.555555555555555</v>
      </c>
      <c r="U105">
        <v>-0.22222222222222218</v>
      </c>
      <c r="V105">
        <v>4</v>
      </c>
      <c r="W105">
        <v>6</v>
      </c>
      <c r="X105">
        <v>6</v>
      </c>
      <c r="Y105">
        <v>5.5555555555555358E-2</v>
      </c>
      <c r="Z105">
        <v>6</v>
      </c>
      <c r="AA105">
        <v>-6.666666666666667</v>
      </c>
      <c r="AB105">
        <v>0.22222222222222232</v>
      </c>
      <c r="AC105">
        <v>25</v>
      </c>
      <c r="AD105">
        <v>24.5</v>
      </c>
      <c r="AE105">
        <v>25</v>
      </c>
      <c r="AF105">
        <v>1.0333333333333339</v>
      </c>
      <c r="AG105">
        <v>24</v>
      </c>
      <c r="AH105">
        <v>14.888888888888888</v>
      </c>
      <c r="AI105">
        <v>0.22222222222222263</v>
      </c>
      <c r="AJ105">
        <v>1</v>
      </c>
      <c r="AK105">
        <v>2.5</v>
      </c>
      <c r="AL105">
        <v>1</v>
      </c>
      <c r="AM105">
        <v>-1.0111111111111117</v>
      </c>
      <c r="AN105">
        <v>4</v>
      </c>
      <c r="AO105">
        <v>3.3333333333333357</v>
      </c>
      <c r="AP105">
        <v>1.4444444444444446</v>
      </c>
      <c r="AQ105">
        <v>18</v>
      </c>
      <c r="AR105">
        <v>17.5</v>
      </c>
      <c r="AS105">
        <v>19</v>
      </c>
      <c r="AT105">
        <v>0.36666666666666609</v>
      </c>
      <c r="AU105">
        <v>16</v>
      </c>
      <c r="AV105">
        <v>14</v>
      </c>
      <c r="AW105">
        <v>-2</v>
      </c>
      <c r="AX105">
        <v>15</v>
      </c>
      <c r="AY105">
        <v>15.5</v>
      </c>
      <c r="AZ105">
        <v>15</v>
      </c>
      <c r="BA105">
        <v>0.77777777777777735</v>
      </c>
      <c r="BB105">
        <v>16</v>
      </c>
      <c r="BC105">
        <v>5.5555555555555545</v>
      </c>
      <c r="BD105">
        <v>-1.555555555555556</v>
      </c>
      <c r="BE105">
        <v>23</v>
      </c>
      <c r="BF105">
        <v>23</v>
      </c>
      <c r="BG105">
        <v>21</v>
      </c>
      <c r="BH105">
        <v>-0.17777777777777848</v>
      </c>
      <c r="BI105">
        <v>25</v>
      </c>
      <c r="BJ105">
        <v>-10.66666666666667</v>
      </c>
      <c r="BK105">
        <v>-1.2222222222222223</v>
      </c>
      <c r="BL105">
        <v>4</v>
      </c>
      <c r="BM105">
        <v>7</v>
      </c>
      <c r="BN105">
        <v>7</v>
      </c>
      <c r="BO105">
        <v>-0.55555555555555591</v>
      </c>
      <c r="BP105">
        <v>7</v>
      </c>
      <c r="BQ105">
        <v>3.7007434154171883E-17</v>
      </c>
      <c r="BR105">
        <v>-0.66666666666666696</v>
      </c>
      <c r="BS105">
        <v>30</v>
      </c>
      <c r="BT105">
        <v>29</v>
      </c>
      <c r="BU105">
        <v>31</v>
      </c>
      <c r="BV105">
        <v>7.7855185749922604E-2</v>
      </c>
      <c r="BW105">
        <v>30</v>
      </c>
      <c r="BX105">
        <v>4.0026932132195291E-2</v>
      </c>
      <c r="BY105">
        <v>24</v>
      </c>
      <c r="BZ105">
        <v>-11.766666666666667</v>
      </c>
      <c r="CA105">
        <v>31</v>
      </c>
      <c r="CB105">
        <v>1.555555555555556</v>
      </c>
      <c r="CC105">
        <v>-0.22222222222222379</v>
      </c>
      <c r="CD105">
        <v>-2.6666666666666656</v>
      </c>
      <c r="CE105">
        <v>0</v>
      </c>
      <c r="CF105">
        <v>16.111111111111104</v>
      </c>
      <c r="CG105">
        <v>27.111111111111104</v>
      </c>
      <c r="CH105">
        <v>-2</v>
      </c>
      <c r="CI105">
        <v>0.44444444444444436</v>
      </c>
      <c r="CJ105">
        <v>-9.4444444444444446</v>
      </c>
      <c r="CK105">
        <v>20</v>
      </c>
      <c r="CL105">
        <v>-1.3711111111111118</v>
      </c>
      <c r="CM105">
        <v>-0.19866666666666738</v>
      </c>
      <c r="CN105">
        <v>29.111111111111104</v>
      </c>
      <c r="CO105">
        <v>1.3711111111111118</v>
      </c>
      <c r="CP105">
        <v>-0.24222222222222228</v>
      </c>
      <c r="CQ105">
        <v>0.38888888888888823</v>
      </c>
      <c r="CR105">
        <v>32.222222222222221</v>
      </c>
      <c r="CS105">
        <v>-0.11111111111111013</v>
      </c>
      <c r="CT105">
        <v>3.8888888888888884</v>
      </c>
      <c r="CU105">
        <v>-1.5555555555555551</v>
      </c>
      <c r="CV105">
        <v>0</v>
      </c>
      <c r="CW105">
        <v>0.66152777777777805</v>
      </c>
      <c r="CX105">
        <v>1.625</v>
      </c>
      <c r="CY105" t="s">
        <v>305</v>
      </c>
      <c r="CZ105">
        <v>32</v>
      </c>
      <c r="DA105">
        <v>-0.3377777777777749</v>
      </c>
      <c r="DB105">
        <v>4</v>
      </c>
      <c r="DC105">
        <v>5.5</v>
      </c>
      <c r="DD105">
        <v>6</v>
      </c>
      <c r="DE105">
        <v>-2.0111111111111097</v>
      </c>
      <c r="DF105">
        <v>5</v>
      </c>
      <c r="DG105">
        <v>-5.5555555555555562</v>
      </c>
      <c r="DH105">
        <v>-2.7777777777777781</v>
      </c>
      <c r="DI105">
        <v>27</v>
      </c>
      <c r="DJ105">
        <v>24.5</v>
      </c>
      <c r="DK105">
        <v>29</v>
      </c>
      <c r="DL105">
        <v>1.5333333333333334</v>
      </c>
      <c r="DM105">
        <v>20</v>
      </c>
      <c r="DN105">
        <v>-2.3333333333333335</v>
      </c>
      <c r="DO105">
        <v>0.22222222222222232</v>
      </c>
      <c r="DP105">
        <v>20</v>
      </c>
      <c r="DQ105">
        <v>25</v>
      </c>
      <c r="DR105">
        <v>27</v>
      </c>
      <c r="DS105">
        <v>-4.7</v>
      </c>
      <c r="DT105">
        <v>23</v>
      </c>
      <c r="DU105">
        <v>-15.888888888888888</v>
      </c>
      <c r="DV105">
        <v>-1.5555555555555556</v>
      </c>
      <c r="DW105">
        <v>16</v>
      </c>
      <c r="DX105">
        <v>16</v>
      </c>
      <c r="DY105">
        <v>12</v>
      </c>
      <c r="DZ105">
        <v>1.2444444444444442</v>
      </c>
      <c r="EA105">
        <v>20</v>
      </c>
      <c r="EB105">
        <v>14.333333333333336</v>
      </c>
      <c r="EC105">
        <v>-0.77777777777777768</v>
      </c>
      <c r="ED105">
        <v>22</v>
      </c>
      <c r="EE105">
        <v>29</v>
      </c>
      <c r="EF105">
        <v>31</v>
      </c>
      <c r="EG105">
        <v>2.5666666666666664</v>
      </c>
      <c r="EH105">
        <v>27</v>
      </c>
      <c r="EI105">
        <v>15.333333333333334</v>
      </c>
      <c r="EJ105">
        <v>-0.44444444444444436</v>
      </c>
      <c r="EK105">
        <v>26</v>
      </c>
      <c r="EL105">
        <v>26.5</v>
      </c>
      <c r="EM105">
        <v>23</v>
      </c>
      <c r="EN105">
        <v>1.5333333333333314</v>
      </c>
      <c r="EO105">
        <v>30</v>
      </c>
      <c r="EP105">
        <v>29.777777777777771</v>
      </c>
      <c r="EQ105">
        <v>-2.2222222222222228</v>
      </c>
      <c r="ER105">
        <v>31</v>
      </c>
      <c r="ES105">
        <v>30.5</v>
      </c>
      <c r="ET105">
        <v>30</v>
      </c>
      <c r="EU105">
        <v>-0.71111111111111092</v>
      </c>
      <c r="EV105">
        <v>31</v>
      </c>
      <c r="EW105">
        <v>-0.44444444444444403</v>
      </c>
      <c r="EX105">
        <v>0.66666666666666663</v>
      </c>
      <c r="EY105">
        <v>23</v>
      </c>
      <c r="EZ105">
        <v>22.5</v>
      </c>
      <c r="FA105">
        <v>27</v>
      </c>
      <c r="FB105">
        <v>0</v>
      </c>
      <c r="FC105">
        <v>18</v>
      </c>
      <c r="FD105">
        <v>-0.11111111111111109</v>
      </c>
      <c r="FE105">
        <v>-2.8888888888888888</v>
      </c>
      <c r="FF105">
        <v>5</v>
      </c>
      <c r="FG105">
        <v>9.75</v>
      </c>
      <c r="FH105">
        <v>15</v>
      </c>
      <c r="FI105">
        <v>4.9308211162426514E-2</v>
      </c>
      <c r="FJ105">
        <v>8</v>
      </c>
      <c r="FK105">
        <v>-1.5181852963881526E-2</v>
      </c>
      <c r="FL105">
        <v>15</v>
      </c>
      <c r="FM105">
        <v>6.6555555555555559</v>
      </c>
      <c r="FN105">
        <v>1</v>
      </c>
      <c r="FO105">
        <v>-3.7777777777777781</v>
      </c>
      <c r="FP105">
        <v>-4</v>
      </c>
      <c r="FQ105">
        <v>-3.5555555555555558</v>
      </c>
      <c r="FR105">
        <v>-0.2222222222222224</v>
      </c>
      <c r="FS105">
        <v>-9.1111111111111125</v>
      </c>
      <c r="FT105">
        <v>-0.11111111111110983</v>
      </c>
      <c r="FU105">
        <v>0</v>
      </c>
      <c r="FV105">
        <v>-2.3333333333333237</v>
      </c>
      <c r="FW105">
        <v>12.111111111111114</v>
      </c>
      <c r="FX105">
        <v>-7.666666666666667</v>
      </c>
      <c r="FY105">
        <v>-0.11111111111111109</v>
      </c>
      <c r="FZ105">
        <v>-6.666666666666667</v>
      </c>
      <c r="GA105">
        <v>14</v>
      </c>
      <c r="GB105">
        <v>0.14000000000000146</v>
      </c>
      <c r="GC105">
        <v>-0.14866666666666678</v>
      </c>
      <c r="GD105">
        <v>19.777777777777782</v>
      </c>
      <c r="GE105">
        <v>-0.1400000000000014</v>
      </c>
      <c r="GF105">
        <v>-0.30194444444444396</v>
      </c>
      <c r="GG105">
        <v>-0.88888888888888928</v>
      </c>
      <c r="GH105">
        <v>13.777777777777782</v>
      </c>
      <c r="GI105">
        <v>-0.4777777777777763</v>
      </c>
      <c r="GJ105">
        <v>-7.8888888888888893</v>
      </c>
      <c r="GK105">
        <v>-2.1111111111111107</v>
      </c>
      <c r="GL105">
        <v>-2.5555555555555558</v>
      </c>
    </row>
    <row r="106" spans="1:194" x14ac:dyDescent="0.2">
      <c r="A106" s="39">
        <v>43737</v>
      </c>
      <c r="B106" s="26" t="s">
        <v>417</v>
      </c>
      <c r="C106" s="41" t="s">
        <v>291</v>
      </c>
      <c r="D106" s="27" t="s">
        <v>307</v>
      </c>
      <c r="E106">
        <v>9.8000000000000007</v>
      </c>
      <c r="F106">
        <v>0</v>
      </c>
      <c r="G106" s="14">
        <v>4.3</v>
      </c>
      <c r="H106" s="14">
        <v>15.9</v>
      </c>
      <c r="I106">
        <v>-2.5</v>
      </c>
      <c r="J106">
        <v>47</v>
      </c>
      <c r="L106" s="1" t="s">
        <v>291</v>
      </c>
      <c r="M106">
        <v>3</v>
      </c>
      <c r="N106">
        <v>0.96666666666666379</v>
      </c>
      <c r="O106">
        <v>5</v>
      </c>
      <c r="P106">
        <v>7</v>
      </c>
      <c r="Q106">
        <v>6</v>
      </c>
      <c r="R106">
        <v>3.5111111111111124</v>
      </c>
      <c r="S106">
        <v>8</v>
      </c>
      <c r="T106">
        <v>17.444444444444439</v>
      </c>
      <c r="U106">
        <v>0.88888888888888884</v>
      </c>
      <c r="V106">
        <v>27</v>
      </c>
      <c r="W106">
        <v>27.5</v>
      </c>
      <c r="X106">
        <v>28</v>
      </c>
      <c r="Y106">
        <v>0.48888888888888865</v>
      </c>
      <c r="Z106">
        <v>27</v>
      </c>
      <c r="AA106">
        <v>7.8888888888888884</v>
      </c>
      <c r="AB106">
        <v>-0.77777777777777768</v>
      </c>
      <c r="AC106">
        <v>10</v>
      </c>
      <c r="AD106">
        <v>12</v>
      </c>
      <c r="AE106">
        <v>12</v>
      </c>
      <c r="AF106">
        <v>-1.3888888888888899</v>
      </c>
      <c r="AG106">
        <v>12</v>
      </c>
      <c r="AH106">
        <v>-10.888888888888891</v>
      </c>
      <c r="AI106">
        <v>-0.77777777777777768</v>
      </c>
      <c r="AJ106">
        <v>10</v>
      </c>
      <c r="AK106">
        <v>9</v>
      </c>
      <c r="AL106">
        <v>11</v>
      </c>
      <c r="AM106">
        <v>1.177777777777776</v>
      </c>
      <c r="AN106">
        <v>7</v>
      </c>
      <c r="AO106">
        <v>26</v>
      </c>
      <c r="AP106">
        <v>1.5555555555555554</v>
      </c>
      <c r="AQ106">
        <v>1</v>
      </c>
      <c r="AR106">
        <v>1</v>
      </c>
      <c r="AS106">
        <v>1</v>
      </c>
      <c r="AT106">
        <v>3.6222222222222213</v>
      </c>
      <c r="AU106">
        <v>1</v>
      </c>
      <c r="AV106">
        <v>14.555555555555555</v>
      </c>
      <c r="AW106">
        <v>1.3333333333333333</v>
      </c>
      <c r="AX106">
        <v>2</v>
      </c>
      <c r="AY106">
        <v>3.5</v>
      </c>
      <c r="AZ106">
        <v>3</v>
      </c>
      <c r="BA106">
        <v>-4.211111111111113</v>
      </c>
      <c r="BB106">
        <v>4</v>
      </c>
      <c r="BC106">
        <v>-9.8888888888888911</v>
      </c>
      <c r="BD106">
        <v>0</v>
      </c>
      <c r="BE106">
        <v>8</v>
      </c>
      <c r="BF106">
        <v>7</v>
      </c>
      <c r="BG106">
        <v>7</v>
      </c>
      <c r="BH106">
        <v>1.4666666666666661</v>
      </c>
      <c r="BI106">
        <v>7</v>
      </c>
      <c r="BJ106">
        <v>-9.7777777777777768</v>
      </c>
      <c r="BK106">
        <v>-0.55555555555555569</v>
      </c>
      <c r="BL106">
        <v>11</v>
      </c>
      <c r="BM106">
        <v>9.5</v>
      </c>
      <c r="BN106">
        <v>14</v>
      </c>
      <c r="BO106">
        <v>-1.4444444444444449</v>
      </c>
      <c r="BP106">
        <v>5</v>
      </c>
      <c r="BQ106">
        <v>-0.55555555555555558</v>
      </c>
      <c r="BR106">
        <v>-5.3333333333333348</v>
      </c>
      <c r="BS106">
        <v>26</v>
      </c>
      <c r="BT106">
        <v>22.25</v>
      </c>
      <c r="BU106">
        <v>18</v>
      </c>
      <c r="BV106">
        <v>-7.1518775401973614E-2</v>
      </c>
      <c r="BW106">
        <v>32</v>
      </c>
      <c r="BX106">
        <v>-3.021483217005555E-2</v>
      </c>
      <c r="BY106">
        <v>16</v>
      </c>
      <c r="BZ106">
        <v>-7.6999999999999984</v>
      </c>
      <c r="CA106">
        <v>23</v>
      </c>
      <c r="CB106">
        <v>-1.6666666666666667</v>
      </c>
      <c r="CC106">
        <v>-2.1111111111111094</v>
      </c>
      <c r="CD106">
        <v>-0.99999999999999878</v>
      </c>
      <c r="CE106">
        <v>-2.3333333333333335</v>
      </c>
      <c r="CF106">
        <v>34.444444444444436</v>
      </c>
      <c r="CG106">
        <v>8.3333333333333339</v>
      </c>
      <c r="CH106">
        <v>14.444444444444448</v>
      </c>
      <c r="CI106">
        <v>-2.6666666666666665</v>
      </c>
      <c r="CJ106">
        <v>14.333333333333336</v>
      </c>
      <c r="CK106">
        <v>25</v>
      </c>
      <c r="CL106">
        <v>-3.0333333333333372</v>
      </c>
      <c r="CM106">
        <v>-0.83111111111111313</v>
      </c>
      <c r="CN106">
        <v>-6.1111111111111143</v>
      </c>
      <c r="CO106">
        <v>3.0333333333333372</v>
      </c>
      <c r="CP106">
        <v>1.0499999999999994</v>
      </c>
      <c r="CQ106">
        <v>3.4111111111111074</v>
      </c>
      <c r="CR106">
        <v>29.666666666666664</v>
      </c>
      <c r="CS106">
        <v>4.0000000000000009</v>
      </c>
      <c r="CT106">
        <v>25.333333333333329</v>
      </c>
      <c r="CU106">
        <v>1.5555555555555549</v>
      </c>
      <c r="CV106">
        <v>0.11111111111111116</v>
      </c>
      <c r="CW106">
        <v>0.80895833333333367</v>
      </c>
      <c r="CX106">
        <v>-6.4305555555555644E-2</v>
      </c>
      <c r="CY106" t="s">
        <v>307</v>
      </c>
      <c r="CZ106">
        <v>18</v>
      </c>
      <c r="DA106">
        <v>8.58</v>
      </c>
      <c r="DB106">
        <v>29</v>
      </c>
      <c r="DC106">
        <v>27.5</v>
      </c>
      <c r="DD106">
        <v>26</v>
      </c>
      <c r="DE106">
        <v>-0.83333333333333337</v>
      </c>
      <c r="DF106">
        <v>29</v>
      </c>
      <c r="DG106">
        <v>4.7777777777777759</v>
      </c>
      <c r="DH106">
        <v>7.4014868308343765E-17</v>
      </c>
      <c r="DI106">
        <v>7</v>
      </c>
      <c r="DJ106">
        <v>10</v>
      </c>
      <c r="DK106">
        <v>8</v>
      </c>
      <c r="DL106">
        <v>1.6888888888888884</v>
      </c>
      <c r="DM106">
        <v>12</v>
      </c>
      <c r="DN106">
        <v>2.7777777777777772</v>
      </c>
      <c r="DO106">
        <v>1.7777777777777779</v>
      </c>
      <c r="DP106">
        <v>15</v>
      </c>
      <c r="DQ106">
        <v>19</v>
      </c>
      <c r="DR106">
        <v>18</v>
      </c>
      <c r="DS106">
        <v>9.0444444444444461</v>
      </c>
      <c r="DT106">
        <v>20</v>
      </c>
      <c r="DU106">
        <v>43.555555555555564</v>
      </c>
      <c r="DV106">
        <v>2.3333333333333326</v>
      </c>
      <c r="DW106">
        <v>29</v>
      </c>
      <c r="DX106">
        <v>29.5</v>
      </c>
      <c r="DY106">
        <v>27</v>
      </c>
      <c r="DZ106">
        <v>-2.6555555555555554</v>
      </c>
      <c r="EA106">
        <v>32</v>
      </c>
      <c r="EB106">
        <v>-1.4444444444444429</v>
      </c>
      <c r="EC106">
        <v>-2.8888888888888893</v>
      </c>
      <c r="ED106">
        <v>27</v>
      </c>
      <c r="EE106">
        <v>25</v>
      </c>
      <c r="EF106">
        <v>25</v>
      </c>
      <c r="EG106">
        <v>1.6222222222222227</v>
      </c>
      <c r="EH106">
        <v>25</v>
      </c>
      <c r="EI106">
        <v>-5.5555555555555545</v>
      </c>
      <c r="EJ106">
        <v>-0.44444444444444436</v>
      </c>
      <c r="EK106">
        <v>24</v>
      </c>
      <c r="EL106">
        <v>23.5</v>
      </c>
      <c r="EM106">
        <v>20</v>
      </c>
      <c r="EN106">
        <v>6.7666666666666684</v>
      </c>
      <c r="EO106">
        <v>27</v>
      </c>
      <c r="EP106">
        <v>30.999999999999996</v>
      </c>
      <c r="EQ106">
        <v>0.55555555555555536</v>
      </c>
      <c r="ER106">
        <v>3</v>
      </c>
      <c r="ES106">
        <v>3.5</v>
      </c>
      <c r="ET106">
        <v>3</v>
      </c>
      <c r="EU106">
        <v>-2.8777777777777782</v>
      </c>
      <c r="EV106">
        <v>4</v>
      </c>
      <c r="EW106">
        <v>-3.2222222222222214</v>
      </c>
      <c r="EX106">
        <v>0.55555555555555569</v>
      </c>
      <c r="EY106">
        <v>8</v>
      </c>
      <c r="EZ106">
        <v>8.5</v>
      </c>
      <c r="FA106">
        <v>9</v>
      </c>
      <c r="FB106">
        <v>-1.1111111111111114</v>
      </c>
      <c r="FC106">
        <v>8</v>
      </c>
      <c r="FD106">
        <v>-1.1111111111111109</v>
      </c>
      <c r="FE106">
        <v>-3</v>
      </c>
      <c r="FF106">
        <v>17</v>
      </c>
      <c r="FG106">
        <v>16</v>
      </c>
      <c r="FH106">
        <v>6</v>
      </c>
      <c r="FI106">
        <v>4.4562022339800132E-2</v>
      </c>
      <c r="FJ106">
        <v>18</v>
      </c>
      <c r="FK106">
        <v>4.4292642174541957E-4</v>
      </c>
      <c r="FL106">
        <v>21</v>
      </c>
      <c r="FM106">
        <v>-0.31111111111110529</v>
      </c>
      <c r="FN106">
        <v>19</v>
      </c>
      <c r="FO106">
        <v>1.5555555555555556</v>
      </c>
      <c r="FP106">
        <v>2.3333333333333335</v>
      </c>
      <c r="FQ106">
        <v>-1</v>
      </c>
      <c r="FR106">
        <v>0.11111111111111101</v>
      </c>
      <c r="FS106">
        <v>1.8888888888888857</v>
      </c>
      <c r="FT106">
        <v>2.7777777777777772</v>
      </c>
      <c r="FU106">
        <v>0</v>
      </c>
      <c r="FV106">
        <v>68.555555555555557</v>
      </c>
      <c r="FW106">
        <v>50.333333333333336</v>
      </c>
      <c r="FX106">
        <v>6.7777777777777759</v>
      </c>
      <c r="FY106">
        <v>-0.88888888888888928</v>
      </c>
      <c r="FZ106">
        <v>12.333333333333334</v>
      </c>
      <c r="GA106">
        <v>5</v>
      </c>
      <c r="GB106">
        <v>7.7244444444444458</v>
      </c>
      <c r="GC106">
        <v>2.3148888888888899</v>
      </c>
      <c r="GD106">
        <v>43.555555555555557</v>
      </c>
      <c r="GE106">
        <v>-7.7244444444444449</v>
      </c>
      <c r="GF106">
        <v>1.682222222222223</v>
      </c>
      <c r="GG106">
        <v>8.0111111111111128</v>
      </c>
      <c r="GH106">
        <v>36.555555555555564</v>
      </c>
      <c r="GI106">
        <v>0.85555555555555507</v>
      </c>
      <c r="GJ106">
        <v>7.5555555555555536</v>
      </c>
      <c r="GK106">
        <v>-0.44444444444444542</v>
      </c>
      <c r="GL106">
        <v>1.7777777777777779</v>
      </c>
    </row>
    <row r="107" spans="1:194" x14ac:dyDescent="0.2">
      <c r="A107" s="39">
        <v>43737</v>
      </c>
      <c r="B107" t="s">
        <v>417</v>
      </c>
      <c r="C107" s="41" t="s">
        <v>278</v>
      </c>
      <c r="D107" t="s">
        <v>297</v>
      </c>
      <c r="E107">
        <v>24.2</v>
      </c>
      <c r="F107">
        <v>18.399999999999999</v>
      </c>
      <c r="G107">
        <v>8.6999999999999993</v>
      </c>
      <c r="H107">
        <v>11.1</v>
      </c>
      <c r="I107">
        <v>-2.5</v>
      </c>
      <c r="J107">
        <v>37</v>
      </c>
      <c r="L107" s="1" t="s">
        <v>278</v>
      </c>
      <c r="M107">
        <v>30</v>
      </c>
      <c r="N107">
        <v>-2.7511111111111117</v>
      </c>
      <c r="O107">
        <v>17</v>
      </c>
      <c r="P107">
        <v>17</v>
      </c>
      <c r="Q107">
        <v>24</v>
      </c>
      <c r="R107">
        <v>2.0666666666666678</v>
      </c>
      <c r="S107">
        <v>10</v>
      </c>
      <c r="T107">
        <v>-5.1111111111111098</v>
      </c>
      <c r="U107">
        <v>2.0000000000000004</v>
      </c>
      <c r="V107">
        <v>18</v>
      </c>
      <c r="W107">
        <v>17.5</v>
      </c>
      <c r="X107">
        <v>22</v>
      </c>
      <c r="Y107">
        <v>1.8222222222222217</v>
      </c>
      <c r="Z107">
        <v>13</v>
      </c>
      <c r="AA107">
        <v>23.444444444444446</v>
      </c>
      <c r="AB107">
        <v>0.66666666666666663</v>
      </c>
      <c r="AC107">
        <v>11</v>
      </c>
      <c r="AD107">
        <v>12.5</v>
      </c>
      <c r="AE107">
        <v>11</v>
      </c>
      <c r="AF107">
        <v>4.477777777777777</v>
      </c>
      <c r="AG107">
        <v>14</v>
      </c>
      <c r="AH107">
        <v>39.333333333333336</v>
      </c>
      <c r="AI107">
        <v>1.5555555555555556</v>
      </c>
      <c r="AJ107">
        <v>31</v>
      </c>
      <c r="AK107">
        <v>30.5</v>
      </c>
      <c r="AL107">
        <v>31</v>
      </c>
      <c r="AM107">
        <v>1.4555555555555559</v>
      </c>
      <c r="AN107">
        <v>30</v>
      </c>
      <c r="AO107">
        <v>-0.77777777777777979</v>
      </c>
      <c r="AP107">
        <v>1.3333333333333333</v>
      </c>
      <c r="AQ107">
        <v>32</v>
      </c>
      <c r="AR107">
        <v>32</v>
      </c>
      <c r="AS107">
        <v>32</v>
      </c>
      <c r="AT107">
        <v>-2.1333333333333333</v>
      </c>
      <c r="AU107">
        <v>32</v>
      </c>
      <c r="AV107">
        <v>-12.777777777777777</v>
      </c>
      <c r="AW107">
        <v>0.44444444444444448</v>
      </c>
      <c r="AX107">
        <v>31</v>
      </c>
      <c r="AY107">
        <v>31.5</v>
      </c>
      <c r="AZ107">
        <v>31</v>
      </c>
      <c r="BA107">
        <v>-7.8999999999999995</v>
      </c>
      <c r="BB107">
        <v>32</v>
      </c>
      <c r="BC107">
        <v>-29</v>
      </c>
      <c r="BD107">
        <v>-1.4444444444444446</v>
      </c>
      <c r="BE107">
        <v>9</v>
      </c>
      <c r="BF107">
        <v>8.5</v>
      </c>
      <c r="BG107">
        <v>9</v>
      </c>
      <c r="BH107">
        <v>-1.544444444444445</v>
      </c>
      <c r="BI107">
        <v>8</v>
      </c>
      <c r="BJ107">
        <v>-2.111111111111112</v>
      </c>
      <c r="BK107">
        <v>0.11111111111111101</v>
      </c>
      <c r="BL107">
        <v>10</v>
      </c>
      <c r="BM107">
        <v>9</v>
      </c>
      <c r="BN107">
        <v>6</v>
      </c>
      <c r="BO107">
        <v>1.3333333333333333</v>
      </c>
      <c r="BP107">
        <v>12</v>
      </c>
      <c r="BQ107">
        <v>0.66666666666666663</v>
      </c>
      <c r="BR107">
        <v>-5.5555555555555562</v>
      </c>
      <c r="BS107">
        <v>22</v>
      </c>
      <c r="BT107">
        <v>20.25</v>
      </c>
      <c r="BU107">
        <v>15</v>
      </c>
      <c r="BV107">
        <v>-2.0131300757497508E-3</v>
      </c>
      <c r="BW107">
        <v>19</v>
      </c>
      <c r="BX107">
        <v>2.1452605264472912E-2</v>
      </c>
      <c r="BY107">
        <v>28</v>
      </c>
      <c r="BZ107">
        <v>9.3555555555555614</v>
      </c>
      <c r="CA107">
        <v>19</v>
      </c>
      <c r="CB107">
        <v>-1.5555555555555554</v>
      </c>
      <c r="CC107">
        <v>3.888888888888888</v>
      </c>
      <c r="CD107">
        <v>-1.5555555555555554</v>
      </c>
      <c r="CE107">
        <v>0</v>
      </c>
      <c r="CF107">
        <v>0.22222222222222854</v>
      </c>
      <c r="CG107">
        <v>-7.1111111111111143</v>
      </c>
      <c r="CH107">
        <v>12.777777777777777</v>
      </c>
      <c r="CI107">
        <v>-1.0000000000000002</v>
      </c>
      <c r="CJ107">
        <v>-4.4444444444444438</v>
      </c>
      <c r="CK107">
        <v>28</v>
      </c>
      <c r="CL107">
        <v>-6.6400000000000015</v>
      </c>
      <c r="CM107">
        <v>-2.0435555555555558</v>
      </c>
      <c r="CN107">
        <v>-19.888888888888893</v>
      </c>
      <c r="CO107">
        <v>6.6400000000000006</v>
      </c>
      <c r="CP107">
        <v>0.5908333333333331</v>
      </c>
      <c r="CQ107">
        <v>3.7999999999999994</v>
      </c>
      <c r="CR107">
        <v>25.777777777777779</v>
      </c>
      <c r="CS107">
        <v>3.8888888888888893</v>
      </c>
      <c r="CT107">
        <v>18.333333333333336</v>
      </c>
      <c r="CU107">
        <v>3.4444444444444446</v>
      </c>
      <c r="CV107">
        <v>2.666666666666667</v>
      </c>
      <c r="CW107">
        <v>-0.77874999999999983</v>
      </c>
      <c r="CX107">
        <v>0.28583333333333316</v>
      </c>
      <c r="CY107" t="s">
        <v>297</v>
      </c>
      <c r="CZ107">
        <v>20</v>
      </c>
      <c r="DA107">
        <v>-4.691111111111109</v>
      </c>
      <c r="DB107">
        <v>1</v>
      </c>
      <c r="DC107">
        <v>1.5</v>
      </c>
      <c r="DD107">
        <v>2</v>
      </c>
      <c r="DE107">
        <v>-1.8888888888888882</v>
      </c>
      <c r="DF107">
        <v>1</v>
      </c>
      <c r="DG107">
        <v>-1.0000000000000011</v>
      </c>
      <c r="DH107">
        <v>0.2222222222222221</v>
      </c>
      <c r="DI107">
        <v>13</v>
      </c>
      <c r="DJ107">
        <v>14.5</v>
      </c>
      <c r="DK107">
        <v>11</v>
      </c>
      <c r="DL107">
        <v>-1.3888888888888884</v>
      </c>
      <c r="DM107">
        <v>18</v>
      </c>
      <c r="DN107">
        <v>10</v>
      </c>
      <c r="DO107">
        <v>-1.6666666666666667</v>
      </c>
      <c r="DP107">
        <v>12</v>
      </c>
      <c r="DQ107">
        <v>13</v>
      </c>
      <c r="DR107">
        <v>11</v>
      </c>
      <c r="DS107">
        <v>6.2777777777777786</v>
      </c>
      <c r="DT107">
        <v>15</v>
      </c>
      <c r="DU107">
        <v>26.111111111111111</v>
      </c>
      <c r="DV107">
        <v>-0.33333333333333331</v>
      </c>
      <c r="DW107">
        <v>26</v>
      </c>
      <c r="DX107">
        <v>26.5</v>
      </c>
      <c r="DY107">
        <v>28</v>
      </c>
      <c r="DZ107">
        <v>-4.1333333333333337</v>
      </c>
      <c r="EA107">
        <v>25</v>
      </c>
      <c r="EB107">
        <v>-18.000000000000004</v>
      </c>
      <c r="EC107">
        <v>0.77777777777777768</v>
      </c>
      <c r="ED107">
        <v>1</v>
      </c>
      <c r="EE107">
        <v>5</v>
      </c>
      <c r="EF107">
        <v>5</v>
      </c>
      <c r="EG107">
        <v>-5.2444444444444445</v>
      </c>
      <c r="EH107">
        <v>5</v>
      </c>
      <c r="EI107">
        <v>-22.777777777777775</v>
      </c>
      <c r="EJ107">
        <v>-0.3333333333333332</v>
      </c>
      <c r="EK107">
        <v>27</v>
      </c>
      <c r="EL107">
        <v>27</v>
      </c>
      <c r="EM107">
        <v>29</v>
      </c>
      <c r="EN107">
        <v>-8.4777777777777761</v>
      </c>
      <c r="EO107">
        <v>25</v>
      </c>
      <c r="EP107">
        <v>-35.888888888888893</v>
      </c>
      <c r="EQ107">
        <v>-0.77777777777777801</v>
      </c>
      <c r="ER107">
        <v>26</v>
      </c>
      <c r="ES107">
        <v>25.5</v>
      </c>
      <c r="ET107">
        <v>22</v>
      </c>
      <c r="EU107">
        <v>-4.7888888888888888</v>
      </c>
      <c r="EV107">
        <v>29</v>
      </c>
      <c r="EW107">
        <v>-1.222222222222219</v>
      </c>
      <c r="EX107">
        <v>0.88888888888888895</v>
      </c>
      <c r="EY107">
        <v>26</v>
      </c>
      <c r="EZ107">
        <v>25</v>
      </c>
      <c r="FA107">
        <v>21</v>
      </c>
      <c r="FB107">
        <v>1.1111111111111107</v>
      </c>
      <c r="FC107">
        <v>29</v>
      </c>
      <c r="FD107">
        <v>0.55555555555555558</v>
      </c>
      <c r="FE107">
        <v>-2.4444444444444442</v>
      </c>
      <c r="FF107">
        <v>20</v>
      </c>
      <c r="FG107">
        <v>16.75</v>
      </c>
      <c r="FH107">
        <v>21</v>
      </c>
      <c r="FI107">
        <v>6.905806273540714E-3</v>
      </c>
      <c r="FJ107">
        <v>5</v>
      </c>
      <c r="FK107">
        <v>4.9756123671378556E-3</v>
      </c>
      <c r="FL107">
        <v>32</v>
      </c>
      <c r="FM107">
        <v>-9.5222222222222239</v>
      </c>
      <c r="FN107">
        <v>9</v>
      </c>
      <c r="FO107">
        <v>2.1111111111111112</v>
      </c>
      <c r="FP107">
        <v>0.77777777777777735</v>
      </c>
      <c r="FQ107">
        <v>2.7777777777777772</v>
      </c>
      <c r="FR107">
        <v>-1.4802973661668753E-16</v>
      </c>
      <c r="FS107">
        <v>4.2222222222222214</v>
      </c>
      <c r="FT107">
        <v>-2.3333333333333335</v>
      </c>
      <c r="FU107">
        <v>-1</v>
      </c>
      <c r="FV107">
        <v>-14.666666666666648</v>
      </c>
      <c r="FW107">
        <v>-17.333333333333325</v>
      </c>
      <c r="FX107">
        <v>8</v>
      </c>
      <c r="FY107">
        <v>-0.88888888888888884</v>
      </c>
      <c r="FZ107">
        <v>-4.4444444444444446</v>
      </c>
      <c r="GA107">
        <v>18</v>
      </c>
      <c r="GB107">
        <v>-1.4133333333333322</v>
      </c>
      <c r="GC107">
        <v>-0.87711111111111117</v>
      </c>
      <c r="GD107">
        <v>-25.333333333333325</v>
      </c>
      <c r="GE107">
        <v>1.4133333333333322</v>
      </c>
      <c r="GF107">
        <v>-1.8433333333333328</v>
      </c>
      <c r="GG107">
        <v>-3.0999999999999996</v>
      </c>
      <c r="GH107">
        <v>-14.666666666666668</v>
      </c>
      <c r="GI107">
        <v>-3.2777777777777768</v>
      </c>
      <c r="GJ107">
        <v>8.9999999999999982</v>
      </c>
      <c r="GK107">
        <v>1</v>
      </c>
      <c r="GL107">
        <v>-1.4444444444444446</v>
      </c>
    </row>
    <row r="108" spans="1:194" x14ac:dyDescent="0.2">
      <c r="A108" s="39">
        <v>43737</v>
      </c>
      <c r="B108" s="26" t="s">
        <v>417</v>
      </c>
      <c r="C108" s="41" t="s">
        <v>299</v>
      </c>
      <c r="D108" s="27" t="s">
        <v>288</v>
      </c>
      <c r="E108">
        <v>23.7</v>
      </c>
      <c r="F108" s="14">
        <v>10.7</v>
      </c>
      <c r="G108">
        <v>6.7</v>
      </c>
      <c r="H108" s="14">
        <f>11.7+5.5</f>
        <v>17.2</v>
      </c>
      <c r="I108">
        <v>7.5</v>
      </c>
      <c r="J108">
        <v>54.5</v>
      </c>
      <c r="L108" s="1" t="s">
        <v>299</v>
      </c>
      <c r="M108">
        <v>4</v>
      </c>
      <c r="N108">
        <v>-4.3533333333333308</v>
      </c>
      <c r="O108">
        <v>28</v>
      </c>
      <c r="P108">
        <v>26</v>
      </c>
      <c r="Q108">
        <v>31</v>
      </c>
      <c r="R108">
        <v>-2.2666666666666671</v>
      </c>
      <c r="S108">
        <v>21</v>
      </c>
      <c r="T108">
        <v>-27.888888888888886</v>
      </c>
      <c r="U108">
        <v>0</v>
      </c>
      <c r="V108">
        <v>13</v>
      </c>
      <c r="W108">
        <v>13.5</v>
      </c>
      <c r="X108">
        <v>8</v>
      </c>
      <c r="Y108">
        <v>-2.5</v>
      </c>
      <c r="Z108">
        <v>19</v>
      </c>
      <c r="AA108">
        <v>2.6666666666666665</v>
      </c>
      <c r="AB108">
        <v>-1.8888888888888891</v>
      </c>
      <c r="AC108">
        <v>5</v>
      </c>
      <c r="AD108">
        <v>5.5</v>
      </c>
      <c r="AE108">
        <v>8</v>
      </c>
      <c r="AF108">
        <v>-3.9222222222222229</v>
      </c>
      <c r="AG108">
        <v>3</v>
      </c>
      <c r="AH108">
        <v>-18.333333333333332</v>
      </c>
      <c r="AI108">
        <v>0.66666666666666663</v>
      </c>
      <c r="AJ108">
        <v>3</v>
      </c>
      <c r="AK108">
        <v>3.5</v>
      </c>
      <c r="AL108">
        <v>2</v>
      </c>
      <c r="AM108">
        <v>2.1777777777777785</v>
      </c>
      <c r="AN108">
        <v>5</v>
      </c>
      <c r="AO108">
        <v>13.111111111111109</v>
      </c>
      <c r="AP108">
        <v>0.11111111111111131</v>
      </c>
      <c r="AQ108">
        <v>10</v>
      </c>
      <c r="AR108">
        <v>10</v>
      </c>
      <c r="AS108">
        <v>10</v>
      </c>
      <c r="AT108">
        <v>2.7888888888888892</v>
      </c>
      <c r="AU108">
        <v>10</v>
      </c>
      <c r="AV108">
        <v>7.8888888888888884</v>
      </c>
      <c r="AW108">
        <v>1.6666666666666667</v>
      </c>
      <c r="AX108">
        <v>9</v>
      </c>
      <c r="AY108">
        <v>10.5</v>
      </c>
      <c r="AZ108">
        <v>13</v>
      </c>
      <c r="BA108">
        <v>-0.2222222222222244</v>
      </c>
      <c r="BB108">
        <v>8</v>
      </c>
      <c r="BC108">
        <v>8.8888888888888911</v>
      </c>
      <c r="BD108">
        <v>0.44444444444444436</v>
      </c>
      <c r="BE108">
        <v>20</v>
      </c>
      <c r="BF108">
        <v>22</v>
      </c>
      <c r="BG108">
        <v>23</v>
      </c>
      <c r="BH108">
        <v>-4.9555555555555557</v>
      </c>
      <c r="BI108">
        <v>21</v>
      </c>
      <c r="BJ108">
        <v>-5.1111111111111098</v>
      </c>
      <c r="BK108">
        <v>-0.44444444444444464</v>
      </c>
      <c r="BL108">
        <v>23</v>
      </c>
      <c r="BM108">
        <v>22.5</v>
      </c>
      <c r="BN108">
        <v>20</v>
      </c>
      <c r="BO108">
        <v>-0.66666666666666663</v>
      </c>
      <c r="BP108">
        <v>25</v>
      </c>
      <c r="BQ108">
        <v>0.2222222222222221</v>
      </c>
      <c r="BR108">
        <v>1.7777777777777777</v>
      </c>
      <c r="BS108">
        <v>5</v>
      </c>
      <c r="BT108">
        <v>9</v>
      </c>
      <c r="BU108">
        <v>6</v>
      </c>
      <c r="BV108">
        <v>2.7048694867672549E-3</v>
      </c>
      <c r="BW108">
        <v>12</v>
      </c>
      <c r="BX108">
        <v>-1.7407178087598282E-2</v>
      </c>
      <c r="BY108">
        <v>9</v>
      </c>
      <c r="BZ108">
        <v>-9.6333333333333346</v>
      </c>
      <c r="CA108">
        <v>9</v>
      </c>
      <c r="CB108">
        <v>2</v>
      </c>
      <c r="CC108">
        <v>3.2222222222222237</v>
      </c>
      <c r="CD108">
        <v>-4.7777777777777777</v>
      </c>
      <c r="CE108">
        <v>1.5555555555555554</v>
      </c>
      <c r="CF108">
        <v>-23.777777777777771</v>
      </c>
      <c r="CG108">
        <v>-12.444444444444438</v>
      </c>
      <c r="CH108">
        <v>-1.5555555555555547</v>
      </c>
      <c r="CI108">
        <v>-1.2222222222222221</v>
      </c>
      <c r="CJ108">
        <v>-8.5555555555555554</v>
      </c>
      <c r="CK108">
        <v>17</v>
      </c>
      <c r="CL108">
        <v>0.41333333333333622</v>
      </c>
      <c r="CM108">
        <v>0.73044444444444556</v>
      </c>
      <c r="CN108">
        <v>-10.888888888888882</v>
      </c>
      <c r="CO108">
        <v>-0.41333333333333666</v>
      </c>
      <c r="CP108">
        <v>-1.7122222222222216</v>
      </c>
      <c r="CQ108">
        <v>1.0444444444444447</v>
      </c>
      <c r="CR108">
        <v>2.6666666666666652</v>
      </c>
      <c r="CS108">
        <v>-4.7666666666666675</v>
      </c>
      <c r="CT108">
        <v>-25.222222222222218</v>
      </c>
      <c r="CU108">
        <v>2</v>
      </c>
      <c r="CV108">
        <v>-1.8888888888888891</v>
      </c>
      <c r="CW108">
        <v>-0.53541666666666665</v>
      </c>
      <c r="CX108">
        <v>-0.67555555555555535</v>
      </c>
      <c r="CY108" t="s">
        <v>288</v>
      </c>
      <c r="CZ108">
        <v>7</v>
      </c>
      <c r="DA108">
        <v>-2.295555555555556</v>
      </c>
      <c r="DB108">
        <v>3</v>
      </c>
      <c r="DC108">
        <v>3</v>
      </c>
      <c r="DD108">
        <v>3</v>
      </c>
      <c r="DE108">
        <v>3.2888888888888883</v>
      </c>
      <c r="DF108">
        <v>3</v>
      </c>
      <c r="DG108">
        <v>15.555555555555555</v>
      </c>
      <c r="DH108">
        <v>0.11111111111111101</v>
      </c>
      <c r="DI108">
        <v>20</v>
      </c>
      <c r="DJ108">
        <v>17.5</v>
      </c>
      <c r="DK108">
        <v>5</v>
      </c>
      <c r="DL108">
        <v>1.2333333333333334</v>
      </c>
      <c r="DM108">
        <v>30</v>
      </c>
      <c r="DN108">
        <v>4.5555555555555554</v>
      </c>
      <c r="DO108">
        <v>1</v>
      </c>
      <c r="DP108">
        <v>32</v>
      </c>
      <c r="DQ108">
        <v>32</v>
      </c>
      <c r="DR108">
        <v>32</v>
      </c>
      <c r="DS108">
        <v>-2.844444444444445</v>
      </c>
      <c r="DT108">
        <v>32</v>
      </c>
      <c r="DU108">
        <v>-19.222222222222218</v>
      </c>
      <c r="DV108">
        <v>0.22222222222222202</v>
      </c>
      <c r="DW108">
        <v>24</v>
      </c>
      <c r="DX108">
        <v>25</v>
      </c>
      <c r="DY108">
        <v>23</v>
      </c>
      <c r="DZ108">
        <v>2.7222222222222228</v>
      </c>
      <c r="EA108">
        <v>27</v>
      </c>
      <c r="EB108">
        <v>25.444444444444446</v>
      </c>
      <c r="EC108">
        <v>0.88888888888888895</v>
      </c>
      <c r="ED108">
        <v>13</v>
      </c>
      <c r="EE108">
        <v>12.5</v>
      </c>
      <c r="EF108">
        <v>12</v>
      </c>
      <c r="EG108">
        <v>2.3555555555555556</v>
      </c>
      <c r="EH108">
        <v>13</v>
      </c>
      <c r="EI108">
        <v>11.333333333333334</v>
      </c>
      <c r="EJ108">
        <v>1.2222222222222223</v>
      </c>
      <c r="EK108">
        <v>12</v>
      </c>
      <c r="EL108">
        <v>12</v>
      </c>
      <c r="EM108">
        <v>8</v>
      </c>
      <c r="EN108">
        <v>9.9999999999999048E-2</v>
      </c>
      <c r="EO108">
        <v>16</v>
      </c>
      <c r="EP108">
        <v>-9.0000000000000018</v>
      </c>
      <c r="EQ108">
        <v>0.33333333333333331</v>
      </c>
      <c r="ER108">
        <v>2</v>
      </c>
      <c r="ES108">
        <v>2</v>
      </c>
      <c r="ET108">
        <v>2</v>
      </c>
      <c r="EU108">
        <v>-5.7333333333333343</v>
      </c>
      <c r="EV108">
        <v>2</v>
      </c>
      <c r="EW108">
        <v>-14.555555555555552</v>
      </c>
      <c r="EX108">
        <v>1.1111111111111116</v>
      </c>
      <c r="EY108">
        <v>20</v>
      </c>
      <c r="EZ108">
        <v>21</v>
      </c>
      <c r="FA108">
        <v>25</v>
      </c>
      <c r="FB108">
        <v>-1.8888888888888893</v>
      </c>
      <c r="FC108">
        <v>17</v>
      </c>
      <c r="FD108">
        <v>-0.22222222222222224</v>
      </c>
      <c r="FE108">
        <v>-5</v>
      </c>
      <c r="FF108">
        <v>2</v>
      </c>
      <c r="FG108">
        <v>7.25</v>
      </c>
      <c r="FH108">
        <v>4</v>
      </c>
      <c r="FI108">
        <v>2.972728522164127E-2</v>
      </c>
      <c r="FJ108">
        <v>13</v>
      </c>
      <c r="FK108">
        <v>3.959466044329364E-3</v>
      </c>
      <c r="FL108">
        <v>3</v>
      </c>
      <c r="FM108">
        <v>7.2888888888888914</v>
      </c>
      <c r="FN108">
        <v>9</v>
      </c>
      <c r="FO108">
        <v>2.1111111111111112</v>
      </c>
      <c r="FP108">
        <v>5.333333333333333</v>
      </c>
      <c r="FQ108">
        <v>-2.1111111111111103</v>
      </c>
      <c r="FR108">
        <v>-1.555555555555556</v>
      </c>
      <c r="FS108">
        <v>1.2222222222222239</v>
      </c>
      <c r="FT108">
        <v>-2.6666666666666656</v>
      </c>
      <c r="FU108">
        <v>0</v>
      </c>
      <c r="FV108">
        <v>19.777777777777789</v>
      </c>
      <c r="FW108">
        <v>12.888888888888886</v>
      </c>
      <c r="FX108">
        <v>15.555555555555552</v>
      </c>
      <c r="FY108">
        <v>-0.77777777777777779</v>
      </c>
      <c r="FZ108">
        <v>-7.8888888888888902</v>
      </c>
      <c r="GA108">
        <v>29</v>
      </c>
      <c r="GB108">
        <v>-6.8177777777777777</v>
      </c>
      <c r="GC108">
        <v>-3.4202222222222223</v>
      </c>
      <c r="GD108">
        <v>-2.6666666666666661</v>
      </c>
      <c r="GE108">
        <v>6.8177777777777777</v>
      </c>
      <c r="GF108">
        <v>-0.39527777777777806</v>
      </c>
      <c r="GG108">
        <v>2.2333333333333334</v>
      </c>
      <c r="GH108">
        <v>17.555555555555564</v>
      </c>
      <c r="GI108">
        <v>4.5222222222222221</v>
      </c>
      <c r="GJ108">
        <v>20.111111111111111</v>
      </c>
      <c r="GK108">
        <v>3.4444444444444446</v>
      </c>
      <c r="GL108">
        <v>1.1111111111111109</v>
      </c>
    </row>
    <row r="109" spans="1:194" x14ac:dyDescent="0.2">
      <c r="A109" s="39">
        <v>43737</v>
      </c>
      <c r="B109" s="26" t="s">
        <v>417</v>
      </c>
      <c r="C109" s="41" t="s">
        <v>300</v>
      </c>
      <c r="D109" s="27" t="s">
        <v>294</v>
      </c>
      <c r="E109">
        <v>31</v>
      </c>
      <c r="F109">
        <v>7.7</v>
      </c>
      <c r="G109" s="14">
        <v>14.9</v>
      </c>
      <c r="H109" s="14">
        <f>18.1+3.9+2.1</f>
        <v>24.1</v>
      </c>
      <c r="I109">
        <v>-3.5</v>
      </c>
      <c r="J109">
        <v>46</v>
      </c>
      <c r="L109" s="1" t="s">
        <v>300</v>
      </c>
      <c r="M109">
        <v>19</v>
      </c>
      <c r="N109">
        <v>-1.5</v>
      </c>
      <c r="O109">
        <v>22</v>
      </c>
      <c r="P109">
        <v>21.5</v>
      </c>
      <c r="Q109">
        <v>14</v>
      </c>
      <c r="R109">
        <v>3.755555555555556</v>
      </c>
      <c r="S109">
        <v>29</v>
      </c>
      <c r="T109">
        <v>7.2222222222222214</v>
      </c>
      <c r="U109">
        <v>-0.44444444444444442</v>
      </c>
      <c r="V109">
        <v>2</v>
      </c>
      <c r="W109">
        <v>4</v>
      </c>
      <c r="X109">
        <v>4</v>
      </c>
      <c r="Y109">
        <v>0.96666666666666679</v>
      </c>
      <c r="Z109">
        <v>4</v>
      </c>
      <c r="AA109">
        <v>2.666666666666663</v>
      </c>
      <c r="AB109">
        <v>-0.55555555555555569</v>
      </c>
      <c r="AC109">
        <v>3</v>
      </c>
      <c r="AD109">
        <v>3.5</v>
      </c>
      <c r="AE109">
        <v>5</v>
      </c>
      <c r="AF109">
        <v>-0.44444444444444464</v>
      </c>
      <c r="AG109">
        <v>2</v>
      </c>
      <c r="AH109">
        <v>13.333333333333334</v>
      </c>
      <c r="AI109">
        <v>0.66666666666666663</v>
      </c>
      <c r="AJ109">
        <v>16</v>
      </c>
      <c r="AK109">
        <v>17</v>
      </c>
      <c r="AL109">
        <v>17</v>
      </c>
      <c r="AM109">
        <v>-1.0444444444444443</v>
      </c>
      <c r="AN109">
        <v>17</v>
      </c>
      <c r="AO109">
        <v>4.4444444444444429</v>
      </c>
      <c r="AP109">
        <v>0.66666666666666663</v>
      </c>
      <c r="AQ109">
        <v>20</v>
      </c>
      <c r="AR109">
        <v>19</v>
      </c>
      <c r="AS109">
        <v>18</v>
      </c>
      <c r="AT109">
        <v>-1.8111111111111107</v>
      </c>
      <c r="AU109">
        <v>20</v>
      </c>
      <c r="AV109">
        <v>-11.666666666666666</v>
      </c>
      <c r="AW109">
        <v>-1.3333333333333333</v>
      </c>
      <c r="AX109">
        <v>18</v>
      </c>
      <c r="AY109">
        <v>17</v>
      </c>
      <c r="AZ109">
        <v>12</v>
      </c>
      <c r="BA109">
        <v>-3.2444444444444454</v>
      </c>
      <c r="BB109">
        <v>22</v>
      </c>
      <c r="BC109">
        <v>-18.000000000000004</v>
      </c>
      <c r="BD109">
        <v>-3.4444444444444451</v>
      </c>
      <c r="BE109">
        <v>27</v>
      </c>
      <c r="BF109">
        <v>27</v>
      </c>
      <c r="BG109">
        <v>26</v>
      </c>
      <c r="BH109">
        <v>-6.1333333333333355</v>
      </c>
      <c r="BI109">
        <v>28</v>
      </c>
      <c r="BJ109">
        <v>-30.555555555555554</v>
      </c>
      <c r="BK109">
        <v>-3.2222222222222219</v>
      </c>
      <c r="BL109">
        <v>31</v>
      </c>
      <c r="BM109">
        <v>31</v>
      </c>
      <c r="BN109">
        <v>30</v>
      </c>
      <c r="BO109">
        <v>0.33333333333333343</v>
      </c>
      <c r="BP109">
        <v>32</v>
      </c>
      <c r="BQ109">
        <v>-0.11111111111111117</v>
      </c>
      <c r="BR109">
        <v>7.1111111111111107</v>
      </c>
      <c r="BS109">
        <v>16</v>
      </c>
      <c r="BT109">
        <v>14.5</v>
      </c>
      <c r="BU109">
        <v>17</v>
      </c>
      <c r="BV109">
        <v>8.5286119491604487E-2</v>
      </c>
      <c r="BW109">
        <v>14</v>
      </c>
      <c r="BX109">
        <v>9.1005310303555933E-3</v>
      </c>
      <c r="BY109">
        <v>3</v>
      </c>
      <c r="BZ109">
        <v>-3.4111111111111092</v>
      </c>
      <c r="CA109">
        <v>24</v>
      </c>
      <c r="CB109">
        <v>-2.2222222222222219</v>
      </c>
      <c r="CC109">
        <v>-2.5555555555555571</v>
      </c>
      <c r="CD109">
        <v>2.3333333333333339</v>
      </c>
      <c r="CE109">
        <v>0</v>
      </c>
      <c r="CF109">
        <v>-32.222222222222207</v>
      </c>
      <c r="CG109">
        <v>-28.333333333333332</v>
      </c>
      <c r="CH109">
        <v>6.4444444444444429</v>
      </c>
      <c r="CI109">
        <v>-7.7777777777777777</v>
      </c>
      <c r="CJ109">
        <v>-2.5555555555555554</v>
      </c>
      <c r="CK109">
        <v>27</v>
      </c>
      <c r="CL109">
        <v>-6.2222222222222232</v>
      </c>
      <c r="CM109">
        <v>-4.5477777777777781</v>
      </c>
      <c r="CN109">
        <v>-34.777777777777771</v>
      </c>
      <c r="CO109">
        <v>6.2222222222222232</v>
      </c>
      <c r="CP109">
        <v>-0.73472222222222239</v>
      </c>
      <c r="CQ109">
        <v>-3.3</v>
      </c>
      <c r="CR109">
        <v>6.1111111111111125</v>
      </c>
      <c r="CS109">
        <v>4.7222222222222232</v>
      </c>
      <c r="CT109">
        <v>9.888888888888884</v>
      </c>
      <c r="CU109">
        <v>-3.2222222222222219</v>
      </c>
      <c r="CV109">
        <v>-1</v>
      </c>
      <c r="CW109">
        <v>-0.66527777777777741</v>
      </c>
      <c r="CX109">
        <v>-1.8408333333333331</v>
      </c>
      <c r="CY109" t="s">
        <v>294</v>
      </c>
      <c r="CZ109">
        <v>30</v>
      </c>
      <c r="DA109">
        <v>-1.7777777777778187E-2</v>
      </c>
      <c r="DB109">
        <v>18</v>
      </c>
      <c r="DC109">
        <v>19.5</v>
      </c>
      <c r="DD109">
        <v>7</v>
      </c>
      <c r="DE109">
        <v>-0.3555555555555549</v>
      </c>
      <c r="DF109">
        <v>32</v>
      </c>
      <c r="DG109">
        <v>-19.666666666666668</v>
      </c>
      <c r="DH109">
        <v>-0.11111111111111101</v>
      </c>
      <c r="DI109">
        <v>5</v>
      </c>
      <c r="DJ109">
        <v>8</v>
      </c>
      <c r="DK109">
        <v>13</v>
      </c>
      <c r="DL109">
        <v>1.1000000000000005</v>
      </c>
      <c r="DM109">
        <v>3</v>
      </c>
      <c r="DN109">
        <v>-1.3333333333333333</v>
      </c>
      <c r="DO109">
        <v>1.6666666666666667</v>
      </c>
      <c r="DP109">
        <v>30</v>
      </c>
      <c r="DQ109">
        <v>24</v>
      </c>
      <c r="DR109">
        <v>24</v>
      </c>
      <c r="DS109">
        <v>-0.26666666666666689</v>
      </c>
      <c r="DT109">
        <v>24</v>
      </c>
      <c r="DU109">
        <v>4.7777777777777786</v>
      </c>
      <c r="DV109">
        <v>-0.66666666666666663</v>
      </c>
      <c r="DW109">
        <v>31</v>
      </c>
      <c r="DX109">
        <v>30.5</v>
      </c>
      <c r="DY109">
        <v>30</v>
      </c>
      <c r="DZ109">
        <v>5.5777777777777784</v>
      </c>
      <c r="EA109">
        <v>31</v>
      </c>
      <c r="EB109">
        <v>24</v>
      </c>
      <c r="EC109">
        <v>2.5555555555555558</v>
      </c>
      <c r="ED109">
        <v>29</v>
      </c>
      <c r="EE109">
        <v>20</v>
      </c>
      <c r="EF109">
        <v>18</v>
      </c>
      <c r="EG109">
        <v>-1.4666666666666661</v>
      </c>
      <c r="EH109">
        <v>22</v>
      </c>
      <c r="EI109">
        <v>-14.444444444444445</v>
      </c>
      <c r="EJ109">
        <v>-0.44444444444444436</v>
      </c>
      <c r="EK109">
        <v>32</v>
      </c>
      <c r="EL109">
        <v>32</v>
      </c>
      <c r="EM109">
        <v>32</v>
      </c>
      <c r="EN109">
        <v>-8.1444444444444439</v>
      </c>
      <c r="EO109">
        <v>32</v>
      </c>
      <c r="EP109">
        <v>-34.777777777777779</v>
      </c>
      <c r="EQ109">
        <v>-3.3333333333333335</v>
      </c>
      <c r="ER109">
        <v>8</v>
      </c>
      <c r="ES109">
        <v>8.5</v>
      </c>
      <c r="ET109">
        <v>12</v>
      </c>
      <c r="EU109">
        <v>-4.0444444444444434</v>
      </c>
      <c r="EV109">
        <v>5</v>
      </c>
      <c r="EW109">
        <v>-17.111111111111111</v>
      </c>
      <c r="EX109">
        <v>-1.1111111111111114</v>
      </c>
      <c r="EY109">
        <v>31</v>
      </c>
      <c r="EZ109">
        <v>28.5</v>
      </c>
      <c r="FA109">
        <v>26</v>
      </c>
      <c r="FB109">
        <v>3.5555555555555554</v>
      </c>
      <c r="FC109">
        <v>31</v>
      </c>
      <c r="FD109">
        <v>0.77777777777777768</v>
      </c>
      <c r="FE109">
        <v>2.4444444444444446</v>
      </c>
      <c r="FF109">
        <v>4</v>
      </c>
      <c r="FG109">
        <v>8.75</v>
      </c>
      <c r="FH109">
        <v>3</v>
      </c>
      <c r="FI109">
        <v>5.2407494609506999E-2</v>
      </c>
      <c r="FJ109">
        <v>4</v>
      </c>
      <c r="FK109">
        <v>-1.7389648916996698E-2</v>
      </c>
      <c r="FL109">
        <v>14</v>
      </c>
      <c r="FM109">
        <v>-6.3333333333333313</v>
      </c>
      <c r="FN109">
        <v>14</v>
      </c>
      <c r="FO109">
        <v>-3.8888888888888893</v>
      </c>
      <c r="FP109">
        <v>-1.3333333333333333</v>
      </c>
      <c r="FQ109">
        <v>-0.88888888888888873</v>
      </c>
      <c r="FR109">
        <v>-0.44444444444444448</v>
      </c>
      <c r="FS109">
        <v>-2.6666666666666665</v>
      </c>
      <c r="FT109">
        <v>3.3333333333333335</v>
      </c>
      <c r="FU109">
        <v>1.5555555555555554</v>
      </c>
      <c r="FV109">
        <v>-14.777777777777791</v>
      </c>
      <c r="FW109">
        <v>1.2222222222222285</v>
      </c>
      <c r="FX109">
        <v>-7.4444444444444429</v>
      </c>
      <c r="FY109">
        <v>-2.3333333333333335</v>
      </c>
      <c r="FZ109">
        <v>-6.2222222222222223</v>
      </c>
      <c r="GA109">
        <v>16</v>
      </c>
      <c r="GB109">
        <v>-0.7622222222222238</v>
      </c>
      <c r="GC109">
        <v>-0.41577777777777802</v>
      </c>
      <c r="GD109">
        <v>8.6666666666666714</v>
      </c>
      <c r="GE109">
        <v>0.7622222222222238</v>
      </c>
      <c r="GF109">
        <v>0.51027777777777816</v>
      </c>
      <c r="GG109">
        <v>3.8444444444444459</v>
      </c>
      <c r="GH109">
        <v>14.333333333333334</v>
      </c>
      <c r="GI109">
        <v>0.74444444444444557</v>
      </c>
      <c r="GJ109">
        <v>-21</v>
      </c>
      <c r="GK109">
        <v>0.33333333333333348</v>
      </c>
      <c r="GL109">
        <v>1.5555555555555558</v>
      </c>
    </row>
    <row r="110" spans="1:194" x14ac:dyDescent="0.2">
      <c r="A110" s="39">
        <v>43737</v>
      </c>
      <c r="B110" s="26" t="s">
        <v>417</v>
      </c>
      <c r="C110" s="41" t="s">
        <v>311</v>
      </c>
      <c r="D110" s="27" t="s">
        <v>301</v>
      </c>
      <c r="E110">
        <v>8.1</v>
      </c>
      <c r="F110" s="14">
        <v>5.3</v>
      </c>
      <c r="G110">
        <v>4.4000000000000004</v>
      </c>
      <c r="H110" s="14">
        <v>7.3</v>
      </c>
      <c r="I110">
        <v>-5.5</v>
      </c>
      <c r="J110">
        <v>47.5</v>
      </c>
      <c r="K110" t="s">
        <v>109</v>
      </c>
      <c r="L110" s="1" t="s">
        <v>311</v>
      </c>
      <c r="M110">
        <v>6</v>
      </c>
      <c r="N110">
        <v>0.21111111111111094</v>
      </c>
      <c r="O110">
        <v>22</v>
      </c>
      <c r="P110">
        <v>21.5</v>
      </c>
      <c r="Q110">
        <v>30</v>
      </c>
      <c r="R110">
        <v>-4.8111111111111109</v>
      </c>
      <c r="S110">
        <v>13</v>
      </c>
      <c r="T110">
        <v>-1.8888888888888882</v>
      </c>
      <c r="U110">
        <v>-1.5555555555555554</v>
      </c>
      <c r="V110">
        <v>8</v>
      </c>
      <c r="W110">
        <v>9.5</v>
      </c>
      <c r="X110">
        <v>3</v>
      </c>
      <c r="Y110">
        <v>0.68888888888888911</v>
      </c>
      <c r="Z110">
        <v>16</v>
      </c>
      <c r="AA110">
        <v>2.5555555555555558</v>
      </c>
      <c r="AB110">
        <v>0.66666666666666663</v>
      </c>
      <c r="AC110">
        <v>2</v>
      </c>
      <c r="AD110">
        <v>2.5</v>
      </c>
      <c r="AE110">
        <v>1</v>
      </c>
      <c r="AF110">
        <v>-6.5555555555555527</v>
      </c>
      <c r="AG110">
        <v>4</v>
      </c>
      <c r="AH110">
        <v>-31.555555555555557</v>
      </c>
      <c r="AI110">
        <v>-0.11111111111111101</v>
      </c>
      <c r="AJ110">
        <v>15</v>
      </c>
      <c r="AK110">
        <v>15</v>
      </c>
      <c r="AL110">
        <v>16</v>
      </c>
      <c r="AM110">
        <v>0.46666666666666706</v>
      </c>
      <c r="AN110">
        <v>14</v>
      </c>
      <c r="AO110">
        <v>4</v>
      </c>
      <c r="AP110">
        <v>0.44444444444444448</v>
      </c>
      <c r="AQ110">
        <v>21</v>
      </c>
      <c r="AR110">
        <v>21</v>
      </c>
      <c r="AS110">
        <v>21</v>
      </c>
      <c r="AT110">
        <v>3.588888888888889</v>
      </c>
      <c r="AU110">
        <v>21</v>
      </c>
      <c r="AV110">
        <v>20.555555555555554</v>
      </c>
      <c r="AW110">
        <v>0.44444444444444448</v>
      </c>
      <c r="AX110">
        <v>17</v>
      </c>
      <c r="AY110">
        <v>16.5</v>
      </c>
      <c r="AZ110">
        <v>21</v>
      </c>
      <c r="BA110">
        <v>0.18888888888888644</v>
      </c>
      <c r="BB110">
        <v>12</v>
      </c>
      <c r="BC110">
        <v>-0.33333333333333331</v>
      </c>
      <c r="BD110">
        <v>-1</v>
      </c>
      <c r="BE110">
        <v>11</v>
      </c>
      <c r="BF110">
        <v>12</v>
      </c>
      <c r="BG110">
        <v>11</v>
      </c>
      <c r="BH110">
        <v>2.2333333333333338</v>
      </c>
      <c r="BI110">
        <v>13</v>
      </c>
      <c r="BJ110">
        <v>-1</v>
      </c>
      <c r="BK110">
        <v>-1.3333333333333337</v>
      </c>
      <c r="BL110">
        <v>22</v>
      </c>
      <c r="BM110">
        <v>20.5</v>
      </c>
      <c r="BN110">
        <v>22</v>
      </c>
      <c r="BO110">
        <v>-0.88888888888888895</v>
      </c>
      <c r="BP110">
        <v>19</v>
      </c>
      <c r="BQ110">
        <v>-0.44444444444444448</v>
      </c>
      <c r="BR110">
        <v>0.88888888888888895</v>
      </c>
      <c r="BS110">
        <v>20</v>
      </c>
      <c r="BT110">
        <v>17.5</v>
      </c>
      <c r="BU110">
        <v>1</v>
      </c>
      <c r="BV110">
        <v>0.10107117619804891</v>
      </c>
      <c r="BW110">
        <v>24</v>
      </c>
      <c r="BX110">
        <v>3.4632654493779058E-2</v>
      </c>
      <c r="BY110">
        <v>15</v>
      </c>
      <c r="BZ110">
        <v>-0.44444444444444287</v>
      </c>
      <c r="CA110">
        <v>30</v>
      </c>
      <c r="CB110">
        <v>-0.22222222222222202</v>
      </c>
      <c r="CC110">
        <v>-4.2222222222222214</v>
      </c>
      <c r="CD110">
        <v>-1.6666666666666654</v>
      </c>
      <c r="CE110">
        <v>0</v>
      </c>
      <c r="CF110">
        <v>-31.777777777777789</v>
      </c>
      <c r="CG110">
        <v>-27.777777777777771</v>
      </c>
      <c r="CH110">
        <v>-2.8888888888888857</v>
      </c>
      <c r="CI110">
        <v>-3.2222222222222228</v>
      </c>
      <c r="CJ110">
        <v>2.1111111111111107</v>
      </c>
      <c r="CK110">
        <v>10</v>
      </c>
      <c r="CL110">
        <v>4.333333333333333</v>
      </c>
      <c r="CM110">
        <v>2.0500000000000007</v>
      </c>
      <c r="CN110">
        <v>-24.888888888888886</v>
      </c>
      <c r="CO110">
        <v>-4.333333333333333</v>
      </c>
      <c r="CP110">
        <v>-0.63333333333333286</v>
      </c>
      <c r="CQ110">
        <v>-2.4999999999999969</v>
      </c>
      <c r="CR110">
        <v>-7.0000000000000036</v>
      </c>
      <c r="CS110">
        <v>-4.1222222222222218</v>
      </c>
      <c r="CT110">
        <v>0.66666666666666763</v>
      </c>
      <c r="CU110">
        <v>-0.5555555555555558</v>
      </c>
      <c r="CV110">
        <v>-0.88888888888888873</v>
      </c>
      <c r="CW110">
        <v>7.4861111111111489E-2</v>
      </c>
      <c r="CX110">
        <v>1.2386111111111113</v>
      </c>
      <c r="CY110" t="s">
        <v>301</v>
      </c>
      <c r="CZ110">
        <v>14</v>
      </c>
      <c r="DA110">
        <v>-3.9333333333333322</v>
      </c>
      <c r="DB110">
        <v>7</v>
      </c>
      <c r="DC110">
        <v>10</v>
      </c>
      <c r="DD110">
        <v>5</v>
      </c>
      <c r="DE110">
        <v>1.5000000000000007</v>
      </c>
      <c r="DF110">
        <v>15</v>
      </c>
      <c r="DG110">
        <v>8.3333333333333304</v>
      </c>
      <c r="DH110">
        <v>0.77777777777777768</v>
      </c>
      <c r="DI110">
        <v>2</v>
      </c>
      <c r="DJ110">
        <v>3</v>
      </c>
      <c r="DK110">
        <v>4</v>
      </c>
      <c r="DL110">
        <v>2.0888888888888886</v>
      </c>
      <c r="DM110">
        <v>2</v>
      </c>
      <c r="DN110">
        <v>2.4444444444444442</v>
      </c>
      <c r="DO110">
        <v>-0.66666666666666663</v>
      </c>
      <c r="DP110">
        <v>20</v>
      </c>
      <c r="DQ110">
        <v>16.5</v>
      </c>
      <c r="DR110">
        <v>16</v>
      </c>
      <c r="DS110">
        <v>-9.2999999999999989</v>
      </c>
      <c r="DT110">
        <v>17</v>
      </c>
      <c r="DU110">
        <v>-41.222222222222221</v>
      </c>
      <c r="DV110">
        <v>-1.6666666666666672</v>
      </c>
      <c r="DW110">
        <v>7</v>
      </c>
      <c r="DX110">
        <v>6.5</v>
      </c>
      <c r="DY110">
        <v>8</v>
      </c>
      <c r="DZ110">
        <v>6.2333333333333343</v>
      </c>
      <c r="EA110">
        <v>5</v>
      </c>
      <c r="EB110">
        <v>20.888888888888893</v>
      </c>
      <c r="EC110">
        <v>3.1111111111111112</v>
      </c>
      <c r="ED110">
        <v>11</v>
      </c>
      <c r="EE110">
        <v>7.5</v>
      </c>
      <c r="EF110">
        <v>12</v>
      </c>
      <c r="EG110">
        <v>-5.333333333333333</v>
      </c>
      <c r="EH110">
        <v>3</v>
      </c>
      <c r="EI110">
        <v>-21.888888888888889</v>
      </c>
      <c r="EJ110">
        <v>-1.3333333333333333</v>
      </c>
      <c r="EK110">
        <v>18</v>
      </c>
      <c r="EL110">
        <v>18</v>
      </c>
      <c r="EM110">
        <v>22</v>
      </c>
      <c r="EN110">
        <v>-4.6555555555555577</v>
      </c>
      <c r="EO110">
        <v>14</v>
      </c>
      <c r="EP110">
        <v>-28.777777777777782</v>
      </c>
      <c r="EQ110">
        <v>1.2222222222222217</v>
      </c>
      <c r="ER110">
        <v>12</v>
      </c>
      <c r="ES110">
        <v>13</v>
      </c>
      <c r="ET110">
        <v>20</v>
      </c>
      <c r="EU110">
        <v>-0.3000000000000001</v>
      </c>
      <c r="EV110">
        <v>6</v>
      </c>
      <c r="EW110">
        <v>-13.888888888888891</v>
      </c>
      <c r="EX110">
        <v>-1</v>
      </c>
      <c r="EY110">
        <v>10</v>
      </c>
      <c r="EZ110">
        <v>11.5</v>
      </c>
      <c r="FA110">
        <v>16</v>
      </c>
      <c r="FB110">
        <v>0.33333333333333331</v>
      </c>
      <c r="FC110">
        <v>7</v>
      </c>
      <c r="FD110">
        <v>0</v>
      </c>
      <c r="FE110">
        <v>-1.1111111111111107</v>
      </c>
      <c r="FF110">
        <v>18</v>
      </c>
      <c r="FG110">
        <v>16.25</v>
      </c>
      <c r="FH110">
        <v>18</v>
      </c>
      <c r="FI110">
        <v>-4.7521502819219035E-3</v>
      </c>
      <c r="FJ110">
        <v>16</v>
      </c>
      <c r="FK110">
        <v>9.7597416314279765E-3</v>
      </c>
      <c r="FL110">
        <v>8</v>
      </c>
      <c r="FM110">
        <v>1.8444444444444461</v>
      </c>
      <c r="FN110">
        <v>23</v>
      </c>
      <c r="FO110">
        <v>-1.5555555555555554</v>
      </c>
      <c r="FP110">
        <v>-2.1111111111111094</v>
      </c>
      <c r="FQ110">
        <v>2.2222222222222219</v>
      </c>
      <c r="FR110">
        <v>1</v>
      </c>
      <c r="FS110">
        <v>1.222222222222219</v>
      </c>
      <c r="FT110">
        <v>0.88888888888888928</v>
      </c>
      <c r="FU110">
        <v>-0.77777777777777779</v>
      </c>
      <c r="FV110">
        <v>-53</v>
      </c>
      <c r="FW110">
        <v>-72.111111111111128</v>
      </c>
      <c r="FX110">
        <v>10.777777777777779</v>
      </c>
      <c r="FY110">
        <v>-4</v>
      </c>
      <c r="FZ110">
        <v>12.33333333333333</v>
      </c>
      <c r="GA110">
        <v>31</v>
      </c>
      <c r="GB110">
        <v>-7.5222222222222213</v>
      </c>
      <c r="GC110">
        <v>-4.3211111111111107</v>
      </c>
      <c r="GD110">
        <v>-82.888888888888914</v>
      </c>
      <c r="GE110">
        <v>7.5222222222222221</v>
      </c>
      <c r="GF110">
        <v>-1.0888888888888884</v>
      </c>
      <c r="GG110">
        <v>-8.3999999999999986</v>
      </c>
      <c r="GH110">
        <v>-42.222222222222214</v>
      </c>
      <c r="GI110">
        <v>3.5888888888888895</v>
      </c>
      <c r="GJ110">
        <v>10.777777777777775</v>
      </c>
      <c r="GK110">
        <v>-0.88888888888888928</v>
      </c>
      <c r="GL110">
        <v>0.11111111111111105</v>
      </c>
    </row>
    <row r="111" spans="1:194" x14ac:dyDescent="0.2">
      <c r="A111" s="39">
        <v>43737</v>
      </c>
      <c r="B111" s="26" t="s">
        <v>417</v>
      </c>
      <c r="C111" s="41" t="s">
        <v>289</v>
      </c>
      <c r="D111" s="27" t="s">
        <v>303</v>
      </c>
      <c r="E111">
        <v>11.2</v>
      </c>
      <c r="F111">
        <v>13.8</v>
      </c>
      <c r="G111">
        <v>6.5</v>
      </c>
      <c r="H111" s="14">
        <f>12.2+11.8</f>
        <v>24</v>
      </c>
      <c r="I111">
        <v>-5</v>
      </c>
      <c r="J111">
        <v>46</v>
      </c>
      <c r="K111" t="s">
        <v>110</v>
      </c>
      <c r="L111" s="1" t="s">
        <v>289</v>
      </c>
      <c r="M111">
        <v>22</v>
      </c>
      <c r="N111">
        <v>0.57333333333333536</v>
      </c>
      <c r="O111">
        <v>11</v>
      </c>
      <c r="P111">
        <v>11.5</v>
      </c>
      <c r="Q111">
        <v>19</v>
      </c>
      <c r="R111">
        <v>2.2111111111111117</v>
      </c>
      <c r="S111">
        <v>4</v>
      </c>
      <c r="T111">
        <v>28.666666666666668</v>
      </c>
      <c r="U111">
        <v>-1</v>
      </c>
      <c r="V111">
        <v>23</v>
      </c>
      <c r="W111">
        <v>20.5</v>
      </c>
      <c r="X111">
        <v>18</v>
      </c>
      <c r="Y111">
        <v>0.73333333333333328</v>
      </c>
      <c r="Z111">
        <v>23</v>
      </c>
      <c r="AA111">
        <v>-1.4444444444444438</v>
      </c>
      <c r="AB111">
        <v>1.3333333333333333</v>
      </c>
      <c r="AC111">
        <v>18</v>
      </c>
      <c r="AD111">
        <v>18</v>
      </c>
      <c r="AE111">
        <v>21</v>
      </c>
      <c r="AF111">
        <v>2.277777777777779</v>
      </c>
      <c r="AG111">
        <v>15</v>
      </c>
      <c r="AH111">
        <v>-7.1111111111111116</v>
      </c>
      <c r="AI111">
        <v>-0.11111111111111072</v>
      </c>
      <c r="AJ111">
        <v>18</v>
      </c>
      <c r="AK111">
        <v>18.5</v>
      </c>
      <c r="AL111">
        <v>14</v>
      </c>
      <c r="AM111">
        <v>-0.99999999999999967</v>
      </c>
      <c r="AN111">
        <v>23</v>
      </c>
      <c r="AO111">
        <v>-14.444444444444443</v>
      </c>
      <c r="AP111">
        <v>-1.8888888888888886</v>
      </c>
      <c r="AQ111">
        <v>22</v>
      </c>
      <c r="AR111">
        <v>22</v>
      </c>
      <c r="AS111">
        <v>22</v>
      </c>
      <c r="AT111">
        <v>0.53333333333333355</v>
      </c>
      <c r="AU111">
        <v>22</v>
      </c>
      <c r="AV111">
        <v>-6</v>
      </c>
      <c r="AW111">
        <v>4.4444444444444446</v>
      </c>
      <c r="AX111">
        <v>12</v>
      </c>
      <c r="AY111">
        <v>12</v>
      </c>
      <c r="AZ111">
        <v>14</v>
      </c>
      <c r="BA111">
        <v>3.68888888888889</v>
      </c>
      <c r="BB111">
        <v>10</v>
      </c>
      <c r="BC111">
        <v>-4.2222222222222214</v>
      </c>
      <c r="BD111">
        <v>-1.4444444444444446</v>
      </c>
      <c r="BE111">
        <v>7</v>
      </c>
      <c r="BF111">
        <v>6.5</v>
      </c>
      <c r="BG111">
        <v>8</v>
      </c>
      <c r="BH111">
        <v>-0.38888888888889106</v>
      </c>
      <c r="BI111">
        <v>5</v>
      </c>
      <c r="BJ111">
        <v>11.222222222222221</v>
      </c>
      <c r="BK111">
        <v>-0.11111111111111131</v>
      </c>
      <c r="BL111">
        <v>19</v>
      </c>
      <c r="BM111">
        <v>19.5</v>
      </c>
      <c r="BN111">
        <v>24</v>
      </c>
      <c r="BO111">
        <v>0.66666666666666663</v>
      </c>
      <c r="BP111">
        <v>15</v>
      </c>
      <c r="BQ111">
        <v>0.44444444444444448</v>
      </c>
      <c r="BR111">
        <v>-3</v>
      </c>
      <c r="BS111">
        <v>3</v>
      </c>
      <c r="BT111">
        <v>7.75</v>
      </c>
      <c r="BU111">
        <v>4</v>
      </c>
      <c r="BV111">
        <v>-4.3274460607674377E-2</v>
      </c>
      <c r="BW111">
        <v>8</v>
      </c>
      <c r="BX111">
        <v>-1.4720414289998267E-3</v>
      </c>
      <c r="BY111">
        <v>13</v>
      </c>
      <c r="BZ111">
        <v>-9.9111111111111132</v>
      </c>
      <c r="CA111">
        <v>6</v>
      </c>
      <c r="CB111">
        <v>-2.6666666666666665</v>
      </c>
      <c r="CC111">
        <v>3.4444444444444429</v>
      </c>
      <c r="CD111">
        <v>2.111111111111112</v>
      </c>
      <c r="CE111">
        <v>0</v>
      </c>
      <c r="CF111">
        <v>23.111111111111104</v>
      </c>
      <c r="CG111">
        <v>-16.222222222222218</v>
      </c>
      <c r="CH111">
        <v>37.111111111111114</v>
      </c>
      <c r="CI111">
        <v>-2.9605947323337506E-16</v>
      </c>
      <c r="CJ111">
        <v>2.2222222222222219</v>
      </c>
      <c r="CK111">
        <v>23</v>
      </c>
      <c r="CL111">
        <v>-2.3711111111111096</v>
      </c>
      <c r="CM111">
        <v>-1.0731111111111109</v>
      </c>
      <c r="CN111">
        <v>-53.333333333333329</v>
      </c>
      <c r="CO111">
        <v>2.3711111111111096</v>
      </c>
      <c r="CP111">
        <v>0.70083333333333353</v>
      </c>
      <c r="CQ111">
        <v>1.8111111111111131</v>
      </c>
      <c r="CR111">
        <v>-27.555555555555554</v>
      </c>
      <c r="CS111">
        <v>2.9444444444444451</v>
      </c>
      <c r="CT111">
        <v>27.222222222222225</v>
      </c>
      <c r="CU111">
        <v>2.3333333333333344</v>
      </c>
      <c r="CV111">
        <v>0.33333333333333326</v>
      </c>
      <c r="CW111">
        <v>3.6250000000000282E-2</v>
      </c>
      <c r="CX111">
        <v>0.32944444444444476</v>
      </c>
      <c r="CY111" t="s">
        <v>303</v>
      </c>
      <c r="CZ111">
        <v>13</v>
      </c>
      <c r="DA111">
        <v>1.6555555555555579</v>
      </c>
      <c r="DB111">
        <v>13</v>
      </c>
      <c r="DC111">
        <v>12</v>
      </c>
      <c r="DD111">
        <v>10</v>
      </c>
      <c r="DE111">
        <v>-5.355555555555557</v>
      </c>
      <c r="DF111">
        <v>14</v>
      </c>
      <c r="DG111">
        <v>-15.555555555555555</v>
      </c>
      <c r="DH111">
        <v>0.66666666666666652</v>
      </c>
      <c r="DI111">
        <v>6</v>
      </c>
      <c r="DJ111">
        <v>8.5</v>
      </c>
      <c r="DK111">
        <v>6</v>
      </c>
      <c r="DL111">
        <v>-1.3000000000000007</v>
      </c>
      <c r="DM111">
        <v>11</v>
      </c>
      <c r="DN111">
        <v>-6.666666666666667</v>
      </c>
      <c r="DO111">
        <v>-1.1111111111111109</v>
      </c>
      <c r="DP111">
        <v>18</v>
      </c>
      <c r="DQ111">
        <v>25</v>
      </c>
      <c r="DR111">
        <v>25</v>
      </c>
      <c r="DS111">
        <v>-7.5222222222222221</v>
      </c>
      <c r="DT111">
        <v>25</v>
      </c>
      <c r="DU111">
        <v>-46.55555555555555</v>
      </c>
      <c r="DV111">
        <v>-1.8888888888888886</v>
      </c>
      <c r="DW111">
        <v>9</v>
      </c>
      <c r="DX111">
        <v>10</v>
      </c>
      <c r="DY111">
        <v>11</v>
      </c>
      <c r="DZ111">
        <v>6.511111111111112</v>
      </c>
      <c r="EA111">
        <v>9</v>
      </c>
      <c r="EB111">
        <v>32.555555555555557</v>
      </c>
      <c r="EC111">
        <v>0</v>
      </c>
      <c r="ED111">
        <v>25</v>
      </c>
      <c r="EE111">
        <v>32</v>
      </c>
      <c r="EF111">
        <v>32</v>
      </c>
      <c r="EG111">
        <v>0.58888888888888913</v>
      </c>
      <c r="EH111">
        <v>32</v>
      </c>
      <c r="EI111">
        <v>-4.666666666666667</v>
      </c>
      <c r="EJ111">
        <v>0.44444444444444448</v>
      </c>
      <c r="EK111">
        <v>31</v>
      </c>
      <c r="EL111">
        <v>31</v>
      </c>
      <c r="EM111">
        <v>31</v>
      </c>
      <c r="EN111">
        <v>6.6222222222222227</v>
      </c>
      <c r="EO111">
        <v>31</v>
      </c>
      <c r="EP111">
        <v>17.333333333333329</v>
      </c>
      <c r="EQ111">
        <v>1.7777777777777783</v>
      </c>
      <c r="ER111">
        <v>22</v>
      </c>
      <c r="ES111">
        <v>23.5</v>
      </c>
      <c r="ET111">
        <v>26</v>
      </c>
      <c r="EU111">
        <v>2.7000000000000006</v>
      </c>
      <c r="EV111">
        <v>21</v>
      </c>
      <c r="EW111">
        <v>11.444444444444448</v>
      </c>
      <c r="EX111">
        <v>-0.55555555555555569</v>
      </c>
      <c r="EY111">
        <v>27</v>
      </c>
      <c r="EZ111">
        <v>25.5</v>
      </c>
      <c r="FA111">
        <v>22</v>
      </c>
      <c r="FB111">
        <v>0.66666666666666641</v>
      </c>
      <c r="FC111">
        <v>29</v>
      </c>
      <c r="FD111">
        <v>0.11111111111111109</v>
      </c>
      <c r="FE111">
        <v>0.66666666666666685</v>
      </c>
      <c r="FF111">
        <v>10</v>
      </c>
      <c r="FG111">
        <v>13.25</v>
      </c>
      <c r="FH111">
        <v>12</v>
      </c>
      <c r="FI111">
        <v>-8.6705940329128775E-2</v>
      </c>
      <c r="FJ111">
        <v>11</v>
      </c>
      <c r="FK111">
        <v>-1.0207184120227595E-2</v>
      </c>
      <c r="FL111">
        <v>12</v>
      </c>
      <c r="FM111">
        <v>-2.9111111111111163</v>
      </c>
      <c r="FN111">
        <v>18</v>
      </c>
      <c r="FO111">
        <v>-1.5555555555555554</v>
      </c>
      <c r="FP111">
        <v>0.1111111111111119</v>
      </c>
      <c r="FQ111">
        <v>-1.6666666666666667</v>
      </c>
      <c r="FR111">
        <v>-1.4802973661668753E-16</v>
      </c>
      <c r="FS111">
        <v>-1.5555555555555571</v>
      </c>
      <c r="FT111">
        <v>1.0000000000000007</v>
      </c>
      <c r="FU111">
        <v>0</v>
      </c>
      <c r="FV111">
        <v>-0.44444444444443815</v>
      </c>
      <c r="FW111">
        <v>20.555555555555554</v>
      </c>
      <c r="FX111">
        <v>-17.777777777777775</v>
      </c>
      <c r="FY111">
        <v>-2.2222222222222219</v>
      </c>
      <c r="FZ111">
        <v>-1</v>
      </c>
      <c r="GA111">
        <v>4</v>
      </c>
      <c r="GB111">
        <v>8.3111111111111153</v>
      </c>
      <c r="GC111">
        <v>4.1144444444444463</v>
      </c>
      <c r="GD111">
        <v>38.333333333333329</v>
      </c>
      <c r="GE111">
        <v>-8.3111111111111153</v>
      </c>
      <c r="GF111">
        <v>-0.2569444444444442</v>
      </c>
      <c r="GG111">
        <v>-0.42222222222222106</v>
      </c>
      <c r="GH111">
        <v>-18.666666666666661</v>
      </c>
      <c r="GI111">
        <v>-6.6555555555555577</v>
      </c>
      <c r="GJ111">
        <v>-22.222222222222221</v>
      </c>
      <c r="GK111">
        <v>-2</v>
      </c>
      <c r="GL111">
        <v>-0.44444444444444442</v>
      </c>
    </row>
    <row r="112" spans="1:194" x14ac:dyDescent="0.2">
      <c r="A112" s="39">
        <v>43737</v>
      </c>
      <c r="B112" s="26" t="s">
        <v>417</v>
      </c>
      <c r="C112" s="41" t="s">
        <v>297</v>
      </c>
      <c r="D112" s="27" t="s">
        <v>278</v>
      </c>
      <c r="E112">
        <v>11.6</v>
      </c>
      <c r="F112">
        <v>8.4</v>
      </c>
      <c r="G112">
        <v>2.7</v>
      </c>
      <c r="H112" s="14">
        <f>8.8+4.7</f>
        <v>13.5</v>
      </c>
      <c r="I112">
        <v>2.5</v>
      </c>
      <c r="J112">
        <v>37</v>
      </c>
      <c r="L112" s="1" t="s">
        <v>297</v>
      </c>
      <c r="M112">
        <v>27</v>
      </c>
      <c r="N112">
        <v>1.3888888888888893</v>
      </c>
      <c r="O112">
        <v>10</v>
      </c>
      <c r="P112">
        <v>9.5</v>
      </c>
      <c r="Q112">
        <v>3</v>
      </c>
      <c r="R112">
        <v>-2.9555555555555544</v>
      </c>
      <c r="S112">
        <v>16</v>
      </c>
      <c r="T112">
        <v>-11.444444444444443</v>
      </c>
      <c r="U112">
        <v>1.5555555555555554</v>
      </c>
      <c r="V112">
        <v>28</v>
      </c>
      <c r="W112">
        <v>28.5</v>
      </c>
      <c r="X112">
        <v>26</v>
      </c>
      <c r="Y112">
        <v>-4.5333333333333341</v>
      </c>
      <c r="Z112">
        <v>31</v>
      </c>
      <c r="AA112">
        <v>-13.777777777777777</v>
      </c>
      <c r="AB112">
        <v>-1.5555555555555556</v>
      </c>
      <c r="AC112">
        <v>31</v>
      </c>
      <c r="AD112">
        <v>31.5</v>
      </c>
      <c r="AE112">
        <v>32</v>
      </c>
      <c r="AF112">
        <v>-7.9777777777777779</v>
      </c>
      <c r="AG112">
        <v>31</v>
      </c>
      <c r="AH112">
        <v>-38.777777777777779</v>
      </c>
      <c r="AI112">
        <v>-2.5555555555555549</v>
      </c>
      <c r="AJ112">
        <v>7</v>
      </c>
      <c r="AK112">
        <v>8</v>
      </c>
      <c r="AL112">
        <v>4</v>
      </c>
      <c r="AM112">
        <v>7.2444444444444445</v>
      </c>
      <c r="AN112">
        <v>12</v>
      </c>
      <c r="AO112">
        <v>27.777777777777782</v>
      </c>
      <c r="AP112">
        <v>0.11111111111111101</v>
      </c>
      <c r="AQ112">
        <v>3</v>
      </c>
      <c r="AR112">
        <v>3</v>
      </c>
      <c r="AS112">
        <v>3</v>
      </c>
      <c r="AT112">
        <v>4.8444444444444441</v>
      </c>
      <c r="AU112">
        <v>3</v>
      </c>
      <c r="AV112">
        <v>29.666666666666668</v>
      </c>
      <c r="AW112">
        <v>-1.0000000000000002</v>
      </c>
      <c r="AX112">
        <v>13</v>
      </c>
      <c r="AY112">
        <v>12.5</v>
      </c>
      <c r="AZ112">
        <v>10</v>
      </c>
      <c r="BA112">
        <v>-4.2777777777777777</v>
      </c>
      <c r="BB112">
        <v>15</v>
      </c>
      <c r="BC112">
        <v>-26.111111111111111</v>
      </c>
      <c r="BD112">
        <v>-1.3333333333333333</v>
      </c>
      <c r="BE112">
        <v>32</v>
      </c>
      <c r="BF112">
        <v>31</v>
      </c>
      <c r="BG112">
        <v>32</v>
      </c>
      <c r="BH112">
        <v>-0.16666666666666666</v>
      </c>
      <c r="BI112">
        <v>30</v>
      </c>
      <c r="BJ112">
        <v>-8.8888888888888875</v>
      </c>
      <c r="BK112">
        <v>-0.44444444444444436</v>
      </c>
      <c r="BL112">
        <v>27</v>
      </c>
      <c r="BM112">
        <v>27</v>
      </c>
      <c r="BN112">
        <v>27</v>
      </c>
      <c r="BO112">
        <v>1.7777777777777777</v>
      </c>
      <c r="BP112">
        <v>27</v>
      </c>
      <c r="BQ112">
        <v>0.44444444444444459</v>
      </c>
      <c r="BR112">
        <v>2.1111111111111112</v>
      </c>
      <c r="BS112">
        <v>7</v>
      </c>
      <c r="BT112">
        <v>11.25</v>
      </c>
      <c r="BU112">
        <v>7</v>
      </c>
      <c r="BV112">
        <v>2.342107916190117E-2</v>
      </c>
      <c r="BW112">
        <v>17</v>
      </c>
      <c r="BX112">
        <v>-1.9556832313889508E-2</v>
      </c>
      <c r="BY112">
        <v>18</v>
      </c>
      <c r="BZ112">
        <v>1.6444444444444457</v>
      </c>
      <c r="CA112">
        <v>3</v>
      </c>
      <c r="CB112">
        <v>-2.4444444444444442</v>
      </c>
      <c r="CC112">
        <v>-9.3333333333333339</v>
      </c>
      <c r="CD112">
        <v>-0.44444444444444403</v>
      </c>
      <c r="CE112">
        <v>0</v>
      </c>
      <c r="CF112">
        <v>-36.444444444444436</v>
      </c>
      <c r="CG112">
        <v>-5.5555555555555527</v>
      </c>
      <c r="CH112">
        <v>-36.777777777777779</v>
      </c>
      <c r="CI112">
        <v>-0.11111111111111116</v>
      </c>
      <c r="CJ112">
        <v>6.0000000000000009</v>
      </c>
      <c r="CK112">
        <v>3</v>
      </c>
      <c r="CL112">
        <v>8.8777777777777764</v>
      </c>
      <c r="CM112">
        <v>4.8111111111111109</v>
      </c>
      <c r="CN112">
        <v>31.222222222222225</v>
      </c>
      <c r="CO112">
        <v>-8.8777777777777782</v>
      </c>
      <c r="CP112">
        <v>-4.7222222222222221E-2</v>
      </c>
      <c r="CQ112">
        <v>4.1111111111111107</v>
      </c>
      <c r="CR112">
        <v>18.666666666666671</v>
      </c>
      <c r="CS112">
        <v>-7.4888888888888889</v>
      </c>
      <c r="CT112">
        <v>-25.222222222222221</v>
      </c>
      <c r="CU112">
        <v>-3.888888888888888</v>
      </c>
      <c r="CV112">
        <v>0</v>
      </c>
      <c r="CW112">
        <v>-0.77874999999999983</v>
      </c>
      <c r="CX112">
        <v>-1.8433333333333328</v>
      </c>
      <c r="CY112" t="s">
        <v>278</v>
      </c>
      <c r="CZ112">
        <v>15</v>
      </c>
      <c r="DA112">
        <v>-2.1577777777777771</v>
      </c>
      <c r="DB112">
        <v>28</v>
      </c>
      <c r="DC112">
        <v>24.5</v>
      </c>
      <c r="DD112">
        <v>25</v>
      </c>
      <c r="DE112">
        <v>4.7777777777777786</v>
      </c>
      <c r="DF112">
        <v>24</v>
      </c>
      <c r="DG112">
        <v>-5.666666666666667</v>
      </c>
      <c r="DH112">
        <v>-0.33333333333333331</v>
      </c>
      <c r="DI112">
        <v>28</v>
      </c>
      <c r="DJ112">
        <v>25.5</v>
      </c>
      <c r="DK112">
        <v>28</v>
      </c>
      <c r="DL112">
        <v>-1.2777777777777779</v>
      </c>
      <c r="DM112">
        <v>23</v>
      </c>
      <c r="DN112">
        <v>12.888888888888891</v>
      </c>
      <c r="DO112">
        <v>-1.3333333333333333</v>
      </c>
      <c r="DP112">
        <v>14</v>
      </c>
      <c r="DQ112">
        <v>8.5</v>
      </c>
      <c r="DR112">
        <v>9</v>
      </c>
      <c r="DS112">
        <v>-0.16666666666666727</v>
      </c>
      <c r="DT112">
        <v>8</v>
      </c>
      <c r="DU112">
        <v>2.7777777777777763</v>
      </c>
      <c r="DV112">
        <v>-1.2222222222222223</v>
      </c>
      <c r="DW112">
        <v>17</v>
      </c>
      <c r="DX112">
        <v>16.5</v>
      </c>
      <c r="DY112">
        <v>14</v>
      </c>
      <c r="DZ112">
        <v>-0.38888888888888956</v>
      </c>
      <c r="EA112">
        <v>19</v>
      </c>
      <c r="EB112">
        <v>2.6666666666666679</v>
      </c>
      <c r="EC112">
        <v>-0.44444444444444436</v>
      </c>
      <c r="ED112">
        <v>15</v>
      </c>
      <c r="EE112">
        <v>7.5</v>
      </c>
      <c r="EF112">
        <v>9</v>
      </c>
      <c r="EG112">
        <v>-2.0444444444444443</v>
      </c>
      <c r="EH112">
        <v>6</v>
      </c>
      <c r="EI112">
        <v>-5.1111111111111116</v>
      </c>
      <c r="EJ112">
        <v>-0.55555555555555547</v>
      </c>
      <c r="EK112">
        <v>30</v>
      </c>
      <c r="EL112">
        <v>28.5</v>
      </c>
      <c r="EM112">
        <v>28</v>
      </c>
      <c r="EN112">
        <v>-2.5111111111111115</v>
      </c>
      <c r="EO112">
        <v>29</v>
      </c>
      <c r="EP112">
        <v>-6.2222222222222214</v>
      </c>
      <c r="EQ112">
        <v>-2.2222222222222223</v>
      </c>
      <c r="ER112">
        <v>6</v>
      </c>
      <c r="ES112">
        <v>8</v>
      </c>
      <c r="ET112">
        <v>9</v>
      </c>
      <c r="EU112">
        <v>-1.0111111111111126</v>
      </c>
      <c r="EV112">
        <v>7</v>
      </c>
      <c r="EW112">
        <v>-0.44444444444444525</v>
      </c>
      <c r="EX112">
        <v>0.11111111111111131</v>
      </c>
      <c r="EY112">
        <v>9</v>
      </c>
      <c r="EZ112">
        <v>9.5</v>
      </c>
      <c r="FA112">
        <v>8</v>
      </c>
      <c r="FB112">
        <v>4.5555555555555554</v>
      </c>
      <c r="FC112">
        <v>11</v>
      </c>
      <c r="FD112">
        <v>0.88888888888888895</v>
      </c>
      <c r="FE112">
        <v>-1.5555555555555554</v>
      </c>
      <c r="FF112">
        <v>12</v>
      </c>
      <c r="FG112">
        <v>14.5</v>
      </c>
      <c r="FH112">
        <v>25</v>
      </c>
      <c r="FI112">
        <v>-5.7999190067827743E-2</v>
      </c>
      <c r="FJ112">
        <v>6</v>
      </c>
      <c r="FK112">
        <v>-6.1172051050811277E-2</v>
      </c>
      <c r="FL112">
        <v>10</v>
      </c>
      <c r="FM112">
        <v>-5.4555555555555557</v>
      </c>
      <c r="FN112">
        <v>17</v>
      </c>
      <c r="FO112">
        <v>-5.5555555555555562</v>
      </c>
      <c r="FP112">
        <v>-5.333333333333333</v>
      </c>
      <c r="FQ112">
        <v>3.3333333333333344</v>
      </c>
      <c r="FR112">
        <v>-0.33333333333333343</v>
      </c>
      <c r="FS112">
        <v>-4.7777777777777786</v>
      </c>
      <c r="FT112">
        <v>5.7777777777777786</v>
      </c>
      <c r="FU112">
        <v>-0.77777777777777779</v>
      </c>
      <c r="FV112">
        <v>3.2222222222222285</v>
      </c>
      <c r="FW112">
        <v>-9.2222222222222197</v>
      </c>
      <c r="FX112">
        <v>3.4444444444444451</v>
      </c>
      <c r="FY112">
        <v>11.33333333333333</v>
      </c>
      <c r="FZ112">
        <v>-2.3333333333333335</v>
      </c>
      <c r="GA112">
        <v>25</v>
      </c>
      <c r="GB112">
        <v>-5.6577777777777785</v>
      </c>
      <c r="GC112">
        <v>-2.9037777777777789</v>
      </c>
      <c r="GD112">
        <v>-12.666666666666664</v>
      </c>
      <c r="GE112">
        <v>5.6577777777777776</v>
      </c>
      <c r="GF112">
        <v>0.28583333333333316</v>
      </c>
      <c r="GG112">
        <v>-2.600000000000001</v>
      </c>
      <c r="GH112">
        <v>0.33333333333333304</v>
      </c>
      <c r="GI112">
        <v>3.5000000000000009</v>
      </c>
      <c r="GJ112">
        <v>7.2222222222222241</v>
      </c>
      <c r="GK112">
        <v>-2.1111111111111112</v>
      </c>
      <c r="GL112">
        <v>-1.6666666666666665</v>
      </c>
    </row>
    <row r="113" spans="1:194" x14ac:dyDescent="0.2">
      <c r="A113" s="39">
        <v>43737</v>
      </c>
      <c r="B113" s="26" t="s">
        <v>417</v>
      </c>
      <c r="C113" s="41" t="s">
        <v>288</v>
      </c>
      <c r="D113" s="27" t="s">
        <v>299</v>
      </c>
      <c r="E113">
        <v>7.4</v>
      </c>
      <c r="F113">
        <v>7.5</v>
      </c>
      <c r="G113" s="14">
        <v>1.9</v>
      </c>
      <c r="H113" s="14">
        <v>21.8</v>
      </c>
      <c r="I113">
        <v>-7.5</v>
      </c>
      <c r="J113">
        <v>54.5</v>
      </c>
      <c r="L113" s="1" t="s">
        <v>288</v>
      </c>
      <c r="M113">
        <v>8</v>
      </c>
      <c r="N113">
        <v>11.582222222222223</v>
      </c>
      <c r="O113">
        <v>32</v>
      </c>
      <c r="P113">
        <v>30</v>
      </c>
      <c r="Q113">
        <v>28</v>
      </c>
      <c r="R113">
        <v>3.1777777777777776</v>
      </c>
      <c r="S113">
        <v>32</v>
      </c>
      <c r="T113">
        <v>-15.222222222222223</v>
      </c>
      <c r="U113">
        <v>1.2222222222222223</v>
      </c>
      <c r="V113">
        <v>17</v>
      </c>
      <c r="W113">
        <v>16.5</v>
      </c>
      <c r="X113">
        <v>19</v>
      </c>
      <c r="Y113">
        <v>3.5666666666666664</v>
      </c>
      <c r="Z113">
        <v>14</v>
      </c>
      <c r="AA113">
        <v>19.222222222222225</v>
      </c>
      <c r="AB113">
        <v>1.3333333333333333</v>
      </c>
      <c r="AC113">
        <v>8</v>
      </c>
      <c r="AD113">
        <v>7</v>
      </c>
      <c r="AE113">
        <v>6</v>
      </c>
      <c r="AF113">
        <v>8.6000000000000014</v>
      </c>
      <c r="AG113">
        <v>8</v>
      </c>
      <c r="AH113">
        <v>39.44444444444445</v>
      </c>
      <c r="AI113">
        <v>3.4444444444444442</v>
      </c>
      <c r="AJ113">
        <v>26</v>
      </c>
      <c r="AK113">
        <v>26.5</v>
      </c>
      <c r="AL113">
        <v>27</v>
      </c>
      <c r="AM113">
        <v>3.6666666666666674</v>
      </c>
      <c r="AN113">
        <v>26</v>
      </c>
      <c r="AO113">
        <v>4.3333333333333357</v>
      </c>
      <c r="AP113">
        <v>-1.8888888888888886</v>
      </c>
      <c r="AQ113">
        <v>9</v>
      </c>
      <c r="AR113">
        <v>9.5</v>
      </c>
      <c r="AS113">
        <v>11</v>
      </c>
      <c r="AT113">
        <v>5.2666666666666675</v>
      </c>
      <c r="AU113">
        <v>8</v>
      </c>
      <c r="AV113">
        <v>23.666666666666668</v>
      </c>
      <c r="AW113">
        <v>0.33333333333333331</v>
      </c>
      <c r="AX113">
        <v>2</v>
      </c>
      <c r="AY113">
        <v>3.5</v>
      </c>
      <c r="AZ113">
        <v>4</v>
      </c>
      <c r="BA113">
        <v>10.977777777777776</v>
      </c>
      <c r="BB113">
        <v>3</v>
      </c>
      <c r="BC113">
        <v>49.777777777777771</v>
      </c>
      <c r="BD113">
        <v>3.8888888888888888</v>
      </c>
      <c r="BE113">
        <v>3</v>
      </c>
      <c r="BF113">
        <v>3.5</v>
      </c>
      <c r="BG113">
        <v>4</v>
      </c>
      <c r="BH113">
        <v>7.2555555555555573</v>
      </c>
      <c r="BI113">
        <v>3</v>
      </c>
      <c r="BJ113">
        <v>34.222222222222221</v>
      </c>
      <c r="BK113">
        <v>2</v>
      </c>
      <c r="BL113">
        <v>15</v>
      </c>
      <c r="BM113">
        <v>14.5</v>
      </c>
      <c r="BN113">
        <v>12</v>
      </c>
      <c r="BO113">
        <v>1.8888888888888886</v>
      </c>
      <c r="BP113">
        <v>17</v>
      </c>
      <c r="BQ113">
        <v>0</v>
      </c>
      <c r="BR113">
        <v>2.1111111111111112</v>
      </c>
      <c r="BS113">
        <v>29</v>
      </c>
      <c r="BT113">
        <v>25</v>
      </c>
      <c r="BU113">
        <v>26</v>
      </c>
      <c r="BV113">
        <v>-0.10158049686351572</v>
      </c>
      <c r="BW113">
        <v>23</v>
      </c>
      <c r="BX113">
        <v>-4.2315071888492727E-2</v>
      </c>
      <c r="BY113">
        <v>25</v>
      </c>
      <c r="BZ113">
        <v>18.255555555555556</v>
      </c>
      <c r="CA113">
        <v>26</v>
      </c>
      <c r="CB113">
        <v>-5</v>
      </c>
      <c r="CC113">
        <v>3.2222222222222214</v>
      </c>
      <c r="CD113">
        <v>10.222222222222223</v>
      </c>
      <c r="CE113">
        <v>0</v>
      </c>
      <c r="CF113">
        <v>105.77777777777777</v>
      </c>
      <c r="CG113">
        <v>105.11111111111113</v>
      </c>
      <c r="CH113">
        <v>2.7777777777777808</v>
      </c>
      <c r="CI113">
        <v>3</v>
      </c>
      <c r="CJ113">
        <v>-5.1111111111111107</v>
      </c>
      <c r="CK113">
        <v>7</v>
      </c>
      <c r="CL113">
        <v>4.8377777777777791</v>
      </c>
      <c r="CM113">
        <v>3.9020000000000019</v>
      </c>
      <c r="CN113">
        <v>102.33333333333334</v>
      </c>
      <c r="CO113">
        <v>-4.8377777777777791</v>
      </c>
      <c r="CP113">
        <v>5.6255555555555565</v>
      </c>
      <c r="CQ113">
        <v>17.533333333333339</v>
      </c>
      <c r="CR113">
        <v>67.444444444444457</v>
      </c>
      <c r="CS113">
        <v>6.7444444444444436</v>
      </c>
      <c r="CT113">
        <v>4.0000000000000018</v>
      </c>
      <c r="CU113">
        <v>3.8888888888888888</v>
      </c>
      <c r="CV113">
        <v>2.5555555555555554</v>
      </c>
      <c r="CW113">
        <v>-0.53541666666666665</v>
      </c>
      <c r="CX113">
        <v>-0.39527777777777806</v>
      </c>
      <c r="CY113" t="s">
        <v>299</v>
      </c>
      <c r="CZ113">
        <v>3</v>
      </c>
      <c r="DA113">
        <v>-2.3155555555555534</v>
      </c>
      <c r="DB113">
        <v>14</v>
      </c>
      <c r="DC113">
        <v>16</v>
      </c>
      <c r="DD113">
        <v>14</v>
      </c>
      <c r="DE113">
        <v>3.933333333333334</v>
      </c>
      <c r="DF113">
        <v>18</v>
      </c>
      <c r="DG113">
        <v>22.666666666666668</v>
      </c>
      <c r="DH113">
        <v>0.4444444444444442</v>
      </c>
      <c r="DI113">
        <v>11</v>
      </c>
      <c r="DJ113">
        <v>14</v>
      </c>
      <c r="DK113">
        <v>3</v>
      </c>
      <c r="DL113">
        <v>1.1111111111110924E-2</v>
      </c>
      <c r="DM113">
        <v>25</v>
      </c>
      <c r="DN113">
        <v>6.1111111111111107</v>
      </c>
      <c r="DO113">
        <v>-1.4444444444444444</v>
      </c>
      <c r="DP113">
        <v>10</v>
      </c>
      <c r="DQ113">
        <v>9.5</v>
      </c>
      <c r="DR113">
        <v>10</v>
      </c>
      <c r="DS113">
        <v>-2.0555555555555571</v>
      </c>
      <c r="DT113">
        <v>9</v>
      </c>
      <c r="DU113">
        <v>-8.8888888888888857</v>
      </c>
      <c r="DV113">
        <v>2</v>
      </c>
      <c r="DW113">
        <v>3</v>
      </c>
      <c r="DX113">
        <v>3.5</v>
      </c>
      <c r="DY113">
        <v>4</v>
      </c>
      <c r="DZ113">
        <v>-3.6999999999999993</v>
      </c>
      <c r="EA113">
        <v>3</v>
      </c>
      <c r="EB113">
        <v>-10.777777777777779</v>
      </c>
      <c r="EC113">
        <v>0</v>
      </c>
      <c r="ED113">
        <v>15</v>
      </c>
      <c r="EE113">
        <v>3.5</v>
      </c>
      <c r="EF113">
        <v>3</v>
      </c>
      <c r="EG113">
        <v>0.71111111111111081</v>
      </c>
      <c r="EH113">
        <v>4</v>
      </c>
      <c r="EI113">
        <v>7.1111111111111098</v>
      </c>
      <c r="EJ113">
        <v>0.44444444444444448</v>
      </c>
      <c r="EK113">
        <v>2</v>
      </c>
      <c r="EL113">
        <v>3.5</v>
      </c>
      <c r="EM113">
        <v>3</v>
      </c>
      <c r="EN113">
        <v>-0.88888888888888928</v>
      </c>
      <c r="EO113">
        <v>4</v>
      </c>
      <c r="EP113">
        <v>-12.222222222222229</v>
      </c>
      <c r="EQ113">
        <v>0.66666666666666663</v>
      </c>
      <c r="ER113">
        <v>11</v>
      </c>
      <c r="ES113">
        <v>12.5</v>
      </c>
      <c r="ET113">
        <v>8</v>
      </c>
      <c r="EU113">
        <v>-2.1</v>
      </c>
      <c r="EV113">
        <v>17</v>
      </c>
      <c r="EW113">
        <v>-7.6666666666666687</v>
      </c>
      <c r="EX113">
        <v>-1.7777777777777779</v>
      </c>
      <c r="EY113">
        <v>12</v>
      </c>
      <c r="EZ113">
        <v>12.5</v>
      </c>
      <c r="FA113">
        <v>7</v>
      </c>
      <c r="FB113">
        <v>0.11111111111111131</v>
      </c>
      <c r="FC113">
        <v>18</v>
      </c>
      <c r="FD113">
        <v>0.55555555555555558</v>
      </c>
      <c r="FE113">
        <v>2</v>
      </c>
      <c r="FF113">
        <v>24</v>
      </c>
      <c r="FG113">
        <v>21</v>
      </c>
      <c r="FH113">
        <v>26</v>
      </c>
      <c r="FI113">
        <v>-3.1128417857400632E-2</v>
      </c>
      <c r="FJ113">
        <v>23</v>
      </c>
      <c r="FK113">
        <v>-1.4308179436437694E-2</v>
      </c>
      <c r="FL113">
        <v>5</v>
      </c>
      <c r="FM113">
        <v>-13.433333333333332</v>
      </c>
      <c r="FN113">
        <v>30</v>
      </c>
      <c r="FO113">
        <v>1.7777777777777777</v>
      </c>
      <c r="FP113">
        <v>0.22222222222222379</v>
      </c>
      <c r="FQ113">
        <v>4.2222222222222232</v>
      </c>
      <c r="FR113">
        <v>-0.55555555555555558</v>
      </c>
      <c r="FS113">
        <v>3.1111111111111072</v>
      </c>
      <c r="FT113">
        <v>-1.8888888888888882</v>
      </c>
      <c r="FU113">
        <v>0</v>
      </c>
      <c r="FV113">
        <v>23.777777777777789</v>
      </c>
      <c r="FW113">
        <v>-2.3333333333333521</v>
      </c>
      <c r="FX113">
        <v>21.777777777777782</v>
      </c>
      <c r="FY113">
        <v>2.1111111111111112</v>
      </c>
      <c r="FZ113">
        <v>2.2222222222222228</v>
      </c>
      <c r="GA113">
        <v>27</v>
      </c>
      <c r="GB113">
        <v>-6.259999999999998</v>
      </c>
      <c r="GC113">
        <v>-3.8642222222222227</v>
      </c>
      <c r="GD113">
        <v>-24.111111111111136</v>
      </c>
      <c r="GE113">
        <v>6.259999999999998</v>
      </c>
      <c r="GF113">
        <v>-0.67555555555555535</v>
      </c>
      <c r="GG113">
        <v>-5.0444444444444461</v>
      </c>
      <c r="GH113">
        <v>-12.555555555555554</v>
      </c>
      <c r="GI113">
        <v>3.9444444444444451</v>
      </c>
      <c r="GJ113">
        <v>28.777777777777779</v>
      </c>
      <c r="GK113">
        <v>0.66666666666666674</v>
      </c>
      <c r="GL113">
        <v>-1.0000000000000002</v>
      </c>
    </row>
    <row r="114" spans="1:194" x14ac:dyDescent="0.2">
      <c r="A114" s="39">
        <v>43737</v>
      </c>
      <c r="B114" s="26" t="s">
        <v>417</v>
      </c>
      <c r="C114" s="41" t="s">
        <v>303</v>
      </c>
      <c r="D114" s="27" t="s">
        <v>289</v>
      </c>
      <c r="E114">
        <v>12.6</v>
      </c>
      <c r="F114">
        <v>3.8</v>
      </c>
      <c r="G114">
        <v>13.4</v>
      </c>
      <c r="H114" s="14">
        <f>12.3+12</f>
        <v>24.3</v>
      </c>
      <c r="I114">
        <v>5</v>
      </c>
      <c r="J114">
        <v>46</v>
      </c>
      <c r="K114" t="s">
        <v>110</v>
      </c>
      <c r="L114" s="1" t="s">
        <v>303</v>
      </c>
      <c r="M114">
        <v>29</v>
      </c>
      <c r="N114">
        <v>-2.42</v>
      </c>
      <c r="O114">
        <v>7</v>
      </c>
      <c r="P114">
        <v>7.5</v>
      </c>
      <c r="Q114">
        <v>12</v>
      </c>
      <c r="R114">
        <v>-3.9888888888888885</v>
      </c>
      <c r="S114">
        <v>3</v>
      </c>
      <c r="T114">
        <v>7.8888888888888902</v>
      </c>
      <c r="U114">
        <v>-2.0000000000000004</v>
      </c>
      <c r="V114">
        <v>22</v>
      </c>
      <c r="W114">
        <v>19.5</v>
      </c>
      <c r="X114">
        <v>17</v>
      </c>
      <c r="Y114">
        <v>-2.8111111111111113</v>
      </c>
      <c r="Z114">
        <v>22</v>
      </c>
      <c r="AA114">
        <v>-17.111111111111111</v>
      </c>
      <c r="AB114">
        <v>-0.33333333333333331</v>
      </c>
      <c r="AC114">
        <v>30</v>
      </c>
      <c r="AD114">
        <v>30.5</v>
      </c>
      <c r="AE114">
        <v>31</v>
      </c>
      <c r="AF114">
        <v>3.4999999999999996</v>
      </c>
      <c r="AG114">
        <v>30</v>
      </c>
      <c r="AH114">
        <v>5.4444444444444455</v>
      </c>
      <c r="AI114">
        <v>-1.3333333333333333</v>
      </c>
      <c r="AJ114">
        <v>24</v>
      </c>
      <c r="AK114">
        <v>23</v>
      </c>
      <c r="AL114">
        <v>22</v>
      </c>
      <c r="AM114">
        <v>-5.2444444444444445</v>
      </c>
      <c r="AN114">
        <v>24</v>
      </c>
      <c r="AO114">
        <v>-26.666666666666668</v>
      </c>
      <c r="AP114">
        <v>-0.11111111111111101</v>
      </c>
      <c r="AQ114">
        <v>25</v>
      </c>
      <c r="AR114">
        <v>25</v>
      </c>
      <c r="AS114">
        <v>25</v>
      </c>
      <c r="AT114">
        <v>-1.7666666666666664</v>
      </c>
      <c r="AU114">
        <v>25</v>
      </c>
      <c r="AV114">
        <v>-13.666666666666666</v>
      </c>
      <c r="AW114">
        <v>0.22222222222222218</v>
      </c>
      <c r="AX114">
        <v>24</v>
      </c>
      <c r="AY114">
        <v>25</v>
      </c>
      <c r="AZ114">
        <v>27</v>
      </c>
      <c r="BA114">
        <v>1.0333333333333339</v>
      </c>
      <c r="BB114">
        <v>23</v>
      </c>
      <c r="BC114">
        <v>-8.5555555555555554</v>
      </c>
      <c r="BD114">
        <v>0.33333333333333304</v>
      </c>
      <c r="BE114">
        <v>5</v>
      </c>
      <c r="BF114">
        <v>6</v>
      </c>
      <c r="BG114">
        <v>6</v>
      </c>
      <c r="BH114">
        <v>7.9555555555555557</v>
      </c>
      <c r="BI114">
        <v>6</v>
      </c>
      <c r="BJ114">
        <v>39.222222222222221</v>
      </c>
      <c r="BK114">
        <v>2.5555555555555558</v>
      </c>
      <c r="BL114">
        <v>19</v>
      </c>
      <c r="BM114">
        <v>19.5</v>
      </c>
      <c r="BN114">
        <v>26</v>
      </c>
      <c r="BO114">
        <v>-1.8888888888888886</v>
      </c>
      <c r="BP114">
        <v>13</v>
      </c>
      <c r="BQ114">
        <v>-0.33333333333333331</v>
      </c>
      <c r="BR114">
        <v>-1.5555555555555554</v>
      </c>
      <c r="BS114">
        <v>19</v>
      </c>
      <c r="BT114">
        <v>17.25</v>
      </c>
      <c r="BU114">
        <v>14</v>
      </c>
      <c r="BV114">
        <v>-7.8911514042612305E-2</v>
      </c>
      <c r="BW114">
        <v>21</v>
      </c>
      <c r="BX114">
        <v>1.4589587861721679E-2</v>
      </c>
      <c r="BY114">
        <v>32</v>
      </c>
      <c r="BZ114">
        <v>13.333333333333337</v>
      </c>
      <c r="CA114">
        <v>2</v>
      </c>
      <c r="CB114">
        <v>0.66666666666666685</v>
      </c>
      <c r="CC114">
        <v>-3.111111111111112</v>
      </c>
      <c r="CD114">
        <v>-3.7777777777777768</v>
      </c>
      <c r="CE114">
        <v>0</v>
      </c>
      <c r="CF114">
        <v>-20.888888888888875</v>
      </c>
      <c r="CG114">
        <v>-9.6666666666666661</v>
      </c>
      <c r="CH114">
        <v>-0.7777777777777809</v>
      </c>
      <c r="CI114">
        <v>-5.666666666666667</v>
      </c>
      <c r="CJ114">
        <v>-4.7777777777777777</v>
      </c>
      <c r="CK114">
        <v>9</v>
      </c>
      <c r="CL114">
        <v>4.38</v>
      </c>
      <c r="CM114">
        <v>3.8048888888888888</v>
      </c>
      <c r="CN114">
        <v>-8.8888888888888857</v>
      </c>
      <c r="CO114">
        <v>-4.38</v>
      </c>
      <c r="CP114">
        <v>-0.83305555555555555</v>
      </c>
      <c r="CQ114">
        <v>-3.5111111111111111</v>
      </c>
      <c r="CR114">
        <v>-34.888888888888886</v>
      </c>
      <c r="CS114">
        <v>-6.8</v>
      </c>
      <c r="CT114">
        <v>-9.2222222222222214</v>
      </c>
      <c r="CU114">
        <v>1.3333333333333337</v>
      </c>
      <c r="CV114">
        <v>-2.3333333333333339</v>
      </c>
      <c r="CW114">
        <v>3.6250000000000282E-2</v>
      </c>
      <c r="CX114">
        <v>-0.2569444444444442</v>
      </c>
      <c r="CY114" t="s">
        <v>289</v>
      </c>
      <c r="CZ114">
        <v>25</v>
      </c>
      <c r="DA114">
        <v>0.93555555555555614</v>
      </c>
      <c r="DB114">
        <v>20</v>
      </c>
      <c r="DC114">
        <v>21</v>
      </c>
      <c r="DD114">
        <v>17</v>
      </c>
      <c r="DE114">
        <v>4.8888888888888893</v>
      </c>
      <c r="DF114">
        <v>25</v>
      </c>
      <c r="DG114">
        <v>20.333333333333332</v>
      </c>
      <c r="DH114">
        <v>0.3333333333333332</v>
      </c>
      <c r="DI114">
        <v>16</v>
      </c>
      <c r="DJ114">
        <v>16.5</v>
      </c>
      <c r="DK114">
        <v>26</v>
      </c>
      <c r="DL114">
        <v>-1.2666666666666668</v>
      </c>
      <c r="DM114">
        <v>7</v>
      </c>
      <c r="DN114">
        <v>-4</v>
      </c>
      <c r="DO114">
        <v>-0.44444444444444442</v>
      </c>
      <c r="DP114">
        <v>24</v>
      </c>
      <c r="DQ114">
        <v>20</v>
      </c>
      <c r="DR114">
        <v>21</v>
      </c>
      <c r="DS114">
        <v>1.5888888888888886</v>
      </c>
      <c r="DT114">
        <v>19</v>
      </c>
      <c r="DU114">
        <v>12.888888888888895</v>
      </c>
      <c r="DV114">
        <v>-1.3333333333333333</v>
      </c>
      <c r="DW114">
        <v>5</v>
      </c>
      <c r="DX114">
        <v>5.5</v>
      </c>
      <c r="DY114">
        <v>7</v>
      </c>
      <c r="DZ114">
        <v>-7.7777777777777777</v>
      </c>
      <c r="EA114">
        <v>4</v>
      </c>
      <c r="EB114">
        <v>-41.111111111111114</v>
      </c>
      <c r="EC114">
        <v>-2.5555555555555558</v>
      </c>
      <c r="ED114">
        <v>29</v>
      </c>
      <c r="EE114">
        <v>26</v>
      </c>
      <c r="EF114">
        <v>24</v>
      </c>
      <c r="EG114">
        <v>1.2777777777777779</v>
      </c>
      <c r="EH114">
        <v>28</v>
      </c>
      <c r="EI114">
        <v>4.3333333333333321</v>
      </c>
      <c r="EJ114">
        <v>-0.22222222222222202</v>
      </c>
      <c r="EK114">
        <v>17</v>
      </c>
      <c r="EL114">
        <v>16.5</v>
      </c>
      <c r="EM114">
        <v>15</v>
      </c>
      <c r="EN114">
        <v>4.8555555555555552</v>
      </c>
      <c r="EO114">
        <v>18</v>
      </c>
      <c r="EP114">
        <v>23</v>
      </c>
      <c r="EQ114">
        <v>0.44444444444444403</v>
      </c>
      <c r="ER114">
        <v>27</v>
      </c>
      <c r="ES114">
        <v>26</v>
      </c>
      <c r="ET114">
        <v>27</v>
      </c>
      <c r="EU114">
        <v>2.6555555555555572</v>
      </c>
      <c r="EV114">
        <v>25</v>
      </c>
      <c r="EW114">
        <v>8.7777777777777786</v>
      </c>
      <c r="EX114">
        <v>0.55555555555555547</v>
      </c>
      <c r="EY114">
        <v>5</v>
      </c>
      <c r="EZ114">
        <v>4.5</v>
      </c>
      <c r="FA114">
        <v>5</v>
      </c>
      <c r="FB114">
        <v>0.33333333333333304</v>
      </c>
      <c r="FC114">
        <v>4</v>
      </c>
      <c r="FD114">
        <v>-0.11111111111111109</v>
      </c>
      <c r="FE114">
        <v>-2.6666666666666665</v>
      </c>
      <c r="FF114">
        <v>28</v>
      </c>
      <c r="FG114">
        <v>23</v>
      </c>
      <c r="FH114">
        <v>27</v>
      </c>
      <c r="FI114">
        <v>-5.3848962439806913E-2</v>
      </c>
      <c r="FJ114">
        <v>18</v>
      </c>
      <c r="FK114">
        <v>-9.9161924054343795E-3</v>
      </c>
      <c r="FL114">
        <v>26</v>
      </c>
      <c r="FM114">
        <v>21.211111111111112</v>
      </c>
      <c r="FN114">
        <v>21</v>
      </c>
      <c r="FO114">
        <v>-3</v>
      </c>
      <c r="FP114">
        <v>-4.7777777777777777</v>
      </c>
      <c r="FQ114">
        <v>0.11111111111111131</v>
      </c>
      <c r="FR114">
        <v>-7.4014868308343765E-17</v>
      </c>
      <c r="FS114">
        <v>-5.7777777777777786</v>
      </c>
      <c r="FT114">
        <v>2.4444444444444442</v>
      </c>
      <c r="FU114">
        <v>-1</v>
      </c>
      <c r="FV114">
        <v>-8.4444444444444375</v>
      </c>
      <c r="FW114">
        <v>-22.777777777777782</v>
      </c>
      <c r="FX114">
        <v>17.666666666666668</v>
      </c>
      <c r="FY114">
        <v>-0.66666666666666663</v>
      </c>
      <c r="FZ114">
        <v>-2.6666666666666665</v>
      </c>
      <c r="GA114">
        <v>21</v>
      </c>
      <c r="GB114">
        <v>-2.6866666666666665</v>
      </c>
      <c r="GC114">
        <v>-2.0751111111111111</v>
      </c>
      <c r="GD114">
        <v>-40.44444444444445</v>
      </c>
      <c r="GE114">
        <v>2.6866666666666665</v>
      </c>
      <c r="GF114">
        <v>0.32944444444444476</v>
      </c>
      <c r="GG114">
        <v>-4.9111111111111114</v>
      </c>
      <c r="GH114">
        <v>-23.888888888888889</v>
      </c>
      <c r="GI114">
        <v>3.6222222222222227</v>
      </c>
      <c r="GJ114">
        <v>16.333333333333332</v>
      </c>
      <c r="GK114">
        <v>-3.5555555555555562</v>
      </c>
      <c r="GL114">
        <v>-0.11111111111111122</v>
      </c>
    </row>
    <row r="115" spans="1:194" x14ac:dyDescent="0.2">
      <c r="A115" s="39">
        <v>43737</v>
      </c>
      <c r="B115" s="26" t="s">
        <v>417</v>
      </c>
      <c r="C115" s="41" t="s">
        <v>287</v>
      </c>
      <c r="D115" s="26" t="s">
        <v>293</v>
      </c>
      <c r="E115">
        <v>9.8000000000000007</v>
      </c>
      <c r="F115">
        <v>12.6</v>
      </c>
      <c r="G115">
        <v>4.5</v>
      </c>
      <c r="H115" s="14">
        <f>5.7+2.2</f>
        <v>7.9</v>
      </c>
      <c r="I115" s="8">
        <v>-15</v>
      </c>
      <c r="J115" s="8">
        <v>43.5</v>
      </c>
      <c r="L115" s="1" t="s">
        <v>287</v>
      </c>
      <c r="M115">
        <v>28</v>
      </c>
      <c r="N115">
        <v>-0.53333333333333444</v>
      </c>
      <c r="O115">
        <v>17</v>
      </c>
      <c r="P115">
        <v>17</v>
      </c>
      <c r="Q115">
        <v>17</v>
      </c>
      <c r="R115">
        <v>5.7666666666666684</v>
      </c>
      <c r="S115">
        <v>17</v>
      </c>
      <c r="T115">
        <v>-14.222222222222223</v>
      </c>
      <c r="U115">
        <v>0.88888888888888873</v>
      </c>
      <c r="V115">
        <v>3</v>
      </c>
      <c r="W115">
        <v>4.5</v>
      </c>
      <c r="X115">
        <v>1</v>
      </c>
      <c r="Y115">
        <v>1.8111111111111111</v>
      </c>
      <c r="Z115">
        <v>8</v>
      </c>
      <c r="AA115">
        <v>21.111111111111111</v>
      </c>
      <c r="AB115">
        <v>1.1111111111111109</v>
      </c>
      <c r="AC115">
        <v>9</v>
      </c>
      <c r="AD115">
        <v>10</v>
      </c>
      <c r="AE115">
        <v>9</v>
      </c>
      <c r="AF115">
        <v>7.9888888888888898</v>
      </c>
      <c r="AG115">
        <v>11</v>
      </c>
      <c r="AH115">
        <v>39.222222222222221</v>
      </c>
      <c r="AI115">
        <v>3</v>
      </c>
      <c r="AJ115">
        <v>5</v>
      </c>
      <c r="AK115">
        <v>5.5</v>
      </c>
      <c r="AL115">
        <v>10</v>
      </c>
      <c r="AM115">
        <v>-2.0999999999999996</v>
      </c>
      <c r="AN115">
        <v>1</v>
      </c>
      <c r="AO115">
        <v>3.6666666666666665</v>
      </c>
      <c r="AP115">
        <v>-1.2222222222222223</v>
      </c>
      <c r="AQ115">
        <v>28</v>
      </c>
      <c r="AR115">
        <v>28.5</v>
      </c>
      <c r="AS115">
        <v>30</v>
      </c>
      <c r="AT115">
        <v>-3.1777777777777776</v>
      </c>
      <c r="AU115">
        <v>27</v>
      </c>
      <c r="AV115">
        <v>-11.444444444444443</v>
      </c>
      <c r="AW115">
        <v>-1.3333333333333333</v>
      </c>
      <c r="AX115">
        <v>10</v>
      </c>
      <c r="AY115">
        <v>11</v>
      </c>
      <c r="AZ115">
        <v>11</v>
      </c>
      <c r="BA115">
        <v>-5.5444444444444434</v>
      </c>
      <c r="BB115">
        <v>11</v>
      </c>
      <c r="BC115">
        <v>-15.444444444444448</v>
      </c>
      <c r="BD115">
        <v>-1.7777777777777779</v>
      </c>
      <c r="BE115">
        <v>26</v>
      </c>
      <c r="BF115">
        <v>26.5</v>
      </c>
      <c r="BG115">
        <v>27</v>
      </c>
      <c r="BH115">
        <v>-4.0000000000000009</v>
      </c>
      <c r="BI115">
        <v>26</v>
      </c>
      <c r="BJ115">
        <v>-11.777777777777779</v>
      </c>
      <c r="BK115">
        <v>-2.0000000000000004</v>
      </c>
      <c r="BL115">
        <v>4</v>
      </c>
      <c r="BM115">
        <v>7</v>
      </c>
      <c r="BN115">
        <v>11</v>
      </c>
      <c r="BO115">
        <v>-1.5555555555555556</v>
      </c>
      <c r="BP115">
        <v>3</v>
      </c>
      <c r="BQ115">
        <v>-0.2222222222222221</v>
      </c>
      <c r="BR115">
        <v>-0.55555555555555547</v>
      </c>
      <c r="BS115">
        <v>10</v>
      </c>
      <c r="BT115">
        <v>12.75</v>
      </c>
      <c r="BU115">
        <v>24</v>
      </c>
      <c r="BV115">
        <v>5.5579323250103653E-2</v>
      </c>
      <c r="BW115">
        <v>12</v>
      </c>
      <c r="BX115">
        <v>6.6920502656906758E-3</v>
      </c>
      <c r="BY115">
        <v>7</v>
      </c>
      <c r="BZ115">
        <v>7.1444444444444484</v>
      </c>
      <c r="CA115">
        <v>8</v>
      </c>
      <c r="CB115">
        <v>1</v>
      </c>
      <c r="CC115">
        <v>-0.44444444444444525</v>
      </c>
      <c r="CD115">
        <v>-1.555555555555556</v>
      </c>
      <c r="CE115">
        <v>0</v>
      </c>
      <c r="CF115">
        <v>26.444444444444457</v>
      </c>
      <c r="CG115">
        <v>31.111111111111104</v>
      </c>
      <c r="CH115">
        <v>6.4444444444444429</v>
      </c>
      <c r="CI115">
        <v>-1</v>
      </c>
      <c r="CJ115">
        <v>-10.111111111111109</v>
      </c>
      <c r="CK115">
        <v>29</v>
      </c>
      <c r="CL115">
        <v>-8.1111111111111143</v>
      </c>
      <c r="CM115">
        <v>-4.1533333333333342</v>
      </c>
      <c r="CN115">
        <v>24.666666666666661</v>
      </c>
      <c r="CO115">
        <v>8.1111111111111143</v>
      </c>
      <c r="CP115">
        <v>0.52500000000000024</v>
      </c>
      <c r="CQ115">
        <v>2.7111111111111126</v>
      </c>
      <c r="CR115">
        <v>31.444444444444443</v>
      </c>
      <c r="CS115">
        <v>7.5777777777777793</v>
      </c>
      <c r="CT115">
        <v>6.8888888888888875</v>
      </c>
      <c r="CU115">
        <v>-1.555555555555556</v>
      </c>
      <c r="CV115">
        <v>1.9999999999999996</v>
      </c>
      <c r="CW115">
        <v>0.45972222222222225</v>
      </c>
      <c r="CX115">
        <v>0.36416666666666669</v>
      </c>
      <c r="CY115" t="s">
        <v>293</v>
      </c>
      <c r="CZ115">
        <v>2</v>
      </c>
      <c r="DA115">
        <v>1.3511111111111116</v>
      </c>
      <c r="DB115">
        <v>1</v>
      </c>
      <c r="DC115">
        <v>1.5</v>
      </c>
      <c r="DD115">
        <v>1</v>
      </c>
      <c r="DE115">
        <v>2.5777777777777753</v>
      </c>
      <c r="DF115">
        <v>2</v>
      </c>
      <c r="DG115">
        <v>32.777777777777779</v>
      </c>
      <c r="DH115">
        <v>-0.55555555555555558</v>
      </c>
      <c r="DI115">
        <v>30</v>
      </c>
      <c r="DJ115">
        <v>27</v>
      </c>
      <c r="DK115">
        <v>27</v>
      </c>
      <c r="DL115">
        <v>4.0777777777777784</v>
      </c>
      <c r="DM115">
        <v>27</v>
      </c>
      <c r="DN115">
        <v>17.222222222222225</v>
      </c>
      <c r="DO115">
        <v>-0.33333333333333331</v>
      </c>
      <c r="DP115">
        <v>2</v>
      </c>
      <c r="DQ115">
        <v>1.5</v>
      </c>
      <c r="DR115">
        <v>1</v>
      </c>
      <c r="DS115">
        <v>6.0133333333333354</v>
      </c>
      <c r="DT115">
        <v>2</v>
      </c>
      <c r="DU115">
        <v>17.111111111111114</v>
      </c>
      <c r="DV115">
        <v>-1.8888888888888886</v>
      </c>
      <c r="DW115">
        <v>8</v>
      </c>
      <c r="DX115">
        <v>7</v>
      </c>
      <c r="DY115">
        <v>6</v>
      </c>
      <c r="DZ115">
        <v>-4.5000000000000009</v>
      </c>
      <c r="EA115">
        <v>8</v>
      </c>
      <c r="EB115">
        <v>-27.555555555555557</v>
      </c>
      <c r="EC115">
        <v>-1.6666666666666667</v>
      </c>
      <c r="ED115">
        <v>29</v>
      </c>
      <c r="EE115">
        <v>24</v>
      </c>
      <c r="EF115">
        <v>22</v>
      </c>
      <c r="EG115">
        <v>-6.0777777777777784</v>
      </c>
      <c r="EH115">
        <v>26</v>
      </c>
      <c r="EI115">
        <v>-19.333333333333332</v>
      </c>
      <c r="EJ115">
        <v>-0.44444444444444436</v>
      </c>
      <c r="EK115">
        <v>9</v>
      </c>
      <c r="EL115">
        <v>9</v>
      </c>
      <c r="EM115">
        <v>8</v>
      </c>
      <c r="EN115">
        <v>-1.4111111111111114</v>
      </c>
      <c r="EO115">
        <v>10</v>
      </c>
      <c r="EP115">
        <v>10.333333333333329</v>
      </c>
      <c r="EQ115">
        <v>-2.3333333333333335</v>
      </c>
      <c r="ER115">
        <v>19</v>
      </c>
      <c r="ES115">
        <v>18.5</v>
      </c>
      <c r="ET115">
        <v>25</v>
      </c>
      <c r="EU115">
        <v>1.1111111111111114</v>
      </c>
      <c r="EV115">
        <v>12</v>
      </c>
      <c r="EW115">
        <v>19.000000000000004</v>
      </c>
      <c r="EX115">
        <v>0.11111111111111138</v>
      </c>
      <c r="EY115">
        <v>1</v>
      </c>
      <c r="EZ115">
        <v>1.5</v>
      </c>
      <c r="FA115">
        <v>1</v>
      </c>
      <c r="FB115">
        <v>-0.11111111111111101</v>
      </c>
      <c r="FC115">
        <v>2</v>
      </c>
      <c r="FD115">
        <v>-7.4014868308343765E-17</v>
      </c>
      <c r="FE115">
        <v>10.222222222222223</v>
      </c>
      <c r="FF115">
        <v>31</v>
      </c>
      <c r="FG115">
        <v>29</v>
      </c>
      <c r="FH115">
        <v>29</v>
      </c>
      <c r="FI115">
        <v>-4.5517251399603459E-4</v>
      </c>
      <c r="FJ115">
        <v>32</v>
      </c>
      <c r="FK115">
        <v>1.1200092376562968E-2</v>
      </c>
      <c r="FL115">
        <v>30</v>
      </c>
      <c r="FM115">
        <v>2.8000000000000043</v>
      </c>
      <c r="FN115">
        <v>25</v>
      </c>
      <c r="FO115">
        <v>-1.5555555555555554</v>
      </c>
      <c r="FP115">
        <v>-7.0000000000000009</v>
      </c>
      <c r="FQ115">
        <v>6.4444444444444455</v>
      </c>
      <c r="FR115">
        <v>-1.4444444444444446</v>
      </c>
      <c r="FS115">
        <v>-0.77777777777777624</v>
      </c>
      <c r="FT115">
        <v>6.4444444444444438</v>
      </c>
      <c r="FU115">
        <v>3.1111111111111107</v>
      </c>
      <c r="FV115">
        <v>9</v>
      </c>
      <c r="FW115">
        <v>-22.888888888888896</v>
      </c>
      <c r="FX115">
        <v>55.333333333333336</v>
      </c>
      <c r="FY115">
        <v>-1.2222222222222221</v>
      </c>
      <c r="FZ115">
        <v>-22.222222222222225</v>
      </c>
      <c r="GA115">
        <v>24</v>
      </c>
      <c r="GB115">
        <v>-5.3044444444444423</v>
      </c>
      <c r="GC115">
        <v>-3.7482222222222208</v>
      </c>
      <c r="GD115">
        <v>-78.222222222222229</v>
      </c>
      <c r="GE115">
        <v>5.3044444444444414</v>
      </c>
      <c r="GF115">
        <v>0.55527777777777776</v>
      </c>
      <c r="GG115">
        <v>-4.5644444444444439</v>
      </c>
      <c r="GH115">
        <v>-29.777777777777775</v>
      </c>
      <c r="GI115">
        <v>6.6555555555555532</v>
      </c>
      <c r="GJ115">
        <v>50</v>
      </c>
      <c r="GK115">
        <v>-3.8888888888888884</v>
      </c>
      <c r="GL115">
        <v>-0.88888888888888884</v>
      </c>
    </row>
    <row r="116" spans="1:194" x14ac:dyDescent="0.2">
      <c r="A116" s="39">
        <v>43737</v>
      </c>
      <c r="B116" s="26" t="s">
        <v>417</v>
      </c>
      <c r="C116" s="41" t="s">
        <v>304</v>
      </c>
      <c r="D116" s="27" t="s">
        <v>284</v>
      </c>
      <c r="E116" s="14">
        <v>29.9</v>
      </c>
      <c r="F116">
        <v>32.4</v>
      </c>
      <c r="G116">
        <v>13.1</v>
      </c>
      <c r="H116" s="14">
        <f>15.4+8.1</f>
        <v>23.5</v>
      </c>
      <c r="I116">
        <v>-9</v>
      </c>
      <c r="J116">
        <v>48.5</v>
      </c>
      <c r="K116" t="s">
        <v>109</v>
      </c>
      <c r="L116" s="1" t="s">
        <v>304</v>
      </c>
      <c r="M116">
        <v>25</v>
      </c>
      <c r="N116">
        <v>-5.1111111111111116</v>
      </c>
      <c r="O116">
        <v>12</v>
      </c>
      <c r="P116">
        <v>14.5</v>
      </c>
      <c r="Q116">
        <v>15</v>
      </c>
      <c r="R116">
        <v>-4.1777777777777763</v>
      </c>
      <c r="S116">
        <v>14</v>
      </c>
      <c r="T116">
        <v>-0.11111111111110954</v>
      </c>
      <c r="U116">
        <v>-1.3333333333333333</v>
      </c>
      <c r="V116">
        <v>21</v>
      </c>
      <c r="W116">
        <v>19</v>
      </c>
      <c r="X116">
        <v>21</v>
      </c>
      <c r="Y116">
        <v>1.0444444444444443</v>
      </c>
      <c r="Z116">
        <v>17</v>
      </c>
      <c r="AA116">
        <v>8.4444444444444446</v>
      </c>
      <c r="AB116">
        <v>-1.6666666666666667</v>
      </c>
      <c r="AC116">
        <v>12</v>
      </c>
      <c r="AD116">
        <v>13</v>
      </c>
      <c r="AE116">
        <v>13</v>
      </c>
      <c r="AF116">
        <v>3.8444444444444463</v>
      </c>
      <c r="AG116">
        <v>13</v>
      </c>
      <c r="AH116">
        <v>14.888888888888886</v>
      </c>
      <c r="AI116">
        <v>1.2222222222222221</v>
      </c>
      <c r="AJ116">
        <v>4</v>
      </c>
      <c r="AK116">
        <v>4.5</v>
      </c>
      <c r="AL116">
        <v>7</v>
      </c>
      <c r="AM116">
        <v>-3.0555555555555549</v>
      </c>
      <c r="AN116">
        <v>2</v>
      </c>
      <c r="AO116">
        <v>-23.444444444444446</v>
      </c>
      <c r="AP116">
        <v>0.66666666666666652</v>
      </c>
      <c r="AQ116">
        <v>8</v>
      </c>
      <c r="AR116">
        <v>8.5</v>
      </c>
      <c r="AS116">
        <v>8</v>
      </c>
      <c r="AT116">
        <v>7.37777777777778</v>
      </c>
      <c r="AU116">
        <v>9</v>
      </c>
      <c r="AV116">
        <v>40.44444444444445</v>
      </c>
      <c r="AW116">
        <v>2.6666666666666665</v>
      </c>
      <c r="AX116">
        <v>5</v>
      </c>
      <c r="AY116">
        <v>5</v>
      </c>
      <c r="AZ116">
        <v>8</v>
      </c>
      <c r="BA116">
        <v>0.66666666666666663</v>
      </c>
      <c r="BB116">
        <v>2</v>
      </c>
      <c r="BC116">
        <v>11.111111111111112</v>
      </c>
      <c r="BD116">
        <v>1.4444444444444446</v>
      </c>
      <c r="BE116">
        <v>12</v>
      </c>
      <c r="BF116">
        <v>12.5</v>
      </c>
      <c r="BG116">
        <v>14</v>
      </c>
      <c r="BH116">
        <v>-1.1111111111111368E-2</v>
      </c>
      <c r="BI116">
        <v>11</v>
      </c>
      <c r="BJ116">
        <v>-0.11111111111111249</v>
      </c>
      <c r="BK116">
        <v>0.88888888888888884</v>
      </c>
      <c r="BL116">
        <v>16</v>
      </c>
      <c r="BM116">
        <v>15.5</v>
      </c>
      <c r="BN116">
        <v>18</v>
      </c>
      <c r="BO116">
        <v>2.8888888888888893</v>
      </c>
      <c r="BP116">
        <v>13</v>
      </c>
      <c r="BQ116">
        <v>1.1111111111111112</v>
      </c>
      <c r="BR116">
        <v>1.2222222222222221</v>
      </c>
      <c r="BS116">
        <v>23</v>
      </c>
      <c r="BT116">
        <v>20.5</v>
      </c>
      <c r="BU116">
        <v>32</v>
      </c>
      <c r="BV116">
        <v>1.6943779085167737E-2</v>
      </c>
      <c r="BW116">
        <v>29</v>
      </c>
      <c r="BX116">
        <v>-3.5877558081643772E-2</v>
      </c>
      <c r="BY116">
        <v>8</v>
      </c>
      <c r="BZ116">
        <v>-8.5888888888888868</v>
      </c>
      <c r="CA116">
        <v>13</v>
      </c>
      <c r="CB116">
        <v>-1.8888888888888886</v>
      </c>
      <c r="CC116">
        <v>1.3333333333333357</v>
      </c>
      <c r="CD116">
        <v>2.4444444444444451</v>
      </c>
      <c r="CE116">
        <v>-1</v>
      </c>
      <c r="CF116">
        <v>-1.5555555555555618</v>
      </c>
      <c r="CG116">
        <v>-3.1111111111111143</v>
      </c>
      <c r="CH116">
        <v>8.3333333333333339</v>
      </c>
      <c r="CI116">
        <v>12</v>
      </c>
      <c r="CJ116">
        <v>-18.777777777777779</v>
      </c>
      <c r="CK116">
        <v>22</v>
      </c>
      <c r="CL116">
        <v>-1.9777777777777796</v>
      </c>
      <c r="CM116">
        <v>2.1755555555555555</v>
      </c>
      <c r="CN116">
        <v>-11.444444444444448</v>
      </c>
      <c r="CO116">
        <v>1.9777777777777796</v>
      </c>
      <c r="CP116">
        <v>0.3500000000000007</v>
      </c>
      <c r="CQ116">
        <v>8.1666666666666714</v>
      </c>
      <c r="CR116">
        <v>31.888888888888889</v>
      </c>
      <c r="CS116">
        <v>-3.133333333333332</v>
      </c>
      <c r="CT116">
        <v>8.3333333333333357</v>
      </c>
      <c r="CU116">
        <v>5.4444444444444446</v>
      </c>
      <c r="CV116">
        <v>-3</v>
      </c>
      <c r="CW116">
        <v>-1.4768055555555555</v>
      </c>
      <c r="CX116">
        <v>-2.2025000000000001</v>
      </c>
      <c r="CY116" t="s">
        <v>284</v>
      </c>
      <c r="CZ116">
        <v>4</v>
      </c>
      <c r="DA116">
        <v>3.5688888888888908</v>
      </c>
      <c r="DB116">
        <v>25</v>
      </c>
      <c r="DC116">
        <v>23.5</v>
      </c>
      <c r="DD116">
        <v>24</v>
      </c>
      <c r="DE116">
        <v>-11.25</v>
      </c>
      <c r="DF116">
        <v>23</v>
      </c>
      <c r="DG116">
        <v>-46</v>
      </c>
      <c r="DH116">
        <v>-0.16666666666666674</v>
      </c>
      <c r="DI116">
        <v>31</v>
      </c>
      <c r="DJ116">
        <v>31</v>
      </c>
      <c r="DK116">
        <v>31</v>
      </c>
      <c r="DL116">
        <v>-4.7833333333333332</v>
      </c>
      <c r="DM116">
        <v>31</v>
      </c>
      <c r="DN116">
        <v>-14.499999999999998</v>
      </c>
      <c r="DO116">
        <v>-0.66666666666666663</v>
      </c>
      <c r="DP116">
        <v>9</v>
      </c>
      <c r="DQ116">
        <v>6</v>
      </c>
      <c r="DR116">
        <v>6</v>
      </c>
      <c r="DS116">
        <v>3.3666666666666658</v>
      </c>
      <c r="DT116">
        <v>6</v>
      </c>
      <c r="DU116">
        <v>6.3333333333333357</v>
      </c>
      <c r="DV116">
        <v>1.3333333333333337</v>
      </c>
      <c r="DW116">
        <v>1</v>
      </c>
      <c r="DX116">
        <v>1.5</v>
      </c>
      <c r="DY116">
        <v>1</v>
      </c>
      <c r="DZ116">
        <v>-1.4666666666666675</v>
      </c>
      <c r="EA116">
        <v>2</v>
      </c>
      <c r="EB116">
        <v>8.2222222222222232</v>
      </c>
      <c r="EC116">
        <v>1.1111111111111112</v>
      </c>
      <c r="ED116">
        <v>8</v>
      </c>
      <c r="EE116">
        <v>12.5</v>
      </c>
      <c r="EF116">
        <v>17</v>
      </c>
      <c r="EG116">
        <v>-0.64444444444444426</v>
      </c>
      <c r="EH116">
        <v>8</v>
      </c>
      <c r="EI116">
        <v>-6.5555555555555545</v>
      </c>
      <c r="EJ116">
        <v>0.88888888888888884</v>
      </c>
      <c r="EK116">
        <v>2</v>
      </c>
      <c r="EL116">
        <v>3.5</v>
      </c>
      <c r="EM116">
        <v>1</v>
      </c>
      <c r="EN116">
        <v>0.44444444444444642</v>
      </c>
      <c r="EO116">
        <v>6</v>
      </c>
      <c r="EP116">
        <v>6.666666666666667</v>
      </c>
      <c r="EQ116">
        <v>0.33333333333333331</v>
      </c>
      <c r="ER116">
        <v>21</v>
      </c>
      <c r="ES116">
        <v>20.5</v>
      </c>
      <c r="ET116">
        <v>15</v>
      </c>
      <c r="EU116">
        <v>2.533333333333335</v>
      </c>
      <c r="EV116">
        <v>26</v>
      </c>
      <c r="EW116">
        <v>17.555555555555554</v>
      </c>
      <c r="EX116">
        <v>0.44444444444444403</v>
      </c>
      <c r="EY116">
        <v>16</v>
      </c>
      <c r="EZ116">
        <v>14</v>
      </c>
      <c r="FA116">
        <v>13</v>
      </c>
      <c r="FB116">
        <v>2.6666666666666665</v>
      </c>
      <c r="FC116">
        <v>15</v>
      </c>
      <c r="FD116">
        <v>0.88888888888888895</v>
      </c>
      <c r="FE116">
        <v>5.666666666666667</v>
      </c>
      <c r="FF116">
        <v>10</v>
      </c>
      <c r="FG116">
        <v>13.25</v>
      </c>
      <c r="FH116">
        <v>9</v>
      </c>
      <c r="FI116">
        <v>4.8739003752895228E-2</v>
      </c>
      <c r="FJ116">
        <v>26</v>
      </c>
      <c r="FK116">
        <v>2.4291530231678918E-2</v>
      </c>
      <c r="FL116">
        <v>6</v>
      </c>
      <c r="FM116">
        <v>5.8999999999999986</v>
      </c>
      <c r="FN116">
        <v>12</v>
      </c>
      <c r="FO116">
        <v>3.1111111111111107</v>
      </c>
      <c r="FP116">
        <v>1.5555555555555547</v>
      </c>
      <c r="FQ116">
        <v>-3.5555555555555567</v>
      </c>
      <c r="FR116">
        <v>-0.33333333333333331</v>
      </c>
      <c r="FS116">
        <v>-1.1111111111111096</v>
      </c>
      <c r="FT116">
        <v>-4.333333333333333</v>
      </c>
      <c r="FU116">
        <v>3.5555555555555554</v>
      </c>
      <c r="FV116">
        <v>-62.777777777777771</v>
      </c>
      <c r="FW116">
        <v>2.5555555555555522</v>
      </c>
      <c r="FX116">
        <v>-69.555555555555557</v>
      </c>
      <c r="FY116">
        <v>0.77777777777777779</v>
      </c>
      <c r="FZ116">
        <v>3.4444444444444446</v>
      </c>
      <c r="GA116">
        <v>1</v>
      </c>
      <c r="GB116">
        <v>19.602222222222224</v>
      </c>
      <c r="GC116">
        <v>9.4882222222222214</v>
      </c>
      <c r="GD116">
        <v>72.111111111111114</v>
      </c>
      <c r="GE116">
        <v>-19.602222222222224</v>
      </c>
      <c r="GF116">
        <v>-0.75111111111111084</v>
      </c>
      <c r="GG116">
        <v>1.2555555555555542</v>
      </c>
      <c r="GH116">
        <v>8.0000000000000036</v>
      </c>
      <c r="GI116">
        <v>-16.033333333333331</v>
      </c>
      <c r="GJ116">
        <v>-60.5</v>
      </c>
      <c r="GK116">
        <v>3.7777777777777777</v>
      </c>
      <c r="GL116">
        <v>-0.83333333333333337</v>
      </c>
    </row>
    <row r="117" spans="1:194" x14ac:dyDescent="0.2">
      <c r="A117" s="39">
        <v>43737</v>
      </c>
      <c r="B117" s="31" t="s">
        <v>417</v>
      </c>
      <c r="C117" s="41" t="s">
        <v>293</v>
      </c>
      <c r="D117" s="32" t="s">
        <v>287</v>
      </c>
      <c r="E117" s="30">
        <v>8.6</v>
      </c>
      <c r="F117" s="3">
        <v>17</v>
      </c>
      <c r="G117" s="30">
        <v>1.4</v>
      </c>
      <c r="H117" s="30">
        <v>1.9</v>
      </c>
      <c r="I117" s="3">
        <v>15</v>
      </c>
      <c r="J117" s="3">
        <v>43.5</v>
      </c>
      <c r="K117" s="3"/>
      <c r="L117" s="1" t="s">
        <v>293</v>
      </c>
      <c r="M117">
        <v>2</v>
      </c>
      <c r="N117">
        <v>-5.339999999999999</v>
      </c>
      <c r="O117">
        <v>31</v>
      </c>
      <c r="P117">
        <v>29</v>
      </c>
      <c r="Q117">
        <v>27</v>
      </c>
      <c r="R117">
        <v>-4.1000000000000005</v>
      </c>
      <c r="S117">
        <v>31</v>
      </c>
      <c r="T117">
        <v>-14.555555555555557</v>
      </c>
      <c r="U117">
        <v>1.1111111111111109</v>
      </c>
      <c r="V117">
        <v>26</v>
      </c>
      <c r="W117">
        <v>24.5</v>
      </c>
      <c r="X117">
        <v>23</v>
      </c>
      <c r="Y117">
        <v>-2.1999999999999993</v>
      </c>
      <c r="Z117">
        <v>26</v>
      </c>
      <c r="AA117">
        <v>-5</v>
      </c>
      <c r="AB117">
        <v>-0.33333333333333331</v>
      </c>
      <c r="AC117">
        <v>1</v>
      </c>
      <c r="AD117">
        <v>1.5</v>
      </c>
      <c r="AE117">
        <v>2</v>
      </c>
      <c r="AF117">
        <v>-1.1666666666666661</v>
      </c>
      <c r="AG117">
        <v>1</v>
      </c>
      <c r="AH117">
        <v>-7.5555555555555571</v>
      </c>
      <c r="AI117">
        <v>-0.22222222222222232</v>
      </c>
      <c r="AJ117">
        <v>18</v>
      </c>
      <c r="AK117">
        <v>18.5</v>
      </c>
      <c r="AL117">
        <v>18</v>
      </c>
      <c r="AM117">
        <v>-2.7000000000000006</v>
      </c>
      <c r="AN117">
        <v>19</v>
      </c>
      <c r="AO117">
        <v>-0.33333333333333098</v>
      </c>
      <c r="AP117">
        <v>0.22222222222222232</v>
      </c>
      <c r="AQ117">
        <v>5</v>
      </c>
      <c r="AR117">
        <v>5.5</v>
      </c>
      <c r="AS117">
        <v>4</v>
      </c>
      <c r="AT117">
        <v>-3.1888888888888887</v>
      </c>
      <c r="AU117">
        <v>7</v>
      </c>
      <c r="AV117">
        <v>-16.666666666666668</v>
      </c>
      <c r="AW117">
        <v>2.9605947323337506E-16</v>
      </c>
      <c r="AX117">
        <v>1</v>
      </c>
      <c r="AY117">
        <v>1</v>
      </c>
      <c r="AZ117">
        <v>1</v>
      </c>
      <c r="BA117">
        <v>-8.3333333333333339</v>
      </c>
      <c r="BB117">
        <v>1</v>
      </c>
      <c r="BC117">
        <v>-46.666666666666664</v>
      </c>
      <c r="BD117">
        <v>-3</v>
      </c>
      <c r="BE117">
        <v>10</v>
      </c>
      <c r="BF117">
        <v>11</v>
      </c>
      <c r="BG117">
        <v>12</v>
      </c>
      <c r="BH117">
        <v>-3.6222222222222213</v>
      </c>
      <c r="BI117">
        <v>10</v>
      </c>
      <c r="BJ117">
        <v>-14</v>
      </c>
      <c r="BK117">
        <v>-0.88888888888888873</v>
      </c>
      <c r="BL117">
        <v>13</v>
      </c>
      <c r="BM117">
        <v>12</v>
      </c>
      <c r="BN117">
        <v>3</v>
      </c>
      <c r="BO117">
        <v>-0.88888888888888928</v>
      </c>
      <c r="BP117">
        <v>21</v>
      </c>
      <c r="BQ117">
        <v>0.11111111111111116</v>
      </c>
      <c r="BR117">
        <v>-1.5555555555555554</v>
      </c>
      <c r="BS117">
        <v>16</v>
      </c>
      <c r="BT117">
        <v>14.5</v>
      </c>
      <c r="BU117">
        <v>12</v>
      </c>
      <c r="BV117">
        <v>8.8135235478719362E-2</v>
      </c>
      <c r="BW117">
        <v>10</v>
      </c>
      <c r="BX117">
        <v>2.7663112087251276E-2</v>
      </c>
      <c r="BY117">
        <v>14</v>
      </c>
      <c r="BZ117">
        <v>-20.599999999999998</v>
      </c>
      <c r="CA117">
        <v>22</v>
      </c>
      <c r="CB117">
        <v>10.222222222222223</v>
      </c>
      <c r="CC117">
        <v>0.5555555555555548</v>
      </c>
      <c r="CD117">
        <v>-6.5555555555555545</v>
      </c>
      <c r="CE117">
        <v>-1.5555555555555556</v>
      </c>
      <c r="CF117">
        <v>-65.222222222222243</v>
      </c>
      <c r="CG117">
        <v>-47.888888888888886</v>
      </c>
      <c r="CH117">
        <v>-17.666666666666668</v>
      </c>
      <c r="CI117">
        <v>-2.3333333333333335</v>
      </c>
      <c r="CJ117">
        <v>2.6666666666666665</v>
      </c>
      <c r="CK117">
        <v>16</v>
      </c>
      <c r="CL117">
        <v>0.96000000000000085</v>
      </c>
      <c r="CM117">
        <v>-5.355555555555469E-2</v>
      </c>
      <c r="CN117">
        <v>-30.222222222222218</v>
      </c>
      <c r="CO117">
        <v>-0.96000000000000085</v>
      </c>
      <c r="CP117">
        <v>-2.9008333333333329</v>
      </c>
      <c r="CQ117">
        <v>-7.0555555555555554</v>
      </c>
      <c r="CR117">
        <v>-24.555555555555557</v>
      </c>
      <c r="CS117">
        <v>-6.3</v>
      </c>
      <c r="CT117">
        <v>-19.555555555555557</v>
      </c>
      <c r="CU117">
        <v>-0.8888888888888884</v>
      </c>
      <c r="CV117">
        <v>0.77777777777777768</v>
      </c>
      <c r="CW117">
        <v>0.45972222222222225</v>
      </c>
      <c r="CX117">
        <v>0.55527777777777776</v>
      </c>
      <c r="CY117" t="s">
        <v>287</v>
      </c>
      <c r="CZ117">
        <v>26</v>
      </c>
      <c r="DA117">
        <v>-0.3977777777777784</v>
      </c>
      <c r="DB117">
        <v>7</v>
      </c>
      <c r="DC117">
        <v>10</v>
      </c>
      <c r="DD117">
        <v>11</v>
      </c>
      <c r="DE117">
        <v>4.7888888888888896</v>
      </c>
      <c r="DF117">
        <v>9</v>
      </c>
      <c r="DG117">
        <v>13.333333333333334</v>
      </c>
      <c r="DH117">
        <v>-0.49999999999999994</v>
      </c>
      <c r="DI117">
        <v>21</v>
      </c>
      <c r="DJ117">
        <v>18.5</v>
      </c>
      <c r="DK117">
        <v>9</v>
      </c>
      <c r="DL117">
        <v>-0.84444444444444422</v>
      </c>
      <c r="DM117">
        <v>28</v>
      </c>
      <c r="DN117">
        <v>-10.444444444444445</v>
      </c>
      <c r="DO117">
        <v>-3.7007434154171883E-17</v>
      </c>
      <c r="DP117">
        <v>28</v>
      </c>
      <c r="DQ117">
        <v>26.5</v>
      </c>
      <c r="DR117">
        <v>26</v>
      </c>
      <c r="DS117">
        <v>4.9333333333333336</v>
      </c>
      <c r="DT117">
        <v>27</v>
      </c>
      <c r="DU117">
        <v>24.555555555555554</v>
      </c>
      <c r="DV117">
        <v>-0.22222222222222263</v>
      </c>
      <c r="DW117">
        <v>21</v>
      </c>
      <c r="DX117">
        <v>22</v>
      </c>
      <c r="DY117">
        <v>22</v>
      </c>
      <c r="DZ117">
        <v>-2.4777777777777783</v>
      </c>
      <c r="EA117">
        <v>22</v>
      </c>
      <c r="EB117">
        <v>-8.7777777777777803</v>
      </c>
      <c r="EC117">
        <v>1</v>
      </c>
      <c r="ED117">
        <v>18</v>
      </c>
      <c r="EE117">
        <v>20.5</v>
      </c>
      <c r="EF117">
        <v>23</v>
      </c>
      <c r="EG117">
        <v>-2.9555555555555557</v>
      </c>
      <c r="EH117">
        <v>18</v>
      </c>
      <c r="EI117">
        <v>0.55555555555555591</v>
      </c>
      <c r="EJ117">
        <v>-3.6666666666666665</v>
      </c>
      <c r="EK117">
        <v>22</v>
      </c>
      <c r="EL117">
        <v>23</v>
      </c>
      <c r="EM117">
        <v>25</v>
      </c>
      <c r="EN117">
        <v>-4.9222222222222198</v>
      </c>
      <c r="EO117">
        <v>21</v>
      </c>
      <c r="EP117">
        <v>-10.333333333333334</v>
      </c>
      <c r="EQ117">
        <v>-1.1111111111111109</v>
      </c>
      <c r="ER117">
        <v>30</v>
      </c>
      <c r="ES117">
        <v>27.5</v>
      </c>
      <c r="ET117">
        <v>28</v>
      </c>
      <c r="EU117">
        <v>2.5333333333333337</v>
      </c>
      <c r="EV117">
        <v>27</v>
      </c>
      <c r="EW117">
        <v>-2.2222222222222192</v>
      </c>
      <c r="EX117">
        <v>0.88888888888888873</v>
      </c>
      <c r="EY117">
        <v>3</v>
      </c>
      <c r="EZ117">
        <v>3.5</v>
      </c>
      <c r="FA117">
        <v>4</v>
      </c>
      <c r="FB117">
        <v>-2.6666666666666665</v>
      </c>
      <c r="FC117">
        <v>3</v>
      </c>
      <c r="FD117">
        <v>-7.4014868308343765E-17</v>
      </c>
      <c r="FE117">
        <v>1</v>
      </c>
      <c r="FF117">
        <v>25</v>
      </c>
      <c r="FG117">
        <v>21.5</v>
      </c>
      <c r="FH117">
        <v>20</v>
      </c>
      <c r="FI117">
        <v>-5.6021144884129105E-2</v>
      </c>
      <c r="FJ117">
        <v>25</v>
      </c>
      <c r="FK117">
        <v>-2.0321506042264178E-2</v>
      </c>
      <c r="FL117">
        <v>18</v>
      </c>
      <c r="FM117">
        <v>3.8555555555555592</v>
      </c>
      <c r="FN117">
        <v>23</v>
      </c>
      <c r="FO117">
        <v>-0.55555555555555547</v>
      </c>
      <c r="FP117">
        <v>1.2222222222222225</v>
      </c>
      <c r="FQ117">
        <v>-1.6666666666666667</v>
      </c>
      <c r="FR117">
        <v>0.44444444444444448</v>
      </c>
      <c r="FS117">
        <v>-4.333333333333333</v>
      </c>
      <c r="FT117">
        <v>-0.66666666666666663</v>
      </c>
      <c r="FU117">
        <v>-0.77777777777777779</v>
      </c>
      <c r="FV117">
        <v>3</v>
      </c>
      <c r="FW117">
        <v>11.444444444444448</v>
      </c>
      <c r="FX117">
        <v>-7.6666666666666616</v>
      </c>
      <c r="FY117">
        <v>1.1111111111111109</v>
      </c>
      <c r="FZ117">
        <v>-1.8888888888888886</v>
      </c>
      <c r="GA117">
        <v>22</v>
      </c>
      <c r="GB117">
        <v>-4.3422222222222242</v>
      </c>
      <c r="GC117">
        <v>-1.6451111111111119</v>
      </c>
      <c r="GD117">
        <v>19.111111111111111</v>
      </c>
      <c r="GE117">
        <v>4.3422222222222242</v>
      </c>
      <c r="GF117">
        <v>0.36416666666666669</v>
      </c>
      <c r="GG117">
        <v>-0.50000000000000044</v>
      </c>
      <c r="GH117">
        <v>16.333333333333329</v>
      </c>
      <c r="GI117">
        <v>3.9444444444444455</v>
      </c>
      <c r="GJ117">
        <v>2.8888888888888893</v>
      </c>
      <c r="GK117">
        <v>-2.0000000000000004</v>
      </c>
      <c r="GL117">
        <v>-0.5</v>
      </c>
    </row>
    <row r="118" spans="1:194" x14ac:dyDescent="0.2">
      <c r="A118" s="39">
        <v>43737</v>
      </c>
      <c r="B118" s="26" t="s">
        <v>417</v>
      </c>
      <c r="C118" s="41" t="s">
        <v>312</v>
      </c>
      <c r="D118" s="27" t="s">
        <v>265</v>
      </c>
      <c r="E118">
        <v>2.6</v>
      </c>
      <c r="F118">
        <v>19.8</v>
      </c>
      <c r="G118">
        <v>7.5</v>
      </c>
      <c r="H118" s="14">
        <f>2.2+1.5</f>
        <v>3.7</v>
      </c>
      <c r="I118">
        <v>-1</v>
      </c>
      <c r="J118">
        <v>38</v>
      </c>
      <c r="K118" t="s">
        <v>110</v>
      </c>
      <c r="L118" s="1" t="s">
        <v>312</v>
      </c>
      <c r="M118">
        <v>16</v>
      </c>
      <c r="N118">
        <v>-3.7133333333333329</v>
      </c>
      <c r="O118">
        <v>12</v>
      </c>
      <c r="P118">
        <v>14.5</v>
      </c>
      <c r="Q118">
        <v>7</v>
      </c>
      <c r="R118">
        <v>10.844444444444447</v>
      </c>
      <c r="S118">
        <v>22</v>
      </c>
      <c r="T118">
        <v>55.333333333333336</v>
      </c>
      <c r="U118">
        <v>-0.44444444444444436</v>
      </c>
      <c r="V118">
        <v>5</v>
      </c>
      <c r="W118">
        <v>8</v>
      </c>
      <c r="X118">
        <v>13</v>
      </c>
      <c r="Y118">
        <v>-0.73333333333333373</v>
      </c>
      <c r="Z118">
        <v>3</v>
      </c>
      <c r="AA118">
        <v>13.222222222222223</v>
      </c>
      <c r="AB118">
        <v>-2.8888888888888888</v>
      </c>
      <c r="AC118">
        <v>16</v>
      </c>
      <c r="AD118">
        <v>17</v>
      </c>
      <c r="AE118">
        <v>18</v>
      </c>
      <c r="AF118">
        <v>1.5000000000000007</v>
      </c>
      <c r="AG118">
        <v>16</v>
      </c>
      <c r="AH118">
        <v>2.5555555555555549</v>
      </c>
      <c r="AI118">
        <v>-1.6666666666666667</v>
      </c>
      <c r="AJ118">
        <v>23</v>
      </c>
      <c r="AK118">
        <v>22</v>
      </c>
      <c r="AL118">
        <v>26</v>
      </c>
      <c r="AM118">
        <v>-5.1333333333333329</v>
      </c>
      <c r="AN118">
        <v>18</v>
      </c>
      <c r="AO118">
        <v>-21.444444444444446</v>
      </c>
      <c r="AP118">
        <v>-0.99999999999999967</v>
      </c>
      <c r="AQ118">
        <v>27</v>
      </c>
      <c r="AR118">
        <v>28</v>
      </c>
      <c r="AS118">
        <v>27</v>
      </c>
      <c r="AT118">
        <v>-0.82222222222222274</v>
      </c>
      <c r="AU118">
        <v>29</v>
      </c>
      <c r="AV118">
        <v>4.7777777777777795</v>
      </c>
      <c r="AW118">
        <v>-1.3333333333333333</v>
      </c>
      <c r="AX118">
        <v>29</v>
      </c>
      <c r="AY118">
        <v>29</v>
      </c>
      <c r="AZ118">
        <v>29</v>
      </c>
      <c r="BA118">
        <v>-7.9666666666666659</v>
      </c>
      <c r="BB118">
        <v>29</v>
      </c>
      <c r="BC118">
        <v>-24.111111111111114</v>
      </c>
      <c r="BD118">
        <v>-5.666666666666667</v>
      </c>
      <c r="BE118">
        <v>5</v>
      </c>
      <c r="BF118">
        <v>6</v>
      </c>
      <c r="BG118">
        <v>3</v>
      </c>
      <c r="BH118">
        <v>-5.4222222222222216</v>
      </c>
      <c r="BI118">
        <v>9</v>
      </c>
      <c r="BJ118">
        <v>-25.666666666666668</v>
      </c>
      <c r="BK118">
        <v>-2.5555555555555558</v>
      </c>
      <c r="BL118">
        <v>26</v>
      </c>
      <c r="BM118">
        <v>25</v>
      </c>
      <c r="BN118">
        <v>21</v>
      </c>
      <c r="BO118">
        <v>0.22222222222222246</v>
      </c>
      <c r="BP118">
        <v>29</v>
      </c>
      <c r="BQ118">
        <v>-0.22222222222222218</v>
      </c>
      <c r="BR118">
        <v>3.2222222222222219</v>
      </c>
      <c r="BS118">
        <v>28</v>
      </c>
      <c r="BT118">
        <v>24.5</v>
      </c>
      <c r="BU118">
        <v>22</v>
      </c>
      <c r="BV118">
        <v>0.10612963571833745</v>
      </c>
      <c r="BW118">
        <v>27</v>
      </c>
      <c r="BX118">
        <v>-2.6189150220419826E-2</v>
      </c>
      <c r="BY118">
        <v>22</v>
      </c>
      <c r="BZ118">
        <v>7.5555555555555527</v>
      </c>
      <c r="CA118">
        <v>27</v>
      </c>
      <c r="CB118">
        <v>-2.5555555555555554</v>
      </c>
      <c r="CC118">
        <v>-6.7777777777777786</v>
      </c>
      <c r="CD118">
        <v>5.1111111111111116</v>
      </c>
      <c r="CE118">
        <v>0</v>
      </c>
      <c r="CF118">
        <v>0</v>
      </c>
      <c r="CG118">
        <v>-79.222222222222214</v>
      </c>
      <c r="CH118">
        <v>73</v>
      </c>
      <c r="CI118">
        <v>0.99999999999999989</v>
      </c>
      <c r="CJ118">
        <v>5.2222222222222223</v>
      </c>
      <c r="CK118">
        <v>31</v>
      </c>
      <c r="CL118">
        <v>-13.824444444444445</v>
      </c>
      <c r="CM118">
        <v>-7.7737777777777772</v>
      </c>
      <c r="CN118">
        <v>-152.22222222222223</v>
      </c>
      <c r="CO118">
        <v>13.824444444444445</v>
      </c>
      <c r="CP118">
        <v>-0.40722222222222171</v>
      </c>
      <c r="CQ118">
        <v>-4.4555555555555548</v>
      </c>
      <c r="CR118">
        <v>-14.111111111111114</v>
      </c>
      <c r="CS118">
        <v>10.111111111111112</v>
      </c>
      <c r="CT118">
        <v>68.555555555555557</v>
      </c>
      <c r="CU118">
        <v>-6.5555555555555554</v>
      </c>
      <c r="CV118">
        <v>-3.333333333333333</v>
      </c>
      <c r="CW118">
        <v>-0.35375000000000001</v>
      </c>
      <c r="CX118">
        <v>6.5833333333332911E-2</v>
      </c>
      <c r="CY118" t="s">
        <v>265</v>
      </c>
      <c r="CZ118">
        <v>29</v>
      </c>
      <c r="DA118">
        <v>0.10222222222222281</v>
      </c>
      <c r="DB118">
        <v>12</v>
      </c>
      <c r="DC118">
        <v>11.5</v>
      </c>
      <c r="DD118">
        <v>15</v>
      </c>
      <c r="DE118">
        <v>-6.7888888888888888</v>
      </c>
      <c r="DF118">
        <v>8</v>
      </c>
      <c r="DG118">
        <v>-8.6666666666666679</v>
      </c>
      <c r="DH118">
        <v>-0.11111111111111101</v>
      </c>
      <c r="DI118">
        <v>14</v>
      </c>
      <c r="DJ118">
        <v>15</v>
      </c>
      <c r="DK118">
        <v>14</v>
      </c>
      <c r="DL118">
        <v>-1.1111111111111072E-2</v>
      </c>
      <c r="DM118">
        <v>16</v>
      </c>
      <c r="DN118">
        <v>-5.8888888888888884</v>
      </c>
      <c r="DO118">
        <v>-0.22222222222222218</v>
      </c>
      <c r="DP118">
        <v>25</v>
      </c>
      <c r="DQ118">
        <v>20</v>
      </c>
      <c r="DR118">
        <v>19</v>
      </c>
      <c r="DS118">
        <v>-7.1555555555555559</v>
      </c>
      <c r="DT118">
        <v>21</v>
      </c>
      <c r="DU118">
        <v>-42.666666666666664</v>
      </c>
      <c r="DV118">
        <v>-2.2222222222222223</v>
      </c>
      <c r="DW118">
        <v>28</v>
      </c>
      <c r="DX118">
        <v>27</v>
      </c>
      <c r="DY118">
        <v>28</v>
      </c>
      <c r="DZ118">
        <v>5.9000000000000012</v>
      </c>
      <c r="EA118">
        <v>26</v>
      </c>
      <c r="EB118">
        <v>22.222222222222218</v>
      </c>
      <c r="EC118">
        <v>2.1111111111111112</v>
      </c>
      <c r="ED118">
        <v>20</v>
      </c>
      <c r="EE118">
        <v>19.5</v>
      </c>
      <c r="EF118">
        <v>20</v>
      </c>
      <c r="EG118">
        <v>-1.3777777777777775</v>
      </c>
      <c r="EH118">
        <v>19</v>
      </c>
      <c r="EI118">
        <v>-0.88888888888888928</v>
      </c>
      <c r="EJ118">
        <v>0.11111111111111101</v>
      </c>
      <c r="EK118">
        <v>21</v>
      </c>
      <c r="EL118">
        <v>21.5</v>
      </c>
      <c r="EM118">
        <v>20</v>
      </c>
      <c r="EN118">
        <v>5.9222222222222216</v>
      </c>
      <c r="EO118">
        <v>23</v>
      </c>
      <c r="EP118">
        <v>18.111111111111114</v>
      </c>
      <c r="EQ118">
        <v>3.3333333333333335</v>
      </c>
      <c r="ER118">
        <v>15</v>
      </c>
      <c r="ES118">
        <v>15</v>
      </c>
      <c r="ET118">
        <v>12</v>
      </c>
      <c r="EU118">
        <v>4.7</v>
      </c>
      <c r="EV118">
        <v>18</v>
      </c>
      <c r="EW118">
        <v>16.444444444444443</v>
      </c>
      <c r="EX118">
        <v>2.5555555555555554</v>
      </c>
      <c r="EY118">
        <v>15</v>
      </c>
      <c r="EZ118">
        <v>13</v>
      </c>
      <c r="FA118">
        <v>14</v>
      </c>
      <c r="FB118">
        <v>-1.5555555555555556</v>
      </c>
      <c r="FC118">
        <v>12</v>
      </c>
      <c r="FD118">
        <v>0</v>
      </c>
      <c r="FE118">
        <v>1.4444444444444444</v>
      </c>
      <c r="FF118">
        <v>32</v>
      </c>
      <c r="FG118">
        <v>29.25</v>
      </c>
      <c r="FH118">
        <v>28</v>
      </c>
      <c r="FI118">
        <v>-4.8340381159497924E-2</v>
      </c>
      <c r="FJ118">
        <v>29</v>
      </c>
      <c r="FK118">
        <v>1.8488278137400949E-2</v>
      </c>
      <c r="FL118">
        <v>29</v>
      </c>
      <c r="FM118">
        <v>-4.9666666666666712</v>
      </c>
      <c r="FN118">
        <v>31</v>
      </c>
      <c r="FO118">
        <v>5</v>
      </c>
      <c r="FP118">
        <v>4.666666666666667</v>
      </c>
      <c r="FQ118">
        <v>-1.444444444444444</v>
      </c>
      <c r="FR118">
        <v>0.44444444444444442</v>
      </c>
      <c r="FS118">
        <v>4.2222222222222188</v>
      </c>
      <c r="FT118">
        <v>-5.5555555555555545</v>
      </c>
      <c r="FU118">
        <v>0</v>
      </c>
      <c r="FV118">
        <v>0</v>
      </c>
      <c r="FW118">
        <v>14.22222222222222</v>
      </c>
      <c r="FX118">
        <v>-15</v>
      </c>
      <c r="FY118">
        <v>-1.2222222222222221</v>
      </c>
      <c r="FZ118">
        <v>2</v>
      </c>
      <c r="GA118">
        <v>6</v>
      </c>
      <c r="GB118">
        <v>6.9022222222222229</v>
      </c>
      <c r="GC118">
        <v>3.8337777777777782</v>
      </c>
      <c r="GD118">
        <v>29.222222222222221</v>
      </c>
      <c r="GE118">
        <v>-6.9022222222222229</v>
      </c>
      <c r="GF118">
        <v>-0.77333333333333287</v>
      </c>
      <c r="GG118">
        <v>-2.633333333333332</v>
      </c>
      <c r="GH118">
        <v>-21.333333333333336</v>
      </c>
      <c r="GI118">
        <v>-6.8</v>
      </c>
      <c r="GJ118">
        <v>-14.555555555555557</v>
      </c>
      <c r="GK118">
        <v>2.5555555555555554</v>
      </c>
      <c r="GL118">
        <v>-0.3333333333333332</v>
      </c>
    </row>
    <row r="119" spans="1:194" x14ac:dyDescent="0.2">
      <c r="A119" s="39">
        <v>43737</v>
      </c>
      <c r="B119" s="26" t="s">
        <v>417</v>
      </c>
      <c r="C119" s="41" t="s">
        <v>302</v>
      </c>
      <c r="D119" s="27" t="s">
        <v>276</v>
      </c>
      <c r="E119">
        <v>7</v>
      </c>
      <c r="F119" s="14">
        <v>7.6</v>
      </c>
      <c r="G119">
        <v>3.9</v>
      </c>
      <c r="H119" s="14">
        <v>0</v>
      </c>
      <c r="I119">
        <v>-7</v>
      </c>
      <c r="J119">
        <v>41.5</v>
      </c>
      <c r="L119" s="1" t="s">
        <v>302</v>
      </c>
      <c r="M119">
        <v>18</v>
      </c>
      <c r="N119">
        <v>0.58444444444444221</v>
      </c>
      <c r="O119">
        <v>27</v>
      </c>
      <c r="P119">
        <v>25</v>
      </c>
      <c r="Q119">
        <v>32</v>
      </c>
      <c r="R119">
        <v>-6.3</v>
      </c>
      <c r="S119">
        <v>18</v>
      </c>
      <c r="T119">
        <v>-30.222222222222225</v>
      </c>
      <c r="U119">
        <v>-1.8888888888888886</v>
      </c>
      <c r="V119">
        <v>12</v>
      </c>
      <c r="W119">
        <v>11.5</v>
      </c>
      <c r="X119">
        <v>5</v>
      </c>
      <c r="Y119">
        <v>3.0222222222222221</v>
      </c>
      <c r="Z119">
        <v>18</v>
      </c>
      <c r="AA119">
        <v>-18</v>
      </c>
      <c r="AB119">
        <v>3</v>
      </c>
      <c r="AC119">
        <v>4</v>
      </c>
      <c r="AD119">
        <v>4</v>
      </c>
      <c r="AE119">
        <v>3</v>
      </c>
      <c r="AF119">
        <v>-4.6488888888888882</v>
      </c>
      <c r="AG119">
        <v>5</v>
      </c>
      <c r="AH119">
        <v>-26.666666666666668</v>
      </c>
      <c r="AI119">
        <v>1.1111111111111109</v>
      </c>
      <c r="AJ119">
        <v>14</v>
      </c>
      <c r="AK119">
        <v>14</v>
      </c>
      <c r="AL119">
        <v>15</v>
      </c>
      <c r="AM119">
        <v>2.1666666666666661</v>
      </c>
      <c r="AN119">
        <v>13</v>
      </c>
      <c r="AO119">
        <v>20.111111111111111</v>
      </c>
      <c r="AP119">
        <v>0.22222222222222232</v>
      </c>
      <c r="AQ119">
        <v>16</v>
      </c>
      <c r="AR119">
        <v>16</v>
      </c>
      <c r="AS119">
        <v>13</v>
      </c>
      <c r="AT119">
        <v>7.1333333333333329</v>
      </c>
      <c r="AU119">
        <v>19</v>
      </c>
      <c r="AV119">
        <v>15.222222222222223</v>
      </c>
      <c r="AW119">
        <v>1.5555555555555554</v>
      </c>
      <c r="AX119">
        <v>4</v>
      </c>
      <c r="AY119">
        <v>4.5</v>
      </c>
      <c r="AZ119">
        <v>2</v>
      </c>
      <c r="BA119">
        <v>9.8777777777777747</v>
      </c>
      <c r="BB119">
        <v>7</v>
      </c>
      <c r="BC119">
        <v>33.222222222222221</v>
      </c>
      <c r="BD119">
        <v>2.3333333333333335</v>
      </c>
      <c r="BE119">
        <v>25</v>
      </c>
      <c r="BF119">
        <v>25.5</v>
      </c>
      <c r="BG119">
        <v>28</v>
      </c>
      <c r="BH119">
        <v>-7.644444444444443</v>
      </c>
      <c r="BI119">
        <v>23</v>
      </c>
      <c r="BJ119">
        <v>-26.444444444444443</v>
      </c>
      <c r="BK119">
        <v>-3.3333333333333335</v>
      </c>
      <c r="BL119">
        <v>2</v>
      </c>
      <c r="BM119">
        <v>5</v>
      </c>
      <c r="BN119">
        <v>8</v>
      </c>
      <c r="BO119">
        <v>1.2222222222222221</v>
      </c>
      <c r="BP119">
        <v>2</v>
      </c>
      <c r="BQ119">
        <v>0.55555555555555547</v>
      </c>
      <c r="BR119">
        <v>6.4444444444444438</v>
      </c>
      <c r="BS119">
        <v>27</v>
      </c>
      <c r="BT119">
        <v>23.25</v>
      </c>
      <c r="BU119">
        <v>23</v>
      </c>
      <c r="BV119">
        <v>-3.5195760125911912E-2</v>
      </c>
      <c r="BW119">
        <v>26</v>
      </c>
      <c r="BX119">
        <v>-1.1919701121543601E-2</v>
      </c>
      <c r="BY119">
        <v>23</v>
      </c>
      <c r="BZ119">
        <v>-17.633333333333333</v>
      </c>
      <c r="CA119">
        <v>21</v>
      </c>
      <c r="CB119">
        <v>-0.22222222222222202</v>
      </c>
      <c r="CC119">
        <v>0.33333333333333331</v>
      </c>
      <c r="CD119">
        <v>0.22222222222222379</v>
      </c>
      <c r="CE119">
        <v>3.1111111111111107</v>
      </c>
      <c r="CF119">
        <v>-29.444444444444457</v>
      </c>
      <c r="CG119">
        <v>13.777777777777771</v>
      </c>
      <c r="CH119">
        <v>-37.777777777777779</v>
      </c>
      <c r="CI119">
        <v>4</v>
      </c>
      <c r="CJ119">
        <v>-9.4444444444444446</v>
      </c>
      <c r="CK119">
        <v>11</v>
      </c>
      <c r="CL119">
        <v>3.8622222222222202</v>
      </c>
      <c r="CM119">
        <v>1.157111111111111</v>
      </c>
      <c r="CN119">
        <v>51.55555555555555</v>
      </c>
      <c r="CO119">
        <v>-3.8622222222222198</v>
      </c>
      <c r="CP119">
        <v>-0.55805555555555564</v>
      </c>
      <c r="CQ119">
        <v>4.6511111111111108</v>
      </c>
      <c r="CR119">
        <v>8.6666666666666661</v>
      </c>
      <c r="CS119">
        <v>-3.2777777777777777</v>
      </c>
      <c r="CT119">
        <v>-48.222222222222229</v>
      </c>
      <c r="CU119">
        <v>-0.44444444444444509</v>
      </c>
      <c r="CV119">
        <v>1.1111111111111114</v>
      </c>
      <c r="CW119">
        <v>-1.9338194444444445</v>
      </c>
      <c r="CX119">
        <v>-2.1644444444444444</v>
      </c>
      <c r="CY119" t="s">
        <v>276</v>
      </c>
      <c r="CZ119">
        <v>24</v>
      </c>
      <c r="DA119">
        <v>-3.4311111111111123</v>
      </c>
      <c r="DB119">
        <v>10</v>
      </c>
      <c r="DC119">
        <v>10.5</v>
      </c>
      <c r="DD119">
        <v>8</v>
      </c>
      <c r="DE119">
        <v>5.1888888888888882</v>
      </c>
      <c r="DF119">
        <v>13</v>
      </c>
      <c r="DG119">
        <v>10.277777777777777</v>
      </c>
      <c r="DH119">
        <v>0.16666666666666652</v>
      </c>
      <c r="DI119">
        <v>3</v>
      </c>
      <c r="DJ119">
        <v>6</v>
      </c>
      <c r="DK119">
        <v>2</v>
      </c>
      <c r="DL119">
        <v>-3.35</v>
      </c>
      <c r="DM119">
        <v>10</v>
      </c>
      <c r="DN119">
        <v>-6.7222222222222214</v>
      </c>
      <c r="DO119">
        <v>-1</v>
      </c>
      <c r="DP119">
        <v>17</v>
      </c>
      <c r="DQ119">
        <v>19</v>
      </c>
      <c r="DR119">
        <v>20</v>
      </c>
      <c r="DS119">
        <v>0.65555555555555445</v>
      </c>
      <c r="DT119">
        <v>18</v>
      </c>
      <c r="DU119">
        <v>4.6666666666666687</v>
      </c>
      <c r="DV119">
        <v>3.1111111111111112</v>
      </c>
      <c r="DW119">
        <v>20</v>
      </c>
      <c r="DX119">
        <v>19</v>
      </c>
      <c r="DY119">
        <v>20</v>
      </c>
      <c r="DZ119">
        <v>-7.8666666666666671</v>
      </c>
      <c r="EA119">
        <v>18</v>
      </c>
      <c r="EB119">
        <v>-40.888888888888886</v>
      </c>
      <c r="EC119">
        <v>-0.88888888888888873</v>
      </c>
      <c r="ED119">
        <v>8</v>
      </c>
      <c r="EE119">
        <v>21</v>
      </c>
      <c r="EF119">
        <v>11</v>
      </c>
      <c r="EG119">
        <v>3.0000000000000004</v>
      </c>
      <c r="EH119">
        <v>31</v>
      </c>
      <c r="EI119">
        <v>13.333333333333334</v>
      </c>
      <c r="EJ119">
        <v>0.88888888888888884</v>
      </c>
      <c r="EK119">
        <v>20</v>
      </c>
      <c r="EL119">
        <v>19</v>
      </c>
      <c r="EM119">
        <v>19</v>
      </c>
      <c r="EN119">
        <v>-3.4666666666666655</v>
      </c>
      <c r="EO119">
        <v>19</v>
      </c>
      <c r="EP119">
        <v>-18</v>
      </c>
      <c r="EQ119">
        <v>-0.44444444444444403</v>
      </c>
      <c r="ER119">
        <v>32</v>
      </c>
      <c r="ES119">
        <v>32</v>
      </c>
      <c r="ET119">
        <v>32</v>
      </c>
      <c r="EU119">
        <v>-6.2666666666666657</v>
      </c>
      <c r="EV119">
        <v>32</v>
      </c>
      <c r="EW119">
        <v>-22.666666666666668</v>
      </c>
      <c r="EX119">
        <v>-1.8888888888888891</v>
      </c>
      <c r="EY119">
        <v>32</v>
      </c>
      <c r="EZ119">
        <v>32</v>
      </c>
      <c r="FA119">
        <v>32</v>
      </c>
      <c r="FB119">
        <v>-1.5555555555555554</v>
      </c>
      <c r="FC119">
        <v>32</v>
      </c>
      <c r="FD119">
        <v>-0.22222222222222221</v>
      </c>
      <c r="FE119">
        <v>2.4444444444444442</v>
      </c>
      <c r="FF119">
        <v>7</v>
      </c>
      <c r="FG119">
        <v>12.25</v>
      </c>
      <c r="FH119">
        <v>24</v>
      </c>
      <c r="FI119">
        <v>-5.4327220246194102E-2</v>
      </c>
      <c r="FJ119">
        <v>3</v>
      </c>
      <c r="FK119">
        <v>-2.9017429643450537E-2</v>
      </c>
      <c r="FL119">
        <v>17</v>
      </c>
      <c r="FM119">
        <v>-20.211111111111112</v>
      </c>
      <c r="FN119">
        <v>5</v>
      </c>
      <c r="FO119">
        <v>-0.33333333333333365</v>
      </c>
      <c r="FP119">
        <v>1.555555555555556</v>
      </c>
      <c r="FQ119">
        <v>0.77777777777777801</v>
      </c>
      <c r="FR119">
        <v>-0.22222222222222224</v>
      </c>
      <c r="FS119">
        <v>1.2222222222222214</v>
      </c>
      <c r="FT119">
        <v>-1.4444444444444446</v>
      </c>
      <c r="FU119">
        <v>0.44444444444444436</v>
      </c>
      <c r="FV119">
        <v>-24.666666666666657</v>
      </c>
      <c r="FW119">
        <v>-37.666666666666664</v>
      </c>
      <c r="FX119">
        <v>14.222222222222223</v>
      </c>
      <c r="FY119">
        <v>2.6666666666666665</v>
      </c>
      <c r="FZ119">
        <v>-3.8888888888888888</v>
      </c>
      <c r="GA119">
        <v>23</v>
      </c>
      <c r="GB119">
        <v>-5.2700000000000014</v>
      </c>
      <c r="GC119">
        <v>-3.7012222222222224</v>
      </c>
      <c r="GD119">
        <v>-51.888888888888886</v>
      </c>
      <c r="GE119">
        <v>5.2700000000000005</v>
      </c>
      <c r="GF119">
        <v>-1.7031944444444447</v>
      </c>
      <c r="GG119">
        <v>-4.2111111111111121</v>
      </c>
      <c r="GH119">
        <v>-22.888888888888879</v>
      </c>
      <c r="GI119">
        <v>1.8388888888888881</v>
      </c>
      <c r="GJ119">
        <v>3.5555555555555554</v>
      </c>
      <c r="GK119">
        <v>1.2222222222222221</v>
      </c>
      <c r="GL119">
        <v>-0.83333333333333348</v>
      </c>
    </row>
    <row r="120" spans="1:194" x14ac:dyDescent="0.2">
      <c r="A120" s="39">
        <v>43737</v>
      </c>
      <c r="B120" s="26" t="s">
        <v>417</v>
      </c>
      <c r="C120" s="41" t="s">
        <v>307</v>
      </c>
      <c r="D120" s="27" t="s">
        <v>291</v>
      </c>
      <c r="E120">
        <v>18.5</v>
      </c>
      <c r="F120">
        <v>4.9000000000000004</v>
      </c>
      <c r="G120">
        <v>1</v>
      </c>
      <c r="H120" s="14">
        <v>11</v>
      </c>
      <c r="I120">
        <v>2.5</v>
      </c>
      <c r="J120">
        <v>47</v>
      </c>
      <c r="L120" s="1" t="s">
        <v>307</v>
      </c>
      <c r="M120">
        <v>17</v>
      </c>
      <c r="N120">
        <v>1.5888888888888879</v>
      </c>
      <c r="O120">
        <v>8</v>
      </c>
      <c r="P120">
        <v>8.5</v>
      </c>
      <c r="Q120">
        <v>5</v>
      </c>
      <c r="R120">
        <v>3.111111111111112</v>
      </c>
      <c r="S120">
        <v>12</v>
      </c>
      <c r="T120">
        <v>7.9999999999999973</v>
      </c>
      <c r="U120">
        <v>0.44444444444444436</v>
      </c>
      <c r="V120">
        <v>16</v>
      </c>
      <c r="W120">
        <v>15</v>
      </c>
      <c r="X120">
        <v>15</v>
      </c>
      <c r="Y120">
        <v>0.85555555555555529</v>
      </c>
      <c r="Z120">
        <v>15</v>
      </c>
      <c r="AA120">
        <v>4.2222222222222223</v>
      </c>
      <c r="AB120">
        <v>0</v>
      </c>
      <c r="AC120">
        <v>5</v>
      </c>
      <c r="AD120">
        <v>5.5</v>
      </c>
      <c r="AE120">
        <v>4</v>
      </c>
      <c r="AF120">
        <v>2.2666666666666657</v>
      </c>
      <c r="AG120">
        <v>7</v>
      </c>
      <c r="AH120">
        <v>7.7777777777777759</v>
      </c>
      <c r="AI120">
        <v>0.6666666666666673</v>
      </c>
      <c r="AJ120">
        <v>32</v>
      </c>
      <c r="AK120">
        <v>32</v>
      </c>
      <c r="AL120">
        <v>32</v>
      </c>
      <c r="AM120">
        <v>-2.2777777777777763</v>
      </c>
      <c r="AN120">
        <v>32</v>
      </c>
      <c r="AO120">
        <v>-4.9999999999999973</v>
      </c>
      <c r="AP120">
        <v>-1.5555555555555556</v>
      </c>
      <c r="AQ120">
        <v>29</v>
      </c>
      <c r="AR120">
        <v>29</v>
      </c>
      <c r="AS120">
        <v>28</v>
      </c>
      <c r="AT120">
        <v>0.17777777777777759</v>
      </c>
      <c r="AU120">
        <v>30</v>
      </c>
      <c r="AV120">
        <v>-13.111111111111109</v>
      </c>
      <c r="AW120">
        <v>-2.1111111111111112</v>
      </c>
      <c r="AX120">
        <v>28</v>
      </c>
      <c r="AY120">
        <v>28</v>
      </c>
      <c r="AZ120">
        <v>28</v>
      </c>
      <c r="BA120">
        <v>6.1777777777777771</v>
      </c>
      <c r="BB120">
        <v>28</v>
      </c>
      <c r="BC120">
        <v>40.666666666666664</v>
      </c>
      <c r="BD120">
        <v>2</v>
      </c>
      <c r="BE120">
        <v>4</v>
      </c>
      <c r="BF120">
        <v>4.5</v>
      </c>
      <c r="BG120">
        <v>5</v>
      </c>
      <c r="BH120">
        <v>-5.2</v>
      </c>
      <c r="BI120">
        <v>4</v>
      </c>
      <c r="BJ120">
        <v>-10.666666666666666</v>
      </c>
      <c r="BK120">
        <v>-1.2222222222222223</v>
      </c>
      <c r="BL120">
        <v>4</v>
      </c>
      <c r="BM120">
        <v>7</v>
      </c>
      <c r="BN120">
        <v>4</v>
      </c>
      <c r="BO120">
        <v>0.8888888888888884</v>
      </c>
      <c r="BP120">
        <v>10</v>
      </c>
      <c r="BQ120">
        <v>7.4014868308343765E-17</v>
      </c>
      <c r="BR120">
        <v>1.5555555555555556</v>
      </c>
      <c r="BS120">
        <v>32</v>
      </c>
      <c r="BT120">
        <v>29.5</v>
      </c>
      <c r="BU120">
        <v>30</v>
      </c>
      <c r="BV120">
        <v>-3.9288092822865606E-2</v>
      </c>
      <c r="BW120">
        <v>28</v>
      </c>
      <c r="BX120">
        <v>-2.9232522687254292E-2</v>
      </c>
      <c r="BY120">
        <v>31</v>
      </c>
      <c r="BZ120">
        <v>3.1444444444444435</v>
      </c>
      <c r="CA120">
        <v>29</v>
      </c>
      <c r="CB120">
        <v>-3</v>
      </c>
      <c r="CC120">
        <v>-3.4444444444444451</v>
      </c>
      <c r="CD120">
        <v>-0.22222222222222263</v>
      </c>
      <c r="CE120">
        <v>3.1111111111111107</v>
      </c>
      <c r="CF120">
        <v>0.44444444444445708</v>
      </c>
      <c r="CG120">
        <v>-7.7777777777777812</v>
      </c>
      <c r="CH120">
        <v>9.8888888888888875</v>
      </c>
      <c r="CI120">
        <v>-0.66666666666666663</v>
      </c>
      <c r="CJ120">
        <v>-1</v>
      </c>
      <c r="CK120">
        <v>24</v>
      </c>
      <c r="CL120">
        <v>-2.3777777777777795</v>
      </c>
      <c r="CM120">
        <v>-2.6722222222222225</v>
      </c>
      <c r="CN120">
        <v>-17.666666666666668</v>
      </c>
      <c r="CO120">
        <v>2.3777777777777791</v>
      </c>
      <c r="CP120">
        <v>0.17638888888888871</v>
      </c>
      <c r="CQ120">
        <v>0.16666666666666696</v>
      </c>
      <c r="CR120">
        <v>-10.33333333333333</v>
      </c>
      <c r="CS120">
        <v>3.9666666666666672</v>
      </c>
      <c r="CT120">
        <v>12.22222222222222</v>
      </c>
      <c r="CU120">
        <v>-4.2222222222222214</v>
      </c>
      <c r="CV120">
        <v>0.44444444444444436</v>
      </c>
      <c r="CW120">
        <v>0.80895833333333367</v>
      </c>
      <c r="CX120">
        <v>1.682222222222223</v>
      </c>
      <c r="CY120" t="s">
        <v>291</v>
      </c>
      <c r="CZ120">
        <v>19</v>
      </c>
      <c r="DA120">
        <v>-2.7088888888888882</v>
      </c>
      <c r="DB120">
        <v>6</v>
      </c>
      <c r="DC120">
        <v>8</v>
      </c>
      <c r="DD120">
        <v>4</v>
      </c>
      <c r="DE120">
        <v>0.91111111111111087</v>
      </c>
      <c r="DF120">
        <v>12</v>
      </c>
      <c r="DG120">
        <v>6.6111111111111107</v>
      </c>
      <c r="DH120">
        <v>-5.5555555555555504E-2</v>
      </c>
      <c r="DI120">
        <v>22</v>
      </c>
      <c r="DJ120">
        <v>19</v>
      </c>
      <c r="DK120">
        <v>24</v>
      </c>
      <c r="DL120">
        <v>2.4500000000000002</v>
      </c>
      <c r="DM120">
        <v>14</v>
      </c>
      <c r="DN120">
        <v>2.3888888888888893</v>
      </c>
      <c r="DO120">
        <v>0.44444444444444436</v>
      </c>
      <c r="DP120">
        <v>26</v>
      </c>
      <c r="DQ120">
        <v>29.5</v>
      </c>
      <c r="DR120">
        <v>30</v>
      </c>
      <c r="DS120">
        <v>-3.6666666666666683</v>
      </c>
      <c r="DT120">
        <v>29</v>
      </c>
      <c r="DU120">
        <v>-9.2222222222222214</v>
      </c>
      <c r="DV120">
        <v>1.2222222222222223</v>
      </c>
      <c r="DW120">
        <v>15</v>
      </c>
      <c r="DX120">
        <v>14</v>
      </c>
      <c r="DY120">
        <v>13</v>
      </c>
      <c r="DZ120">
        <v>0.17777777777777715</v>
      </c>
      <c r="EA120">
        <v>15</v>
      </c>
      <c r="EB120">
        <v>-1.5555555555555547</v>
      </c>
      <c r="EC120">
        <v>-0.66666666666666663</v>
      </c>
      <c r="ED120">
        <v>19</v>
      </c>
      <c r="EE120">
        <v>10.5</v>
      </c>
      <c r="EF120">
        <v>9</v>
      </c>
      <c r="EG120">
        <v>0.38888888888888901</v>
      </c>
      <c r="EH120">
        <v>12</v>
      </c>
      <c r="EI120">
        <v>7.1111111111111107</v>
      </c>
      <c r="EJ120">
        <v>0.55555555555555536</v>
      </c>
      <c r="EK120">
        <v>8</v>
      </c>
      <c r="EL120">
        <v>8.5</v>
      </c>
      <c r="EM120">
        <v>10</v>
      </c>
      <c r="EN120">
        <v>-3.0666666666666664</v>
      </c>
      <c r="EO120">
        <v>7</v>
      </c>
      <c r="EP120">
        <v>-8.4444444444444429</v>
      </c>
      <c r="EQ120">
        <v>0.55555555555555536</v>
      </c>
      <c r="ER120">
        <v>27</v>
      </c>
      <c r="ES120">
        <v>26</v>
      </c>
      <c r="ET120">
        <v>22</v>
      </c>
      <c r="EU120">
        <v>1.9333333333333342</v>
      </c>
      <c r="EV120">
        <v>30</v>
      </c>
      <c r="EW120">
        <v>2.6666666666666643</v>
      </c>
      <c r="EX120">
        <v>0.88888888888888873</v>
      </c>
      <c r="EY120">
        <v>7</v>
      </c>
      <c r="EZ120">
        <v>7</v>
      </c>
      <c r="FA120">
        <v>10</v>
      </c>
      <c r="FB120">
        <v>0</v>
      </c>
      <c r="FC120">
        <v>4</v>
      </c>
      <c r="FD120">
        <v>0.11111111111111116</v>
      </c>
      <c r="FE120">
        <v>-1.5555555555555556</v>
      </c>
      <c r="FF120">
        <v>15</v>
      </c>
      <c r="FG120">
        <v>15.75</v>
      </c>
      <c r="FH120">
        <v>7</v>
      </c>
      <c r="FI120">
        <v>-5.697472558024317E-2</v>
      </c>
      <c r="FJ120">
        <v>7</v>
      </c>
      <c r="FK120">
        <v>-2.7657356522814768E-2</v>
      </c>
      <c r="FL120">
        <v>28</v>
      </c>
      <c r="FM120">
        <v>4.7666666666666684</v>
      </c>
      <c r="FN120">
        <v>21</v>
      </c>
      <c r="FO120">
        <v>-5.3333333333333348</v>
      </c>
      <c r="FP120">
        <v>1.4444444444444429</v>
      </c>
      <c r="FQ120">
        <v>1.1111111111111107</v>
      </c>
      <c r="FR120">
        <v>0.33333333333333326</v>
      </c>
      <c r="FS120">
        <v>2</v>
      </c>
      <c r="FT120">
        <v>-1.1111111111111109</v>
      </c>
      <c r="FU120">
        <v>0</v>
      </c>
      <c r="FV120">
        <v>5.6666666666666758</v>
      </c>
      <c r="FW120">
        <v>-14.22222222222222</v>
      </c>
      <c r="FX120">
        <v>19.777777777777779</v>
      </c>
      <c r="FY120">
        <v>0.22222222222222263</v>
      </c>
      <c r="FZ120">
        <v>-0.11111111111111087</v>
      </c>
      <c r="GA120">
        <v>26</v>
      </c>
      <c r="GB120">
        <v>-6.0699999999999994</v>
      </c>
      <c r="GC120">
        <v>-2.4556666666666667</v>
      </c>
      <c r="GD120">
        <v>-34</v>
      </c>
      <c r="GE120">
        <v>6.0699999999999994</v>
      </c>
      <c r="GF120">
        <v>-6.4305555555555644E-2</v>
      </c>
      <c r="GG120">
        <v>-3.1000000000000023</v>
      </c>
      <c r="GH120">
        <v>-3.6666666666666661</v>
      </c>
      <c r="GI120">
        <v>3.3611111111111112</v>
      </c>
      <c r="GJ120">
        <v>9</v>
      </c>
      <c r="GK120">
        <v>2</v>
      </c>
      <c r="GL120">
        <v>0.38888888888888884</v>
      </c>
    </row>
    <row r="121" spans="1:194" x14ac:dyDescent="0.2">
      <c r="A121" s="39">
        <v>43737</v>
      </c>
      <c r="B121" s="26" t="s">
        <v>417</v>
      </c>
      <c r="C121" s="41" t="s">
        <v>296</v>
      </c>
      <c r="D121" s="27" t="s">
        <v>306</v>
      </c>
      <c r="E121">
        <v>16.899999999999999</v>
      </c>
      <c r="F121">
        <v>3.3</v>
      </c>
      <c r="G121">
        <v>1.3</v>
      </c>
      <c r="H121" s="14">
        <f>9.4+5.4</f>
        <v>14.8</v>
      </c>
      <c r="I121">
        <v>-3</v>
      </c>
      <c r="J121">
        <v>48</v>
      </c>
      <c r="L121" s="1" t="s">
        <v>296</v>
      </c>
      <c r="M121">
        <v>9</v>
      </c>
      <c r="N121">
        <v>6.1755555555555555</v>
      </c>
      <c r="O121">
        <v>20</v>
      </c>
      <c r="P121">
        <v>21</v>
      </c>
      <c r="Q121">
        <v>16</v>
      </c>
      <c r="R121">
        <v>1.4555555555555555</v>
      </c>
      <c r="S121">
        <v>26</v>
      </c>
      <c r="T121">
        <v>19.222222222222221</v>
      </c>
      <c r="U121">
        <v>-0.22222222222222232</v>
      </c>
      <c r="V121">
        <v>31</v>
      </c>
      <c r="W121">
        <v>31</v>
      </c>
      <c r="X121">
        <v>32</v>
      </c>
      <c r="Y121">
        <v>-6.6666666666666277E-2</v>
      </c>
      <c r="Z121">
        <v>30</v>
      </c>
      <c r="AA121">
        <v>-3.8888888888888897</v>
      </c>
      <c r="AB121">
        <v>-0.66666666666666685</v>
      </c>
      <c r="AC121">
        <v>14</v>
      </c>
      <c r="AD121">
        <v>15.5</v>
      </c>
      <c r="AE121">
        <v>10</v>
      </c>
      <c r="AF121">
        <v>1.8</v>
      </c>
      <c r="AG121">
        <v>21</v>
      </c>
      <c r="AH121">
        <v>-1.1111111111111118</v>
      </c>
      <c r="AI121">
        <v>-1.5555555555555554</v>
      </c>
      <c r="AJ121">
        <v>13</v>
      </c>
      <c r="AK121">
        <v>13.5</v>
      </c>
      <c r="AL121">
        <v>5</v>
      </c>
      <c r="AM121">
        <v>1.2777777777777777</v>
      </c>
      <c r="AN121">
        <v>22</v>
      </c>
      <c r="AO121">
        <v>17.444444444444446</v>
      </c>
      <c r="AP121">
        <v>-0.22222222222222232</v>
      </c>
      <c r="AQ121">
        <v>12</v>
      </c>
      <c r="AR121">
        <v>12.5</v>
      </c>
      <c r="AS121">
        <v>14</v>
      </c>
      <c r="AT121">
        <v>0.47777777777777802</v>
      </c>
      <c r="AU121">
        <v>11</v>
      </c>
      <c r="AV121">
        <v>-3.6666666666666665</v>
      </c>
      <c r="AW121">
        <v>-0.77777777777777768</v>
      </c>
      <c r="AX121">
        <v>22</v>
      </c>
      <c r="AY121">
        <v>21</v>
      </c>
      <c r="AZ121">
        <v>17</v>
      </c>
      <c r="BA121">
        <v>4.4444444444444455</v>
      </c>
      <c r="BB121">
        <v>25</v>
      </c>
      <c r="BC121">
        <v>18.888888888888893</v>
      </c>
      <c r="BD121">
        <v>2.3333333333333335</v>
      </c>
      <c r="BE121">
        <v>19</v>
      </c>
      <c r="BF121">
        <v>19</v>
      </c>
      <c r="BG121">
        <v>18</v>
      </c>
      <c r="BH121">
        <v>10.244444444444445</v>
      </c>
      <c r="BI121">
        <v>20</v>
      </c>
      <c r="BJ121">
        <v>36.888888888888893</v>
      </c>
      <c r="BK121">
        <v>3.7777777777777772</v>
      </c>
      <c r="BL121">
        <v>28</v>
      </c>
      <c r="BM121">
        <v>27.5</v>
      </c>
      <c r="BN121">
        <v>29</v>
      </c>
      <c r="BO121">
        <v>-1.8888888888888891</v>
      </c>
      <c r="BP121">
        <v>26</v>
      </c>
      <c r="BQ121">
        <v>-0.77777777777777768</v>
      </c>
      <c r="BR121">
        <v>-5.5555555555555562</v>
      </c>
      <c r="BS121">
        <v>2</v>
      </c>
      <c r="BT121">
        <v>7.5</v>
      </c>
      <c r="BU121">
        <v>3</v>
      </c>
      <c r="BV121">
        <v>1.8294546056538897E-2</v>
      </c>
      <c r="BW121">
        <v>16</v>
      </c>
      <c r="BX121">
        <v>-1.6983809518569676E-3</v>
      </c>
      <c r="BY121">
        <v>10</v>
      </c>
      <c r="BZ121">
        <v>-7.4555555555555557</v>
      </c>
      <c r="CA121">
        <v>1</v>
      </c>
      <c r="CB121">
        <v>-1.6666666666666663</v>
      </c>
      <c r="CC121">
        <v>0.55555555555555713</v>
      </c>
      <c r="CD121">
        <v>5.1111111111111116</v>
      </c>
      <c r="CE121">
        <v>-2.7777777777777772</v>
      </c>
      <c r="CF121">
        <v>84.222222222222214</v>
      </c>
      <c r="CG121">
        <v>49.44444444444445</v>
      </c>
      <c r="CH121">
        <v>20.666666666666664</v>
      </c>
      <c r="CI121">
        <v>6.2222222222222214</v>
      </c>
      <c r="CJ121">
        <v>7.8888888888888893</v>
      </c>
      <c r="CK121">
        <v>8</v>
      </c>
      <c r="CL121">
        <v>4.7866666666666662</v>
      </c>
      <c r="CM121">
        <v>3.3006666666666673</v>
      </c>
      <c r="CN121">
        <v>28.777777777777786</v>
      </c>
      <c r="CO121">
        <v>-4.7866666666666662</v>
      </c>
      <c r="CP121">
        <v>2.4344444444444444</v>
      </c>
      <c r="CQ121">
        <v>3.5555555555555554</v>
      </c>
      <c r="CR121">
        <v>12.66666666666667</v>
      </c>
      <c r="CS121">
        <v>1.3888888888888893</v>
      </c>
      <c r="CT121">
        <v>15.333333333333332</v>
      </c>
      <c r="CU121">
        <v>1.2222222222222219</v>
      </c>
      <c r="CV121">
        <v>-0.88888888888888917</v>
      </c>
      <c r="CW121">
        <v>2.1629166666666664</v>
      </c>
      <c r="CX121">
        <v>2.565833333333333</v>
      </c>
      <c r="CY121" t="s">
        <v>306</v>
      </c>
      <c r="CZ121">
        <v>22</v>
      </c>
      <c r="DA121">
        <v>4.1466666666666692</v>
      </c>
      <c r="DB121">
        <v>11</v>
      </c>
      <c r="DC121">
        <v>11</v>
      </c>
      <c r="DD121">
        <v>16</v>
      </c>
      <c r="DE121">
        <v>0.42222222222222161</v>
      </c>
      <c r="DF121">
        <v>6</v>
      </c>
      <c r="DG121">
        <v>7.4444444444444455</v>
      </c>
      <c r="DH121">
        <v>-0.33333333333333348</v>
      </c>
      <c r="DI121">
        <v>10</v>
      </c>
      <c r="DJ121">
        <v>12.5</v>
      </c>
      <c r="DK121">
        <v>16</v>
      </c>
      <c r="DL121">
        <v>-2.0444444444444434</v>
      </c>
      <c r="DM121">
        <v>9</v>
      </c>
      <c r="DN121">
        <v>-5.333333333333333</v>
      </c>
      <c r="DO121">
        <v>-0.66666666666666652</v>
      </c>
      <c r="DP121">
        <v>13</v>
      </c>
      <c r="DQ121">
        <v>12</v>
      </c>
      <c r="DR121">
        <v>14</v>
      </c>
      <c r="DS121">
        <v>-3.9333333333333349</v>
      </c>
      <c r="DT121">
        <v>10</v>
      </c>
      <c r="DU121">
        <v>-20.888888888888889</v>
      </c>
      <c r="DV121">
        <v>-2.5555555555555554</v>
      </c>
      <c r="DW121">
        <v>26</v>
      </c>
      <c r="DX121">
        <v>26.5</v>
      </c>
      <c r="DY121">
        <v>23</v>
      </c>
      <c r="DZ121">
        <v>15.533333333333333</v>
      </c>
      <c r="EA121">
        <v>30</v>
      </c>
      <c r="EB121">
        <v>44.222222222222229</v>
      </c>
      <c r="EC121">
        <v>2.4444444444444442</v>
      </c>
      <c r="ED121">
        <v>32</v>
      </c>
      <c r="EE121">
        <v>15</v>
      </c>
      <c r="EF121">
        <v>15</v>
      </c>
      <c r="EG121">
        <v>0.26666666666666661</v>
      </c>
      <c r="EH121">
        <v>15</v>
      </c>
      <c r="EI121">
        <v>-0.88888888888888873</v>
      </c>
      <c r="EJ121">
        <v>1.1111111111111109</v>
      </c>
      <c r="EK121">
        <v>7</v>
      </c>
      <c r="EL121">
        <v>7.5</v>
      </c>
      <c r="EM121">
        <v>7</v>
      </c>
      <c r="EN121">
        <v>2.4777777777777814</v>
      </c>
      <c r="EO121">
        <v>8</v>
      </c>
      <c r="EP121">
        <v>-5.2222222222222259</v>
      </c>
      <c r="EQ121">
        <v>-1.5555555555555547</v>
      </c>
      <c r="ER121">
        <v>10</v>
      </c>
      <c r="ES121">
        <v>10.5</v>
      </c>
      <c r="ET121">
        <v>6</v>
      </c>
      <c r="EU121">
        <v>2.2222222222222143E-2</v>
      </c>
      <c r="EV121">
        <v>15</v>
      </c>
      <c r="EW121">
        <v>-2.0000000000000013</v>
      </c>
      <c r="EX121">
        <v>-0.88888888888888873</v>
      </c>
      <c r="EY121">
        <v>12</v>
      </c>
      <c r="EZ121">
        <v>12.5</v>
      </c>
      <c r="FA121">
        <v>12</v>
      </c>
      <c r="FB121">
        <v>-0.33333333333333331</v>
      </c>
      <c r="FC121">
        <v>13</v>
      </c>
      <c r="FD121">
        <v>-0.11111111111111109</v>
      </c>
      <c r="FE121">
        <v>0.5555555555555558</v>
      </c>
      <c r="FF121">
        <v>3</v>
      </c>
      <c r="FG121">
        <v>8</v>
      </c>
      <c r="FH121">
        <v>13</v>
      </c>
      <c r="FI121">
        <v>-1.2234604379661498E-2</v>
      </c>
      <c r="FJ121">
        <v>2</v>
      </c>
      <c r="FK121">
        <v>3.5392942731672095E-3</v>
      </c>
      <c r="FL121">
        <v>9</v>
      </c>
      <c r="FM121">
        <v>18.433333333333337</v>
      </c>
      <c r="FN121">
        <v>8</v>
      </c>
      <c r="FO121">
        <v>-2.4444444444444446</v>
      </c>
      <c r="FP121">
        <v>-2.2222222222222228</v>
      </c>
      <c r="FQ121">
        <v>0.33333333333333454</v>
      </c>
      <c r="FR121">
        <v>0.33333333333333343</v>
      </c>
      <c r="FS121">
        <v>-0.3333333333333357</v>
      </c>
      <c r="FT121">
        <v>4.9999999999999991</v>
      </c>
      <c r="FU121">
        <v>1.5555555555555554</v>
      </c>
      <c r="FV121">
        <v>29.555555555555561</v>
      </c>
      <c r="FW121">
        <v>12.555555555555543</v>
      </c>
      <c r="FX121">
        <v>7.6666666666666687</v>
      </c>
      <c r="FY121">
        <v>0.66666666666666652</v>
      </c>
      <c r="FZ121">
        <v>8.6666666666666696</v>
      </c>
      <c r="GA121">
        <v>7</v>
      </c>
      <c r="GB121">
        <v>5.768888888888891</v>
      </c>
      <c r="GC121">
        <v>4.0182222222222226</v>
      </c>
      <c r="GD121">
        <v>4.8888888888888742</v>
      </c>
      <c r="GE121">
        <v>-5.768888888888891</v>
      </c>
      <c r="GF121">
        <v>1.76</v>
      </c>
      <c r="GG121">
        <v>11.866666666666664</v>
      </c>
      <c r="GH121">
        <v>22.44444444444445</v>
      </c>
      <c r="GI121">
        <v>-1.6222222222222218</v>
      </c>
      <c r="GJ121">
        <v>2.1111111111111125</v>
      </c>
      <c r="GK121">
        <v>0.11111111111111105</v>
      </c>
      <c r="GL121">
        <v>-1</v>
      </c>
    </row>
    <row r="122" spans="1:194" x14ac:dyDescent="0.2">
      <c r="A122" s="39">
        <v>43737</v>
      </c>
      <c r="B122" s="26" t="s">
        <v>417</v>
      </c>
      <c r="C122" s="41" t="s">
        <v>294</v>
      </c>
      <c r="D122" s="27" t="s">
        <v>300</v>
      </c>
      <c r="E122">
        <v>12.8</v>
      </c>
      <c r="F122">
        <v>0</v>
      </c>
      <c r="G122">
        <v>2.2999999999999998</v>
      </c>
      <c r="H122" s="14">
        <f>13.5+9.6</f>
        <v>23.1</v>
      </c>
      <c r="I122">
        <v>3.5</v>
      </c>
      <c r="J122">
        <v>46</v>
      </c>
      <c r="L122" s="1" t="s">
        <v>294</v>
      </c>
      <c r="M122">
        <v>23</v>
      </c>
      <c r="N122">
        <v>1.7333333333333332</v>
      </c>
      <c r="O122">
        <v>16</v>
      </c>
      <c r="P122">
        <v>16.5</v>
      </c>
      <c r="Q122">
        <v>18</v>
      </c>
      <c r="R122">
        <v>-9.1</v>
      </c>
      <c r="S122">
        <v>15</v>
      </c>
      <c r="T122">
        <v>-33.222222222222221</v>
      </c>
      <c r="U122">
        <v>-0.33333333333333348</v>
      </c>
      <c r="V122">
        <v>9</v>
      </c>
      <c r="W122">
        <v>10.5</v>
      </c>
      <c r="X122">
        <v>16</v>
      </c>
      <c r="Y122">
        <v>2.2666666666666662</v>
      </c>
      <c r="Z122">
        <v>5</v>
      </c>
      <c r="AA122">
        <v>3.5555555555555571</v>
      </c>
      <c r="AB122">
        <v>0.44444444444444448</v>
      </c>
      <c r="AC122">
        <v>19</v>
      </c>
      <c r="AD122">
        <v>18.5</v>
      </c>
      <c r="AE122">
        <v>20</v>
      </c>
      <c r="AF122">
        <v>4.5888888888888895</v>
      </c>
      <c r="AG122">
        <v>17</v>
      </c>
      <c r="AH122">
        <v>-1.2222222222222239</v>
      </c>
      <c r="AI122">
        <v>0.55555555555555536</v>
      </c>
      <c r="AJ122">
        <v>30</v>
      </c>
      <c r="AK122">
        <v>30</v>
      </c>
      <c r="AL122">
        <v>29</v>
      </c>
      <c r="AM122">
        <v>1.6777777777777754</v>
      </c>
      <c r="AN122">
        <v>31</v>
      </c>
      <c r="AO122">
        <v>12.222222222222221</v>
      </c>
      <c r="AP122">
        <v>1.1111111111111109</v>
      </c>
      <c r="AQ122">
        <v>23</v>
      </c>
      <c r="AR122">
        <v>23.5</v>
      </c>
      <c r="AS122">
        <v>24</v>
      </c>
      <c r="AT122">
        <v>-2.0777777777777775</v>
      </c>
      <c r="AU122">
        <v>23</v>
      </c>
      <c r="AV122">
        <v>-10.666666666666666</v>
      </c>
      <c r="AW122">
        <v>-0.11111111111111116</v>
      </c>
      <c r="AX122">
        <v>20</v>
      </c>
      <c r="AY122">
        <v>20</v>
      </c>
      <c r="AZ122">
        <v>19</v>
      </c>
      <c r="BA122">
        <v>11.666666666666666</v>
      </c>
      <c r="BB122">
        <v>21</v>
      </c>
      <c r="BC122">
        <v>38.888888888888886</v>
      </c>
      <c r="BD122">
        <v>4.9999999999999991</v>
      </c>
      <c r="BE122">
        <v>1</v>
      </c>
      <c r="BF122">
        <v>1</v>
      </c>
      <c r="BG122">
        <v>1</v>
      </c>
      <c r="BH122">
        <v>3.655555555555555</v>
      </c>
      <c r="BI122">
        <v>1</v>
      </c>
      <c r="BJ122">
        <v>21.222222222222221</v>
      </c>
      <c r="BK122">
        <v>4.5555555555555562</v>
      </c>
      <c r="BL122">
        <v>23</v>
      </c>
      <c r="BM122">
        <v>22.5</v>
      </c>
      <c r="BN122">
        <v>24</v>
      </c>
      <c r="BO122">
        <v>-0.88888888888888895</v>
      </c>
      <c r="BP122">
        <v>21</v>
      </c>
      <c r="BQ122">
        <v>-0.44444444444444436</v>
      </c>
      <c r="BR122">
        <v>-3.8888888888888893</v>
      </c>
      <c r="BS122">
        <v>6</v>
      </c>
      <c r="BT122">
        <v>10.25</v>
      </c>
      <c r="BU122">
        <v>16</v>
      </c>
      <c r="BV122">
        <v>5.6447084682020492E-3</v>
      </c>
      <c r="BW122">
        <v>4</v>
      </c>
      <c r="BX122">
        <v>-4.0961448523102488E-3</v>
      </c>
      <c r="BY122">
        <v>6</v>
      </c>
      <c r="BZ122">
        <v>2.7666666666666679</v>
      </c>
      <c r="CA122">
        <v>15</v>
      </c>
      <c r="CB122">
        <v>2.4444444444444446</v>
      </c>
      <c r="CC122">
        <v>5.1111111111111098</v>
      </c>
      <c r="CD122">
        <v>0.55555555555555591</v>
      </c>
      <c r="CE122">
        <v>-0.77777777777777779</v>
      </c>
      <c r="CF122">
        <v>-6.333333333333333</v>
      </c>
      <c r="CG122">
        <v>16.111111111111104</v>
      </c>
      <c r="CH122">
        <v>-15.555555555555552</v>
      </c>
      <c r="CI122">
        <v>-4.4444444444444446</v>
      </c>
      <c r="CJ122">
        <v>-2.4444444444444433</v>
      </c>
      <c r="CK122">
        <v>4</v>
      </c>
      <c r="CL122">
        <v>8.5666666666666664</v>
      </c>
      <c r="CM122">
        <v>5.3322222222222226</v>
      </c>
      <c r="CN122">
        <v>31.666666666666657</v>
      </c>
      <c r="CO122">
        <v>-8.5666666666666664</v>
      </c>
      <c r="CP122">
        <v>0.23194444444444423</v>
      </c>
      <c r="CQ122">
        <v>4.1888888888888873</v>
      </c>
      <c r="CR122">
        <v>0.33333333333333215</v>
      </c>
      <c r="CS122">
        <v>-6.8333333333333339</v>
      </c>
      <c r="CT122">
        <v>-29.666666666666664</v>
      </c>
      <c r="CU122">
        <v>6.1111111111111116</v>
      </c>
      <c r="CV122">
        <v>0.11111111111111099</v>
      </c>
      <c r="CW122">
        <v>-0.66527777777777741</v>
      </c>
      <c r="CX122">
        <v>0.51027777777777816</v>
      </c>
      <c r="CY122" t="s">
        <v>300</v>
      </c>
      <c r="CZ122">
        <v>21</v>
      </c>
      <c r="DA122">
        <v>-3.1266666666666656</v>
      </c>
      <c r="DB122">
        <v>5</v>
      </c>
      <c r="DC122">
        <v>6</v>
      </c>
      <c r="DD122">
        <v>8</v>
      </c>
      <c r="DE122">
        <v>3.1999999999999993</v>
      </c>
      <c r="DF122">
        <v>4</v>
      </c>
      <c r="DG122">
        <v>8.5555555555555554</v>
      </c>
      <c r="DH122">
        <v>-0.88888888888888895</v>
      </c>
      <c r="DI122">
        <v>9</v>
      </c>
      <c r="DJ122">
        <v>11.5</v>
      </c>
      <c r="DK122">
        <v>19</v>
      </c>
      <c r="DL122">
        <v>0.61111111111111072</v>
      </c>
      <c r="DM122">
        <v>4</v>
      </c>
      <c r="DN122">
        <v>-6.3333333333333321</v>
      </c>
      <c r="DO122">
        <v>1.4444444444444446</v>
      </c>
      <c r="DP122">
        <v>23</v>
      </c>
      <c r="DQ122">
        <v>27.5</v>
      </c>
      <c r="DR122">
        <v>29</v>
      </c>
      <c r="DS122">
        <v>-3.5888888888888903</v>
      </c>
      <c r="DT122">
        <v>26</v>
      </c>
      <c r="DU122">
        <v>-10.222222222222223</v>
      </c>
      <c r="DV122">
        <v>-0.33333333333333331</v>
      </c>
      <c r="DW122">
        <v>13</v>
      </c>
      <c r="DX122">
        <v>13.5</v>
      </c>
      <c r="DY122">
        <v>17</v>
      </c>
      <c r="DZ122">
        <v>-6.3999999999999986</v>
      </c>
      <c r="EA122">
        <v>10</v>
      </c>
      <c r="EB122">
        <v>-17.333333333333332</v>
      </c>
      <c r="EC122">
        <v>-0.22222222222222232</v>
      </c>
      <c r="ED122">
        <v>12</v>
      </c>
      <c r="EE122">
        <v>17</v>
      </c>
      <c r="EF122">
        <v>20</v>
      </c>
      <c r="EG122">
        <v>0.28888888888888875</v>
      </c>
      <c r="EH122">
        <v>14</v>
      </c>
      <c r="EI122">
        <v>8.4444444444444446</v>
      </c>
      <c r="EJ122">
        <v>-1</v>
      </c>
      <c r="EK122">
        <v>16</v>
      </c>
      <c r="EL122">
        <v>16</v>
      </c>
      <c r="EM122">
        <v>17</v>
      </c>
      <c r="EN122">
        <v>-2.8777777777777778</v>
      </c>
      <c r="EO122">
        <v>15</v>
      </c>
      <c r="EP122">
        <v>-4.3333333333333357</v>
      </c>
      <c r="EQ122">
        <v>-1.5555555555555554</v>
      </c>
      <c r="ER122">
        <v>1</v>
      </c>
      <c r="ES122">
        <v>1</v>
      </c>
      <c r="ET122">
        <v>1</v>
      </c>
      <c r="EU122">
        <v>-2.0444444444444443</v>
      </c>
      <c r="EV122">
        <v>1</v>
      </c>
      <c r="EW122">
        <v>-11</v>
      </c>
      <c r="EX122">
        <v>-0.66666666666666663</v>
      </c>
      <c r="EY122">
        <v>6</v>
      </c>
      <c r="EZ122">
        <v>5</v>
      </c>
      <c r="FA122">
        <v>2</v>
      </c>
      <c r="FB122">
        <v>-3.6666666666666665</v>
      </c>
      <c r="FC122">
        <v>8</v>
      </c>
      <c r="FD122">
        <v>-0.55555555555555558</v>
      </c>
      <c r="FE122">
        <v>-2.2222222222222219</v>
      </c>
      <c r="FF122">
        <v>29</v>
      </c>
      <c r="FG122">
        <v>24</v>
      </c>
      <c r="FH122">
        <v>17</v>
      </c>
      <c r="FI122">
        <v>0.11052110775177466</v>
      </c>
      <c r="FJ122">
        <v>23</v>
      </c>
      <c r="FK122">
        <v>3.0648358506294136E-2</v>
      </c>
      <c r="FL122">
        <v>27</v>
      </c>
      <c r="FM122">
        <v>-3.6444444444444457</v>
      </c>
      <c r="FN122">
        <v>29</v>
      </c>
      <c r="FO122">
        <v>7.1111111111111107</v>
      </c>
      <c r="FP122">
        <v>4.666666666666667</v>
      </c>
      <c r="FQ122">
        <v>-0.5555555555555548</v>
      </c>
      <c r="FR122">
        <v>-0.11111111111111123</v>
      </c>
      <c r="FS122">
        <v>4.5555555555555545</v>
      </c>
      <c r="FT122">
        <v>-6.8888888888888893</v>
      </c>
      <c r="FU122">
        <v>-0.77777777777777779</v>
      </c>
      <c r="FV122">
        <v>14.888888888888895</v>
      </c>
      <c r="FW122">
        <v>17.666666666666657</v>
      </c>
      <c r="FX122">
        <v>2.5555555555555594</v>
      </c>
      <c r="FY122">
        <v>-9.4444444444444446</v>
      </c>
      <c r="FZ122">
        <v>4.1111111111111116</v>
      </c>
      <c r="GA122">
        <v>30</v>
      </c>
      <c r="GB122">
        <v>-6.9377777777777752</v>
      </c>
      <c r="GC122">
        <v>-4.8797777777777771</v>
      </c>
      <c r="GD122">
        <v>15.111111111111098</v>
      </c>
      <c r="GE122">
        <v>6.9377777777777752</v>
      </c>
      <c r="GF122">
        <v>-1.8408333333333331</v>
      </c>
      <c r="GG122">
        <v>-9.6999999999999993</v>
      </c>
      <c r="GH122">
        <v>-19.111111111111114</v>
      </c>
      <c r="GI122">
        <v>3.81111111111111</v>
      </c>
      <c r="GJ122">
        <v>2.2222222222222232</v>
      </c>
      <c r="GK122">
        <v>-2.2222222222222223</v>
      </c>
      <c r="GL122">
        <v>0.55555555555555569</v>
      </c>
    </row>
    <row r="123" spans="1:194" x14ac:dyDescent="0.2">
      <c r="A123" s="39">
        <v>43737</v>
      </c>
      <c r="B123" s="26" t="s">
        <v>417</v>
      </c>
      <c r="C123" s="41" t="s">
        <v>309</v>
      </c>
      <c r="D123" s="27" t="s">
        <v>272</v>
      </c>
      <c r="E123">
        <v>4.5</v>
      </c>
      <c r="F123">
        <v>18.7</v>
      </c>
      <c r="G123">
        <v>0</v>
      </c>
      <c r="H123" s="14">
        <v>4.8</v>
      </c>
      <c r="I123">
        <v>-3.5</v>
      </c>
      <c r="J123">
        <v>45.5</v>
      </c>
      <c r="L123" s="1" t="s">
        <v>309</v>
      </c>
      <c r="M123">
        <v>31</v>
      </c>
      <c r="N123">
        <v>-0.15999999999999984</v>
      </c>
      <c r="O123">
        <v>12</v>
      </c>
      <c r="P123">
        <v>14.5</v>
      </c>
      <c r="Q123">
        <v>9</v>
      </c>
      <c r="R123">
        <v>-1.2777777777777786</v>
      </c>
      <c r="S123">
        <v>20</v>
      </c>
      <c r="T123">
        <v>-3.4444444444444451</v>
      </c>
      <c r="U123">
        <v>-0.33333333333333348</v>
      </c>
      <c r="V123">
        <v>9</v>
      </c>
      <c r="W123">
        <v>10.5</v>
      </c>
      <c r="X123">
        <v>11</v>
      </c>
      <c r="Y123">
        <v>-0.77777777777777801</v>
      </c>
      <c r="Z123">
        <v>10</v>
      </c>
      <c r="AA123">
        <v>-2.1111111111111107</v>
      </c>
      <c r="AB123">
        <v>-1.1111111111111112</v>
      </c>
      <c r="AC123">
        <v>13</v>
      </c>
      <c r="AD123">
        <v>14.5</v>
      </c>
      <c r="AE123">
        <v>19</v>
      </c>
      <c r="AF123">
        <v>1.4555555555555582</v>
      </c>
      <c r="AG123">
        <v>10</v>
      </c>
      <c r="AH123">
        <v>14.888888888888888</v>
      </c>
      <c r="AI123">
        <v>0.22222222222222263</v>
      </c>
      <c r="AJ123">
        <v>17</v>
      </c>
      <c r="AK123">
        <v>17.5</v>
      </c>
      <c r="AL123">
        <v>19</v>
      </c>
      <c r="AM123">
        <v>-4.2555555555555546</v>
      </c>
      <c r="AN123">
        <v>16</v>
      </c>
      <c r="AO123">
        <v>-20.555555555555554</v>
      </c>
      <c r="AP123">
        <v>-0.55555555555555569</v>
      </c>
      <c r="AQ123">
        <v>18</v>
      </c>
      <c r="AR123">
        <v>17.5</v>
      </c>
      <c r="AS123">
        <v>20</v>
      </c>
      <c r="AT123">
        <v>5.5555555555555504E-2</v>
      </c>
      <c r="AU123">
        <v>15</v>
      </c>
      <c r="AV123">
        <v>-1.2222222222222225</v>
      </c>
      <c r="AW123">
        <v>0.22222222222222232</v>
      </c>
      <c r="AX123">
        <v>31</v>
      </c>
      <c r="AY123">
        <v>31.5</v>
      </c>
      <c r="AZ123">
        <v>32</v>
      </c>
      <c r="BA123">
        <v>0.68888888888888944</v>
      </c>
      <c r="BB123">
        <v>31</v>
      </c>
      <c r="BC123">
        <v>0.22222222222221907</v>
      </c>
      <c r="BD123">
        <v>1.2222222222222223</v>
      </c>
      <c r="BE123">
        <v>28</v>
      </c>
      <c r="BF123">
        <v>27.5</v>
      </c>
      <c r="BG123">
        <v>24</v>
      </c>
      <c r="BH123">
        <v>1.5111111111111113</v>
      </c>
      <c r="BI123">
        <v>31</v>
      </c>
      <c r="BJ123">
        <v>-4.6666666666666679</v>
      </c>
      <c r="BK123">
        <v>0</v>
      </c>
      <c r="BL123">
        <v>3</v>
      </c>
      <c r="BM123">
        <v>5.5</v>
      </c>
      <c r="BN123">
        <v>5</v>
      </c>
      <c r="BO123">
        <v>2.1111111111111112</v>
      </c>
      <c r="BP123">
        <v>6</v>
      </c>
      <c r="BQ123">
        <v>0.44444444444444442</v>
      </c>
      <c r="BR123">
        <v>-1.4444444444444444</v>
      </c>
      <c r="BS123">
        <v>12</v>
      </c>
      <c r="BT123">
        <v>13.25</v>
      </c>
      <c r="BU123">
        <v>9</v>
      </c>
      <c r="BV123">
        <v>-6.3561794529897089E-2</v>
      </c>
      <c r="BW123">
        <v>20</v>
      </c>
      <c r="BX123">
        <v>-3.7543013480196875E-2</v>
      </c>
      <c r="BY123">
        <v>19</v>
      </c>
      <c r="BZ123">
        <v>-9.3444444444444414</v>
      </c>
      <c r="CA123">
        <v>5</v>
      </c>
      <c r="CB123">
        <v>-6.2222222222222214</v>
      </c>
      <c r="CC123">
        <v>-3.3333333333333335</v>
      </c>
      <c r="CD123">
        <v>3.5555555555555554</v>
      </c>
      <c r="CE123">
        <v>-3.8888888888888893</v>
      </c>
      <c r="CF123">
        <v>-7.9999999999999902</v>
      </c>
      <c r="CG123">
        <v>-12.222222222222229</v>
      </c>
      <c r="CH123">
        <v>-1.4444444444444429</v>
      </c>
      <c r="CI123">
        <v>3.4444444444444446</v>
      </c>
      <c r="CJ123">
        <v>2.2222222222222223</v>
      </c>
      <c r="CK123">
        <v>14</v>
      </c>
      <c r="CL123">
        <v>1.8955555555555565</v>
      </c>
      <c r="CM123">
        <v>0.74911111111111239</v>
      </c>
      <c r="CN123">
        <v>-10.777777777777786</v>
      </c>
      <c r="CO123">
        <v>-1.8955555555555568</v>
      </c>
      <c r="CP123">
        <v>-0.16722222222222188</v>
      </c>
      <c r="CQ123">
        <v>-2.7444444444444409</v>
      </c>
      <c r="CR123">
        <v>-6.8888888888888884</v>
      </c>
      <c r="CS123">
        <v>-2.0555555555555567</v>
      </c>
      <c r="CT123">
        <v>-5.5555555555555554</v>
      </c>
      <c r="CU123">
        <v>-0.11111111111111072</v>
      </c>
      <c r="CV123">
        <v>-1.4444444444444446</v>
      </c>
      <c r="CW123">
        <v>0.19138888888888889</v>
      </c>
      <c r="CX123">
        <v>0.24416666666666662</v>
      </c>
      <c r="CY123" t="s">
        <v>272</v>
      </c>
      <c r="CZ123">
        <v>10</v>
      </c>
      <c r="DA123">
        <v>-2.1355555555555568</v>
      </c>
      <c r="DB123">
        <v>25</v>
      </c>
      <c r="DC123">
        <v>23.5</v>
      </c>
      <c r="DD123">
        <v>29</v>
      </c>
      <c r="DE123">
        <v>6</v>
      </c>
      <c r="DF123">
        <v>18</v>
      </c>
      <c r="DG123">
        <v>13.111111111111109</v>
      </c>
      <c r="DH123">
        <v>0.44444444444444448</v>
      </c>
      <c r="DI123">
        <v>24</v>
      </c>
      <c r="DJ123">
        <v>21.5</v>
      </c>
      <c r="DK123">
        <v>19</v>
      </c>
      <c r="DL123">
        <v>1.1777777777777774</v>
      </c>
      <c r="DM123">
        <v>24</v>
      </c>
      <c r="DN123">
        <v>-1.3333333333333321</v>
      </c>
      <c r="DO123">
        <v>0.44444444444444436</v>
      </c>
      <c r="DP123">
        <v>1</v>
      </c>
      <c r="DQ123">
        <v>4</v>
      </c>
      <c r="DR123">
        <v>5</v>
      </c>
      <c r="DS123">
        <v>-2.9222222222222221</v>
      </c>
      <c r="DT123">
        <v>3</v>
      </c>
      <c r="DU123">
        <v>-13.888888888888888</v>
      </c>
      <c r="DV123">
        <v>-2.5555555555555558</v>
      </c>
      <c r="DW123">
        <v>17</v>
      </c>
      <c r="DX123">
        <v>16.5</v>
      </c>
      <c r="DY123">
        <v>19</v>
      </c>
      <c r="DZ123">
        <v>3.3333333333333339</v>
      </c>
      <c r="EA123">
        <v>14</v>
      </c>
      <c r="EB123">
        <v>16.666666666666668</v>
      </c>
      <c r="EC123">
        <v>0.44444444444444448</v>
      </c>
      <c r="ED123">
        <v>6</v>
      </c>
      <c r="EE123">
        <v>8</v>
      </c>
      <c r="EF123">
        <v>6</v>
      </c>
      <c r="EG123">
        <v>-3.7333333333333329</v>
      </c>
      <c r="EH123">
        <v>10</v>
      </c>
      <c r="EI123">
        <v>-15.888888888888888</v>
      </c>
      <c r="EJ123">
        <v>-0.66666666666666663</v>
      </c>
      <c r="EK123">
        <v>2</v>
      </c>
      <c r="EL123">
        <v>3.5</v>
      </c>
      <c r="EM123">
        <v>5</v>
      </c>
      <c r="EN123">
        <v>-3.633333333333336</v>
      </c>
      <c r="EO123">
        <v>2</v>
      </c>
      <c r="EP123">
        <v>-20.777777777777782</v>
      </c>
      <c r="EQ123">
        <v>-2.5555555555555554</v>
      </c>
      <c r="ER123">
        <v>9</v>
      </c>
      <c r="ES123">
        <v>10</v>
      </c>
      <c r="ET123">
        <v>9</v>
      </c>
      <c r="EU123">
        <v>-1.6111111111111114</v>
      </c>
      <c r="EV123">
        <v>11</v>
      </c>
      <c r="EW123">
        <v>-0.33333333333333331</v>
      </c>
      <c r="EX123">
        <v>-1.5555555555555554</v>
      </c>
      <c r="EY123">
        <v>20</v>
      </c>
      <c r="EZ123">
        <v>21</v>
      </c>
      <c r="FA123">
        <v>18</v>
      </c>
      <c r="FB123">
        <v>1.0000000000000002</v>
      </c>
      <c r="FC123">
        <v>24</v>
      </c>
      <c r="FD123">
        <v>1.2222222222222223</v>
      </c>
      <c r="FE123">
        <v>0.55555555555555569</v>
      </c>
      <c r="FF123">
        <v>22</v>
      </c>
      <c r="FG123">
        <v>18.25</v>
      </c>
      <c r="FH123">
        <v>13</v>
      </c>
      <c r="FI123">
        <v>7.6136575459068684E-2</v>
      </c>
      <c r="FJ123">
        <v>15</v>
      </c>
      <c r="FK123">
        <v>1.2497213716725913E-2</v>
      </c>
      <c r="FL123">
        <v>19</v>
      </c>
      <c r="FM123">
        <v>-11.255555555555551</v>
      </c>
      <c r="FN123">
        <v>26</v>
      </c>
      <c r="FO123">
        <v>-5.1111111111111116</v>
      </c>
      <c r="FP123">
        <v>-5.4444444444444455</v>
      </c>
      <c r="FQ123">
        <v>0.77777777777777735</v>
      </c>
      <c r="FR123">
        <v>-0.44444444444444436</v>
      </c>
      <c r="FS123">
        <v>-3.4444444444444478</v>
      </c>
      <c r="FT123">
        <v>2.7777777777777786</v>
      </c>
      <c r="FU123">
        <v>-1.5555555555555556</v>
      </c>
      <c r="FV123">
        <v>0.55555555555556191</v>
      </c>
      <c r="FW123">
        <v>-20.444444444444446</v>
      </c>
      <c r="FX123">
        <v>17.777777777777782</v>
      </c>
      <c r="FY123">
        <v>4.2222222222222223</v>
      </c>
      <c r="FZ123">
        <v>-1</v>
      </c>
      <c r="GA123">
        <v>32</v>
      </c>
      <c r="GB123">
        <v>-9.3133333333333344</v>
      </c>
      <c r="GC123">
        <v>-5.0026666666666664</v>
      </c>
      <c r="GD123">
        <v>-38.222222222222229</v>
      </c>
      <c r="GE123">
        <v>9.3133333333333344</v>
      </c>
      <c r="GF123">
        <v>0.13861111111111113</v>
      </c>
      <c r="GG123">
        <v>-3.3222222222222211</v>
      </c>
      <c r="GH123">
        <v>-13.111111111111107</v>
      </c>
      <c r="GI123">
        <v>7.1777777777777771</v>
      </c>
      <c r="GJ123">
        <v>11.777777777777777</v>
      </c>
      <c r="GK123">
        <v>-4.333333333333333</v>
      </c>
      <c r="GL123">
        <v>0.88888888888888884</v>
      </c>
    </row>
    <row r="124" spans="1:194" x14ac:dyDescent="0.2">
      <c r="A124" s="39">
        <v>43737</v>
      </c>
      <c r="B124" s="26" t="s">
        <v>417</v>
      </c>
      <c r="C124" s="41" t="s">
        <v>308</v>
      </c>
      <c r="D124" s="27" t="s">
        <v>285</v>
      </c>
      <c r="E124">
        <v>9.1</v>
      </c>
      <c r="F124">
        <v>1.6</v>
      </c>
      <c r="G124" s="14">
        <v>8</v>
      </c>
      <c r="H124" s="14">
        <f>18.7+4.6</f>
        <v>23.299999999999997</v>
      </c>
      <c r="I124">
        <v>-5.5</v>
      </c>
      <c r="J124">
        <v>49</v>
      </c>
      <c r="K124" t="s">
        <v>109</v>
      </c>
      <c r="L124" s="1" t="s">
        <v>308</v>
      </c>
      <c r="M124">
        <v>11</v>
      </c>
      <c r="N124">
        <v>4.7222222222222223</v>
      </c>
      <c r="O124">
        <v>3</v>
      </c>
      <c r="P124">
        <v>6</v>
      </c>
      <c r="Q124">
        <v>10</v>
      </c>
      <c r="R124">
        <v>1.1444444444444457</v>
      </c>
      <c r="S124">
        <v>2</v>
      </c>
      <c r="T124">
        <v>-11.888888888888888</v>
      </c>
      <c r="U124">
        <v>1.2222222222222221</v>
      </c>
      <c r="V124">
        <v>1</v>
      </c>
      <c r="W124">
        <v>1.5</v>
      </c>
      <c r="X124">
        <v>2</v>
      </c>
      <c r="Y124">
        <v>-2.1777777777777767</v>
      </c>
      <c r="Z124">
        <v>1</v>
      </c>
      <c r="AA124">
        <v>-15.777777777777777</v>
      </c>
      <c r="AB124">
        <v>-1</v>
      </c>
      <c r="AC124">
        <v>19</v>
      </c>
      <c r="AD124">
        <v>18.5</v>
      </c>
      <c r="AE124">
        <v>15</v>
      </c>
      <c r="AF124">
        <v>2.3355555555555565</v>
      </c>
      <c r="AG124">
        <v>22</v>
      </c>
      <c r="AH124">
        <v>6.4444444444444402</v>
      </c>
      <c r="AI124">
        <v>0.77777777777777768</v>
      </c>
      <c r="AJ124">
        <v>12</v>
      </c>
      <c r="AK124">
        <v>11.5</v>
      </c>
      <c r="AL124">
        <v>12</v>
      </c>
      <c r="AM124">
        <v>-0.16666666666666696</v>
      </c>
      <c r="AN124">
        <v>11</v>
      </c>
      <c r="AO124">
        <v>12.666666666666666</v>
      </c>
      <c r="AP124">
        <v>1.2222222222222223</v>
      </c>
      <c r="AQ124">
        <v>17</v>
      </c>
      <c r="AR124">
        <v>17</v>
      </c>
      <c r="AS124">
        <v>17</v>
      </c>
      <c r="AT124">
        <v>-4.3444444444444441</v>
      </c>
      <c r="AU124">
        <v>17</v>
      </c>
      <c r="AV124">
        <v>-13.333333333333334</v>
      </c>
      <c r="AW124">
        <v>-0.22222222222222218</v>
      </c>
      <c r="AX124">
        <v>24</v>
      </c>
      <c r="AY124">
        <v>25</v>
      </c>
      <c r="AZ124">
        <v>26</v>
      </c>
      <c r="BA124">
        <v>4.4444444444444455</v>
      </c>
      <c r="BB124">
        <v>24</v>
      </c>
      <c r="BC124">
        <v>14.444444444444448</v>
      </c>
      <c r="BD124">
        <v>2.3333333333333335</v>
      </c>
      <c r="BE124">
        <v>12</v>
      </c>
      <c r="BF124">
        <v>12.5</v>
      </c>
      <c r="BG124">
        <v>10</v>
      </c>
      <c r="BH124">
        <v>5.022222222222223</v>
      </c>
      <c r="BI124">
        <v>15</v>
      </c>
      <c r="BJ124">
        <v>9</v>
      </c>
      <c r="BK124">
        <v>0.77777777777777768</v>
      </c>
      <c r="BL124">
        <v>8</v>
      </c>
      <c r="BM124">
        <v>8.5</v>
      </c>
      <c r="BN124">
        <v>9</v>
      </c>
      <c r="BO124">
        <v>-3.7777777777777772</v>
      </c>
      <c r="BP124">
        <v>8</v>
      </c>
      <c r="BQ124">
        <v>-0.55555555555555547</v>
      </c>
      <c r="BR124">
        <v>-1.2222222222222223</v>
      </c>
      <c r="BS124">
        <v>12</v>
      </c>
      <c r="BT124">
        <v>13.25</v>
      </c>
      <c r="BU124">
        <v>11</v>
      </c>
      <c r="BV124">
        <v>-6.0784377010664296E-2</v>
      </c>
      <c r="BW124">
        <v>5</v>
      </c>
      <c r="BX124">
        <v>2.1676694053138212E-2</v>
      </c>
      <c r="BY124">
        <v>21</v>
      </c>
      <c r="BZ124">
        <v>7.4000000000000057</v>
      </c>
      <c r="CA124">
        <v>16</v>
      </c>
      <c r="CB124">
        <v>3.1111111111111112</v>
      </c>
      <c r="CC124">
        <v>-0.77777777777777857</v>
      </c>
      <c r="CD124">
        <v>-2.4444444444444442</v>
      </c>
      <c r="CE124">
        <v>0</v>
      </c>
      <c r="CF124">
        <v>-24.444444444444457</v>
      </c>
      <c r="CG124">
        <v>10.555555555555552</v>
      </c>
      <c r="CH124">
        <v>-38.222222222222221</v>
      </c>
      <c r="CI124">
        <v>-4.2222222222222223</v>
      </c>
      <c r="CJ124">
        <v>7.4444444444444438</v>
      </c>
      <c r="CK124">
        <v>6</v>
      </c>
      <c r="CL124">
        <v>5.7555555555555529</v>
      </c>
      <c r="CM124">
        <v>2.0304444444444436</v>
      </c>
      <c r="CN124">
        <v>48.777777777777771</v>
      </c>
      <c r="CO124">
        <v>-5.7555555555555529</v>
      </c>
      <c r="CP124">
        <v>0.34472222222222287</v>
      </c>
      <c r="CQ124">
        <v>-2.1755555555555546</v>
      </c>
      <c r="CR124">
        <v>5.7777777777777732</v>
      </c>
      <c r="CS124">
        <v>-1.033333333333331</v>
      </c>
      <c r="CT124">
        <v>-27.666666666666664</v>
      </c>
      <c r="CU124">
        <v>2.5555555555555554</v>
      </c>
      <c r="CV124">
        <v>0.2222222222222221</v>
      </c>
      <c r="CW124">
        <v>1.2626388888888886</v>
      </c>
      <c r="CX124">
        <v>0.95888888888888868</v>
      </c>
      <c r="CY124" t="s">
        <v>285</v>
      </c>
      <c r="CZ124">
        <v>1</v>
      </c>
      <c r="DA124">
        <v>7.1977777777777776</v>
      </c>
      <c r="DB124">
        <v>16</v>
      </c>
      <c r="DC124">
        <v>16.5</v>
      </c>
      <c r="DD124">
        <v>12</v>
      </c>
      <c r="DE124">
        <v>-5.3444444444444459</v>
      </c>
      <c r="DF124">
        <v>21</v>
      </c>
      <c r="DG124">
        <v>8.9999999999999982</v>
      </c>
      <c r="DH124">
        <v>-1.0555555555555556</v>
      </c>
      <c r="DI124">
        <v>11</v>
      </c>
      <c r="DJ124">
        <v>14</v>
      </c>
      <c r="DK124">
        <v>23</v>
      </c>
      <c r="DL124">
        <v>-1.1555555555555557</v>
      </c>
      <c r="DM124">
        <v>5</v>
      </c>
      <c r="DN124">
        <v>-2.5555555555555558</v>
      </c>
      <c r="DO124">
        <v>-0.22222222222222218</v>
      </c>
      <c r="DP124">
        <v>8</v>
      </c>
      <c r="DQ124">
        <v>7</v>
      </c>
      <c r="DR124">
        <v>7</v>
      </c>
      <c r="DS124">
        <v>-1.7888888888888879</v>
      </c>
      <c r="DT124">
        <v>7</v>
      </c>
      <c r="DU124">
        <v>-14.111111111111107</v>
      </c>
      <c r="DV124">
        <v>-0.88888888888888873</v>
      </c>
      <c r="DW124">
        <v>1</v>
      </c>
      <c r="DX124">
        <v>1.5</v>
      </c>
      <c r="DY124">
        <v>2</v>
      </c>
      <c r="DZ124">
        <v>-2.1222222222222227</v>
      </c>
      <c r="EA124">
        <v>1</v>
      </c>
      <c r="EB124">
        <v>-14.333333333333334</v>
      </c>
      <c r="EC124">
        <v>-1.7777777777777777</v>
      </c>
      <c r="ED124">
        <v>4</v>
      </c>
      <c r="EE124">
        <v>5.5</v>
      </c>
      <c r="EF124">
        <v>4</v>
      </c>
      <c r="EG124">
        <v>4.7888888888888879</v>
      </c>
      <c r="EH124">
        <v>7</v>
      </c>
      <c r="EI124">
        <v>19</v>
      </c>
      <c r="EJ124">
        <v>1.5555555555555556</v>
      </c>
      <c r="EK124">
        <v>1</v>
      </c>
      <c r="EL124">
        <v>1.5</v>
      </c>
      <c r="EM124">
        <v>2</v>
      </c>
      <c r="EN124">
        <v>13.433333333333332</v>
      </c>
      <c r="EO124">
        <v>1</v>
      </c>
      <c r="EP124">
        <v>43.222222222222221</v>
      </c>
      <c r="EQ124">
        <v>4.333333333333333</v>
      </c>
      <c r="ER124">
        <v>5</v>
      </c>
      <c r="ES124">
        <v>6</v>
      </c>
      <c r="ET124">
        <v>4</v>
      </c>
      <c r="EU124">
        <v>9.7333333333333325</v>
      </c>
      <c r="EV124">
        <v>8</v>
      </c>
      <c r="EW124">
        <v>25.222222222222225</v>
      </c>
      <c r="EX124">
        <v>-0.33333333333333331</v>
      </c>
      <c r="EY124">
        <v>19</v>
      </c>
      <c r="EZ124">
        <v>20.5</v>
      </c>
      <c r="FA124">
        <v>19</v>
      </c>
      <c r="FB124">
        <v>1.2222222222222221</v>
      </c>
      <c r="FC124">
        <v>22</v>
      </c>
      <c r="FD124">
        <v>0.11111111111111109</v>
      </c>
      <c r="FE124">
        <v>0.33333333333333331</v>
      </c>
      <c r="FF124">
        <v>26</v>
      </c>
      <c r="FG124">
        <v>22</v>
      </c>
      <c r="FH124">
        <v>5</v>
      </c>
      <c r="FI124">
        <v>3.971072096024255E-2</v>
      </c>
      <c r="FJ124">
        <v>31</v>
      </c>
      <c r="FK124">
        <v>1.6283341921904438E-2</v>
      </c>
      <c r="FL124">
        <v>20</v>
      </c>
      <c r="FM124">
        <v>5.3222222222222229</v>
      </c>
      <c r="FN124">
        <v>32</v>
      </c>
      <c r="FO124">
        <v>-1</v>
      </c>
      <c r="FP124">
        <v>-1.4444444444444453</v>
      </c>
      <c r="FQ124">
        <v>-0.5555555555555548</v>
      </c>
      <c r="FR124">
        <v>1.8888888888888886</v>
      </c>
      <c r="FS124">
        <v>1.777777777777781</v>
      </c>
      <c r="FT124">
        <v>1.8888888888888893</v>
      </c>
      <c r="FU124">
        <v>-1</v>
      </c>
      <c r="FV124">
        <v>44.888888888888893</v>
      </c>
      <c r="FW124">
        <v>25.222222222222211</v>
      </c>
      <c r="FX124">
        <v>-6.8888888888888902</v>
      </c>
      <c r="FY124">
        <v>3.3333333333333335</v>
      </c>
      <c r="FZ124">
        <v>23.222222222222218</v>
      </c>
      <c r="GA124">
        <v>2</v>
      </c>
      <c r="GB124">
        <v>13.697777777777778</v>
      </c>
      <c r="GC124">
        <v>6.8117777777777784</v>
      </c>
      <c r="GD124">
        <v>32.1111111111111</v>
      </c>
      <c r="GE124">
        <v>-13.69777777777778</v>
      </c>
      <c r="GF124">
        <v>1.5663888888888884</v>
      </c>
      <c r="GG124">
        <v>0.87777777777777732</v>
      </c>
      <c r="GH124">
        <v>-9.4444444444444429</v>
      </c>
      <c r="GI124">
        <v>-6.5000000000000018</v>
      </c>
      <c r="GJ124">
        <v>6.4444444444444429</v>
      </c>
      <c r="GK124">
        <v>-1.4444444444444442</v>
      </c>
      <c r="GL124">
        <v>-1.2777777777777777</v>
      </c>
    </row>
    <row r="125" spans="1:194" x14ac:dyDescent="0.2">
      <c r="A125" s="39">
        <v>43737</v>
      </c>
      <c r="B125" s="26" t="s">
        <v>417</v>
      </c>
      <c r="C125" s="41" t="s">
        <v>284</v>
      </c>
      <c r="D125" s="27" t="s">
        <v>304</v>
      </c>
      <c r="E125">
        <v>18.899999999999999</v>
      </c>
      <c r="F125">
        <v>44.2</v>
      </c>
      <c r="G125">
        <v>2.4</v>
      </c>
      <c r="H125" s="14">
        <v>18.899999999999999</v>
      </c>
      <c r="I125">
        <v>9</v>
      </c>
      <c r="J125">
        <v>48.5</v>
      </c>
      <c r="K125" t="s">
        <v>109</v>
      </c>
      <c r="L125" s="1" t="s">
        <v>284</v>
      </c>
      <c r="M125">
        <v>12</v>
      </c>
      <c r="N125">
        <v>-2.2600000000000002</v>
      </c>
      <c r="O125">
        <v>24</v>
      </c>
      <c r="P125">
        <v>22.5</v>
      </c>
      <c r="Q125">
        <v>20</v>
      </c>
      <c r="R125">
        <v>1.0666666666666682</v>
      </c>
      <c r="S125">
        <v>25</v>
      </c>
      <c r="T125">
        <v>18.888888888888889</v>
      </c>
      <c r="U125">
        <v>-1.7777777777777777</v>
      </c>
      <c r="V125">
        <v>20</v>
      </c>
      <c r="W125">
        <v>18.5</v>
      </c>
      <c r="X125">
        <v>12</v>
      </c>
      <c r="Y125">
        <v>-1.3999999999999997</v>
      </c>
      <c r="Z125">
        <v>25</v>
      </c>
      <c r="AA125">
        <v>1.2222222222222225</v>
      </c>
      <c r="AB125">
        <v>0.55555555555555547</v>
      </c>
      <c r="AC125">
        <v>24</v>
      </c>
      <c r="AD125">
        <v>22.5</v>
      </c>
      <c r="AE125">
        <v>26</v>
      </c>
      <c r="AF125">
        <v>1.944444444444444</v>
      </c>
      <c r="AG125">
        <v>19</v>
      </c>
      <c r="AH125">
        <v>10.555555555555552</v>
      </c>
      <c r="AI125">
        <v>0.55555555555555569</v>
      </c>
      <c r="AJ125">
        <v>2</v>
      </c>
      <c r="AK125">
        <v>3</v>
      </c>
      <c r="AL125">
        <v>3</v>
      </c>
      <c r="AM125">
        <v>-0.9777777777777773</v>
      </c>
      <c r="AN125">
        <v>3</v>
      </c>
      <c r="AO125">
        <v>-11.777777777777777</v>
      </c>
      <c r="AP125">
        <v>-1.3333333333333337</v>
      </c>
      <c r="AQ125">
        <v>4</v>
      </c>
      <c r="AR125">
        <v>4.5</v>
      </c>
      <c r="AS125">
        <v>5</v>
      </c>
      <c r="AT125">
        <v>-3.5666666666666669</v>
      </c>
      <c r="AU125">
        <v>4</v>
      </c>
      <c r="AV125">
        <v>-17</v>
      </c>
      <c r="AW125">
        <v>-0.22222222222222232</v>
      </c>
      <c r="AX125">
        <v>6</v>
      </c>
      <c r="AY125">
        <v>5.5</v>
      </c>
      <c r="AZ125">
        <v>6</v>
      </c>
      <c r="BA125">
        <v>-5.7444444444444436</v>
      </c>
      <c r="BB125">
        <v>5</v>
      </c>
      <c r="BC125">
        <v>-23</v>
      </c>
      <c r="BD125">
        <v>-4.333333333333333</v>
      </c>
      <c r="BE125">
        <v>20</v>
      </c>
      <c r="BF125">
        <v>22</v>
      </c>
      <c r="BG125">
        <v>22</v>
      </c>
      <c r="BH125">
        <v>-2.0333333333333323</v>
      </c>
      <c r="BI125">
        <v>22</v>
      </c>
      <c r="BJ125">
        <v>9.2222222222222214</v>
      </c>
      <c r="BK125">
        <v>-0.33333333333333331</v>
      </c>
      <c r="BL125">
        <v>18</v>
      </c>
      <c r="BM125">
        <v>17.5</v>
      </c>
      <c r="BN125">
        <v>16</v>
      </c>
      <c r="BO125">
        <v>1.4444444444444444</v>
      </c>
      <c r="BP125">
        <v>19</v>
      </c>
      <c r="BQ125">
        <v>0.88888888888888873</v>
      </c>
      <c r="BR125">
        <v>3.1111111111111107</v>
      </c>
      <c r="BS125">
        <v>14</v>
      </c>
      <c r="BT125">
        <v>14</v>
      </c>
      <c r="BU125">
        <v>29</v>
      </c>
      <c r="BV125">
        <v>9.2542215370832112E-2</v>
      </c>
      <c r="BW125">
        <v>22</v>
      </c>
      <c r="BX125">
        <v>1.5212182214898439E-2</v>
      </c>
      <c r="BY125">
        <v>1</v>
      </c>
      <c r="BZ125">
        <v>-3.2555555555555529</v>
      </c>
      <c r="CA125">
        <v>4</v>
      </c>
      <c r="CB125">
        <v>5.8888888888888893</v>
      </c>
      <c r="CC125">
        <v>2.3684757858670005E-15</v>
      </c>
      <c r="CD125">
        <v>-3.1111111111111103</v>
      </c>
      <c r="CE125">
        <v>1.5555555555555554</v>
      </c>
      <c r="CF125">
        <v>17.888888888888896</v>
      </c>
      <c r="CG125">
        <v>6.8888888888888857</v>
      </c>
      <c r="CH125">
        <v>19.666666666666668</v>
      </c>
      <c r="CI125">
        <v>-1</v>
      </c>
      <c r="CJ125">
        <v>-7.666666666666667</v>
      </c>
      <c r="CK125">
        <v>21</v>
      </c>
      <c r="CL125">
        <v>-1.9266666666666687</v>
      </c>
      <c r="CM125">
        <v>-1.2120000000000006</v>
      </c>
      <c r="CN125">
        <v>-12.777777777777782</v>
      </c>
      <c r="CO125">
        <v>1.9266666666666687</v>
      </c>
      <c r="CP125">
        <v>-0.72277777777777741</v>
      </c>
      <c r="CQ125">
        <v>-2.6</v>
      </c>
      <c r="CR125">
        <v>-18.222222222222225</v>
      </c>
      <c r="CS125">
        <v>-0.33333333333333148</v>
      </c>
      <c r="CT125">
        <v>20.111111111111111</v>
      </c>
      <c r="CU125">
        <v>-1.3333333333333337</v>
      </c>
      <c r="CV125">
        <v>-1.2222222222222223</v>
      </c>
      <c r="CW125">
        <v>-1.4768055555555555</v>
      </c>
      <c r="CX125">
        <v>-0.75111111111111084</v>
      </c>
      <c r="CY125" t="s">
        <v>304</v>
      </c>
      <c r="CZ125">
        <v>16</v>
      </c>
      <c r="DA125">
        <v>-6.586666666666666</v>
      </c>
      <c r="DB125">
        <v>17</v>
      </c>
      <c r="DC125">
        <v>18</v>
      </c>
      <c r="DD125">
        <v>20</v>
      </c>
      <c r="DE125">
        <v>1.0666666666666653</v>
      </c>
      <c r="DF125">
        <v>16</v>
      </c>
      <c r="DG125">
        <v>5</v>
      </c>
      <c r="DH125">
        <v>0.66666666666666663</v>
      </c>
      <c r="DI125">
        <v>4</v>
      </c>
      <c r="DJ125">
        <v>6.5</v>
      </c>
      <c r="DK125">
        <v>7</v>
      </c>
      <c r="DL125">
        <v>-1.3000000000000005</v>
      </c>
      <c r="DM125">
        <v>6</v>
      </c>
      <c r="DN125">
        <v>-4.9999999999999991</v>
      </c>
      <c r="DO125">
        <v>-0.88888888888888884</v>
      </c>
      <c r="DP125">
        <v>19</v>
      </c>
      <c r="DQ125">
        <v>19.5</v>
      </c>
      <c r="DR125">
        <v>17</v>
      </c>
      <c r="DS125">
        <v>-3.3333333333333339</v>
      </c>
      <c r="DT125">
        <v>22</v>
      </c>
      <c r="DU125">
        <v>-12</v>
      </c>
      <c r="DV125">
        <v>0.77777777777777801</v>
      </c>
      <c r="DW125">
        <v>11</v>
      </c>
      <c r="DX125">
        <v>13</v>
      </c>
      <c r="DY125">
        <v>10</v>
      </c>
      <c r="DZ125">
        <v>-2.8333333333333335</v>
      </c>
      <c r="EA125">
        <v>16</v>
      </c>
      <c r="EB125">
        <v>-8.1111111111111089</v>
      </c>
      <c r="EC125">
        <v>-1.5555555555555556</v>
      </c>
      <c r="ED125">
        <v>2</v>
      </c>
      <c r="EE125">
        <v>2</v>
      </c>
      <c r="EF125">
        <v>2</v>
      </c>
      <c r="EG125">
        <v>-2.5</v>
      </c>
      <c r="EH125">
        <v>2</v>
      </c>
      <c r="EI125">
        <v>-10.555555555555554</v>
      </c>
      <c r="EJ125">
        <v>-0.44444444444444436</v>
      </c>
      <c r="EK125">
        <v>14</v>
      </c>
      <c r="EL125">
        <v>14</v>
      </c>
      <c r="EM125">
        <v>11</v>
      </c>
      <c r="EN125">
        <v>-2.8666666666666671</v>
      </c>
      <c r="EO125">
        <v>17</v>
      </c>
      <c r="EP125">
        <v>-18.666666666666668</v>
      </c>
      <c r="EQ125">
        <v>3.3333333333333335</v>
      </c>
      <c r="ER125">
        <v>25</v>
      </c>
      <c r="ES125">
        <v>24.5</v>
      </c>
      <c r="ET125">
        <v>29</v>
      </c>
      <c r="EU125">
        <v>-2.7999999999999994</v>
      </c>
      <c r="EV125">
        <v>20</v>
      </c>
      <c r="EW125">
        <v>-13.111111111111114</v>
      </c>
      <c r="EX125">
        <v>0.99999999999999989</v>
      </c>
      <c r="EY125">
        <v>28</v>
      </c>
      <c r="EZ125">
        <v>26.5</v>
      </c>
      <c r="FA125">
        <v>29</v>
      </c>
      <c r="FB125">
        <v>0.66666666666666663</v>
      </c>
      <c r="FC125">
        <v>24</v>
      </c>
      <c r="FD125">
        <v>0.44444444444444442</v>
      </c>
      <c r="FE125">
        <v>-1.8888888888888886</v>
      </c>
      <c r="FF125">
        <v>14</v>
      </c>
      <c r="FG125">
        <v>15</v>
      </c>
      <c r="FH125">
        <v>22</v>
      </c>
      <c r="FI125">
        <v>2.1353134012792301E-2</v>
      </c>
      <c r="FJ125">
        <v>10</v>
      </c>
      <c r="FK125">
        <v>1.1964506708197428E-3</v>
      </c>
      <c r="FL125">
        <v>22</v>
      </c>
      <c r="FM125">
        <v>2.111111111111112</v>
      </c>
      <c r="FN125">
        <v>6</v>
      </c>
      <c r="FO125">
        <v>1.2222222222222221</v>
      </c>
      <c r="FP125">
        <v>-0.22222222222222379</v>
      </c>
      <c r="FQ125">
        <v>0.11111111111111072</v>
      </c>
      <c r="FR125">
        <v>0.11111111111111123</v>
      </c>
      <c r="FS125">
        <v>-0.11111111111110954</v>
      </c>
      <c r="FT125">
        <v>-4.1111111111111107</v>
      </c>
      <c r="FU125">
        <v>-1.7777777777777779</v>
      </c>
      <c r="FV125">
        <v>-60.111111111111107</v>
      </c>
      <c r="FW125">
        <v>-53</v>
      </c>
      <c r="FX125">
        <v>-2.2222222222222237</v>
      </c>
      <c r="FY125">
        <v>-2.6666666666666665</v>
      </c>
      <c r="FZ125">
        <v>-2.2222222222222223</v>
      </c>
      <c r="GA125">
        <v>28</v>
      </c>
      <c r="GB125">
        <v>-6.3533333333333308</v>
      </c>
      <c r="GC125">
        <v>-3.4939999999999993</v>
      </c>
      <c r="GD125">
        <v>-50.777777777777779</v>
      </c>
      <c r="GE125">
        <v>6.3533333333333308</v>
      </c>
      <c r="GF125">
        <v>-2.2025000000000001</v>
      </c>
      <c r="GG125">
        <v>-8.6666666666666679</v>
      </c>
      <c r="GH125">
        <v>-30.666666666666661</v>
      </c>
      <c r="GI125">
        <v>-0.23333333333333517</v>
      </c>
      <c r="GJ125">
        <v>0</v>
      </c>
      <c r="GK125">
        <v>-0.22222222222222199</v>
      </c>
      <c r="GL125">
        <v>-0.22222222222222221</v>
      </c>
    </row>
    <row r="126" spans="1:194" x14ac:dyDescent="0.2">
      <c r="A126" s="39">
        <v>43737</v>
      </c>
      <c r="B126" s="26" t="s">
        <v>417</v>
      </c>
      <c r="C126" s="41" t="s">
        <v>310</v>
      </c>
      <c r="D126" s="27" t="s">
        <v>295</v>
      </c>
      <c r="E126">
        <v>20.100000000000001</v>
      </c>
      <c r="F126">
        <v>24.4</v>
      </c>
      <c r="G126" s="14">
        <v>3.5</v>
      </c>
      <c r="H126" s="14">
        <v>2.9</v>
      </c>
      <c r="I126">
        <v>3.5</v>
      </c>
      <c r="J126">
        <v>46</v>
      </c>
      <c r="L126" s="1" t="s">
        <v>310</v>
      </c>
      <c r="M126">
        <v>7</v>
      </c>
      <c r="N126">
        <v>-1.1466666666666672</v>
      </c>
      <c r="O126">
        <v>1</v>
      </c>
      <c r="P126">
        <v>1.5</v>
      </c>
      <c r="Q126">
        <v>2</v>
      </c>
      <c r="R126">
        <v>1.1111111111111118</v>
      </c>
      <c r="S126">
        <v>1</v>
      </c>
      <c r="T126">
        <v>4.9999999999999973</v>
      </c>
      <c r="U126">
        <v>-1.5555555555555554</v>
      </c>
      <c r="V126">
        <v>29</v>
      </c>
      <c r="W126">
        <v>29</v>
      </c>
      <c r="X126">
        <v>29</v>
      </c>
      <c r="Y126">
        <v>-1.1333333333333331</v>
      </c>
      <c r="Z126">
        <v>29</v>
      </c>
      <c r="AA126">
        <v>-15.888888888888888</v>
      </c>
      <c r="AB126">
        <v>0.22222222222222224</v>
      </c>
      <c r="AC126">
        <v>28</v>
      </c>
      <c r="AD126">
        <v>27.5</v>
      </c>
      <c r="AE126">
        <v>28</v>
      </c>
      <c r="AF126">
        <v>-14.855555555555554</v>
      </c>
      <c r="AG126">
        <v>27</v>
      </c>
      <c r="AH126">
        <v>-51.888888888888886</v>
      </c>
      <c r="AI126">
        <v>-3.5555555555555558</v>
      </c>
      <c r="AJ126">
        <v>28</v>
      </c>
      <c r="AK126">
        <v>27.5</v>
      </c>
      <c r="AL126">
        <v>28</v>
      </c>
      <c r="AM126">
        <v>3.7888888888888896</v>
      </c>
      <c r="AN126">
        <v>27</v>
      </c>
      <c r="AO126">
        <v>24.888888888888886</v>
      </c>
      <c r="AP126">
        <v>1</v>
      </c>
      <c r="AQ126">
        <v>15</v>
      </c>
      <c r="AR126">
        <v>15</v>
      </c>
      <c r="AS126">
        <v>12</v>
      </c>
      <c r="AT126">
        <v>-4.2666666666666666</v>
      </c>
      <c r="AU126">
        <v>18</v>
      </c>
      <c r="AV126">
        <v>-25.111111111111114</v>
      </c>
      <c r="AW126">
        <v>-1.3333333333333333</v>
      </c>
      <c r="AX126">
        <v>20</v>
      </c>
      <c r="AY126">
        <v>20</v>
      </c>
      <c r="AZ126">
        <v>22</v>
      </c>
      <c r="BA126">
        <v>-2.2666666666666675</v>
      </c>
      <c r="BB126">
        <v>18</v>
      </c>
      <c r="BC126">
        <v>-2.6666666666666692</v>
      </c>
      <c r="BD126">
        <v>-0.55555555555555591</v>
      </c>
      <c r="BE126">
        <v>14</v>
      </c>
      <c r="BF126">
        <v>13.5</v>
      </c>
      <c r="BG126">
        <v>15</v>
      </c>
      <c r="BH126">
        <v>4.155555555555555</v>
      </c>
      <c r="BI126">
        <v>12</v>
      </c>
      <c r="BJ126">
        <v>9.3333333333333304</v>
      </c>
      <c r="BK126">
        <v>1.8888888888888891</v>
      </c>
      <c r="BL126">
        <v>29</v>
      </c>
      <c r="BM126">
        <v>29</v>
      </c>
      <c r="BN126">
        <v>28</v>
      </c>
      <c r="BO126">
        <v>-1.2222222222222223</v>
      </c>
      <c r="BP126">
        <v>30</v>
      </c>
      <c r="BQ126">
        <v>-0.44444444444444442</v>
      </c>
      <c r="BR126">
        <v>3.5555555555555558</v>
      </c>
      <c r="BS126">
        <v>25</v>
      </c>
      <c r="BT126">
        <v>21</v>
      </c>
      <c r="BU126">
        <v>27</v>
      </c>
      <c r="BV126">
        <v>1.2002167274087391E-2</v>
      </c>
      <c r="BW126">
        <v>2</v>
      </c>
      <c r="BX126">
        <v>5.0678461999216717E-2</v>
      </c>
      <c r="BY126">
        <v>30</v>
      </c>
      <c r="BZ126">
        <v>1.0000000000000024</v>
      </c>
      <c r="CA126">
        <v>25</v>
      </c>
      <c r="CB126">
        <v>0.55555555555555569</v>
      </c>
      <c r="CC126">
        <v>1.6666666666666667</v>
      </c>
      <c r="CD126">
        <v>1.3333333333333333</v>
      </c>
      <c r="CE126">
        <v>2</v>
      </c>
      <c r="CF126">
        <v>-21.666666666666668</v>
      </c>
      <c r="CG126">
        <v>-25.777777777777782</v>
      </c>
      <c r="CH126">
        <v>-11.333333333333334</v>
      </c>
      <c r="CI126">
        <v>-1.2222222222222223</v>
      </c>
      <c r="CJ126">
        <v>16.666666666666668</v>
      </c>
      <c r="CK126">
        <v>19</v>
      </c>
      <c r="CL126">
        <v>-1.1244444444444459</v>
      </c>
      <c r="CM126">
        <v>-2.4537777777777783</v>
      </c>
      <c r="CN126">
        <v>-14.444444444444448</v>
      </c>
      <c r="CO126">
        <v>1.1244444444444459</v>
      </c>
      <c r="CP126">
        <v>-1.6961111111111107</v>
      </c>
      <c r="CQ126">
        <v>-15.333333333333332</v>
      </c>
      <c r="CR126">
        <v>-52.111111111111114</v>
      </c>
      <c r="CS126">
        <v>-2.2222222222221255E-2</v>
      </c>
      <c r="CT126">
        <v>-10.888888888888889</v>
      </c>
      <c r="CU126">
        <v>-2</v>
      </c>
      <c r="CV126">
        <v>-1.333333333333333</v>
      </c>
      <c r="CW126">
        <v>-0.95666666666666678</v>
      </c>
      <c r="CX126">
        <v>-1.6516666666666666</v>
      </c>
      <c r="CY126" t="s">
        <v>295</v>
      </c>
      <c r="CZ126">
        <v>27</v>
      </c>
      <c r="DA126">
        <v>0.91777777777777858</v>
      </c>
      <c r="DB126">
        <v>30</v>
      </c>
      <c r="DC126">
        <v>28</v>
      </c>
      <c r="DD126">
        <v>28</v>
      </c>
      <c r="DE126">
        <v>-0.82222222222222252</v>
      </c>
      <c r="DF126">
        <v>28</v>
      </c>
      <c r="DG126">
        <v>-15.66666666666667</v>
      </c>
      <c r="DH126">
        <v>0.11111111111111101</v>
      </c>
      <c r="DI126">
        <v>28</v>
      </c>
      <c r="DJ126">
        <v>25.5</v>
      </c>
      <c r="DK126">
        <v>30</v>
      </c>
      <c r="DL126">
        <v>-1.8666666666666669</v>
      </c>
      <c r="DM126">
        <v>21</v>
      </c>
      <c r="DN126">
        <v>-9.4444444444444446</v>
      </c>
      <c r="DO126">
        <v>0.44444444444444436</v>
      </c>
      <c r="DP126">
        <v>22</v>
      </c>
      <c r="DQ126">
        <v>18.5</v>
      </c>
      <c r="DR126">
        <v>21</v>
      </c>
      <c r="DS126">
        <v>8.88888888888862E-2</v>
      </c>
      <c r="DT126">
        <v>16</v>
      </c>
      <c r="DU126">
        <v>7.8888888888888884</v>
      </c>
      <c r="DV126">
        <v>0.22222222222222232</v>
      </c>
      <c r="DW126">
        <v>9</v>
      </c>
      <c r="DX126">
        <v>10</v>
      </c>
      <c r="DY126">
        <v>9</v>
      </c>
      <c r="DZ126">
        <v>-2.2666666666666657</v>
      </c>
      <c r="EA126">
        <v>11</v>
      </c>
      <c r="EB126">
        <v>-4.8888888888888902</v>
      </c>
      <c r="EC126">
        <v>-0.77777777777777801</v>
      </c>
      <c r="ED126">
        <v>17</v>
      </c>
      <c r="EE126">
        <v>26.5</v>
      </c>
      <c r="EF126">
        <v>29</v>
      </c>
      <c r="EG126">
        <v>-0.6333333333333333</v>
      </c>
      <c r="EH126">
        <v>24</v>
      </c>
      <c r="EI126">
        <v>-5.1111111111111116</v>
      </c>
      <c r="EJ126">
        <v>-2.2222222222222219</v>
      </c>
      <c r="EK126">
        <v>10</v>
      </c>
      <c r="EL126">
        <v>11.5</v>
      </c>
      <c r="EM126">
        <v>14</v>
      </c>
      <c r="EN126">
        <v>-0.58888888888888824</v>
      </c>
      <c r="EO126">
        <v>9</v>
      </c>
      <c r="EP126">
        <v>-3.6666666666666692</v>
      </c>
      <c r="EQ126">
        <v>0.88888888888888939</v>
      </c>
      <c r="ER126">
        <v>29</v>
      </c>
      <c r="ES126">
        <v>26.5</v>
      </c>
      <c r="ET126">
        <v>30</v>
      </c>
      <c r="EU126">
        <v>1.5999999999999994</v>
      </c>
      <c r="EV126">
        <v>23</v>
      </c>
      <c r="EW126">
        <v>9.9999999999999982</v>
      </c>
      <c r="EX126">
        <v>1.4444444444444444</v>
      </c>
      <c r="EY126">
        <v>17</v>
      </c>
      <c r="EZ126">
        <v>14.5</v>
      </c>
      <c r="FA126">
        <v>14</v>
      </c>
      <c r="FB126">
        <v>0.88888888888888895</v>
      </c>
      <c r="FC126">
        <v>15</v>
      </c>
      <c r="FD126">
        <v>-0.11111111111111109</v>
      </c>
      <c r="FE126">
        <v>2.4444444444444446</v>
      </c>
      <c r="FF126">
        <v>19</v>
      </c>
      <c r="FG126">
        <v>16.5</v>
      </c>
      <c r="FH126">
        <v>10</v>
      </c>
      <c r="FI126">
        <v>4.8788263559643901E-3</v>
      </c>
      <c r="FJ126">
        <v>20</v>
      </c>
      <c r="FK126">
        <v>1.1394169356866634E-2</v>
      </c>
      <c r="FL126">
        <v>25</v>
      </c>
      <c r="FM126">
        <v>2.3555555555555565</v>
      </c>
      <c r="FN126">
        <v>11</v>
      </c>
      <c r="FO126">
        <v>-1.3333333333333333</v>
      </c>
      <c r="FP126">
        <v>0.77777777777777735</v>
      </c>
      <c r="FQ126">
        <v>-2.4444444444444442</v>
      </c>
      <c r="FR126">
        <v>-0.22222222222222218</v>
      </c>
      <c r="FS126">
        <v>-2.2222222222222237</v>
      </c>
      <c r="FT126">
        <v>0.1111111111111119</v>
      </c>
      <c r="FU126">
        <v>0</v>
      </c>
      <c r="FV126">
        <v>-46.111111111111107</v>
      </c>
      <c r="FW126">
        <v>1.5555555555555429</v>
      </c>
      <c r="FX126">
        <v>-37.55555555555555</v>
      </c>
      <c r="FY126">
        <v>-1.1111111111111112</v>
      </c>
      <c r="FZ126">
        <v>-9</v>
      </c>
      <c r="GA126">
        <v>8</v>
      </c>
      <c r="GB126">
        <v>3.6066666666666682</v>
      </c>
      <c r="GC126">
        <v>1.2857777777777779</v>
      </c>
      <c r="GD126">
        <v>39.111111111111093</v>
      </c>
      <c r="GE126">
        <v>-3.6066666666666682</v>
      </c>
      <c r="GF126">
        <v>-0.26166666666666699</v>
      </c>
      <c r="GG126">
        <v>-2.8111111111111127</v>
      </c>
      <c r="GH126">
        <v>-2.1111111111111134</v>
      </c>
      <c r="GI126">
        <v>-2.6888888888888896</v>
      </c>
      <c r="GJ126">
        <v>-25.111111111111114</v>
      </c>
      <c r="GK126">
        <v>-1.3333333333333333</v>
      </c>
      <c r="GL126">
        <v>0.55555555555555536</v>
      </c>
    </row>
    <row r="127" spans="1:194" x14ac:dyDescent="0.2">
      <c r="A127" s="39">
        <v>43737</v>
      </c>
      <c r="B127" s="26" t="s">
        <v>417</v>
      </c>
      <c r="C127" s="41" t="s">
        <v>306</v>
      </c>
      <c r="D127" s="27" t="s">
        <v>296</v>
      </c>
      <c r="E127">
        <v>4.4000000000000004</v>
      </c>
      <c r="F127" s="14">
        <v>3</v>
      </c>
      <c r="G127">
        <v>3.4</v>
      </c>
      <c r="H127" s="14">
        <v>4.5</v>
      </c>
      <c r="I127">
        <v>3</v>
      </c>
      <c r="J127">
        <v>48</v>
      </c>
      <c r="L127" s="1" t="s">
        <v>306</v>
      </c>
      <c r="M127">
        <v>32</v>
      </c>
      <c r="N127">
        <v>4.0999999999999988</v>
      </c>
      <c r="O127">
        <v>9</v>
      </c>
      <c r="P127">
        <v>9</v>
      </c>
      <c r="Q127">
        <v>11</v>
      </c>
      <c r="R127">
        <v>-2.3888888888888888</v>
      </c>
      <c r="S127">
        <v>7</v>
      </c>
      <c r="T127">
        <v>-10.666666666666666</v>
      </c>
      <c r="U127">
        <v>-1.0555555555555556</v>
      </c>
      <c r="V127">
        <v>19</v>
      </c>
      <c r="W127">
        <v>18</v>
      </c>
      <c r="X127">
        <v>25</v>
      </c>
      <c r="Y127">
        <v>3.5333333333333337</v>
      </c>
      <c r="Z127">
        <v>11</v>
      </c>
      <c r="AA127">
        <v>-4.5555555555555562</v>
      </c>
      <c r="AB127">
        <v>2.8888888888888888</v>
      </c>
      <c r="AC127">
        <v>29</v>
      </c>
      <c r="AD127">
        <v>29</v>
      </c>
      <c r="AE127">
        <v>29</v>
      </c>
      <c r="AF127">
        <v>6.9444444444444429</v>
      </c>
      <c r="AG127">
        <v>29</v>
      </c>
      <c r="AH127">
        <v>26.888888888888886</v>
      </c>
      <c r="AI127">
        <v>0.33333333333333304</v>
      </c>
      <c r="AJ127">
        <v>28</v>
      </c>
      <c r="AK127">
        <v>27.5</v>
      </c>
      <c r="AL127">
        <v>30</v>
      </c>
      <c r="AM127">
        <v>-3.1777777777777771</v>
      </c>
      <c r="AN127">
        <v>25</v>
      </c>
      <c r="AO127">
        <v>-24</v>
      </c>
      <c r="AP127">
        <v>-1.5555555555555556</v>
      </c>
      <c r="AQ127">
        <v>30</v>
      </c>
      <c r="AR127">
        <v>29.5</v>
      </c>
      <c r="AS127">
        <v>31</v>
      </c>
      <c r="AT127">
        <v>2.7666666666666671</v>
      </c>
      <c r="AU127">
        <v>28</v>
      </c>
      <c r="AV127">
        <v>6.9999999999999991</v>
      </c>
      <c r="AW127">
        <v>1.1111111111111114</v>
      </c>
      <c r="AX127">
        <v>30</v>
      </c>
      <c r="AY127">
        <v>30</v>
      </c>
      <c r="AZ127">
        <v>30</v>
      </c>
      <c r="BA127">
        <v>6.2555555555555564</v>
      </c>
      <c r="BB127">
        <v>30</v>
      </c>
      <c r="BC127">
        <v>20.333333333333332</v>
      </c>
      <c r="BD127">
        <v>0.11111111111111101</v>
      </c>
      <c r="BE127">
        <v>31</v>
      </c>
      <c r="BF127">
        <v>30</v>
      </c>
      <c r="BG127">
        <v>31</v>
      </c>
      <c r="BH127">
        <v>-2.2222222222222219</v>
      </c>
      <c r="BI127">
        <v>29</v>
      </c>
      <c r="BJ127">
        <v>-4.4444444444444429</v>
      </c>
      <c r="BK127">
        <v>-1.2222222222222221</v>
      </c>
      <c r="BL127">
        <v>1</v>
      </c>
      <c r="BM127">
        <v>1</v>
      </c>
      <c r="BN127">
        <v>1</v>
      </c>
      <c r="BO127">
        <v>-0.55555555555555591</v>
      </c>
      <c r="BP127">
        <v>1</v>
      </c>
      <c r="BQ127">
        <v>-0.44444444444444448</v>
      </c>
      <c r="BR127">
        <v>-2.4444444444444446</v>
      </c>
      <c r="BS127">
        <v>1</v>
      </c>
      <c r="BT127">
        <v>5.25</v>
      </c>
      <c r="BU127">
        <v>9</v>
      </c>
      <c r="BV127">
        <v>-5.8147898320922342E-4</v>
      </c>
      <c r="BW127">
        <v>1</v>
      </c>
      <c r="BX127">
        <v>-2.1408433206075036E-3</v>
      </c>
      <c r="BY127">
        <v>2</v>
      </c>
      <c r="BZ127">
        <v>9.8666666666666689</v>
      </c>
      <c r="CA127">
        <v>9</v>
      </c>
      <c r="CB127">
        <v>0.5555555555555558</v>
      </c>
      <c r="CC127">
        <v>-2.888888888888888</v>
      </c>
      <c r="CD127">
        <v>3.8888888888888888</v>
      </c>
      <c r="CE127">
        <v>-0.77777777777777779</v>
      </c>
      <c r="CF127">
        <v>9.2222222222222285</v>
      </c>
      <c r="CG127">
        <v>33.111111111111107</v>
      </c>
      <c r="CH127">
        <v>-23.444444444444446</v>
      </c>
      <c r="CI127">
        <v>3.1111111111111107</v>
      </c>
      <c r="CJ127">
        <v>-3.5555555555555558</v>
      </c>
      <c r="CK127">
        <v>13</v>
      </c>
      <c r="CL127">
        <v>2.9555555555555535</v>
      </c>
      <c r="CM127">
        <v>1.1099999999999994</v>
      </c>
      <c r="CN127">
        <v>56.555555555555557</v>
      </c>
      <c r="CO127">
        <v>-2.9555555555555539</v>
      </c>
      <c r="CP127">
        <v>1.125</v>
      </c>
      <c r="CQ127">
        <v>6.5333333333333332</v>
      </c>
      <c r="CR127">
        <v>9.8888888888888857</v>
      </c>
      <c r="CS127">
        <v>1.1444444444444448</v>
      </c>
      <c r="CT127">
        <v>-15.222222222222221</v>
      </c>
      <c r="CU127">
        <v>-1.3333333333333333</v>
      </c>
      <c r="CV127">
        <v>1.8333333333333333</v>
      </c>
      <c r="CW127">
        <v>2.1629166666666664</v>
      </c>
      <c r="CX127">
        <v>1.76</v>
      </c>
      <c r="CY127" t="s">
        <v>296</v>
      </c>
      <c r="CZ127">
        <v>5</v>
      </c>
      <c r="DA127">
        <v>6.7711111111111109</v>
      </c>
      <c r="DB127">
        <v>31</v>
      </c>
      <c r="DC127">
        <v>29</v>
      </c>
      <c r="DD127">
        <v>31</v>
      </c>
      <c r="DE127">
        <v>-2.6222222222222231</v>
      </c>
      <c r="DF127">
        <v>27</v>
      </c>
      <c r="DG127">
        <v>-17.666666666666668</v>
      </c>
      <c r="DH127">
        <v>-1</v>
      </c>
      <c r="DI127">
        <v>15</v>
      </c>
      <c r="DJ127">
        <v>16</v>
      </c>
      <c r="DK127">
        <v>24</v>
      </c>
      <c r="DL127">
        <v>0.97777777777777786</v>
      </c>
      <c r="DM127">
        <v>8</v>
      </c>
      <c r="DN127">
        <v>7</v>
      </c>
      <c r="DO127">
        <v>-0.33333333333333331</v>
      </c>
      <c r="DP127">
        <v>4</v>
      </c>
      <c r="DQ127">
        <v>4.5</v>
      </c>
      <c r="DR127">
        <v>4</v>
      </c>
      <c r="DS127">
        <v>9.0777777777777775</v>
      </c>
      <c r="DT127">
        <v>5</v>
      </c>
      <c r="DU127">
        <v>37.888888888888893</v>
      </c>
      <c r="DV127">
        <v>2.6666666666666665</v>
      </c>
      <c r="DW127">
        <v>13</v>
      </c>
      <c r="DX127">
        <v>13.5</v>
      </c>
      <c r="DY127">
        <v>14</v>
      </c>
      <c r="DZ127">
        <v>-1.3444444444444443</v>
      </c>
      <c r="EA127">
        <v>13</v>
      </c>
      <c r="EB127">
        <v>13.222222222222223</v>
      </c>
      <c r="EC127">
        <v>-2.2222222222222223</v>
      </c>
      <c r="ED127">
        <v>24</v>
      </c>
      <c r="EE127">
        <v>13.5</v>
      </c>
      <c r="EF127">
        <v>16</v>
      </c>
      <c r="EG127">
        <v>4.3888888888888884</v>
      </c>
      <c r="EH127">
        <v>11</v>
      </c>
      <c r="EI127">
        <v>13.555555555555557</v>
      </c>
      <c r="EJ127">
        <v>-1</v>
      </c>
      <c r="EK127">
        <v>2</v>
      </c>
      <c r="EL127">
        <v>3.5</v>
      </c>
      <c r="EM127">
        <v>4</v>
      </c>
      <c r="EN127">
        <v>2.4444444444444451</v>
      </c>
      <c r="EO127">
        <v>3</v>
      </c>
      <c r="EP127">
        <v>-2.3684757858670005E-15</v>
      </c>
      <c r="EQ127">
        <v>-1.4444444444444444</v>
      </c>
      <c r="ER127">
        <v>17</v>
      </c>
      <c r="ES127">
        <v>15.5</v>
      </c>
      <c r="ET127">
        <v>15</v>
      </c>
      <c r="EU127">
        <v>2.3888888888888884</v>
      </c>
      <c r="EV127">
        <v>16</v>
      </c>
      <c r="EW127">
        <v>5.1111111111111116</v>
      </c>
      <c r="EX127">
        <v>0.88888888888888895</v>
      </c>
      <c r="EY127">
        <v>2</v>
      </c>
      <c r="EZ127">
        <v>3</v>
      </c>
      <c r="FA127">
        <v>2</v>
      </c>
      <c r="FB127">
        <v>0.88888888888888895</v>
      </c>
      <c r="FC127">
        <v>4</v>
      </c>
      <c r="FD127">
        <v>-0.11111111111111109</v>
      </c>
      <c r="FE127">
        <v>-1.6666666666666663</v>
      </c>
      <c r="FF127">
        <v>29</v>
      </c>
      <c r="FG127">
        <v>24</v>
      </c>
      <c r="FH127">
        <v>11</v>
      </c>
      <c r="FI127">
        <v>-3.3299145915671374E-2</v>
      </c>
      <c r="FJ127">
        <v>27</v>
      </c>
      <c r="FK127">
        <v>7.8893354850343139E-3</v>
      </c>
      <c r="FL127">
        <v>31</v>
      </c>
      <c r="FM127">
        <v>7.7888888888888914</v>
      </c>
      <c r="FN127">
        <v>27</v>
      </c>
      <c r="FO127">
        <v>-5.333333333333333</v>
      </c>
      <c r="FP127">
        <v>0.22222222222222263</v>
      </c>
      <c r="FQ127">
        <v>1.555555555555556</v>
      </c>
      <c r="FR127">
        <v>-0.55555555555555525</v>
      </c>
      <c r="FS127">
        <v>1.5555555555555525</v>
      </c>
      <c r="FT127">
        <v>6.4444444444444438</v>
      </c>
      <c r="FU127">
        <v>-0.77777777777777779</v>
      </c>
      <c r="FV127">
        <v>51.888888888888893</v>
      </c>
      <c r="FW127">
        <v>73.555555555555543</v>
      </c>
      <c r="FX127">
        <v>-10.444444444444443</v>
      </c>
      <c r="FY127">
        <v>1.0000000000000004</v>
      </c>
      <c r="FZ127">
        <v>-12.222222222222223</v>
      </c>
      <c r="GA127">
        <v>3</v>
      </c>
      <c r="GB127">
        <v>8.4155555555555566</v>
      </c>
      <c r="GC127">
        <v>5.0786666666666669</v>
      </c>
      <c r="GD127">
        <v>83.999999999999986</v>
      </c>
      <c r="GE127">
        <v>-8.4155555555555566</v>
      </c>
      <c r="GF127">
        <v>2.565833333333333</v>
      </c>
      <c r="GG127">
        <v>12.122222222222222</v>
      </c>
      <c r="GH127">
        <v>64.666666666666671</v>
      </c>
      <c r="GI127">
        <v>-1.6444444444444453</v>
      </c>
      <c r="GJ127">
        <v>-10.666666666666668</v>
      </c>
      <c r="GK127">
        <v>0.33333333333333315</v>
      </c>
      <c r="GL127">
        <v>-1.3333333333333333</v>
      </c>
    </row>
    <row r="128" spans="1:194" x14ac:dyDescent="0.2">
      <c r="A128" s="39">
        <v>43744</v>
      </c>
      <c r="B128" s="22" t="s">
        <v>381</v>
      </c>
      <c r="C128" s="41" t="s">
        <v>285</v>
      </c>
      <c r="D128" s="22" t="s">
        <v>272</v>
      </c>
      <c r="E128">
        <v>11.8</v>
      </c>
      <c r="F128">
        <v>5.5</v>
      </c>
      <c r="G128">
        <v>5.3</v>
      </c>
      <c r="H128">
        <f>3.7+1.7</f>
        <v>5.4</v>
      </c>
      <c r="I128">
        <v>3</v>
      </c>
      <c r="J128">
        <v>45</v>
      </c>
      <c r="K128" t="s">
        <v>109</v>
      </c>
      <c r="L128" s="1" t="s">
        <v>285</v>
      </c>
      <c r="M128">
        <v>14</v>
      </c>
      <c r="N128">
        <v>2.1599999999999993</v>
      </c>
      <c r="O128">
        <v>24</v>
      </c>
      <c r="P128">
        <v>22.5</v>
      </c>
      <c r="Q128">
        <v>22</v>
      </c>
      <c r="R128">
        <v>0.43749999999999911</v>
      </c>
      <c r="S128">
        <v>23</v>
      </c>
      <c r="T128">
        <v>-14.75</v>
      </c>
      <c r="U128">
        <v>2.25</v>
      </c>
      <c r="V128">
        <v>29</v>
      </c>
      <c r="W128">
        <v>29</v>
      </c>
      <c r="X128">
        <v>30</v>
      </c>
      <c r="Y128">
        <v>-4.6625000000000005</v>
      </c>
      <c r="Z128">
        <v>28</v>
      </c>
      <c r="AA128">
        <v>-11.1875</v>
      </c>
      <c r="AB128">
        <v>-0.625</v>
      </c>
      <c r="AC128">
        <v>27</v>
      </c>
      <c r="AD128">
        <v>26.5</v>
      </c>
      <c r="AE128">
        <v>27</v>
      </c>
      <c r="AF128">
        <v>3.9437500000000001</v>
      </c>
      <c r="AG128">
        <v>26</v>
      </c>
      <c r="AH128">
        <v>15.25</v>
      </c>
      <c r="AI128">
        <v>0.1875</v>
      </c>
      <c r="AJ128">
        <v>7</v>
      </c>
      <c r="AK128">
        <v>8</v>
      </c>
      <c r="AL128">
        <v>6</v>
      </c>
      <c r="AM128">
        <v>-0.75625000000000053</v>
      </c>
      <c r="AN128">
        <v>10</v>
      </c>
      <c r="AO128">
        <v>-9.3125</v>
      </c>
      <c r="AP128">
        <v>1.3125</v>
      </c>
      <c r="AQ128">
        <v>11</v>
      </c>
      <c r="AR128">
        <v>10.5</v>
      </c>
      <c r="AS128">
        <v>9</v>
      </c>
      <c r="AT128">
        <v>1.6812500000000001</v>
      </c>
      <c r="AU128">
        <v>12</v>
      </c>
      <c r="AV128">
        <v>5.9375</v>
      </c>
      <c r="AW128">
        <v>1.8125</v>
      </c>
      <c r="AX128">
        <v>16</v>
      </c>
      <c r="AY128">
        <v>16</v>
      </c>
      <c r="AZ128">
        <v>18</v>
      </c>
      <c r="BA128">
        <v>6.0500000000000007</v>
      </c>
      <c r="BB128">
        <v>14</v>
      </c>
      <c r="BC128">
        <v>24.25</v>
      </c>
      <c r="BD128">
        <v>4.75</v>
      </c>
      <c r="BE128">
        <v>24</v>
      </c>
      <c r="BF128">
        <v>23.5</v>
      </c>
      <c r="BG128">
        <v>29</v>
      </c>
      <c r="BH128">
        <v>-6.2125000000000004</v>
      </c>
      <c r="BI128">
        <v>18</v>
      </c>
      <c r="BJ128">
        <v>-24.625</v>
      </c>
      <c r="BK128">
        <v>-2.875</v>
      </c>
      <c r="BL128">
        <v>21</v>
      </c>
      <c r="BM128">
        <v>20</v>
      </c>
      <c r="BN128">
        <v>17</v>
      </c>
      <c r="BO128">
        <v>0.75</v>
      </c>
      <c r="BP128">
        <v>23</v>
      </c>
      <c r="BQ128">
        <v>0.625</v>
      </c>
      <c r="BR128">
        <v>-3</v>
      </c>
      <c r="BS128">
        <v>9</v>
      </c>
      <c r="BT128">
        <v>12.25</v>
      </c>
      <c r="BU128">
        <v>20</v>
      </c>
      <c r="BV128">
        <v>-2.8023001145171686E-2</v>
      </c>
      <c r="BW128">
        <v>7</v>
      </c>
      <c r="BX128">
        <v>3.7832335829783265E-2</v>
      </c>
      <c r="BY128">
        <v>4</v>
      </c>
      <c r="BZ128">
        <v>2.7687500000000025</v>
      </c>
      <c r="CA128">
        <v>18</v>
      </c>
      <c r="CB128">
        <v>2.5</v>
      </c>
      <c r="CC128">
        <v>4.375</v>
      </c>
      <c r="CD128">
        <v>-2.9375</v>
      </c>
      <c r="CE128">
        <v>-1.3125</v>
      </c>
      <c r="CF128">
        <v>-8.4375</v>
      </c>
      <c r="CG128">
        <v>6.5</v>
      </c>
      <c r="CH128">
        <v>-28</v>
      </c>
      <c r="CI128">
        <v>2</v>
      </c>
      <c r="CJ128">
        <v>11.0625</v>
      </c>
      <c r="CK128">
        <v>5</v>
      </c>
      <c r="CL128">
        <v>6.3850000000000007</v>
      </c>
      <c r="CM128">
        <v>2.2757500000000004</v>
      </c>
      <c r="CN128">
        <v>34.5</v>
      </c>
      <c r="CO128">
        <v>-6.3850000000000007</v>
      </c>
      <c r="CP128">
        <v>-0.33234375000000038</v>
      </c>
      <c r="CQ128">
        <v>4.8687499999999995</v>
      </c>
      <c r="CR128">
        <v>11.875</v>
      </c>
      <c r="CS128">
        <v>-4.2250000000000014</v>
      </c>
      <c r="CT128">
        <v>-25.9375</v>
      </c>
      <c r="CU128">
        <v>0.4375</v>
      </c>
      <c r="CV128">
        <v>1.625</v>
      </c>
      <c r="CW128">
        <v>1.0528124999999999</v>
      </c>
      <c r="CX128">
        <v>1.1064062499999998</v>
      </c>
      <c r="CY128" t="s">
        <v>272</v>
      </c>
      <c r="CZ128">
        <v>10</v>
      </c>
      <c r="DA128">
        <v>0.28624999999999901</v>
      </c>
      <c r="DB128">
        <v>25</v>
      </c>
      <c r="DC128">
        <v>23.5</v>
      </c>
      <c r="DD128">
        <v>29</v>
      </c>
      <c r="DE128">
        <v>6.8062500000000004</v>
      </c>
      <c r="DF128">
        <v>18</v>
      </c>
      <c r="DG128">
        <v>5</v>
      </c>
      <c r="DH128">
        <v>1.25</v>
      </c>
      <c r="DI128">
        <v>24</v>
      </c>
      <c r="DJ128">
        <v>21.5</v>
      </c>
      <c r="DK128">
        <v>19</v>
      </c>
      <c r="DL128">
        <v>3.663749999999999</v>
      </c>
      <c r="DM128">
        <v>24</v>
      </c>
      <c r="DN128">
        <v>3.375</v>
      </c>
      <c r="DO128">
        <v>1.5625</v>
      </c>
      <c r="DP128">
        <v>1</v>
      </c>
      <c r="DQ128">
        <v>4</v>
      </c>
      <c r="DR128">
        <v>5</v>
      </c>
      <c r="DS128">
        <v>-2.8374999999999995</v>
      </c>
      <c r="DT128">
        <v>3</v>
      </c>
      <c r="DU128">
        <v>-18.875</v>
      </c>
      <c r="DV128">
        <v>-2.4375</v>
      </c>
      <c r="DW128">
        <v>17</v>
      </c>
      <c r="DX128">
        <v>16.5</v>
      </c>
      <c r="DY128">
        <v>19</v>
      </c>
      <c r="DZ128">
        <v>5.59375</v>
      </c>
      <c r="EA128">
        <v>14</v>
      </c>
      <c r="EB128">
        <v>26.3125</v>
      </c>
      <c r="EC128">
        <v>0.125</v>
      </c>
      <c r="ED128">
        <v>6</v>
      </c>
      <c r="EE128">
        <v>8</v>
      </c>
      <c r="EF128">
        <v>6</v>
      </c>
      <c r="EG128">
        <v>-3.2250000000000001</v>
      </c>
      <c r="EH128">
        <v>10</v>
      </c>
      <c r="EI128">
        <v>-12.9375</v>
      </c>
      <c r="EJ128">
        <v>-1.6875</v>
      </c>
      <c r="EK128">
        <v>2</v>
      </c>
      <c r="EL128">
        <v>3.5</v>
      </c>
      <c r="EM128">
        <v>5</v>
      </c>
      <c r="EN128">
        <v>-0.73125000000000195</v>
      </c>
      <c r="EO128">
        <v>2</v>
      </c>
      <c r="EP128">
        <v>-12.3125</v>
      </c>
      <c r="EQ128">
        <v>-1.875</v>
      </c>
      <c r="ER128">
        <v>9</v>
      </c>
      <c r="ES128">
        <v>10</v>
      </c>
      <c r="ET128">
        <v>9</v>
      </c>
      <c r="EU128">
        <v>-3.4187499999999993</v>
      </c>
      <c r="EV128">
        <v>11</v>
      </c>
      <c r="EW128">
        <v>-4.125</v>
      </c>
      <c r="EX128">
        <v>-2.0625</v>
      </c>
      <c r="EY128">
        <v>20</v>
      </c>
      <c r="EZ128">
        <v>21</v>
      </c>
      <c r="FA128">
        <v>18</v>
      </c>
      <c r="FB128">
        <v>1.125</v>
      </c>
      <c r="FC128">
        <v>24</v>
      </c>
      <c r="FD128">
        <v>0.8125</v>
      </c>
      <c r="FE128">
        <v>2.25</v>
      </c>
      <c r="FF128">
        <v>22</v>
      </c>
      <c r="FG128">
        <v>18.25</v>
      </c>
      <c r="FH128">
        <v>13</v>
      </c>
      <c r="FI128">
        <v>4.2566615486467445E-2</v>
      </c>
      <c r="FJ128">
        <v>15</v>
      </c>
      <c r="FK128">
        <v>-5.223575102446202E-3</v>
      </c>
      <c r="FL128">
        <v>19</v>
      </c>
      <c r="FM128">
        <v>2.6500000000000021</v>
      </c>
      <c r="FN128">
        <v>26</v>
      </c>
      <c r="FO128">
        <v>-5.1875</v>
      </c>
      <c r="FP128">
        <v>-5.8125</v>
      </c>
      <c r="FQ128">
        <v>2.0625</v>
      </c>
      <c r="FR128">
        <v>0.3125</v>
      </c>
      <c r="FS128">
        <v>-2.3125</v>
      </c>
      <c r="FT128">
        <v>4.9375</v>
      </c>
      <c r="FU128">
        <v>-1.3125</v>
      </c>
      <c r="FV128">
        <v>4.25</v>
      </c>
      <c r="FW128">
        <v>-6.1875</v>
      </c>
      <c r="FX128">
        <v>10.6875</v>
      </c>
      <c r="FY128">
        <v>0.6875</v>
      </c>
      <c r="FZ128">
        <v>-0.9375</v>
      </c>
      <c r="GA128">
        <v>30</v>
      </c>
      <c r="GB128">
        <v>-10.18375</v>
      </c>
      <c r="GC128">
        <v>-5.9552499999999995</v>
      </c>
      <c r="GD128">
        <v>-16.875</v>
      </c>
      <c r="GE128">
        <v>10.18375</v>
      </c>
      <c r="GF128">
        <v>0.99921875000000004</v>
      </c>
      <c r="GG128">
        <v>-0.46874999999999956</v>
      </c>
      <c r="GH128">
        <v>-5.5</v>
      </c>
      <c r="GI128">
        <v>10.469999999999999</v>
      </c>
      <c r="GJ128">
        <v>8.375</v>
      </c>
      <c r="GK128">
        <v>-6.0625</v>
      </c>
      <c r="GL128">
        <v>2.8125</v>
      </c>
    </row>
    <row r="129" spans="1:194" x14ac:dyDescent="0.2">
      <c r="A129" s="39">
        <v>43744</v>
      </c>
      <c r="B129" s="22" t="s">
        <v>381</v>
      </c>
      <c r="C129" s="41" t="s">
        <v>295</v>
      </c>
      <c r="D129" s="22" t="s">
        <v>311</v>
      </c>
      <c r="E129">
        <v>7.2</v>
      </c>
      <c r="F129">
        <v>19.8</v>
      </c>
      <c r="G129" s="14">
        <v>15.3</v>
      </c>
      <c r="H129">
        <v>13.6</v>
      </c>
      <c r="I129">
        <v>4</v>
      </c>
      <c r="J129">
        <v>49</v>
      </c>
      <c r="K129" t="s">
        <v>109</v>
      </c>
      <c r="L129" s="1" t="s">
        <v>295</v>
      </c>
      <c r="M129">
        <v>20</v>
      </c>
      <c r="N129">
        <v>3.9087499999999995</v>
      </c>
      <c r="O129">
        <v>29</v>
      </c>
      <c r="P129">
        <v>28</v>
      </c>
      <c r="Q129">
        <v>29</v>
      </c>
      <c r="R129">
        <v>-2.96875</v>
      </c>
      <c r="S129">
        <v>27</v>
      </c>
      <c r="T129">
        <v>-12</v>
      </c>
      <c r="U129">
        <v>0.71875</v>
      </c>
      <c r="V129">
        <v>11</v>
      </c>
      <c r="W129">
        <v>11</v>
      </c>
      <c r="X129">
        <v>10</v>
      </c>
      <c r="Y129">
        <v>3.7499999999999978E-2</v>
      </c>
      <c r="Z129">
        <v>12</v>
      </c>
      <c r="AA129">
        <v>3.5</v>
      </c>
      <c r="AB129">
        <v>-0.5625</v>
      </c>
      <c r="AC129">
        <v>15</v>
      </c>
      <c r="AD129">
        <v>16</v>
      </c>
      <c r="AE129">
        <v>23</v>
      </c>
      <c r="AF129">
        <v>3.6812499999999995</v>
      </c>
      <c r="AG129">
        <v>9</v>
      </c>
      <c r="AH129">
        <v>3.5625</v>
      </c>
      <c r="AI129">
        <v>0.875</v>
      </c>
      <c r="AJ129">
        <v>6</v>
      </c>
      <c r="AK129">
        <v>7</v>
      </c>
      <c r="AL129">
        <v>8</v>
      </c>
      <c r="AM129">
        <v>2.6687499999999993</v>
      </c>
      <c r="AN129">
        <v>6</v>
      </c>
      <c r="AO129">
        <v>6.6875</v>
      </c>
      <c r="AP129">
        <v>0.4375</v>
      </c>
      <c r="AQ129">
        <v>6</v>
      </c>
      <c r="AR129">
        <v>6</v>
      </c>
      <c r="AS129">
        <v>6</v>
      </c>
      <c r="AT129">
        <v>2.7874999999999996</v>
      </c>
      <c r="AU129">
        <v>6</v>
      </c>
      <c r="AV129">
        <v>27.0625</v>
      </c>
      <c r="AW129">
        <v>1.875</v>
      </c>
      <c r="AX129">
        <v>7</v>
      </c>
      <c r="AY129">
        <v>6.5</v>
      </c>
      <c r="AZ129">
        <v>7</v>
      </c>
      <c r="BA129">
        <v>3.3437500000000004</v>
      </c>
      <c r="BB129">
        <v>6</v>
      </c>
      <c r="BC129">
        <v>20.3125</v>
      </c>
      <c r="BD129">
        <v>2.625</v>
      </c>
      <c r="BE129">
        <v>16</v>
      </c>
      <c r="BF129">
        <v>17</v>
      </c>
      <c r="BG129">
        <v>17</v>
      </c>
      <c r="BH129">
        <v>4.1187499999999995</v>
      </c>
      <c r="BI129">
        <v>17</v>
      </c>
      <c r="BJ129">
        <v>19.75</v>
      </c>
      <c r="BK129">
        <v>1.6875</v>
      </c>
      <c r="BL129">
        <v>4</v>
      </c>
      <c r="BM129">
        <v>7</v>
      </c>
      <c r="BN129">
        <v>10</v>
      </c>
      <c r="BO129">
        <v>-1.1875</v>
      </c>
      <c r="BP129">
        <v>4</v>
      </c>
      <c r="BQ129">
        <v>-0.125</v>
      </c>
      <c r="BR129">
        <v>-2.9375</v>
      </c>
      <c r="BS129">
        <v>14</v>
      </c>
      <c r="BT129">
        <v>14</v>
      </c>
      <c r="BU129">
        <v>7</v>
      </c>
      <c r="BV129">
        <v>8.6407846699750601E-3</v>
      </c>
      <c r="BW129">
        <v>9</v>
      </c>
      <c r="BX129">
        <v>-6.3238579316578867E-3</v>
      </c>
      <c r="BY129">
        <v>26</v>
      </c>
      <c r="BZ129">
        <v>-0.31875000000000142</v>
      </c>
      <c r="CA129">
        <v>14</v>
      </c>
      <c r="CB129">
        <v>2.375</v>
      </c>
      <c r="CC129">
        <v>1.75</v>
      </c>
      <c r="CD129">
        <v>-2.375</v>
      </c>
      <c r="CE129">
        <v>-0.875</v>
      </c>
      <c r="CF129">
        <v>35.125</v>
      </c>
      <c r="CG129">
        <v>62.875</v>
      </c>
      <c r="CH129">
        <v>-22.3125</v>
      </c>
      <c r="CI129">
        <v>-6.3125</v>
      </c>
      <c r="CJ129">
        <v>0.875</v>
      </c>
      <c r="CK129">
        <v>3</v>
      </c>
      <c r="CL129">
        <v>6.84</v>
      </c>
      <c r="CM129">
        <v>4.898625</v>
      </c>
      <c r="CN129">
        <v>85.1875</v>
      </c>
      <c r="CO129">
        <v>-6.84</v>
      </c>
      <c r="CP129">
        <v>1.6307812499999996</v>
      </c>
      <c r="CQ129">
        <v>9.1374999999999993</v>
      </c>
      <c r="CR129">
        <v>37.3125</v>
      </c>
      <c r="CS129">
        <v>-2.9312499999999999</v>
      </c>
      <c r="CT129">
        <v>-8.5</v>
      </c>
      <c r="CU129">
        <v>4.875</v>
      </c>
      <c r="CV129">
        <v>0.15625</v>
      </c>
      <c r="CW129">
        <v>0.38820312499999987</v>
      </c>
      <c r="CX129">
        <v>0.4342187500000001</v>
      </c>
      <c r="CY129" t="s">
        <v>311</v>
      </c>
      <c r="CZ129">
        <v>6</v>
      </c>
      <c r="DA129">
        <v>0.65000000000000036</v>
      </c>
      <c r="DB129">
        <v>27</v>
      </c>
      <c r="DC129">
        <v>24</v>
      </c>
      <c r="DD129">
        <v>18</v>
      </c>
      <c r="DE129">
        <v>-2.0750000000000024</v>
      </c>
      <c r="DF129">
        <v>30</v>
      </c>
      <c r="DG129">
        <v>-13.9375</v>
      </c>
      <c r="DH129">
        <v>1.3125</v>
      </c>
      <c r="DI129">
        <v>1</v>
      </c>
      <c r="DJ129">
        <v>1</v>
      </c>
      <c r="DK129">
        <v>1</v>
      </c>
      <c r="DL129">
        <v>0.375</v>
      </c>
      <c r="DM129">
        <v>1</v>
      </c>
      <c r="DN129">
        <v>-0.375</v>
      </c>
      <c r="DO129">
        <v>0.625</v>
      </c>
      <c r="DP129">
        <v>15</v>
      </c>
      <c r="DQ129">
        <v>11.5</v>
      </c>
      <c r="DR129">
        <v>11</v>
      </c>
      <c r="DS129">
        <v>3.1500000000000004</v>
      </c>
      <c r="DT129">
        <v>12</v>
      </c>
      <c r="DU129">
        <v>11.875</v>
      </c>
      <c r="DV129">
        <v>0.8125</v>
      </c>
      <c r="DW129">
        <v>23</v>
      </c>
      <c r="DX129">
        <v>23</v>
      </c>
      <c r="DY129">
        <v>25</v>
      </c>
      <c r="DZ129">
        <v>1.3562499999999995</v>
      </c>
      <c r="EA129">
        <v>21</v>
      </c>
      <c r="EB129">
        <v>-0.875</v>
      </c>
      <c r="EC129">
        <v>1.3125</v>
      </c>
      <c r="ED129">
        <v>10</v>
      </c>
      <c r="EE129">
        <v>8.5</v>
      </c>
      <c r="EF129">
        <v>8</v>
      </c>
      <c r="EG129">
        <v>3.1062500000000002</v>
      </c>
      <c r="EH129">
        <v>9</v>
      </c>
      <c r="EI129">
        <v>16.6875</v>
      </c>
      <c r="EJ129">
        <v>1.125</v>
      </c>
      <c r="EK129">
        <v>15</v>
      </c>
      <c r="EL129">
        <v>15.5</v>
      </c>
      <c r="EM129">
        <v>18</v>
      </c>
      <c r="EN129">
        <v>1.4500000000000011</v>
      </c>
      <c r="EO129">
        <v>13</v>
      </c>
      <c r="EP129">
        <v>10.75</v>
      </c>
      <c r="EQ129">
        <v>0.375</v>
      </c>
      <c r="ER129">
        <v>14</v>
      </c>
      <c r="ES129">
        <v>14</v>
      </c>
      <c r="ET129">
        <v>14</v>
      </c>
      <c r="EU129">
        <v>-4.2625000000000011</v>
      </c>
      <c r="EV129">
        <v>14</v>
      </c>
      <c r="EW129">
        <v>-15.875</v>
      </c>
      <c r="EX129">
        <v>-1.625</v>
      </c>
      <c r="EY129">
        <v>22</v>
      </c>
      <c r="EZ129">
        <v>21.5</v>
      </c>
      <c r="FA129">
        <v>19</v>
      </c>
      <c r="FB129">
        <v>0.4375</v>
      </c>
      <c r="FC129">
        <v>24</v>
      </c>
      <c r="FD129">
        <v>0.1875</v>
      </c>
      <c r="FE129">
        <v>0.75</v>
      </c>
      <c r="FF129">
        <v>27</v>
      </c>
      <c r="FG129">
        <v>22.75</v>
      </c>
      <c r="FH129">
        <v>31</v>
      </c>
      <c r="FI129">
        <v>1.7938899789888649E-2</v>
      </c>
      <c r="FJ129">
        <v>30</v>
      </c>
      <c r="FK129">
        <v>1.2299206837006839E-2</v>
      </c>
      <c r="FL129">
        <v>2</v>
      </c>
      <c r="FM129">
        <v>-10.268749999999999</v>
      </c>
      <c r="FN129">
        <v>28</v>
      </c>
      <c r="FO129">
        <v>1.5</v>
      </c>
      <c r="FP129">
        <v>4</v>
      </c>
      <c r="FQ129">
        <v>-2.125</v>
      </c>
      <c r="FR129">
        <v>-0.125</v>
      </c>
      <c r="FS129">
        <v>2.75</v>
      </c>
      <c r="FT129">
        <v>-1.5625</v>
      </c>
      <c r="FU129">
        <v>-1</v>
      </c>
      <c r="FV129">
        <v>10.0625</v>
      </c>
      <c r="FW129">
        <v>17.6875</v>
      </c>
      <c r="FX129">
        <v>-14.8125</v>
      </c>
      <c r="FY129">
        <v>-1.125</v>
      </c>
      <c r="FZ129">
        <v>8.3125</v>
      </c>
      <c r="GA129">
        <v>14</v>
      </c>
      <c r="GB129">
        <v>2.3500000000000028</v>
      </c>
      <c r="GC129">
        <v>1.6500000000000008</v>
      </c>
      <c r="GD129">
        <v>32.5</v>
      </c>
      <c r="GE129">
        <v>-2.3500000000000028</v>
      </c>
      <c r="GF129">
        <v>0.34218749999999964</v>
      </c>
      <c r="GG129">
        <v>7.6124999999999998</v>
      </c>
      <c r="GH129">
        <v>27.6875</v>
      </c>
      <c r="GI129">
        <v>-1.7000000000000024</v>
      </c>
      <c r="GJ129">
        <v>-14.3125</v>
      </c>
      <c r="GK129">
        <v>1.625</v>
      </c>
      <c r="GL129">
        <v>1.9375</v>
      </c>
    </row>
    <row r="130" spans="1:194" x14ac:dyDescent="0.2">
      <c r="A130" s="39">
        <v>43744</v>
      </c>
      <c r="B130" s="22" t="s">
        <v>381</v>
      </c>
      <c r="C130" s="41" t="s">
        <v>305</v>
      </c>
      <c r="D130" s="22" t="s">
        <v>309</v>
      </c>
      <c r="E130">
        <v>11.2</v>
      </c>
      <c r="F130">
        <v>9.1</v>
      </c>
      <c r="G130" s="14">
        <v>0</v>
      </c>
      <c r="H130">
        <f>9.5+7.2</f>
        <v>16.7</v>
      </c>
      <c r="I130">
        <v>-3</v>
      </c>
      <c r="J130">
        <v>44</v>
      </c>
      <c r="L130" s="1" t="s">
        <v>305</v>
      </c>
      <c r="M130">
        <v>1</v>
      </c>
      <c r="N130">
        <v>7.4250000000000025</v>
      </c>
      <c r="O130">
        <v>4</v>
      </c>
      <c r="P130">
        <v>6.5</v>
      </c>
      <c r="Q130">
        <v>4</v>
      </c>
      <c r="R130">
        <v>1.8624999999999994</v>
      </c>
      <c r="S130">
        <v>9</v>
      </c>
      <c r="T130">
        <v>-4.8125</v>
      </c>
      <c r="U130">
        <v>-1.1875</v>
      </c>
      <c r="V130">
        <v>5</v>
      </c>
      <c r="W130">
        <v>8</v>
      </c>
      <c r="X130">
        <v>14</v>
      </c>
      <c r="Y130">
        <v>-1.2250000000000001</v>
      </c>
      <c r="Z130">
        <v>2</v>
      </c>
      <c r="AA130">
        <v>11.8125</v>
      </c>
      <c r="AB130">
        <v>-0.9375</v>
      </c>
      <c r="AC130">
        <v>26</v>
      </c>
      <c r="AD130">
        <v>25</v>
      </c>
      <c r="AE130">
        <v>22</v>
      </c>
      <c r="AF130">
        <v>0.19375000000000053</v>
      </c>
      <c r="AG130">
        <v>28</v>
      </c>
      <c r="AH130">
        <v>17.5625</v>
      </c>
      <c r="AI130">
        <v>1.4375</v>
      </c>
      <c r="AJ130">
        <v>25</v>
      </c>
      <c r="AK130">
        <v>26</v>
      </c>
      <c r="AL130">
        <v>24</v>
      </c>
      <c r="AM130">
        <v>-1.9750000000000001</v>
      </c>
      <c r="AN130">
        <v>28</v>
      </c>
      <c r="AO130">
        <v>-17.9375</v>
      </c>
      <c r="AP130">
        <v>-2.0625</v>
      </c>
      <c r="AQ130">
        <v>31</v>
      </c>
      <c r="AR130">
        <v>30</v>
      </c>
      <c r="AS130">
        <v>29</v>
      </c>
      <c r="AT130">
        <v>-3.8875000000000002</v>
      </c>
      <c r="AU130">
        <v>31</v>
      </c>
      <c r="AV130">
        <v>-17.125</v>
      </c>
      <c r="AW130">
        <v>-2.1875</v>
      </c>
      <c r="AX130">
        <v>10</v>
      </c>
      <c r="AY130">
        <v>11</v>
      </c>
      <c r="AZ130">
        <v>5</v>
      </c>
      <c r="BA130">
        <v>5.5250000000000004</v>
      </c>
      <c r="BB130">
        <v>17</v>
      </c>
      <c r="BC130">
        <v>30.875</v>
      </c>
      <c r="BD130">
        <v>1.8125</v>
      </c>
      <c r="BE130">
        <v>2</v>
      </c>
      <c r="BF130">
        <v>2</v>
      </c>
      <c r="BG130">
        <v>2</v>
      </c>
      <c r="BH130">
        <v>10.6875</v>
      </c>
      <c r="BI130">
        <v>2</v>
      </c>
      <c r="BJ130">
        <v>42.9375</v>
      </c>
      <c r="BK130">
        <v>5.4375</v>
      </c>
      <c r="BL130">
        <v>8</v>
      </c>
      <c r="BM130">
        <v>8.5</v>
      </c>
      <c r="BN130">
        <v>2</v>
      </c>
      <c r="BO130">
        <v>-0.625</v>
      </c>
      <c r="BP130">
        <v>15</v>
      </c>
      <c r="BQ130">
        <v>-0.4375</v>
      </c>
      <c r="BR130">
        <v>-5.5625</v>
      </c>
      <c r="BS130">
        <v>31</v>
      </c>
      <c r="BT130">
        <v>29.25</v>
      </c>
      <c r="BU130">
        <v>27</v>
      </c>
      <c r="BV130">
        <v>-2.6148085628996856E-2</v>
      </c>
      <c r="BW130">
        <v>31</v>
      </c>
      <c r="BX130">
        <v>-8.4598196901805311E-3</v>
      </c>
      <c r="BY130">
        <v>27</v>
      </c>
      <c r="BZ130">
        <v>5.0000000000000036</v>
      </c>
      <c r="CA130">
        <v>32</v>
      </c>
      <c r="CB130">
        <v>-2.125</v>
      </c>
      <c r="CC130">
        <v>7.0625</v>
      </c>
      <c r="CD130">
        <v>6.6875</v>
      </c>
      <c r="CE130">
        <v>-1.875</v>
      </c>
      <c r="CF130">
        <v>50.4375</v>
      </c>
      <c r="CG130">
        <v>3.75</v>
      </c>
      <c r="CH130">
        <v>11.3125</v>
      </c>
      <c r="CI130">
        <v>-3.75</v>
      </c>
      <c r="CJ130">
        <v>39.125</v>
      </c>
      <c r="CK130">
        <v>4</v>
      </c>
      <c r="CL130">
        <v>6.7875000000000032</v>
      </c>
      <c r="CM130">
        <v>2.1700000000000008</v>
      </c>
      <c r="CN130">
        <v>-7.5625</v>
      </c>
      <c r="CO130">
        <v>-6.7875000000000032</v>
      </c>
      <c r="CP130">
        <v>1.5570312500000001</v>
      </c>
      <c r="CQ130">
        <v>-5.6687499999999993</v>
      </c>
      <c r="CR130">
        <v>-17.5</v>
      </c>
      <c r="CS130">
        <v>0.63749999999999929</v>
      </c>
      <c r="CT130">
        <v>7</v>
      </c>
      <c r="CU130">
        <v>2.625</v>
      </c>
      <c r="CV130">
        <v>-2.125</v>
      </c>
      <c r="CW130">
        <v>0.45164062499999996</v>
      </c>
      <c r="CX130">
        <v>1.5029687499999997</v>
      </c>
      <c r="CY130" t="s">
        <v>309</v>
      </c>
      <c r="CZ130">
        <v>31</v>
      </c>
      <c r="DA130">
        <v>-1.2000000000000002</v>
      </c>
      <c r="DB130">
        <v>22</v>
      </c>
      <c r="DC130">
        <v>21.5</v>
      </c>
      <c r="DD130">
        <v>32</v>
      </c>
      <c r="DE130">
        <v>-3.1312499999999996</v>
      </c>
      <c r="DF130">
        <v>11</v>
      </c>
      <c r="DG130">
        <v>-7.25</v>
      </c>
      <c r="DH130">
        <v>0.375</v>
      </c>
      <c r="DI130">
        <v>16</v>
      </c>
      <c r="DJ130">
        <v>16.5</v>
      </c>
      <c r="DK130">
        <v>12</v>
      </c>
      <c r="DL130">
        <v>-1.0875000000000006</v>
      </c>
      <c r="DM130">
        <v>21</v>
      </c>
      <c r="DN130">
        <v>9.75</v>
      </c>
      <c r="DO130">
        <v>0.1875</v>
      </c>
      <c r="DP130">
        <v>26</v>
      </c>
      <c r="DQ130">
        <v>29.5</v>
      </c>
      <c r="DR130">
        <v>28</v>
      </c>
      <c r="DS130">
        <v>-2.5724999999999998</v>
      </c>
      <c r="DT130">
        <v>31</v>
      </c>
      <c r="DU130">
        <v>-4.625</v>
      </c>
      <c r="DV130">
        <v>0.5</v>
      </c>
      <c r="DW130">
        <v>29</v>
      </c>
      <c r="DX130">
        <v>29.5</v>
      </c>
      <c r="DY130">
        <v>31</v>
      </c>
      <c r="DZ130">
        <v>0.61875000000000036</v>
      </c>
      <c r="EA130">
        <v>28</v>
      </c>
      <c r="EB130">
        <v>-9.9375</v>
      </c>
      <c r="EC130">
        <v>-0.4375</v>
      </c>
      <c r="ED130">
        <v>5</v>
      </c>
      <c r="EE130">
        <v>25</v>
      </c>
      <c r="EF130">
        <v>27</v>
      </c>
      <c r="EG130">
        <v>3.4750000000000005</v>
      </c>
      <c r="EH130">
        <v>23</v>
      </c>
      <c r="EI130">
        <v>23.75</v>
      </c>
      <c r="EJ130">
        <v>-0.75</v>
      </c>
      <c r="EK130">
        <v>27</v>
      </c>
      <c r="EL130">
        <v>27</v>
      </c>
      <c r="EM130">
        <v>30</v>
      </c>
      <c r="EN130">
        <v>8.0625</v>
      </c>
      <c r="EO130">
        <v>24</v>
      </c>
      <c r="EP130">
        <v>38.75</v>
      </c>
      <c r="EQ130">
        <v>3.1875</v>
      </c>
      <c r="ER130">
        <v>24</v>
      </c>
      <c r="ES130">
        <v>24</v>
      </c>
      <c r="ET130">
        <v>24</v>
      </c>
      <c r="EU130">
        <v>-1.2124999999999992</v>
      </c>
      <c r="EV130">
        <v>24</v>
      </c>
      <c r="EW130">
        <v>-7.875</v>
      </c>
      <c r="EX130">
        <v>-0.3125</v>
      </c>
      <c r="EY130">
        <v>30</v>
      </c>
      <c r="EZ130">
        <v>27.5</v>
      </c>
      <c r="FA130">
        <v>31</v>
      </c>
      <c r="FB130">
        <v>0.3125</v>
      </c>
      <c r="FC130">
        <v>24</v>
      </c>
      <c r="FD130">
        <v>-0.3125</v>
      </c>
      <c r="FE130">
        <v>-6.1875</v>
      </c>
      <c r="FF130">
        <v>1</v>
      </c>
      <c r="FG130">
        <v>5.25</v>
      </c>
      <c r="FH130">
        <v>2</v>
      </c>
      <c r="FI130">
        <v>2.9386065628514507E-2</v>
      </c>
      <c r="FJ130">
        <v>1</v>
      </c>
      <c r="FK130">
        <v>2.037718056225957E-2</v>
      </c>
      <c r="FL130">
        <v>16</v>
      </c>
      <c r="FM130">
        <v>0.71250000000000036</v>
      </c>
      <c r="FN130">
        <v>2</v>
      </c>
      <c r="FO130">
        <v>1.375</v>
      </c>
      <c r="FP130">
        <v>0</v>
      </c>
      <c r="FQ130">
        <v>1.8125</v>
      </c>
      <c r="FR130">
        <v>0.75</v>
      </c>
      <c r="FS130">
        <v>3.3125</v>
      </c>
      <c r="FT130">
        <v>-0.9375</v>
      </c>
      <c r="FU130">
        <v>-2.625</v>
      </c>
      <c r="FV130">
        <v>12.3125</v>
      </c>
      <c r="FW130">
        <v>4.3125</v>
      </c>
      <c r="FX130">
        <v>10.5</v>
      </c>
      <c r="FY130">
        <v>-4.375</v>
      </c>
      <c r="FZ130">
        <v>1.875</v>
      </c>
      <c r="GA130">
        <v>12</v>
      </c>
      <c r="GB130">
        <v>3.0187499999999998</v>
      </c>
      <c r="GC130">
        <v>1.9311250000000004</v>
      </c>
      <c r="GD130">
        <v>-6.1875</v>
      </c>
      <c r="GE130">
        <v>-3.0187499999999998</v>
      </c>
      <c r="GF130">
        <v>-0.59968749999999982</v>
      </c>
      <c r="GG130">
        <v>1.5212500000000011</v>
      </c>
      <c r="GH130">
        <v>9.1875</v>
      </c>
      <c r="GI130">
        <v>-4.21875</v>
      </c>
      <c r="GJ130">
        <v>2.5</v>
      </c>
      <c r="GK130">
        <v>-1</v>
      </c>
      <c r="GL130">
        <v>0.5625</v>
      </c>
    </row>
    <row r="131" spans="1:194" x14ac:dyDescent="0.2">
      <c r="A131" s="39">
        <v>43744</v>
      </c>
      <c r="B131" s="22" t="s">
        <v>381</v>
      </c>
      <c r="C131" s="41" t="s">
        <v>276</v>
      </c>
      <c r="D131" s="22" t="s">
        <v>310</v>
      </c>
      <c r="E131">
        <v>12.5</v>
      </c>
      <c r="F131">
        <v>5.0999999999999996</v>
      </c>
      <c r="G131" s="14">
        <v>7.2</v>
      </c>
      <c r="H131">
        <f>7.8+3.2</f>
        <v>11</v>
      </c>
      <c r="I131">
        <v>3.5</v>
      </c>
      <c r="J131">
        <v>39.5</v>
      </c>
      <c r="L131" s="1" t="s">
        <v>276</v>
      </c>
      <c r="M131">
        <v>5</v>
      </c>
      <c r="N131">
        <v>2.0812499999999998</v>
      </c>
      <c r="O131">
        <v>15</v>
      </c>
      <c r="P131">
        <v>16</v>
      </c>
      <c r="Q131">
        <v>21</v>
      </c>
      <c r="R131">
        <v>0.26250000000000107</v>
      </c>
      <c r="S131">
        <v>11</v>
      </c>
      <c r="T131">
        <v>22.25</v>
      </c>
      <c r="U131">
        <v>-0.6875</v>
      </c>
      <c r="V131">
        <v>15</v>
      </c>
      <c r="W131">
        <v>14.5</v>
      </c>
      <c r="X131">
        <v>20</v>
      </c>
      <c r="Y131">
        <v>-0.34624999999999906</v>
      </c>
      <c r="Z131">
        <v>9</v>
      </c>
      <c r="AA131">
        <v>4.375</v>
      </c>
      <c r="AB131">
        <v>-1</v>
      </c>
      <c r="AC131">
        <v>21</v>
      </c>
      <c r="AD131">
        <v>19.5</v>
      </c>
      <c r="AE131">
        <v>14</v>
      </c>
      <c r="AF131">
        <v>-0.79374999999999885</v>
      </c>
      <c r="AG131">
        <v>25</v>
      </c>
      <c r="AH131">
        <v>2.9375</v>
      </c>
      <c r="AI131">
        <v>0.8125</v>
      </c>
      <c r="AJ131">
        <v>9</v>
      </c>
      <c r="AK131">
        <v>8.5</v>
      </c>
      <c r="AL131">
        <v>9</v>
      </c>
      <c r="AM131">
        <v>2.2687500000000007</v>
      </c>
      <c r="AN131">
        <v>8</v>
      </c>
      <c r="AO131">
        <v>8.375</v>
      </c>
      <c r="AP131">
        <v>2.1875</v>
      </c>
      <c r="AQ131">
        <v>13</v>
      </c>
      <c r="AR131">
        <v>14.5</v>
      </c>
      <c r="AS131">
        <v>15</v>
      </c>
      <c r="AT131">
        <v>0.16875000000000018</v>
      </c>
      <c r="AU131">
        <v>14</v>
      </c>
      <c r="AV131">
        <v>0.375</v>
      </c>
      <c r="AW131">
        <v>0.6875</v>
      </c>
      <c r="AX131">
        <v>23</v>
      </c>
      <c r="AY131">
        <v>22.5</v>
      </c>
      <c r="AZ131">
        <v>25</v>
      </c>
      <c r="BA131">
        <v>-0.63749999999999929</v>
      </c>
      <c r="BB131">
        <v>20</v>
      </c>
      <c r="BC131">
        <v>-3.875</v>
      </c>
      <c r="BD131">
        <v>1.9375</v>
      </c>
      <c r="BE131">
        <v>29</v>
      </c>
      <c r="BF131">
        <v>28.5</v>
      </c>
      <c r="BG131">
        <v>30</v>
      </c>
      <c r="BH131">
        <v>0.91250000000000009</v>
      </c>
      <c r="BI131">
        <v>27</v>
      </c>
      <c r="BJ131">
        <v>6.8125</v>
      </c>
      <c r="BK131">
        <v>0.375</v>
      </c>
      <c r="BL131">
        <v>25</v>
      </c>
      <c r="BM131">
        <v>23</v>
      </c>
      <c r="BN131">
        <v>23</v>
      </c>
      <c r="BO131">
        <v>-0.625</v>
      </c>
      <c r="BP131">
        <v>23</v>
      </c>
      <c r="BQ131">
        <v>-0.125</v>
      </c>
      <c r="BR131">
        <v>-3.0625</v>
      </c>
      <c r="BS131">
        <v>24</v>
      </c>
      <c r="BT131">
        <v>20.75</v>
      </c>
      <c r="BU131">
        <v>25</v>
      </c>
      <c r="BV131">
        <v>4.8865664055347965E-2</v>
      </c>
      <c r="BW131">
        <v>25</v>
      </c>
      <c r="BX131">
        <v>-8.1191325016074806E-3</v>
      </c>
      <c r="BY131">
        <v>5</v>
      </c>
      <c r="BZ131">
        <v>13.156250000000002</v>
      </c>
      <c r="CA131">
        <v>28</v>
      </c>
      <c r="CB131">
        <v>2.0625</v>
      </c>
      <c r="CC131">
        <v>6.625</v>
      </c>
      <c r="CD131">
        <v>-0.1875</v>
      </c>
      <c r="CE131">
        <v>-1.75</v>
      </c>
      <c r="CF131">
        <v>48.0625</v>
      </c>
      <c r="CG131">
        <v>2.8125</v>
      </c>
      <c r="CH131">
        <v>23.1875</v>
      </c>
      <c r="CI131">
        <v>1.625</v>
      </c>
      <c r="CJ131">
        <v>20.4375</v>
      </c>
      <c r="CK131">
        <v>15</v>
      </c>
      <c r="CL131">
        <v>2.1649999999999978</v>
      </c>
      <c r="CM131">
        <v>0.96937499999999943</v>
      </c>
      <c r="CN131">
        <v>-20.375</v>
      </c>
      <c r="CO131">
        <v>-2.1649999999999978</v>
      </c>
      <c r="CP131">
        <v>0.49109375000000055</v>
      </c>
      <c r="CQ131">
        <v>1.643750000000002</v>
      </c>
      <c r="CR131">
        <v>11.6875</v>
      </c>
      <c r="CS131">
        <v>-8.3749999999997993E-2</v>
      </c>
      <c r="CT131">
        <v>26.625</v>
      </c>
      <c r="CU131">
        <v>4.0625</v>
      </c>
      <c r="CV131">
        <v>-1.6875</v>
      </c>
      <c r="CW131">
        <v>-1.8165625000000001</v>
      </c>
      <c r="CX131">
        <v>-1.8807812500000001</v>
      </c>
      <c r="CY131" t="s">
        <v>310</v>
      </c>
      <c r="CZ131">
        <v>11</v>
      </c>
      <c r="DA131">
        <v>-2.8562500000000011</v>
      </c>
      <c r="DB131">
        <v>7</v>
      </c>
      <c r="DC131">
        <v>10</v>
      </c>
      <c r="DD131">
        <v>13</v>
      </c>
      <c r="DE131">
        <v>-3.1812500000000008</v>
      </c>
      <c r="DF131">
        <v>7</v>
      </c>
      <c r="DG131">
        <v>-26.0625</v>
      </c>
      <c r="DH131">
        <v>1.6875</v>
      </c>
      <c r="DI131">
        <v>23</v>
      </c>
      <c r="DJ131">
        <v>19.5</v>
      </c>
      <c r="DK131">
        <v>22</v>
      </c>
      <c r="DL131">
        <v>-0.13124999999999964</v>
      </c>
      <c r="DM131">
        <v>17</v>
      </c>
      <c r="DN131">
        <v>-6.0625</v>
      </c>
      <c r="DO131">
        <v>-0.25</v>
      </c>
      <c r="DP131">
        <v>3</v>
      </c>
      <c r="DQ131">
        <v>1.5</v>
      </c>
      <c r="DR131">
        <v>2</v>
      </c>
      <c r="DS131">
        <v>-4.1624999999999996</v>
      </c>
      <c r="DT131">
        <v>1</v>
      </c>
      <c r="DU131">
        <v>-11.25</v>
      </c>
      <c r="DV131">
        <v>0</v>
      </c>
      <c r="DW131">
        <v>11</v>
      </c>
      <c r="DX131">
        <v>13</v>
      </c>
      <c r="DY131">
        <v>14</v>
      </c>
      <c r="DZ131">
        <v>-2.8312499999999989</v>
      </c>
      <c r="EA131">
        <v>12</v>
      </c>
      <c r="EB131">
        <v>-15.8125</v>
      </c>
      <c r="EC131">
        <v>-1.3125</v>
      </c>
      <c r="ED131">
        <v>28</v>
      </c>
      <c r="EE131">
        <v>30</v>
      </c>
      <c r="EF131">
        <v>30</v>
      </c>
      <c r="EG131">
        <v>0.47500000000000053</v>
      </c>
      <c r="EH131">
        <v>30</v>
      </c>
      <c r="EI131">
        <v>0.3125</v>
      </c>
      <c r="EJ131">
        <v>4.1875</v>
      </c>
      <c r="EK131">
        <v>6</v>
      </c>
      <c r="EL131">
        <v>5.5</v>
      </c>
      <c r="EM131">
        <v>6</v>
      </c>
      <c r="EN131">
        <v>-4.1625000000000005</v>
      </c>
      <c r="EO131">
        <v>5</v>
      </c>
      <c r="EP131">
        <v>-19.125</v>
      </c>
      <c r="EQ131">
        <v>-0.25</v>
      </c>
      <c r="ER131">
        <v>6</v>
      </c>
      <c r="ES131">
        <v>8</v>
      </c>
      <c r="ET131">
        <v>7</v>
      </c>
      <c r="EU131">
        <v>1.4812500000000002</v>
      </c>
      <c r="EV131">
        <v>9</v>
      </c>
      <c r="EW131">
        <v>3.6875</v>
      </c>
      <c r="EX131">
        <v>-6.25E-2</v>
      </c>
      <c r="EY131">
        <v>3</v>
      </c>
      <c r="EZ131">
        <v>3.5</v>
      </c>
      <c r="FA131">
        <v>6</v>
      </c>
      <c r="FB131">
        <v>-2.8125</v>
      </c>
      <c r="FC131">
        <v>1</v>
      </c>
      <c r="FD131">
        <v>-0.8125</v>
      </c>
      <c r="FE131">
        <v>-6.25E-2</v>
      </c>
      <c r="FF131">
        <v>15</v>
      </c>
      <c r="FG131">
        <v>15.75</v>
      </c>
      <c r="FH131">
        <v>16</v>
      </c>
      <c r="FI131">
        <v>-4.5311423022476961E-2</v>
      </c>
      <c r="FJ131">
        <v>21</v>
      </c>
      <c r="FK131">
        <v>8.4223789839801139E-3</v>
      </c>
      <c r="FL131">
        <v>13</v>
      </c>
      <c r="FM131">
        <v>1.6312500000000014</v>
      </c>
      <c r="FN131">
        <v>13</v>
      </c>
      <c r="FO131">
        <v>3.625</v>
      </c>
      <c r="FP131">
        <v>0.875</v>
      </c>
      <c r="FQ131">
        <v>-1.5625</v>
      </c>
      <c r="FR131">
        <v>0.625</v>
      </c>
      <c r="FS131">
        <v>1.0625</v>
      </c>
      <c r="FT131">
        <v>-5.5625</v>
      </c>
      <c r="FU131">
        <v>0</v>
      </c>
      <c r="FV131">
        <v>-24.1875</v>
      </c>
      <c r="FW131">
        <v>-14.6875</v>
      </c>
      <c r="FX131">
        <v>-15.25</v>
      </c>
      <c r="FY131">
        <v>2.1875</v>
      </c>
      <c r="FZ131">
        <v>3.5625</v>
      </c>
      <c r="GA131">
        <v>17</v>
      </c>
      <c r="GB131">
        <v>0.45624999999999938</v>
      </c>
      <c r="GC131">
        <v>7.7500000000000346E-2</v>
      </c>
      <c r="GD131">
        <v>0.5625</v>
      </c>
      <c r="GE131">
        <v>-0.45624999999999938</v>
      </c>
      <c r="GF131">
        <v>-1.7523437500000001</v>
      </c>
      <c r="GG131">
        <v>-6.518749999999998</v>
      </c>
      <c r="GH131">
        <v>-26.75</v>
      </c>
      <c r="GI131">
        <v>-3.3125000000000004</v>
      </c>
      <c r="GJ131">
        <v>-32.125</v>
      </c>
      <c r="GK131">
        <v>2.8125</v>
      </c>
      <c r="GL131">
        <v>1.4375</v>
      </c>
    </row>
    <row r="132" spans="1:194" x14ac:dyDescent="0.2">
      <c r="A132" s="39">
        <v>43744</v>
      </c>
      <c r="B132" s="26" t="s">
        <v>381</v>
      </c>
      <c r="C132" s="41" t="s">
        <v>301</v>
      </c>
      <c r="D132" s="26" t="s">
        <v>297</v>
      </c>
      <c r="E132">
        <v>15.1</v>
      </c>
      <c r="F132">
        <v>7.4</v>
      </c>
      <c r="G132">
        <v>1.6</v>
      </c>
      <c r="H132">
        <v>0</v>
      </c>
      <c r="I132">
        <v>-3</v>
      </c>
      <c r="J132">
        <v>41</v>
      </c>
      <c r="L132" s="1" t="s">
        <v>301</v>
      </c>
      <c r="M132">
        <v>13</v>
      </c>
      <c r="N132">
        <v>-7.4162500000000016</v>
      </c>
      <c r="O132">
        <v>2</v>
      </c>
      <c r="P132">
        <v>3</v>
      </c>
      <c r="Q132">
        <v>1</v>
      </c>
      <c r="R132">
        <v>11.625</v>
      </c>
      <c r="S132">
        <v>5</v>
      </c>
      <c r="T132">
        <v>35.4375</v>
      </c>
      <c r="U132">
        <v>2.4375</v>
      </c>
      <c r="V132">
        <v>32</v>
      </c>
      <c r="W132">
        <v>31.5</v>
      </c>
      <c r="X132">
        <v>31</v>
      </c>
      <c r="Y132">
        <v>-1.6</v>
      </c>
      <c r="Z132">
        <v>32</v>
      </c>
      <c r="AA132">
        <v>-11.5</v>
      </c>
      <c r="AB132">
        <v>-0.5</v>
      </c>
      <c r="AC132">
        <v>7</v>
      </c>
      <c r="AD132">
        <v>6.5</v>
      </c>
      <c r="AE132">
        <v>7</v>
      </c>
      <c r="AF132">
        <v>-4.4562500000000007</v>
      </c>
      <c r="AG132">
        <v>6</v>
      </c>
      <c r="AH132">
        <v>-11.25</v>
      </c>
      <c r="AI132">
        <v>-1.5</v>
      </c>
      <c r="AJ132">
        <v>21</v>
      </c>
      <c r="AK132">
        <v>20.5</v>
      </c>
      <c r="AL132">
        <v>20</v>
      </c>
      <c r="AM132">
        <v>-2.28125</v>
      </c>
      <c r="AN132">
        <v>21</v>
      </c>
      <c r="AO132">
        <v>-11.25</v>
      </c>
      <c r="AP132">
        <v>0.75</v>
      </c>
      <c r="AQ132">
        <v>23</v>
      </c>
      <c r="AR132">
        <v>23.5</v>
      </c>
      <c r="AS132">
        <v>23</v>
      </c>
      <c r="AT132">
        <v>-1.5875000000000004</v>
      </c>
      <c r="AU132">
        <v>24</v>
      </c>
      <c r="AV132">
        <v>-3.375</v>
      </c>
      <c r="AW132">
        <v>-0.375</v>
      </c>
      <c r="AX132">
        <v>24</v>
      </c>
      <c r="AY132">
        <v>25</v>
      </c>
      <c r="AZ132">
        <v>23</v>
      </c>
      <c r="BA132">
        <v>-9.1249999999999982</v>
      </c>
      <c r="BB132">
        <v>27</v>
      </c>
      <c r="BC132">
        <v>-42.5</v>
      </c>
      <c r="BD132">
        <v>-3.9375</v>
      </c>
      <c r="BE132">
        <v>20</v>
      </c>
      <c r="BF132">
        <v>22</v>
      </c>
      <c r="BG132">
        <v>20</v>
      </c>
      <c r="BH132">
        <v>-2.5437499999999997</v>
      </c>
      <c r="BI132">
        <v>24</v>
      </c>
      <c r="BJ132">
        <v>-8.3125</v>
      </c>
      <c r="BK132">
        <v>-0.6875</v>
      </c>
      <c r="BL132">
        <v>32</v>
      </c>
      <c r="BM132">
        <v>31.5</v>
      </c>
      <c r="BN132">
        <v>32</v>
      </c>
      <c r="BO132">
        <v>0.875</v>
      </c>
      <c r="BP132">
        <v>31</v>
      </c>
      <c r="BQ132">
        <v>0.1875</v>
      </c>
      <c r="BR132">
        <v>-0.25</v>
      </c>
      <c r="BS132">
        <v>4</v>
      </c>
      <c r="BT132">
        <v>8.5</v>
      </c>
      <c r="BU132">
        <v>4</v>
      </c>
      <c r="BV132">
        <v>-4.5584458250567242E-2</v>
      </c>
      <c r="BW132">
        <v>6</v>
      </c>
      <c r="BX132">
        <v>-1.2075379876415326E-3</v>
      </c>
      <c r="BY132">
        <v>17</v>
      </c>
      <c r="BZ132">
        <v>-7.2249999999999961</v>
      </c>
      <c r="CA132">
        <v>7</v>
      </c>
      <c r="CB132">
        <v>-0.4375</v>
      </c>
      <c r="CC132">
        <v>-0.875</v>
      </c>
      <c r="CD132">
        <v>-0.3125</v>
      </c>
      <c r="CE132">
        <v>-1.8125</v>
      </c>
      <c r="CF132">
        <v>-17.375</v>
      </c>
      <c r="CG132">
        <v>-25.3125</v>
      </c>
      <c r="CH132">
        <v>23</v>
      </c>
      <c r="CI132">
        <v>1.1875</v>
      </c>
      <c r="CJ132">
        <v>-16.25</v>
      </c>
      <c r="CK132">
        <v>32</v>
      </c>
      <c r="CL132">
        <v>-17.44125</v>
      </c>
      <c r="CM132">
        <v>-8.6695000000000011</v>
      </c>
      <c r="CN132">
        <v>-48.3125</v>
      </c>
      <c r="CO132">
        <v>17.441250000000004</v>
      </c>
      <c r="CP132">
        <v>-0.9231250000000002</v>
      </c>
      <c r="CQ132">
        <v>-8.3250000000000011</v>
      </c>
      <c r="CR132">
        <v>-25.875</v>
      </c>
      <c r="CS132">
        <v>10.025</v>
      </c>
      <c r="CT132">
        <v>23.9375</v>
      </c>
      <c r="CU132">
        <v>-1.8125</v>
      </c>
      <c r="CV132">
        <v>1.9375</v>
      </c>
      <c r="CW132">
        <v>-1.8827343749999996</v>
      </c>
      <c r="CX132">
        <v>-2.5043749999999996</v>
      </c>
      <c r="CY132" t="s">
        <v>297</v>
      </c>
      <c r="CZ132">
        <v>20</v>
      </c>
      <c r="DA132">
        <v>0.13625000000000131</v>
      </c>
      <c r="DB132">
        <v>1</v>
      </c>
      <c r="DC132">
        <v>1.5</v>
      </c>
      <c r="DD132">
        <v>2</v>
      </c>
      <c r="DE132">
        <v>-3.0749999999999997</v>
      </c>
      <c r="DF132">
        <v>1</v>
      </c>
      <c r="DG132">
        <v>-4</v>
      </c>
      <c r="DH132">
        <v>-1</v>
      </c>
      <c r="DI132">
        <v>13</v>
      </c>
      <c r="DJ132">
        <v>14.5</v>
      </c>
      <c r="DK132">
        <v>11</v>
      </c>
      <c r="DL132">
        <v>-2.3812499999999996</v>
      </c>
      <c r="DM132">
        <v>18</v>
      </c>
      <c r="DN132">
        <v>0.3125</v>
      </c>
      <c r="DO132">
        <v>-1.1875</v>
      </c>
      <c r="DP132">
        <v>12</v>
      </c>
      <c r="DQ132">
        <v>13</v>
      </c>
      <c r="DR132">
        <v>11</v>
      </c>
      <c r="DS132">
        <v>1.1999999999999993</v>
      </c>
      <c r="DT132">
        <v>15</v>
      </c>
      <c r="DU132">
        <v>1.375</v>
      </c>
      <c r="DV132">
        <v>-2</v>
      </c>
      <c r="DW132">
        <v>26</v>
      </c>
      <c r="DX132">
        <v>26.5</v>
      </c>
      <c r="DY132">
        <v>28</v>
      </c>
      <c r="DZ132">
        <v>-2.6937500000000005</v>
      </c>
      <c r="EA132">
        <v>25</v>
      </c>
      <c r="EB132">
        <v>-2.9375</v>
      </c>
      <c r="EC132">
        <v>0.625</v>
      </c>
      <c r="ED132">
        <v>1</v>
      </c>
      <c r="EE132">
        <v>5</v>
      </c>
      <c r="EF132">
        <v>5</v>
      </c>
      <c r="EG132">
        <v>-1.79375</v>
      </c>
      <c r="EH132">
        <v>5</v>
      </c>
      <c r="EI132">
        <v>-3.75</v>
      </c>
      <c r="EJ132">
        <v>0.125</v>
      </c>
      <c r="EK132">
        <v>27</v>
      </c>
      <c r="EL132">
        <v>27</v>
      </c>
      <c r="EM132">
        <v>29</v>
      </c>
      <c r="EN132">
        <v>-3.0249999999999999</v>
      </c>
      <c r="EO132">
        <v>25</v>
      </c>
      <c r="EP132">
        <v>-9</v>
      </c>
      <c r="EQ132">
        <v>0.625</v>
      </c>
      <c r="ER132">
        <v>26</v>
      </c>
      <c r="ES132">
        <v>25.5</v>
      </c>
      <c r="ET132">
        <v>22</v>
      </c>
      <c r="EU132">
        <v>-2.1062499999999993</v>
      </c>
      <c r="EV132">
        <v>29</v>
      </c>
      <c r="EW132">
        <v>-1.375</v>
      </c>
      <c r="EX132">
        <v>0.5625</v>
      </c>
      <c r="EY132">
        <v>26</v>
      </c>
      <c r="EZ132">
        <v>25</v>
      </c>
      <c r="FA132">
        <v>21</v>
      </c>
      <c r="FB132">
        <v>0.625</v>
      </c>
      <c r="FC132">
        <v>29</v>
      </c>
      <c r="FD132">
        <v>6.25E-2</v>
      </c>
      <c r="FE132">
        <v>-1.625</v>
      </c>
      <c r="FF132">
        <v>20</v>
      </c>
      <c r="FG132">
        <v>16.75</v>
      </c>
      <c r="FH132">
        <v>21</v>
      </c>
      <c r="FI132">
        <v>-4.544422223147021E-3</v>
      </c>
      <c r="FJ132">
        <v>5</v>
      </c>
      <c r="FK132">
        <v>-6.5513804596851015E-3</v>
      </c>
      <c r="FL132">
        <v>32</v>
      </c>
      <c r="FM132">
        <v>-2.6062499999999975</v>
      </c>
      <c r="FN132">
        <v>9</v>
      </c>
      <c r="FO132">
        <v>0.1875</v>
      </c>
      <c r="FP132">
        <v>0.6875</v>
      </c>
      <c r="FQ132">
        <v>-0.625</v>
      </c>
      <c r="FR132">
        <v>0</v>
      </c>
      <c r="FS132">
        <v>0.125</v>
      </c>
      <c r="FT132">
        <v>1.0625</v>
      </c>
      <c r="FU132">
        <v>-1</v>
      </c>
      <c r="FV132">
        <v>-3.3125</v>
      </c>
      <c r="FW132">
        <v>7.4375</v>
      </c>
      <c r="FX132">
        <v>-4.25</v>
      </c>
      <c r="FY132">
        <v>-0.5</v>
      </c>
      <c r="FZ132">
        <v>-6</v>
      </c>
      <c r="GA132">
        <v>6</v>
      </c>
      <c r="GB132">
        <v>5.5925000000000011</v>
      </c>
      <c r="GC132">
        <v>1.6766249999999996</v>
      </c>
      <c r="GD132">
        <v>11.6875</v>
      </c>
      <c r="GE132">
        <v>-5.5925000000000002</v>
      </c>
      <c r="GF132">
        <v>-1.2610937499999999</v>
      </c>
      <c r="GG132">
        <v>-3.2875000000000014</v>
      </c>
      <c r="GH132">
        <v>-5.3125</v>
      </c>
      <c r="GI132">
        <v>-5.4562499999999989</v>
      </c>
      <c r="GJ132">
        <v>-3.6875</v>
      </c>
      <c r="GK132">
        <v>-0.6875</v>
      </c>
      <c r="GL132">
        <v>-2.1875</v>
      </c>
    </row>
    <row r="133" spans="1:194" x14ac:dyDescent="0.2">
      <c r="A133" s="39">
        <v>43744</v>
      </c>
      <c r="B133" s="22" t="s">
        <v>381</v>
      </c>
      <c r="C133" s="41" t="s">
        <v>265</v>
      </c>
      <c r="D133" s="22" t="s">
        <v>303</v>
      </c>
      <c r="E133">
        <v>28.7</v>
      </c>
      <c r="F133">
        <v>9.1999999999999993</v>
      </c>
      <c r="G133">
        <v>0</v>
      </c>
      <c r="H133">
        <v>7.2</v>
      </c>
      <c r="I133">
        <v>-6.5</v>
      </c>
      <c r="J133">
        <v>38.5</v>
      </c>
      <c r="L133" s="1" t="s">
        <v>265</v>
      </c>
      <c r="M133">
        <v>26</v>
      </c>
      <c r="N133">
        <v>-4.1449999999999996</v>
      </c>
      <c r="O133">
        <v>20</v>
      </c>
      <c r="P133">
        <v>21</v>
      </c>
      <c r="Q133">
        <v>23</v>
      </c>
      <c r="R133">
        <v>-8.3999999999999986</v>
      </c>
      <c r="S133">
        <v>19</v>
      </c>
      <c r="T133">
        <v>-26.8125</v>
      </c>
      <c r="U133">
        <v>-0.25</v>
      </c>
      <c r="V133">
        <v>13</v>
      </c>
      <c r="W133">
        <v>13.5</v>
      </c>
      <c r="X133">
        <v>7</v>
      </c>
      <c r="Y133">
        <v>0.61875000000000058</v>
      </c>
      <c r="Z133">
        <v>20</v>
      </c>
      <c r="AA133">
        <v>-22.4375</v>
      </c>
      <c r="AB133">
        <v>3.25</v>
      </c>
      <c r="AC133">
        <v>16</v>
      </c>
      <c r="AD133">
        <v>17</v>
      </c>
      <c r="AE133">
        <v>16</v>
      </c>
      <c r="AF133">
        <v>-0.50000000000000089</v>
      </c>
      <c r="AG133">
        <v>18</v>
      </c>
      <c r="AH133">
        <v>10.3125</v>
      </c>
      <c r="AI133">
        <v>1.5625</v>
      </c>
      <c r="AJ133">
        <v>11</v>
      </c>
      <c r="AK133">
        <v>11</v>
      </c>
      <c r="AL133">
        <v>13</v>
      </c>
      <c r="AM133">
        <v>0.14375000000000138</v>
      </c>
      <c r="AN133">
        <v>9</v>
      </c>
      <c r="AO133">
        <v>-8.75</v>
      </c>
      <c r="AP133">
        <v>-0.9375</v>
      </c>
      <c r="AQ133">
        <v>26</v>
      </c>
      <c r="AR133">
        <v>26</v>
      </c>
      <c r="AS133">
        <v>26</v>
      </c>
      <c r="AT133">
        <v>-2.7624999999999997</v>
      </c>
      <c r="AU133">
        <v>26</v>
      </c>
      <c r="AV133">
        <v>-10.9375</v>
      </c>
      <c r="AW133">
        <v>-1.1875</v>
      </c>
      <c r="AX133">
        <v>8</v>
      </c>
      <c r="AY133">
        <v>9</v>
      </c>
      <c r="AZ133">
        <v>9</v>
      </c>
      <c r="BA133">
        <v>-6.3312500000000007</v>
      </c>
      <c r="BB133">
        <v>9</v>
      </c>
      <c r="BC133">
        <v>-23.3125</v>
      </c>
      <c r="BD133">
        <v>6.25E-2</v>
      </c>
      <c r="BE133">
        <v>29</v>
      </c>
      <c r="BF133">
        <v>28.5</v>
      </c>
      <c r="BG133">
        <v>25</v>
      </c>
      <c r="BH133">
        <v>-4.6999999999999993</v>
      </c>
      <c r="BI133">
        <v>32</v>
      </c>
      <c r="BJ133">
        <v>-20.9375</v>
      </c>
      <c r="BK133">
        <v>-2</v>
      </c>
      <c r="BL133">
        <v>30</v>
      </c>
      <c r="BM133">
        <v>29.5</v>
      </c>
      <c r="BN133">
        <v>31</v>
      </c>
      <c r="BO133">
        <v>2.3125</v>
      </c>
      <c r="BP133">
        <v>28</v>
      </c>
      <c r="BQ133">
        <v>0.75</v>
      </c>
      <c r="BR133">
        <v>5.5625</v>
      </c>
      <c r="BS133">
        <v>18</v>
      </c>
      <c r="BT133">
        <v>15.5</v>
      </c>
      <c r="BU133">
        <v>20</v>
      </c>
      <c r="BV133">
        <v>-4.3696668204843511E-2</v>
      </c>
      <c r="BW133">
        <v>11</v>
      </c>
      <c r="BX133">
        <v>1.6936227348068079E-3</v>
      </c>
      <c r="BY133">
        <v>20</v>
      </c>
      <c r="BZ133">
        <v>-12.6</v>
      </c>
      <c r="CA133">
        <v>11</v>
      </c>
      <c r="CB133">
        <v>-0.1875</v>
      </c>
      <c r="CC133">
        <v>-2.1875</v>
      </c>
      <c r="CD133">
        <v>-5.8125</v>
      </c>
      <c r="CE133">
        <v>0.875</v>
      </c>
      <c r="CF133">
        <v>-75.75</v>
      </c>
      <c r="CG133">
        <v>-32.6875</v>
      </c>
      <c r="CH133">
        <v>-50.875</v>
      </c>
      <c r="CI133">
        <v>13.6875</v>
      </c>
      <c r="CJ133">
        <v>-5.875</v>
      </c>
      <c r="CK133">
        <v>11</v>
      </c>
      <c r="CL133">
        <v>3.6362499999999986</v>
      </c>
      <c r="CM133">
        <v>1.4978749999999996</v>
      </c>
      <c r="CN133">
        <v>18.1875</v>
      </c>
      <c r="CO133">
        <v>-3.6362499999999986</v>
      </c>
      <c r="CP133">
        <v>-2.1790624999999997</v>
      </c>
      <c r="CQ133">
        <v>-3.1187499999999995</v>
      </c>
      <c r="CR133">
        <v>-9.375</v>
      </c>
      <c r="CS133">
        <v>-7.7812499999999982</v>
      </c>
      <c r="CT133">
        <v>-49.25</v>
      </c>
      <c r="CU133">
        <v>-2.5625</v>
      </c>
      <c r="CV133">
        <v>3</v>
      </c>
      <c r="CW133">
        <v>-0.49359374999999994</v>
      </c>
      <c r="CX133">
        <v>-1.1498437500000001</v>
      </c>
      <c r="CY133" t="s">
        <v>303</v>
      </c>
      <c r="CZ133">
        <v>13</v>
      </c>
      <c r="DA133">
        <v>2.151250000000001</v>
      </c>
      <c r="DB133">
        <v>13</v>
      </c>
      <c r="DC133">
        <v>12</v>
      </c>
      <c r="DD133">
        <v>10</v>
      </c>
      <c r="DE133">
        <v>-5.4</v>
      </c>
      <c r="DF133">
        <v>14</v>
      </c>
      <c r="DG133">
        <v>-19.0625</v>
      </c>
      <c r="DH133">
        <v>0.1875</v>
      </c>
      <c r="DI133">
        <v>6</v>
      </c>
      <c r="DJ133">
        <v>8.5</v>
      </c>
      <c r="DK133">
        <v>6</v>
      </c>
      <c r="DL133">
        <v>-5.6249999999999689E-2</v>
      </c>
      <c r="DM133">
        <v>11</v>
      </c>
      <c r="DN133">
        <v>2.25</v>
      </c>
      <c r="DO133">
        <v>-0.5625</v>
      </c>
      <c r="DP133">
        <v>18</v>
      </c>
      <c r="DQ133">
        <v>25</v>
      </c>
      <c r="DR133">
        <v>25</v>
      </c>
      <c r="DS133">
        <v>-6.2687500000000007</v>
      </c>
      <c r="DT133">
        <v>25</v>
      </c>
      <c r="DU133">
        <v>-27.8125</v>
      </c>
      <c r="DV133">
        <v>-1.375</v>
      </c>
      <c r="DW133">
        <v>9</v>
      </c>
      <c r="DX133">
        <v>10</v>
      </c>
      <c r="DY133">
        <v>11</v>
      </c>
      <c r="DZ133">
        <v>5.5500000000000007</v>
      </c>
      <c r="EA133">
        <v>9</v>
      </c>
      <c r="EB133">
        <v>22.875</v>
      </c>
      <c r="EC133">
        <v>0</v>
      </c>
      <c r="ED133">
        <v>25</v>
      </c>
      <c r="EE133">
        <v>32</v>
      </c>
      <c r="EF133">
        <v>32</v>
      </c>
      <c r="EG133">
        <v>0.56250000000000044</v>
      </c>
      <c r="EH133">
        <v>32</v>
      </c>
      <c r="EI133">
        <v>-3.8125</v>
      </c>
      <c r="EJ133">
        <v>-0.3125</v>
      </c>
      <c r="EK133">
        <v>31</v>
      </c>
      <c r="EL133">
        <v>31</v>
      </c>
      <c r="EM133">
        <v>31</v>
      </c>
      <c r="EN133">
        <v>7.7562500000000005</v>
      </c>
      <c r="EO133">
        <v>31</v>
      </c>
      <c r="EP133">
        <v>25.6875</v>
      </c>
      <c r="EQ133">
        <v>2.875</v>
      </c>
      <c r="ER133">
        <v>22</v>
      </c>
      <c r="ES133">
        <v>23.5</v>
      </c>
      <c r="ET133">
        <v>26</v>
      </c>
      <c r="EU133">
        <v>3.7</v>
      </c>
      <c r="EV133">
        <v>21</v>
      </c>
      <c r="EW133">
        <v>9.3125</v>
      </c>
      <c r="EX133">
        <v>0.8125</v>
      </c>
      <c r="EY133">
        <v>27</v>
      </c>
      <c r="EZ133">
        <v>25.5</v>
      </c>
      <c r="FA133">
        <v>22</v>
      </c>
      <c r="FB133">
        <v>1.0625</v>
      </c>
      <c r="FC133">
        <v>29</v>
      </c>
      <c r="FD133">
        <v>0.25</v>
      </c>
      <c r="FE133">
        <v>-6.25E-2</v>
      </c>
      <c r="FF133">
        <v>10</v>
      </c>
      <c r="FG133">
        <v>13.25</v>
      </c>
      <c r="FH133">
        <v>12</v>
      </c>
      <c r="FI133">
        <v>-5.9665727717543776E-2</v>
      </c>
      <c r="FJ133">
        <v>11</v>
      </c>
      <c r="FK133">
        <v>-1.5936237675368108E-2</v>
      </c>
      <c r="FL133">
        <v>12</v>
      </c>
      <c r="FM133">
        <v>0.55625000000000036</v>
      </c>
      <c r="FN133">
        <v>18</v>
      </c>
      <c r="FO133">
        <v>-0.8125</v>
      </c>
      <c r="FP133">
        <v>1.6875</v>
      </c>
      <c r="FQ133">
        <v>-0.9375</v>
      </c>
      <c r="FR133">
        <v>0.1875</v>
      </c>
      <c r="FS133">
        <v>0.5625</v>
      </c>
      <c r="FT133">
        <v>2</v>
      </c>
      <c r="FU133">
        <v>-0.4375</v>
      </c>
      <c r="FV133">
        <v>4.9375</v>
      </c>
      <c r="FW133">
        <v>23</v>
      </c>
      <c r="FX133">
        <v>-14.3125</v>
      </c>
      <c r="FY133">
        <v>-1.9375</v>
      </c>
      <c r="FZ133">
        <v>-1.8125</v>
      </c>
      <c r="GA133">
        <v>2</v>
      </c>
      <c r="GB133">
        <v>7.6075000000000008</v>
      </c>
      <c r="GC133">
        <v>3.8671250000000006</v>
      </c>
      <c r="GD133">
        <v>37.3125</v>
      </c>
      <c r="GE133">
        <v>-7.6075000000000008</v>
      </c>
      <c r="GF133">
        <v>0.16265625000000011</v>
      </c>
      <c r="GG133">
        <v>-0.15624999999999956</v>
      </c>
      <c r="GH133">
        <v>-8.75</v>
      </c>
      <c r="GI133">
        <v>-5.4562499999999998</v>
      </c>
      <c r="GJ133">
        <v>-16.8125</v>
      </c>
      <c r="GK133">
        <v>-0.875</v>
      </c>
      <c r="GL133">
        <v>-0.375</v>
      </c>
    </row>
    <row r="134" spans="1:194" x14ac:dyDescent="0.2">
      <c r="A134" s="39">
        <v>43744</v>
      </c>
      <c r="B134" s="22" t="s">
        <v>381</v>
      </c>
      <c r="C134" s="17" t="s">
        <v>272</v>
      </c>
      <c r="D134" s="22" t="s">
        <v>285</v>
      </c>
      <c r="E134">
        <v>31.3</v>
      </c>
      <c r="F134">
        <v>11.6</v>
      </c>
      <c r="G134">
        <v>7.8</v>
      </c>
      <c r="H134">
        <f>3.6+3.4</f>
        <v>7</v>
      </c>
      <c r="I134">
        <v>-3</v>
      </c>
      <c r="J134">
        <v>45</v>
      </c>
      <c r="K134" t="s">
        <v>109</v>
      </c>
      <c r="L134" s="1" t="s">
        <v>272</v>
      </c>
      <c r="M134">
        <v>24</v>
      </c>
      <c r="N134">
        <v>2.4499999999999993</v>
      </c>
      <c r="O134">
        <v>29</v>
      </c>
      <c r="P134">
        <v>28</v>
      </c>
      <c r="Q134">
        <v>26</v>
      </c>
      <c r="R134">
        <v>-4.2937500000000002</v>
      </c>
      <c r="S134">
        <v>30</v>
      </c>
      <c r="T134">
        <v>-16.8125</v>
      </c>
      <c r="U134">
        <v>-0.5625</v>
      </c>
      <c r="V134">
        <v>24</v>
      </c>
      <c r="W134">
        <v>24</v>
      </c>
      <c r="X134">
        <v>24</v>
      </c>
      <c r="Y134">
        <v>-0.33749999999999969</v>
      </c>
      <c r="Z134">
        <v>24</v>
      </c>
      <c r="AA134">
        <v>-10</v>
      </c>
      <c r="AB134">
        <v>1</v>
      </c>
      <c r="AC134">
        <v>22</v>
      </c>
      <c r="AD134">
        <v>20</v>
      </c>
      <c r="AE134">
        <v>17</v>
      </c>
      <c r="AF134">
        <v>1.4387500000000009</v>
      </c>
      <c r="AG134">
        <v>23</v>
      </c>
      <c r="AH134">
        <v>8.6875</v>
      </c>
      <c r="AI134">
        <v>0.9375</v>
      </c>
      <c r="AJ134">
        <v>20</v>
      </c>
      <c r="AK134">
        <v>19</v>
      </c>
      <c r="AL134">
        <v>23</v>
      </c>
      <c r="AM134">
        <v>6.0249999999999986</v>
      </c>
      <c r="AN134">
        <v>15</v>
      </c>
      <c r="AO134">
        <v>29.75</v>
      </c>
      <c r="AP134">
        <v>1.875</v>
      </c>
      <c r="AQ134">
        <v>2</v>
      </c>
      <c r="AR134">
        <v>2</v>
      </c>
      <c r="AS134">
        <v>2</v>
      </c>
      <c r="AT134">
        <v>0.375</v>
      </c>
      <c r="AU134">
        <v>2</v>
      </c>
      <c r="AV134">
        <v>16.5</v>
      </c>
      <c r="AW134">
        <v>1.75</v>
      </c>
      <c r="AX134">
        <v>14</v>
      </c>
      <c r="AY134">
        <v>14.5</v>
      </c>
      <c r="AZ134">
        <v>16</v>
      </c>
      <c r="BA134">
        <v>4.3750000000000178E-2</v>
      </c>
      <c r="BB134">
        <v>13</v>
      </c>
      <c r="BC134">
        <v>1.6875</v>
      </c>
      <c r="BD134">
        <v>1.5</v>
      </c>
      <c r="BE134">
        <v>17</v>
      </c>
      <c r="BF134">
        <v>17.5</v>
      </c>
      <c r="BG134">
        <v>19</v>
      </c>
      <c r="BH134">
        <v>1.7437500000000001</v>
      </c>
      <c r="BI134">
        <v>16</v>
      </c>
      <c r="BJ134">
        <v>12.5625</v>
      </c>
      <c r="BK134">
        <v>1.0625</v>
      </c>
      <c r="BL134">
        <v>12</v>
      </c>
      <c r="BM134">
        <v>11.5</v>
      </c>
      <c r="BN134">
        <v>12</v>
      </c>
      <c r="BO134">
        <v>6.25E-2</v>
      </c>
      <c r="BP134">
        <v>11</v>
      </c>
      <c r="BQ134">
        <v>0.1875</v>
      </c>
      <c r="BR134">
        <v>-5.1875</v>
      </c>
      <c r="BS134">
        <v>10</v>
      </c>
      <c r="BT134">
        <v>12.75</v>
      </c>
      <c r="BU134">
        <v>13</v>
      </c>
      <c r="BV134">
        <v>-6.2125562085284108E-3</v>
      </c>
      <c r="BW134">
        <v>15</v>
      </c>
      <c r="BX134">
        <v>2.9286278912009522E-2</v>
      </c>
      <c r="BY134">
        <v>11</v>
      </c>
      <c r="BZ134">
        <v>11.950000000000001</v>
      </c>
      <c r="CA134">
        <v>12</v>
      </c>
      <c r="CB134">
        <v>2.25</v>
      </c>
      <c r="CC134">
        <v>2.625</v>
      </c>
      <c r="CD134">
        <v>-2</v>
      </c>
      <c r="CE134">
        <v>-2.3125</v>
      </c>
      <c r="CF134">
        <v>13.1875</v>
      </c>
      <c r="CG134">
        <v>55.0625</v>
      </c>
      <c r="CH134">
        <v>-33.4375</v>
      </c>
      <c r="CI134">
        <v>-4.0625</v>
      </c>
      <c r="CJ134">
        <v>-4.375</v>
      </c>
      <c r="CK134">
        <v>2</v>
      </c>
      <c r="CL134">
        <v>7.0812499999999989</v>
      </c>
      <c r="CM134">
        <v>4.7221250000000001</v>
      </c>
      <c r="CN134">
        <v>88.5</v>
      </c>
      <c r="CO134">
        <v>-7.0812499999999989</v>
      </c>
      <c r="CP134">
        <v>0.9329687499999999</v>
      </c>
      <c r="CQ134">
        <v>7.8387499999999992</v>
      </c>
      <c r="CR134">
        <v>54.9375</v>
      </c>
      <c r="CS134">
        <v>-4.6312499999999996</v>
      </c>
      <c r="CT134">
        <v>-26.8125</v>
      </c>
      <c r="CU134">
        <v>5.625</v>
      </c>
      <c r="CV134">
        <v>0.4375</v>
      </c>
      <c r="CW134">
        <v>1.0528124999999999</v>
      </c>
      <c r="CX134">
        <v>0.99921875000000004</v>
      </c>
      <c r="CY134" t="s">
        <v>285</v>
      </c>
      <c r="CZ134">
        <v>1</v>
      </c>
      <c r="DA134">
        <v>3.2575000000000003</v>
      </c>
      <c r="DB134">
        <v>16</v>
      </c>
      <c r="DC134">
        <v>16.5</v>
      </c>
      <c r="DD134">
        <v>12</v>
      </c>
      <c r="DE134">
        <v>-2.4062500000000004</v>
      </c>
      <c r="DF134">
        <v>21</v>
      </c>
      <c r="DG134">
        <v>12.125</v>
      </c>
      <c r="DH134">
        <v>-0.90625</v>
      </c>
      <c r="DI134">
        <v>11</v>
      </c>
      <c r="DJ134">
        <v>14</v>
      </c>
      <c r="DK134">
        <v>23</v>
      </c>
      <c r="DL134">
        <v>-1.20625</v>
      </c>
      <c r="DM134">
        <v>5</v>
      </c>
      <c r="DN134">
        <v>-6.5</v>
      </c>
      <c r="DO134">
        <v>-0.625</v>
      </c>
      <c r="DP134">
        <v>8</v>
      </c>
      <c r="DQ134">
        <v>7</v>
      </c>
      <c r="DR134">
        <v>7</v>
      </c>
      <c r="DS134">
        <v>-2.9125000000000001</v>
      </c>
      <c r="DT134">
        <v>7</v>
      </c>
      <c r="DU134">
        <v>-12.5625</v>
      </c>
      <c r="DV134">
        <v>-1.3125</v>
      </c>
      <c r="DW134">
        <v>1</v>
      </c>
      <c r="DX134">
        <v>1.5</v>
      </c>
      <c r="DY134">
        <v>2</v>
      </c>
      <c r="DZ134">
        <v>-3.3937499999999998</v>
      </c>
      <c r="EA134">
        <v>1</v>
      </c>
      <c r="EB134">
        <v>-24</v>
      </c>
      <c r="EC134">
        <v>-1.5625</v>
      </c>
      <c r="ED134">
        <v>4</v>
      </c>
      <c r="EE134">
        <v>5.5</v>
      </c>
      <c r="EF134">
        <v>4</v>
      </c>
      <c r="EG134">
        <v>3.7312500000000002</v>
      </c>
      <c r="EH134">
        <v>7</v>
      </c>
      <c r="EI134">
        <v>14.8125</v>
      </c>
      <c r="EJ134">
        <v>0.9375</v>
      </c>
      <c r="EK134">
        <v>1</v>
      </c>
      <c r="EL134">
        <v>1.5</v>
      </c>
      <c r="EM134">
        <v>2</v>
      </c>
      <c r="EN134">
        <v>4.8749999999999982</v>
      </c>
      <c r="EO134">
        <v>1</v>
      </c>
      <c r="EP134">
        <v>20</v>
      </c>
      <c r="EQ134">
        <v>2.1875</v>
      </c>
      <c r="ER134">
        <v>5</v>
      </c>
      <c r="ES134">
        <v>6</v>
      </c>
      <c r="ET134">
        <v>4</v>
      </c>
      <c r="EU134">
        <v>10.156249999999998</v>
      </c>
      <c r="EV134">
        <v>8</v>
      </c>
      <c r="EW134">
        <v>32.875</v>
      </c>
      <c r="EX134">
        <v>1.0625</v>
      </c>
      <c r="EY134">
        <v>19</v>
      </c>
      <c r="EZ134">
        <v>20.5</v>
      </c>
      <c r="FA134">
        <v>19</v>
      </c>
      <c r="FB134">
        <v>1.625</v>
      </c>
      <c r="FC134">
        <v>22</v>
      </c>
      <c r="FD134">
        <v>0.1875</v>
      </c>
      <c r="FE134">
        <v>2.5</v>
      </c>
      <c r="FF134">
        <v>26</v>
      </c>
      <c r="FG134">
        <v>22</v>
      </c>
      <c r="FH134">
        <v>5</v>
      </c>
      <c r="FI134">
        <v>5.8014033271198306E-2</v>
      </c>
      <c r="FJ134">
        <v>31</v>
      </c>
      <c r="FK134">
        <v>7.8038762471132062E-3</v>
      </c>
      <c r="FL134">
        <v>20</v>
      </c>
      <c r="FM134">
        <v>6.0812500000000007</v>
      </c>
      <c r="FN134">
        <v>32</v>
      </c>
      <c r="FO134">
        <v>-3</v>
      </c>
      <c r="FP134">
        <v>-1.75</v>
      </c>
      <c r="FQ134">
        <v>-0.375</v>
      </c>
      <c r="FR134">
        <v>1.0625</v>
      </c>
      <c r="FS134">
        <v>0.125</v>
      </c>
      <c r="FT134">
        <v>1.125</v>
      </c>
      <c r="FU134">
        <v>0.75</v>
      </c>
      <c r="FV134">
        <v>24.6875</v>
      </c>
      <c r="FW134">
        <v>12.0625</v>
      </c>
      <c r="FX134">
        <v>-3.0625</v>
      </c>
      <c r="FY134">
        <v>2.8125</v>
      </c>
      <c r="FZ134">
        <v>12.875</v>
      </c>
      <c r="GA134">
        <v>3</v>
      </c>
      <c r="GB134">
        <v>6.87</v>
      </c>
      <c r="GC134">
        <v>3.9740000000000002</v>
      </c>
      <c r="GD134">
        <v>15.125</v>
      </c>
      <c r="GE134">
        <v>-6.870000000000001</v>
      </c>
      <c r="GF134">
        <v>1.1064062499999998</v>
      </c>
      <c r="GG134">
        <v>-2.5750000000000002</v>
      </c>
      <c r="GH134">
        <v>-21.75</v>
      </c>
      <c r="GI134">
        <v>-3.6125000000000007</v>
      </c>
      <c r="GJ134">
        <v>5.625</v>
      </c>
      <c r="GK134">
        <v>-0.875</v>
      </c>
      <c r="GL134">
        <v>-1.53125</v>
      </c>
    </row>
    <row r="135" spans="1:194" x14ac:dyDescent="0.2">
      <c r="A135" s="39">
        <v>43744</v>
      </c>
      <c r="B135" s="22" t="s">
        <v>381</v>
      </c>
      <c r="C135" s="41" t="s">
        <v>281</v>
      </c>
      <c r="D135" s="22" t="s">
        <v>256</v>
      </c>
      <c r="E135">
        <v>6</v>
      </c>
      <c r="F135">
        <v>11.5</v>
      </c>
      <c r="G135">
        <v>0</v>
      </c>
      <c r="H135">
        <v>1</v>
      </c>
      <c r="I135">
        <v>5</v>
      </c>
      <c r="J135">
        <v>47.5</v>
      </c>
      <c r="L135" s="1" t="s">
        <v>281</v>
      </c>
      <c r="M135">
        <v>10</v>
      </c>
      <c r="N135">
        <v>-2.3975000000000004</v>
      </c>
      <c r="O135">
        <v>5</v>
      </c>
      <c r="P135">
        <v>7</v>
      </c>
      <c r="Q135">
        <v>8</v>
      </c>
      <c r="R135">
        <v>5.7687500000000007</v>
      </c>
      <c r="S135">
        <v>6</v>
      </c>
      <c r="T135">
        <v>36.4375</v>
      </c>
      <c r="U135">
        <v>0.5</v>
      </c>
      <c r="V135">
        <v>4</v>
      </c>
      <c r="W135">
        <v>6</v>
      </c>
      <c r="X135">
        <v>6</v>
      </c>
      <c r="Y135">
        <v>0.39375000000000004</v>
      </c>
      <c r="Z135">
        <v>6</v>
      </c>
      <c r="AA135">
        <v>-4.6875</v>
      </c>
      <c r="AB135">
        <v>-6.25E-2</v>
      </c>
      <c r="AC135">
        <v>25</v>
      </c>
      <c r="AD135">
        <v>24.5</v>
      </c>
      <c r="AE135">
        <v>25</v>
      </c>
      <c r="AF135">
        <v>-0.15624999999999956</v>
      </c>
      <c r="AG135">
        <v>24</v>
      </c>
      <c r="AH135">
        <v>6.0625</v>
      </c>
      <c r="AI135">
        <v>0.4375</v>
      </c>
      <c r="AJ135">
        <v>1</v>
      </c>
      <c r="AK135">
        <v>2.5</v>
      </c>
      <c r="AL135">
        <v>1</v>
      </c>
      <c r="AM135">
        <v>0.21874999999999933</v>
      </c>
      <c r="AN135">
        <v>4</v>
      </c>
      <c r="AO135">
        <v>14.75</v>
      </c>
      <c r="AP135">
        <v>1.5</v>
      </c>
      <c r="AQ135">
        <v>18</v>
      </c>
      <c r="AR135">
        <v>17.5</v>
      </c>
      <c r="AS135">
        <v>19</v>
      </c>
      <c r="AT135">
        <v>-1.5187500000000003</v>
      </c>
      <c r="AU135">
        <v>16</v>
      </c>
      <c r="AV135">
        <v>1.25</v>
      </c>
      <c r="AW135">
        <v>-1.9375</v>
      </c>
      <c r="AX135">
        <v>15</v>
      </c>
      <c r="AY135">
        <v>15.5</v>
      </c>
      <c r="AZ135">
        <v>15</v>
      </c>
      <c r="BA135">
        <v>1.0562499999999999</v>
      </c>
      <c r="BB135">
        <v>16</v>
      </c>
      <c r="BC135">
        <v>13.0625</v>
      </c>
      <c r="BD135">
        <v>-0.9375</v>
      </c>
      <c r="BE135">
        <v>23</v>
      </c>
      <c r="BF135">
        <v>23</v>
      </c>
      <c r="BG135">
        <v>21</v>
      </c>
      <c r="BH135">
        <v>-0.4000000000000008</v>
      </c>
      <c r="BI135">
        <v>25</v>
      </c>
      <c r="BJ135">
        <v>-9.625</v>
      </c>
      <c r="BK135">
        <v>-2.125</v>
      </c>
      <c r="BL135">
        <v>4</v>
      </c>
      <c r="BM135">
        <v>7</v>
      </c>
      <c r="BN135">
        <v>7</v>
      </c>
      <c r="BO135">
        <v>-0.1875</v>
      </c>
      <c r="BP135">
        <v>7</v>
      </c>
      <c r="BQ135">
        <v>0</v>
      </c>
      <c r="BR135">
        <v>-0.3125</v>
      </c>
      <c r="BS135">
        <v>30</v>
      </c>
      <c r="BT135">
        <v>29</v>
      </c>
      <c r="BU135">
        <v>31</v>
      </c>
      <c r="BV135">
        <v>9.5083369728665573E-3</v>
      </c>
      <c r="BW135">
        <v>30</v>
      </c>
      <c r="BX135">
        <v>2.4155765469367922E-2</v>
      </c>
      <c r="BY135">
        <v>24</v>
      </c>
      <c r="BZ135">
        <v>-10.837499999999999</v>
      </c>
      <c r="CA135">
        <v>31</v>
      </c>
      <c r="CB135">
        <v>0.625</v>
      </c>
      <c r="CC135">
        <v>-0.375</v>
      </c>
      <c r="CD135">
        <v>0.625</v>
      </c>
      <c r="CE135">
        <v>-1.3125</v>
      </c>
      <c r="CF135">
        <v>32.9375</v>
      </c>
      <c r="CG135">
        <v>11.9375</v>
      </c>
      <c r="CH135">
        <v>28.4375</v>
      </c>
      <c r="CI135">
        <v>0.3125</v>
      </c>
      <c r="CJ135">
        <v>-7.75</v>
      </c>
      <c r="CK135">
        <v>28</v>
      </c>
      <c r="CL135">
        <v>-8.5600000000000023</v>
      </c>
      <c r="CM135">
        <v>-3.9320000000000004</v>
      </c>
      <c r="CN135">
        <v>-16.5</v>
      </c>
      <c r="CO135">
        <v>8.56</v>
      </c>
      <c r="CP135">
        <v>0.21515624999999994</v>
      </c>
      <c r="CQ135">
        <v>-1.4562500000000005</v>
      </c>
      <c r="CR135">
        <v>22.0625</v>
      </c>
      <c r="CS135">
        <v>6.1625000000000005</v>
      </c>
      <c r="CT135">
        <v>31.75</v>
      </c>
      <c r="CU135">
        <v>-2.125</v>
      </c>
      <c r="CV135">
        <v>0.4375</v>
      </c>
      <c r="CW135">
        <v>-1.7214062500000002</v>
      </c>
      <c r="CX135">
        <v>-0.1839062500000001</v>
      </c>
      <c r="CY135" t="s">
        <v>256</v>
      </c>
      <c r="CZ135">
        <v>22</v>
      </c>
      <c r="DA135">
        <v>-5</v>
      </c>
      <c r="DB135">
        <v>14</v>
      </c>
      <c r="DC135">
        <v>16</v>
      </c>
      <c r="DD135">
        <v>22</v>
      </c>
      <c r="DE135">
        <v>-6.2</v>
      </c>
      <c r="DF135">
        <v>10</v>
      </c>
      <c r="DG135">
        <v>-6.625</v>
      </c>
      <c r="DH135">
        <v>-0.6875</v>
      </c>
      <c r="DI135">
        <v>32</v>
      </c>
      <c r="DJ135">
        <v>32</v>
      </c>
      <c r="DK135">
        <v>32</v>
      </c>
      <c r="DL135">
        <v>-3.6587500000000004</v>
      </c>
      <c r="DM135">
        <v>32</v>
      </c>
      <c r="DN135">
        <v>-4.125</v>
      </c>
      <c r="DO135">
        <v>-0.5625</v>
      </c>
      <c r="DP135">
        <v>28</v>
      </c>
      <c r="DQ135">
        <v>26.5</v>
      </c>
      <c r="DR135">
        <v>23</v>
      </c>
      <c r="DS135">
        <v>-2.3437499999999996</v>
      </c>
      <c r="DT135">
        <v>30</v>
      </c>
      <c r="DU135">
        <v>-11.5</v>
      </c>
      <c r="DV135">
        <v>-1.5625</v>
      </c>
      <c r="DW135">
        <v>31</v>
      </c>
      <c r="DX135">
        <v>30.5</v>
      </c>
      <c r="DY135">
        <v>32</v>
      </c>
      <c r="DZ135">
        <v>-0.21875</v>
      </c>
      <c r="EA135">
        <v>29</v>
      </c>
      <c r="EB135">
        <v>-2.0625</v>
      </c>
      <c r="EC135">
        <v>-1.1875</v>
      </c>
      <c r="ED135">
        <v>7</v>
      </c>
      <c r="EE135">
        <v>14</v>
      </c>
      <c r="EF135">
        <v>12</v>
      </c>
      <c r="EG135">
        <v>-2.1124999999999998</v>
      </c>
      <c r="EH135">
        <v>16</v>
      </c>
      <c r="EI135">
        <v>-14.9375</v>
      </c>
      <c r="EJ135">
        <v>-0.4375</v>
      </c>
      <c r="EK135">
        <v>27</v>
      </c>
      <c r="EL135">
        <v>27</v>
      </c>
      <c r="EM135">
        <v>26</v>
      </c>
      <c r="EN135">
        <v>-5.1500000000000012</v>
      </c>
      <c r="EO135">
        <v>28</v>
      </c>
      <c r="EP135">
        <v>-18.375</v>
      </c>
      <c r="EQ135">
        <v>-3.625</v>
      </c>
      <c r="ER135">
        <v>22</v>
      </c>
      <c r="ES135">
        <v>23.5</v>
      </c>
      <c r="ET135">
        <v>19</v>
      </c>
      <c r="EU135">
        <v>-3.9125000000000005</v>
      </c>
      <c r="EV135">
        <v>28</v>
      </c>
      <c r="EW135">
        <v>-18.25</v>
      </c>
      <c r="EX135">
        <v>-6.25E-2</v>
      </c>
      <c r="EY135">
        <v>18</v>
      </c>
      <c r="EZ135">
        <v>20</v>
      </c>
      <c r="FA135">
        <v>22</v>
      </c>
      <c r="FB135">
        <v>-2.625</v>
      </c>
      <c r="FC135">
        <v>18</v>
      </c>
      <c r="FD135">
        <v>-0.5</v>
      </c>
      <c r="FE135">
        <v>-1.75</v>
      </c>
      <c r="FF135">
        <v>13</v>
      </c>
      <c r="FG135">
        <v>14.75</v>
      </c>
      <c r="FH135">
        <v>23</v>
      </c>
      <c r="FI135">
        <v>5.5721404286772871E-2</v>
      </c>
      <c r="FJ135">
        <v>8</v>
      </c>
      <c r="FK135">
        <v>2.3556784810244046E-2</v>
      </c>
      <c r="FL135">
        <v>24</v>
      </c>
      <c r="FM135">
        <v>-20.75</v>
      </c>
      <c r="FN135">
        <v>4</v>
      </c>
      <c r="FO135">
        <v>5.375</v>
      </c>
      <c r="FP135">
        <v>-4.25</v>
      </c>
      <c r="FQ135">
        <v>-2.6875</v>
      </c>
      <c r="FR135">
        <v>0.6875</v>
      </c>
      <c r="FS135">
        <v>-5.5625</v>
      </c>
      <c r="FT135">
        <v>-8.1875</v>
      </c>
      <c r="FU135">
        <v>0.875</v>
      </c>
      <c r="FV135">
        <v>-79.6875</v>
      </c>
      <c r="FW135">
        <v>-75.8125</v>
      </c>
      <c r="FX135">
        <v>-12.5</v>
      </c>
      <c r="FY135">
        <v>4.9375</v>
      </c>
      <c r="FZ135">
        <v>3.6875</v>
      </c>
      <c r="GA135">
        <v>7</v>
      </c>
      <c r="GB135">
        <v>4.8587500000000006</v>
      </c>
      <c r="GC135">
        <v>2.211875</v>
      </c>
      <c r="GD135">
        <v>-63.3125</v>
      </c>
      <c r="GE135">
        <v>-4.8587500000000006</v>
      </c>
      <c r="GF135">
        <v>-3.2589062500000003</v>
      </c>
      <c r="GG135">
        <v>-4.6749999999999989</v>
      </c>
      <c r="GH135">
        <v>-28.5</v>
      </c>
      <c r="GI135">
        <v>-9.8587500000000006</v>
      </c>
      <c r="GJ135">
        <v>-10.75</v>
      </c>
      <c r="GK135">
        <v>-3.25</v>
      </c>
      <c r="GL135">
        <v>-1.25</v>
      </c>
    </row>
    <row r="136" spans="1:194" x14ac:dyDescent="0.2">
      <c r="A136" s="39">
        <v>43744</v>
      </c>
      <c r="B136" s="22" t="s">
        <v>381</v>
      </c>
      <c r="C136" s="41" t="s">
        <v>291</v>
      </c>
      <c r="D136" s="22" t="s">
        <v>300</v>
      </c>
      <c r="E136">
        <v>42.6</v>
      </c>
      <c r="F136">
        <v>27.3</v>
      </c>
      <c r="G136" s="14">
        <v>8.3000000000000007</v>
      </c>
      <c r="H136">
        <v>5.9</v>
      </c>
      <c r="I136">
        <v>-3.5</v>
      </c>
      <c r="J136">
        <v>46.5</v>
      </c>
      <c r="L136" s="1" t="s">
        <v>291</v>
      </c>
      <c r="M136">
        <v>3</v>
      </c>
      <c r="N136">
        <v>-0.92375000000000007</v>
      </c>
      <c r="O136">
        <v>5</v>
      </c>
      <c r="P136">
        <v>7</v>
      </c>
      <c r="Q136">
        <v>6</v>
      </c>
      <c r="R136">
        <v>3.0125000000000006</v>
      </c>
      <c r="S136">
        <v>8</v>
      </c>
      <c r="T136">
        <v>12.5625</v>
      </c>
      <c r="U136">
        <v>1.125</v>
      </c>
      <c r="V136">
        <v>27</v>
      </c>
      <c r="W136">
        <v>27.5</v>
      </c>
      <c r="X136">
        <v>28</v>
      </c>
      <c r="Y136">
        <v>-1.0374999999999996</v>
      </c>
      <c r="Z136">
        <v>27</v>
      </c>
      <c r="AA136">
        <v>4</v>
      </c>
      <c r="AB136">
        <v>-1.3125</v>
      </c>
      <c r="AC136">
        <v>10</v>
      </c>
      <c r="AD136">
        <v>12</v>
      </c>
      <c r="AE136">
        <v>12</v>
      </c>
      <c r="AF136">
        <v>-2.3437499999999996</v>
      </c>
      <c r="AG136">
        <v>12</v>
      </c>
      <c r="AH136">
        <v>-15</v>
      </c>
      <c r="AI136">
        <v>-1.125</v>
      </c>
      <c r="AJ136">
        <v>10</v>
      </c>
      <c r="AK136">
        <v>9</v>
      </c>
      <c r="AL136">
        <v>11</v>
      </c>
      <c r="AM136">
        <v>1.8000000000000007</v>
      </c>
      <c r="AN136">
        <v>7</v>
      </c>
      <c r="AO136">
        <v>19.0625</v>
      </c>
      <c r="AP136">
        <v>1</v>
      </c>
      <c r="AQ136">
        <v>1</v>
      </c>
      <c r="AR136">
        <v>1</v>
      </c>
      <c r="AS136">
        <v>1</v>
      </c>
      <c r="AT136">
        <v>1.9187499999999997</v>
      </c>
      <c r="AU136">
        <v>1</v>
      </c>
      <c r="AV136">
        <v>11.6875</v>
      </c>
      <c r="AW136">
        <v>1.625</v>
      </c>
      <c r="AX136">
        <v>2</v>
      </c>
      <c r="AY136">
        <v>3.5</v>
      </c>
      <c r="AZ136">
        <v>3</v>
      </c>
      <c r="BA136">
        <v>-4.0125000000000011</v>
      </c>
      <c r="BB136">
        <v>4</v>
      </c>
      <c r="BC136">
        <v>-8.875</v>
      </c>
      <c r="BD136">
        <v>0.5</v>
      </c>
      <c r="BE136">
        <v>8</v>
      </c>
      <c r="BF136">
        <v>7</v>
      </c>
      <c r="BG136">
        <v>7</v>
      </c>
      <c r="BH136">
        <v>3.1562499999999987</v>
      </c>
      <c r="BI136">
        <v>7</v>
      </c>
      <c r="BJ136">
        <v>5.3125</v>
      </c>
      <c r="BK136">
        <v>-0.4375</v>
      </c>
      <c r="BL136">
        <v>11</v>
      </c>
      <c r="BM136">
        <v>9.5</v>
      </c>
      <c r="BN136">
        <v>14</v>
      </c>
      <c r="BO136">
        <v>-1.4375</v>
      </c>
      <c r="BP136">
        <v>5</v>
      </c>
      <c r="BQ136">
        <v>-0.375</v>
      </c>
      <c r="BR136">
        <v>-3.25</v>
      </c>
      <c r="BS136">
        <v>26</v>
      </c>
      <c r="BT136">
        <v>22.25</v>
      </c>
      <c r="BU136">
        <v>18</v>
      </c>
      <c r="BV136">
        <v>-7.1058141249733878E-2</v>
      </c>
      <c r="BW136">
        <v>32</v>
      </c>
      <c r="BX136">
        <v>-3.133226881716418E-2</v>
      </c>
      <c r="BY136">
        <v>16</v>
      </c>
      <c r="BZ136">
        <v>0.66250000000000142</v>
      </c>
      <c r="CA136">
        <v>23</v>
      </c>
      <c r="CB136">
        <v>-2.5625</v>
      </c>
      <c r="CC136">
        <v>-2.5</v>
      </c>
      <c r="CD136">
        <v>-0.875</v>
      </c>
      <c r="CE136">
        <v>-1.75</v>
      </c>
      <c r="CF136">
        <v>14.125</v>
      </c>
      <c r="CG136">
        <v>1.3125</v>
      </c>
      <c r="CH136">
        <v>9.6875</v>
      </c>
      <c r="CI136">
        <v>-2.75</v>
      </c>
      <c r="CJ136">
        <v>5.875</v>
      </c>
      <c r="CK136">
        <v>24</v>
      </c>
      <c r="CL136">
        <v>-2.898750000000001</v>
      </c>
      <c r="CM136">
        <v>-0.26600000000000057</v>
      </c>
      <c r="CN136">
        <v>-8.375</v>
      </c>
      <c r="CO136">
        <v>2.898750000000001</v>
      </c>
      <c r="CP136">
        <v>0.51812500000000006</v>
      </c>
      <c r="CQ136">
        <v>1.3750000000000009</v>
      </c>
      <c r="CR136">
        <v>15.75</v>
      </c>
      <c r="CS136">
        <v>1.975000000000001</v>
      </c>
      <c r="CT136">
        <v>16.5625</v>
      </c>
      <c r="CU136">
        <v>1.0625</v>
      </c>
      <c r="CV136">
        <v>-0.1875</v>
      </c>
      <c r="CW136">
        <v>-0.69109374999999984</v>
      </c>
      <c r="CX136">
        <v>0.10984374999999991</v>
      </c>
      <c r="CY136" t="s">
        <v>300</v>
      </c>
      <c r="CZ136">
        <v>21</v>
      </c>
      <c r="DA136">
        <v>-3.6237499999999994</v>
      </c>
      <c r="DB136">
        <v>5</v>
      </c>
      <c r="DC136">
        <v>6</v>
      </c>
      <c r="DD136">
        <v>8</v>
      </c>
      <c r="DE136">
        <v>8.2625000000000011</v>
      </c>
      <c r="DF136">
        <v>4</v>
      </c>
      <c r="DG136">
        <v>21.5</v>
      </c>
      <c r="DH136">
        <v>-0.6875</v>
      </c>
      <c r="DI136">
        <v>9</v>
      </c>
      <c r="DJ136">
        <v>11.5</v>
      </c>
      <c r="DK136">
        <v>19</v>
      </c>
      <c r="DL136">
        <v>0.57500000000000018</v>
      </c>
      <c r="DM136">
        <v>4</v>
      </c>
      <c r="DN136">
        <v>8.1875</v>
      </c>
      <c r="DO136">
        <v>0.5625</v>
      </c>
      <c r="DP136">
        <v>23</v>
      </c>
      <c r="DQ136">
        <v>27.5</v>
      </c>
      <c r="DR136">
        <v>29</v>
      </c>
      <c r="DS136">
        <v>-4.78125</v>
      </c>
      <c r="DT136">
        <v>26</v>
      </c>
      <c r="DU136">
        <v>-11.3125</v>
      </c>
      <c r="DV136">
        <v>-0.25</v>
      </c>
      <c r="DW136">
        <v>13</v>
      </c>
      <c r="DX136">
        <v>13.5</v>
      </c>
      <c r="DY136">
        <v>17</v>
      </c>
      <c r="DZ136">
        <v>-9.1062499999999993</v>
      </c>
      <c r="EA136">
        <v>10</v>
      </c>
      <c r="EB136">
        <v>-37.9375</v>
      </c>
      <c r="EC136">
        <v>-2</v>
      </c>
      <c r="ED136">
        <v>12</v>
      </c>
      <c r="EE136">
        <v>17</v>
      </c>
      <c r="EF136">
        <v>20</v>
      </c>
      <c r="EG136">
        <v>-0.57499999999999996</v>
      </c>
      <c r="EH136">
        <v>14</v>
      </c>
      <c r="EI136">
        <v>3</v>
      </c>
      <c r="EJ136">
        <v>-1.5</v>
      </c>
      <c r="EK136">
        <v>16</v>
      </c>
      <c r="EL136">
        <v>16</v>
      </c>
      <c r="EM136">
        <v>17</v>
      </c>
      <c r="EN136">
        <v>-5.3812500000000005</v>
      </c>
      <c r="EO136">
        <v>15</v>
      </c>
      <c r="EP136">
        <v>-16.9375</v>
      </c>
      <c r="EQ136">
        <v>-2.875</v>
      </c>
      <c r="ER136">
        <v>1</v>
      </c>
      <c r="ES136">
        <v>1</v>
      </c>
      <c r="ET136">
        <v>1</v>
      </c>
      <c r="EU136">
        <v>0.12500000000000022</v>
      </c>
      <c r="EV136">
        <v>1</v>
      </c>
      <c r="EW136">
        <v>-4.6875</v>
      </c>
      <c r="EX136">
        <v>-0.3125</v>
      </c>
      <c r="EY136">
        <v>6</v>
      </c>
      <c r="EZ136">
        <v>5</v>
      </c>
      <c r="FA136">
        <v>2</v>
      </c>
      <c r="FB136">
        <v>-2.8125</v>
      </c>
      <c r="FC136">
        <v>8</v>
      </c>
      <c r="FD136">
        <v>-0.5625</v>
      </c>
      <c r="FE136">
        <v>-1.5</v>
      </c>
      <c r="FF136">
        <v>29</v>
      </c>
      <c r="FG136">
        <v>24</v>
      </c>
      <c r="FH136">
        <v>17</v>
      </c>
      <c r="FI136">
        <v>9.4257367118214808E-2</v>
      </c>
      <c r="FJ136">
        <v>23</v>
      </c>
      <c r="FK136">
        <v>1.479146605227087E-2</v>
      </c>
      <c r="FL136">
        <v>27</v>
      </c>
      <c r="FM136">
        <v>-8.0374999999999979</v>
      </c>
      <c r="FN136">
        <v>29</v>
      </c>
      <c r="FO136">
        <v>3.5</v>
      </c>
      <c r="FP136">
        <v>-6.25E-2</v>
      </c>
      <c r="FQ136">
        <v>1.375</v>
      </c>
      <c r="FR136">
        <v>0.4375</v>
      </c>
      <c r="FS136">
        <v>1.75</v>
      </c>
      <c r="FT136">
        <v>-2.9375</v>
      </c>
      <c r="FU136">
        <v>-0.4375</v>
      </c>
      <c r="FV136">
        <v>10</v>
      </c>
      <c r="FW136">
        <v>-16.0625</v>
      </c>
      <c r="FX136">
        <v>27.8125</v>
      </c>
      <c r="FY136">
        <v>-5.8125</v>
      </c>
      <c r="FZ136">
        <v>4.0625</v>
      </c>
      <c r="GA136">
        <v>32</v>
      </c>
      <c r="GB136">
        <v>-12.46125</v>
      </c>
      <c r="GC136">
        <v>-8.0109999999999992</v>
      </c>
      <c r="GD136">
        <v>-43.875</v>
      </c>
      <c r="GE136">
        <v>12.461250000000001</v>
      </c>
      <c r="GF136">
        <v>-1.4920312499999997</v>
      </c>
      <c r="GG136">
        <v>-14.462499999999999</v>
      </c>
      <c r="GH136">
        <v>-46.25</v>
      </c>
      <c r="GI136">
        <v>8.8375000000000021</v>
      </c>
      <c r="GJ136">
        <v>29.6875</v>
      </c>
      <c r="GK136">
        <v>-4.0625</v>
      </c>
      <c r="GL136">
        <v>-0.125</v>
      </c>
    </row>
    <row r="137" spans="1:194" x14ac:dyDescent="0.2">
      <c r="A137" s="39">
        <v>43744</v>
      </c>
      <c r="B137" t="s">
        <v>381</v>
      </c>
      <c r="C137" s="41" t="s">
        <v>278</v>
      </c>
      <c r="D137" t="s">
        <v>287</v>
      </c>
      <c r="E137">
        <v>19.2</v>
      </c>
      <c r="F137">
        <v>1.9</v>
      </c>
      <c r="G137">
        <v>0.9</v>
      </c>
      <c r="H137">
        <v>7.1999999999999993</v>
      </c>
      <c r="I137">
        <v>4</v>
      </c>
      <c r="J137">
        <v>46</v>
      </c>
      <c r="K137" t="s">
        <v>110</v>
      </c>
      <c r="L137" s="1" t="s">
        <v>278</v>
      </c>
      <c r="M137">
        <v>30</v>
      </c>
      <c r="N137">
        <v>-1.3399999999999994</v>
      </c>
      <c r="O137">
        <v>17</v>
      </c>
      <c r="P137">
        <v>17</v>
      </c>
      <c r="Q137">
        <v>24</v>
      </c>
      <c r="R137">
        <v>-0.29374999999999973</v>
      </c>
      <c r="S137">
        <v>10</v>
      </c>
      <c r="T137">
        <v>-3</v>
      </c>
      <c r="U137">
        <v>1.1875</v>
      </c>
      <c r="V137">
        <v>18</v>
      </c>
      <c r="W137">
        <v>17.5</v>
      </c>
      <c r="X137">
        <v>22</v>
      </c>
      <c r="Y137">
        <v>2.5375000000000001</v>
      </c>
      <c r="Z137">
        <v>13</v>
      </c>
      <c r="AA137">
        <v>14</v>
      </c>
      <c r="AB137">
        <v>1.6875</v>
      </c>
      <c r="AC137">
        <v>11</v>
      </c>
      <c r="AD137">
        <v>12.5</v>
      </c>
      <c r="AE137">
        <v>11</v>
      </c>
      <c r="AF137">
        <v>5.5</v>
      </c>
      <c r="AG137">
        <v>14</v>
      </c>
      <c r="AH137">
        <v>26.375</v>
      </c>
      <c r="AI137">
        <v>1.875</v>
      </c>
      <c r="AJ137">
        <v>31</v>
      </c>
      <c r="AK137">
        <v>30.5</v>
      </c>
      <c r="AL137">
        <v>31</v>
      </c>
      <c r="AM137">
        <v>3.6624999999999988</v>
      </c>
      <c r="AN137">
        <v>30</v>
      </c>
      <c r="AO137">
        <v>12.125</v>
      </c>
      <c r="AP137">
        <v>2</v>
      </c>
      <c r="AQ137">
        <v>32</v>
      </c>
      <c r="AR137">
        <v>32</v>
      </c>
      <c r="AS137">
        <v>32</v>
      </c>
      <c r="AT137">
        <v>-0.72500000000000009</v>
      </c>
      <c r="AU137">
        <v>32</v>
      </c>
      <c r="AV137">
        <v>-2.4375</v>
      </c>
      <c r="AW137">
        <v>0.3125</v>
      </c>
      <c r="AX137">
        <v>31</v>
      </c>
      <c r="AY137">
        <v>31.5</v>
      </c>
      <c r="AZ137">
        <v>31</v>
      </c>
      <c r="BA137">
        <v>-5.2875000000000005</v>
      </c>
      <c r="BB137">
        <v>32</v>
      </c>
      <c r="BC137">
        <v>-14.75</v>
      </c>
      <c r="BD137">
        <v>-1.0625</v>
      </c>
      <c r="BE137">
        <v>9</v>
      </c>
      <c r="BF137">
        <v>8.5</v>
      </c>
      <c r="BG137">
        <v>9</v>
      </c>
      <c r="BH137">
        <v>-2.4687500000000004</v>
      </c>
      <c r="BI137">
        <v>8</v>
      </c>
      <c r="BJ137">
        <v>-10</v>
      </c>
      <c r="BK137">
        <v>-1.25</v>
      </c>
      <c r="BL137">
        <v>10</v>
      </c>
      <c r="BM137">
        <v>9</v>
      </c>
      <c r="BN137">
        <v>6</v>
      </c>
      <c r="BO137">
        <v>1</v>
      </c>
      <c r="BP137">
        <v>12</v>
      </c>
      <c r="BQ137">
        <v>0.5</v>
      </c>
      <c r="BR137">
        <v>-3.75</v>
      </c>
      <c r="BS137">
        <v>22</v>
      </c>
      <c r="BT137">
        <v>20.25</v>
      </c>
      <c r="BU137">
        <v>15</v>
      </c>
      <c r="BV137">
        <v>-6.9159849038503141E-3</v>
      </c>
      <c r="BW137">
        <v>19</v>
      </c>
      <c r="BX137">
        <v>3.5601100203233108E-3</v>
      </c>
      <c r="BY137">
        <v>28</v>
      </c>
      <c r="BZ137">
        <v>8.3312500000000025</v>
      </c>
      <c r="CA137">
        <v>19</v>
      </c>
      <c r="CB137">
        <v>-1.9375</v>
      </c>
      <c r="CC137">
        <v>1.125</v>
      </c>
      <c r="CD137">
        <v>-2.0625</v>
      </c>
      <c r="CE137">
        <v>0</v>
      </c>
      <c r="CF137">
        <v>5.9375</v>
      </c>
      <c r="CG137">
        <v>7.4375</v>
      </c>
      <c r="CH137">
        <v>6.5625</v>
      </c>
      <c r="CI137">
        <v>-1.1875</v>
      </c>
      <c r="CJ137">
        <v>-6.875</v>
      </c>
      <c r="CK137">
        <v>25</v>
      </c>
      <c r="CL137">
        <v>-3.5837499999999998</v>
      </c>
      <c r="CM137">
        <v>-0.19612500000000055</v>
      </c>
      <c r="CN137">
        <v>0.875</v>
      </c>
      <c r="CO137">
        <v>3.5837499999999998</v>
      </c>
      <c r="CP137">
        <v>0.98406250000000006</v>
      </c>
      <c r="CQ137">
        <v>8.4374999999999982</v>
      </c>
      <c r="CR137">
        <v>36.0625</v>
      </c>
      <c r="CS137">
        <v>2.2437500000000004</v>
      </c>
      <c r="CT137">
        <v>11</v>
      </c>
      <c r="CU137">
        <v>2.9375</v>
      </c>
      <c r="CV137">
        <v>2.875</v>
      </c>
      <c r="CW137">
        <v>0.227109375</v>
      </c>
      <c r="CX137">
        <v>-3.1093750000000031E-2</v>
      </c>
      <c r="CY137" t="s">
        <v>287</v>
      </c>
      <c r="CZ137">
        <v>26</v>
      </c>
      <c r="DA137">
        <v>0.26375000000000037</v>
      </c>
      <c r="DB137">
        <v>7</v>
      </c>
      <c r="DC137">
        <v>10</v>
      </c>
      <c r="DD137">
        <v>11</v>
      </c>
      <c r="DE137">
        <v>4.3375000000000004</v>
      </c>
      <c r="DF137">
        <v>9</v>
      </c>
      <c r="DG137">
        <v>12.1875</v>
      </c>
      <c r="DH137">
        <v>-0.59375</v>
      </c>
      <c r="DI137">
        <v>21</v>
      </c>
      <c r="DJ137">
        <v>18.5</v>
      </c>
      <c r="DK137">
        <v>9</v>
      </c>
      <c r="DL137">
        <v>-1.1437499999999996</v>
      </c>
      <c r="DM137">
        <v>28</v>
      </c>
      <c r="DN137">
        <v>-7.25</v>
      </c>
      <c r="DO137">
        <v>-0.4375</v>
      </c>
      <c r="DP137">
        <v>28</v>
      </c>
      <c r="DQ137">
        <v>26.5</v>
      </c>
      <c r="DR137">
        <v>26</v>
      </c>
      <c r="DS137">
        <v>4.0499999999999989</v>
      </c>
      <c r="DT137">
        <v>27</v>
      </c>
      <c r="DU137">
        <v>18.4375</v>
      </c>
      <c r="DV137">
        <v>-0.125</v>
      </c>
      <c r="DW137">
        <v>21</v>
      </c>
      <c r="DX137">
        <v>22</v>
      </c>
      <c r="DY137">
        <v>22</v>
      </c>
      <c r="DZ137">
        <v>0.33750000000000058</v>
      </c>
      <c r="EA137">
        <v>22</v>
      </c>
      <c r="EB137">
        <v>-1.375</v>
      </c>
      <c r="EC137">
        <v>0.125</v>
      </c>
      <c r="ED137">
        <v>18</v>
      </c>
      <c r="EE137">
        <v>20.5</v>
      </c>
      <c r="EF137">
        <v>23</v>
      </c>
      <c r="EG137">
        <v>-2.3062499999999995</v>
      </c>
      <c r="EH137">
        <v>18</v>
      </c>
      <c r="EI137">
        <v>-0.6875</v>
      </c>
      <c r="EJ137">
        <v>-3.25</v>
      </c>
      <c r="EK137">
        <v>22</v>
      </c>
      <c r="EL137">
        <v>23</v>
      </c>
      <c r="EM137">
        <v>25</v>
      </c>
      <c r="EN137">
        <v>-4.4249999999999998</v>
      </c>
      <c r="EO137">
        <v>21</v>
      </c>
      <c r="EP137">
        <v>-13</v>
      </c>
      <c r="EQ137">
        <v>-2.125</v>
      </c>
      <c r="ER137">
        <v>30</v>
      </c>
      <c r="ES137">
        <v>27.5</v>
      </c>
      <c r="ET137">
        <v>28</v>
      </c>
      <c r="EU137">
        <v>0.84375000000000044</v>
      </c>
      <c r="EV137">
        <v>27</v>
      </c>
      <c r="EW137">
        <v>-3.9375</v>
      </c>
      <c r="EX137">
        <v>-0.1875</v>
      </c>
      <c r="EY137">
        <v>3</v>
      </c>
      <c r="EZ137">
        <v>3.5</v>
      </c>
      <c r="FA137">
        <v>4</v>
      </c>
      <c r="FB137">
        <v>-2.5</v>
      </c>
      <c r="FC137">
        <v>3</v>
      </c>
      <c r="FD137">
        <v>0.1875</v>
      </c>
      <c r="FE137">
        <v>0.8125</v>
      </c>
      <c r="FF137">
        <v>25</v>
      </c>
      <c r="FG137">
        <v>21.5</v>
      </c>
      <c r="FH137">
        <v>20</v>
      </c>
      <c r="FI137">
        <v>-5.824845928300082E-2</v>
      </c>
      <c r="FJ137">
        <v>25</v>
      </c>
      <c r="FK137">
        <v>-1.0973697045152294E-2</v>
      </c>
      <c r="FL137">
        <v>18</v>
      </c>
      <c r="FM137">
        <v>8.8062500000000021</v>
      </c>
      <c r="FN137">
        <v>23</v>
      </c>
      <c r="FO137">
        <v>-3.5625</v>
      </c>
      <c r="FP137">
        <v>-2.25</v>
      </c>
      <c r="FQ137">
        <v>-0.6875</v>
      </c>
      <c r="FR137">
        <v>0.1875</v>
      </c>
      <c r="FS137">
        <v>-6.4375</v>
      </c>
      <c r="FT137">
        <v>0.5</v>
      </c>
      <c r="FU137">
        <v>-0.4375</v>
      </c>
      <c r="FV137">
        <v>2.875</v>
      </c>
      <c r="FW137">
        <v>6.75</v>
      </c>
      <c r="FX137">
        <v>-0.5625</v>
      </c>
      <c r="FY137">
        <v>0</v>
      </c>
      <c r="FZ137">
        <v>-3.3125</v>
      </c>
      <c r="GA137">
        <v>23</v>
      </c>
      <c r="GB137">
        <v>-2.9300000000000006</v>
      </c>
      <c r="GC137">
        <v>-0.95912500000000023</v>
      </c>
      <c r="GD137">
        <v>7.3125</v>
      </c>
      <c r="GE137">
        <v>2.93</v>
      </c>
      <c r="GF137">
        <v>0.48531250000000004</v>
      </c>
      <c r="GG137">
        <v>2.0812499999999998</v>
      </c>
      <c r="GH137">
        <v>16.375</v>
      </c>
      <c r="GI137">
        <v>3.1937500000000005</v>
      </c>
      <c r="GJ137">
        <v>4.9375</v>
      </c>
      <c r="GK137">
        <v>-3.4375</v>
      </c>
      <c r="GL137">
        <v>-1.03125</v>
      </c>
    </row>
    <row r="138" spans="1:194" x14ac:dyDescent="0.2">
      <c r="A138" s="39">
        <v>43744</v>
      </c>
      <c r="B138" s="22" t="s">
        <v>381</v>
      </c>
      <c r="C138" s="41" t="s">
        <v>300</v>
      </c>
      <c r="D138" s="22" t="s">
        <v>291</v>
      </c>
      <c r="E138" s="3">
        <v>2.8</v>
      </c>
      <c r="F138" s="30">
        <v>4.8</v>
      </c>
      <c r="G138" s="3">
        <v>1.9</v>
      </c>
      <c r="H138">
        <f>7.1+3.7+3.3</f>
        <v>14.100000000000001</v>
      </c>
      <c r="I138">
        <v>3.5</v>
      </c>
      <c r="J138">
        <v>46.5</v>
      </c>
      <c r="L138" s="1" t="s">
        <v>300</v>
      </c>
      <c r="M138">
        <v>19</v>
      </c>
      <c r="N138">
        <v>0.90500000000000025</v>
      </c>
      <c r="O138">
        <v>22</v>
      </c>
      <c r="P138">
        <v>21.5</v>
      </c>
      <c r="Q138">
        <v>14</v>
      </c>
      <c r="R138">
        <v>3.1062500000000011</v>
      </c>
      <c r="S138">
        <v>29</v>
      </c>
      <c r="T138">
        <v>-3.25</v>
      </c>
      <c r="U138">
        <v>3.125E-2</v>
      </c>
      <c r="V138">
        <v>2</v>
      </c>
      <c r="W138">
        <v>4</v>
      </c>
      <c r="X138">
        <v>4</v>
      </c>
      <c r="Y138">
        <v>-0.49374999999999991</v>
      </c>
      <c r="Z138">
        <v>4</v>
      </c>
      <c r="AA138">
        <v>0.375</v>
      </c>
      <c r="AB138">
        <v>-1</v>
      </c>
      <c r="AC138">
        <v>3</v>
      </c>
      <c r="AD138">
        <v>3.5</v>
      </c>
      <c r="AE138">
        <v>5</v>
      </c>
      <c r="AF138">
        <v>2.3187499999999992</v>
      </c>
      <c r="AG138">
        <v>2</v>
      </c>
      <c r="AH138">
        <v>27</v>
      </c>
      <c r="AI138">
        <v>1.875</v>
      </c>
      <c r="AJ138">
        <v>16</v>
      </c>
      <c r="AK138">
        <v>17</v>
      </c>
      <c r="AL138">
        <v>17</v>
      </c>
      <c r="AM138">
        <v>-3.0187500000000012</v>
      </c>
      <c r="AN138">
        <v>17</v>
      </c>
      <c r="AO138">
        <v>-6.1875</v>
      </c>
      <c r="AP138">
        <v>0.1875</v>
      </c>
      <c r="AQ138">
        <v>20</v>
      </c>
      <c r="AR138">
        <v>19</v>
      </c>
      <c r="AS138">
        <v>18</v>
      </c>
      <c r="AT138">
        <v>3.1250000000000222E-2</v>
      </c>
      <c r="AU138">
        <v>20</v>
      </c>
      <c r="AV138">
        <v>-4.625</v>
      </c>
      <c r="AW138">
        <v>-1.3125</v>
      </c>
      <c r="AX138">
        <v>18</v>
      </c>
      <c r="AY138">
        <v>17</v>
      </c>
      <c r="AZ138">
        <v>12</v>
      </c>
      <c r="BA138">
        <v>1.8187500000000001</v>
      </c>
      <c r="BB138">
        <v>22</v>
      </c>
      <c r="BC138">
        <v>1.3125</v>
      </c>
      <c r="BD138">
        <v>-1.25</v>
      </c>
      <c r="BE138">
        <v>27</v>
      </c>
      <c r="BF138">
        <v>27</v>
      </c>
      <c r="BG138">
        <v>26</v>
      </c>
      <c r="BH138">
        <v>-1.1000000000000001</v>
      </c>
      <c r="BI138">
        <v>28</v>
      </c>
      <c r="BJ138">
        <v>-8.0625</v>
      </c>
      <c r="BK138">
        <v>-0.875</v>
      </c>
      <c r="BL138">
        <v>31</v>
      </c>
      <c r="BM138">
        <v>31</v>
      </c>
      <c r="BN138">
        <v>30</v>
      </c>
      <c r="BO138">
        <v>-0.3125</v>
      </c>
      <c r="BP138">
        <v>32</v>
      </c>
      <c r="BQ138">
        <v>-0.3125</v>
      </c>
      <c r="BR138">
        <v>3.5</v>
      </c>
      <c r="BS138">
        <v>16</v>
      </c>
      <c r="BT138">
        <v>14.5</v>
      </c>
      <c r="BU138">
        <v>17</v>
      </c>
      <c r="BV138">
        <v>5.2866029622550437E-2</v>
      </c>
      <c r="BW138">
        <v>14</v>
      </c>
      <c r="BX138">
        <v>-1.3163459789658442E-3</v>
      </c>
      <c r="BY138">
        <v>3</v>
      </c>
      <c r="BZ138">
        <v>-1.7874999999999979</v>
      </c>
      <c r="CA138">
        <v>24</v>
      </c>
      <c r="CB138">
        <v>-1.5</v>
      </c>
      <c r="CC138">
        <v>-0.1875</v>
      </c>
      <c r="CD138">
        <v>2.5625</v>
      </c>
      <c r="CE138">
        <v>-0.4375</v>
      </c>
      <c r="CF138">
        <v>1</v>
      </c>
      <c r="CG138">
        <v>6.6875</v>
      </c>
      <c r="CH138">
        <v>-9.1875</v>
      </c>
      <c r="CI138">
        <v>-3.3125</v>
      </c>
      <c r="CJ138">
        <v>6.8125</v>
      </c>
      <c r="CK138">
        <v>23</v>
      </c>
      <c r="CL138">
        <v>-1.7075000000000009</v>
      </c>
      <c r="CM138">
        <v>-1.479000000000001</v>
      </c>
      <c r="CN138">
        <v>15.875</v>
      </c>
      <c r="CO138">
        <v>1.7075000000000009</v>
      </c>
      <c r="CP138">
        <v>0.17953124999999998</v>
      </c>
      <c r="CQ138">
        <v>-0.66875000000000173</v>
      </c>
      <c r="CR138">
        <v>16.1875</v>
      </c>
      <c r="CS138">
        <v>2.6125000000000012</v>
      </c>
      <c r="CT138">
        <v>-2.875</v>
      </c>
      <c r="CU138">
        <v>-0.125</v>
      </c>
      <c r="CV138">
        <v>-0.96875</v>
      </c>
      <c r="CW138">
        <v>-0.69109374999999984</v>
      </c>
      <c r="CX138">
        <v>-1.4920312499999997</v>
      </c>
      <c r="CY138" t="s">
        <v>291</v>
      </c>
      <c r="CZ138">
        <v>19</v>
      </c>
      <c r="DA138">
        <v>-2.2837500000000013</v>
      </c>
      <c r="DB138">
        <v>6</v>
      </c>
      <c r="DC138">
        <v>8</v>
      </c>
      <c r="DD138">
        <v>4</v>
      </c>
      <c r="DE138">
        <v>-1.6604166666666667</v>
      </c>
      <c r="DF138">
        <v>12</v>
      </c>
      <c r="DG138">
        <v>7.5208333333333321</v>
      </c>
      <c r="DH138">
        <v>-0.66666666666666674</v>
      </c>
      <c r="DI138">
        <v>22</v>
      </c>
      <c r="DJ138">
        <v>19</v>
      </c>
      <c r="DK138">
        <v>24</v>
      </c>
      <c r="DL138">
        <v>1.8416666666666666</v>
      </c>
      <c r="DM138">
        <v>14</v>
      </c>
      <c r="DN138">
        <v>-1.229166666666667</v>
      </c>
      <c r="DO138">
        <v>0.66666666666666674</v>
      </c>
      <c r="DP138">
        <v>26</v>
      </c>
      <c r="DQ138">
        <v>29.5</v>
      </c>
      <c r="DR138">
        <v>30</v>
      </c>
      <c r="DS138">
        <v>-1.8624999999999994</v>
      </c>
      <c r="DT138">
        <v>29</v>
      </c>
      <c r="DU138">
        <v>-1.625</v>
      </c>
      <c r="DV138">
        <v>0.75</v>
      </c>
      <c r="DW138">
        <v>15</v>
      </c>
      <c r="DX138">
        <v>14</v>
      </c>
      <c r="DY138">
        <v>13</v>
      </c>
      <c r="DZ138">
        <v>-0.55625000000000036</v>
      </c>
      <c r="EA138">
        <v>15</v>
      </c>
      <c r="EB138">
        <v>-4.3125</v>
      </c>
      <c r="EC138">
        <v>6.25E-2</v>
      </c>
      <c r="ED138">
        <v>19</v>
      </c>
      <c r="EE138">
        <v>10.5</v>
      </c>
      <c r="EF138">
        <v>9</v>
      </c>
      <c r="EG138">
        <v>0.53124999999999978</v>
      </c>
      <c r="EH138">
        <v>12</v>
      </c>
      <c r="EI138">
        <v>7.375</v>
      </c>
      <c r="EJ138">
        <v>1.0625</v>
      </c>
      <c r="EK138">
        <v>8</v>
      </c>
      <c r="EL138">
        <v>8.5</v>
      </c>
      <c r="EM138">
        <v>10</v>
      </c>
      <c r="EN138">
        <v>-3.8499999999999996</v>
      </c>
      <c r="EO138">
        <v>7</v>
      </c>
      <c r="EP138">
        <v>-14.75</v>
      </c>
      <c r="EQ138">
        <v>-0.5625</v>
      </c>
      <c r="ER138">
        <v>27</v>
      </c>
      <c r="ES138">
        <v>26</v>
      </c>
      <c r="ET138">
        <v>22</v>
      </c>
      <c r="EU138">
        <v>4.0562499999999995</v>
      </c>
      <c r="EV138">
        <v>30</v>
      </c>
      <c r="EW138">
        <v>11.4375</v>
      </c>
      <c r="EX138">
        <v>1.875</v>
      </c>
      <c r="EY138">
        <v>7</v>
      </c>
      <c r="EZ138">
        <v>7</v>
      </c>
      <c r="FA138">
        <v>10</v>
      </c>
      <c r="FB138">
        <v>0.8125</v>
      </c>
      <c r="FC138">
        <v>4</v>
      </c>
      <c r="FD138">
        <v>0.3125</v>
      </c>
      <c r="FE138">
        <v>-2.5</v>
      </c>
      <c r="FF138">
        <v>15</v>
      </c>
      <c r="FG138">
        <v>15.75</v>
      </c>
      <c r="FH138">
        <v>7</v>
      </c>
      <c r="FI138">
        <v>-3.3389166531780784E-2</v>
      </c>
      <c r="FJ138">
        <v>7</v>
      </c>
      <c r="FK138">
        <v>-2.5958088269064754E-3</v>
      </c>
      <c r="FL138">
        <v>28</v>
      </c>
      <c r="FM138">
        <v>11.243749999999999</v>
      </c>
      <c r="FN138">
        <v>21</v>
      </c>
      <c r="FO138">
        <v>-3.25</v>
      </c>
      <c r="FP138">
        <v>2.5625</v>
      </c>
      <c r="FQ138">
        <v>0.125</v>
      </c>
      <c r="FR138">
        <v>0.5625</v>
      </c>
      <c r="FS138">
        <v>3.625</v>
      </c>
      <c r="FT138">
        <v>-1.125</v>
      </c>
      <c r="FU138">
        <v>-1.3125</v>
      </c>
      <c r="FV138">
        <v>8.8125</v>
      </c>
      <c r="FW138">
        <v>-4.6875</v>
      </c>
      <c r="FX138">
        <v>11.0625</v>
      </c>
      <c r="FY138">
        <v>1.9375</v>
      </c>
      <c r="FZ138">
        <v>0.5</v>
      </c>
      <c r="GA138">
        <v>22</v>
      </c>
      <c r="GB138">
        <v>-2.4650000000000012</v>
      </c>
      <c r="GC138">
        <v>-0.11362500000000017</v>
      </c>
      <c r="GD138">
        <v>-15.75</v>
      </c>
      <c r="GE138">
        <v>2.4650000000000012</v>
      </c>
      <c r="GF138">
        <v>0.10984374999999991</v>
      </c>
      <c r="GG138">
        <v>-1.8875</v>
      </c>
      <c r="GH138">
        <v>1.4375</v>
      </c>
      <c r="GI138">
        <v>0.18124999999999991</v>
      </c>
      <c r="GJ138">
        <v>6.2916666666666652</v>
      </c>
      <c r="GK138">
        <v>3.75</v>
      </c>
      <c r="GL138">
        <v>0</v>
      </c>
    </row>
    <row r="139" spans="1:194" x14ac:dyDescent="0.2">
      <c r="A139" s="39">
        <v>43744</v>
      </c>
      <c r="B139" s="22" t="s">
        <v>381</v>
      </c>
      <c r="C139" s="41" t="s">
        <v>311</v>
      </c>
      <c r="D139" s="22" t="s">
        <v>295</v>
      </c>
      <c r="E139">
        <v>15.8</v>
      </c>
      <c r="F139" s="14">
        <v>56.7</v>
      </c>
      <c r="G139">
        <v>10.199999999999999</v>
      </c>
      <c r="H139">
        <v>19.100000000000001</v>
      </c>
      <c r="I139">
        <v>-4</v>
      </c>
      <c r="J139">
        <v>49</v>
      </c>
      <c r="K139" t="s">
        <v>109</v>
      </c>
      <c r="L139" s="1" t="s">
        <v>311</v>
      </c>
      <c r="M139">
        <v>6</v>
      </c>
      <c r="N139">
        <v>1.6125000000000003</v>
      </c>
      <c r="O139">
        <v>22</v>
      </c>
      <c r="P139">
        <v>21.5</v>
      </c>
      <c r="Q139">
        <v>30</v>
      </c>
      <c r="R139">
        <v>-4.125</v>
      </c>
      <c r="S139">
        <v>13</v>
      </c>
      <c r="T139">
        <v>6.25E-2</v>
      </c>
      <c r="U139">
        <v>-1.375</v>
      </c>
      <c r="V139">
        <v>8</v>
      </c>
      <c r="W139">
        <v>9.5</v>
      </c>
      <c r="X139">
        <v>3</v>
      </c>
      <c r="Y139">
        <v>1.2500000000000004</v>
      </c>
      <c r="Z139">
        <v>16</v>
      </c>
      <c r="AA139">
        <v>10.3125</v>
      </c>
      <c r="AB139">
        <v>0.875</v>
      </c>
      <c r="AC139">
        <v>2</v>
      </c>
      <c r="AD139">
        <v>2.5</v>
      </c>
      <c r="AE139">
        <v>1</v>
      </c>
      <c r="AF139">
        <v>-2.0999999999999996</v>
      </c>
      <c r="AG139">
        <v>4</v>
      </c>
      <c r="AH139">
        <v>-11.25</v>
      </c>
      <c r="AI139">
        <v>0.6875</v>
      </c>
      <c r="AJ139">
        <v>15</v>
      </c>
      <c r="AK139">
        <v>15</v>
      </c>
      <c r="AL139">
        <v>16</v>
      </c>
      <c r="AM139">
        <v>-3.1187500000000008</v>
      </c>
      <c r="AN139">
        <v>14</v>
      </c>
      <c r="AO139">
        <v>-9.9375</v>
      </c>
      <c r="AP139">
        <v>-0.5625</v>
      </c>
      <c r="AQ139">
        <v>21</v>
      </c>
      <c r="AR139">
        <v>21</v>
      </c>
      <c r="AS139">
        <v>21</v>
      </c>
      <c r="AT139">
        <v>3.3562499999999997</v>
      </c>
      <c r="AU139">
        <v>21</v>
      </c>
      <c r="AV139">
        <v>16.8125</v>
      </c>
      <c r="AW139">
        <v>-0.25</v>
      </c>
      <c r="AX139">
        <v>17</v>
      </c>
      <c r="AY139">
        <v>16.5</v>
      </c>
      <c r="AZ139">
        <v>21</v>
      </c>
      <c r="BA139">
        <v>0.16249999999999876</v>
      </c>
      <c r="BB139">
        <v>12</v>
      </c>
      <c r="BC139">
        <v>1</v>
      </c>
      <c r="BD139">
        <v>-1.8125</v>
      </c>
      <c r="BE139">
        <v>11</v>
      </c>
      <c r="BF139">
        <v>12</v>
      </c>
      <c r="BG139">
        <v>11</v>
      </c>
      <c r="BH139">
        <v>2.6124999999999998</v>
      </c>
      <c r="BI139">
        <v>13</v>
      </c>
      <c r="BJ139">
        <v>4.875</v>
      </c>
      <c r="BK139">
        <v>0.125</v>
      </c>
      <c r="BL139">
        <v>22</v>
      </c>
      <c r="BM139">
        <v>20.5</v>
      </c>
      <c r="BN139">
        <v>22</v>
      </c>
      <c r="BO139">
        <v>-1.8125</v>
      </c>
      <c r="BP139">
        <v>19</v>
      </c>
      <c r="BQ139">
        <v>-0.5625</v>
      </c>
      <c r="BR139">
        <v>1.5</v>
      </c>
      <c r="BS139">
        <v>20</v>
      </c>
      <c r="BT139">
        <v>17.5</v>
      </c>
      <c r="BU139">
        <v>1</v>
      </c>
      <c r="BV139">
        <v>9.0228201742385009E-2</v>
      </c>
      <c r="BW139">
        <v>24</v>
      </c>
      <c r="BX139">
        <v>3.8531538831282047E-2</v>
      </c>
      <c r="BY139">
        <v>15</v>
      </c>
      <c r="BZ139">
        <v>-2.3374999999999968</v>
      </c>
      <c r="CA139">
        <v>30</v>
      </c>
      <c r="CB139">
        <v>0.75</v>
      </c>
      <c r="CC139">
        <v>-2.125</v>
      </c>
      <c r="CD139">
        <v>-1.9375</v>
      </c>
      <c r="CE139">
        <v>0</v>
      </c>
      <c r="CF139">
        <v>-7.5</v>
      </c>
      <c r="CG139">
        <v>-16.5625</v>
      </c>
      <c r="CH139">
        <v>7.9375</v>
      </c>
      <c r="CI139">
        <v>-1</v>
      </c>
      <c r="CJ139">
        <v>2.125</v>
      </c>
      <c r="CK139">
        <v>8</v>
      </c>
      <c r="CL139">
        <v>4.4875000000000007</v>
      </c>
      <c r="CM139">
        <v>1.9099999999999997</v>
      </c>
      <c r="CN139">
        <v>-24.5</v>
      </c>
      <c r="CO139">
        <v>-4.4874999999999998</v>
      </c>
      <c r="CP139">
        <v>-0.29062499999999997</v>
      </c>
      <c r="CQ139">
        <v>-1.8625000000000003</v>
      </c>
      <c r="CR139">
        <v>-4.375</v>
      </c>
      <c r="CS139">
        <v>-2.8749999999999996</v>
      </c>
      <c r="CT139">
        <v>10.375</v>
      </c>
      <c r="CU139">
        <v>0</v>
      </c>
      <c r="CV139">
        <v>-0.5</v>
      </c>
      <c r="CW139">
        <v>0.38820312499999987</v>
      </c>
      <c r="CX139">
        <v>0.34218749999999964</v>
      </c>
      <c r="CY139" t="s">
        <v>295</v>
      </c>
      <c r="CZ139">
        <v>27</v>
      </c>
      <c r="DA139">
        <v>1.8112500000000007</v>
      </c>
      <c r="DB139">
        <v>30</v>
      </c>
      <c r="DC139">
        <v>28</v>
      </c>
      <c r="DD139">
        <v>28</v>
      </c>
      <c r="DE139">
        <v>-1.4812500000000002</v>
      </c>
      <c r="DF139">
        <v>28</v>
      </c>
      <c r="DG139">
        <v>0.125</v>
      </c>
      <c r="DH139">
        <v>-0.1875</v>
      </c>
      <c r="DI139">
        <v>28</v>
      </c>
      <c r="DJ139">
        <v>25.5</v>
      </c>
      <c r="DK139">
        <v>30</v>
      </c>
      <c r="DL139">
        <v>-0.94999999999999951</v>
      </c>
      <c r="DM139">
        <v>21</v>
      </c>
      <c r="DN139">
        <v>-6.0625</v>
      </c>
      <c r="DO139">
        <v>0.8125</v>
      </c>
      <c r="DP139">
        <v>22</v>
      </c>
      <c r="DQ139">
        <v>18.5</v>
      </c>
      <c r="DR139">
        <v>21</v>
      </c>
      <c r="DS139">
        <v>5.1125000000000007</v>
      </c>
      <c r="DT139">
        <v>16</v>
      </c>
      <c r="DU139">
        <v>20.75</v>
      </c>
      <c r="DV139">
        <v>0.75</v>
      </c>
      <c r="DW139">
        <v>9</v>
      </c>
      <c r="DX139">
        <v>10</v>
      </c>
      <c r="DY139">
        <v>9</v>
      </c>
      <c r="DZ139">
        <v>0.71249999999999969</v>
      </c>
      <c r="EA139">
        <v>11</v>
      </c>
      <c r="EB139">
        <v>0.25</v>
      </c>
      <c r="EC139">
        <v>-1</v>
      </c>
      <c r="ED139">
        <v>17</v>
      </c>
      <c r="EE139">
        <v>26.5</v>
      </c>
      <c r="EF139">
        <v>29</v>
      </c>
      <c r="EG139">
        <v>-0.48124999999999996</v>
      </c>
      <c r="EH139">
        <v>24</v>
      </c>
      <c r="EI139">
        <v>-2.8125</v>
      </c>
      <c r="EJ139">
        <v>-1.5625</v>
      </c>
      <c r="EK139">
        <v>10</v>
      </c>
      <c r="EL139">
        <v>11.5</v>
      </c>
      <c r="EM139">
        <v>14</v>
      </c>
      <c r="EN139">
        <v>-0.79375000000000084</v>
      </c>
      <c r="EO139">
        <v>9</v>
      </c>
      <c r="EP139">
        <v>-6.6875</v>
      </c>
      <c r="EQ139">
        <v>0.1875</v>
      </c>
      <c r="ER139">
        <v>29</v>
      </c>
      <c r="ES139">
        <v>26.5</v>
      </c>
      <c r="ET139">
        <v>30</v>
      </c>
      <c r="EU139">
        <v>-2.5</v>
      </c>
      <c r="EV139">
        <v>23</v>
      </c>
      <c r="EW139">
        <v>-2.875</v>
      </c>
      <c r="EX139">
        <v>-0.1875</v>
      </c>
      <c r="EY139">
        <v>17</v>
      </c>
      <c r="EZ139">
        <v>14.5</v>
      </c>
      <c r="FA139">
        <v>14</v>
      </c>
      <c r="FB139">
        <v>1.25</v>
      </c>
      <c r="FC139">
        <v>15</v>
      </c>
      <c r="FD139">
        <v>0</v>
      </c>
      <c r="FE139">
        <v>2.375</v>
      </c>
      <c r="FF139">
        <v>19</v>
      </c>
      <c r="FG139">
        <v>16.5</v>
      </c>
      <c r="FH139">
        <v>10</v>
      </c>
      <c r="FI139">
        <v>2.0144377666318353E-3</v>
      </c>
      <c r="FJ139">
        <v>20</v>
      </c>
      <c r="FK139">
        <v>-1.7647896316076654E-2</v>
      </c>
      <c r="FL139">
        <v>25</v>
      </c>
      <c r="FM139">
        <v>-0.20000000000000107</v>
      </c>
      <c r="FN139">
        <v>11</v>
      </c>
      <c r="FO139">
        <v>-2.9375</v>
      </c>
      <c r="FP139">
        <v>-1.125</v>
      </c>
      <c r="FQ139">
        <v>1.3125</v>
      </c>
      <c r="FR139">
        <v>-0.375</v>
      </c>
      <c r="FS139">
        <v>-1.75</v>
      </c>
      <c r="FT139">
        <v>0.8125</v>
      </c>
      <c r="FU139">
        <v>-0.5625</v>
      </c>
      <c r="FV139">
        <v>-22.3125</v>
      </c>
      <c r="FW139">
        <v>-0.375</v>
      </c>
      <c r="FX139">
        <v>-12.75</v>
      </c>
      <c r="FY139">
        <v>-1.3125</v>
      </c>
      <c r="FZ139">
        <v>-7.875</v>
      </c>
      <c r="GA139">
        <v>11</v>
      </c>
      <c r="GB139">
        <v>4.2425000000000006</v>
      </c>
      <c r="GC139">
        <v>2.1466250000000002</v>
      </c>
      <c r="GD139">
        <v>12.375</v>
      </c>
      <c r="GE139">
        <v>-4.2424999999999997</v>
      </c>
      <c r="GF139">
        <v>0.4342187500000001</v>
      </c>
      <c r="GG139">
        <v>5.34375</v>
      </c>
      <c r="GH139">
        <v>18.1875</v>
      </c>
      <c r="GI139">
        <v>-2.4312499999999995</v>
      </c>
      <c r="GJ139">
        <v>-5.9375</v>
      </c>
      <c r="GK139">
        <v>-2</v>
      </c>
      <c r="GL139">
        <v>0.625</v>
      </c>
    </row>
    <row r="140" spans="1:194" x14ac:dyDescent="0.2">
      <c r="A140" s="39">
        <v>43744</v>
      </c>
      <c r="B140" s="22" t="s">
        <v>381</v>
      </c>
      <c r="C140" s="41" t="s">
        <v>289</v>
      </c>
      <c r="D140" s="22" t="s">
        <v>288</v>
      </c>
      <c r="E140">
        <v>7.7</v>
      </c>
      <c r="F140">
        <v>3</v>
      </c>
      <c r="G140">
        <v>1.7</v>
      </c>
      <c r="H140">
        <f>4.9+2+1.8</f>
        <v>8.7000000000000011</v>
      </c>
      <c r="I140">
        <v>10.5</v>
      </c>
      <c r="J140">
        <v>55.5</v>
      </c>
      <c r="L140" s="1" t="s">
        <v>289</v>
      </c>
      <c r="M140">
        <v>22</v>
      </c>
      <c r="N140">
        <v>1.1337499999999991</v>
      </c>
      <c r="O140">
        <v>11</v>
      </c>
      <c r="P140">
        <v>11.5</v>
      </c>
      <c r="Q140">
        <v>19</v>
      </c>
      <c r="R140">
        <v>-0.28125000000000044</v>
      </c>
      <c r="S140">
        <v>4</v>
      </c>
      <c r="T140">
        <v>21.3125</v>
      </c>
      <c r="U140">
        <v>-2.1875</v>
      </c>
      <c r="V140">
        <v>23</v>
      </c>
      <c r="W140">
        <v>20.5</v>
      </c>
      <c r="X140">
        <v>18</v>
      </c>
      <c r="Y140">
        <v>0.3374999999999998</v>
      </c>
      <c r="Z140">
        <v>23</v>
      </c>
      <c r="AA140">
        <v>-9.8125</v>
      </c>
      <c r="AB140">
        <v>1.5625</v>
      </c>
      <c r="AC140">
        <v>18</v>
      </c>
      <c r="AD140">
        <v>18</v>
      </c>
      <c r="AE140">
        <v>21</v>
      </c>
      <c r="AF140">
        <v>3.0062499999999996</v>
      </c>
      <c r="AG140">
        <v>15</v>
      </c>
      <c r="AH140">
        <v>3.375</v>
      </c>
      <c r="AI140">
        <v>0.4375</v>
      </c>
      <c r="AJ140">
        <v>18</v>
      </c>
      <c r="AK140">
        <v>18.5</v>
      </c>
      <c r="AL140">
        <v>14</v>
      </c>
      <c r="AM140">
        <v>-3.1062500000000011</v>
      </c>
      <c r="AN140">
        <v>23</v>
      </c>
      <c r="AO140">
        <v>-22.375</v>
      </c>
      <c r="AP140">
        <v>-1.1875</v>
      </c>
      <c r="AQ140">
        <v>22</v>
      </c>
      <c r="AR140">
        <v>22</v>
      </c>
      <c r="AS140">
        <v>22</v>
      </c>
      <c r="AT140">
        <v>-6.2500000000000111E-2</v>
      </c>
      <c r="AU140">
        <v>22</v>
      </c>
      <c r="AV140">
        <v>-6.125</v>
      </c>
      <c r="AW140">
        <v>4.1875</v>
      </c>
      <c r="AX140">
        <v>12</v>
      </c>
      <c r="AY140">
        <v>12</v>
      </c>
      <c r="AZ140">
        <v>14</v>
      </c>
      <c r="BA140">
        <v>4.7625000000000011</v>
      </c>
      <c r="BB140">
        <v>10</v>
      </c>
      <c r="BC140">
        <v>0.125</v>
      </c>
      <c r="BD140">
        <v>0.125</v>
      </c>
      <c r="BE140">
        <v>7</v>
      </c>
      <c r="BF140">
        <v>6.5</v>
      </c>
      <c r="BG140">
        <v>8</v>
      </c>
      <c r="BH140">
        <v>2.4499999999999993</v>
      </c>
      <c r="BI140">
        <v>5</v>
      </c>
      <c r="BJ140">
        <v>9.4375</v>
      </c>
      <c r="BK140">
        <v>1.6875</v>
      </c>
      <c r="BL140">
        <v>19</v>
      </c>
      <c r="BM140">
        <v>19.5</v>
      </c>
      <c r="BN140">
        <v>24</v>
      </c>
      <c r="BO140">
        <v>-0.125</v>
      </c>
      <c r="BP140">
        <v>15</v>
      </c>
      <c r="BQ140">
        <v>0.1875</v>
      </c>
      <c r="BR140">
        <v>-2.0625</v>
      </c>
      <c r="BS140">
        <v>3</v>
      </c>
      <c r="BT140">
        <v>7.75</v>
      </c>
      <c r="BU140">
        <v>4</v>
      </c>
      <c r="BV140">
        <v>-3.9028860658478569E-2</v>
      </c>
      <c r="BW140">
        <v>8</v>
      </c>
      <c r="BX140">
        <v>-1.3698802886548504E-2</v>
      </c>
      <c r="BY140">
        <v>13</v>
      </c>
      <c r="BZ140">
        <v>-12.831250000000002</v>
      </c>
      <c r="CA140">
        <v>6</v>
      </c>
      <c r="CB140">
        <v>-0.6875</v>
      </c>
      <c r="CC140">
        <v>3.75</v>
      </c>
      <c r="CD140">
        <v>2.4375</v>
      </c>
      <c r="CE140">
        <v>0</v>
      </c>
      <c r="CF140">
        <v>2.9375</v>
      </c>
      <c r="CG140">
        <v>-24.625</v>
      </c>
      <c r="CH140">
        <v>23</v>
      </c>
      <c r="CI140">
        <v>0.75</v>
      </c>
      <c r="CJ140">
        <v>3.8125</v>
      </c>
      <c r="CK140">
        <v>17</v>
      </c>
      <c r="CL140">
        <v>1.0774999999999997</v>
      </c>
      <c r="CM140">
        <v>0.65612499999999963</v>
      </c>
      <c r="CN140">
        <v>-47.625</v>
      </c>
      <c r="CO140">
        <v>-1.0774999999999997</v>
      </c>
      <c r="CP140">
        <v>0.41906249999999956</v>
      </c>
      <c r="CQ140">
        <v>-0.16250000000000153</v>
      </c>
      <c r="CR140">
        <v>-25.125</v>
      </c>
      <c r="CS140">
        <v>5.6249999999999356E-2</v>
      </c>
      <c r="CT140">
        <v>11.5</v>
      </c>
      <c r="CU140">
        <v>5.125</v>
      </c>
      <c r="CV140">
        <v>-0.625</v>
      </c>
      <c r="CW140">
        <v>0.32062500000000016</v>
      </c>
      <c r="CX140">
        <v>0.21109375000000036</v>
      </c>
      <c r="CY140" t="s">
        <v>288</v>
      </c>
      <c r="CZ140">
        <v>7</v>
      </c>
      <c r="DA140">
        <v>-0.26500000000000012</v>
      </c>
      <c r="DB140">
        <v>3</v>
      </c>
      <c r="DC140">
        <v>3</v>
      </c>
      <c r="DD140">
        <v>3</v>
      </c>
      <c r="DE140">
        <v>3.8624999999999994</v>
      </c>
      <c r="DF140">
        <v>3</v>
      </c>
      <c r="DG140">
        <v>19.8125</v>
      </c>
      <c r="DH140">
        <v>0.46875</v>
      </c>
      <c r="DI140">
        <v>20</v>
      </c>
      <c r="DJ140">
        <v>17.5</v>
      </c>
      <c r="DK140">
        <v>5</v>
      </c>
      <c r="DL140">
        <v>0.71875</v>
      </c>
      <c r="DM140">
        <v>30</v>
      </c>
      <c r="DN140">
        <v>3.625</v>
      </c>
      <c r="DO140">
        <v>0.875</v>
      </c>
      <c r="DP140">
        <v>32</v>
      </c>
      <c r="DQ140">
        <v>32</v>
      </c>
      <c r="DR140">
        <v>32</v>
      </c>
      <c r="DS140">
        <v>0.32499999999999973</v>
      </c>
      <c r="DT140">
        <v>32</v>
      </c>
      <c r="DU140">
        <v>-9.5</v>
      </c>
      <c r="DV140">
        <v>0.25</v>
      </c>
      <c r="DW140">
        <v>24</v>
      </c>
      <c r="DX140">
        <v>25</v>
      </c>
      <c r="DY140">
        <v>23</v>
      </c>
      <c r="DZ140">
        <v>1.7625000000000008</v>
      </c>
      <c r="EA140">
        <v>27</v>
      </c>
      <c r="EB140">
        <v>22.625</v>
      </c>
      <c r="EC140">
        <v>0.5</v>
      </c>
      <c r="ED140">
        <v>13</v>
      </c>
      <c r="EE140">
        <v>12.5</v>
      </c>
      <c r="EF140">
        <v>12</v>
      </c>
      <c r="EG140">
        <v>0.73124999999999973</v>
      </c>
      <c r="EH140">
        <v>13</v>
      </c>
      <c r="EI140">
        <v>11.3125</v>
      </c>
      <c r="EJ140">
        <v>0.375</v>
      </c>
      <c r="EK140">
        <v>12</v>
      </c>
      <c r="EL140">
        <v>12</v>
      </c>
      <c r="EM140">
        <v>8</v>
      </c>
      <c r="EN140">
        <v>4.7187500000000027</v>
      </c>
      <c r="EO140">
        <v>16</v>
      </c>
      <c r="EP140">
        <v>5.3125</v>
      </c>
      <c r="EQ140">
        <v>1.125</v>
      </c>
      <c r="ER140">
        <v>2</v>
      </c>
      <c r="ES140">
        <v>2</v>
      </c>
      <c r="ET140">
        <v>2</v>
      </c>
      <c r="EU140">
        <v>-3.3812499999999996</v>
      </c>
      <c r="EV140">
        <v>2</v>
      </c>
      <c r="EW140">
        <v>-9.1875</v>
      </c>
      <c r="EX140">
        <v>0.75</v>
      </c>
      <c r="EY140">
        <v>20</v>
      </c>
      <c r="EZ140">
        <v>21</v>
      </c>
      <c r="FA140">
        <v>25</v>
      </c>
      <c r="FB140">
        <v>-0.3125</v>
      </c>
      <c r="FC140">
        <v>17</v>
      </c>
      <c r="FD140">
        <v>-0.125</v>
      </c>
      <c r="FE140">
        <v>-4.4375</v>
      </c>
      <c r="FF140">
        <v>2</v>
      </c>
      <c r="FG140">
        <v>7.25</v>
      </c>
      <c r="FH140">
        <v>4</v>
      </c>
      <c r="FI140">
        <v>9.304079698647813E-3</v>
      </c>
      <c r="FJ140">
        <v>13</v>
      </c>
      <c r="FK140">
        <v>1.0771103366013234E-2</v>
      </c>
      <c r="FL140">
        <v>3</v>
      </c>
      <c r="FM140">
        <v>7.6125000000000025</v>
      </c>
      <c r="FN140">
        <v>9</v>
      </c>
      <c r="FO140">
        <v>2.5625</v>
      </c>
      <c r="FP140">
        <v>2.75</v>
      </c>
      <c r="FQ140">
        <v>-1.625</v>
      </c>
      <c r="FR140">
        <v>-1</v>
      </c>
      <c r="FS140">
        <v>0.8125</v>
      </c>
      <c r="FT140">
        <v>-0.3125</v>
      </c>
      <c r="FU140">
        <v>-0.875</v>
      </c>
      <c r="FV140">
        <v>27.3125</v>
      </c>
      <c r="FW140">
        <v>20.25</v>
      </c>
      <c r="FX140">
        <v>15.375</v>
      </c>
      <c r="FY140">
        <v>-5.1875</v>
      </c>
      <c r="FZ140">
        <v>-3.125</v>
      </c>
      <c r="GA140">
        <v>26</v>
      </c>
      <c r="GB140">
        <v>-4.8462499999999995</v>
      </c>
      <c r="GC140">
        <v>-2.4561249999999992</v>
      </c>
      <c r="GD140">
        <v>4.875</v>
      </c>
      <c r="GE140">
        <v>4.8462499999999995</v>
      </c>
      <c r="GF140">
        <v>0.43015625000000002</v>
      </c>
      <c r="GG140">
        <v>2.8187500000000001</v>
      </c>
      <c r="GH140">
        <v>24.4375</v>
      </c>
      <c r="GI140">
        <v>4.5812499999999989</v>
      </c>
      <c r="GJ140">
        <v>23.4375</v>
      </c>
      <c r="GK140">
        <v>1.875</v>
      </c>
      <c r="GL140">
        <v>1.34375</v>
      </c>
    </row>
    <row r="141" spans="1:194" x14ac:dyDescent="0.2">
      <c r="A141" s="39">
        <v>43744</v>
      </c>
      <c r="B141" s="26" t="s">
        <v>381</v>
      </c>
      <c r="C141" s="41" t="s">
        <v>297</v>
      </c>
      <c r="D141" s="26" t="s">
        <v>301</v>
      </c>
      <c r="E141">
        <v>15.2</v>
      </c>
      <c r="F141">
        <v>39.4</v>
      </c>
      <c r="G141">
        <v>3.6</v>
      </c>
      <c r="H141" s="14">
        <f>8.7+1.4</f>
        <v>10.1</v>
      </c>
      <c r="I141">
        <v>3</v>
      </c>
      <c r="J141">
        <v>41</v>
      </c>
      <c r="L141" s="1" t="s">
        <v>297</v>
      </c>
      <c r="M141">
        <v>27</v>
      </c>
      <c r="N141">
        <v>2.6549999999999998</v>
      </c>
      <c r="O141">
        <v>10</v>
      </c>
      <c r="P141">
        <v>9.5</v>
      </c>
      <c r="Q141">
        <v>3</v>
      </c>
      <c r="R141">
        <v>-1.4250000000000003</v>
      </c>
      <c r="S141">
        <v>16</v>
      </c>
      <c r="T141">
        <v>21.1875</v>
      </c>
      <c r="U141">
        <v>1</v>
      </c>
      <c r="V141">
        <v>28</v>
      </c>
      <c r="W141">
        <v>28.5</v>
      </c>
      <c r="X141">
        <v>26</v>
      </c>
      <c r="Y141">
        <v>-2.25</v>
      </c>
      <c r="Z141">
        <v>31</v>
      </c>
      <c r="AA141">
        <v>-7</v>
      </c>
      <c r="AB141">
        <v>-1.4375</v>
      </c>
      <c r="AC141">
        <v>31</v>
      </c>
      <c r="AD141">
        <v>31.5</v>
      </c>
      <c r="AE141">
        <v>32</v>
      </c>
      <c r="AF141">
        <v>-5.9437500000000005</v>
      </c>
      <c r="AG141">
        <v>31</v>
      </c>
      <c r="AH141">
        <v>-27.125</v>
      </c>
      <c r="AI141">
        <v>-1.5</v>
      </c>
      <c r="AJ141">
        <v>7</v>
      </c>
      <c r="AK141">
        <v>8</v>
      </c>
      <c r="AL141">
        <v>4</v>
      </c>
      <c r="AM141">
        <v>6.3062500000000004</v>
      </c>
      <c r="AN141">
        <v>12</v>
      </c>
      <c r="AO141">
        <v>24.5</v>
      </c>
      <c r="AP141">
        <v>0.5625</v>
      </c>
      <c r="AQ141">
        <v>3</v>
      </c>
      <c r="AR141">
        <v>3</v>
      </c>
      <c r="AS141">
        <v>3</v>
      </c>
      <c r="AT141">
        <v>3.0625</v>
      </c>
      <c r="AU141">
        <v>3</v>
      </c>
      <c r="AV141">
        <v>19.1875</v>
      </c>
      <c r="AW141">
        <v>-0.625</v>
      </c>
      <c r="AX141">
        <v>13</v>
      </c>
      <c r="AY141">
        <v>12.5</v>
      </c>
      <c r="AZ141">
        <v>10</v>
      </c>
      <c r="BA141">
        <v>-5.2437500000000004</v>
      </c>
      <c r="BB141">
        <v>15</v>
      </c>
      <c r="BC141">
        <v>-26.1875</v>
      </c>
      <c r="BD141">
        <v>-1.3125</v>
      </c>
      <c r="BE141">
        <v>32</v>
      </c>
      <c r="BF141">
        <v>31</v>
      </c>
      <c r="BG141">
        <v>32</v>
      </c>
      <c r="BH141">
        <v>-0.28750000000000009</v>
      </c>
      <c r="BI141">
        <v>30</v>
      </c>
      <c r="BJ141">
        <v>-13.1875</v>
      </c>
      <c r="BK141">
        <v>-0.25</v>
      </c>
      <c r="BL141">
        <v>27</v>
      </c>
      <c r="BM141">
        <v>27</v>
      </c>
      <c r="BN141">
        <v>27</v>
      </c>
      <c r="BO141">
        <v>1.3125</v>
      </c>
      <c r="BP141">
        <v>27</v>
      </c>
      <c r="BQ141">
        <v>0.4375</v>
      </c>
      <c r="BR141">
        <v>0.1875</v>
      </c>
      <c r="BS141">
        <v>7</v>
      </c>
      <c r="BT141">
        <v>11.25</v>
      </c>
      <c r="BU141">
        <v>7</v>
      </c>
      <c r="BV141">
        <v>4.4411077337813756E-2</v>
      </c>
      <c r="BW141">
        <v>17</v>
      </c>
      <c r="BX141">
        <v>4.0619070604809952E-3</v>
      </c>
      <c r="BY141">
        <v>18</v>
      </c>
      <c r="BZ141">
        <v>5.6625000000000014</v>
      </c>
      <c r="CA141">
        <v>3</v>
      </c>
      <c r="CB141">
        <v>-1.625</v>
      </c>
      <c r="CC141">
        <v>-4.5625</v>
      </c>
      <c r="CD141">
        <v>0.5625</v>
      </c>
      <c r="CE141">
        <v>0</v>
      </c>
      <c r="CF141">
        <v>-2.6875</v>
      </c>
      <c r="CG141">
        <v>-11.125</v>
      </c>
      <c r="CH141">
        <v>6.3125</v>
      </c>
      <c r="CI141">
        <v>-3.8125</v>
      </c>
      <c r="CJ141">
        <v>5.9375</v>
      </c>
      <c r="CK141">
        <v>6</v>
      </c>
      <c r="CL141">
        <v>6.33</v>
      </c>
      <c r="CM141">
        <v>2.9960000000000004</v>
      </c>
      <c r="CN141">
        <v>-17.4375</v>
      </c>
      <c r="CO141">
        <v>-6.33</v>
      </c>
      <c r="CP141">
        <v>0.42874999999999991</v>
      </c>
      <c r="CQ141">
        <v>3.4249999999999998</v>
      </c>
      <c r="CR141">
        <v>16.5625</v>
      </c>
      <c r="CS141">
        <v>-3.6750000000000003</v>
      </c>
      <c r="CT141">
        <v>14.1875</v>
      </c>
      <c r="CU141">
        <v>-1.8125</v>
      </c>
      <c r="CV141">
        <v>-0.4375</v>
      </c>
      <c r="CW141">
        <v>-1.8827343749999996</v>
      </c>
      <c r="CX141">
        <v>-1.2610937499999999</v>
      </c>
      <c r="CY141" t="s">
        <v>301</v>
      </c>
      <c r="CZ141">
        <v>14</v>
      </c>
      <c r="DA141">
        <v>-6.6787499999999991</v>
      </c>
      <c r="DB141">
        <v>7</v>
      </c>
      <c r="DC141">
        <v>10</v>
      </c>
      <c r="DD141">
        <v>5</v>
      </c>
      <c r="DE141">
        <v>4.3750000000000178E-2</v>
      </c>
      <c r="DF141">
        <v>15</v>
      </c>
      <c r="DG141">
        <v>9.25</v>
      </c>
      <c r="DH141">
        <v>0.5625</v>
      </c>
      <c r="DI141">
        <v>2</v>
      </c>
      <c r="DJ141">
        <v>3</v>
      </c>
      <c r="DK141">
        <v>4</v>
      </c>
      <c r="DL141">
        <v>2.2750000000000004</v>
      </c>
      <c r="DM141">
        <v>2</v>
      </c>
      <c r="DN141">
        <v>6.6875</v>
      </c>
      <c r="DO141">
        <v>-0.375</v>
      </c>
      <c r="DP141">
        <v>20</v>
      </c>
      <c r="DQ141">
        <v>16.5</v>
      </c>
      <c r="DR141">
        <v>16</v>
      </c>
      <c r="DS141">
        <v>-8.5874999999999986</v>
      </c>
      <c r="DT141">
        <v>17</v>
      </c>
      <c r="DU141">
        <v>-36.25</v>
      </c>
      <c r="DV141">
        <v>-1.3125</v>
      </c>
      <c r="DW141">
        <v>7</v>
      </c>
      <c r="DX141">
        <v>6.5</v>
      </c>
      <c r="DY141">
        <v>8</v>
      </c>
      <c r="DZ141">
        <v>1.3562500000000004</v>
      </c>
      <c r="EA141">
        <v>5</v>
      </c>
      <c r="EB141">
        <v>-1.625</v>
      </c>
      <c r="EC141">
        <v>1.8125</v>
      </c>
      <c r="ED141">
        <v>11</v>
      </c>
      <c r="EE141">
        <v>7.5</v>
      </c>
      <c r="EF141">
        <v>12</v>
      </c>
      <c r="EG141">
        <v>-4.8</v>
      </c>
      <c r="EH141">
        <v>3</v>
      </c>
      <c r="EI141">
        <v>-21.5625</v>
      </c>
      <c r="EJ141">
        <v>-1.25</v>
      </c>
      <c r="EK141">
        <v>18</v>
      </c>
      <c r="EL141">
        <v>18</v>
      </c>
      <c r="EM141">
        <v>22</v>
      </c>
      <c r="EN141">
        <v>-7.7062500000000016</v>
      </c>
      <c r="EO141">
        <v>14</v>
      </c>
      <c r="EP141">
        <v>-39.5625</v>
      </c>
      <c r="EQ141">
        <v>0</v>
      </c>
      <c r="ER141">
        <v>12</v>
      </c>
      <c r="ES141">
        <v>13</v>
      </c>
      <c r="ET141">
        <v>20</v>
      </c>
      <c r="EU141">
        <v>-3.5187500000000012</v>
      </c>
      <c r="EV141">
        <v>6</v>
      </c>
      <c r="EW141">
        <v>-20.6875</v>
      </c>
      <c r="EX141">
        <v>-1.8125</v>
      </c>
      <c r="EY141">
        <v>10</v>
      </c>
      <c r="EZ141">
        <v>11.5</v>
      </c>
      <c r="FA141">
        <v>16</v>
      </c>
      <c r="FB141">
        <v>-0.125</v>
      </c>
      <c r="FC141">
        <v>7</v>
      </c>
      <c r="FD141">
        <v>0.3125</v>
      </c>
      <c r="FE141">
        <v>-0.4375</v>
      </c>
      <c r="FF141">
        <v>18</v>
      </c>
      <c r="FG141">
        <v>16.25</v>
      </c>
      <c r="FH141">
        <v>18</v>
      </c>
      <c r="FI141">
        <v>-1.2107173340031321E-2</v>
      </c>
      <c r="FJ141">
        <v>16</v>
      </c>
      <c r="FK141">
        <v>1.8024688447968378E-2</v>
      </c>
      <c r="FL141">
        <v>8</v>
      </c>
      <c r="FM141">
        <v>-5.4999999999999982</v>
      </c>
      <c r="FN141">
        <v>23</v>
      </c>
      <c r="FO141">
        <v>-0.3125</v>
      </c>
      <c r="FP141">
        <v>-2.9375</v>
      </c>
      <c r="FQ141">
        <v>1.75</v>
      </c>
      <c r="FR141">
        <v>0.875</v>
      </c>
      <c r="FS141">
        <v>0.6875</v>
      </c>
      <c r="FT141">
        <v>-3.1875</v>
      </c>
      <c r="FU141">
        <v>-1.3125</v>
      </c>
      <c r="FV141">
        <v>-70.75</v>
      </c>
      <c r="FW141">
        <v>-95.1875</v>
      </c>
      <c r="FX141">
        <v>15.875</v>
      </c>
      <c r="FY141">
        <v>6.25E-2</v>
      </c>
      <c r="FZ141">
        <v>8.5</v>
      </c>
      <c r="GA141">
        <v>29</v>
      </c>
      <c r="GB141">
        <v>-8.9974999999999987</v>
      </c>
      <c r="GC141">
        <v>-5.6051249999999992</v>
      </c>
      <c r="GD141">
        <v>-111.0625</v>
      </c>
      <c r="GE141">
        <v>8.9974999999999987</v>
      </c>
      <c r="GF141">
        <v>-2.5043749999999996</v>
      </c>
      <c r="GG141">
        <v>-12.031249999999998</v>
      </c>
      <c r="GH141">
        <v>-59.4375</v>
      </c>
      <c r="GI141">
        <v>2.3187500000000005</v>
      </c>
      <c r="GJ141">
        <v>15.9375</v>
      </c>
      <c r="GK141">
        <v>-2.5625</v>
      </c>
      <c r="GL141">
        <v>0.1875</v>
      </c>
    </row>
    <row r="142" spans="1:194" x14ac:dyDescent="0.2">
      <c r="A142" s="39">
        <v>43744</v>
      </c>
      <c r="B142" s="22" t="s">
        <v>381</v>
      </c>
      <c r="C142" s="41" t="s">
        <v>288</v>
      </c>
      <c r="D142" s="22" t="s">
        <v>289</v>
      </c>
      <c r="E142">
        <v>25.3</v>
      </c>
      <c r="F142">
        <v>6.1</v>
      </c>
      <c r="G142" s="14">
        <v>11.3</v>
      </c>
      <c r="H142">
        <v>11</v>
      </c>
      <c r="I142">
        <v>-10.5</v>
      </c>
      <c r="J142">
        <v>55.5</v>
      </c>
      <c r="L142" s="1" t="s">
        <v>288</v>
      </c>
      <c r="M142">
        <v>8</v>
      </c>
      <c r="N142">
        <v>8.4712499999999995</v>
      </c>
      <c r="O142">
        <v>32</v>
      </c>
      <c r="P142">
        <v>30</v>
      </c>
      <c r="Q142">
        <v>28</v>
      </c>
      <c r="R142">
        <v>0.7874999999999992</v>
      </c>
      <c r="S142">
        <v>32</v>
      </c>
      <c r="T142">
        <v>-21.1875</v>
      </c>
      <c r="U142">
        <v>0.9375</v>
      </c>
      <c r="V142">
        <v>17</v>
      </c>
      <c r="W142">
        <v>16.5</v>
      </c>
      <c r="X142">
        <v>19</v>
      </c>
      <c r="Y142">
        <v>4.4937500000000004</v>
      </c>
      <c r="Z142">
        <v>14</v>
      </c>
      <c r="AA142">
        <v>14.25</v>
      </c>
      <c r="AB142">
        <v>1</v>
      </c>
      <c r="AC142">
        <v>8</v>
      </c>
      <c r="AD142">
        <v>7</v>
      </c>
      <c r="AE142">
        <v>6</v>
      </c>
      <c r="AF142">
        <v>5.4</v>
      </c>
      <c r="AG142">
        <v>8</v>
      </c>
      <c r="AH142">
        <v>29.6875</v>
      </c>
      <c r="AI142">
        <v>1.6875</v>
      </c>
      <c r="AJ142">
        <v>26</v>
      </c>
      <c r="AK142">
        <v>26.5</v>
      </c>
      <c r="AL142">
        <v>27</v>
      </c>
      <c r="AM142">
        <v>1.2062500000000003</v>
      </c>
      <c r="AN142">
        <v>26</v>
      </c>
      <c r="AO142">
        <v>-7.5625</v>
      </c>
      <c r="AP142">
        <v>-1.6875</v>
      </c>
      <c r="AQ142">
        <v>9</v>
      </c>
      <c r="AR142">
        <v>9.5</v>
      </c>
      <c r="AS142">
        <v>11</v>
      </c>
      <c r="AT142">
        <v>3.5000000000000004</v>
      </c>
      <c r="AU142">
        <v>8</v>
      </c>
      <c r="AV142">
        <v>13.9375</v>
      </c>
      <c r="AW142">
        <v>0</v>
      </c>
      <c r="AX142">
        <v>2</v>
      </c>
      <c r="AY142">
        <v>3.5</v>
      </c>
      <c r="AZ142">
        <v>4</v>
      </c>
      <c r="BA142">
        <v>5.5625</v>
      </c>
      <c r="BB142">
        <v>3</v>
      </c>
      <c r="BC142">
        <v>31.25</v>
      </c>
      <c r="BD142">
        <v>1.4375</v>
      </c>
      <c r="BE142">
        <v>3</v>
      </c>
      <c r="BF142">
        <v>3.5</v>
      </c>
      <c r="BG142">
        <v>4</v>
      </c>
      <c r="BH142">
        <v>7.28125</v>
      </c>
      <c r="BI142">
        <v>3</v>
      </c>
      <c r="BJ142">
        <v>43.125</v>
      </c>
      <c r="BK142">
        <v>2.6875</v>
      </c>
      <c r="BL142">
        <v>15</v>
      </c>
      <c r="BM142">
        <v>14.5</v>
      </c>
      <c r="BN142">
        <v>12</v>
      </c>
      <c r="BO142">
        <v>2.125</v>
      </c>
      <c r="BP142">
        <v>17</v>
      </c>
      <c r="BQ142">
        <v>0.125</v>
      </c>
      <c r="BR142">
        <v>2.5625</v>
      </c>
      <c r="BS142">
        <v>29</v>
      </c>
      <c r="BT142">
        <v>25</v>
      </c>
      <c r="BU142">
        <v>26</v>
      </c>
      <c r="BV142">
        <v>-6.0474799440369556E-2</v>
      </c>
      <c r="BW142">
        <v>23</v>
      </c>
      <c r="BX142">
        <v>-3.2841030256247732E-2</v>
      </c>
      <c r="BY142">
        <v>25</v>
      </c>
      <c r="BZ142">
        <v>10.856249999999999</v>
      </c>
      <c r="CA142">
        <v>26</v>
      </c>
      <c r="CB142">
        <v>-4.4375</v>
      </c>
      <c r="CC142">
        <v>1.5625</v>
      </c>
      <c r="CD142">
        <v>7.8125</v>
      </c>
      <c r="CE142">
        <v>1.3125</v>
      </c>
      <c r="CF142">
        <v>78.8125</v>
      </c>
      <c r="CG142">
        <v>82.25</v>
      </c>
      <c r="CH142">
        <v>-8.1875</v>
      </c>
      <c r="CI142">
        <v>1.6875</v>
      </c>
      <c r="CJ142">
        <v>3.0625</v>
      </c>
      <c r="CK142">
        <v>13</v>
      </c>
      <c r="CL142">
        <v>3.1899999999999995</v>
      </c>
      <c r="CM142">
        <v>2.5311250000000003</v>
      </c>
      <c r="CN142">
        <v>90.4375</v>
      </c>
      <c r="CO142">
        <v>-3.1899999999999995</v>
      </c>
      <c r="CP142">
        <v>4.1581250000000001</v>
      </c>
      <c r="CQ142">
        <v>10.106250000000001</v>
      </c>
      <c r="CR142">
        <v>36.0625</v>
      </c>
      <c r="CS142">
        <v>5.28125</v>
      </c>
      <c r="CT142">
        <v>-6.9375</v>
      </c>
      <c r="CU142">
        <v>2.6875</v>
      </c>
      <c r="CV142">
        <v>1.9375</v>
      </c>
      <c r="CW142">
        <v>0.32062500000000016</v>
      </c>
      <c r="CX142">
        <v>0.43015625000000002</v>
      </c>
      <c r="CY142" t="s">
        <v>289</v>
      </c>
      <c r="CZ142">
        <v>25</v>
      </c>
      <c r="DA142">
        <v>0.63874999999999993</v>
      </c>
      <c r="DB142">
        <v>20</v>
      </c>
      <c r="DC142">
        <v>21</v>
      </c>
      <c r="DD142">
        <v>17</v>
      </c>
      <c r="DE142">
        <v>3.1875</v>
      </c>
      <c r="DF142">
        <v>25</v>
      </c>
      <c r="DG142">
        <v>14.4375</v>
      </c>
      <c r="DH142">
        <v>0.25</v>
      </c>
      <c r="DI142">
        <v>16</v>
      </c>
      <c r="DJ142">
        <v>16.5</v>
      </c>
      <c r="DK142">
        <v>26</v>
      </c>
      <c r="DL142">
        <v>-1.4937499999999999</v>
      </c>
      <c r="DM142">
        <v>7</v>
      </c>
      <c r="DN142">
        <v>1</v>
      </c>
      <c r="DO142">
        <v>-0.4375</v>
      </c>
      <c r="DP142">
        <v>24</v>
      </c>
      <c r="DQ142">
        <v>20</v>
      </c>
      <c r="DR142">
        <v>21</v>
      </c>
      <c r="DS142">
        <v>1.6125000000000009</v>
      </c>
      <c r="DT142">
        <v>19</v>
      </c>
      <c r="DU142">
        <v>8.875</v>
      </c>
      <c r="DV142">
        <v>-0.1875</v>
      </c>
      <c r="DW142">
        <v>5</v>
      </c>
      <c r="DX142">
        <v>5.5</v>
      </c>
      <c r="DY142">
        <v>7</v>
      </c>
      <c r="DZ142">
        <v>-6.7</v>
      </c>
      <c r="EA142">
        <v>4</v>
      </c>
      <c r="EB142">
        <v>-33.25</v>
      </c>
      <c r="EC142">
        <v>-2.3125</v>
      </c>
      <c r="ED142">
        <v>29</v>
      </c>
      <c r="EE142">
        <v>26</v>
      </c>
      <c r="EF142">
        <v>24</v>
      </c>
      <c r="EG142">
        <v>1.6750000000000003</v>
      </c>
      <c r="EH142">
        <v>28</v>
      </c>
      <c r="EI142">
        <v>-3.3125</v>
      </c>
      <c r="EJ142">
        <v>-1.3125</v>
      </c>
      <c r="EK142">
        <v>17</v>
      </c>
      <c r="EL142">
        <v>16.5</v>
      </c>
      <c r="EM142">
        <v>15</v>
      </c>
      <c r="EN142">
        <v>1.1625000000000005</v>
      </c>
      <c r="EO142">
        <v>18</v>
      </c>
      <c r="EP142">
        <v>11.625</v>
      </c>
      <c r="EQ142">
        <v>-0.125</v>
      </c>
      <c r="ER142">
        <v>27</v>
      </c>
      <c r="ES142">
        <v>26</v>
      </c>
      <c r="ET142">
        <v>27</v>
      </c>
      <c r="EU142">
        <v>2.5812500000000016</v>
      </c>
      <c r="EV142">
        <v>25</v>
      </c>
      <c r="EW142">
        <v>0</v>
      </c>
      <c r="EX142">
        <v>0.25</v>
      </c>
      <c r="EY142">
        <v>5</v>
      </c>
      <c r="EZ142">
        <v>4.5</v>
      </c>
      <c r="FA142">
        <v>5</v>
      </c>
      <c r="FB142">
        <v>0.1875</v>
      </c>
      <c r="FC142">
        <v>4</v>
      </c>
      <c r="FD142">
        <v>-0.1875</v>
      </c>
      <c r="FE142">
        <v>-0.6875</v>
      </c>
      <c r="FF142">
        <v>28</v>
      </c>
      <c r="FG142">
        <v>23</v>
      </c>
      <c r="FH142">
        <v>27</v>
      </c>
      <c r="FI142">
        <v>-4.2868291082606216E-2</v>
      </c>
      <c r="FJ142">
        <v>18</v>
      </c>
      <c r="FK142">
        <v>-4.3292445252348065E-3</v>
      </c>
      <c r="FL142">
        <v>26</v>
      </c>
      <c r="FM142">
        <v>11.875000000000004</v>
      </c>
      <c r="FN142">
        <v>21</v>
      </c>
      <c r="FO142">
        <v>-2.0625</v>
      </c>
      <c r="FP142">
        <v>-3.9375</v>
      </c>
      <c r="FQ142">
        <v>0.375</v>
      </c>
      <c r="FR142">
        <v>-0.625</v>
      </c>
      <c r="FS142">
        <v>-4</v>
      </c>
      <c r="FT142">
        <v>3.3125</v>
      </c>
      <c r="FU142">
        <v>0.75</v>
      </c>
      <c r="FV142">
        <v>-2.6875</v>
      </c>
      <c r="FW142">
        <v>-30.4375</v>
      </c>
      <c r="FX142">
        <v>17.375</v>
      </c>
      <c r="FY142">
        <v>13.1875</v>
      </c>
      <c r="FZ142">
        <v>-2.8125</v>
      </c>
      <c r="GA142">
        <v>20</v>
      </c>
      <c r="GB142">
        <v>-1.0550000000000002</v>
      </c>
      <c r="GC142">
        <v>-0.88537499999999958</v>
      </c>
      <c r="GD142">
        <v>-47.8125</v>
      </c>
      <c r="GE142">
        <v>1.0550000000000002</v>
      </c>
      <c r="GF142">
        <v>0.21109375000000036</v>
      </c>
      <c r="GG142">
        <v>-3.4124999999999992</v>
      </c>
      <c r="GH142">
        <v>-27.6875</v>
      </c>
      <c r="GI142">
        <v>1.6937500000000001</v>
      </c>
      <c r="GJ142">
        <v>15.4375</v>
      </c>
      <c r="GK142">
        <v>-3.5625</v>
      </c>
      <c r="GL142">
        <v>-0.1875</v>
      </c>
    </row>
    <row r="143" spans="1:194" x14ac:dyDescent="0.2">
      <c r="A143" s="39">
        <v>43744</v>
      </c>
      <c r="B143" s="22" t="s">
        <v>381</v>
      </c>
      <c r="C143" s="41" t="s">
        <v>303</v>
      </c>
      <c r="D143" s="22" t="s">
        <v>265</v>
      </c>
      <c r="E143" s="3">
        <v>2.2000000000000002</v>
      </c>
      <c r="F143" s="3">
        <v>7.2</v>
      </c>
      <c r="G143" s="3">
        <v>3.1</v>
      </c>
      <c r="H143">
        <f>8.6+7.9+4.2</f>
        <v>20.7</v>
      </c>
      <c r="I143">
        <v>6.5</v>
      </c>
      <c r="J143">
        <v>38.5</v>
      </c>
      <c r="L143" s="1" t="s">
        <v>303</v>
      </c>
      <c r="M143">
        <v>29</v>
      </c>
      <c r="N143">
        <v>-3.5562499999999986</v>
      </c>
      <c r="O143">
        <v>7</v>
      </c>
      <c r="P143">
        <v>7.5</v>
      </c>
      <c r="Q143">
        <v>12</v>
      </c>
      <c r="R143">
        <v>-5.4375</v>
      </c>
      <c r="S143">
        <v>3</v>
      </c>
      <c r="T143">
        <v>-5.875</v>
      </c>
      <c r="U143">
        <v>-2.125</v>
      </c>
      <c r="V143">
        <v>22</v>
      </c>
      <c r="W143">
        <v>19.5</v>
      </c>
      <c r="X143">
        <v>17</v>
      </c>
      <c r="Y143">
        <v>-2.53125</v>
      </c>
      <c r="Z143">
        <v>22</v>
      </c>
      <c r="AA143">
        <v>-14.25</v>
      </c>
      <c r="AB143">
        <v>-6.25E-2</v>
      </c>
      <c r="AC143">
        <v>30</v>
      </c>
      <c r="AD143">
        <v>30.5</v>
      </c>
      <c r="AE143">
        <v>31</v>
      </c>
      <c r="AF143">
        <v>0.39999999999999947</v>
      </c>
      <c r="AG143">
        <v>30</v>
      </c>
      <c r="AH143">
        <v>-10.125</v>
      </c>
      <c r="AI143">
        <v>-1.25</v>
      </c>
      <c r="AJ143">
        <v>24</v>
      </c>
      <c r="AK143">
        <v>23</v>
      </c>
      <c r="AL143">
        <v>22</v>
      </c>
      <c r="AM143">
        <v>-3.6937499999999996</v>
      </c>
      <c r="AN143">
        <v>24</v>
      </c>
      <c r="AO143">
        <v>-21.8125</v>
      </c>
      <c r="AP143">
        <v>-0.1875</v>
      </c>
      <c r="AQ143">
        <v>25</v>
      </c>
      <c r="AR143">
        <v>25</v>
      </c>
      <c r="AS143">
        <v>25</v>
      </c>
      <c r="AT143">
        <v>0.66249999999999987</v>
      </c>
      <c r="AU143">
        <v>25</v>
      </c>
      <c r="AV143">
        <v>-14.8125</v>
      </c>
      <c r="AW143">
        <v>-0.375</v>
      </c>
      <c r="AX143">
        <v>24</v>
      </c>
      <c r="AY143">
        <v>25</v>
      </c>
      <c r="AZ143">
        <v>27</v>
      </c>
      <c r="BA143">
        <v>-2.118749999999999</v>
      </c>
      <c r="BB143">
        <v>23</v>
      </c>
      <c r="BC143">
        <v>-23.0625</v>
      </c>
      <c r="BD143">
        <v>-0.1875</v>
      </c>
      <c r="BE143">
        <v>5</v>
      </c>
      <c r="BF143">
        <v>6</v>
      </c>
      <c r="BG143">
        <v>6</v>
      </c>
      <c r="BH143">
        <v>7.8062500000000004</v>
      </c>
      <c r="BI143">
        <v>6</v>
      </c>
      <c r="BJ143">
        <v>38.6875</v>
      </c>
      <c r="BK143">
        <v>3.125</v>
      </c>
      <c r="BL143">
        <v>19</v>
      </c>
      <c r="BM143">
        <v>19.5</v>
      </c>
      <c r="BN143">
        <v>26</v>
      </c>
      <c r="BO143">
        <v>-2.6875</v>
      </c>
      <c r="BP143">
        <v>13</v>
      </c>
      <c r="BQ143">
        <v>-0.6875</v>
      </c>
      <c r="BR143">
        <v>-0.8125</v>
      </c>
      <c r="BS143">
        <v>19</v>
      </c>
      <c r="BT143">
        <v>17.25</v>
      </c>
      <c r="BU143">
        <v>14</v>
      </c>
      <c r="BV143">
        <v>-8.2473910443931306E-2</v>
      </c>
      <c r="BW143">
        <v>21</v>
      </c>
      <c r="BX143">
        <v>-4.7636284090154957E-3</v>
      </c>
      <c r="BY143">
        <v>32</v>
      </c>
      <c r="BZ143">
        <v>2.2312500000000028</v>
      </c>
      <c r="CA143">
        <v>2</v>
      </c>
      <c r="CB143">
        <v>-6.25E-2</v>
      </c>
      <c r="CC143">
        <v>-3.0625</v>
      </c>
      <c r="CD143">
        <v>-3.5625</v>
      </c>
      <c r="CE143">
        <v>1.3125</v>
      </c>
      <c r="CF143">
        <v>-25.625</v>
      </c>
      <c r="CG143">
        <v>-20</v>
      </c>
      <c r="CH143">
        <v>-10.625</v>
      </c>
      <c r="CI143">
        <v>10.6875</v>
      </c>
      <c r="CJ143">
        <v>-5.6875</v>
      </c>
      <c r="CK143">
        <v>9</v>
      </c>
      <c r="CL143">
        <v>4.4125000000000014</v>
      </c>
      <c r="CM143">
        <v>4.3081250000000004</v>
      </c>
      <c r="CN143">
        <v>-9.375</v>
      </c>
      <c r="CO143">
        <v>-4.4125000000000014</v>
      </c>
      <c r="CP143">
        <v>-1.1296875</v>
      </c>
      <c r="CQ143">
        <v>-2.6312500000000005</v>
      </c>
      <c r="CR143">
        <v>-46.75</v>
      </c>
      <c r="CS143">
        <v>-7.96875</v>
      </c>
      <c r="CT143">
        <v>-20.125</v>
      </c>
      <c r="CU143">
        <v>1.3125</v>
      </c>
      <c r="CV143">
        <v>-2.1875</v>
      </c>
      <c r="CW143">
        <v>-0.49359374999999994</v>
      </c>
      <c r="CX143">
        <v>0.16265625000000011</v>
      </c>
      <c r="CY143" t="s">
        <v>265</v>
      </c>
      <c r="CZ143">
        <v>29</v>
      </c>
      <c r="DA143">
        <v>-1.5175000000000001</v>
      </c>
      <c r="DB143">
        <v>12</v>
      </c>
      <c r="DC143">
        <v>11.5</v>
      </c>
      <c r="DD143">
        <v>15</v>
      </c>
      <c r="DE143">
        <v>-6.2</v>
      </c>
      <c r="DF143">
        <v>8</v>
      </c>
      <c r="DG143">
        <v>-21.125</v>
      </c>
      <c r="DH143">
        <v>1</v>
      </c>
      <c r="DI143">
        <v>14</v>
      </c>
      <c r="DJ143">
        <v>15</v>
      </c>
      <c r="DK143">
        <v>14</v>
      </c>
      <c r="DL143">
        <v>6.8750000000000089E-2</v>
      </c>
      <c r="DM143">
        <v>16</v>
      </c>
      <c r="DN143">
        <v>-6.6875</v>
      </c>
      <c r="DO143">
        <v>0.1875</v>
      </c>
      <c r="DP143">
        <v>25</v>
      </c>
      <c r="DQ143">
        <v>20</v>
      </c>
      <c r="DR143">
        <v>19</v>
      </c>
      <c r="DS143">
        <v>-8.5</v>
      </c>
      <c r="DT143">
        <v>21</v>
      </c>
      <c r="DU143">
        <v>-37.6875</v>
      </c>
      <c r="DV143">
        <v>-2.3125</v>
      </c>
      <c r="DW143">
        <v>28</v>
      </c>
      <c r="DX143">
        <v>27</v>
      </c>
      <c r="DY143">
        <v>28</v>
      </c>
      <c r="DZ143">
        <v>7.6624999999999996</v>
      </c>
      <c r="EA143">
        <v>26</v>
      </c>
      <c r="EB143">
        <v>30.9375</v>
      </c>
      <c r="EC143">
        <v>2.25</v>
      </c>
      <c r="ED143">
        <v>20</v>
      </c>
      <c r="EE143">
        <v>19.5</v>
      </c>
      <c r="EF143">
        <v>20</v>
      </c>
      <c r="EG143">
        <v>-0.89999999999999969</v>
      </c>
      <c r="EH143">
        <v>19</v>
      </c>
      <c r="EI143">
        <v>-3.1875</v>
      </c>
      <c r="EJ143">
        <v>0.75</v>
      </c>
      <c r="EK143">
        <v>21</v>
      </c>
      <c r="EL143">
        <v>21.5</v>
      </c>
      <c r="EM143">
        <v>20</v>
      </c>
      <c r="EN143">
        <v>3.9187499999999993</v>
      </c>
      <c r="EO143">
        <v>23</v>
      </c>
      <c r="EP143">
        <v>6.6875</v>
      </c>
      <c r="EQ143">
        <v>2.75</v>
      </c>
      <c r="ER143">
        <v>15</v>
      </c>
      <c r="ES143">
        <v>15</v>
      </c>
      <c r="ET143">
        <v>12</v>
      </c>
      <c r="EU143">
        <v>2.5625</v>
      </c>
      <c r="EV143">
        <v>18</v>
      </c>
      <c r="EW143">
        <v>9.6875</v>
      </c>
      <c r="EX143">
        <v>1.3125</v>
      </c>
      <c r="EY143">
        <v>15</v>
      </c>
      <c r="EZ143">
        <v>13</v>
      </c>
      <c r="FA143">
        <v>14</v>
      </c>
      <c r="FB143">
        <v>-2.375</v>
      </c>
      <c r="FC143">
        <v>12</v>
      </c>
      <c r="FD143">
        <v>-0.1875</v>
      </c>
      <c r="FE143">
        <v>-0.1875</v>
      </c>
      <c r="FF143">
        <v>32</v>
      </c>
      <c r="FG143">
        <v>29.25</v>
      </c>
      <c r="FH143">
        <v>28</v>
      </c>
      <c r="FI143">
        <v>-4.4184995537152452E-2</v>
      </c>
      <c r="FJ143">
        <v>29</v>
      </c>
      <c r="FK143">
        <v>3.9269433097488406E-2</v>
      </c>
      <c r="FL143">
        <v>29</v>
      </c>
      <c r="FM143">
        <v>1.6437500000000007</v>
      </c>
      <c r="FN143">
        <v>31</v>
      </c>
      <c r="FO143">
        <v>5.5625</v>
      </c>
      <c r="FP143">
        <v>5.6875</v>
      </c>
      <c r="FQ143">
        <v>-2.1875</v>
      </c>
      <c r="FR143">
        <v>-0.8125</v>
      </c>
      <c r="FS143">
        <v>4.3125</v>
      </c>
      <c r="FT143">
        <v>-7.8125</v>
      </c>
      <c r="FU143">
        <v>0</v>
      </c>
      <c r="FV143">
        <v>-18.6875</v>
      </c>
      <c r="FW143">
        <v>17.6875</v>
      </c>
      <c r="FX143">
        <v>-30.625</v>
      </c>
      <c r="FY143">
        <v>-1.1875</v>
      </c>
      <c r="FZ143">
        <v>-4.5625</v>
      </c>
      <c r="GA143">
        <v>10</v>
      </c>
      <c r="GB143">
        <v>4.6137499999999996</v>
      </c>
      <c r="GC143">
        <v>2.9271249999999998</v>
      </c>
      <c r="GD143">
        <v>48.3125</v>
      </c>
      <c r="GE143">
        <v>-4.6137499999999996</v>
      </c>
      <c r="GF143">
        <v>-1.1498437500000001</v>
      </c>
      <c r="GG143">
        <v>-1.7375</v>
      </c>
      <c r="GH143">
        <v>-9.9375</v>
      </c>
      <c r="GI143">
        <v>-6.1312499999999996</v>
      </c>
      <c r="GJ143">
        <v>-27.8125</v>
      </c>
      <c r="GK143">
        <v>2</v>
      </c>
      <c r="GL143">
        <v>1.1875</v>
      </c>
    </row>
    <row r="144" spans="1:194" x14ac:dyDescent="0.2">
      <c r="A144" s="39">
        <v>43744</v>
      </c>
      <c r="B144" s="22" t="s">
        <v>381</v>
      </c>
      <c r="C144" s="41" t="s">
        <v>287</v>
      </c>
      <c r="D144" s="22" t="s">
        <v>278</v>
      </c>
      <c r="E144">
        <v>5.8</v>
      </c>
      <c r="F144">
        <v>13.4</v>
      </c>
      <c r="G144">
        <v>2.2999999999999998</v>
      </c>
      <c r="H144">
        <v>1.5</v>
      </c>
      <c r="I144">
        <v>-4</v>
      </c>
      <c r="J144">
        <v>46</v>
      </c>
      <c r="K144" t="s">
        <v>110</v>
      </c>
      <c r="L144" s="1" t="s">
        <v>287</v>
      </c>
      <c r="M144">
        <v>28</v>
      </c>
      <c r="N144">
        <v>-0.29625000000000012</v>
      </c>
      <c r="O144">
        <v>17</v>
      </c>
      <c r="P144">
        <v>17</v>
      </c>
      <c r="Q144">
        <v>17</v>
      </c>
      <c r="R144">
        <v>6.0374999999999996</v>
      </c>
      <c r="S144">
        <v>17</v>
      </c>
      <c r="T144">
        <v>-20.8125</v>
      </c>
      <c r="U144">
        <v>1.5</v>
      </c>
      <c r="V144">
        <v>3</v>
      </c>
      <c r="W144">
        <v>4.5</v>
      </c>
      <c r="X144">
        <v>1</v>
      </c>
      <c r="Y144">
        <v>0.34374999999999978</v>
      </c>
      <c r="Z144">
        <v>8</v>
      </c>
      <c r="AA144">
        <v>12</v>
      </c>
      <c r="AB144">
        <v>0.625</v>
      </c>
      <c r="AC144">
        <v>9</v>
      </c>
      <c r="AD144">
        <v>10</v>
      </c>
      <c r="AE144">
        <v>9</v>
      </c>
      <c r="AF144">
        <v>5.6875000000000009</v>
      </c>
      <c r="AG144">
        <v>11</v>
      </c>
      <c r="AH144">
        <v>29.75</v>
      </c>
      <c r="AI144">
        <v>3.0625</v>
      </c>
      <c r="AJ144">
        <v>5</v>
      </c>
      <c r="AK144">
        <v>5.5</v>
      </c>
      <c r="AL144">
        <v>10</v>
      </c>
      <c r="AM144">
        <v>-0.13749999999999951</v>
      </c>
      <c r="AN144">
        <v>1</v>
      </c>
      <c r="AO144">
        <v>12.625</v>
      </c>
      <c r="AP144">
        <v>-0.375</v>
      </c>
      <c r="AQ144">
        <v>28</v>
      </c>
      <c r="AR144">
        <v>28.5</v>
      </c>
      <c r="AS144">
        <v>30</v>
      </c>
      <c r="AT144">
        <v>-2.5750000000000002</v>
      </c>
      <c r="AU144">
        <v>27</v>
      </c>
      <c r="AV144">
        <v>-5.3125</v>
      </c>
      <c r="AW144">
        <v>-1.1875</v>
      </c>
      <c r="AX144">
        <v>10</v>
      </c>
      <c r="AY144">
        <v>11</v>
      </c>
      <c r="AZ144">
        <v>11</v>
      </c>
      <c r="BA144">
        <v>-3.4687499999999982</v>
      </c>
      <c r="BB144">
        <v>11</v>
      </c>
      <c r="BC144">
        <v>-23.4375</v>
      </c>
      <c r="BD144">
        <v>-1.3125</v>
      </c>
      <c r="BE144">
        <v>26</v>
      </c>
      <c r="BF144">
        <v>26.5</v>
      </c>
      <c r="BG144">
        <v>27</v>
      </c>
      <c r="BH144">
        <v>-6.3000000000000007</v>
      </c>
      <c r="BI144">
        <v>26</v>
      </c>
      <c r="BJ144">
        <v>-22.125</v>
      </c>
      <c r="BK144">
        <v>-2.75</v>
      </c>
      <c r="BL144">
        <v>4</v>
      </c>
      <c r="BM144">
        <v>7</v>
      </c>
      <c r="BN144">
        <v>11</v>
      </c>
      <c r="BO144">
        <v>-0.125</v>
      </c>
      <c r="BP144">
        <v>3</v>
      </c>
      <c r="BQ144">
        <v>6.25E-2</v>
      </c>
      <c r="BR144">
        <v>-3.5625</v>
      </c>
      <c r="BS144">
        <v>10</v>
      </c>
      <c r="BT144">
        <v>12.75</v>
      </c>
      <c r="BU144">
        <v>24</v>
      </c>
      <c r="BV144">
        <v>5.6148618558789984E-2</v>
      </c>
      <c r="BW144">
        <v>12</v>
      </c>
      <c r="BX144">
        <v>8.5061476531864775E-3</v>
      </c>
      <c r="BY144">
        <v>7</v>
      </c>
      <c r="BZ144">
        <v>11.531250000000002</v>
      </c>
      <c r="CA144">
        <v>8</v>
      </c>
      <c r="CB144">
        <v>0.8125</v>
      </c>
      <c r="CC144">
        <v>-1.25</v>
      </c>
      <c r="CD144">
        <v>-3.125</v>
      </c>
      <c r="CE144">
        <v>-1.75</v>
      </c>
      <c r="CF144">
        <v>10.0625</v>
      </c>
      <c r="CG144">
        <v>37.8125</v>
      </c>
      <c r="CH144">
        <v>-13.375</v>
      </c>
      <c r="CI144">
        <v>-5.4375</v>
      </c>
      <c r="CJ144">
        <v>-8.9375</v>
      </c>
      <c r="CK144">
        <v>27</v>
      </c>
      <c r="CL144">
        <v>-6.6775000000000002</v>
      </c>
      <c r="CM144">
        <v>-3.9148749999999994</v>
      </c>
      <c r="CN144">
        <v>51.1875</v>
      </c>
      <c r="CO144">
        <v>6.6775000000000002</v>
      </c>
      <c r="CP144">
        <v>0.3293750000000002</v>
      </c>
      <c r="CQ144">
        <v>2.9750000000000014</v>
      </c>
      <c r="CR144">
        <v>37.0625</v>
      </c>
      <c r="CS144">
        <v>6.3812499999999996</v>
      </c>
      <c r="CT144">
        <v>-8.8125</v>
      </c>
      <c r="CU144">
        <v>-1.25</v>
      </c>
      <c r="CV144">
        <v>2.125</v>
      </c>
      <c r="CW144">
        <v>0.227109375</v>
      </c>
      <c r="CX144">
        <v>0.48531250000000004</v>
      </c>
      <c r="CY144" t="s">
        <v>278</v>
      </c>
      <c r="CZ144">
        <v>15</v>
      </c>
      <c r="DA144">
        <v>-3.5612500000000007</v>
      </c>
      <c r="DB144">
        <v>28</v>
      </c>
      <c r="DC144">
        <v>24.5</v>
      </c>
      <c r="DD144">
        <v>25</v>
      </c>
      <c r="DE144">
        <v>6.5187499999999998</v>
      </c>
      <c r="DF144">
        <v>24</v>
      </c>
      <c r="DG144">
        <v>28.625</v>
      </c>
      <c r="DH144">
        <v>-1.4375</v>
      </c>
      <c r="DI144">
        <v>28</v>
      </c>
      <c r="DJ144">
        <v>25.5</v>
      </c>
      <c r="DK144">
        <v>28</v>
      </c>
      <c r="DL144">
        <v>1.46875</v>
      </c>
      <c r="DM144">
        <v>23</v>
      </c>
      <c r="DN144">
        <v>17.875</v>
      </c>
      <c r="DO144">
        <v>-0.75</v>
      </c>
      <c r="DP144">
        <v>14</v>
      </c>
      <c r="DQ144">
        <v>8.5</v>
      </c>
      <c r="DR144">
        <v>9</v>
      </c>
      <c r="DS144">
        <v>-0.45624999999999982</v>
      </c>
      <c r="DT144">
        <v>8</v>
      </c>
      <c r="DU144">
        <v>3.125</v>
      </c>
      <c r="DV144">
        <v>-1.5</v>
      </c>
      <c r="DW144">
        <v>17</v>
      </c>
      <c r="DX144">
        <v>16.5</v>
      </c>
      <c r="DY144">
        <v>14</v>
      </c>
      <c r="DZ144">
        <v>-2.0687500000000005</v>
      </c>
      <c r="EA144">
        <v>19</v>
      </c>
      <c r="EB144">
        <v>-7.25</v>
      </c>
      <c r="EC144">
        <v>0.1875</v>
      </c>
      <c r="ED144">
        <v>15</v>
      </c>
      <c r="EE144">
        <v>7.5</v>
      </c>
      <c r="EF144">
        <v>9</v>
      </c>
      <c r="EG144">
        <v>-4.6687500000000002</v>
      </c>
      <c r="EH144">
        <v>6</v>
      </c>
      <c r="EI144">
        <v>-15.25</v>
      </c>
      <c r="EJ144">
        <v>-0.5</v>
      </c>
      <c r="EK144">
        <v>30</v>
      </c>
      <c r="EL144">
        <v>28.5</v>
      </c>
      <c r="EM144">
        <v>28</v>
      </c>
      <c r="EN144">
        <v>-2.2999999999999994</v>
      </c>
      <c r="EO144">
        <v>29</v>
      </c>
      <c r="EP144">
        <v>-3</v>
      </c>
      <c r="EQ144">
        <v>-1.6875</v>
      </c>
      <c r="ER144">
        <v>6</v>
      </c>
      <c r="ES144">
        <v>8</v>
      </c>
      <c r="ET144">
        <v>9</v>
      </c>
      <c r="EU144">
        <v>-1.6687499999999995</v>
      </c>
      <c r="EV144">
        <v>7</v>
      </c>
      <c r="EW144">
        <v>-3.75</v>
      </c>
      <c r="EX144">
        <v>-0.1875</v>
      </c>
      <c r="EY144">
        <v>9</v>
      </c>
      <c r="EZ144">
        <v>9.5</v>
      </c>
      <c r="FA144">
        <v>8</v>
      </c>
      <c r="FB144">
        <v>4.1875</v>
      </c>
      <c r="FC144">
        <v>11</v>
      </c>
      <c r="FD144">
        <v>0.9375</v>
      </c>
      <c r="FE144">
        <v>-1.9375</v>
      </c>
      <c r="FF144">
        <v>12</v>
      </c>
      <c r="FG144">
        <v>14.5</v>
      </c>
      <c r="FH144">
        <v>25</v>
      </c>
      <c r="FI144">
        <v>-2.552080867802195E-2</v>
      </c>
      <c r="FJ144">
        <v>6</v>
      </c>
      <c r="FK144">
        <v>-2.2886453811001312E-2</v>
      </c>
      <c r="FL144">
        <v>10</v>
      </c>
      <c r="FM144">
        <v>-5.2249999999999979</v>
      </c>
      <c r="FN144">
        <v>17</v>
      </c>
      <c r="FO144">
        <v>-3.75</v>
      </c>
      <c r="FP144">
        <v>-5</v>
      </c>
      <c r="FQ144">
        <v>6.375</v>
      </c>
      <c r="FR144">
        <v>-1</v>
      </c>
      <c r="FS144">
        <v>-1</v>
      </c>
      <c r="FT144">
        <v>4.5</v>
      </c>
      <c r="FU144">
        <v>-0.875</v>
      </c>
      <c r="FV144">
        <v>14.1875</v>
      </c>
      <c r="FW144">
        <v>-25.75</v>
      </c>
      <c r="FX144">
        <v>43.625</v>
      </c>
      <c r="FY144">
        <v>4.6875</v>
      </c>
      <c r="FZ144">
        <v>-8.375</v>
      </c>
      <c r="GA144">
        <v>31</v>
      </c>
      <c r="GB144">
        <v>-11.54875</v>
      </c>
      <c r="GC144">
        <v>-6.4785000000000004</v>
      </c>
      <c r="GD144">
        <v>-69.375</v>
      </c>
      <c r="GE144">
        <v>11.54875</v>
      </c>
      <c r="GF144">
        <v>-3.1093750000000031E-2</v>
      </c>
      <c r="GG144">
        <v>-7.1937500000000005</v>
      </c>
      <c r="GH144">
        <v>-19.375</v>
      </c>
      <c r="GI144">
        <v>7.9874999999999998</v>
      </c>
      <c r="GJ144">
        <v>46.5</v>
      </c>
      <c r="GK144">
        <v>-2</v>
      </c>
      <c r="GL144">
        <v>-2.1875</v>
      </c>
    </row>
    <row r="145" spans="1:194" x14ac:dyDescent="0.2">
      <c r="A145" s="39">
        <v>43744</v>
      </c>
      <c r="B145" s="26" t="s">
        <v>381</v>
      </c>
      <c r="C145" s="41" t="s">
        <v>304</v>
      </c>
      <c r="D145" s="26" t="s">
        <v>308</v>
      </c>
      <c r="E145" s="14">
        <v>29.7</v>
      </c>
      <c r="F145">
        <v>9.8000000000000007</v>
      </c>
      <c r="G145">
        <v>6.6</v>
      </c>
      <c r="H145" s="14">
        <f>23.6+7.7</f>
        <v>31.3</v>
      </c>
      <c r="I145">
        <v>1.5</v>
      </c>
      <c r="J145">
        <v>49</v>
      </c>
      <c r="K145" s="35"/>
      <c r="L145" s="1" t="s">
        <v>304</v>
      </c>
      <c r="M145">
        <v>25</v>
      </c>
      <c r="N145">
        <v>-1.8062500000000008</v>
      </c>
      <c r="O145">
        <v>12</v>
      </c>
      <c r="P145">
        <v>14.5</v>
      </c>
      <c r="Q145">
        <v>15</v>
      </c>
      <c r="R145">
        <v>0.99375000000000124</v>
      </c>
      <c r="S145">
        <v>14</v>
      </c>
      <c r="T145">
        <v>-0.875</v>
      </c>
      <c r="U145">
        <v>0.3125</v>
      </c>
      <c r="V145">
        <v>21</v>
      </c>
      <c r="W145">
        <v>19</v>
      </c>
      <c r="X145">
        <v>21</v>
      </c>
      <c r="Y145">
        <v>1.1187500000000001</v>
      </c>
      <c r="Z145">
        <v>17</v>
      </c>
      <c r="AA145">
        <v>5.6875</v>
      </c>
      <c r="AB145">
        <v>-0.9375</v>
      </c>
      <c r="AC145">
        <v>12</v>
      </c>
      <c r="AD145">
        <v>13</v>
      </c>
      <c r="AE145">
        <v>13</v>
      </c>
      <c r="AF145">
        <v>7.1812499999999986</v>
      </c>
      <c r="AG145">
        <v>13</v>
      </c>
      <c r="AH145">
        <v>28</v>
      </c>
      <c r="AI145">
        <v>2.375</v>
      </c>
      <c r="AJ145">
        <v>4</v>
      </c>
      <c r="AK145">
        <v>4.5</v>
      </c>
      <c r="AL145">
        <v>7</v>
      </c>
      <c r="AM145">
        <v>3.4187500000000002</v>
      </c>
      <c r="AN145">
        <v>2</v>
      </c>
      <c r="AO145">
        <v>10</v>
      </c>
      <c r="AP145">
        <v>2.75</v>
      </c>
      <c r="AQ145">
        <v>8</v>
      </c>
      <c r="AR145">
        <v>8.5</v>
      </c>
      <c r="AS145">
        <v>8</v>
      </c>
      <c r="AT145">
        <v>7.4312500000000004</v>
      </c>
      <c r="AU145">
        <v>9</v>
      </c>
      <c r="AV145">
        <v>40.0625</v>
      </c>
      <c r="AW145">
        <v>2.9375</v>
      </c>
      <c r="AX145">
        <v>5</v>
      </c>
      <c r="AY145">
        <v>5</v>
      </c>
      <c r="AZ145">
        <v>8</v>
      </c>
      <c r="BA145">
        <v>5.9750000000000005</v>
      </c>
      <c r="BB145">
        <v>2</v>
      </c>
      <c r="BC145">
        <v>31.625</v>
      </c>
      <c r="BD145">
        <v>4.0625</v>
      </c>
      <c r="BE145">
        <v>12</v>
      </c>
      <c r="BF145">
        <v>12.5</v>
      </c>
      <c r="BG145">
        <v>14</v>
      </c>
      <c r="BH145">
        <v>-0.51875000000000027</v>
      </c>
      <c r="BI145">
        <v>11</v>
      </c>
      <c r="BJ145">
        <v>-9.5625</v>
      </c>
      <c r="BK145">
        <v>1.125</v>
      </c>
      <c r="BL145">
        <v>16</v>
      </c>
      <c r="BM145">
        <v>15.5</v>
      </c>
      <c r="BN145">
        <v>18</v>
      </c>
      <c r="BO145">
        <v>3.9375</v>
      </c>
      <c r="BP145">
        <v>13</v>
      </c>
      <c r="BQ145">
        <v>0.75</v>
      </c>
      <c r="BR145">
        <v>-0.3125</v>
      </c>
      <c r="BS145">
        <v>23</v>
      </c>
      <c r="BT145">
        <v>20.5</v>
      </c>
      <c r="BU145">
        <v>32</v>
      </c>
      <c r="BV145">
        <v>3.7003244735545643E-2</v>
      </c>
      <c r="BW145">
        <v>29</v>
      </c>
      <c r="BX145">
        <v>-3.4302893118874883E-2</v>
      </c>
      <c r="BY145">
        <v>8</v>
      </c>
      <c r="BZ145">
        <v>-3.9312499999999986</v>
      </c>
      <c r="CA145">
        <v>13</v>
      </c>
      <c r="CB145">
        <v>-1.125</v>
      </c>
      <c r="CC145">
        <v>4.75</v>
      </c>
      <c r="CD145">
        <v>5.75</v>
      </c>
      <c r="CE145">
        <v>-0.25</v>
      </c>
      <c r="CF145">
        <v>43.875</v>
      </c>
      <c r="CG145">
        <v>49.75</v>
      </c>
      <c r="CH145">
        <v>3.0625</v>
      </c>
      <c r="CI145">
        <v>7.8125</v>
      </c>
      <c r="CJ145">
        <v>-16.75</v>
      </c>
      <c r="CK145">
        <v>26</v>
      </c>
      <c r="CL145">
        <v>-3.918750000000002</v>
      </c>
      <c r="CM145">
        <v>2.0849999999999995</v>
      </c>
      <c r="CN145">
        <v>46.6875</v>
      </c>
      <c r="CO145">
        <v>3.9187500000000024</v>
      </c>
      <c r="CP145">
        <v>2.7195312499999997</v>
      </c>
      <c r="CQ145">
        <v>18.03125</v>
      </c>
      <c r="CR145">
        <v>78.0625</v>
      </c>
      <c r="CS145">
        <v>2.1125000000000016</v>
      </c>
      <c r="CT145">
        <v>4.8125</v>
      </c>
      <c r="CU145">
        <v>9.1875</v>
      </c>
      <c r="CV145">
        <v>-0.625</v>
      </c>
      <c r="CW145">
        <v>-0.1513281250000004</v>
      </c>
      <c r="CX145">
        <v>-0.20390625000000051</v>
      </c>
      <c r="CY145" t="s">
        <v>308</v>
      </c>
      <c r="CZ145">
        <v>17</v>
      </c>
      <c r="DA145">
        <v>1.4249999999999994</v>
      </c>
      <c r="DB145">
        <v>24</v>
      </c>
      <c r="DC145">
        <v>22</v>
      </c>
      <c r="DD145">
        <v>18</v>
      </c>
      <c r="DE145">
        <v>1.2812499999999993</v>
      </c>
      <c r="DF145">
        <v>26</v>
      </c>
      <c r="DG145">
        <v>-11.3125</v>
      </c>
      <c r="DH145">
        <v>1.6875</v>
      </c>
      <c r="DI145">
        <v>25</v>
      </c>
      <c r="DJ145">
        <v>22.5</v>
      </c>
      <c r="DK145">
        <v>16</v>
      </c>
      <c r="DL145">
        <v>-2.3025000000000002</v>
      </c>
      <c r="DM145">
        <v>29</v>
      </c>
      <c r="DN145">
        <v>-0.125</v>
      </c>
      <c r="DO145">
        <v>-1.5</v>
      </c>
      <c r="DP145">
        <v>5</v>
      </c>
      <c r="DQ145">
        <v>3.5</v>
      </c>
      <c r="DR145">
        <v>3</v>
      </c>
      <c r="DS145">
        <v>-4.6687500000000002</v>
      </c>
      <c r="DT145">
        <v>4</v>
      </c>
      <c r="DU145">
        <v>-23.3125</v>
      </c>
      <c r="DV145">
        <v>-1.9375</v>
      </c>
      <c r="DW145">
        <v>19</v>
      </c>
      <c r="DX145">
        <v>17.5</v>
      </c>
      <c r="DY145">
        <v>18</v>
      </c>
      <c r="DZ145">
        <v>1.8499999999999988</v>
      </c>
      <c r="EA145">
        <v>17</v>
      </c>
      <c r="EB145">
        <v>1.75</v>
      </c>
      <c r="EC145">
        <v>6.25E-2</v>
      </c>
      <c r="ED145">
        <v>13</v>
      </c>
      <c r="EE145">
        <v>13.5</v>
      </c>
      <c r="EF145">
        <v>6</v>
      </c>
      <c r="EG145">
        <v>-0.45625000000000016</v>
      </c>
      <c r="EH145">
        <v>21</v>
      </c>
      <c r="EI145">
        <v>-8.1875</v>
      </c>
      <c r="EJ145">
        <v>-0.125</v>
      </c>
      <c r="EK145">
        <v>18</v>
      </c>
      <c r="EL145">
        <v>18</v>
      </c>
      <c r="EM145">
        <v>16</v>
      </c>
      <c r="EN145">
        <v>-3.3062499999999995</v>
      </c>
      <c r="EO145">
        <v>20</v>
      </c>
      <c r="EP145">
        <v>-18.0625</v>
      </c>
      <c r="EQ145">
        <v>-0.875</v>
      </c>
      <c r="ER145">
        <v>15</v>
      </c>
      <c r="ES145">
        <v>15</v>
      </c>
      <c r="ET145">
        <v>11</v>
      </c>
      <c r="EU145">
        <v>4.3937500000000007</v>
      </c>
      <c r="EV145">
        <v>19</v>
      </c>
      <c r="EW145">
        <v>7.3125</v>
      </c>
      <c r="EX145">
        <v>1.1875</v>
      </c>
      <c r="EY145">
        <v>12</v>
      </c>
      <c r="EZ145">
        <v>12.5</v>
      </c>
      <c r="FA145">
        <v>17</v>
      </c>
      <c r="FB145">
        <v>-2.3125</v>
      </c>
      <c r="FC145">
        <v>8</v>
      </c>
      <c r="FD145">
        <v>-0.125</v>
      </c>
      <c r="FE145">
        <v>0.875</v>
      </c>
      <c r="FF145">
        <v>21</v>
      </c>
      <c r="FG145">
        <v>17.25</v>
      </c>
      <c r="FH145">
        <v>30</v>
      </c>
      <c r="FI145">
        <v>2.6924081064694919E-2</v>
      </c>
      <c r="FJ145">
        <v>28</v>
      </c>
      <c r="FK145">
        <v>-8.6634742761005565E-3</v>
      </c>
      <c r="FL145">
        <v>4</v>
      </c>
      <c r="FM145">
        <v>6.6125000000000025</v>
      </c>
      <c r="FN145">
        <v>7</v>
      </c>
      <c r="FO145">
        <v>0.875</v>
      </c>
      <c r="FP145">
        <v>-0.5</v>
      </c>
      <c r="FQ145">
        <v>-2.0625</v>
      </c>
      <c r="FR145">
        <v>-6.25E-2</v>
      </c>
      <c r="FS145">
        <v>-2.75</v>
      </c>
      <c r="FT145">
        <v>0.4375</v>
      </c>
      <c r="FU145">
        <v>2.625</v>
      </c>
      <c r="FV145">
        <v>-8.3125</v>
      </c>
      <c r="FW145">
        <v>-7.9375</v>
      </c>
      <c r="FX145">
        <v>-7.375</v>
      </c>
      <c r="FY145">
        <v>1.5625</v>
      </c>
      <c r="FZ145">
        <v>5.4375</v>
      </c>
      <c r="GA145">
        <v>13</v>
      </c>
      <c r="GB145">
        <v>2.44625</v>
      </c>
      <c r="GC145">
        <v>1.0193750000000001</v>
      </c>
      <c r="GD145">
        <v>-0.5625</v>
      </c>
      <c r="GE145">
        <v>-2.44625</v>
      </c>
      <c r="GF145">
        <v>-9.8750000000000282E-2</v>
      </c>
      <c r="GG145">
        <v>-3.2750000000000017</v>
      </c>
      <c r="GH145">
        <v>-29.75</v>
      </c>
      <c r="GI145">
        <v>-1.0212500000000009</v>
      </c>
      <c r="GJ145">
        <v>-11.4375</v>
      </c>
      <c r="GK145">
        <v>-0.8125</v>
      </c>
      <c r="GL145">
        <v>0.1875</v>
      </c>
    </row>
    <row r="146" spans="1:194" x14ac:dyDescent="0.2">
      <c r="A146" s="39">
        <v>43744</v>
      </c>
      <c r="B146" s="22" t="s">
        <v>381</v>
      </c>
      <c r="C146" s="41" t="s">
        <v>312</v>
      </c>
      <c r="D146" s="22" t="s">
        <v>296</v>
      </c>
      <c r="E146">
        <v>35</v>
      </c>
      <c r="F146">
        <v>7.4</v>
      </c>
      <c r="G146">
        <v>8.3000000000000007</v>
      </c>
      <c r="H146">
        <v>1.4</v>
      </c>
      <c r="I146" s="8">
        <v>-5.5</v>
      </c>
      <c r="J146" s="8">
        <v>44</v>
      </c>
      <c r="K146" t="s">
        <v>110</v>
      </c>
      <c r="L146" s="1" t="s">
        <v>312</v>
      </c>
      <c r="M146">
        <v>16</v>
      </c>
      <c r="N146">
        <v>-5.3337500000000002</v>
      </c>
      <c r="O146">
        <v>12</v>
      </c>
      <c r="P146">
        <v>14.5</v>
      </c>
      <c r="Q146">
        <v>7</v>
      </c>
      <c r="R146">
        <v>10.68125</v>
      </c>
      <c r="S146">
        <v>22</v>
      </c>
      <c r="T146">
        <v>40</v>
      </c>
      <c r="U146">
        <v>0.8125</v>
      </c>
      <c r="V146">
        <v>5</v>
      </c>
      <c r="W146">
        <v>8</v>
      </c>
      <c r="X146">
        <v>13</v>
      </c>
      <c r="Y146">
        <v>-2.3562500000000002</v>
      </c>
      <c r="Z146">
        <v>3</v>
      </c>
      <c r="AA146">
        <v>5.5625</v>
      </c>
      <c r="AB146">
        <v>-3</v>
      </c>
      <c r="AC146">
        <v>16</v>
      </c>
      <c r="AD146">
        <v>17</v>
      </c>
      <c r="AE146">
        <v>18</v>
      </c>
      <c r="AF146">
        <v>-0.18749999999999956</v>
      </c>
      <c r="AG146">
        <v>16</v>
      </c>
      <c r="AH146">
        <v>-0.375</v>
      </c>
      <c r="AI146">
        <v>-1.5625</v>
      </c>
      <c r="AJ146">
        <v>23</v>
      </c>
      <c r="AK146">
        <v>22</v>
      </c>
      <c r="AL146">
        <v>26</v>
      </c>
      <c r="AM146">
        <v>-4.0125000000000011</v>
      </c>
      <c r="AN146">
        <v>18</v>
      </c>
      <c r="AO146">
        <v>-8.9375</v>
      </c>
      <c r="AP146">
        <v>-0.8125</v>
      </c>
      <c r="AQ146">
        <v>27</v>
      </c>
      <c r="AR146">
        <v>28</v>
      </c>
      <c r="AS146">
        <v>27</v>
      </c>
      <c r="AT146">
        <v>1.8749999999999822E-2</v>
      </c>
      <c r="AU146">
        <v>29</v>
      </c>
      <c r="AV146">
        <v>7.5</v>
      </c>
      <c r="AW146">
        <v>-1.4375</v>
      </c>
      <c r="AX146">
        <v>29</v>
      </c>
      <c r="AY146">
        <v>29</v>
      </c>
      <c r="AZ146">
        <v>29</v>
      </c>
      <c r="BA146">
        <v>-9.90625</v>
      </c>
      <c r="BB146">
        <v>29</v>
      </c>
      <c r="BC146">
        <v>-31.5625</v>
      </c>
      <c r="BD146">
        <v>-6</v>
      </c>
      <c r="BE146">
        <v>5</v>
      </c>
      <c r="BF146">
        <v>6</v>
      </c>
      <c r="BG146">
        <v>3</v>
      </c>
      <c r="BH146">
        <v>-7.1874999999999991</v>
      </c>
      <c r="BI146">
        <v>9</v>
      </c>
      <c r="BJ146">
        <v>-27.6875</v>
      </c>
      <c r="BK146">
        <v>-3.6875</v>
      </c>
      <c r="BL146">
        <v>26</v>
      </c>
      <c r="BM146">
        <v>25</v>
      </c>
      <c r="BN146">
        <v>21</v>
      </c>
      <c r="BO146">
        <v>-0.5625</v>
      </c>
      <c r="BP146">
        <v>29</v>
      </c>
      <c r="BQ146">
        <v>-0.375</v>
      </c>
      <c r="BR146">
        <v>1.5625</v>
      </c>
      <c r="BS146">
        <v>28</v>
      </c>
      <c r="BT146">
        <v>24.5</v>
      </c>
      <c r="BU146">
        <v>22</v>
      </c>
      <c r="BV146">
        <v>0.10377375237813549</v>
      </c>
      <c r="BW146">
        <v>27</v>
      </c>
      <c r="BX146">
        <v>3.2291147115255589E-3</v>
      </c>
      <c r="BY146">
        <v>22</v>
      </c>
      <c r="BZ146">
        <v>13.993749999999997</v>
      </c>
      <c r="CA146">
        <v>27</v>
      </c>
      <c r="CB146">
        <v>-0.3125</v>
      </c>
      <c r="CC146">
        <v>-6.875</v>
      </c>
      <c r="CD146">
        <v>1.3125</v>
      </c>
      <c r="CE146">
        <v>0</v>
      </c>
      <c r="CF146">
        <v>-11.125</v>
      </c>
      <c r="CG146">
        <v>-61.9375</v>
      </c>
      <c r="CH146">
        <v>49.125</v>
      </c>
      <c r="CI146">
        <v>0.625</v>
      </c>
      <c r="CJ146">
        <v>1.0625</v>
      </c>
      <c r="CK146">
        <v>31</v>
      </c>
      <c r="CL146">
        <v>-13.658750000000001</v>
      </c>
      <c r="CM146">
        <v>-7.5030000000000001</v>
      </c>
      <c r="CN146">
        <v>-111.0625</v>
      </c>
      <c r="CO146">
        <v>13.65875</v>
      </c>
      <c r="CP146">
        <v>-1.1174999999999999</v>
      </c>
      <c r="CQ146">
        <v>-4.1812500000000012</v>
      </c>
      <c r="CR146">
        <v>-1.8125</v>
      </c>
      <c r="CS146">
        <v>8.3249999999999993</v>
      </c>
      <c r="CT146">
        <v>45.5625</v>
      </c>
      <c r="CU146">
        <v>-7.5</v>
      </c>
      <c r="CV146">
        <v>-2.1875</v>
      </c>
      <c r="CW146">
        <v>8.414062500000008E-2</v>
      </c>
      <c r="CX146">
        <v>-0.31296875000000007</v>
      </c>
      <c r="CY146" t="s">
        <v>296</v>
      </c>
      <c r="CZ146">
        <v>5</v>
      </c>
      <c r="DA146">
        <v>2.3124999999999996</v>
      </c>
      <c r="DB146">
        <v>31</v>
      </c>
      <c r="DC146">
        <v>29</v>
      </c>
      <c r="DD146">
        <v>31</v>
      </c>
      <c r="DE146">
        <v>-2.8812500000000001</v>
      </c>
      <c r="DF146">
        <v>27</v>
      </c>
      <c r="DG146">
        <v>-11.1875</v>
      </c>
      <c r="DH146">
        <v>-1.4375</v>
      </c>
      <c r="DI146">
        <v>15</v>
      </c>
      <c r="DJ146">
        <v>16</v>
      </c>
      <c r="DK146">
        <v>24</v>
      </c>
      <c r="DL146">
        <v>0.40625000000000022</v>
      </c>
      <c r="DM146">
        <v>8</v>
      </c>
      <c r="DN146">
        <v>9.625</v>
      </c>
      <c r="DO146">
        <v>-0.75</v>
      </c>
      <c r="DP146">
        <v>4</v>
      </c>
      <c r="DQ146">
        <v>4.5</v>
      </c>
      <c r="DR146">
        <v>4</v>
      </c>
      <c r="DS146">
        <v>4.9625000000000021</v>
      </c>
      <c r="DT146">
        <v>5</v>
      </c>
      <c r="DU146">
        <v>18.1875</v>
      </c>
      <c r="DV146">
        <v>1.3125</v>
      </c>
      <c r="DW146">
        <v>13</v>
      </c>
      <c r="DX146">
        <v>13.5</v>
      </c>
      <c r="DY146">
        <v>14</v>
      </c>
      <c r="DZ146">
        <v>-3.5750000000000002</v>
      </c>
      <c r="EA146">
        <v>13</v>
      </c>
      <c r="EB146">
        <v>3</v>
      </c>
      <c r="EC146">
        <v>-2.5</v>
      </c>
      <c r="ED146">
        <v>24</v>
      </c>
      <c r="EE146">
        <v>13.5</v>
      </c>
      <c r="EF146">
        <v>16</v>
      </c>
      <c r="EG146">
        <v>2.7437499999999999</v>
      </c>
      <c r="EH146">
        <v>11</v>
      </c>
      <c r="EI146">
        <v>7.5625</v>
      </c>
      <c r="EJ146">
        <v>-2</v>
      </c>
      <c r="EK146">
        <v>2</v>
      </c>
      <c r="EL146">
        <v>3.5</v>
      </c>
      <c r="EM146">
        <v>4</v>
      </c>
      <c r="EN146">
        <v>-4.05</v>
      </c>
      <c r="EO146">
        <v>3</v>
      </c>
      <c r="EP146">
        <v>-26.75</v>
      </c>
      <c r="EQ146">
        <v>-3.4375</v>
      </c>
      <c r="ER146">
        <v>17</v>
      </c>
      <c r="ES146">
        <v>15.5</v>
      </c>
      <c r="ET146">
        <v>15</v>
      </c>
      <c r="EU146">
        <v>-0.18124999999999947</v>
      </c>
      <c r="EV146">
        <v>16</v>
      </c>
      <c r="EW146">
        <v>-6.75</v>
      </c>
      <c r="EX146">
        <v>0.6875</v>
      </c>
      <c r="EY146">
        <v>2</v>
      </c>
      <c r="EZ146">
        <v>3</v>
      </c>
      <c r="FA146">
        <v>2</v>
      </c>
      <c r="FB146">
        <v>6.25E-2</v>
      </c>
      <c r="FC146">
        <v>4</v>
      </c>
      <c r="FD146">
        <v>-0.125</v>
      </c>
      <c r="FE146">
        <v>-0.25</v>
      </c>
      <c r="FF146">
        <v>29</v>
      </c>
      <c r="FG146">
        <v>24</v>
      </c>
      <c r="FH146">
        <v>11</v>
      </c>
      <c r="FI146">
        <v>-3.7839309191765716E-2</v>
      </c>
      <c r="FJ146">
        <v>27</v>
      </c>
      <c r="FK146">
        <v>1.3561227098648571E-2</v>
      </c>
      <c r="FL146">
        <v>31</v>
      </c>
      <c r="FM146">
        <v>-5.7687500000000007</v>
      </c>
      <c r="FN146">
        <v>27</v>
      </c>
      <c r="FO146">
        <v>-2.1875</v>
      </c>
      <c r="FP146">
        <v>-3.5625</v>
      </c>
      <c r="FQ146">
        <v>1.8125</v>
      </c>
      <c r="FR146">
        <v>0.375</v>
      </c>
      <c r="FS146">
        <v>-1.1875</v>
      </c>
      <c r="FT146">
        <v>1.875</v>
      </c>
      <c r="FU146">
        <v>-0.875</v>
      </c>
      <c r="FV146">
        <v>15.8125</v>
      </c>
      <c r="FW146">
        <v>19.4375</v>
      </c>
      <c r="FX146">
        <v>-1.625</v>
      </c>
      <c r="FY146">
        <v>0.4375</v>
      </c>
      <c r="FZ146">
        <v>-2.4375</v>
      </c>
      <c r="GA146">
        <v>9</v>
      </c>
      <c r="GB146">
        <v>4.7874999999999996</v>
      </c>
      <c r="GC146">
        <v>2.4900000000000002</v>
      </c>
      <c r="GD146">
        <v>21.0625</v>
      </c>
      <c r="GE146">
        <v>-4.7874999999999996</v>
      </c>
      <c r="GF146">
        <v>0.48125000000000023</v>
      </c>
      <c r="GG146">
        <v>4.1312500000000014</v>
      </c>
      <c r="GH146">
        <v>28.75</v>
      </c>
      <c r="GI146">
        <v>-2.4749999999999996</v>
      </c>
      <c r="GJ146">
        <v>-1.5625</v>
      </c>
      <c r="GK146">
        <v>-2.5</v>
      </c>
      <c r="GL146">
        <v>-2.1875</v>
      </c>
    </row>
    <row r="147" spans="1:194" x14ac:dyDescent="0.2">
      <c r="A147" s="39">
        <v>43744</v>
      </c>
      <c r="B147" s="22" t="s">
        <v>381</v>
      </c>
      <c r="C147" s="41" t="s">
        <v>302</v>
      </c>
      <c r="D147" s="22" t="s">
        <v>306</v>
      </c>
      <c r="E147">
        <v>28</v>
      </c>
      <c r="F147" s="14">
        <v>10.9</v>
      </c>
      <c r="G147">
        <v>0</v>
      </c>
      <c r="H147">
        <f>11.9+3.2</f>
        <v>15.100000000000001</v>
      </c>
      <c r="I147">
        <v>-15.5</v>
      </c>
      <c r="J147">
        <v>42</v>
      </c>
      <c r="L147" s="1" t="s">
        <v>302</v>
      </c>
      <c r="M147">
        <v>18</v>
      </c>
      <c r="N147">
        <v>0.68750000000000111</v>
      </c>
      <c r="O147">
        <v>27</v>
      </c>
      <c r="P147">
        <v>25</v>
      </c>
      <c r="Q147">
        <v>32</v>
      </c>
      <c r="R147">
        <v>-8.3562499999999993</v>
      </c>
      <c r="S147">
        <v>18</v>
      </c>
      <c r="T147">
        <v>-24.0625</v>
      </c>
      <c r="U147">
        <v>-2.75</v>
      </c>
      <c r="V147">
        <v>12</v>
      </c>
      <c r="W147">
        <v>11.5</v>
      </c>
      <c r="X147">
        <v>5</v>
      </c>
      <c r="Y147">
        <v>5.0812499999999998</v>
      </c>
      <c r="Z147">
        <v>18</v>
      </c>
      <c r="AA147">
        <v>-7.6875</v>
      </c>
      <c r="AB147">
        <v>3.6875</v>
      </c>
      <c r="AC147">
        <v>4</v>
      </c>
      <c r="AD147">
        <v>4</v>
      </c>
      <c r="AE147">
        <v>3</v>
      </c>
      <c r="AF147">
        <v>-2.8474999999999997</v>
      </c>
      <c r="AG147">
        <v>5</v>
      </c>
      <c r="AH147">
        <v>-18.6875</v>
      </c>
      <c r="AI147">
        <v>0.125</v>
      </c>
      <c r="AJ147">
        <v>14</v>
      </c>
      <c r="AK147">
        <v>14</v>
      </c>
      <c r="AL147">
        <v>15</v>
      </c>
      <c r="AM147">
        <v>2.8437500000000004</v>
      </c>
      <c r="AN147">
        <v>13</v>
      </c>
      <c r="AO147">
        <v>19.9375</v>
      </c>
      <c r="AP147">
        <v>0.5</v>
      </c>
      <c r="AQ147">
        <v>16</v>
      </c>
      <c r="AR147">
        <v>16</v>
      </c>
      <c r="AS147">
        <v>13</v>
      </c>
      <c r="AT147">
        <v>5.5687499999999996</v>
      </c>
      <c r="AU147">
        <v>19</v>
      </c>
      <c r="AV147">
        <v>8.5625</v>
      </c>
      <c r="AW147">
        <v>1.9375</v>
      </c>
      <c r="AX147">
        <v>4</v>
      </c>
      <c r="AY147">
        <v>4.5</v>
      </c>
      <c r="AZ147">
        <v>2</v>
      </c>
      <c r="BA147">
        <v>9.1187500000000004</v>
      </c>
      <c r="BB147">
        <v>7</v>
      </c>
      <c r="BC147">
        <v>38.6875</v>
      </c>
      <c r="BD147">
        <v>1.6875</v>
      </c>
      <c r="BE147">
        <v>25</v>
      </c>
      <c r="BF147">
        <v>25.5</v>
      </c>
      <c r="BG147">
        <v>28</v>
      </c>
      <c r="BH147">
        <v>-6.7437500000000004</v>
      </c>
      <c r="BI147">
        <v>23</v>
      </c>
      <c r="BJ147">
        <v>-24.3125</v>
      </c>
      <c r="BK147">
        <v>-3.625</v>
      </c>
      <c r="BL147">
        <v>2</v>
      </c>
      <c r="BM147">
        <v>5</v>
      </c>
      <c r="BN147">
        <v>8</v>
      </c>
      <c r="BO147">
        <v>1.125</v>
      </c>
      <c r="BP147">
        <v>2</v>
      </c>
      <c r="BQ147">
        <v>0.4375</v>
      </c>
      <c r="BR147">
        <v>7.375</v>
      </c>
      <c r="BS147">
        <v>27</v>
      </c>
      <c r="BT147">
        <v>23.25</v>
      </c>
      <c r="BU147">
        <v>23</v>
      </c>
      <c r="BV147">
        <v>-4.3647272099159848E-2</v>
      </c>
      <c r="BW147">
        <v>26</v>
      </c>
      <c r="BX147">
        <v>-2.5718117579474509E-2</v>
      </c>
      <c r="BY147">
        <v>23</v>
      </c>
      <c r="BZ147">
        <v>-15.481249999999999</v>
      </c>
      <c r="CA147">
        <v>21</v>
      </c>
      <c r="CB147">
        <v>-1.5</v>
      </c>
      <c r="CC147">
        <v>1.0625</v>
      </c>
      <c r="CD147">
        <v>2.0625</v>
      </c>
      <c r="CE147">
        <v>2.5</v>
      </c>
      <c r="CF147">
        <v>-14.6875</v>
      </c>
      <c r="CG147">
        <v>9.25</v>
      </c>
      <c r="CH147">
        <v>-20.8125</v>
      </c>
      <c r="CI147">
        <v>3.5625</v>
      </c>
      <c r="CJ147">
        <v>-6.6875</v>
      </c>
      <c r="CK147">
        <v>10</v>
      </c>
      <c r="CL147">
        <v>3.9625000000000012</v>
      </c>
      <c r="CM147">
        <v>1.53925</v>
      </c>
      <c r="CN147">
        <v>30.0625</v>
      </c>
      <c r="CO147">
        <v>-3.9625000000000004</v>
      </c>
      <c r="CP147">
        <v>-0.33015624999999987</v>
      </c>
      <c r="CQ147">
        <v>5.5650000000000004</v>
      </c>
      <c r="CR147">
        <v>9.8125</v>
      </c>
      <c r="CS147">
        <v>-3.2749999999999995</v>
      </c>
      <c r="CT147">
        <v>-31.75</v>
      </c>
      <c r="CU147">
        <v>-1.0625</v>
      </c>
      <c r="CV147">
        <v>0.9375</v>
      </c>
      <c r="CW147">
        <v>-0.42484374999999974</v>
      </c>
      <c r="CX147">
        <v>-2.0526562500000001</v>
      </c>
      <c r="CY147" t="s">
        <v>306</v>
      </c>
      <c r="CZ147">
        <v>22</v>
      </c>
      <c r="DA147">
        <v>2.88625</v>
      </c>
      <c r="DB147">
        <v>11</v>
      </c>
      <c r="DC147">
        <v>11</v>
      </c>
      <c r="DD147">
        <v>16</v>
      </c>
      <c r="DE147">
        <v>-0.19791666666666563</v>
      </c>
      <c r="DF147">
        <v>6</v>
      </c>
      <c r="DG147">
        <v>-2.4791666666666679</v>
      </c>
      <c r="DH147">
        <v>-0.66666666666666674</v>
      </c>
      <c r="DI147">
        <v>10</v>
      </c>
      <c r="DJ147">
        <v>12.5</v>
      </c>
      <c r="DK147">
        <v>16</v>
      </c>
      <c r="DL147">
        <v>-1.720833333333333</v>
      </c>
      <c r="DM147">
        <v>9</v>
      </c>
      <c r="DN147">
        <v>8.3333333333333037E-2</v>
      </c>
      <c r="DO147">
        <v>-0.52083333333333326</v>
      </c>
      <c r="DP147">
        <v>13</v>
      </c>
      <c r="DQ147">
        <v>12</v>
      </c>
      <c r="DR147">
        <v>14</v>
      </c>
      <c r="DS147">
        <v>-1.618749999999999</v>
      </c>
      <c r="DT147">
        <v>10</v>
      </c>
      <c r="DU147">
        <v>-10.375</v>
      </c>
      <c r="DV147">
        <v>-1.75</v>
      </c>
      <c r="DW147">
        <v>26</v>
      </c>
      <c r="DX147">
        <v>26.5</v>
      </c>
      <c r="DY147">
        <v>23</v>
      </c>
      <c r="DZ147">
        <v>13.268750000000001</v>
      </c>
      <c r="EA147">
        <v>30</v>
      </c>
      <c r="EB147">
        <v>35.375</v>
      </c>
      <c r="EC147">
        <v>2</v>
      </c>
      <c r="ED147">
        <v>32</v>
      </c>
      <c r="EE147">
        <v>15</v>
      </c>
      <c r="EF147">
        <v>15</v>
      </c>
      <c r="EG147">
        <v>-0.79375000000000018</v>
      </c>
      <c r="EH147">
        <v>15</v>
      </c>
      <c r="EI147">
        <v>-6.125</v>
      </c>
      <c r="EJ147">
        <v>0.3125</v>
      </c>
      <c r="EK147">
        <v>7</v>
      </c>
      <c r="EL147">
        <v>7.5</v>
      </c>
      <c r="EM147">
        <v>7</v>
      </c>
      <c r="EN147">
        <v>2.4750000000000005</v>
      </c>
      <c r="EO147">
        <v>8</v>
      </c>
      <c r="EP147">
        <v>0.375</v>
      </c>
      <c r="EQ147">
        <v>-1.0625</v>
      </c>
      <c r="ER147">
        <v>10</v>
      </c>
      <c r="ES147">
        <v>10.5</v>
      </c>
      <c r="ET147">
        <v>6</v>
      </c>
      <c r="EU147">
        <v>-2.4500000000000002</v>
      </c>
      <c r="EV147">
        <v>15</v>
      </c>
      <c r="EW147">
        <v>-9.5</v>
      </c>
      <c r="EX147">
        <v>-0.875</v>
      </c>
      <c r="EY147">
        <v>12</v>
      </c>
      <c r="EZ147">
        <v>12.5</v>
      </c>
      <c r="FA147">
        <v>12</v>
      </c>
      <c r="FB147">
        <v>0.25</v>
      </c>
      <c r="FC147">
        <v>13</v>
      </c>
      <c r="FD147">
        <v>-6.25E-2</v>
      </c>
      <c r="FE147">
        <v>3.875</v>
      </c>
      <c r="FF147">
        <v>3</v>
      </c>
      <c r="FG147">
        <v>8</v>
      </c>
      <c r="FH147">
        <v>13</v>
      </c>
      <c r="FI147">
        <v>-2.2658186774165881E-2</v>
      </c>
      <c r="FJ147">
        <v>2</v>
      </c>
      <c r="FK147">
        <v>-2.3435810295597418E-3</v>
      </c>
      <c r="FL147">
        <v>9</v>
      </c>
      <c r="FM147">
        <v>17.350000000000001</v>
      </c>
      <c r="FN147">
        <v>8</v>
      </c>
      <c r="FO147">
        <v>-1.25</v>
      </c>
      <c r="FP147">
        <v>-3.0625</v>
      </c>
      <c r="FQ147">
        <v>3.125</v>
      </c>
      <c r="FR147">
        <v>0.5625</v>
      </c>
      <c r="FS147">
        <v>1.375</v>
      </c>
      <c r="FT147">
        <v>3.75</v>
      </c>
      <c r="FU147">
        <v>2.625</v>
      </c>
      <c r="FV147">
        <v>33.1875</v>
      </c>
      <c r="FW147">
        <v>6.5625</v>
      </c>
      <c r="FX147">
        <v>11.0625</v>
      </c>
      <c r="FY147">
        <v>3.8125</v>
      </c>
      <c r="FZ147">
        <v>11.75</v>
      </c>
      <c r="GA147">
        <v>8</v>
      </c>
      <c r="GB147">
        <v>4.8049999999999988</v>
      </c>
      <c r="GC147">
        <v>3.2178749999999998</v>
      </c>
      <c r="GD147">
        <v>-4.5</v>
      </c>
      <c r="GE147">
        <v>-4.8049999999999988</v>
      </c>
      <c r="GF147">
        <v>1.2029687500000006</v>
      </c>
      <c r="GG147">
        <v>10.856250000000003</v>
      </c>
      <c r="GH147">
        <v>18.875</v>
      </c>
      <c r="GI147">
        <v>-1.9187499999999986</v>
      </c>
      <c r="GJ147">
        <v>-2.3958333333333348</v>
      </c>
      <c r="GK147">
        <v>-0.3125</v>
      </c>
      <c r="GL147">
        <v>-1.1875</v>
      </c>
    </row>
    <row r="148" spans="1:194" x14ac:dyDescent="0.2">
      <c r="A148" s="39">
        <v>43744</v>
      </c>
      <c r="B148" s="22" t="s">
        <v>381</v>
      </c>
      <c r="C148" s="41" t="s">
        <v>307</v>
      </c>
      <c r="D148" s="22" t="s">
        <v>284</v>
      </c>
      <c r="E148">
        <v>44.2</v>
      </c>
      <c r="F148">
        <v>11.6</v>
      </c>
      <c r="G148">
        <v>0</v>
      </c>
      <c r="H148">
        <f>14.1+6.9</f>
        <v>21</v>
      </c>
      <c r="I148">
        <v>-3</v>
      </c>
      <c r="J148">
        <v>46</v>
      </c>
      <c r="L148" s="1" t="s">
        <v>307</v>
      </c>
      <c r="M148">
        <v>17</v>
      </c>
      <c r="N148">
        <v>-0.26875000000000115</v>
      </c>
      <c r="O148">
        <v>8</v>
      </c>
      <c r="P148">
        <v>8.5</v>
      </c>
      <c r="Q148">
        <v>5</v>
      </c>
      <c r="R148">
        <v>1.2125000000000012</v>
      </c>
      <c r="S148">
        <v>12</v>
      </c>
      <c r="T148">
        <v>6.5</v>
      </c>
      <c r="U148">
        <v>-0.125</v>
      </c>
      <c r="V148">
        <v>16</v>
      </c>
      <c r="W148">
        <v>15</v>
      </c>
      <c r="X148">
        <v>15</v>
      </c>
      <c r="Y148">
        <v>-0.60000000000000031</v>
      </c>
      <c r="Z148">
        <v>15</v>
      </c>
      <c r="AA148">
        <v>2.4375</v>
      </c>
      <c r="AB148">
        <v>-0.5</v>
      </c>
      <c r="AC148">
        <v>5</v>
      </c>
      <c r="AD148">
        <v>5.5</v>
      </c>
      <c r="AE148">
        <v>4</v>
      </c>
      <c r="AF148">
        <v>3.8937499999999998</v>
      </c>
      <c r="AG148">
        <v>7</v>
      </c>
      <c r="AH148">
        <v>16.625</v>
      </c>
      <c r="AI148">
        <v>1.3125</v>
      </c>
      <c r="AJ148">
        <v>32</v>
      </c>
      <c r="AK148">
        <v>32</v>
      </c>
      <c r="AL148">
        <v>32</v>
      </c>
      <c r="AM148">
        <v>-3.9187499999999988</v>
      </c>
      <c r="AN148">
        <v>32</v>
      </c>
      <c r="AO148">
        <v>-13.125</v>
      </c>
      <c r="AP148">
        <v>-1.6875</v>
      </c>
      <c r="AQ148">
        <v>29</v>
      </c>
      <c r="AR148">
        <v>29</v>
      </c>
      <c r="AS148">
        <v>28</v>
      </c>
      <c r="AT148">
        <v>-1.2937500000000002</v>
      </c>
      <c r="AU148">
        <v>30</v>
      </c>
      <c r="AV148">
        <v>-17.9375</v>
      </c>
      <c r="AW148">
        <v>-3.0625</v>
      </c>
      <c r="AX148">
        <v>28</v>
      </c>
      <c r="AY148">
        <v>28</v>
      </c>
      <c r="AZ148">
        <v>28</v>
      </c>
      <c r="BA148">
        <v>2.9812499999999993</v>
      </c>
      <c r="BB148">
        <v>28</v>
      </c>
      <c r="BC148">
        <v>21.6875</v>
      </c>
      <c r="BD148">
        <v>0.6875</v>
      </c>
      <c r="BE148">
        <v>4</v>
      </c>
      <c r="BF148">
        <v>4.5</v>
      </c>
      <c r="BG148">
        <v>5</v>
      </c>
      <c r="BH148">
        <v>-4.7062499999999998</v>
      </c>
      <c r="BI148">
        <v>4</v>
      </c>
      <c r="BJ148">
        <v>-10.3125</v>
      </c>
      <c r="BK148">
        <v>-0.3125</v>
      </c>
      <c r="BL148">
        <v>4</v>
      </c>
      <c r="BM148">
        <v>7</v>
      </c>
      <c r="BN148">
        <v>4</v>
      </c>
      <c r="BO148">
        <v>2.125</v>
      </c>
      <c r="BP148">
        <v>10</v>
      </c>
      <c r="BQ148">
        <v>0.4375</v>
      </c>
      <c r="BR148">
        <v>2.5</v>
      </c>
      <c r="BS148">
        <v>32</v>
      </c>
      <c r="BT148">
        <v>29.5</v>
      </c>
      <c r="BU148">
        <v>30</v>
      </c>
      <c r="BV148">
        <v>-2.3869973650483947E-2</v>
      </c>
      <c r="BW148">
        <v>28</v>
      </c>
      <c r="BX148">
        <v>-7.8929538436459702E-3</v>
      </c>
      <c r="BY148">
        <v>31</v>
      </c>
      <c r="BZ148">
        <v>9.1937500000000014</v>
      </c>
      <c r="CA148">
        <v>29</v>
      </c>
      <c r="CB148">
        <v>-2.0625</v>
      </c>
      <c r="CC148">
        <v>-3.6875</v>
      </c>
      <c r="CD148">
        <v>-1.625</v>
      </c>
      <c r="CE148">
        <v>2.1875</v>
      </c>
      <c r="CF148">
        <v>-13.8125</v>
      </c>
      <c r="CG148">
        <v>-23.25</v>
      </c>
      <c r="CH148">
        <v>7.1875</v>
      </c>
      <c r="CI148">
        <v>-0.5</v>
      </c>
      <c r="CJ148">
        <v>2.75</v>
      </c>
      <c r="CK148">
        <v>20</v>
      </c>
      <c r="CL148">
        <v>-0.88125000000000209</v>
      </c>
      <c r="CM148">
        <v>-1.5650000000000004</v>
      </c>
      <c r="CN148">
        <v>-30.4375</v>
      </c>
      <c r="CO148">
        <v>0.88125000000000209</v>
      </c>
      <c r="CP148">
        <v>-0.44453124999999982</v>
      </c>
      <c r="CQ148">
        <v>-1.3187499999999992</v>
      </c>
      <c r="CR148">
        <v>-14.4375</v>
      </c>
      <c r="CS148">
        <v>0.61250000000000093</v>
      </c>
      <c r="CT148">
        <v>8.9375</v>
      </c>
      <c r="CU148">
        <v>-3.75</v>
      </c>
      <c r="CV148">
        <v>-0.625</v>
      </c>
      <c r="CW148">
        <v>0.48656250000000006</v>
      </c>
      <c r="CX148">
        <v>-0.5673437499999997</v>
      </c>
      <c r="CY148" t="s">
        <v>284</v>
      </c>
      <c r="CZ148">
        <v>4</v>
      </c>
      <c r="DA148">
        <v>6.1174999999999997</v>
      </c>
      <c r="DB148">
        <v>25</v>
      </c>
      <c r="DC148">
        <v>23.5</v>
      </c>
      <c r="DD148">
        <v>24</v>
      </c>
      <c r="DE148">
        <v>-4.3</v>
      </c>
      <c r="DF148">
        <v>23</v>
      </c>
      <c r="DG148">
        <v>-43.916666666666664</v>
      </c>
      <c r="DH148">
        <v>2.0833333333333335</v>
      </c>
      <c r="DI148">
        <v>31</v>
      </c>
      <c r="DJ148">
        <v>31</v>
      </c>
      <c r="DK148">
        <v>31</v>
      </c>
      <c r="DL148">
        <v>-6.1750000000000007</v>
      </c>
      <c r="DM148">
        <v>31</v>
      </c>
      <c r="DN148">
        <v>-18</v>
      </c>
      <c r="DO148">
        <v>-0.41666666666666669</v>
      </c>
      <c r="DP148">
        <v>9</v>
      </c>
      <c r="DQ148">
        <v>6</v>
      </c>
      <c r="DR148">
        <v>6</v>
      </c>
      <c r="DS148">
        <v>4.5250000000000012</v>
      </c>
      <c r="DT148">
        <v>6</v>
      </c>
      <c r="DU148">
        <v>12.3125</v>
      </c>
      <c r="DV148">
        <v>2.125</v>
      </c>
      <c r="DW148">
        <v>1</v>
      </c>
      <c r="DX148">
        <v>1.5</v>
      </c>
      <c r="DY148">
        <v>1</v>
      </c>
      <c r="DZ148">
        <v>4.2437499999999995</v>
      </c>
      <c r="EA148">
        <v>2</v>
      </c>
      <c r="EB148">
        <v>34.1875</v>
      </c>
      <c r="EC148">
        <v>2.5625</v>
      </c>
      <c r="ED148">
        <v>8</v>
      </c>
      <c r="EE148">
        <v>12.5</v>
      </c>
      <c r="EF148">
        <v>17</v>
      </c>
      <c r="EG148">
        <v>-0.59375000000000044</v>
      </c>
      <c r="EH148">
        <v>8</v>
      </c>
      <c r="EI148">
        <v>-4.75</v>
      </c>
      <c r="EJ148">
        <v>0.9375</v>
      </c>
      <c r="EK148">
        <v>2</v>
      </c>
      <c r="EL148">
        <v>3.5</v>
      </c>
      <c r="EM148">
        <v>1</v>
      </c>
      <c r="EN148">
        <v>7.6125000000000007</v>
      </c>
      <c r="EO148">
        <v>6</v>
      </c>
      <c r="EP148">
        <v>31.75</v>
      </c>
      <c r="EQ148">
        <v>3.125</v>
      </c>
      <c r="ER148">
        <v>21</v>
      </c>
      <c r="ES148">
        <v>20.5</v>
      </c>
      <c r="ET148">
        <v>15</v>
      </c>
      <c r="EU148">
        <v>5.5062499999999996</v>
      </c>
      <c r="EV148">
        <v>26</v>
      </c>
      <c r="EW148">
        <v>28.6875</v>
      </c>
      <c r="EX148">
        <v>2.25</v>
      </c>
      <c r="EY148">
        <v>16</v>
      </c>
      <c r="EZ148">
        <v>14</v>
      </c>
      <c r="FA148">
        <v>13</v>
      </c>
      <c r="FB148">
        <v>3</v>
      </c>
      <c r="FC148">
        <v>15</v>
      </c>
      <c r="FD148">
        <v>0.375</v>
      </c>
      <c r="FE148">
        <v>1.625</v>
      </c>
      <c r="FF148">
        <v>10</v>
      </c>
      <c r="FG148">
        <v>13.25</v>
      </c>
      <c r="FH148">
        <v>9</v>
      </c>
      <c r="FI148">
        <v>4.2310847394900111E-2</v>
      </c>
      <c r="FJ148">
        <v>26</v>
      </c>
      <c r="FK148">
        <v>1.2275670410929539E-2</v>
      </c>
      <c r="FL148">
        <v>6</v>
      </c>
      <c r="FM148">
        <v>7.1999999999999993</v>
      </c>
      <c r="FN148">
        <v>12</v>
      </c>
      <c r="FO148">
        <v>3.875</v>
      </c>
      <c r="FP148">
        <v>8.3125</v>
      </c>
      <c r="FQ148">
        <v>-6.25</v>
      </c>
      <c r="FR148">
        <v>-1</v>
      </c>
      <c r="FS148">
        <v>1.5625</v>
      </c>
      <c r="FT148">
        <v>-1.25</v>
      </c>
      <c r="FU148">
        <v>3.875</v>
      </c>
      <c r="FV148">
        <v>-10.375</v>
      </c>
      <c r="FW148">
        <v>64.5625</v>
      </c>
      <c r="FX148">
        <v>-70.125</v>
      </c>
      <c r="FY148">
        <v>-5.75</v>
      </c>
      <c r="FZ148">
        <v>0.9375</v>
      </c>
      <c r="GA148">
        <v>1</v>
      </c>
      <c r="GB148">
        <v>16.592500000000001</v>
      </c>
      <c r="GC148">
        <v>9.1972500000000004</v>
      </c>
      <c r="GD148">
        <v>134.6875</v>
      </c>
      <c r="GE148">
        <v>-16.592500000000001</v>
      </c>
      <c r="GF148">
        <v>1.5404687499999998</v>
      </c>
      <c r="GG148">
        <v>8.1750000000000007</v>
      </c>
      <c r="GH148">
        <v>41.75</v>
      </c>
      <c r="GI148">
        <v>-10.475000000000001</v>
      </c>
      <c r="GJ148">
        <v>-61.916666666666664</v>
      </c>
      <c r="GK148">
        <v>7.875</v>
      </c>
      <c r="GL148">
        <v>1.6666666666666667</v>
      </c>
    </row>
    <row r="149" spans="1:194" x14ac:dyDescent="0.2">
      <c r="A149" s="39">
        <v>43744</v>
      </c>
      <c r="B149" s="28" t="s">
        <v>381</v>
      </c>
      <c r="C149" s="41" t="s">
        <v>296</v>
      </c>
      <c r="D149" s="28" t="s">
        <v>312</v>
      </c>
      <c r="E149" s="3">
        <v>9.6999999999999993</v>
      </c>
      <c r="F149" s="3">
        <v>4.3</v>
      </c>
      <c r="G149" s="3">
        <v>16.2</v>
      </c>
      <c r="H149" s="3">
        <v>12</v>
      </c>
      <c r="I149" s="3">
        <v>5.5</v>
      </c>
      <c r="J149" s="3">
        <v>44</v>
      </c>
      <c r="K149" t="s">
        <v>110</v>
      </c>
      <c r="L149" s="1" t="s">
        <v>296</v>
      </c>
      <c r="M149">
        <v>9</v>
      </c>
      <c r="N149">
        <v>3.13375</v>
      </c>
      <c r="O149">
        <v>20</v>
      </c>
      <c r="P149">
        <v>21</v>
      </c>
      <c r="Q149">
        <v>16</v>
      </c>
      <c r="R149">
        <v>3.9937500000000008</v>
      </c>
      <c r="S149">
        <v>26</v>
      </c>
      <c r="T149">
        <v>14.9375</v>
      </c>
      <c r="U149">
        <v>0.6875</v>
      </c>
      <c r="V149">
        <v>31</v>
      </c>
      <c r="W149">
        <v>31</v>
      </c>
      <c r="X149">
        <v>32</v>
      </c>
      <c r="Y149">
        <v>-1.125</v>
      </c>
      <c r="Z149">
        <v>30</v>
      </c>
      <c r="AA149">
        <v>-0.9375</v>
      </c>
      <c r="AB149">
        <v>-1.375</v>
      </c>
      <c r="AC149">
        <v>14</v>
      </c>
      <c r="AD149">
        <v>15.5</v>
      </c>
      <c r="AE149">
        <v>10</v>
      </c>
      <c r="AF149">
        <v>0.96249999999999902</v>
      </c>
      <c r="AG149">
        <v>21</v>
      </c>
      <c r="AH149">
        <v>0.9375</v>
      </c>
      <c r="AI149">
        <v>-0.625</v>
      </c>
      <c r="AJ149">
        <v>13</v>
      </c>
      <c r="AK149">
        <v>13.5</v>
      </c>
      <c r="AL149">
        <v>5</v>
      </c>
      <c r="AM149">
        <v>-5.9812499999999993</v>
      </c>
      <c r="AN149">
        <v>22</v>
      </c>
      <c r="AO149">
        <v>-13.625</v>
      </c>
      <c r="AP149">
        <v>-2.0625</v>
      </c>
      <c r="AQ149">
        <v>12</v>
      </c>
      <c r="AR149">
        <v>12.5</v>
      </c>
      <c r="AS149">
        <v>14</v>
      </c>
      <c r="AT149">
        <v>-3.1250000000000222E-2</v>
      </c>
      <c r="AU149">
        <v>11</v>
      </c>
      <c r="AV149">
        <v>-4.4375</v>
      </c>
      <c r="AW149">
        <v>-1.1875</v>
      </c>
      <c r="AX149">
        <v>22</v>
      </c>
      <c r="AY149">
        <v>21</v>
      </c>
      <c r="AZ149">
        <v>17</v>
      </c>
      <c r="BA149">
        <v>1.0375000000000001</v>
      </c>
      <c r="BB149">
        <v>25</v>
      </c>
      <c r="BC149">
        <v>12.875</v>
      </c>
      <c r="BD149">
        <v>1.5</v>
      </c>
      <c r="BE149">
        <v>19</v>
      </c>
      <c r="BF149">
        <v>19</v>
      </c>
      <c r="BG149">
        <v>18</v>
      </c>
      <c r="BH149">
        <v>8.6437500000000007</v>
      </c>
      <c r="BI149">
        <v>20</v>
      </c>
      <c r="BJ149">
        <v>36.4375</v>
      </c>
      <c r="BK149">
        <v>3.5</v>
      </c>
      <c r="BL149">
        <v>28</v>
      </c>
      <c r="BM149">
        <v>27.5</v>
      </c>
      <c r="BN149">
        <v>29</v>
      </c>
      <c r="BO149">
        <v>-2.5625</v>
      </c>
      <c r="BP149">
        <v>26</v>
      </c>
      <c r="BQ149">
        <v>-0.75</v>
      </c>
      <c r="BR149">
        <v>-2.375</v>
      </c>
      <c r="BS149">
        <v>2</v>
      </c>
      <c r="BT149">
        <v>7.5</v>
      </c>
      <c r="BU149">
        <v>3</v>
      </c>
      <c r="BV149">
        <v>2.2311277933480887E-2</v>
      </c>
      <c r="BW149">
        <v>16</v>
      </c>
      <c r="BX149">
        <v>-1.0591404744577763E-2</v>
      </c>
      <c r="BY149">
        <v>10</v>
      </c>
      <c r="BZ149">
        <v>-11.112499999999999</v>
      </c>
      <c r="CA149">
        <v>1</v>
      </c>
      <c r="CB149">
        <v>-0.25</v>
      </c>
      <c r="CC149">
        <v>0.125</v>
      </c>
      <c r="CD149">
        <v>1.1875</v>
      </c>
      <c r="CE149">
        <v>-1.5625</v>
      </c>
      <c r="CF149">
        <v>54.25</v>
      </c>
      <c r="CG149">
        <v>22.25</v>
      </c>
      <c r="CH149">
        <v>17.6875</v>
      </c>
      <c r="CI149">
        <v>7.1875</v>
      </c>
      <c r="CJ149">
        <v>7.125</v>
      </c>
      <c r="CK149">
        <v>18</v>
      </c>
      <c r="CL149">
        <v>0.26499999999999924</v>
      </c>
      <c r="CM149">
        <v>-8.8875000000000259E-2</v>
      </c>
      <c r="CN149">
        <v>4.5625</v>
      </c>
      <c r="CO149">
        <v>-0.26499999999999924</v>
      </c>
      <c r="CP149">
        <v>0.87921875000000016</v>
      </c>
      <c r="CQ149">
        <v>-5.0500000000000007</v>
      </c>
      <c r="CR149">
        <v>-17.125</v>
      </c>
      <c r="CS149">
        <v>2.8687500000000008</v>
      </c>
      <c r="CT149">
        <v>14</v>
      </c>
      <c r="CU149">
        <v>-0.375</v>
      </c>
      <c r="CV149">
        <v>-0.6875</v>
      </c>
      <c r="CW149">
        <v>8.414062500000008E-2</v>
      </c>
      <c r="CX149">
        <v>0.48125000000000023</v>
      </c>
      <c r="CY149" t="s">
        <v>312</v>
      </c>
      <c r="CZ149">
        <v>7</v>
      </c>
      <c r="DA149">
        <v>3.374999999999817E-2</v>
      </c>
      <c r="DB149">
        <v>22</v>
      </c>
      <c r="DC149">
        <v>21.5</v>
      </c>
      <c r="DD149">
        <v>22</v>
      </c>
      <c r="DE149">
        <v>-0.85625000000000018</v>
      </c>
      <c r="DF149">
        <v>21</v>
      </c>
      <c r="DG149">
        <v>4.3125</v>
      </c>
      <c r="DH149">
        <v>0.9375</v>
      </c>
      <c r="DI149">
        <v>8</v>
      </c>
      <c r="DJ149">
        <v>11</v>
      </c>
      <c r="DK149">
        <v>9</v>
      </c>
      <c r="DL149">
        <v>2.3812500000000001</v>
      </c>
      <c r="DM149">
        <v>13</v>
      </c>
      <c r="DN149">
        <v>7.0625</v>
      </c>
      <c r="DO149">
        <v>6.25E-2</v>
      </c>
      <c r="DP149">
        <v>6</v>
      </c>
      <c r="DQ149">
        <v>14.5</v>
      </c>
      <c r="DR149">
        <v>15</v>
      </c>
      <c r="DS149">
        <v>-1.5624999999999991</v>
      </c>
      <c r="DT149">
        <v>14</v>
      </c>
      <c r="DU149">
        <v>-13.6875</v>
      </c>
      <c r="DV149">
        <v>-0.6875</v>
      </c>
      <c r="DW149">
        <v>4</v>
      </c>
      <c r="DX149">
        <v>5</v>
      </c>
      <c r="DY149">
        <v>3</v>
      </c>
      <c r="DZ149">
        <v>-1.2187500000000004</v>
      </c>
      <c r="EA149">
        <v>7</v>
      </c>
      <c r="EB149">
        <v>-0.875</v>
      </c>
      <c r="EC149">
        <v>-0.375</v>
      </c>
      <c r="ED149">
        <v>3</v>
      </c>
      <c r="EE149">
        <v>1</v>
      </c>
      <c r="EF149">
        <v>1</v>
      </c>
      <c r="EG149">
        <v>2.6687500000000002</v>
      </c>
      <c r="EH149">
        <v>1</v>
      </c>
      <c r="EI149">
        <v>7.875</v>
      </c>
      <c r="EJ149">
        <v>0.75</v>
      </c>
      <c r="EK149">
        <v>13</v>
      </c>
      <c r="EL149">
        <v>12.5</v>
      </c>
      <c r="EM149">
        <v>13</v>
      </c>
      <c r="EN149">
        <v>3.4125000000000005</v>
      </c>
      <c r="EO149">
        <v>12</v>
      </c>
      <c r="EP149">
        <v>19.125</v>
      </c>
      <c r="EQ149">
        <v>1.0625</v>
      </c>
      <c r="ER149">
        <v>18</v>
      </c>
      <c r="ES149">
        <v>16</v>
      </c>
      <c r="ET149">
        <v>20</v>
      </c>
      <c r="EU149">
        <v>-1.4499999999999993</v>
      </c>
      <c r="EV149">
        <v>12</v>
      </c>
      <c r="EW149">
        <v>-2.6875</v>
      </c>
      <c r="EX149">
        <v>0.1875</v>
      </c>
      <c r="EY149">
        <v>11</v>
      </c>
      <c r="EZ149">
        <v>12</v>
      </c>
      <c r="FA149">
        <v>11</v>
      </c>
      <c r="FB149">
        <v>-2.5</v>
      </c>
      <c r="FC149">
        <v>13</v>
      </c>
      <c r="FD149">
        <v>-0.5</v>
      </c>
      <c r="FE149">
        <v>-0.3125</v>
      </c>
      <c r="FF149">
        <v>7</v>
      </c>
      <c r="FG149">
        <v>12.25</v>
      </c>
      <c r="FH149">
        <v>19</v>
      </c>
      <c r="FI149">
        <v>5.4742186902560164E-2</v>
      </c>
      <c r="FJ149">
        <v>13</v>
      </c>
      <c r="FK149">
        <v>1.609280693807278E-2</v>
      </c>
      <c r="FL149">
        <v>1</v>
      </c>
      <c r="FM149">
        <v>-3.0499999999999972</v>
      </c>
      <c r="FN149">
        <v>16</v>
      </c>
      <c r="FO149">
        <v>1.5625</v>
      </c>
      <c r="FP149">
        <v>6.25E-2</v>
      </c>
      <c r="FQ149">
        <v>2.6875</v>
      </c>
      <c r="FR149">
        <v>0.25</v>
      </c>
      <c r="FS149">
        <v>3.3125</v>
      </c>
      <c r="FT149">
        <v>-2.125</v>
      </c>
      <c r="FU149">
        <v>-0.875</v>
      </c>
      <c r="FV149">
        <v>-13.125</v>
      </c>
      <c r="FW149">
        <v>-14.3125</v>
      </c>
      <c r="FX149">
        <v>11.75</v>
      </c>
      <c r="FY149">
        <v>-8.5625</v>
      </c>
      <c r="FZ149">
        <v>-2</v>
      </c>
      <c r="GA149">
        <v>21</v>
      </c>
      <c r="GB149">
        <v>-1.4912500000000017</v>
      </c>
      <c r="GC149">
        <v>-1.0682499999999999</v>
      </c>
      <c r="GD149">
        <v>-26.0625</v>
      </c>
      <c r="GE149">
        <v>1.4912500000000017</v>
      </c>
      <c r="GF149">
        <v>-0.31296875000000007</v>
      </c>
      <c r="GG149">
        <v>-0.11249999999999938</v>
      </c>
      <c r="GH149">
        <v>-6.6875</v>
      </c>
      <c r="GI149">
        <v>1.5249999999999999</v>
      </c>
      <c r="GJ149">
        <v>11.375</v>
      </c>
      <c r="GK149">
        <v>-0.125</v>
      </c>
      <c r="GL149">
        <v>1</v>
      </c>
    </row>
    <row r="150" spans="1:194" x14ac:dyDescent="0.2">
      <c r="A150" s="39">
        <v>43744</v>
      </c>
      <c r="B150" s="28" t="s">
        <v>381</v>
      </c>
      <c r="C150" s="41" t="s">
        <v>298</v>
      </c>
      <c r="D150" s="28" t="s">
        <v>294</v>
      </c>
      <c r="E150" s="3">
        <v>3</v>
      </c>
      <c r="F150" s="3">
        <v>2.6</v>
      </c>
      <c r="G150" s="3">
        <v>8.6999999999999993</v>
      </c>
      <c r="H150" s="3">
        <v>1.2</v>
      </c>
      <c r="I150" s="3">
        <v>14</v>
      </c>
      <c r="J150" s="3">
        <v>43</v>
      </c>
      <c r="K150" s="3"/>
      <c r="L150" s="1" t="s">
        <v>298</v>
      </c>
      <c r="M150">
        <v>21</v>
      </c>
      <c r="N150">
        <v>-9.52</v>
      </c>
      <c r="O150">
        <v>19</v>
      </c>
      <c r="P150">
        <v>20.5</v>
      </c>
      <c r="Q150">
        <v>13</v>
      </c>
      <c r="R150">
        <v>3.6437500000000007</v>
      </c>
      <c r="S150">
        <v>28</v>
      </c>
      <c r="T150">
        <v>1.3125</v>
      </c>
      <c r="U150">
        <v>4.09375</v>
      </c>
      <c r="V150">
        <v>24</v>
      </c>
      <c r="W150">
        <v>24</v>
      </c>
      <c r="X150">
        <v>27</v>
      </c>
      <c r="Y150">
        <v>-2.5562499999999999</v>
      </c>
      <c r="Z150">
        <v>21</v>
      </c>
      <c r="AA150">
        <v>6.25E-2</v>
      </c>
      <c r="AB150">
        <v>-2.125</v>
      </c>
      <c r="AC150">
        <v>31</v>
      </c>
      <c r="AD150">
        <v>31</v>
      </c>
      <c r="AE150">
        <v>30</v>
      </c>
      <c r="AF150">
        <v>-4.9750000000000005</v>
      </c>
      <c r="AG150">
        <v>32</v>
      </c>
      <c r="AH150">
        <v>-23.625</v>
      </c>
      <c r="AI150">
        <v>-1.1875</v>
      </c>
      <c r="AJ150">
        <v>21</v>
      </c>
      <c r="AK150">
        <v>20.5</v>
      </c>
      <c r="AL150">
        <v>21</v>
      </c>
      <c r="AM150">
        <v>-4.1812500000000004</v>
      </c>
      <c r="AN150">
        <v>20</v>
      </c>
      <c r="AO150">
        <v>-16.3125</v>
      </c>
      <c r="AP150">
        <v>-1.8125</v>
      </c>
      <c r="AQ150">
        <v>6</v>
      </c>
      <c r="AR150">
        <v>6</v>
      </c>
      <c r="AS150">
        <v>7</v>
      </c>
      <c r="AT150">
        <v>-4.2125000000000004</v>
      </c>
      <c r="AU150">
        <v>5</v>
      </c>
      <c r="AV150">
        <v>-12.75</v>
      </c>
      <c r="AW150">
        <v>-0.9375</v>
      </c>
      <c r="AX150">
        <v>24</v>
      </c>
      <c r="AY150">
        <v>25</v>
      </c>
      <c r="AZ150">
        <v>24</v>
      </c>
      <c r="BA150">
        <v>-6.53125</v>
      </c>
      <c r="BB150">
        <v>26</v>
      </c>
      <c r="BC150">
        <v>-27.8125</v>
      </c>
      <c r="BD150">
        <v>-2.375</v>
      </c>
      <c r="BE150">
        <v>14</v>
      </c>
      <c r="BF150">
        <v>13.5</v>
      </c>
      <c r="BG150">
        <v>13</v>
      </c>
      <c r="BH150">
        <v>-7.6312499999999996</v>
      </c>
      <c r="BI150">
        <v>14</v>
      </c>
      <c r="BJ150">
        <v>-33.8125</v>
      </c>
      <c r="BK150">
        <v>-3.3125</v>
      </c>
      <c r="BL150">
        <v>14</v>
      </c>
      <c r="BM150">
        <v>13.5</v>
      </c>
      <c r="BN150">
        <v>19</v>
      </c>
      <c r="BO150">
        <v>-4.25</v>
      </c>
      <c r="BP150">
        <v>8</v>
      </c>
      <c r="BQ150">
        <v>-0.6875</v>
      </c>
      <c r="BR150">
        <v>2.625</v>
      </c>
      <c r="BS150">
        <v>8</v>
      </c>
      <c r="BT150">
        <v>12</v>
      </c>
      <c r="BU150">
        <v>2</v>
      </c>
      <c r="BV150">
        <v>9.2541107826202368E-2</v>
      </c>
      <c r="BW150">
        <v>17</v>
      </c>
      <c r="BX150">
        <v>9.235518978510357E-2</v>
      </c>
      <c r="BY150">
        <v>12</v>
      </c>
      <c r="BZ150">
        <v>15.2125</v>
      </c>
      <c r="CA150">
        <v>17</v>
      </c>
      <c r="CB150">
        <v>7.25</v>
      </c>
      <c r="CC150">
        <v>-5.125</v>
      </c>
      <c r="CD150">
        <v>-11</v>
      </c>
      <c r="CE150">
        <v>2.875</v>
      </c>
      <c r="CF150">
        <v>-114.4375</v>
      </c>
      <c r="CG150">
        <v>-98.5</v>
      </c>
      <c r="CH150">
        <v>-5.1875</v>
      </c>
      <c r="CI150">
        <v>1.25</v>
      </c>
      <c r="CJ150">
        <v>-12</v>
      </c>
      <c r="CK150">
        <v>29</v>
      </c>
      <c r="CL150">
        <v>-10.6075</v>
      </c>
      <c r="CM150">
        <v>-6.6477500000000012</v>
      </c>
      <c r="CN150">
        <v>-93.3125</v>
      </c>
      <c r="CO150">
        <v>10.6075</v>
      </c>
      <c r="CP150">
        <v>-4.2103124999999997</v>
      </c>
      <c r="CQ150">
        <v>-13.36875</v>
      </c>
      <c r="CR150">
        <v>-52.6875</v>
      </c>
      <c r="CS150">
        <v>1.0875000000000008</v>
      </c>
      <c r="CT150">
        <v>1.375</v>
      </c>
      <c r="CU150">
        <v>-7.25</v>
      </c>
      <c r="CV150">
        <v>1.96875</v>
      </c>
      <c r="CW150">
        <v>0.90898437500000029</v>
      </c>
      <c r="CX150">
        <v>-0.18249999999999988</v>
      </c>
      <c r="CY150" t="s">
        <v>294</v>
      </c>
      <c r="CZ150">
        <v>30</v>
      </c>
      <c r="DA150">
        <v>4.3099999999999996</v>
      </c>
      <c r="DB150">
        <v>18</v>
      </c>
      <c r="DC150">
        <v>19.5</v>
      </c>
      <c r="DD150">
        <v>7</v>
      </c>
      <c r="DE150">
        <v>-0.68749999999999956</v>
      </c>
      <c r="DF150">
        <v>32</v>
      </c>
      <c r="DG150">
        <v>-26.75</v>
      </c>
      <c r="DH150">
        <v>0.53125</v>
      </c>
      <c r="DI150">
        <v>5</v>
      </c>
      <c r="DJ150">
        <v>8</v>
      </c>
      <c r="DK150">
        <v>13</v>
      </c>
      <c r="DL150">
        <v>-1.1062499999999995</v>
      </c>
      <c r="DM150">
        <v>3</v>
      </c>
      <c r="DN150">
        <v>-6.0625</v>
      </c>
      <c r="DO150">
        <v>0.875</v>
      </c>
      <c r="DP150">
        <v>30</v>
      </c>
      <c r="DQ150">
        <v>24</v>
      </c>
      <c r="DR150">
        <v>24</v>
      </c>
      <c r="DS150">
        <v>4.7625000000000011</v>
      </c>
      <c r="DT150">
        <v>24</v>
      </c>
      <c r="DU150">
        <v>31.1875</v>
      </c>
      <c r="DV150">
        <v>1.375</v>
      </c>
      <c r="DW150">
        <v>31</v>
      </c>
      <c r="DX150">
        <v>30.5</v>
      </c>
      <c r="DY150">
        <v>30</v>
      </c>
      <c r="DZ150">
        <v>4.8500000000000014</v>
      </c>
      <c r="EA150">
        <v>31</v>
      </c>
      <c r="EB150">
        <v>19.375</v>
      </c>
      <c r="EC150">
        <v>2.0625</v>
      </c>
      <c r="ED150">
        <v>29</v>
      </c>
      <c r="EE150">
        <v>20</v>
      </c>
      <c r="EF150">
        <v>18</v>
      </c>
      <c r="EG150">
        <v>1.118750000000001</v>
      </c>
      <c r="EH150">
        <v>22</v>
      </c>
      <c r="EI150">
        <v>-4</v>
      </c>
      <c r="EJ150">
        <v>6.25E-2</v>
      </c>
      <c r="EK150">
        <v>32</v>
      </c>
      <c r="EL150">
        <v>32</v>
      </c>
      <c r="EM150">
        <v>32</v>
      </c>
      <c r="EN150">
        <v>-4.84375</v>
      </c>
      <c r="EO150">
        <v>32</v>
      </c>
      <c r="EP150">
        <v>-18.4375</v>
      </c>
      <c r="EQ150">
        <v>-1.9375</v>
      </c>
      <c r="ER150">
        <v>8</v>
      </c>
      <c r="ES150">
        <v>8.5</v>
      </c>
      <c r="ET150">
        <v>12</v>
      </c>
      <c r="EU150">
        <v>-0.11874999999999947</v>
      </c>
      <c r="EV150">
        <v>5</v>
      </c>
      <c r="EW150">
        <v>-3.0625</v>
      </c>
      <c r="EX150">
        <v>0.3125</v>
      </c>
      <c r="EY150">
        <v>31</v>
      </c>
      <c r="EZ150">
        <v>28.5</v>
      </c>
      <c r="FA150">
        <v>26</v>
      </c>
      <c r="FB150">
        <v>2.875</v>
      </c>
      <c r="FC150">
        <v>31</v>
      </c>
      <c r="FD150">
        <v>0.625</v>
      </c>
      <c r="FE150">
        <v>-0.6875</v>
      </c>
      <c r="FF150">
        <v>4</v>
      </c>
      <c r="FG150">
        <v>8.75</v>
      </c>
      <c r="FH150">
        <v>3</v>
      </c>
      <c r="FI150">
        <v>3.9893190126744665E-2</v>
      </c>
      <c r="FJ150">
        <v>4</v>
      </c>
      <c r="FK150">
        <v>-3.30250190854234E-2</v>
      </c>
      <c r="FL150">
        <v>14</v>
      </c>
      <c r="FM150">
        <v>3.5874999999999986</v>
      </c>
      <c r="FN150">
        <v>14</v>
      </c>
      <c r="FO150">
        <v>-4.5625</v>
      </c>
      <c r="FP150">
        <v>3.625</v>
      </c>
      <c r="FQ150">
        <v>-3</v>
      </c>
      <c r="FR150">
        <v>0.3125</v>
      </c>
      <c r="FS150">
        <v>0.1875</v>
      </c>
      <c r="FT150">
        <v>5.0625</v>
      </c>
      <c r="FU150">
        <v>1.3125</v>
      </c>
      <c r="FV150">
        <v>24.1875</v>
      </c>
      <c r="FW150">
        <v>43.6875</v>
      </c>
      <c r="FX150">
        <v>-20.5</v>
      </c>
      <c r="FY150">
        <v>-6.25E-2</v>
      </c>
      <c r="FZ150">
        <v>1.0625</v>
      </c>
      <c r="GA150">
        <v>5</v>
      </c>
      <c r="GB150">
        <v>6.103749999999998</v>
      </c>
      <c r="GC150">
        <v>3.8813750000000002</v>
      </c>
      <c r="GD150">
        <v>64.1875</v>
      </c>
      <c r="GE150">
        <v>-6.1037499999999989</v>
      </c>
      <c r="GF150">
        <v>2.0004687500000005</v>
      </c>
      <c r="GG150">
        <v>10.731250000000003</v>
      </c>
      <c r="GH150">
        <v>46.5625</v>
      </c>
      <c r="GI150">
        <v>-1.7937499999999991</v>
      </c>
      <c r="GJ150">
        <v>-32.8125</v>
      </c>
      <c r="GK150">
        <v>3.8125</v>
      </c>
      <c r="GL150">
        <v>1.40625</v>
      </c>
    </row>
    <row r="151" spans="1:194" x14ac:dyDescent="0.2">
      <c r="A151" s="39">
        <v>43744</v>
      </c>
      <c r="B151" s="22" t="s">
        <v>381</v>
      </c>
      <c r="C151" s="41" t="s">
        <v>294</v>
      </c>
      <c r="D151" s="22" t="s">
        <v>298</v>
      </c>
      <c r="E151">
        <v>11.2</v>
      </c>
      <c r="F151">
        <v>3</v>
      </c>
      <c r="G151">
        <v>0</v>
      </c>
      <c r="H151">
        <v>18.8</v>
      </c>
      <c r="I151">
        <v>-14</v>
      </c>
      <c r="J151">
        <v>43</v>
      </c>
      <c r="L151" s="1" t="s">
        <v>294</v>
      </c>
      <c r="M151">
        <v>23</v>
      </c>
      <c r="N151">
        <v>3.6349999999999993</v>
      </c>
      <c r="O151">
        <v>16</v>
      </c>
      <c r="P151">
        <v>16.5</v>
      </c>
      <c r="Q151">
        <v>18</v>
      </c>
      <c r="R151">
        <v>-5.40625</v>
      </c>
      <c r="S151">
        <v>15</v>
      </c>
      <c r="T151">
        <v>-25.25</v>
      </c>
      <c r="U151">
        <v>-0.1875</v>
      </c>
      <c r="V151">
        <v>9</v>
      </c>
      <c r="W151">
        <v>10.5</v>
      </c>
      <c r="X151">
        <v>16</v>
      </c>
      <c r="Y151">
        <v>0.68124999999999991</v>
      </c>
      <c r="Z151">
        <v>5</v>
      </c>
      <c r="AA151">
        <v>11.375</v>
      </c>
      <c r="AB151">
        <v>-0.8125</v>
      </c>
      <c r="AC151">
        <v>19</v>
      </c>
      <c r="AD151">
        <v>18.5</v>
      </c>
      <c r="AE151">
        <v>20</v>
      </c>
      <c r="AF151">
        <v>4.7750000000000004</v>
      </c>
      <c r="AG151">
        <v>17</v>
      </c>
      <c r="AH151">
        <v>-5.5625</v>
      </c>
      <c r="AI151">
        <v>1.1875</v>
      </c>
      <c r="AJ151">
        <v>30</v>
      </c>
      <c r="AK151">
        <v>30</v>
      </c>
      <c r="AL151">
        <v>29</v>
      </c>
      <c r="AM151">
        <v>1.2624999999999995</v>
      </c>
      <c r="AN151">
        <v>31</v>
      </c>
      <c r="AO151">
        <v>9.4375</v>
      </c>
      <c r="AP151">
        <v>0.3125</v>
      </c>
      <c r="AQ151">
        <v>23</v>
      </c>
      <c r="AR151">
        <v>23.5</v>
      </c>
      <c r="AS151">
        <v>24</v>
      </c>
      <c r="AT151">
        <v>-1.1937499999999999</v>
      </c>
      <c r="AU151">
        <v>23</v>
      </c>
      <c r="AV151">
        <v>-7.5</v>
      </c>
      <c r="AW151">
        <v>0.25</v>
      </c>
      <c r="AX151">
        <v>20</v>
      </c>
      <c r="AY151">
        <v>20</v>
      </c>
      <c r="AZ151">
        <v>19</v>
      </c>
      <c r="BA151">
        <v>12.712499999999999</v>
      </c>
      <c r="BB151">
        <v>21</v>
      </c>
      <c r="BC151">
        <v>33.375</v>
      </c>
      <c r="BD151">
        <v>4.875</v>
      </c>
      <c r="BE151">
        <v>1</v>
      </c>
      <c r="BF151">
        <v>1</v>
      </c>
      <c r="BG151">
        <v>1</v>
      </c>
      <c r="BH151">
        <v>5.5125000000000002</v>
      </c>
      <c r="BI151">
        <v>1</v>
      </c>
      <c r="BJ151">
        <v>22.125</v>
      </c>
      <c r="BK151">
        <v>4.3125</v>
      </c>
      <c r="BL151">
        <v>23</v>
      </c>
      <c r="BM151">
        <v>22.5</v>
      </c>
      <c r="BN151">
        <v>24</v>
      </c>
      <c r="BO151">
        <v>-0.75</v>
      </c>
      <c r="BP151">
        <v>21</v>
      </c>
      <c r="BQ151">
        <v>-0.5625</v>
      </c>
      <c r="BR151">
        <v>-4.5625</v>
      </c>
      <c r="BS151">
        <v>6</v>
      </c>
      <c r="BT151">
        <v>10.25</v>
      </c>
      <c r="BU151">
        <v>16</v>
      </c>
      <c r="BV151">
        <v>-2.9679942997754991E-2</v>
      </c>
      <c r="BW151">
        <v>4</v>
      </c>
      <c r="BX151">
        <v>-1.073754230047636E-2</v>
      </c>
      <c r="BY151">
        <v>6</v>
      </c>
      <c r="BZ151">
        <v>2.3687499999999986</v>
      </c>
      <c r="CA151">
        <v>15</v>
      </c>
      <c r="CB151">
        <v>-0.6875</v>
      </c>
      <c r="CC151">
        <v>2.75</v>
      </c>
      <c r="CD151">
        <v>5</v>
      </c>
      <c r="CE151">
        <v>-1.3125</v>
      </c>
      <c r="CF151">
        <v>-11.1875</v>
      </c>
      <c r="CG151">
        <v>0.875</v>
      </c>
      <c r="CH151">
        <v>-3.125</v>
      </c>
      <c r="CI151">
        <v>-3.6875</v>
      </c>
      <c r="CJ151">
        <v>-5.25</v>
      </c>
      <c r="CK151">
        <v>1</v>
      </c>
      <c r="CL151">
        <v>8.36</v>
      </c>
      <c r="CM151">
        <v>5.1607500000000002</v>
      </c>
      <c r="CN151">
        <v>4</v>
      </c>
      <c r="CO151">
        <v>-8.36</v>
      </c>
      <c r="CP151">
        <v>1.0645312499999999</v>
      </c>
      <c r="CQ151">
        <v>4.84375</v>
      </c>
      <c r="CR151">
        <v>-3.625</v>
      </c>
      <c r="CS151">
        <v>-4.7249999999999996</v>
      </c>
      <c r="CT151">
        <v>-13.875</v>
      </c>
      <c r="CU151">
        <v>6.0625</v>
      </c>
      <c r="CV151">
        <v>-1</v>
      </c>
      <c r="CW151">
        <v>0.90898437500000029</v>
      </c>
      <c r="CX151">
        <v>2.0004687500000005</v>
      </c>
      <c r="CY151" t="s">
        <v>298</v>
      </c>
      <c r="CZ151">
        <v>9</v>
      </c>
      <c r="DA151">
        <v>-0.9300000000000006</v>
      </c>
      <c r="DB151">
        <v>32</v>
      </c>
      <c r="DC151">
        <v>30.5</v>
      </c>
      <c r="DD151">
        <v>30</v>
      </c>
      <c r="DE151">
        <v>-1.0750000000000002</v>
      </c>
      <c r="DF151">
        <v>31</v>
      </c>
      <c r="DG151">
        <v>-16</v>
      </c>
      <c r="DH151">
        <v>6.25E-2</v>
      </c>
      <c r="DI151">
        <v>16</v>
      </c>
      <c r="DJ151">
        <v>16.5</v>
      </c>
      <c r="DK151">
        <v>18</v>
      </c>
      <c r="DL151">
        <v>0.21875</v>
      </c>
      <c r="DM151">
        <v>15</v>
      </c>
      <c r="DN151">
        <v>-2.3125</v>
      </c>
      <c r="DO151">
        <v>0.6875</v>
      </c>
      <c r="DP151">
        <v>7</v>
      </c>
      <c r="DQ151">
        <v>10.5</v>
      </c>
      <c r="DR151">
        <v>8</v>
      </c>
      <c r="DS151">
        <v>5.5762500000000017</v>
      </c>
      <c r="DT151">
        <v>13</v>
      </c>
      <c r="DU151">
        <v>30.875</v>
      </c>
      <c r="DV151">
        <v>0.4375</v>
      </c>
      <c r="DW151">
        <v>5</v>
      </c>
      <c r="DX151">
        <v>5.5</v>
      </c>
      <c r="DY151">
        <v>5</v>
      </c>
      <c r="DZ151">
        <v>-5.0687499999999996</v>
      </c>
      <c r="EA151">
        <v>6</v>
      </c>
      <c r="EB151">
        <v>-24.5625</v>
      </c>
      <c r="EC151">
        <v>0</v>
      </c>
      <c r="ED151">
        <v>26</v>
      </c>
      <c r="EE151">
        <v>28.5</v>
      </c>
      <c r="EF151">
        <v>28</v>
      </c>
      <c r="EG151">
        <v>0.71875</v>
      </c>
      <c r="EH151">
        <v>29</v>
      </c>
      <c r="EI151">
        <v>2.625</v>
      </c>
      <c r="EJ151">
        <v>-0.4375</v>
      </c>
      <c r="EK151">
        <v>25</v>
      </c>
      <c r="EL151">
        <v>26</v>
      </c>
      <c r="EM151">
        <v>26</v>
      </c>
      <c r="EN151">
        <v>-4.6875</v>
      </c>
      <c r="EO151">
        <v>26</v>
      </c>
      <c r="EP151">
        <v>-5.625</v>
      </c>
      <c r="EQ151">
        <v>-1.75</v>
      </c>
      <c r="ER151">
        <v>13</v>
      </c>
      <c r="ES151">
        <v>13.5</v>
      </c>
      <c r="ET151">
        <v>17</v>
      </c>
      <c r="EU151">
        <v>-1.9625000000000001</v>
      </c>
      <c r="EV151">
        <v>10</v>
      </c>
      <c r="EW151">
        <v>-7.1875</v>
      </c>
      <c r="EX151">
        <v>-1.1875</v>
      </c>
      <c r="EY151">
        <v>24</v>
      </c>
      <c r="EZ151">
        <v>23</v>
      </c>
      <c r="FA151">
        <v>28</v>
      </c>
      <c r="FB151">
        <v>1.0625</v>
      </c>
      <c r="FC151">
        <v>18</v>
      </c>
      <c r="FD151">
        <v>-6.25E-2</v>
      </c>
      <c r="FE151">
        <v>7.25</v>
      </c>
      <c r="FF151">
        <v>23</v>
      </c>
      <c r="FG151">
        <v>20</v>
      </c>
      <c r="FH151">
        <v>32</v>
      </c>
      <c r="FI151">
        <v>1.6821021542653435E-2</v>
      </c>
      <c r="FJ151">
        <v>22</v>
      </c>
      <c r="FK151">
        <v>-1.4997920054752232E-2</v>
      </c>
      <c r="FL151">
        <v>11</v>
      </c>
      <c r="FM151">
        <v>4.84375</v>
      </c>
      <c r="FN151">
        <v>15</v>
      </c>
      <c r="FO151">
        <v>2.625</v>
      </c>
      <c r="FP151">
        <v>0</v>
      </c>
      <c r="FQ151">
        <v>-2.125</v>
      </c>
      <c r="FR151">
        <v>0.3125</v>
      </c>
      <c r="FS151">
        <v>-2.6875</v>
      </c>
      <c r="FT151">
        <v>-1.75</v>
      </c>
      <c r="FU151">
        <v>2.1875</v>
      </c>
      <c r="FV151">
        <v>-22.75</v>
      </c>
      <c r="FW151">
        <v>7.0625</v>
      </c>
      <c r="FX151">
        <v>-27.875</v>
      </c>
      <c r="FY151">
        <v>-0.5625</v>
      </c>
      <c r="FZ151">
        <v>-1.375</v>
      </c>
      <c r="GA151">
        <v>18</v>
      </c>
      <c r="GB151">
        <v>-7.3750000000000426E-2</v>
      </c>
      <c r="GC151">
        <v>9.4875000000000376E-2</v>
      </c>
      <c r="GD151">
        <v>34.9375</v>
      </c>
      <c r="GE151">
        <v>7.3750000000000426E-2</v>
      </c>
      <c r="GF151">
        <v>-0.18249999999999988</v>
      </c>
      <c r="GG151">
        <v>1.2262500000000021</v>
      </c>
      <c r="GH151">
        <v>8.9375</v>
      </c>
      <c r="GI151">
        <v>-0.85625000000000018</v>
      </c>
      <c r="GJ151">
        <v>-18.3125</v>
      </c>
      <c r="GK151">
        <v>-1.1875</v>
      </c>
      <c r="GL151">
        <v>0.75</v>
      </c>
    </row>
    <row r="152" spans="1:194" x14ac:dyDescent="0.2">
      <c r="A152" s="39">
        <v>43744</v>
      </c>
      <c r="B152" s="22" t="s">
        <v>381</v>
      </c>
      <c r="C152" s="41" t="s">
        <v>309</v>
      </c>
      <c r="D152" s="22" t="s">
        <v>305</v>
      </c>
      <c r="E152">
        <v>19.5</v>
      </c>
      <c r="F152">
        <v>7.7</v>
      </c>
      <c r="G152">
        <v>8.1999999999999993</v>
      </c>
      <c r="H152">
        <v>6.4</v>
      </c>
      <c r="I152">
        <v>3</v>
      </c>
      <c r="J152">
        <v>44</v>
      </c>
      <c r="L152" s="1" t="s">
        <v>309</v>
      </c>
      <c r="M152">
        <v>31</v>
      </c>
      <c r="N152">
        <v>-0.20375000000000076</v>
      </c>
      <c r="O152">
        <v>12</v>
      </c>
      <c r="P152">
        <v>14.5</v>
      </c>
      <c r="Q152">
        <v>9</v>
      </c>
      <c r="R152">
        <v>-0.32499999999999973</v>
      </c>
      <c r="S152">
        <v>20</v>
      </c>
      <c r="T152">
        <v>-17.9375</v>
      </c>
      <c r="U152">
        <v>0.6875</v>
      </c>
      <c r="V152">
        <v>9</v>
      </c>
      <c r="W152">
        <v>10.5</v>
      </c>
      <c r="X152">
        <v>11</v>
      </c>
      <c r="Y152">
        <v>1.3762499999999998</v>
      </c>
      <c r="Z152">
        <v>10</v>
      </c>
      <c r="AA152">
        <v>-5.25</v>
      </c>
      <c r="AB152">
        <v>0.3125</v>
      </c>
      <c r="AC152">
        <v>13</v>
      </c>
      <c r="AD152">
        <v>14.5</v>
      </c>
      <c r="AE152">
        <v>19</v>
      </c>
      <c r="AF152">
        <v>0.12500000000000133</v>
      </c>
      <c r="AG152">
        <v>10</v>
      </c>
      <c r="AH152">
        <v>6.0625</v>
      </c>
      <c r="AI152">
        <v>6.25E-2</v>
      </c>
      <c r="AJ152">
        <v>17</v>
      </c>
      <c r="AK152">
        <v>17.5</v>
      </c>
      <c r="AL152">
        <v>19</v>
      </c>
      <c r="AM152">
        <v>-2.3812500000000001</v>
      </c>
      <c r="AN152">
        <v>16</v>
      </c>
      <c r="AO152">
        <v>-17.0625</v>
      </c>
      <c r="AP152">
        <v>-0.6875</v>
      </c>
      <c r="AQ152">
        <v>18</v>
      </c>
      <c r="AR152">
        <v>17.5</v>
      </c>
      <c r="AS152">
        <v>20</v>
      </c>
      <c r="AT152">
        <v>3.125E-2</v>
      </c>
      <c r="AU152">
        <v>15</v>
      </c>
      <c r="AV152">
        <v>-1.6875</v>
      </c>
      <c r="AW152">
        <v>-0.3125</v>
      </c>
      <c r="AX152">
        <v>31</v>
      </c>
      <c r="AY152">
        <v>31.5</v>
      </c>
      <c r="AZ152">
        <v>32</v>
      </c>
      <c r="BA152">
        <v>4.3750000000000622E-2</v>
      </c>
      <c r="BB152">
        <v>31</v>
      </c>
      <c r="BC152">
        <v>-0.8125</v>
      </c>
      <c r="BD152">
        <v>1.25</v>
      </c>
      <c r="BE152">
        <v>28</v>
      </c>
      <c r="BF152">
        <v>27.5</v>
      </c>
      <c r="BG152">
        <v>24</v>
      </c>
      <c r="BH152">
        <v>0.86250000000000027</v>
      </c>
      <c r="BI152">
        <v>31</v>
      </c>
      <c r="BJ152">
        <v>-6.3125</v>
      </c>
      <c r="BK152">
        <v>0</v>
      </c>
      <c r="BL152">
        <v>3</v>
      </c>
      <c r="BM152">
        <v>5.5</v>
      </c>
      <c r="BN152">
        <v>5</v>
      </c>
      <c r="BO152">
        <v>2.25</v>
      </c>
      <c r="BP152">
        <v>6</v>
      </c>
      <c r="BQ152">
        <v>0</v>
      </c>
      <c r="BR152">
        <v>1.375</v>
      </c>
      <c r="BS152">
        <v>12</v>
      </c>
      <c r="BT152">
        <v>13.25</v>
      </c>
      <c r="BU152">
        <v>9</v>
      </c>
      <c r="BV152">
        <v>-9.0025054165740137E-2</v>
      </c>
      <c r="BW152">
        <v>20</v>
      </c>
      <c r="BX152">
        <v>-4.846344925852937E-2</v>
      </c>
      <c r="BY152">
        <v>19</v>
      </c>
      <c r="BZ152">
        <v>-2.2312499999999993</v>
      </c>
      <c r="CA152">
        <v>5</v>
      </c>
      <c r="CB152">
        <v>-6.1875</v>
      </c>
      <c r="CC152">
        <v>-4.0625</v>
      </c>
      <c r="CD152">
        <v>3.5</v>
      </c>
      <c r="CE152">
        <v>-2.1875</v>
      </c>
      <c r="CF152">
        <v>-35.25</v>
      </c>
      <c r="CG152">
        <v>-8.9375</v>
      </c>
      <c r="CH152">
        <v>-21.5625</v>
      </c>
      <c r="CI152">
        <v>-6.25E-2</v>
      </c>
      <c r="CJ152">
        <v>-4.6875</v>
      </c>
      <c r="CK152">
        <v>21</v>
      </c>
      <c r="CL152">
        <v>-1.2550000000000008</v>
      </c>
      <c r="CM152">
        <v>-0.83887499999999982</v>
      </c>
      <c r="CN152">
        <v>12.625</v>
      </c>
      <c r="CO152">
        <v>1.2550000000000008</v>
      </c>
      <c r="CP152">
        <v>0.2168750000000001</v>
      </c>
      <c r="CQ152">
        <v>-2.2249999999999988</v>
      </c>
      <c r="CR152">
        <v>-12.6875</v>
      </c>
      <c r="CS152">
        <v>1.05125</v>
      </c>
      <c r="CT152">
        <v>-23.1875</v>
      </c>
      <c r="CU152">
        <v>-0.9375</v>
      </c>
      <c r="CV152">
        <v>1</v>
      </c>
      <c r="CW152">
        <v>0.45164062499999996</v>
      </c>
      <c r="CX152">
        <v>-0.59968749999999982</v>
      </c>
      <c r="CY152" t="s">
        <v>305</v>
      </c>
      <c r="CZ152">
        <v>32</v>
      </c>
      <c r="DA152">
        <v>1.6925000000000008</v>
      </c>
      <c r="DB152">
        <v>4</v>
      </c>
      <c r="DC152">
        <v>5.5</v>
      </c>
      <c r="DD152">
        <v>6</v>
      </c>
      <c r="DE152">
        <v>2.9624999999999995</v>
      </c>
      <c r="DF152">
        <v>5</v>
      </c>
      <c r="DG152">
        <v>9.5</v>
      </c>
      <c r="DH152">
        <v>-2.5625</v>
      </c>
      <c r="DI152">
        <v>27</v>
      </c>
      <c r="DJ152">
        <v>24.5</v>
      </c>
      <c r="DK152">
        <v>29</v>
      </c>
      <c r="DL152">
        <v>1.8937500000000003</v>
      </c>
      <c r="DM152">
        <v>20</v>
      </c>
      <c r="DN152">
        <v>2.375</v>
      </c>
      <c r="DO152">
        <v>0.4375</v>
      </c>
      <c r="DP152">
        <v>20</v>
      </c>
      <c r="DQ152">
        <v>25</v>
      </c>
      <c r="DR152">
        <v>27</v>
      </c>
      <c r="DS152">
        <v>-4.4750000000000005</v>
      </c>
      <c r="DT152">
        <v>23</v>
      </c>
      <c r="DU152">
        <v>-20.375</v>
      </c>
      <c r="DV152">
        <v>-1.0625</v>
      </c>
      <c r="DW152">
        <v>16</v>
      </c>
      <c r="DX152">
        <v>16</v>
      </c>
      <c r="DY152">
        <v>12</v>
      </c>
      <c r="DZ152">
        <v>4.9124999999999996</v>
      </c>
      <c r="EA152">
        <v>20</v>
      </c>
      <c r="EB152">
        <v>34.9375</v>
      </c>
      <c r="EC152">
        <v>6.25E-2</v>
      </c>
      <c r="ED152">
        <v>22</v>
      </c>
      <c r="EE152">
        <v>29</v>
      </c>
      <c r="EF152">
        <v>31</v>
      </c>
      <c r="EG152">
        <v>2.1874999999999996</v>
      </c>
      <c r="EH152">
        <v>27</v>
      </c>
      <c r="EI152">
        <v>10.3125</v>
      </c>
      <c r="EJ152">
        <v>6.25E-2</v>
      </c>
      <c r="EK152">
        <v>26</v>
      </c>
      <c r="EL152">
        <v>26.5</v>
      </c>
      <c r="EM152">
        <v>23</v>
      </c>
      <c r="EN152">
        <v>4.5812499999999989</v>
      </c>
      <c r="EO152">
        <v>30</v>
      </c>
      <c r="EP152">
        <v>54.5625</v>
      </c>
      <c r="EQ152">
        <v>-0.125</v>
      </c>
      <c r="ER152">
        <v>31</v>
      </c>
      <c r="ES152">
        <v>30.5</v>
      </c>
      <c r="ET152">
        <v>30</v>
      </c>
      <c r="EU152">
        <v>1.7249999999999999</v>
      </c>
      <c r="EV152">
        <v>31</v>
      </c>
      <c r="EW152">
        <v>14.125</v>
      </c>
      <c r="EX152">
        <v>0.6875</v>
      </c>
      <c r="EY152">
        <v>23</v>
      </c>
      <c r="EZ152">
        <v>22.5</v>
      </c>
      <c r="FA152">
        <v>27</v>
      </c>
      <c r="FB152">
        <v>1.125</v>
      </c>
      <c r="FC152">
        <v>18</v>
      </c>
      <c r="FD152">
        <v>-0.1875</v>
      </c>
      <c r="FE152">
        <v>-2.125</v>
      </c>
      <c r="FF152">
        <v>5</v>
      </c>
      <c r="FG152">
        <v>9.75</v>
      </c>
      <c r="FH152">
        <v>15</v>
      </c>
      <c r="FI152">
        <v>4.4246787171674379E-3</v>
      </c>
      <c r="FJ152">
        <v>8</v>
      </c>
      <c r="FK152">
        <v>-2.4100616343961358E-2</v>
      </c>
      <c r="FL152">
        <v>15</v>
      </c>
      <c r="FM152">
        <v>7.2124999999999986</v>
      </c>
      <c r="FN152">
        <v>1</v>
      </c>
      <c r="FO152">
        <v>-5.5625</v>
      </c>
      <c r="FP152">
        <v>-2.75</v>
      </c>
      <c r="FQ152">
        <v>-1.9375</v>
      </c>
      <c r="FR152">
        <v>0.25</v>
      </c>
      <c r="FS152">
        <v>-5.75</v>
      </c>
      <c r="FT152">
        <v>5.1875</v>
      </c>
      <c r="FU152">
        <v>-0.4375</v>
      </c>
      <c r="FV152">
        <v>35</v>
      </c>
      <c r="FW152">
        <v>31.6875</v>
      </c>
      <c r="FX152">
        <v>11.3125</v>
      </c>
      <c r="FY152">
        <v>-0.75</v>
      </c>
      <c r="FZ152">
        <v>-7.25</v>
      </c>
      <c r="GA152">
        <v>24</v>
      </c>
      <c r="GB152">
        <v>-3.163749999999999</v>
      </c>
      <c r="GC152">
        <v>-1.219625</v>
      </c>
      <c r="GD152">
        <v>20.375</v>
      </c>
      <c r="GE152">
        <v>3.1637499999999985</v>
      </c>
      <c r="GF152">
        <v>1.5029687499999997</v>
      </c>
      <c r="GG152">
        <v>2.6249999999999987</v>
      </c>
      <c r="GH152">
        <v>24.875</v>
      </c>
      <c r="GI152">
        <v>4.8562499999999993</v>
      </c>
      <c r="GJ152">
        <v>11.875</v>
      </c>
      <c r="GK152">
        <v>-0.25</v>
      </c>
      <c r="GL152">
        <v>-2.125</v>
      </c>
    </row>
    <row r="153" spans="1:194" x14ac:dyDescent="0.2">
      <c r="A153" s="39">
        <v>43744</v>
      </c>
      <c r="B153" s="23" t="s">
        <v>381</v>
      </c>
      <c r="C153" s="40" t="s">
        <v>256</v>
      </c>
      <c r="D153" s="24" t="s">
        <v>281</v>
      </c>
      <c r="E153">
        <v>8.6</v>
      </c>
      <c r="F153">
        <v>2.1</v>
      </c>
      <c r="G153">
        <v>1.3</v>
      </c>
      <c r="H153">
        <f>20.8+1.7</f>
        <v>22.5</v>
      </c>
      <c r="I153">
        <v>-5</v>
      </c>
      <c r="J153">
        <v>47.5</v>
      </c>
      <c r="L153" s="1" t="s">
        <v>256</v>
      </c>
      <c r="M153">
        <v>15</v>
      </c>
      <c r="N153">
        <v>-4.4612500000000015</v>
      </c>
      <c r="O153">
        <v>26</v>
      </c>
      <c r="P153">
        <v>24.5</v>
      </c>
      <c r="Q153">
        <v>25</v>
      </c>
      <c r="R153">
        <v>-0.4812499999999984</v>
      </c>
      <c r="S153">
        <v>24</v>
      </c>
      <c r="T153">
        <v>32.3125</v>
      </c>
      <c r="U153">
        <v>-2.1875</v>
      </c>
      <c r="V153">
        <v>5</v>
      </c>
      <c r="W153">
        <v>8</v>
      </c>
      <c r="X153">
        <v>9</v>
      </c>
      <c r="Y153">
        <v>9.36</v>
      </c>
      <c r="Z153">
        <v>7</v>
      </c>
      <c r="AA153">
        <v>51</v>
      </c>
      <c r="AB153">
        <v>-0.3125</v>
      </c>
      <c r="AC153">
        <v>23</v>
      </c>
      <c r="AD153">
        <v>22</v>
      </c>
      <c r="AE153">
        <v>24</v>
      </c>
      <c r="AF153">
        <v>-3.711250000000001</v>
      </c>
      <c r="AG153">
        <v>20</v>
      </c>
      <c r="AH153">
        <v>-10.6875</v>
      </c>
      <c r="AI153">
        <v>-3</v>
      </c>
      <c r="AJ153">
        <v>27</v>
      </c>
      <c r="AK153">
        <v>27</v>
      </c>
      <c r="AL153">
        <v>25</v>
      </c>
      <c r="AM153">
        <v>-5.8562500000000002</v>
      </c>
      <c r="AN153">
        <v>29</v>
      </c>
      <c r="AO153">
        <v>-40.4375</v>
      </c>
      <c r="AP153">
        <v>-2.9375</v>
      </c>
      <c r="AQ153">
        <v>13</v>
      </c>
      <c r="AR153">
        <v>14.5</v>
      </c>
      <c r="AS153">
        <v>16</v>
      </c>
      <c r="AT153">
        <v>-2.1062500000000002</v>
      </c>
      <c r="AU153">
        <v>13</v>
      </c>
      <c r="AV153">
        <v>-12.875</v>
      </c>
      <c r="AW153">
        <v>-1.25</v>
      </c>
      <c r="AX153">
        <v>19</v>
      </c>
      <c r="AY153">
        <v>19.5</v>
      </c>
      <c r="AZ153">
        <v>20</v>
      </c>
      <c r="BA153">
        <v>-4.7499999999999991</v>
      </c>
      <c r="BB153">
        <v>19</v>
      </c>
      <c r="BC153">
        <v>-15.625</v>
      </c>
      <c r="BD153">
        <v>-3.875</v>
      </c>
      <c r="BE153">
        <v>17</v>
      </c>
      <c r="BF153">
        <v>17.5</v>
      </c>
      <c r="BG153">
        <v>16</v>
      </c>
      <c r="BH153">
        <v>0.81250000000000044</v>
      </c>
      <c r="BI153">
        <v>19</v>
      </c>
      <c r="BJ153">
        <v>4.8125</v>
      </c>
      <c r="BK153">
        <v>1.375</v>
      </c>
      <c r="BL153">
        <v>17</v>
      </c>
      <c r="BM153">
        <v>16</v>
      </c>
      <c r="BN153">
        <v>15</v>
      </c>
      <c r="BO153">
        <v>0.1875</v>
      </c>
      <c r="BP153">
        <v>17</v>
      </c>
      <c r="BQ153">
        <v>0.75</v>
      </c>
      <c r="BR153">
        <v>5.4375</v>
      </c>
      <c r="BS153">
        <v>21</v>
      </c>
      <c r="BT153">
        <v>17.75</v>
      </c>
      <c r="BU153">
        <v>19</v>
      </c>
      <c r="BV153">
        <v>-0.12820437202890633</v>
      </c>
      <c r="BW153">
        <v>3</v>
      </c>
      <c r="BX153">
        <v>-3.9220625223300783E-2</v>
      </c>
      <c r="BY153">
        <v>29</v>
      </c>
      <c r="BZ153">
        <v>-5.7999999999999954</v>
      </c>
      <c r="CA153">
        <v>20</v>
      </c>
      <c r="CB153">
        <v>-1.75</v>
      </c>
      <c r="CC153">
        <v>2.875</v>
      </c>
      <c r="CD153">
        <v>4.875</v>
      </c>
      <c r="CE153">
        <v>1.5</v>
      </c>
      <c r="CF153">
        <v>46.8125</v>
      </c>
      <c r="CG153">
        <v>-42.9375</v>
      </c>
      <c r="CH153">
        <v>97</v>
      </c>
      <c r="CI153">
        <v>5.125</v>
      </c>
      <c r="CJ153">
        <v>-12.375</v>
      </c>
      <c r="CK153">
        <v>30</v>
      </c>
      <c r="CL153">
        <v>-13.340000000000003</v>
      </c>
      <c r="CM153">
        <v>-7.5038750000000007</v>
      </c>
      <c r="CN153">
        <v>-139.9375</v>
      </c>
      <c r="CO153">
        <v>13.340000000000002</v>
      </c>
      <c r="CP153">
        <v>-0.78203125000000018</v>
      </c>
      <c r="CQ153">
        <v>-11.673750000000002</v>
      </c>
      <c r="CR153">
        <v>-64</v>
      </c>
      <c r="CS153">
        <v>8.8787500000000001</v>
      </c>
      <c r="CT153">
        <v>83.3125</v>
      </c>
      <c r="CU153">
        <v>-5.8125</v>
      </c>
      <c r="CV153">
        <v>-2.5</v>
      </c>
      <c r="CW153">
        <v>-1.7214062500000002</v>
      </c>
      <c r="CX153">
        <v>-3.2589062500000003</v>
      </c>
      <c r="CY153" t="s">
        <v>281</v>
      </c>
      <c r="CZ153">
        <v>11</v>
      </c>
      <c r="DA153">
        <v>-0.12750000000000083</v>
      </c>
      <c r="DB153">
        <v>19</v>
      </c>
      <c r="DC153">
        <v>20</v>
      </c>
      <c r="DD153">
        <v>20</v>
      </c>
      <c r="DE153">
        <v>-1.6937500000000005</v>
      </c>
      <c r="DF153">
        <v>20</v>
      </c>
      <c r="DG153">
        <v>0.1875</v>
      </c>
      <c r="DH153">
        <v>-0.5625</v>
      </c>
      <c r="DI153">
        <v>25</v>
      </c>
      <c r="DJ153">
        <v>22.5</v>
      </c>
      <c r="DK153">
        <v>19</v>
      </c>
      <c r="DL153">
        <v>-0.15000000000000013</v>
      </c>
      <c r="DM153">
        <v>26</v>
      </c>
      <c r="DN153">
        <v>-4.375</v>
      </c>
      <c r="DO153">
        <v>0.9375</v>
      </c>
      <c r="DP153">
        <v>10</v>
      </c>
      <c r="DQ153">
        <v>12</v>
      </c>
      <c r="DR153">
        <v>13</v>
      </c>
      <c r="DS153">
        <v>-2.1374999999999984</v>
      </c>
      <c r="DT153">
        <v>11</v>
      </c>
      <c r="DU153">
        <v>-23.875</v>
      </c>
      <c r="DV153">
        <v>-1.0625</v>
      </c>
      <c r="DW153">
        <v>21</v>
      </c>
      <c r="DX153">
        <v>22</v>
      </c>
      <c r="DY153">
        <v>21</v>
      </c>
      <c r="DZ153">
        <v>1.20625</v>
      </c>
      <c r="EA153">
        <v>23</v>
      </c>
      <c r="EB153">
        <v>13.875</v>
      </c>
      <c r="EC153">
        <v>-0.6875</v>
      </c>
      <c r="ED153">
        <v>21</v>
      </c>
      <c r="EE153">
        <v>19.5</v>
      </c>
      <c r="EF153">
        <v>19</v>
      </c>
      <c r="EG153">
        <v>2.3374999999999999</v>
      </c>
      <c r="EH153">
        <v>20</v>
      </c>
      <c r="EI153">
        <v>9.5625</v>
      </c>
      <c r="EJ153">
        <v>0.625</v>
      </c>
      <c r="EK153">
        <v>10</v>
      </c>
      <c r="EL153">
        <v>11.5</v>
      </c>
      <c r="EM153">
        <v>12</v>
      </c>
      <c r="EN153">
        <v>-1.6562500000000013</v>
      </c>
      <c r="EO153">
        <v>11</v>
      </c>
      <c r="EP153">
        <v>-27.1875</v>
      </c>
      <c r="EQ153">
        <v>-2.3125</v>
      </c>
      <c r="ER153">
        <v>4</v>
      </c>
      <c r="ES153">
        <v>4</v>
      </c>
      <c r="ET153">
        <v>5</v>
      </c>
      <c r="EU153">
        <v>-1.7812500000000009</v>
      </c>
      <c r="EV153">
        <v>3</v>
      </c>
      <c r="EW153">
        <v>-14</v>
      </c>
      <c r="EX153">
        <v>-2.125</v>
      </c>
      <c r="EY153">
        <v>29</v>
      </c>
      <c r="EZ153">
        <v>27</v>
      </c>
      <c r="FA153">
        <v>30</v>
      </c>
      <c r="FB153">
        <v>0.875</v>
      </c>
      <c r="FC153">
        <v>24</v>
      </c>
      <c r="FD153">
        <v>0.1875</v>
      </c>
      <c r="FE153">
        <v>0.625</v>
      </c>
      <c r="FF153">
        <v>9</v>
      </c>
      <c r="FG153">
        <v>12.5</v>
      </c>
      <c r="FH153">
        <v>8</v>
      </c>
      <c r="FI153">
        <v>-1.9480553856975322E-2</v>
      </c>
      <c r="FJ153">
        <v>16</v>
      </c>
      <c r="FK153">
        <v>6.2880241269033885E-3</v>
      </c>
      <c r="FL153">
        <v>7</v>
      </c>
      <c r="FM153">
        <v>3.6187500000000021</v>
      </c>
      <c r="FN153">
        <v>19</v>
      </c>
      <c r="FO153">
        <v>-0.3125</v>
      </c>
      <c r="FP153">
        <v>-2.375</v>
      </c>
      <c r="FQ153">
        <v>-0.875</v>
      </c>
      <c r="FR153">
        <v>-0.375</v>
      </c>
      <c r="FS153">
        <v>-3.6875</v>
      </c>
      <c r="FT153">
        <v>-1.75</v>
      </c>
      <c r="FU153">
        <v>-0.1875</v>
      </c>
      <c r="FV153">
        <v>-0.6875</v>
      </c>
      <c r="FW153">
        <v>-2</v>
      </c>
      <c r="FX153">
        <v>-4.8125</v>
      </c>
      <c r="FY153">
        <v>3.3125</v>
      </c>
      <c r="FZ153">
        <v>2.8125</v>
      </c>
      <c r="GA153">
        <v>15</v>
      </c>
      <c r="GB153">
        <v>1.7162499999999998</v>
      </c>
      <c r="GC153">
        <v>0.8213750000000003</v>
      </c>
      <c r="GD153">
        <v>2.8125</v>
      </c>
      <c r="GE153">
        <v>-1.7162499999999998</v>
      </c>
      <c r="GF153">
        <v>-0.1839062500000001</v>
      </c>
      <c r="GG153">
        <v>1.4062500000000016</v>
      </c>
      <c r="GH153">
        <v>-0.4375</v>
      </c>
      <c r="GI153">
        <v>-1.8437500000000007</v>
      </c>
      <c r="GJ153">
        <v>-4.1875</v>
      </c>
      <c r="GK153">
        <v>-3.25</v>
      </c>
      <c r="GL153">
        <v>0.375</v>
      </c>
    </row>
    <row r="154" spans="1:194" x14ac:dyDescent="0.2">
      <c r="A154" s="39">
        <v>43744</v>
      </c>
      <c r="B154" s="26" t="s">
        <v>381</v>
      </c>
      <c r="C154" s="41" t="s">
        <v>308</v>
      </c>
      <c r="D154" s="26" t="s">
        <v>304</v>
      </c>
      <c r="E154">
        <v>14.3</v>
      </c>
      <c r="F154">
        <v>12.4</v>
      </c>
      <c r="G154" s="14">
        <v>4.5999999999999996</v>
      </c>
      <c r="H154" s="14">
        <v>14.8</v>
      </c>
      <c r="I154">
        <v>-1.5</v>
      </c>
      <c r="J154">
        <v>49</v>
      </c>
      <c r="L154" s="1" t="s">
        <v>308</v>
      </c>
      <c r="M154">
        <v>11</v>
      </c>
      <c r="N154">
        <v>3.2900000000000009</v>
      </c>
      <c r="O154">
        <v>3</v>
      </c>
      <c r="P154">
        <v>6</v>
      </c>
      <c r="Q154">
        <v>10</v>
      </c>
      <c r="R154">
        <v>0.79375000000000062</v>
      </c>
      <c r="S154">
        <v>2</v>
      </c>
      <c r="T154">
        <v>-1.5</v>
      </c>
      <c r="U154">
        <v>0.375</v>
      </c>
      <c r="V154">
        <v>1</v>
      </c>
      <c r="W154">
        <v>1.5</v>
      </c>
      <c r="X154">
        <v>2</v>
      </c>
      <c r="Y154">
        <v>-0.71499999999999941</v>
      </c>
      <c r="Z154">
        <v>1</v>
      </c>
      <c r="AA154">
        <v>-7.75</v>
      </c>
      <c r="AB154">
        <v>-1.125</v>
      </c>
      <c r="AC154">
        <v>19</v>
      </c>
      <c r="AD154">
        <v>18.5</v>
      </c>
      <c r="AE154">
        <v>15</v>
      </c>
      <c r="AF154">
        <v>3.0137499999999995</v>
      </c>
      <c r="AG154">
        <v>22</v>
      </c>
      <c r="AH154">
        <v>13.0625</v>
      </c>
      <c r="AI154">
        <v>0.3125</v>
      </c>
      <c r="AJ154">
        <v>12</v>
      </c>
      <c r="AK154">
        <v>11.5</v>
      </c>
      <c r="AL154">
        <v>12</v>
      </c>
      <c r="AM154">
        <v>-0.81875000000000009</v>
      </c>
      <c r="AN154">
        <v>11</v>
      </c>
      <c r="AO154">
        <v>7.625</v>
      </c>
      <c r="AP154">
        <v>1.0625</v>
      </c>
      <c r="AQ154">
        <v>17</v>
      </c>
      <c r="AR154">
        <v>17</v>
      </c>
      <c r="AS154">
        <v>17</v>
      </c>
      <c r="AT154">
        <v>-2.5750000000000002</v>
      </c>
      <c r="AU154">
        <v>17</v>
      </c>
      <c r="AV154">
        <v>-7.4375</v>
      </c>
      <c r="AW154">
        <v>-0.6875</v>
      </c>
      <c r="AX154">
        <v>24</v>
      </c>
      <c r="AY154">
        <v>25</v>
      </c>
      <c r="AZ154">
        <v>26</v>
      </c>
      <c r="BA154">
        <v>1.9937500000000021</v>
      </c>
      <c r="BB154">
        <v>24</v>
      </c>
      <c r="BC154">
        <v>11.1875</v>
      </c>
      <c r="BD154">
        <v>0.125</v>
      </c>
      <c r="BE154">
        <v>12</v>
      </c>
      <c r="BF154">
        <v>12.5</v>
      </c>
      <c r="BG154">
        <v>10</v>
      </c>
      <c r="BH154">
        <v>2.7562499999999988</v>
      </c>
      <c r="BI154">
        <v>15</v>
      </c>
      <c r="BJ154">
        <v>-0.625</v>
      </c>
      <c r="BK154">
        <v>0.75</v>
      </c>
      <c r="BL154">
        <v>8</v>
      </c>
      <c r="BM154">
        <v>8.5</v>
      </c>
      <c r="BN154">
        <v>9</v>
      </c>
      <c r="BO154">
        <v>-2.875</v>
      </c>
      <c r="BP154">
        <v>8</v>
      </c>
      <c r="BQ154">
        <v>-0.375</v>
      </c>
      <c r="BR154">
        <v>-0.125</v>
      </c>
      <c r="BS154">
        <v>12</v>
      </c>
      <c r="BT154">
        <v>13.25</v>
      </c>
      <c r="BU154">
        <v>11</v>
      </c>
      <c r="BV154">
        <v>-1.8536306254826516E-2</v>
      </c>
      <c r="BW154">
        <v>5</v>
      </c>
      <c r="BX154">
        <v>2.7283187566742247E-2</v>
      </c>
      <c r="BY154">
        <v>21</v>
      </c>
      <c r="BZ154">
        <v>6.2375000000000043</v>
      </c>
      <c r="CA154">
        <v>16</v>
      </c>
      <c r="CB154">
        <v>1.625</v>
      </c>
      <c r="CC154">
        <v>-1.125</v>
      </c>
      <c r="CD154">
        <v>-0.875</v>
      </c>
      <c r="CE154">
        <v>1.3125</v>
      </c>
      <c r="CF154">
        <v>-6.9375</v>
      </c>
      <c r="CG154">
        <v>11</v>
      </c>
      <c r="CH154">
        <v>-15.375</v>
      </c>
      <c r="CI154">
        <v>-3.5625</v>
      </c>
      <c r="CJ154">
        <v>1</v>
      </c>
      <c r="CK154">
        <v>12</v>
      </c>
      <c r="CL154">
        <v>3.2112499999999997</v>
      </c>
      <c r="CM154">
        <v>1.0938749999999993</v>
      </c>
      <c r="CN154">
        <v>26.375</v>
      </c>
      <c r="CO154">
        <v>-3.2112499999999997</v>
      </c>
      <c r="CP154">
        <v>0.35875000000000012</v>
      </c>
      <c r="CQ154">
        <v>-0.38000000000000078</v>
      </c>
      <c r="CR154">
        <v>13.25</v>
      </c>
      <c r="CS154">
        <v>7.8750000000001208E-2</v>
      </c>
      <c r="CT154">
        <v>-9.25</v>
      </c>
      <c r="CU154">
        <v>1.4375</v>
      </c>
      <c r="CV154">
        <v>-0.75</v>
      </c>
      <c r="CW154">
        <v>-0.1513281250000004</v>
      </c>
      <c r="CX154">
        <v>-9.8750000000000282E-2</v>
      </c>
      <c r="CY154" t="s">
        <v>304</v>
      </c>
      <c r="CZ154">
        <v>16</v>
      </c>
      <c r="DA154">
        <v>-1.1625000000000008</v>
      </c>
      <c r="DB154">
        <v>17</v>
      </c>
      <c r="DC154">
        <v>18</v>
      </c>
      <c r="DD154">
        <v>20</v>
      </c>
      <c r="DE154">
        <v>-0.13750000000000107</v>
      </c>
      <c r="DF154">
        <v>16</v>
      </c>
      <c r="DG154">
        <v>-2.5</v>
      </c>
      <c r="DH154">
        <v>0.625</v>
      </c>
      <c r="DI154">
        <v>4</v>
      </c>
      <c r="DJ154">
        <v>6.5</v>
      </c>
      <c r="DK154">
        <v>7</v>
      </c>
      <c r="DL154">
        <v>-0.59375</v>
      </c>
      <c r="DM154">
        <v>6</v>
      </c>
      <c r="DN154">
        <v>-6.9375</v>
      </c>
      <c r="DO154">
        <v>-0.875</v>
      </c>
      <c r="DP154">
        <v>19</v>
      </c>
      <c r="DQ154">
        <v>19.5</v>
      </c>
      <c r="DR154">
        <v>17</v>
      </c>
      <c r="DS154">
        <v>-1.3750000000000009</v>
      </c>
      <c r="DT154">
        <v>22</v>
      </c>
      <c r="DU154">
        <v>-3.625</v>
      </c>
      <c r="DV154">
        <v>0.6875</v>
      </c>
      <c r="DW154">
        <v>11</v>
      </c>
      <c r="DX154">
        <v>13</v>
      </c>
      <c r="DY154">
        <v>10</v>
      </c>
      <c r="DZ154">
        <v>2.5687499999999996</v>
      </c>
      <c r="EA154">
        <v>16</v>
      </c>
      <c r="EB154">
        <v>9.625</v>
      </c>
      <c r="EC154">
        <v>0.1875</v>
      </c>
      <c r="ED154">
        <v>2</v>
      </c>
      <c r="EE154">
        <v>2</v>
      </c>
      <c r="EF154">
        <v>2</v>
      </c>
      <c r="EG154">
        <v>-1.6937500000000001</v>
      </c>
      <c r="EH154">
        <v>2</v>
      </c>
      <c r="EI154">
        <v>-6.125</v>
      </c>
      <c r="EJ154">
        <v>-0.375</v>
      </c>
      <c r="EK154">
        <v>14</v>
      </c>
      <c r="EL154">
        <v>14</v>
      </c>
      <c r="EM154">
        <v>11</v>
      </c>
      <c r="EN154">
        <v>2.1562500000000004</v>
      </c>
      <c r="EO154">
        <v>17</v>
      </c>
      <c r="EP154">
        <v>-0.3125</v>
      </c>
      <c r="EQ154">
        <v>4.3125</v>
      </c>
      <c r="ER154">
        <v>25</v>
      </c>
      <c r="ES154">
        <v>24.5</v>
      </c>
      <c r="ET154">
        <v>29</v>
      </c>
      <c r="EU154">
        <v>-0.11250000000000115</v>
      </c>
      <c r="EV154">
        <v>20</v>
      </c>
      <c r="EW154">
        <v>-7</v>
      </c>
      <c r="EX154">
        <v>0.9375</v>
      </c>
      <c r="EY154">
        <v>28</v>
      </c>
      <c r="EZ154">
        <v>26.5</v>
      </c>
      <c r="FA154">
        <v>29</v>
      </c>
      <c r="FB154">
        <v>0.875</v>
      </c>
      <c r="FC154">
        <v>24</v>
      </c>
      <c r="FD154">
        <v>0</v>
      </c>
      <c r="FE154">
        <v>-1.125</v>
      </c>
      <c r="FF154">
        <v>14</v>
      </c>
      <c r="FG154">
        <v>15</v>
      </c>
      <c r="FH154">
        <v>22</v>
      </c>
      <c r="FI154">
        <v>4.3455078870373171E-3</v>
      </c>
      <c r="FJ154">
        <v>10</v>
      </c>
      <c r="FK154">
        <v>-1.1827450233645396E-2</v>
      </c>
      <c r="FL154">
        <v>22</v>
      </c>
      <c r="FM154">
        <v>3.375</v>
      </c>
      <c r="FN154">
        <v>6</v>
      </c>
      <c r="FO154">
        <v>-0.375</v>
      </c>
      <c r="FP154">
        <v>2.375</v>
      </c>
      <c r="FQ154">
        <v>0</v>
      </c>
      <c r="FR154">
        <v>-0.6875</v>
      </c>
      <c r="FS154">
        <v>1.1875</v>
      </c>
      <c r="FT154">
        <v>1.6875</v>
      </c>
      <c r="FU154">
        <v>-0.125</v>
      </c>
      <c r="FV154">
        <v>-32.8125</v>
      </c>
      <c r="FW154">
        <v>-14.625</v>
      </c>
      <c r="FX154">
        <v>-10.75</v>
      </c>
      <c r="FY154">
        <v>-3</v>
      </c>
      <c r="FZ154">
        <v>-4.4375</v>
      </c>
      <c r="GA154">
        <v>19</v>
      </c>
      <c r="GB154">
        <v>-0.43124999999999969</v>
      </c>
      <c r="GC154">
        <v>1.062499999999994E-2</v>
      </c>
      <c r="GD154">
        <v>-3.875</v>
      </c>
      <c r="GE154">
        <v>0.43124999999999969</v>
      </c>
      <c r="GF154">
        <v>-0.20390625000000051</v>
      </c>
      <c r="GG154">
        <v>-0.50000000000000133</v>
      </c>
      <c r="GH154">
        <v>-0.125</v>
      </c>
      <c r="GI154">
        <v>-0.73125000000000107</v>
      </c>
      <c r="GJ154">
        <v>-9.4375</v>
      </c>
      <c r="GK154">
        <v>1.4375</v>
      </c>
      <c r="GL154">
        <v>-0.25</v>
      </c>
    </row>
    <row r="155" spans="1:194" x14ac:dyDescent="0.2">
      <c r="A155" s="39">
        <v>43744</v>
      </c>
      <c r="B155" s="22" t="s">
        <v>381</v>
      </c>
      <c r="C155" s="41" t="s">
        <v>284</v>
      </c>
      <c r="D155" s="22" t="s">
        <v>307</v>
      </c>
      <c r="E155">
        <v>0</v>
      </c>
      <c r="F155">
        <v>34.5</v>
      </c>
      <c r="G155">
        <v>2.1</v>
      </c>
      <c r="H155">
        <v>4.0999999999999996</v>
      </c>
      <c r="I155">
        <v>3</v>
      </c>
      <c r="J155">
        <v>46</v>
      </c>
      <c r="L155" s="1" t="s">
        <v>284</v>
      </c>
      <c r="M155">
        <v>12</v>
      </c>
      <c r="N155">
        <v>5.3712499999999981</v>
      </c>
      <c r="O155">
        <v>24</v>
      </c>
      <c r="P155">
        <v>22.5</v>
      </c>
      <c r="Q155">
        <v>20</v>
      </c>
      <c r="R155">
        <v>2.5000000000000799E-2</v>
      </c>
      <c r="S155">
        <v>25</v>
      </c>
      <c r="T155">
        <v>10.9375</v>
      </c>
      <c r="U155">
        <v>-2.3125</v>
      </c>
      <c r="V155">
        <v>20</v>
      </c>
      <c r="W155">
        <v>18.5</v>
      </c>
      <c r="X155">
        <v>12</v>
      </c>
      <c r="Y155">
        <v>-0.32499999999999973</v>
      </c>
      <c r="Z155">
        <v>25</v>
      </c>
      <c r="AA155">
        <v>5.625</v>
      </c>
      <c r="AB155">
        <v>0.25</v>
      </c>
      <c r="AC155">
        <v>24</v>
      </c>
      <c r="AD155">
        <v>22.5</v>
      </c>
      <c r="AE155">
        <v>26</v>
      </c>
      <c r="AF155">
        <v>4.6562500000000009</v>
      </c>
      <c r="AG155">
        <v>19</v>
      </c>
      <c r="AH155">
        <v>21.0625</v>
      </c>
      <c r="AI155">
        <v>0.1875</v>
      </c>
      <c r="AJ155">
        <v>2</v>
      </c>
      <c r="AK155">
        <v>3</v>
      </c>
      <c r="AL155">
        <v>3</v>
      </c>
      <c r="AM155">
        <v>8.1937500000000014</v>
      </c>
      <c r="AN155">
        <v>3</v>
      </c>
      <c r="AO155">
        <v>23.3125</v>
      </c>
      <c r="AP155">
        <v>1.0625</v>
      </c>
      <c r="AQ155">
        <v>4</v>
      </c>
      <c r="AR155">
        <v>4.5</v>
      </c>
      <c r="AS155">
        <v>5</v>
      </c>
      <c r="AT155">
        <v>-2.1749999999999998</v>
      </c>
      <c r="AU155">
        <v>4</v>
      </c>
      <c r="AV155">
        <v>-10.8125</v>
      </c>
      <c r="AW155">
        <v>0.5</v>
      </c>
      <c r="AX155">
        <v>6</v>
      </c>
      <c r="AY155">
        <v>5.5</v>
      </c>
      <c r="AZ155">
        <v>6</v>
      </c>
      <c r="BA155">
        <v>0.44375000000000142</v>
      </c>
      <c r="BB155">
        <v>5</v>
      </c>
      <c r="BC155">
        <v>6.3125</v>
      </c>
      <c r="BD155">
        <v>-3</v>
      </c>
      <c r="BE155">
        <v>20</v>
      </c>
      <c r="BF155">
        <v>22</v>
      </c>
      <c r="BG155">
        <v>22</v>
      </c>
      <c r="BH155">
        <v>1.5875000000000001</v>
      </c>
      <c r="BI155">
        <v>22</v>
      </c>
      <c r="BJ155">
        <v>17.375</v>
      </c>
      <c r="BK155">
        <v>-0.3125</v>
      </c>
      <c r="BL155">
        <v>18</v>
      </c>
      <c r="BM155">
        <v>17.5</v>
      </c>
      <c r="BN155">
        <v>16</v>
      </c>
      <c r="BO155">
        <v>2.9375</v>
      </c>
      <c r="BP155">
        <v>19</v>
      </c>
      <c r="BQ155">
        <v>0.6875</v>
      </c>
      <c r="BR155">
        <v>3.875</v>
      </c>
      <c r="BS155">
        <v>14</v>
      </c>
      <c r="BT155">
        <v>14</v>
      </c>
      <c r="BU155">
        <v>29</v>
      </c>
      <c r="BV155">
        <v>4.8222279477570462E-2</v>
      </c>
      <c r="BW155">
        <v>22</v>
      </c>
      <c r="BX155">
        <v>-1.1932460423095918E-3</v>
      </c>
      <c r="BY155">
        <v>1</v>
      </c>
      <c r="BZ155">
        <v>6.6750000000000007</v>
      </c>
      <c r="CA155">
        <v>4</v>
      </c>
      <c r="CB155">
        <v>1.8125</v>
      </c>
      <c r="CC155">
        <v>4.625</v>
      </c>
      <c r="CD155">
        <v>7</v>
      </c>
      <c r="CE155">
        <v>2.625</v>
      </c>
      <c r="CF155">
        <v>69.6875</v>
      </c>
      <c r="CG155">
        <v>59.875</v>
      </c>
      <c r="CH155">
        <v>16.375</v>
      </c>
      <c r="CI155">
        <v>-1.3125</v>
      </c>
      <c r="CJ155">
        <v>-5.25</v>
      </c>
      <c r="CK155">
        <v>7</v>
      </c>
      <c r="CL155">
        <v>5.671249999999997</v>
      </c>
      <c r="CM155">
        <v>3.6767499999999993</v>
      </c>
      <c r="CN155">
        <v>43.5</v>
      </c>
      <c r="CO155">
        <v>-5.671249999999997</v>
      </c>
      <c r="CP155">
        <v>2.5339062499999998</v>
      </c>
      <c r="CQ155">
        <v>10.675000000000001</v>
      </c>
      <c r="CR155">
        <v>33.5625</v>
      </c>
      <c r="CS155">
        <v>-0.29999999999999893</v>
      </c>
      <c r="CT155">
        <v>16.5625</v>
      </c>
      <c r="CU155">
        <v>1.4375</v>
      </c>
      <c r="CV155">
        <v>-2.0625</v>
      </c>
      <c r="CW155">
        <v>0.48656250000000006</v>
      </c>
      <c r="CX155">
        <v>1.5404687499999998</v>
      </c>
      <c r="CY155" t="s">
        <v>307</v>
      </c>
      <c r="CZ155">
        <v>18</v>
      </c>
      <c r="DA155">
        <v>3.5050000000000003</v>
      </c>
      <c r="DB155">
        <v>29</v>
      </c>
      <c r="DC155">
        <v>27.5</v>
      </c>
      <c r="DD155">
        <v>26</v>
      </c>
      <c r="DE155">
        <v>-2.3625000000000003</v>
      </c>
      <c r="DF155">
        <v>29</v>
      </c>
      <c r="DG155">
        <v>-7.4375</v>
      </c>
      <c r="DH155">
        <v>0</v>
      </c>
      <c r="DI155">
        <v>7</v>
      </c>
      <c r="DJ155">
        <v>10</v>
      </c>
      <c r="DK155">
        <v>8</v>
      </c>
      <c r="DL155">
        <v>-0.31875000000000009</v>
      </c>
      <c r="DM155">
        <v>12</v>
      </c>
      <c r="DN155">
        <v>-6.1875</v>
      </c>
      <c r="DO155">
        <v>1.1875</v>
      </c>
      <c r="DP155">
        <v>15</v>
      </c>
      <c r="DQ155">
        <v>19</v>
      </c>
      <c r="DR155">
        <v>18</v>
      </c>
      <c r="DS155">
        <v>5.4375000000000018</v>
      </c>
      <c r="DT155">
        <v>20</v>
      </c>
      <c r="DU155">
        <v>29.375</v>
      </c>
      <c r="DV155">
        <v>2.0625</v>
      </c>
      <c r="DW155">
        <v>29</v>
      </c>
      <c r="DX155">
        <v>29.5</v>
      </c>
      <c r="DY155">
        <v>27</v>
      </c>
      <c r="DZ155">
        <v>-6.2687500000000007</v>
      </c>
      <c r="EA155">
        <v>32</v>
      </c>
      <c r="EB155">
        <v>-23.5</v>
      </c>
      <c r="EC155">
        <v>-3.75</v>
      </c>
      <c r="ED155">
        <v>27</v>
      </c>
      <c r="EE155">
        <v>25</v>
      </c>
      <c r="EF155">
        <v>25</v>
      </c>
      <c r="EG155">
        <v>0.47500000000000031</v>
      </c>
      <c r="EH155">
        <v>25</v>
      </c>
      <c r="EI155">
        <v>-2.9375</v>
      </c>
      <c r="EJ155">
        <v>-0.125</v>
      </c>
      <c r="EK155">
        <v>24</v>
      </c>
      <c r="EL155">
        <v>23.5</v>
      </c>
      <c r="EM155">
        <v>20</v>
      </c>
      <c r="EN155">
        <v>4.8375000000000012</v>
      </c>
      <c r="EO155">
        <v>27</v>
      </c>
      <c r="EP155">
        <v>22.75</v>
      </c>
      <c r="EQ155">
        <v>1.0625</v>
      </c>
      <c r="ER155">
        <v>3</v>
      </c>
      <c r="ES155">
        <v>3.5</v>
      </c>
      <c r="ET155">
        <v>3</v>
      </c>
      <c r="EU155">
        <v>-3.0687499999999992</v>
      </c>
      <c r="EV155">
        <v>4</v>
      </c>
      <c r="EW155">
        <v>2.4375</v>
      </c>
      <c r="EX155">
        <v>-0.1875</v>
      </c>
      <c r="EY155">
        <v>8</v>
      </c>
      <c r="EZ155">
        <v>8.5</v>
      </c>
      <c r="FA155">
        <v>9</v>
      </c>
      <c r="FB155">
        <v>-1.9375</v>
      </c>
      <c r="FC155">
        <v>8</v>
      </c>
      <c r="FD155">
        <v>-0.875</v>
      </c>
      <c r="FE155">
        <v>-2.0625</v>
      </c>
      <c r="FF155">
        <v>17</v>
      </c>
      <c r="FG155">
        <v>16</v>
      </c>
      <c r="FH155">
        <v>6</v>
      </c>
      <c r="FI155">
        <v>6.1982681330107814E-2</v>
      </c>
      <c r="FJ155">
        <v>18</v>
      </c>
      <c r="FK155">
        <v>-4.6531655680710597E-4</v>
      </c>
      <c r="FL155">
        <v>21</v>
      </c>
      <c r="FM155">
        <v>-0.13749999999999574</v>
      </c>
      <c r="FN155">
        <v>19</v>
      </c>
      <c r="FO155">
        <v>2.5</v>
      </c>
      <c r="FP155">
        <v>0.3125</v>
      </c>
      <c r="FQ155">
        <v>-2.0625</v>
      </c>
      <c r="FR155">
        <v>0.1875</v>
      </c>
      <c r="FS155">
        <v>-1.3125</v>
      </c>
      <c r="FT155">
        <v>-1.4375</v>
      </c>
      <c r="FU155">
        <v>-0.875</v>
      </c>
      <c r="FV155">
        <v>8.0625</v>
      </c>
      <c r="FW155">
        <v>15.125</v>
      </c>
      <c r="FX155">
        <v>-14.125</v>
      </c>
      <c r="FY155">
        <v>-6.25E-2</v>
      </c>
      <c r="FZ155">
        <v>7.125</v>
      </c>
      <c r="GA155">
        <v>4</v>
      </c>
      <c r="GB155">
        <v>6.1862500000000011</v>
      </c>
      <c r="GC155">
        <v>1.3566250000000009</v>
      </c>
      <c r="GD155">
        <v>29.25</v>
      </c>
      <c r="GE155">
        <v>-6.1862500000000011</v>
      </c>
      <c r="GF155">
        <v>-0.5673437499999997</v>
      </c>
      <c r="GG155">
        <v>-0.35624999999999862</v>
      </c>
      <c r="GH155">
        <v>2.9375</v>
      </c>
      <c r="GI155">
        <v>-2.6812500000000004</v>
      </c>
      <c r="GJ155">
        <v>-13.625</v>
      </c>
      <c r="GK155">
        <v>-2</v>
      </c>
      <c r="GL155">
        <v>1.1875</v>
      </c>
    </row>
    <row r="156" spans="1:194" x14ac:dyDescent="0.2">
      <c r="A156" s="39">
        <v>43744</v>
      </c>
      <c r="B156" s="22" t="s">
        <v>381</v>
      </c>
      <c r="C156" s="41" t="s">
        <v>310</v>
      </c>
      <c r="D156" s="22" t="s">
        <v>276</v>
      </c>
      <c r="E156">
        <v>4.8</v>
      </c>
      <c r="F156" s="14">
        <v>7</v>
      </c>
      <c r="G156">
        <v>4.7</v>
      </c>
      <c r="H156">
        <v>8.6999999999999993</v>
      </c>
      <c r="I156">
        <v>-3.5</v>
      </c>
      <c r="J156">
        <v>39.5</v>
      </c>
      <c r="L156" s="1" t="s">
        <v>310</v>
      </c>
      <c r="M156">
        <v>7</v>
      </c>
      <c r="N156">
        <v>-0.61500000000000021</v>
      </c>
      <c r="O156">
        <v>1</v>
      </c>
      <c r="P156">
        <v>1.5</v>
      </c>
      <c r="Q156">
        <v>2</v>
      </c>
      <c r="R156">
        <v>1.9249999999999998</v>
      </c>
      <c r="S156">
        <v>1</v>
      </c>
      <c r="T156">
        <v>8.625</v>
      </c>
      <c r="U156">
        <v>-0.875</v>
      </c>
      <c r="V156">
        <v>29</v>
      </c>
      <c r="W156">
        <v>29</v>
      </c>
      <c r="X156">
        <v>29</v>
      </c>
      <c r="Y156">
        <v>-0.87500000000000011</v>
      </c>
      <c r="Z156">
        <v>29</v>
      </c>
      <c r="AA156">
        <v>-11.25</v>
      </c>
      <c r="AB156">
        <v>0.375</v>
      </c>
      <c r="AC156">
        <v>28</v>
      </c>
      <c r="AD156">
        <v>27.5</v>
      </c>
      <c r="AE156">
        <v>28</v>
      </c>
      <c r="AF156">
        <v>-8.7187499999999982</v>
      </c>
      <c r="AG156">
        <v>27</v>
      </c>
      <c r="AH156">
        <v>-24.0625</v>
      </c>
      <c r="AI156">
        <v>-2.5</v>
      </c>
      <c r="AJ156">
        <v>28</v>
      </c>
      <c r="AK156">
        <v>27.5</v>
      </c>
      <c r="AL156">
        <v>28</v>
      </c>
      <c r="AM156">
        <v>4.9249999999999989</v>
      </c>
      <c r="AN156">
        <v>27</v>
      </c>
      <c r="AO156">
        <v>25.0625</v>
      </c>
      <c r="AP156">
        <v>0.5625</v>
      </c>
      <c r="AQ156">
        <v>15</v>
      </c>
      <c r="AR156">
        <v>15</v>
      </c>
      <c r="AS156">
        <v>12</v>
      </c>
      <c r="AT156">
        <v>-3.8375000000000004</v>
      </c>
      <c r="AU156">
        <v>18</v>
      </c>
      <c r="AV156">
        <v>-18.9375</v>
      </c>
      <c r="AW156">
        <v>-0.8125</v>
      </c>
      <c r="AX156">
        <v>20</v>
      </c>
      <c r="AY156">
        <v>20</v>
      </c>
      <c r="AZ156">
        <v>22</v>
      </c>
      <c r="BA156">
        <v>-4.9187499999999993</v>
      </c>
      <c r="BB156">
        <v>18</v>
      </c>
      <c r="BC156">
        <v>-10.4375</v>
      </c>
      <c r="BD156">
        <v>-0.8125</v>
      </c>
      <c r="BE156">
        <v>14</v>
      </c>
      <c r="BF156">
        <v>13.5</v>
      </c>
      <c r="BG156">
        <v>15</v>
      </c>
      <c r="BH156">
        <v>0.13125000000000009</v>
      </c>
      <c r="BI156">
        <v>12</v>
      </c>
      <c r="BJ156">
        <v>-5.4375</v>
      </c>
      <c r="BK156">
        <v>-6.25E-2</v>
      </c>
      <c r="BL156">
        <v>29</v>
      </c>
      <c r="BM156">
        <v>29</v>
      </c>
      <c r="BN156">
        <v>28</v>
      </c>
      <c r="BO156">
        <v>-0.625</v>
      </c>
      <c r="BP156">
        <v>30</v>
      </c>
      <c r="BQ156">
        <v>-0.25</v>
      </c>
      <c r="BR156">
        <v>3.625</v>
      </c>
      <c r="BS156">
        <v>25</v>
      </c>
      <c r="BT156">
        <v>21</v>
      </c>
      <c r="BU156">
        <v>27</v>
      </c>
      <c r="BV156">
        <v>1.8200072353711932E-2</v>
      </c>
      <c r="BW156">
        <v>2</v>
      </c>
      <c r="BX156">
        <v>3.5271798615045695E-2</v>
      </c>
      <c r="BY156">
        <v>30</v>
      </c>
      <c r="BZ156">
        <v>3.1750000000000025</v>
      </c>
      <c r="CA156">
        <v>25</v>
      </c>
      <c r="CB156">
        <v>-6.25E-2</v>
      </c>
      <c r="CC156">
        <v>1.0625</v>
      </c>
      <c r="CD156">
        <v>0.4375</v>
      </c>
      <c r="CE156">
        <v>1.25</v>
      </c>
      <c r="CF156">
        <v>-11.625</v>
      </c>
      <c r="CG156">
        <v>-15.4375</v>
      </c>
      <c r="CH156">
        <v>-6</v>
      </c>
      <c r="CI156">
        <v>-4.625</v>
      </c>
      <c r="CJ156">
        <v>14.4375</v>
      </c>
      <c r="CK156">
        <v>22</v>
      </c>
      <c r="CL156">
        <v>-1.665</v>
      </c>
      <c r="CM156">
        <v>-2.1479999999999997</v>
      </c>
      <c r="CN156">
        <v>-9.4375</v>
      </c>
      <c r="CO156">
        <v>1.665</v>
      </c>
      <c r="CP156">
        <v>-0.96125000000000016</v>
      </c>
      <c r="CQ156">
        <v>-7.6312499999999996</v>
      </c>
      <c r="CR156">
        <v>-17.9375</v>
      </c>
      <c r="CS156">
        <v>1.0499999999999998</v>
      </c>
      <c r="CT156">
        <v>-2.625</v>
      </c>
      <c r="CU156">
        <v>-2.8125</v>
      </c>
      <c r="CV156">
        <v>-0.5</v>
      </c>
      <c r="CW156">
        <v>-1.8165625000000001</v>
      </c>
      <c r="CX156">
        <v>-1.7523437500000001</v>
      </c>
      <c r="CY156" t="s">
        <v>276</v>
      </c>
      <c r="CZ156">
        <v>24</v>
      </c>
      <c r="DA156">
        <v>-4.4537500000000012</v>
      </c>
      <c r="DB156">
        <v>10</v>
      </c>
      <c r="DC156">
        <v>10.5</v>
      </c>
      <c r="DD156">
        <v>8</v>
      </c>
      <c r="DE156">
        <v>3.3145833333333341</v>
      </c>
      <c r="DF156">
        <v>13</v>
      </c>
      <c r="DG156">
        <v>15.520833333333332</v>
      </c>
      <c r="DH156">
        <v>-0.16666666666666674</v>
      </c>
      <c r="DI156">
        <v>3</v>
      </c>
      <c r="DJ156">
        <v>6</v>
      </c>
      <c r="DK156">
        <v>2</v>
      </c>
      <c r="DL156">
        <v>-2.270833333333333</v>
      </c>
      <c r="DM156">
        <v>10</v>
      </c>
      <c r="DN156">
        <v>-11.229166666666668</v>
      </c>
      <c r="DO156">
        <v>4.1666666666666685E-2</v>
      </c>
      <c r="DP156">
        <v>17</v>
      </c>
      <c r="DQ156">
        <v>19</v>
      </c>
      <c r="DR156">
        <v>20</v>
      </c>
      <c r="DS156">
        <v>-0.11749999999999927</v>
      </c>
      <c r="DT156">
        <v>18</v>
      </c>
      <c r="DU156">
        <v>1.8125</v>
      </c>
      <c r="DV156">
        <v>2.5</v>
      </c>
      <c r="DW156">
        <v>20</v>
      </c>
      <c r="DX156">
        <v>19</v>
      </c>
      <c r="DY156">
        <v>20</v>
      </c>
      <c r="DZ156">
        <v>-5.3687500000000004</v>
      </c>
      <c r="EA156">
        <v>18</v>
      </c>
      <c r="EB156">
        <v>-26.6875</v>
      </c>
      <c r="EC156">
        <v>6.25E-2</v>
      </c>
      <c r="ED156">
        <v>8</v>
      </c>
      <c r="EE156">
        <v>21</v>
      </c>
      <c r="EF156">
        <v>11</v>
      </c>
      <c r="EG156">
        <v>0.18750000000000044</v>
      </c>
      <c r="EH156">
        <v>31</v>
      </c>
      <c r="EI156">
        <v>0.3125</v>
      </c>
      <c r="EJ156">
        <v>1.1875</v>
      </c>
      <c r="EK156">
        <v>20</v>
      </c>
      <c r="EL156">
        <v>19</v>
      </c>
      <c r="EM156">
        <v>19</v>
      </c>
      <c r="EN156">
        <v>-7.8187500000000014</v>
      </c>
      <c r="EO156">
        <v>19</v>
      </c>
      <c r="EP156">
        <v>-35.6875</v>
      </c>
      <c r="EQ156">
        <v>-1.5</v>
      </c>
      <c r="ER156">
        <v>32</v>
      </c>
      <c r="ES156">
        <v>32</v>
      </c>
      <c r="ET156">
        <v>32</v>
      </c>
      <c r="EU156">
        <v>-4.3375000000000004</v>
      </c>
      <c r="EV156">
        <v>32</v>
      </c>
      <c r="EW156">
        <v>-19</v>
      </c>
      <c r="EX156">
        <v>-1.5625</v>
      </c>
      <c r="EY156">
        <v>32</v>
      </c>
      <c r="EZ156">
        <v>32</v>
      </c>
      <c r="FA156">
        <v>32</v>
      </c>
      <c r="FB156">
        <v>-2</v>
      </c>
      <c r="FC156">
        <v>32</v>
      </c>
      <c r="FD156">
        <v>-0.375</v>
      </c>
      <c r="FE156">
        <v>2.125</v>
      </c>
      <c r="FF156">
        <v>7</v>
      </c>
      <c r="FG156">
        <v>12.25</v>
      </c>
      <c r="FH156">
        <v>24</v>
      </c>
      <c r="FI156">
        <v>-5.1053919056739359E-2</v>
      </c>
      <c r="FJ156">
        <v>3</v>
      </c>
      <c r="FK156">
        <v>-3.9151835546562014E-2</v>
      </c>
      <c r="FL156">
        <v>17</v>
      </c>
      <c r="FM156">
        <v>-18.462500000000002</v>
      </c>
      <c r="FN156">
        <v>5</v>
      </c>
      <c r="FO156">
        <v>-3.0625</v>
      </c>
      <c r="FP156">
        <v>3.125</v>
      </c>
      <c r="FQ156">
        <v>-1.6875</v>
      </c>
      <c r="FR156">
        <v>-0.125</v>
      </c>
      <c r="FS156">
        <v>-0.375</v>
      </c>
      <c r="FT156">
        <v>-4.125</v>
      </c>
      <c r="FU156">
        <v>0.8125</v>
      </c>
      <c r="FV156">
        <v>-40.0625</v>
      </c>
      <c r="FW156">
        <v>-41</v>
      </c>
      <c r="FX156">
        <v>5.125</v>
      </c>
      <c r="FY156">
        <v>0.9375</v>
      </c>
      <c r="FZ156">
        <v>-5.125</v>
      </c>
      <c r="GA156">
        <v>27</v>
      </c>
      <c r="GB156">
        <v>-5.4975000000000023</v>
      </c>
      <c r="GC156">
        <v>-3.339875000000001</v>
      </c>
      <c r="GD156">
        <v>-46.125</v>
      </c>
      <c r="GE156">
        <v>5.4975000000000023</v>
      </c>
      <c r="GF156">
        <v>-1.8807812500000001</v>
      </c>
      <c r="GG156">
        <v>-5.2987500000000001</v>
      </c>
      <c r="GH156">
        <v>-24.5625</v>
      </c>
      <c r="GI156">
        <v>1.0437500000000011</v>
      </c>
      <c r="GJ156">
        <v>4.2916666666666643</v>
      </c>
      <c r="GK156">
        <v>2.1875</v>
      </c>
      <c r="GL156">
        <v>-0.12500000000000006</v>
      </c>
    </row>
    <row r="157" spans="1:194" x14ac:dyDescent="0.2">
      <c r="A157" s="39">
        <v>43744</v>
      </c>
      <c r="B157" s="22" t="s">
        <v>381</v>
      </c>
      <c r="C157" s="41" t="s">
        <v>306</v>
      </c>
      <c r="D157" s="22" t="s">
        <v>302</v>
      </c>
      <c r="E157">
        <v>8.1</v>
      </c>
      <c r="F157">
        <v>3.4</v>
      </c>
      <c r="G157" s="14">
        <v>3.5</v>
      </c>
      <c r="H157">
        <v>3.7</v>
      </c>
      <c r="I157">
        <v>15.5</v>
      </c>
      <c r="J157">
        <v>42</v>
      </c>
      <c r="L157" s="1" t="s">
        <v>306</v>
      </c>
      <c r="M157">
        <v>32</v>
      </c>
      <c r="N157">
        <v>-1.2775000000000007</v>
      </c>
      <c r="O157">
        <v>9</v>
      </c>
      <c r="P157">
        <v>9</v>
      </c>
      <c r="Q157">
        <v>11</v>
      </c>
      <c r="R157">
        <v>-4.84375</v>
      </c>
      <c r="S157">
        <v>7</v>
      </c>
      <c r="T157">
        <v>-15.4375</v>
      </c>
      <c r="U157">
        <v>-1.40625</v>
      </c>
      <c r="V157">
        <v>19</v>
      </c>
      <c r="W157">
        <v>18</v>
      </c>
      <c r="X157">
        <v>25</v>
      </c>
      <c r="Y157">
        <v>4.3187500000000014</v>
      </c>
      <c r="Z157">
        <v>11</v>
      </c>
      <c r="AA157">
        <v>-9.125</v>
      </c>
      <c r="AB157">
        <v>3.5625</v>
      </c>
      <c r="AC157">
        <v>29</v>
      </c>
      <c r="AD157">
        <v>29</v>
      </c>
      <c r="AE157">
        <v>29</v>
      </c>
      <c r="AF157">
        <v>-9.3750000000000888E-2</v>
      </c>
      <c r="AG157">
        <v>29</v>
      </c>
      <c r="AH157">
        <v>-8.375</v>
      </c>
      <c r="AI157">
        <v>-1.125</v>
      </c>
      <c r="AJ157">
        <v>28</v>
      </c>
      <c r="AK157">
        <v>27.5</v>
      </c>
      <c r="AL157">
        <v>30</v>
      </c>
      <c r="AM157">
        <v>-3.537500000000001</v>
      </c>
      <c r="AN157">
        <v>25</v>
      </c>
      <c r="AO157">
        <v>-31.625</v>
      </c>
      <c r="AP157">
        <v>-1.0625</v>
      </c>
      <c r="AQ157">
        <v>30</v>
      </c>
      <c r="AR157">
        <v>29.5</v>
      </c>
      <c r="AS157">
        <v>31</v>
      </c>
      <c r="AT157">
        <v>0.52500000000000058</v>
      </c>
      <c r="AU157">
        <v>28</v>
      </c>
      <c r="AV157">
        <v>0.125</v>
      </c>
      <c r="AW157">
        <v>1.1875</v>
      </c>
      <c r="AX157">
        <v>30</v>
      </c>
      <c r="AY157">
        <v>30</v>
      </c>
      <c r="AZ157">
        <v>30</v>
      </c>
      <c r="BA157">
        <v>2.5437500000000006</v>
      </c>
      <c r="BB157">
        <v>30</v>
      </c>
      <c r="BC157">
        <v>6.0625</v>
      </c>
      <c r="BD157">
        <v>0.5</v>
      </c>
      <c r="BE157">
        <v>31</v>
      </c>
      <c r="BF157">
        <v>30</v>
      </c>
      <c r="BG157">
        <v>31</v>
      </c>
      <c r="BH157">
        <v>-3.1875</v>
      </c>
      <c r="BI157">
        <v>29</v>
      </c>
      <c r="BJ157">
        <v>-7.5</v>
      </c>
      <c r="BK157">
        <v>-0.75</v>
      </c>
      <c r="BL157">
        <v>1</v>
      </c>
      <c r="BM157">
        <v>1</v>
      </c>
      <c r="BN157">
        <v>1</v>
      </c>
      <c r="BO157">
        <v>-1.6875</v>
      </c>
      <c r="BP157">
        <v>1</v>
      </c>
      <c r="BQ157">
        <v>-0.5</v>
      </c>
      <c r="BR157">
        <v>-1.25</v>
      </c>
      <c r="BS157">
        <v>1</v>
      </c>
      <c r="BT157">
        <v>5.25</v>
      </c>
      <c r="BU157">
        <v>9</v>
      </c>
      <c r="BV157">
        <v>-7.9610955567034764E-3</v>
      </c>
      <c r="BW157">
        <v>1</v>
      </c>
      <c r="BX157">
        <v>-5.3729369881807924E-3</v>
      </c>
      <c r="BY157">
        <v>2</v>
      </c>
      <c r="BZ157">
        <v>-12.599999999999998</v>
      </c>
      <c r="CA157">
        <v>9</v>
      </c>
      <c r="CB157">
        <v>3.8125</v>
      </c>
      <c r="CC157">
        <v>-6.0625</v>
      </c>
      <c r="CD157">
        <v>-2</v>
      </c>
      <c r="CE157">
        <v>-0.4375</v>
      </c>
      <c r="CF157">
        <v>-46.625</v>
      </c>
      <c r="CG157">
        <v>-13.9375</v>
      </c>
      <c r="CH157">
        <v>-29.1875</v>
      </c>
      <c r="CI157">
        <v>0.625</v>
      </c>
      <c r="CJ157">
        <v>-4.125</v>
      </c>
      <c r="CK157">
        <v>19</v>
      </c>
      <c r="CL157">
        <v>-0.75250000000000217</v>
      </c>
      <c r="CM157">
        <v>-1.2517500000000013</v>
      </c>
      <c r="CN157">
        <v>15.25</v>
      </c>
      <c r="CO157">
        <v>0.75250000000000217</v>
      </c>
      <c r="CP157">
        <v>-1.2229687500000002</v>
      </c>
      <c r="CQ157">
        <v>-3.1062500000000011</v>
      </c>
      <c r="CR157">
        <v>-39.875</v>
      </c>
      <c r="CS157">
        <v>-0.52499999999999858</v>
      </c>
      <c r="CT157">
        <v>-24.5625</v>
      </c>
      <c r="CU157">
        <v>-1.75</v>
      </c>
      <c r="CV157">
        <v>2.15625</v>
      </c>
      <c r="CW157">
        <v>-0.42484374999999974</v>
      </c>
      <c r="CX157">
        <v>1.2029687500000006</v>
      </c>
      <c r="CY157" t="s">
        <v>302</v>
      </c>
      <c r="CZ157">
        <v>28</v>
      </c>
      <c r="DA157">
        <v>-3.95</v>
      </c>
      <c r="DB157">
        <v>20</v>
      </c>
      <c r="DC157">
        <v>21</v>
      </c>
      <c r="DD157">
        <v>26</v>
      </c>
      <c r="DE157">
        <v>-2.7312499999999997</v>
      </c>
      <c r="DF157">
        <v>16</v>
      </c>
      <c r="DG157">
        <v>-2.125</v>
      </c>
      <c r="DH157">
        <v>-1.375</v>
      </c>
      <c r="DI157">
        <v>19</v>
      </c>
      <c r="DJ157">
        <v>17</v>
      </c>
      <c r="DK157">
        <v>15</v>
      </c>
      <c r="DL157">
        <v>-1.9837500000000001</v>
      </c>
      <c r="DM157">
        <v>19</v>
      </c>
      <c r="DN157">
        <v>-12.75</v>
      </c>
      <c r="DO157">
        <v>0.8125</v>
      </c>
      <c r="DP157">
        <v>31</v>
      </c>
      <c r="DQ157">
        <v>29</v>
      </c>
      <c r="DR157">
        <v>30</v>
      </c>
      <c r="DS157">
        <v>-1.9749999999999988</v>
      </c>
      <c r="DT157">
        <v>28</v>
      </c>
      <c r="DU157">
        <v>-0.5</v>
      </c>
      <c r="DV157">
        <v>-0.125</v>
      </c>
      <c r="DW157">
        <v>24</v>
      </c>
      <c r="DX157">
        <v>25</v>
      </c>
      <c r="DY157">
        <v>26</v>
      </c>
      <c r="DZ157">
        <v>-3.9437500000000005</v>
      </c>
      <c r="EA157">
        <v>24</v>
      </c>
      <c r="EB157">
        <v>-22.8125</v>
      </c>
      <c r="EC157">
        <v>2.125</v>
      </c>
      <c r="ED157">
        <v>23</v>
      </c>
      <c r="EE157">
        <v>21</v>
      </c>
      <c r="EF157">
        <v>25</v>
      </c>
      <c r="EG157">
        <v>0.96250000000000002</v>
      </c>
      <c r="EH157">
        <v>17</v>
      </c>
      <c r="EI157">
        <v>3.0625</v>
      </c>
      <c r="EJ157">
        <v>2.3125</v>
      </c>
      <c r="EK157">
        <v>22</v>
      </c>
      <c r="EL157">
        <v>23</v>
      </c>
      <c r="EM157">
        <v>24</v>
      </c>
      <c r="EN157">
        <v>2.7312500000000002</v>
      </c>
      <c r="EO157">
        <v>22</v>
      </c>
      <c r="EP157">
        <v>24.1875</v>
      </c>
      <c r="EQ157">
        <v>3.6875</v>
      </c>
      <c r="ER157">
        <v>20</v>
      </c>
      <c r="ES157">
        <v>20</v>
      </c>
      <c r="ET157">
        <v>18</v>
      </c>
      <c r="EU157">
        <v>-0.5499999999999996</v>
      </c>
      <c r="EV157">
        <v>22</v>
      </c>
      <c r="EW157">
        <v>8.8125</v>
      </c>
      <c r="EX157">
        <v>-0.75</v>
      </c>
      <c r="EY157">
        <v>24</v>
      </c>
      <c r="EZ157">
        <v>23</v>
      </c>
      <c r="FA157">
        <v>24</v>
      </c>
      <c r="FB157">
        <v>-2.25</v>
      </c>
      <c r="FC157">
        <v>22</v>
      </c>
      <c r="FD157">
        <v>-0.6875</v>
      </c>
      <c r="FE157">
        <v>-1.5</v>
      </c>
      <c r="FF157">
        <v>5</v>
      </c>
      <c r="FG157">
        <v>9.75</v>
      </c>
      <c r="FH157">
        <v>1</v>
      </c>
      <c r="FI157">
        <v>-2.3661413072460939E-2</v>
      </c>
      <c r="FJ157">
        <v>12</v>
      </c>
      <c r="FK157">
        <v>2.3066948167724727E-2</v>
      </c>
      <c r="FL157">
        <v>23</v>
      </c>
      <c r="FM157">
        <v>-14.30625</v>
      </c>
      <c r="FN157">
        <v>3</v>
      </c>
      <c r="FO157">
        <v>7.375</v>
      </c>
      <c r="FP157">
        <v>4.3125</v>
      </c>
      <c r="FQ157">
        <v>-2.375</v>
      </c>
      <c r="FR157">
        <v>-1.125</v>
      </c>
      <c r="FS157">
        <v>1.0625</v>
      </c>
      <c r="FT157">
        <v>-8.875</v>
      </c>
      <c r="FU157">
        <v>2.0625</v>
      </c>
      <c r="FV157">
        <v>-15.25</v>
      </c>
      <c r="FW157">
        <v>5.3125</v>
      </c>
      <c r="FX157">
        <v>-14.375</v>
      </c>
      <c r="FY157">
        <v>-4.4375</v>
      </c>
      <c r="FZ157">
        <v>-1.75</v>
      </c>
      <c r="GA157">
        <v>16</v>
      </c>
      <c r="GB157">
        <v>0.76499999999999968</v>
      </c>
      <c r="GC157">
        <v>0.4662500000000005</v>
      </c>
      <c r="GD157">
        <v>19.6875</v>
      </c>
      <c r="GE157">
        <v>-0.76499999999999968</v>
      </c>
      <c r="GF157">
        <v>-2.0526562500000001</v>
      </c>
      <c r="GG157">
        <v>-4.9562499999999989</v>
      </c>
      <c r="GH157">
        <v>-20.25</v>
      </c>
      <c r="GI157">
        <v>-4.7149999999999999</v>
      </c>
      <c r="GJ157">
        <v>-14.875</v>
      </c>
      <c r="GK157">
        <v>3.5625</v>
      </c>
      <c r="GL157">
        <v>-0.5625</v>
      </c>
    </row>
    <row r="158" spans="1:194" x14ac:dyDescent="0.2">
      <c r="A158" s="39">
        <v>43751</v>
      </c>
      <c r="B158" s="22" t="s">
        <v>252</v>
      </c>
      <c r="C158" s="41" t="s">
        <v>285</v>
      </c>
      <c r="D158" s="22" t="s">
        <v>295</v>
      </c>
      <c r="E158">
        <v>12.9</v>
      </c>
      <c r="F158">
        <v>8</v>
      </c>
      <c r="G158">
        <v>4.8</v>
      </c>
      <c r="H158">
        <f>12.4+2.8</f>
        <v>15.2</v>
      </c>
      <c r="I158">
        <v>3</v>
      </c>
      <c r="J158">
        <v>52.5</v>
      </c>
      <c r="K158" t="s">
        <v>109</v>
      </c>
      <c r="L158" s="1" t="s">
        <v>285</v>
      </c>
      <c r="M158">
        <v>8</v>
      </c>
      <c r="N158">
        <v>2.3816000000000002</v>
      </c>
      <c r="O158">
        <v>24</v>
      </c>
      <c r="P158">
        <v>22.5</v>
      </c>
      <c r="Q158">
        <v>22</v>
      </c>
      <c r="R158">
        <v>0.13199999999999967</v>
      </c>
      <c r="S158">
        <v>23</v>
      </c>
      <c r="T158">
        <v>-9.8000000000000025</v>
      </c>
      <c r="U158">
        <v>1.8800000000000001</v>
      </c>
      <c r="V158">
        <v>29</v>
      </c>
      <c r="W158">
        <v>29</v>
      </c>
      <c r="X158">
        <v>30</v>
      </c>
      <c r="Y158">
        <v>-3.2039999999999997</v>
      </c>
      <c r="Z158">
        <v>28</v>
      </c>
      <c r="AA158">
        <v>-4.5200000000000005</v>
      </c>
      <c r="AB158">
        <v>-0.6</v>
      </c>
      <c r="AC158">
        <v>27</v>
      </c>
      <c r="AD158">
        <v>26.5</v>
      </c>
      <c r="AE158">
        <v>27</v>
      </c>
      <c r="AF158">
        <v>2.5640000000000001</v>
      </c>
      <c r="AG158">
        <v>26</v>
      </c>
      <c r="AH158">
        <v>10.599999999999998</v>
      </c>
      <c r="AI158">
        <v>0.44000000000000006</v>
      </c>
      <c r="AJ158">
        <v>7</v>
      </c>
      <c r="AK158">
        <v>8</v>
      </c>
      <c r="AL158">
        <v>6</v>
      </c>
      <c r="AM158">
        <v>-2.8639999999999999</v>
      </c>
      <c r="AN158">
        <v>10</v>
      </c>
      <c r="AO158">
        <v>-16.560000000000002</v>
      </c>
      <c r="AP158">
        <v>1.1200000000000001</v>
      </c>
      <c r="AQ158">
        <v>11</v>
      </c>
      <c r="AR158">
        <v>10.5</v>
      </c>
      <c r="AS158">
        <v>9</v>
      </c>
      <c r="AT158">
        <v>1.6760000000000002</v>
      </c>
      <c r="AU158">
        <v>12</v>
      </c>
      <c r="AV158">
        <v>6.04</v>
      </c>
      <c r="AW158">
        <v>1.6</v>
      </c>
      <c r="AX158">
        <v>16</v>
      </c>
      <c r="AY158">
        <v>16</v>
      </c>
      <c r="AZ158">
        <v>18</v>
      </c>
      <c r="BA158">
        <v>5.952</v>
      </c>
      <c r="BB158">
        <v>14</v>
      </c>
      <c r="BC158">
        <v>33.120000000000005</v>
      </c>
      <c r="BD158">
        <v>4.76</v>
      </c>
      <c r="BE158">
        <v>24</v>
      </c>
      <c r="BF158">
        <v>23.5</v>
      </c>
      <c r="BG158">
        <v>29</v>
      </c>
      <c r="BH158">
        <v>-6.3280000000000003</v>
      </c>
      <c r="BI158">
        <v>18</v>
      </c>
      <c r="BJ158">
        <v>-28.119999999999997</v>
      </c>
      <c r="BK158">
        <v>-2.96</v>
      </c>
      <c r="BL158">
        <v>21</v>
      </c>
      <c r="BM158">
        <v>20</v>
      </c>
      <c r="BN158">
        <v>17</v>
      </c>
      <c r="BO158">
        <v>1.0800000000000003</v>
      </c>
      <c r="BP158">
        <v>23</v>
      </c>
      <c r="BQ158">
        <v>0.76</v>
      </c>
      <c r="BR158">
        <v>-4</v>
      </c>
      <c r="BS158">
        <v>9</v>
      </c>
      <c r="BT158">
        <v>12.25</v>
      </c>
      <c r="BU158">
        <v>20</v>
      </c>
      <c r="BV158">
        <v>-4.455822094190507E-2</v>
      </c>
      <c r="BW158">
        <v>7</v>
      </c>
      <c r="BX158">
        <v>3.3326114534736988E-2</v>
      </c>
      <c r="BY158">
        <v>4</v>
      </c>
      <c r="BZ158">
        <v>-5.6360000000000001</v>
      </c>
      <c r="CA158">
        <v>18</v>
      </c>
      <c r="CB158">
        <v>1.7600000000000002</v>
      </c>
      <c r="CC158">
        <v>4.4800000000000022</v>
      </c>
      <c r="CD158">
        <v>-3.2399999999999998</v>
      </c>
      <c r="CE158">
        <v>-0.83999999999999986</v>
      </c>
      <c r="CF158">
        <v>4.9199999999999928</v>
      </c>
      <c r="CG158">
        <v>-1.1600000000000079</v>
      </c>
      <c r="CH158">
        <v>-17.28</v>
      </c>
      <c r="CI158">
        <v>2.16</v>
      </c>
      <c r="CJ158">
        <v>21.2</v>
      </c>
      <c r="CK158">
        <v>7</v>
      </c>
      <c r="CL158">
        <v>5.4535999999999998</v>
      </c>
      <c r="CM158">
        <v>1.0219200000000002</v>
      </c>
      <c r="CN158">
        <v>16.119999999999994</v>
      </c>
      <c r="CO158">
        <v>-5.4535999999999998</v>
      </c>
      <c r="CP158">
        <v>-0.57030000000000003</v>
      </c>
      <c r="CQ158">
        <v>1.3760000000000003</v>
      </c>
      <c r="CR158">
        <v>7.999999999999563E-2</v>
      </c>
      <c r="CS158">
        <v>-3.0720000000000001</v>
      </c>
      <c r="CT158">
        <v>-14.320000000000004</v>
      </c>
      <c r="CU158">
        <v>0.20000000000000018</v>
      </c>
      <c r="CV158">
        <v>1.2800000000000002</v>
      </c>
      <c r="CW158">
        <v>1.9186500000000004</v>
      </c>
      <c r="CX158">
        <v>1.4955000000000003</v>
      </c>
      <c r="CY158" t="s">
        <v>295</v>
      </c>
      <c r="CZ158">
        <v>27</v>
      </c>
      <c r="DA158">
        <v>5.8664000000000023</v>
      </c>
      <c r="DB158">
        <v>30</v>
      </c>
      <c r="DC158">
        <v>28</v>
      </c>
      <c r="DD158">
        <v>28</v>
      </c>
      <c r="DE158">
        <v>-0.871999999999999</v>
      </c>
      <c r="DF158">
        <v>28</v>
      </c>
      <c r="DG158">
        <v>-3.9600000000000022</v>
      </c>
      <c r="DH158">
        <v>-0.11999999999999993</v>
      </c>
      <c r="DI158">
        <v>28</v>
      </c>
      <c r="DJ158">
        <v>25.5</v>
      </c>
      <c r="DK158">
        <v>30</v>
      </c>
      <c r="DL158">
        <v>-0.97999999999999987</v>
      </c>
      <c r="DM158">
        <v>21</v>
      </c>
      <c r="DN158">
        <v>-0.6399999999999999</v>
      </c>
      <c r="DO158">
        <v>0.11999999999999997</v>
      </c>
      <c r="DP158">
        <v>22</v>
      </c>
      <c r="DQ158">
        <v>18.5</v>
      </c>
      <c r="DR158">
        <v>21</v>
      </c>
      <c r="DS158">
        <v>4.16</v>
      </c>
      <c r="DT158">
        <v>16</v>
      </c>
      <c r="DU158">
        <v>19.36</v>
      </c>
      <c r="DV158">
        <v>0.51999999999999991</v>
      </c>
      <c r="DW158">
        <v>9</v>
      </c>
      <c r="DX158">
        <v>10</v>
      </c>
      <c r="DY158">
        <v>9</v>
      </c>
      <c r="DZ158">
        <v>9.5560000000000009</v>
      </c>
      <c r="EA158">
        <v>11</v>
      </c>
      <c r="EB158">
        <v>32.840000000000003</v>
      </c>
      <c r="EC158">
        <v>1.0399999999999998</v>
      </c>
      <c r="ED158">
        <v>17</v>
      </c>
      <c r="EE158">
        <v>26.5</v>
      </c>
      <c r="EF158">
        <v>29</v>
      </c>
      <c r="EG158">
        <v>-0.20799999999999982</v>
      </c>
      <c r="EH158">
        <v>24</v>
      </c>
      <c r="EI158">
        <v>1.2</v>
      </c>
      <c r="EJ158">
        <v>-0.8</v>
      </c>
      <c r="EK158">
        <v>10</v>
      </c>
      <c r="EL158">
        <v>11.5</v>
      </c>
      <c r="EM158">
        <v>14</v>
      </c>
      <c r="EN158">
        <v>1.8039999999999992</v>
      </c>
      <c r="EO158">
        <v>9</v>
      </c>
      <c r="EP158">
        <v>5.24</v>
      </c>
      <c r="EQ158">
        <v>0.83999999999999964</v>
      </c>
      <c r="ER158">
        <v>29</v>
      </c>
      <c r="ES158">
        <v>26.5</v>
      </c>
      <c r="ET158">
        <v>30</v>
      </c>
      <c r="EU158">
        <v>-0.58799999999999975</v>
      </c>
      <c r="EV158">
        <v>23</v>
      </c>
      <c r="EW158">
        <v>-2.6</v>
      </c>
      <c r="EX158">
        <v>-0.2</v>
      </c>
      <c r="EY158">
        <v>17</v>
      </c>
      <c r="EZ158">
        <v>14.5</v>
      </c>
      <c r="FA158">
        <v>14</v>
      </c>
      <c r="FB158">
        <v>1.8</v>
      </c>
      <c r="FC158">
        <v>15</v>
      </c>
      <c r="FD158">
        <v>-0.20000000000000004</v>
      </c>
      <c r="FE158">
        <v>0.64</v>
      </c>
      <c r="FF158">
        <v>19</v>
      </c>
      <c r="FG158">
        <v>16.5</v>
      </c>
      <c r="FH158">
        <v>10</v>
      </c>
      <c r="FI158">
        <v>-5.3170540967374821E-2</v>
      </c>
      <c r="FJ158">
        <v>20</v>
      </c>
      <c r="FK158">
        <v>-3.4445334301213867E-2</v>
      </c>
      <c r="FL158">
        <v>25</v>
      </c>
      <c r="FM158">
        <v>4.4120000000000044</v>
      </c>
      <c r="FN158">
        <v>11</v>
      </c>
      <c r="FO158">
        <v>-4</v>
      </c>
      <c r="FP158">
        <v>0.12000000000000099</v>
      </c>
      <c r="FQ158">
        <v>2.0799999999999996</v>
      </c>
      <c r="FR158">
        <v>-0.44000000000000011</v>
      </c>
      <c r="FS158">
        <v>-0.24000000000000199</v>
      </c>
      <c r="FT158">
        <v>5.96</v>
      </c>
      <c r="FU158">
        <v>0.12</v>
      </c>
      <c r="FV158">
        <v>20.560000000000002</v>
      </c>
      <c r="FW158">
        <v>32.839999999999996</v>
      </c>
      <c r="FX158">
        <v>-10.239999999999998</v>
      </c>
      <c r="FY158">
        <v>-1.72</v>
      </c>
      <c r="FZ158">
        <v>-0.31999999999999956</v>
      </c>
      <c r="GA158">
        <v>2</v>
      </c>
      <c r="GB158">
        <v>7.7184000000000008</v>
      </c>
      <c r="GC158">
        <v>4.6832799999999999</v>
      </c>
      <c r="GD158">
        <v>43.08</v>
      </c>
      <c r="GE158">
        <v>-7.7184000000000008</v>
      </c>
      <c r="GF158">
        <v>2.3418000000000005</v>
      </c>
      <c r="GG158">
        <v>13.508000000000001</v>
      </c>
      <c r="GH158">
        <v>53.400000000000006</v>
      </c>
      <c r="GI158">
        <v>-1.851999999999999</v>
      </c>
      <c r="GJ158">
        <v>-4.6000000000000023</v>
      </c>
      <c r="GK158">
        <v>0.55999999999999961</v>
      </c>
      <c r="GL158">
        <v>0</v>
      </c>
    </row>
    <row r="159" spans="1:194" x14ac:dyDescent="0.2">
      <c r="A159" s="39">
        <v>43751</v>
      </c>
      <c r="B159" s="22" t="s">
        <v>252</v>
      </c>
      <c r="C159" s="41" t="s">
        <v>295</v>
      </c>
      <c r="D159" s="22" t="s">
        <v>285</v>
      </c>
      <c r="E159">
        <v>21.8</v>
      </c>
      <c r="F159">
        <v>14.8</v>
      </c>
      <c r="G159" s="14">
        <v>5.9</v>
      </c>
      <c r="H159">
        <f>28.7+3.1+1</f>
        <v>32.799999999999997</v>
      </c>
      <c r="I159">
        <v>-3</v>
      </c>
      <c r="J159">
        <v>52.5</v>
      </c>
      <c r="K159" t="s">
        <v>109</v>
      </c>
      <c r="L159" s="1" t="s">
        <v>295</v>
      </c>
      <c r="M159">
        <v>2</v>
      </c>
      <c r="N159">
        <v>6.9256000000000002</v>
      </c>
      <c r="O159">
        <v>29</v>
      </c>
      <c r="P159">
        <v>28</v>
      </c>
      <c r="Q159">
        <v>29</v>
      </c>
      <c r="R159">
        <v>-2.0960000000000001</v>
      </c>
      <c r="S159">
        <v>27</v>
      </c>
      <c r="T159">
        <v>-13.919999999999998</v>
      </c>
      <c r="U159">
        <v>0.17999999999999988</v>
      </c>
      <c r="V159">
        <v>11</v>
      </c>
      <c r="W159">
        <v>11</v>
      </c>
      <c r="X159">
        <v>10</v>
      </c>
      <c r="Y159">
        <v>1.6240000000000001</v>
      </c>
      <c r="Z159">
        <v>12</v>
      </c>
      <c r="AA159">
        <v>4.1199999999999992</v>
      </c>
      <c r="AB159">
        <v>0.36</v>
      </c>
      <c r="AC159">
        <v>15</v>
      </c>
      <c r="AD159">
        <v>16</v>
      </c>
      <c r="AE159">
        <v>23</v>
      </c>
      <c r="AF159">
        <v>1.6560000000000006</v>
      </c>
      <c r="AG159">
        <v>9</v>
      </c>
      <c r="AH159">
        <v>-1.9199999999999975</v>
      </c>
      <c r="AI159">
        <v>0.48000000000000009</v>
      </c>
      <c r="AJ159">
        <v>6</v>
      </c>
      <c r="AK159">
        <v>7</v>
      </c>
      <c r="AL159">
        <v>8</v>
      </c>
      <c r="AM159">
        <v>4.1239999999999997</v>
      </c>
      <c r="AN159">
        <v>6</v>
      </c>
      <c r="AO159">
        <v>14.079999999999998</v>
      </c>
      <c r="AP159">
        <v>0.71999999999999986</v>
      </c>
      <c r="AQ159">
        <v>6</v>
      </c>
      <c r="AR159">
        <v>6</v>
      </c>
      <c r="AS159">
        <v>6</v>
      </c>
      <c r="AT159">
        <v>2.9759999999999991</v>
      </c>
      <c r="AU159">
        <v>6</v>
      </c>
      <c r="AV159">
        <v>16.759999999999998</v>
      </c>
      <c r="AW159">
        <v>1.72</v>
      </c>
      <c r="AX159">
        <v>7</v>
      </c>
      <c r="AY159">
        <v>6.5</v>
      </c>
      <c r="AZ159">
        <v>7</v>
      </c>
      <c r="BA159">
        <v>4.1840000000000019</v>
      </c>
      <c r="BB159">
        <v>6</v>
      </c>
      <c r="BC159">
        <v>18.639999999999997</v>
      </c>
      <c r="BD159">
        <v>2.4</v>
      </c>
      <c r="BE159">
        <v>16</v>
      </c>
      <c r="BF159">
        <v>17</v>
      </c>
      <c r="BG159">
        <v>17</v>
      </c>
      <c r="BH159">
        <v>5.74</v>
      </c>
      <c r="BI159">
        <v>17</v>
      </c>
      <c r="BJ159">
        <v>25.240000000000002</v>
      </c>
      <c r="BK159">
        <v>2.2399999999999993</v>
      </c>
      <c r="BL159">
        <v>4</v>
      </c>
      <c r="BM159">
        <v>7</v>
      </c>
      <c r="BN159">
        <v>10</v>
      </c>
      <c r="BO159">
        <v>-1.3199999999999998</v>
      </c>
      <c r="BP159">
        <v>4</v>
      </c>
      <c r="BQ159">
        <v>-0.31999999999999995</v>
      </c>
      <c r="BR159">
        <v>-4</v>
      </c>
      <c r="BS159">
        <v>14</v>
      </c>
      <c r="BT159">
        <v>14</v>
      </c>
      <c r="BU159">
        <v>7</v>
      </c>
      <c r="BV159">
        <v>2.6640458395730373E-3</v>
      </c>
      <c r="BW159">
        <v>9</v>
      </c>
      <c r="BX159">
        <v>-2.3328999920988677E-2</v>
      </c>
      <c r="BY159">
        <v>26</v>
      </c>
      <c r="BZ159">
        <v>5.171999999999997</v>
      </c>
      <c r="CA159">
        <v>14</v>
      </c>
      <c r="CB159">
        <v>0.64</v>
      </c>
      <c r="CC159">
        <v>2.5200000000000005</v>
      </c>
      <c r="CD159">
        <v>1.5599999999999998</v>
      </c>
      <c r="CE159">
        <v>-0.55999999999999994</v>
      </c>
      <c r="CF159">
        <v>42.080000000000005</v>
      </c>
      <c r="CG159">
        <v>67.039999999999992</v>
      </c>
      <c r="CH159">
        <v>-18.72</v>
      </c>
      <c r="CI159">
        <v>-4.6800000000000006</v>
      </c>
      <c r="CJ159">
        <v>-1.56</v>
      </c>
      <c r="CK159">
        <v>3</v>
      </c>
      <c r="CL159">
        <v>7.3975999999999988</v>
      </c>
      <c r="CM159">
        <v>4.520319999999999</v>
      </c>
      <c r="CN159">
        <v>85.759999999999991</v>
      </c>
      <c r="CO159">
        <v>-7.3976000000000006</v>
      </c>
      <c r="CP159">
        <v>2.4536999999999995</v>
      </c>
      <c r="CQ159">
        <v>8.7560000000000002</v>
      </c>
      <c r="CR159">
        <v>28.919999999999998</v>
      </c>
      <c r="CS159">
        <v>-0.47199999999999998</v>
      </c>
      <c r="CT159">
        <v>-9.7999999999999989</v>
      </c>
      <c r="CU159">
        <v>5.1599999999999993</v>
      </c>
      <c r="CV159">
        <v>0.53999999999999981</v>
      </c>
      <c r="CW159">
        <v>1.9186500000000004</v>
      </c>
      <c r="CX159">
        <v>2.3418000000000005</v>
      </c>
      <c r="CY159" t="s">
        <v>285</v>
      </c>
      <c r="CZ159">
        <v>1</v>
      </c>
      <c r="DA159">
        <v>3.7440000000000007</v>
      </c>
      <c r="DB159">
        <v>16</v>
      </c>
      <c r="DC159">
        <v>16.5</v>
      </c>
      <c r="DD159">
        <v>12</v>
      </c>
      <c r="DE159">
        <v>-2.3159999999999998</v>
      </c>
      <c r="DF159">
        <v>21</v>
      </c>
      <c r="DG159">
        <v>15.879999999999995</v>
      </c>
      <c r="DH159">
        <v>-1.22</v>
      </c>
      <c r="DI159">
        <v>11</v>
      </c>
      <c r="DJ159">
        <v>14</v>
      </c>
      <c r="DK159">
        <v>23</v>
      </c>
      <c r="DL159">
        <v>-1.252</v>
      </c>
      <c r="DM159">
        <v>5</v>
      </c>
      <c r="DN159">
        <v>-6.56</v>
      </c>
      <c r="DO159">
        <v>-0.72</v>
      </c>
      <c r="DP159">
        <v>8</v>
      </c>
      <c r="DQ159">
        <v>7</v>
      </c>
      <c r="DR159">
        <v>7</v>
      </c>
      <c r="DS159">
        <v>0.5080000000000009</v>
      </c>
      <c r="DT159">
        <v>7</v>
      </c>
      <c r="DU159">
        <v>-1.680000000000001</v>
      </c>
      <c r="DV159">
        <v>-4.0000000000000036E-2</v>
      </c>
      <c r="DW159">
        <v>1</v>
      </c>
      <c r="DX159">
        <v>1.5</v>
      </c>
      <c r="DY159">
        <v>2</v>
      </c>
      <c r="DZ159">
        <v>-3.3159999999999998</v>
      </c>
      <c r="EA159">
        <v>1</v>
      </c>
      <c r="EB159">
        <v>-24.759999999999998</v>
      </c>
      <c r="EC159">
        <v>-1.44</v>
      </c>
      <c r="ED159">
        <v>4</v>
      </c>
      <c r="EE159">
        <v>5.5</v>
      </c>
      <c r="EF159">
        <v>4</v>
      </c>
      <c r="EG159">
        <v>3.6759999999999997</v>
      </c>
      <c r="EH159">
        <v>7</v>
      </c>
      <c r="EI159">
        <v>11.959999999999999</v>
      </c>
      <c r="EJ159">
        <v>0.68</v>
      </c>
      <c r="EK159">
        <v>1</v>
      </c>
      <c r="EL159">
        <v>1.5</v>
      </c>
      <c r="EM159">
        <v>2</v>
      </c>
      <c r="EN159">
        <v>8.1359999999999992</v>
      </c>
      <c r="EO159">
        <v>1</v>
      </c>
      <c r="EP159">
        <v>33.760000000000005</v>
      </c>
      <c r="EQ159">
        <v>2.7199999999999998</v>
      </c>
      <c r="ER159">
        <v>5</v>
      </c>
      <c r="ES159">
        <v>6</v>
      </c>
      <c r="ET159">
        <v>4</v>
      </c>
      <c r="EU159">
        <v>9.1199999999999992</v>
      </c>
      <c r="EV159">
        <v>8</v>
      </c>
      <c r="EW159">
        <v>28.32</v>
      </c>
      <c r="EX159">
        <v>1.2</v>
      </c>
      <c r="EY159">
        <v>19</v>
      </c>
      <c r="EZ159">
        <v>20.5</v>
      </c>
      <c r="FA159">
        <v>19</v>
      </c>
      <c r="FB159">
        <v>1.8</v>
      </c>
      <c r="FC159">
        <v>22</v>
      </c>
      <c r="FD159">
        <v>0.15999999999999998</v>
      </c>
      <c r="FE159">
        <v>1.7600000000000002</v>
      </c>
      <c r="FF159">
        <v>26</v>
      </c>
      <c r="FG159">
        <v>22</v>
      </c>
      <c r="FH159">
        <v>5</v>
      </c>
      <c r="FI159">
        <v>3.5615549927246658E-2</v>
      </c>
      <c r="FJ159">
        <v>31</v>
      </c>
      <c r="FK159">
        <v>-7.7865905667242078E-3</v>
      </c>
      <c r="FL159">
        <v>20</v>
      </c>
      <c r="FM159">
        <v>7.0039999999999996</v>
      </c>
      <c r="FN159">
        <v>32</v>
      </c>
      <c r="FO159">
        <v>-4</v>
      </c>
      <c r="FP159">
        <v>-0.75999999999999868</v>
      </c>
      <c r="FQ159">
        <v>0.4</v>
      </c>
      <c r="FR159">
        <v>0.67999999999999972</v>
      </c>
      <c r="FS159">
        <v>0.32000000000000028</v>
      </c>
      <c r="FT159">
        <v>2.2399999999999998</v>
      </c>
      <c r="FU159">
        <v>0.48</v>
      </c>
      <c r="FV159">
        <v>30.119999999999994</v>
      </c>
      <c r="FW159">
        <v>15.000000000000011</v>
      </c>
      <c r="FX159">
        <v>3.8400000000000034</v>
      </c>
      <c r="FY159">
        <v>1.36</v>
      </c>
      <c r="FZ159">
        <v>9.92</v>
      </c>
      <c r="GA159">
        <v>3</v>
      </c>
      <c r="GB159">
        <v>7.3120000000000003</v>
      </c>
      <c r="GC159">
        <v>4.5304000000000002</v>
      </c>
      <c r="GD159">
        <v>11.160000000000007</v>
      </c>
      <c r="GE159">
        <v>-7.3120000000000003</v>
      </c>
      <c r="GF159">
        <v>1.4955000000000003</v>
      </c>
      <c r="GG159">
        <v>0.86800000000000077</v>
      </c>
      <c r="GH159">
        <v>-14.479999999999999</v>
      </c>
      <c r="GI159">
        <v>-3.5679999999999996</v>
      </c>
      <c r="GJ159">
        <v>9.3199999999999967</v>
      </c>
      <c r="GK159">
        <v>0.4</v>
      </c>
      <c r="GL159">
        <v>-1.94</v>
      </c>
    </row>
    <row r="160" spans="1:194" x14ac:dyDescent="0.2">
      <c r="A160" s="39">
        <v>43751</v>
      </c>
      <c r="B160" s="22" t="s">
        <v>252</v>
      </c>
      <c r="C160" s="41" t="s">
        <v>305</v>
      </c>
      <c r="D160" s="22" t="s">
        <v>272</v>
      </c>
      <c r="H160">
        <f>14.9+3.8+1.4</f>
        <v>20.099999999999998</v>
      </c>
      <c r="I160">
        <v>-10.5</v>
      </c>
      <c r="J160">
        <v>47</v>
      </c>
      <c r="L160" s="1" t="s">
        <v>305</v>
      </c>
      <c r="M160">
        <v>3</v>
      </c>
      <c r="N160">
        <v>6.62</v>
      </c>
      <c r="O160">
        <v>4</v>
      </c>
      <c r="P160">
        <v>6.5</v>
      </c>
      <c r="Q160">
        <v>4</v>
      </c>
      <c r="R160">
        <v>2.5679999999999987</v>
      </c>
      <c r="S160">
        <v>9</v>
      </c>
      <c r="T160">
        <v>-8.68</v>
      </c>
      <c r="U160">
        <v>-0.84000000000000008</v>
      </c>
      <c r="V160">
        <v>5</v>
      </c>
      <c r="W160">
        <v>8</v>
      </c>
      <c r="X160">
        <v>14</v>
      </c>
      <c r="Y160">
        <v>-2.992</v>
      </c>
      <c r="Z160">
        <v>2</v>
      </c>
      <c r="AA160">
        <v>3.9999999999999991</v>
      </c>
      <c r="AB160">
        <v>-1.48</v>
      </c>
      <c r="AC160">
        <v>26</v>
      </c>
      <c r="AD160">
        <v>25</v>
      </c>
      <c r="AE160">
        <v>22</v>
      </c>
      <c r="AF160">
        <v>-0.53119999999999901</v>
      </c>
      <c r="AG160">
        <v>28</v>
      </c>
      <c r="AH160">
        <v>5.2399999999999993</v>
      </c>
      <c r="AI160">
        <v>0.55999999999999994</v>
      </c>
      <c r="AJ160">
        <v>25</v>
      </c>
      <c r="AK160">
        <v>26</v>
      </c>
      <c r="AL160">
        <v>24</v>
      </c>
      <c r="AM160">
        <v>-1.0599999999999994</v>
      </c>
      <c r="AN160">
        <v>28</v>
      </c>
      <c r="AO160">
        <v>-6.4799999999999995</v>
      </c>
      <c r="AP160">
        <v>-1.56</v>
      </c>
      <c r="AQ160">
        <v>31</v>
      </c>
      <c r="AR160">
        <v>30</v>
      </c>
      <c r="AS160">
        <v>29</v>
      </c>
      <c r="AT160">
        <v>-4.18</v>
      </c>
      <c r="AU160">
        <v>31</v>
      </c>
      <c r="AV160">
        <v>-19.520000000000003</v>
      </c>
      <c r="AW160">
        <v>-2.16</v>
      </c>
      <c r="AX160">
        <v>10</v>
      </c>
      <c r="AY160">
        <v>11</v>
      </c>
      <c r="AZ160">
        <v>5</v>
      </c>
      <c r="BA160">
        <v>4.3999999999999995</v>
      </c>
      <c r="BB160">
        <v>17</v>
      </c>
      <c r="BC160">
        <v>17.600000000000001</v>
      </c>
      <c r="BD160">
        <v>2.04</v>
      </c>
      <c r="BE160">
        <v>2</v>
      </c>
      <c r="BF160">
        <v>2</v>
      </c>
      <c r="BG160">
        <v>2</v>
      </c>
      <c r="BH160">
        <v>10.884</v>
      </c>
      <c r="BI160">
        <v>2</v>
      </c>
      <c r="BJ160">
        <v>46.2</v>
      </c>
      <c r="BK160">
        <v>6.0000000000000009</v>
      </c>
      <c r="BL160">
        <v>8</v>
      </c>
      <c r="BM160">
        <v>8.5</v>
      </c>
      <c r="BN160">
        <v>2</v>
      </c>
      <c r="BO160">
        <v>0.84000000000000019</v>
      </c>
      <c r="BP160">
        <v>15</v>
      </c>
      <c r="BQ160">
        <v>-0.20000000000000009</v>
      </c>
      <c r="BR160">
        <v>-4.5999999999999996</v>
      </c>
      <c r="BS160">
        <v>31</v>
      </c>
      <c r="BT160">
        <v>29.25</v>
      </c>
      <c r="BU160">
        <v>27</v>
      </c>
      <c r="BV160">
        <v>-7.4389902506587727E-3</v>
      </c>
      <c r="BW160">
        <v>31</v>
      </c>
      <c r="BX160">
        <v>7.5765835039474944E-3</v>
      </c>
      <c r="BY160">
        <v>27</v>
      </c>
      <c r="BZ160">
        <v>2.8960000000000008</v>
      </c>
      <c r="CA160">
        <v>32</v>
      </c>
      <c r="CB160">
        <v>-0.95999999999999974</v>
      </c>
      <c r="CC160">
        <v>6.160000000000001</v>
      </c>
      <c r="CD160">
        <v>6.7199999999999989</v>
      </c>
      <c r="CE160">
        <v>-1.2</v>
      </c>
      <c r="CF160">
        <v>33.440000000000012</v>
      </c>
      <c r="CG160">
        <v>-1.3999999999999944</v>
      </c>
      <c r="CH160">
        <v>-4.8799999999999955</v>
      </c>
      <c r="CI160">
        <v>-4.24</v>
      </c>
      <c r="CJ160">
        <v>43.959999999999994</v>
      </c>
      <c r="CK160">
        <v>4</v>
      </c>
      <c r="CL160">
        <v>7.0440000000000014</v>
      </c>
      <c r="CM160">
        <v>2.5585600000000008</v>
      </c>
      <c r="CN160">
        <v>3.4800000000000013</v>
      </c>
      <c r="CO160">
        <v>-7.0440000000000014</v>
      </c>
      <c r="CP160">
        <v>1.5186000000000002</v>
      </c>
      <c r="CQ160">
        <v>-5.7711999999999986</v>
      </c>
      <c r="CR160">
        <v>-20.760000000000005</v>
      </c>
      <c r="CS160">
        <v>-0.42400000000000126</v>
      </c>
      <c r="CT160">
        <v>-4.6800000000000006</v>
      </c>
      <c r="CU160">
        <v>2.8400000000000007</v>
      </c>
      <c r="CV160">
        <v>-2.3200000000000003</v>
      </c>
      <c r="CW160">
        <v>1.3869999999999998</v>
      </c>
      <c r="CX160">
        <v>1.6721999999999997</v>
      </c>
      <c r="CY160" t="s">
        <v>272</v>
      </c>
      <c r="CZ160">
        <v>10</v>
      </c>
      <c r="DA160">
        <v>0.9663999999999987</v>
      </c>
      <c r="DB160">
        <v>25</v>
      </c>
      <c r="DC160">
        <v>23.5</v>
      </c>
      <c r="DD160">
        <v>29</v>
      </c>
      <c r="DE160">
        <v>5.5080000000000009</v>
      </c>
      <c r="DF160">
        <v>18</v>
      </c>
      <c r="DG160">
        <v>11.12</v>
      </c>
      <c r="DH160">
        <v>0.91999999999999993</v>
      </c>
      <c r="DI160">
        <v>24</v>
      </c>
      <c r="DJ160">
        <v>21.5</v>
      </c>
      <c r="DK160">
        <v>19</v>
      </c>
      <c r="DL160">
        <v>5.8199999999999985</v>
      </c>
      <c r="DM160">
        <v>24</v>
      </c>
      <c r="DN160">
        <v>14.12</v>
      </c>
      <c r="DO160">
        <v>1.48</v>
      </c>
      <c r="DP160">
        <v>1</v>
      </c>
      <c r="DQ160">
        <v>4</v>
      </c>
      <c r="DR160">
        <v>5</v>
      </c>
      <c r="DS160">
        <v>-3.0879999999999987</v>
      </c>
      <c r="DT160">
        <v>3</v>
      </c>
      <c r="DU160">
        <v>-16.759999999999998</v>
      </c>
      <c r="DV160">
        <v>-1.8800000000000001</v>
      </c>
      <c r="DW160">
        <v>17</v>
      </c>
      <c r="DX160">
        <v>16.5</v>
      </c>
      <c r="DY160">
        <v>19</v>
      </c>
      <c r="DZ160">
        <v>3.5799999999999996</v>
      </c>
      <c r="EA160">
        <v>14</v>
      </c>
      <c r="EB160">
        <v>17.919999999999998</v>
      </c>
      <c r="EC160">
        <v>-4.0000000000000036E-2</v>
      </c>
      <c r="ED160">
        <v>6</v>
      </c>
      <c r="EE160">
        <v>8</v>
      </c>
      <c r="EF160">
        <v>6</v>
      </c>
      <c r="EG160">
        <v>-2.952</v>
      </c>
      <c r="EH160">
        <v>10</v>
      </c>
      <c r="EI160">
        <v>-12.36</v>
      </c>
      <c r="EJ160">
        <v>-2.04</v>
      </c>
      <c r="EK160">
        <v>2</v>
      </c>
      <c r="EL160">
        <v>3.5</v>
      </c>
      <c r="EM160">
        <v>5</v>
      </c>
      <c r="EN160">
        <v>1.247999999999998</v>
      </c>
      <c r="EO160">
        <v>2</v>
      </c>
      <c r="EP160">
        <v>1.680000000000001</v>
      </c>
      <c r="EQ160">
        <v>-1.36</v>
      </c>
      <c r="ER160">
        <v>9</v>
      </c>
      <c r="ES160">
        <v>10</v>
      </c>
      <c r="ET160">
        <v>9</v>
      </c>
      <c r="EU160">
        <v>-2.66</v>
      </c>
      <c r="EV160">
        <v>11</v>
      </c>
      <c r="EW160">
        <v>-3.4400000000000004</v>
      </c>
      <c r="EX160">
        <v>-1.64</v>
      </c>
      <c r="EY160">
        <v>20</v>
      </c>
      <c r="EZ160">
        <v>21</v>
      </c>
      <c r="FA160">
        <v>18</v>
      </c>
      <c r="FB160">
        <v>1.64</v>
      </c>
      <c r="FC160">
        <v>24</v>
      </c>
      <c r="FD160">
        <v>0.96000000000000019</v>
      </c>
      <c r="FE160">
        <v>1.6400000000000006</v>
      </c>
      <c r="FF160">
        <v>22</v>
      </c>
      <c r="FG160">
        <v>18.25</v>
      </c>
      <c r="FH160">
        <v>13</v>
      </c>
      <c r="FI160">
        <v>4.6908794813689033E-3</v>
      </c>
      <c r="FJ160">
        <v>15</v>
      </c>
      <c r="FK160">
        <v>-1.6213987792158518E-2</v>
      </c>
      <c r="FL160">
        <v>19</v>
      </c>
      <c r="FM160">
        <v>-4.743999999999998</v>
      </c>
      <c r="FN160">
        <v>26</v>
      </c>
      <c r="FO160">
        <v>-5.1599999999999993</v>
      </c>
      <c r="FP160">
        <v>-5.68</v>
      </c>
      <c r="FQ160">
        <v>3.0000000000000009</v>
      </c>
      <c r="FR160">
        <v>0.88000000000000012</v>
      </c>
      <c r="FS160">
        <v>-1.2799999999999983</v>
      </c>
      <c r="FT160">
        <v>5.2799999999999994</v>
      </c>
      <c r="FU160">
        <v>-0.83999999999999986</v>
      </c>
      <c r="FV160">
        <v>34.079999999999984</v>
      </c>
      <c r="FW160">
        <v>-4.880000000000007</v>
      </c>
      <c r="FX160">
        <v>27.839999999999996</v>
      </c>
      <c r="FY160">
        <v>2.3199999999999998</v>
      </c>
      <c r="FZ160">
        <v>8.7999999999999989</v>
      </c>
      <c r="GA160">
        <v>32</v>
      </c>
      <c r="GB160">
        <v>-10.361600000000001</v>
      </c>
      <c r="GC160">
        <v>-6.49472</v>
      </c>
      <c r="GD160">
        <v>-32.720000000000006</v>
      </c>
      <c r="GE160">
        <v>10.361600000000001</v>
      </c>
      <c r="GF160">
        <v>1.1017999999999999</v>
      </c>
      <c r="GG160">
        <v>-2.4599999999999991</v>
      </c>
      <c r="GH160">
        <v>-11.2</v>
      </c>
      <c r="GI160">
        <v>11.327999999999999</v>
      </c>
      <c r="GJ160">
        <v>25.24</v>
      </c>
      <c r="GK160">
        <v>-5.6</v>
      </c>
      <c r="GL160">
        <v>2.4</v>
      </c>
    </row>
    <row r="161" spans="1:194" x14ac:dyDescent="0.2">
      <c r="A161" s="39">
        <v>43751</v>
      </c>
      <c r="B161" s="22" t="s">
        <v>252</v>
      </c>
      <c r="C161" s="41" t="s">
        <v>301</v>
      </c>
      <c r="D161" s="22" t="s">
        <v>284</v>
      </c>
      <c r="E161">
        <v>15.6</v>
      </c>
      <c r="F161">
        <v>23.8</v>
      </c>
      <c r="G161">
        <v>1.6</v>
      </c>
      <c r="H161">
        <v>9.1999999999999993</v>
      </c>
      <c r="I161">
        <v>-2</v>
      </c>
      <c r="J161">
        <v>48.5</v>
      </c>
      <c r="L161" s="1" t="s">
        <v>301</v>
      </c>
      <c r="M161">
        <v>32</v>
      </c>
      <c r="N161">
        <v>-8.8647999999999989</v>
      </c>
      <c r="O161">
        <v>2</v>
      </c>
      <c r="P161">
        <v>3</v>
      </c>
      <c r="Q161">
        <v>1</v>
      </c>
      <c r="R161">
        <v>15.659200000000002</v>
      </c>
      <c r="S161">
        <v>5</v>
      </c>
      <c r="T161">
        <v>46.639999999999993</v>
      </c>
      <c r="U161">
        <v>3.28</v>
      </c>
      <c r="V161">
        <v>32</v>
      </c>
      <c r="W161">
        <v>31.5</v>
      </c>
      <c r="X161">
        <v>31</v>
      </c>
      <c r="Y161">
        <v>-0.70399999999999996</v>
      </c>
      <c r="Z161">
        <v>32</v>
      </c>
      <c r="AA161">
        <v>-3.0000000000000009</v>
      </c>
      <c r="AB161">
        <v>-1</v>
      </c>
      <c r="AC161">
        <v>7</v>
      </c>
      <c r="AD161">
        <v>6.5</v>
      </c>
      <c r="AE161">
        <v>7</v>
      </c>
      <c r="AF161">
        <v>-4.8719999999999999</v>
      </c>
      <c r="AG161">
        <v>6</v>
      </c>
      <c r="AH161">
        <v>-9.4</v>
      </c>
      <c r="AI161">
        <v>-0.88000000000000012</v>
      </c>
      <c r="AJ161">
        <v>21</v>
      </c>
      <c r="AK161">
        <v>20.5</v>
      </c>
      <c r="AL161">
        <v>20</v>
      </c>
      <c r="AM161">
        <v>-2.5999999999999996</v>
      </c>
      <c r="AN161">
        <v>21</v>
      </c>
      <c r="AO161">
        <v>-13.679999999999998</v>
      </c>
      <c r="AP161">
        <v>0.80000000000000016</v>
      </c>
      <c r="AQ161">
        <v>23</v>
      </c>
      <c r="AR161">
        <v>23.5</v>
      </c>
      <c r="AS161">
        <v>23</v>
      </c>
      <c r="AT161">
        <v>-1.6400000000000001</v>
      </c>
      <c r="AU161">
        <v>24</v>
      </c>
      <c r="AV161">
        <v>-4.76</v>
      </c>
      <c r="AW161">
        <v>-0.28000000000000014</v>
      </c>
      <c r="AX161">
        <v>24</v>
      </c>
      <c r="AY161">
        <v>25</v>
      </c>
      <c r="AZ161">
        <v>23</v>
      </c>
      <c r="BA161">
        <v>-6.9239999999999995</v>
      </c>
      <c r="BB161">
        <v>27</v>
      </c>
      <c r="BC161">
        <v>-37.64</v>
      </c>
      <c r="BD161">
        <v>-3.04</v>
      </c>
      <c r="BE161">
        <v>20</v>
      </c>
      <c r="BF161">
        <v>22</v>
      </c>
      <c r="BG161">
        <v>20</v>
      </c>
      <c r="BH161">
        <v>-3.596000000000001</v>
      </c>
      <c r="BI161">
        <v>24</v>
      </c>
      <c r="BJ161">
        <v>-16.32</v>
      </c>
      <c r="BK161">
        <v>-1.4</v>
      </c>
      <c r="BL161">
        <v>32</v>
      </c>
      <c r="BM161">
        <v>31.5</v>
      </c>
      <c r="BN161">
        <v>32</v>
      </c>
      <c r="BO161">
        <v>0.64000000000000024</v>
      </c>
      <c r="BP161">
        <v>31</v>
      </c>
      <c r="BQ161">
        <v>0.32000000000000006</v>
      </c>
      <c r="BR161">
        <v>2.4</v>
      </c>
      <c r="BS161">
        <v>4</v>
      </c>
      <c r="BT161">
        <v>8.5</v>
      </c>
      <c r="BU161">
        <v>4</v>
      </c>
      <c r="BV161">
        <v>-5.0478967816341355E-2</v>
      </c>
      <c r="BW161">
        <v>6</v>
      </c>
      <c r="BX161">
        <v>8.1600907059733978E-3</v>
      </c>
      <c r="BY161">
        <v>17</v>
      </c>
      <c r="BZ161">
        <v>-10.247999999999998</v>
      </c>
      <c r="CA161">
        <v>7</v>
      </c>
      <c r="CB161">
        <v>0.12000000000000011</v>
      </c>
      <c r="CC161">
        <v>-1.0000000000000013</v>
      </c>
      <c r="CD161">
        <v>-0.67999999999999972</v>
      </c>
      <c r="CE161">
        <v>3.9999999999999945E-2</v>
      </c>
      <c r="CF161">
        <v>-3.8400000000000203</v>
      </c>
      <c r="CG161">
        <v>-38.080000000000005</v>
      </c>
      <c r="CH161">
        <v>43.2</v>
      </c>
      <c r="CI161">
        <v>5.1199999999999992</v>
      </c>
      <c r="CJ161">
        <v>-14.080000000000002</v>
      </c>
      <c r="CK161">
        <v>32</v>
      </c>
      <c r="CL161">
        <v>-23.82</v>
      </c>
      <c r="CM161">
        <v>-11.792159999999999</v>
      </c>
      <c r="CN161">
        <v>-81.28</v>
      </c>
      <c r="CO161">
        <v>23.82</v>
      </c>
      <c r="CP161">
        <v>-0.74719999999999964</v>
      </c>
      <c r="CQ161">
        <v>-9.1120000000000001</v>
      </c>
      <c r="CR161">
        <v>-27.839999999999996</v>
      </c>
      <c r="CS161">
        <v>14.955200000000001</v>
      </c>
      <c r="CT161">
        <v>43.639999999999993</v>
      </c>
      <c r="CU161">
        <v>-1.76</v>
      </c>
      <c r="CV161">
        <v>2.2799999999999998</v>
      </c>
      <c r="CW161">
        <v>0.22703749999999989</v>
      </c>
      <c r="CX161">
        <v>-1.7878000000000001</v>
      </c>
      <c r="CY161" t="s">
        <v>284</v>
      </c>
      <c r="CZ161">
        <v>4</v>
      </c>
      <c r="DA161">
        <v>7.6519999999999984</v>
      </c>
      <c r="DB161">
        <v>25</v>
      </c>
      <c r="DC161">
        <v>23.5</v>
      </c>
      <c r="DD161">
        <v>24</v>
      </c>
      <c r="DE161">
        <v>-5.1859999999999982</v>
      </c>
      <c r="DF161">
        <v>23</v>
      </c>
      <c r="DG161">
        <v>-35.950000000000003</v>
      </c>
      <c r="DH161">
        <v>1.5999999999999999</v>
      </c>
      <c r="DI161">
        <v>31</v>
      </c>
      <c r="DJ161">
        <v>31</v>
      </c>
      <c r="DK161">
        <v>31</v>
      </c>
      <c r="DL161">
        <v>-4.5150000000000006</v>
      </c>
      <c r="DM161">
        <v>31</v>
      </c>
      <c r="DN161">
        <v>-11.750000000000002</v>
      </c>
      <c r="DO161">
        <v>-0.25</v>
      </c>
      <c r="DP161">
        <v>9</v>
      </c>
      <c r="DQ161">
        <v>6</v>
      </c>
      <c r="DR161">
        <v>6</v>
      </c>
      <c r="DS161">
        <v>7.668000000000001</v>
      </c>
      <c r="DT161">
        <v>6</v>
      </c>
      <c r="DU161">
        <v>23.56</v>
      </c>
      <c r="DV161">
        <v>1.7600000000000002</v>
      </c>
      <c r="DW161">
        <v>1</v>
      </c>
      <c r="DX161">
        <v>1.5</v>
      </c>
      <c r="DY161">
        <v>1</v>
      </c>
      <c r="DZ161">
        <v>4.444</v>
      </c>
      <c r="EA161">
        <v>2</v>
      </c>
      <c r="EB161">
        <v>29.96</v>
      </c>
      <c r="EC161">
        <v>1.5599999999999996</v>
      </c>
      <c r="ED161">
        <v>8</v>
      </c>
      <c r="EE161">
        <v>12.5</v>
      </c>
      <c r="EF161">
        <v>17</v>
      </c>
      <c r="EG161">
        <v>-0.99600000000000066</v>
      </c>
      <c r="EH161">
        <v>8</v>
      </c>
      <c r="EI161">
        <v>-3.3199999999999994</v>
      </c>
      <c r="EJ161">
        <v>0.84000000000000008</v>
      </c>
      <c r="EK161">
        <v>2</v>
      </c>
      <c r="EL161">
        <v>3.5</v>
      </c>
      <c r="EM161">
        <v>1</v>
      </c>
      <c r="EN161">
        <v>6.5440000000000014</v>
      </c>
      <c r="EO161">
        <v>6</v>
      </c>
      <c r="EP161">
        <v>24.639999999999997</v>
      </c>
      <c r="EQ161">
        <v>2.04</v>
      </c>
      <c r="ER161">
        <v>21</v>
      </c>
      <c r="ES161">
        <v>20.5</v>
      </c>
      <c r="ET161">
        <v>15</v>
      </c>
      <c r="EU161">
        <v>6.6679999999999993</v>
      </c>
      <c r="EV161">
        <v>26</v>
      </c>
      <c r="EW161">
        <v>27.359999999999996</v>
      </c>
      <c r="EX161">
        <v>2.2799999999999998</v>
      </c>
      <c r="EY161">
        <v>16</v>
      </c>
      <c r="EZ161">
        <v>14</v>
      </c>
      <c r="FA161">
        <v>13</v>
      </c>
      <c r="FB161">
        <v>2.2000000000000002</v>
      </c>
      <c r="FC161">
        <v>15</v>
      </c>
      <c r="FD161">
        <v>0</v>
      </c>
      <c r="FE161">
        <v>1.1200000000000003</v>
      </c>
      <c r="FF161">
        <v>10</v>
      </c>
      <c r="FG161">
        <v>13.25</v>
      </c>
      <c r="FH161">
        <v>9</v>
      </c>
      <c r="FI161">
        <v>3.7245682924897218E-3</v>
      </c>
      <c r="FJ161">
        <v>26</v>
      </c>
      <c r="FK161">
        <v>-7.65381626492527E-4</v>
      </c>
      <c r="FL161">
        <v>6</v>
      </c>
      <c r="FM161">
        <v>10.315999999999997</v>
      </c>
      <c r="FN161">
        <v>12</v>
      </c>
      <c r="FO161">
        <v>2.44</v>
      </c>
      <c r="FP161">
        <v>6.6400000000000006</v>
      </c>
      <c r="FQ161">
        <v>-4.1999999999999993</v>
      </c>
      <c r="FR161">
        <v>-0.12000000000000006</v>
      </c>
      <c r="FS161">
        <v>2.6799999999999984</v>
      </c>
      <c r="FT161">
        <v>1.6799999999999997</v>
      </c>
      <c r="FU161">
        <v>2.5599999999999996</v>
      </c>
      <c r="FV161">
        <v>12.8</v>
      </c>
      <c r="FW161">
        <v>70.760000000000005</v>
      </c>
      <c r="FX161">
        <v>-54.839999999999996</v>
      </c>
      <c r="FY161">
        <v>-5.1199999999999992</v>
      </c>
      <c r="FZ161">
        <v>2.0000000000000004</v>
      </c>
      <c r="GA161">
        <v>1</v>
      </c>
      <c r="GB161">
        <v>17.352999999999998</v>
      </c>
      <c r="GC161">
        <v>9.9376999999999995</v>
      </c>
      <c r="GD161">
        <v>125.6</v>
      </c>
      <c r="GE161">
        <v>-17.352999999999998</v>
      </c>
      <c r="GF161">
        <v>2.2418749999999998</v>
      </c>
      <c r="GG161">
        <v>11.116000000000001</v>
      </c>
      <c r="GH161">
        <v>50.199999999999996</v>
      </c>
      <c r="GI161">
        <v>-9.7009999999999987</v>
      </c>
      <c r="GJ161">
        <v>-47.7</v>
      </c>
      <c r="GK161">
        <v>6.4399999999999995</v>
      </c>
      <c r="GL161">
        <v>1.3499999999999999</v>
      </c>
    </row>
    <row r="162" spans="1:194" x14ac:dyDescent="0.2">
      <c r="A162" s="39">
        <v>43751</v>
      </c>
      <c r="B162" s="22" t="s">
        <v>252</v>
      </c>
      <c r="C162" s="17" t="s">
        <v>272</v>
      </c>
      <c r="D162" s="22" t="s">
        <v>305</v>
      </c>
      <c r="E162">
        <v>4</v>
      </c>
      <c r="F162">
        <v>14.1</v>
      </c>
      <c r="G162">
        <v>10.4</v>
      </c>
      <c r="H162">
        <f>4.6+3.3+0.9</f>
        <v>8.7999999999999989</v>
      </c>
      <c r="I162">
        <v>10.5</v>
      </c>
      <c r="J162">
        <v>47</v>
      </c>
      <c r="L162" s="1" t="s">
        <v>272</v>
      </c>
      <c r="M162">
        <v>14</v>
      </c>
      <c r="N162">
        <v>1.3992000000000004</v>
      </c>
      <c r="O162">
        <v>29</v>
      </c>
      <c r="P162">
        <v>28</v>
      </c>
      <c r="Q162">
        <v>26</v>
      </c>
      <c r="R162">
        <v>-4.18</v>
      </c>
      <c r="S162">
        <v>30</v>
      </c>
      <c r="T162">
        <v>-12.52</v>
      </c>
      <c r="U162">
        <v>-0.36</v>
      </c>
      <c r="V162">
        <v>24</v>
      </c>
      <c r="W162">
        <v>24</v>
      </c>
      <c r="X162">
        <v>24</v>
      </c>
      <c r="Y162">
        <v>0.38800000000000046</v>
      </c>
      <c r="Z162">
        <v>24</v>
      </c>
      <c r="AA162">
        <v>-8.360000000000003</v>
      </c>
      <c r="AB162">
        <v>1.3599999999999999</v>
      </c>
      <c r="AC162">
        <v>22</v>
      </c>
      <c r="AD162">
        <v>20</v>
      </c>
      <c r="AE162">
        <v>17</v>
      </c>
      <c r="AF162">
        <v>4.0808</v>
      </c>
      <c r="AG162">
        <v>23</v>
      </c>
      <c r="AH162">
        <v>19.799999999999997</v>
      </c>
      <c r="AI162">
        <v>1.9599999999999997</v>
      </c>
      <c r="AJ162">
        <v>20</v>
      </c>
      <c r="AK162">
        <v>19</v>
      </c>
      <c r="AL162">
        <v>23</v>
      </c>
      <c r="AM162">
        <v>6.0679999999999996</v>
      </c>
      <c r="AN162">
        <v>15</v>
      </c>
      <c r="AO162">
        <v>26.360000000000003</v>
      </c>
      <c r="AP162">
        <v>1.8399999999999999</v>
      </c>
      <c r="AQ162">
        <v>2</v>
      </c>
      <c r="AR162">
        <v>2</v>
      </c>
      <c r="AS162">
        <v>2</v>
      </c>
      <c r="AT162">
        <v>0.22799999999999984</v>
      </c>
      <c r="AU162">
        <v>2</v>
      </c>
      <c r="AV162">
        <v>13.280000000000001</v>
      </c>
      <c r="AW162">
        <v>1.6800000000000002</v>
      </c>
      <c r="AX162">
        <v>14</v>
      </c>
      <c r="AY162">
        <v>14.5</v>
      </c>
      <c r="AZ162">
        <v>16</v>
      </c>
      <c r="BA162">
        <v>1.0279999999999987</v>
      </c>
      <c r="BB162">
        <v>13</v>
      </c>
      <c r="BC162">
        <v>9.0800000000000036</v>
      </c>
      <c r="BD162">
        <v>1.1599999999999997</v>
      </c>
      <c r="BE162">
        <v>17</v>
      </c>
      <c r="BF162">
        <v>17.5</v>
      </c>
      <c r="BG162">
        <v>19</v>
      </c>
      <c r="BH162">
        <v>-3.444</v>
      </c>
      <c r="BI162">
        <v>16</v>
      </c>
      <c r="BJ162">
        <v>-11.959999999999999</v>
      </c>
      <c r="BK162">
        <v>-0.55999999999999994</v>
      </c>
      <c r="BL162">
        <v>12</v>
      </c>
      <c r="BM162">
        <v>11.5</v>
      </c>
      <c r="BN162">
        <v>12</v>
      </c>
      <c r="BO162">
        <v>8.8817841970012528E-17</v>
      </c>
      <c r="BP162">
        <v>11</v>
      </c>
      <c r="BQ162">
        <v>3.9999999999999994E-2</v>
      </c>
      <c r="BR162">
        <v>-5.1599999999999993</v>
      </c>
      <c r="BS162">
        <v>10</v>
      </c>
      <c r="BT162">
        <v>12.75</v>
      </c>
      <c r="BU162">
        <v>13</v>
      </c>
      <c r="BV162">
        <v>-2.9043167287131355E-2</v>
      </c>
      <c r="BW162">
        <v>15</v>
      </c>
      <c r="BX162">
        <v>9.3674410248068881E-3</v>
      </c>
      <c r="BY162">
        <v>11</v>
      </c>
      <c r="BZ162">
        <v>8.1760000000000019</v>
      </c>
      <c r="CA162">
        <v>12</v>
      </c>
      <c r="CB162">
        <v>1.6400000000000006</v>
      </c>
      <c r="CC162">
        <v>1.2799999999999998</v>
      </c>
      <c r="CD162">
        <v>-2.4000000000000004</v>
      </c>
      <c r="CE162">
        <v>-1.7600000000000002</v>
      </c>
      <c r="CF162">
        <v>2.119999999999993</v>
      </c>
      <c r="CG162">
        <v>44.11999999999999</v>
      </c>
      <c r="CH162">
        <v>-25.759999999999998</v>
      </c>
      <c r="CI162">
        <v>-5.4</v>
      </c>
      <c r="CJ162">
        <v>-10.84</v>
      </c>
      <c r="CK162">
        <v>8</v>
      </c>
      <c r="CL162">
        <v>5.1911999999999994</v>
      </c>
      <c r="CM162">
        <v>3.5623999999999998</v>
      </c>
      <c r="CN162">
        <v>69.88</v>
      </c>
      <c r="CO162">
        <v>-5.1912000000000003</v>
      </c>
      <c r="CP162">
        <v>0.5675</v>
      </c>
      <c r="CQ162">
        <v>10.376799999999999</v>
      </c>
      <c r="CR162">
        <v>59.44</v>
      </c>
      <c r="CS162">
        <v>-3.7919999999999994</v>
      </c>
      <c r="CT162">
        <v>-20.880000000000003</v>
      </c>
      <c r="CU162">
        <v>4.9200000000000008</v>
      </c>
      <c r="CV162">
        <v>0.99999999999999989</v>
      </c>
      <c r="CW162">
        <v>1.3869999999999998</v>
      </c>
      <c r="CX162">
        <v>1.1017999999999999</v>
      </c>
      <c r="CY162" t="s">
        <v>305</v>
      </c>
      <c r="CZ162">
        <v>32</v>
      </c>
      <c r="DA162">
        <v>1.869599999999999</v>
      </c>
      <c r="DB162">
        <v>4</v>
      </c>
      <c r="DC162">
        <v>5.5</v>
      </c>
      <c r="DD162">
        <v>6</v>
      </c>
      <c r="DE162">
        <v>2.5159999999999982</v>
      </c>
      <c r="DF162">
        <v>5</v>
      </c>
      <c r="DG162">
        <v>9.4800000000000022</v>
      </c>
      <c r="DH162">
        <v>-2.8</v>
      </c>
      <c r="DI162">
        <v>27</v>
      </c>
      <c r="DJ162">
        <v>24.5</v>
      </c>
      <c r="DK162">
        <v>29</v>
      </c>
      <c r="DL162">
        <v>0.81199999999999994</v>
      </c>
      <c r="DM162">
        <v>20</v>
      </c>
      <c r="DN162">
        <v>-1.0399999999999991</v>
      </c>
      <c r="DO162">
        <v>0.40000000000000008</v>
      </c>
      <c r="DP162">
        <v>20</v>
      </c>
      <c r="DQ162">
        <v>25</v>
      </c>
      <c r="DR162">
        <v>27</v>
      </c>
      <c r="DS162">
        <v>-1.8159999999999996</v>
      </c>
      <c r="DT162">
        <v>23</v>
      </c>
      <c r="DU162">
        <v>-11.639999999999997</v>
      </c>
      <c r="DV162">
        <v>-0.56000000000000016</v>
      </c>
      <c r="DW162">
        <v>16</v>
      </c>
      <c r="DX162">
        <v>16</v>
      </c>
      <c r="DY162">
        <v>12</v>
      </c>
      <c r="DZ162">
        <v>4.1959999999999997</v>
      </c>
      <c r="EA162">
        <v>20</v>
      </c>
      <c r="EB162">
        <v>30.04</v>
      </c>
      <c r="EC162">
        <v>0.55999999999999994</v>
      </c>
      <c r="ED162">
        <v>22</v>
      </c>
      <c r="EE162">
        <v>29</v>
      </c>
      <c r="EF162">
        <v>31</v>
      </c>
      <c r="EG162">
        <v>2.6279999999999992</v>
      </c>
      <c r="EH162">
        <v>27</v>
      </c>
      <c r="EI162">
        <v>14.48</v>
      </c>
      <c r="EJ162">
        <v>0.52</v>
      </c>
      <c r="EK162">
        <v>26</v>
      </c>
      <c r="EL162">
        <v>26.5</v>
      </c>
      <c r="EM162">
        <v>23</v>
      </c>
      <c r="EN162">
        <v>2.3640000000000003</v>
      </c>
      <c r="EO162">
        <v>30</v>
      </c>
      <c r="EP162">
        <v>34.440000000000005</v>
      </c>
      <c r="EQ162">
        <v>-0.72000000000000031</v>
      </c>
      <c r="ER162">
        <v>31</v>
      </c>
      <c r="ES162">
        <v>30.5</v>
      </c>
      <c r="ET162">
        <v>30</v>
      </c>
      <c r="EU162">
        <v>1.4519999999999995</v>
      </c>
      <c r="EV162">
        <v>31</v>
      </c>
      <c r="EW162">
        <v>13.319999999999999</v>
      </c>
      <c r="EX162">
        <v>0.1999999999999999</v>
      </c>
      <c r="EY162">
        <v>23</v>
      </c>
      <c r="EZ162">
        <v>22.5</v>
      </c>
      <c r="FA162">
        <v>27</v>
      </c>
      <c r="FB162">
        <v>1.72</v>
      </c>
      <c r="FC162">
        <v>18</v>
      </c>
      <c r="FD162">
        <v>3.9999999999999945E-2</v>
      </c>
      <c r="FE162">
        <v>-0.95999999999999974</v>
      </c>
      <c r="FF162">
        <v>5</v>
      </c>
      <c r="FG162">
        <v>9.75</v>
      </c>
      <c r="FH162">
        <v>15</v>
      </c>
      <c r="FI162">
        <v>1.0378535092778574E-2</v>
      </c>
      <c r="FJ162">
        <v>8</v>
      </c>
      <c r="FK162">
        <v>-2.1270772680937453E-2</v>
      </c>
      <c r="FL162">
        <v>15</v>
      </c>
      <c r="FM162">
        <v>8.94</v>
      </c>
      <c r="FN162">
        <v>1</v>
      </c>
      <c r="FO162">
        <v>-4.5999999999999996</v>
      </c>
      <c r="FP162">
        <v>-2.4799999999999995</v>
      </c>
      <c r="FQ162">
        <v>-1.3200000000000003</v>
      </c>
      <c r="FR162">
        <v>-3.9999999999999945E-2</v>
      </c>
      <c r="FS162">
        <v>-4.9599999999999991</v>
      </c>
      <c r="FT162">
        <v>5.6400000000000006</v>
      </c>
      <c r="FU162">
        <v>-0.27999999999999997</v>
      </c>
      <c r="FV162">
        <v>31.599999999999987</v>
      </c>
      <c r="FW162">
        <v>32.04</v>
      </c>
      <c r="FX162">
        <v>7.4399999999999951</v>
      </c>
      <c r="FY162">
        <v>-1.6800000000000004</v>
      </c>
      <c r="FZ162">
        <v>-6.2</v>
      </c>
      <c r="GA162">
        <v>20</v>
      </c>
      <c r="GB162">
        <v>-1.4583999999999993</v>
      </c>
      <c r="GC162">
        <v>1.9200000000003659E-3</v>
      </c>
      <c r="GD162">
        <v>24.600000000000005</v>
      </c>
      <c r="GE162">
        <v>1.458399999999999</v>
      </c>
      <c r="GF162">
        <v>1.6721999999999997</v>
      </c>
      <c r="GG162">
        <v>5.0079999999999991</v>
      </c>
      <c r="GH162">
        <v>32.880000000000003</v>
      </c>
      <c r="GI162">
        <v>3.3279999999999981</v>
      </c>
      <c r="GJ162">
        <v>8.4400000000000031</v>
      </c>
      <c r="GK162">
        <v>0.71999999999999975</v>
      </c>
      <c r="GL162">
        <v>-2.4</v>
      </c>
    </row>
    <row r="163" spans="1:194" x14ac:dyDescent="0.2">
      <c r="A163" s="39">
        <v>43751</v>
      </c>
      <c r="B163" s="22" t="s">
        <v>252</v>
      </c>
      <c r="C163" s="41" t="s">
        <v>281</v>
      </c>
      <c r="D163" s="22" t="s">
        <v>308</v>
      </c>
      <c r="E163">
        <v>19.100000000000001</v>
      </c>
      <c r="F163">
        <v>6.6</v>
      </c>
      <c r="G163">
        <v>4.2</v>
      </c>
      <c r="H163">
        <f>13.7+2+1.9</f>
        <v>17.599999999999998</v>
      </c>
      <c r="I163" s="22">
        <v>-1</v>
      </c>
      <c r="J163" s="22">
        <v>45.5</v>
      </c>
      <c r="K163" t="s">
        <v>110</v>
      </c>
      <c r="L163" s="1" t="s">
        <v>281</v>
      </c>
      <c r="M163">
        <v>27</v>
      </c>
      <c r="N163">
        <v>-4.1528000000000009</v>
      </c>
      <c r="O163">
        <v>5</v>
      </c>
      <c r="P163">
        <v>7</v>
      </c>
      <c r="Q163">
        <v>8</v>
      </c>
      <c r="R163">
        <v>5.0400000000000009</v>
      </c>
      <c r="S163">
        <v>6</v>
      </c>
      <c r="T163">
        <v>32.64</v>
      </c>
      <c r="U163">
        <v>0.4</v>
      </c>
      <c r="V163">
        <v>4</v>
      </c>
      <c r="W163">
        <v>6</v>
      </c>
      <c r="X163">
        <v>6</v>
      </c>
      <c r="Y163">
        <v>0.36959999999999987</v>
      </c>
      <c r="Z163">
        <v>6</v>
      </c>
      <c r="AA163">
        <v>-6.6</v>
      </c>
      <c r="AB163">
        <v>-0.32000000000000006</v>
      </c>
      <c r="AC163">
        <v>25</v>
      </c>
      <c r="AD163">
        <v>24.5</v>
      </c>
      <c r="AE163">
        <v>25</v>
      </c>
      <c r="AF163">
        <v>-0.6720000000000006</v>
      </c>
      <c r="AG163">
        <v>24</v>
      </c>
      <c r="AH163">
        <v>2.5599999999999996</v>
      </c>
      <c r="AI163">
        <v>0.9600000000000003</v>
      </c>
      <c r="AJ163">
        <v>1</v>
      </c>
      <c r="AK163">
        <v>2.5</v>
      </c>
      <c r="AL163">
        <v>1</v>
      </c>
      <c r="AM163">
        <v>0.37599999999999961</v>
      </c>
      <c r="AN163">
        <v>4</v>
      </c>
      <c r="AO163">
        <v>20.28</v>
      </c>
      <c r="AP163">
        <v>1.44</v>
      </c>
      <c r="AQ163">
        <v>18</v>
      </c>
      <c r="AR163">
        <v>17.5</v>
      </c>
      <c r="AS163">
        <v>19</v>
      </c>
      <c r="AT163">
        <v>-1.9799999999999998</v>
      </c>
      <c r="AU163">
        <v>16</v>
      </c>
      <c r="AV163">
        <v>-4.32</v>
      </c>
      <c r="AW163">
        <v>-1.5200000000000002</v>
      </c>
      <c r="AX163">
        <v>15</v>
      </c>
      <c r="AY163">
        <v>15.5</v>
      </c>
      <c r="AZ163">
        <v>15</v>
      </c>
      <c r="BA163">
        <v>0.55599999999999949</v>
      </c>
      <c r="BB163">
        <v>16</v>
      </c>
      <c r="BC163">
        <v>9.1600000000000019</v>
      </c>
      <c r="BD163">
        <v>-0.52000000000000024</v>
      </c>
      <c r="BE163">
        <v>23</v>
      </c>
      <c r="BF163">
        <v>23</v>
      </c>
      <c r="BG163">
        <v>21</v>
      </c>
      <c r="BH163">
        <v>-1.4840000000000013</v>
      </c>
      <c r="BI163">
        <v>25</v>
      </c>
      <c r="BJ163">
        <v>-13.279999999999998</v>
      </c>
      <c r="BK163">
        <v>-2.4799999999999995</v>
      </c>
      <c r="BL163">
        <v>4</v>
      </c>
      <c r="BM163">
        <v>7</v>
      </c>
      <c r="BN163">
        <v>7</v>
      </c>
      <c r="BO163">
        <v>-0.55999999999999961</v>
      </c>
      <c r="BP163">
        <v>7</v>
      </c>
      <c r="BQ163">
        <v>-0.12000000000000002</v>
      </c>
      <c r="BR163">
        <v>-0.72000000000000008</v>
      </c>
      <c r="BS163">
        <v>30</v>
      </c>
      <c r="BT163">
        <v>29</v>
      </c>
      <c r="BU163">
        <v>31</v>
      </c>
      <c r="BV163">
        <v>1.3657467104589927E-2</v>
      </c>
      <c r="BW163">
        <v>30</v>
      </c>
      <c r="BX163">
        <v>3.0226944669430201E-2</v>
      </c>
      <c r="BY163">
        <v>24</v>
      </c>
      <c r="BZ163">
        <v>-11.651999999999997</v>
      </c>
      <c r="CA163">
        <v>31</v>
      </c>
      <c r="CB163">
        <v>2.2399999999999998</v>
      </c>
      <c r="CC163">
        <v>-2.4399999999999991</v>
      </c>
      <c r="CD163">
        <v>-1.28</v>
      </c>
      <c r="CE163">
        <v>-1.1199999999999999</v>
      </c>
      <c r="CF163">
        <v>16.239999999999988</v>
      </c>
      <c r="CG163">
        <v>0.71999999999999886</v>
      </c>
      <c r="CH163">
        <v>24.32</v>
      </c>
      <c r="CI163">
        <v>0.96</v>
      </c>
      <c r="CJ163">
        <v>-9.76</v>
      </c>
      <c r="CK163">
        <v>29</v>
      </c>
      <c r="CL163">
        <v>-9.562400000000002</v>
      </c>
      <c r="CM163">
        <v>-4.2873600000000014</v>
      </c>
      <c r="CN163">
        <v>-23.6</v>
      </c>
      <c r="CO163">
        <v>9.562400000000002</v>
      </c>
      <c r="CP163">
        <v>-0.38290000000000024</v>
      </c>
      <c r="CQ163">
        <v>-2.2760000000000007</v>
      </c>
      <c r="CR163">
        <v>18.52</v>
      </c>
      <c r="CS163">
        <v>5.4096000000000011</v>
      </c>
      <c r="CT163">
        <v>26.04</v>
      </c>
      <c r="CU163">
        <v>-1.5999999999999994</v>
      </c>
      <c r="CV163">
        <v>7.999999999999996E-2</v>
      </c>
      <c r="CW163">
        <v>9.4999999999999599E-2</v>
      </c>
      <c r="CX163">
        <v>0.17069999999999955</v>
      </c>
      <c r="CY163" t="s">
        <v>308</v>
      </c>
      <c r="CZ163">
        <v>17</v>
      </c>
      <c r="DA163">
        <v>1.6471999999999993</v>
      </c>
      <c r="DB163">
        <v>24</v>
      </c>
      <c r="DC163">
        <v>22</v>
      </c>
      <c r="DD163">
        <v>18</v>
      </c>
      <c r="DE163">
        <v>2.1912000000000007</v>
      </c>
      <c r="DF163">
        <v>26</v>
      </c>
      <c r="DG163">
        <v>-10.4</v>
      </c>
      <c r="DH163">
        <v>1.3599999999999999</v>
      </c>
      <c r="DI163">
        <v>25</v>
      </c>
      <c r="DJ163">
        <v>22.5</v>
      </c>
      <c r="DK163">
        <v>16</v>
      </c>
      <c r="DL163">
        <v>-2.6680000000000001</v>
      </c>
      <c r="DM163">
        <v>29</v>
      </c>
      <c r="DN163">
        <v>-3.7600000000000007</v>
      </c>
      <c r="DO163">
        <v>-1.52</v>
      </c>
      <c r="DP163">
        <v>5</v>
      </c>
      <c r="DQ163">
        <v>3.5</v>
      </c>
      <c r="DR163">
        <v>3</v>
      </c>
      <c r="DS163">
        <v>-4.0480000000000009</v>
      </c>
      <c r="DT163">
        <v>4</v>
      </c>
      <c r="DU163">
        <v>-17.88</v>
      </c>
      <c r="DV163">
        <v>-0.72000000000000008</v>
      </c>
      <c r="DW163">
        <v>19</v>
      </c>
      <c r="DX163">
        <v>17.5</v>
      </c>
      <c r="DY163">
        <v>18</v>
      </c>
      <c r="DZ163">
        <v>0.57599999999999985</v>
      </c>
      <c r="EA163">
        <v>17</v>
      </c>
      <c r="EB163">
        <v>-0.63999999999999768</v>
      </c>
      <c r="EC163">
        <v>-0.2</v>
      </c>
      <c r="ED163">
        <v>13</v>
      </c>
      <c r="EE163">
        <v>13.5</v>
      </c>
      <c r="EF163">
        <v>6</v>
      </c>
      <c r="EG163">
        <v>-1.6760000000000002</v>
      </c>
      <c r="EH163">
        <v>21</v>
      </c>
      <c r="EI163">
        <v>-14.440000000000001</v>
      </c>
      <c r="EJ163">
        <v>-0.83999999999999986</v>
      </c>
      <c r="EK163">
        <v>18</v>
      </c>
      <c r="EL163">
        <v>18</v>
      </c>
      <c r="EM163">
        <v>16</v>
      </c>
      <c r="EN163">
        <v>-3.1759999999999993</v>
      </c>
      <c r="EO163">
        <v>20</v>
      </c>
      <c r="EP163">
        <v>-14.960000000000003</v>
      </c>
      <c r="EQ163">
        <v>-0.75999999999999979</v>
      </c>
      <c r="ER163">
        <v>15</v>
      </c>
      <c r="ES163">
        <v>15</v>
      </c>
      <c r="ET163">
        <v>11</v>
      </c>
      <c r="EU163">
        <v>6.331999999999999</v>
      </c>
      <c r="EV163">
        <v>19</v>
      </c>
      <c r="EW163">
        <v>27.879999999999995</v>
      </c>
      <c r="EX163">
        <v>1.9600000000000002</v>
      </c>
      <c r="EY163">
        <v>12</v>
      </c>
      <c r="EZ163">
        <v>12.5</v>
      </c>
      <c r="FA163">
        <v>17</v>
      </c>
      <c r="FB163">
        <v>-2.2000000000000002</v>
      </c>
      <c r="FC163">
        <v>8</v>
      </c>
      <c r="FD163">
        <v>4.0000000000000036E-2</v>
      </c>
      <c r="FE163">
        <v>-0.43999999999999978</v>
      </c>
      <c r="FF163">
        <v>21</v>
      </c>
      <c r="FG163">
        <v>17.25</v>
      </c>
      <c r="FH163">
        <v>30</v>
      </c>
      <c r="FI163">
        <v>2.4450760577108977E-2</v>
      </c>
      <c r="FJ163">
        <v>28</v>
      </c>
      <c r="FK163">
        <v>-7.4550356626637056E-3</v>
      </c>
      <c r="FL163">
        <v>4</v>
      </c>
      <c r="FM163">
        <v>3.7439999999999984</v>
      </c>
      <c r="FN163">
        <v>7</v>
      </c>
      <c r="FO163">
        <v>0.28000000000000008</v>
      </c>
      <c r="FP163">
        <v>0.40000000000000141</v>
      </c>
      <c r="FQ163">
        <v>-2.1999999999999993</v>
      </c>
      <c r="FR163">
        <v>-0.48000000000000009</v>
      </c>
      <c r="FS163">
        <v>-2.72</v>
      </c>
      <c r="FT163">
        <v>0.2</v>
      </c>
      <c r="FU163">
        <v>1.6799999999999997</v>
      </c>
      <c r="FV163">
        <v>5.0399999999999974</v>
      </c>
      <c r="FW163">
        <v>8.6800000000000068</v>
      </c>
      <c r="FX163">
        <v>-10.68</v>
      </c>
      <c r="FY163">
        <v>3.56</v>
      </c>
      <c r="FZ163">
        <v>3.4799999999999995</v>
      </c>
      <c r="GA163">
        <v>15</v>
      </c>
      <c r="GB163">
        <v>2.1239999999999988</v>
      </c>
      <c r="GC163">
        <v>0.80463999999999913</v>
      </c>
      <c r="GD163">
        <v>19.360000000000007</v>
      </c>
      <c r="GE163">
        <v>-2.1239999999999988</v>
      </c>
      <c r="GF163">
        <v>1.9299999999999651E-2</v>
      </c>
      <c r="GG163">
        <v>-5.1480000000000015</v>
      </c>
      <c r="GH163">
        <v>-32.959999999999994</v>
      </c>
      <c r="GI163">
        <v>-0.47679999999999945</v>
      </c>
      <c r="GJ163">
        <v>-14.16</v>
      </c>
      <c r="GK163">
        <v>0.20000000000000018</v>
      </c>
      <c r="GL163">
        <v>-0.16000000000000014</v>
      </c>
    </row>
    <row r="164" spans="1:194" x14ac:dyDescent="0.2">
      <c r="A164" s="39">
        <v>43751</v>
      </c>
      <c r="B164" s="22" t="s">
        <v>252</v>
      </c>
      <c r="C164" s="41" t="s">
        <v>291</v>
      </c>
      <c r="D164" s="22" t="s">
        <v>298</v>
      </c>
      <c r="F164">
        <v>8.8000000000000007</v>
      </c>
      <c r="G164">
        <v>11.4</v>
      </c>
      <c r="H164">
        <f>10.7+2.6+1.6</f>
        <v>14.899999999999999</v>
      </c>
      <c r="I164">
        <v>-7</v>
      </c>
      <c r="J164">
        <v>43.5</v>
      </c>
      <c r="L164" s="1" t="s">
        <v>291</v>
      </c>
      <c r="M164">
        <v>7</v>
      </c>
      <c r="N164">
        <v>2.6767999999999992</v>
      </c>
      <c r="O164">
        <v>5</v>
      </c>
      <c r="P164">
        <v>7</v>
      </c>
      <c r="Q164">
        <v>6</v>
      </c>
      <c r="R164">
        <v>0.55599999999999949</v>
      </c>
      <c r="S164">
        <v>8</v>
      </c>
      <c r="T164">
        <v>2.2799999999999985</v>
      </c>
      <c r="U164">
        <v>0.84000000000000008</v>
      </c>
      <c r="V164">
        <v>27</v>
      </c>
      <c r="W164">
        <v>27.5</v>
      </c>
      <c r="X164">
        <v>28</v>
      </c>
      <c r="Y164">
        <v>-1.7879999999999996</v>
      </c>
      <c r="Z164">
        <v>27</v>
      </c>
      <c r="AA164">
        <v>0.27999999999999903</v>
      </c>
      <c r="AB164">
        <v>-1.8000000000000003</v>
      </c>
      <c r="AC164">
        <v>10</v>
      </c>
      <c r="AD164">
        <v>12</v>
      </c>
      <c r="AE164">
        <v>12</v>
      </c>
      <c r="AF164">
        <v>2.88</v>
      </c>
      <c r="AG164">
        <v>12</v>
      </c>
      <c r="AH164">
        <v>15.800000000000006</v>
      </c>
      <c r="AI164">
        <v>0.3999999999999998</v>
      </c>
      <c r="AJ164">
        <v>10</v>
      </c>
      <c r="AK164">
        <v>9</v>
      </c>
      <c r="AL164">
        <v>11</v>
      </c>
      <c r="AM164">
        <v>5.1120000000000001</v>
      </c>
      <c r="AN164">
        <v>7</v>
      </c>
      <c r="AO164">
        <v>31.4</v>
      </c>
      <c r="AP164">
        <v>2.2000000000000002</v>
      </c>
      <c r="AQ164">
        <v>1</v>
      </c>
      <c r="AR164">
        <v>1</v>
      </c>
      <c r="AS164">
        <v>1</v>
      </c>
      <c r="AT164">
        <v>3.0119999999999996</v>
      </c>
      <c r="AU164">
        <v>1</v>
      </c>
      <c r="AV164">
        <v>16.8</v>
      </c>
      <c r="AW164">
        <v>2.2399999999999998</v>
      </c>
      <c r="AX164">
        <v>2</v>
      </c>
      <c r="AY164">
        <v>3.5</v>
      </c>
      <c r="AZ164">
        <v>3</v>
      </c>
      <c r="BA164">
        <v>-0.7759999999999998</v>
      </c>
      <c r="BB164">
        <v>4</v>
      </c>
      <c r="BC164">
        <v>11.040000000000003</v>
      </c>
      <c r="BD164">
        <v>1.32</v>
      </c>
      <c r="BE164">
        <v>8</v>
      </c>
      <c r="BF164">
        <v>7</v>
      </c>
      <c r="BG164">
        <v>7</v>
      </c>
      <c r="BH164">
        <v>2.984</v>
      </c>
      <c r="BI164">
        <v>7</v>
      </c>
      <c r="BJ164">
        <v>7.8400000000000007</v>
      </c>
      <c r="BK164">
        <v>-0.12000000000000011</v>
      </c>
      <c r="BL164">
        <v>11</v>
      </c>
      <c r="BM164">
        <v>9.5</v>
      </c>
      <c r="BN164">
        <v>14</v>
      </c>
      <c r="BO164">
        <v>-1.1200000000000001</v>
      </c>
      <c r="BP164">
        <v>5</v>
      </c>
      <c r="BQ164">
        <v>-0.11999999999999997</v>
      </c>
      <c r="BR164">
        <v>-3</v>
      </c>
      <c r="BS164">
        <v>26</v>
      </c>
      <c r="BT164">
        <v>22.25</v>
      </c>
      <c r="BU164">
        <v>18</v>
      </c>
      <c r="BV164">
        <v>-6.6962746718900318E-2</v>
      </c>
      <c r="BW164">
        <v>32</v>
      </c>
      <c r="BX164">
        <v>-3.2708442387240619E-2</v>
      </c>
      <c r="BY164">
        <v>16</v>
      </c>
      <c r="BZ164">
        <v>-0.69599999999999651</v>
      </c>
      <c r="CA164">
        <v>23</v>
      </c>
      <c r="CB164">
        <v>-1.9600000000000002</v>
      </c>
      <c r="CC164">
        <v>-1.1599999999999995</v>
      </c>
      <c r="CD164">
        <v>0.79999999999999927</v>
      </c>
      <c r="CE164">
        <v>-1.2</v>
      </c>
      <c r="CF164">
        <v>51.6</v>
      </c>
      <c r="CG164">
        <v>46.44</v>
      </c>
      <c r="CH164">
        <v>-4.3199999999999985</v>
      </c>
      <c r="CI164">
        <v>0.47999999999999982</v>
      </c>
      <c r="CJ164">
        <v>9.0000000000000018</v>
      </c>
      <c r="CK164">
        <v>11</v>
      </c>
      <c r="CL164">
        <v>3.9087999999999994</v>
      </c>
      <c r="CM164">
        <v>3.94896</v>
      </c>
      <c r="CN164">
        <v>50.76</v>
      </c>
      <c r="CO164">
        <v>-3.9087999999999994</v>
      </c>
      <c r="CP164">
        <v>1.7890999999999999</v>
      </c>
      <c r="CQ164">
        <v>11.004</v>
      </c>
      <c r="CR164">
        <v>64</v>
      </c>
      <c r="CS164">
        <v>-1.2320000000000002</v>
      </c>
      <c r="CT164">
        <v>2.5599999999999974</v>
      </c>
      <c r="CU164">
        <v>4.72</v>
      </c>
      <c r="CV164">
        <v>-0.96000000000000019</v>
      </c>
      <c r="CW164">
        <v>0.45087499999999991</v>
      </c>
      <c r="CX164">
        <v>0.43969999999999987</v>
      </c>
      <c r="CY164" t="s">
        <v>298</v>
      </c>
      <c r="CZ164">
        <v>9</v>
      </c>
      <c r="DA164">
        <v>-1.4456000000000007</v>
      </c>
      <c r="DB164">
        <v>32</v>
      </c>
      <c r="DC164">
        <v>30.5</v>
      </c>
      <c r="DD164">
        <v>30</v>
      </c>
      <c r="DE164">
        <v>1.5839999999999996</v>
      </c>
      <c r="DF164">
        <v>31</v>
      </c>
      <c r="DG164">
        <v>-8.48</v>
      </c>
      <c r="DH164">
        <v>0.72</v>
      </c>
      <c r="DI164">
        <v>16</v>
      </c>
      <c r="DJ164">
        <v>16.5</v>
      </c>
      <c r="DK164">
        <v>18</v>
      </c>
      <c r="DL164">
        <v>-0.61200000000000032</v>
      </c>
      <c r="DM164">
        <v>15</v>
      </c>
      <c r="DN164">
        <v>-4.2400000000000011</v>
      </c>
      <c r="DO164">
        <v>0.11999999999999993</v>
      </c>
      <c r="DP164">
        <v>7</v>
      </c>
      <c r="DQ164">
        <v>10.5</v>
      </c>
      <c r="DR164">
        <v>8</v>
      </c>
      <c r="DS164">
        <v>6.0659999999999998</v>
      </c>
      <c r="DT164">
        <v>13</v>
      </c>
      <c r="DU164">
        <v>31.4</v>
      </c>
      <c r="DV164">
        <v>0.85000000000000031</v>
      </c>
      <c r="DW164">
        <v>5</v>
      </c>
      <c r="DX164">
        <v>5.5</v>
      </c>
      <c r="DY164">
        <v>5</v>
      </c>
      <c r="DZ164">
        <v>-4.927999999999999</v>
      </c>
      <c r="EA164">
        <v>6</v>
      </c>
      <c r="EB164">
        <v>-24.2</v>
      </c>
      <c r="EC164">
        <v>0.28000000000000025</v>
      </c>
      <c r="ED164">
        <v>26</v>
      </c>
      <c r="EE164">
        <v>28.5</v>
      </c>
      <c r="EF164">
        <v>28</v>
      </c>
      <c r="EG164">
        <v>1.9320000000000004</v>
      </c>
      <c r="EH164">
        <v>29</v>
      </c>
      <c r="EI164">
        <v>8.84</v>
      </c>
      <c r="EJ164">
        <v>0.23999999999999994</v>
      </c>
      <c r="EK164">
        <v>25</v>
      </c>
      <c r="EL164">
        <v>26</v>
      </c>
      <c r="EM164">
        <v>26</v>
      </c>
      <c r="EN164">
        <v>-1.528</v>
      </c>
      <c r="EO164">
        <v>26</v>
      </c>
      <c r="EP164">
        <v>6.3199999999999958</v>
      </c>
      <c r="EQ164">
        <v>8.0000000000000071E-2</v>
      </c>
      <c r="ER164">
        <v>13</v>
      </c>
      <c r="ES164">
        <v>13.5</v>
      </c>
      <c r="ET164">
        <v>17</v>
      </c>
      <c r="EU164">
        <v>-1.6600000000000006</v>
      </c>
      <c r="EV164">
        <v>10</v>
      </c>
      <c r="EW164">
        <v>-2.2400000000000007</v>
      </c>
      <c r="EX164">
        <v>0.11999999999999984</v>
      </c>
      <c r="EY164">
        <v>24</v>
      </c>
      <c r="EZ164">
        <v>23</v>
      </c>
      <c r="FA164">
        <v>28</v>
      </c>
      <c r="FB164">
        <v>2.76</v>
      </c>
      <c r="FC164">
        <v>18</v>
      </c>
      <c r="FD164">
        <v>0.55999999999999994</v>
      </c>
      <c r="FE164">
        <v>4.4400000000000004</v>
      </c>
      <c r="FF164">
        <v>23</v>
      </c>
      <c r="FG164">
        <v>20</v>
      </c>
      <c r="FH164">
        <v>32</v>
      </c>
      <c r="FI164">
        <v>5.2129441364179227E-2</v>
      </c>
      <c r="FJ164">
        <v>22</v>
      </c>
      <c r="FK164">
        <v>-2.0188714594689506E-2</v>
      </c>
      <c r="FL164">
        <v>11</v>
      </c>
      <c r="FM164">
        <v>7.572000000000001</v>
      </c>
      <c r="FN164">
        <v>15</v>
      </c>
      <c r="FO164">
        <v>1.4</v>
      </c>
      <c r="FP164">
        <v>1.9600000000000009</v>
      </c>
      <c r="FQ164">
        <v>4.000000000000057E-2</v>
      </c>
      <c r="FR164">
        <v>0.24000000000000007</v>
      </c>
      <c r="FS164">
        <v>1.1199999999999974</v>
      </c>
      <c r="FT164">
        <v>-1.1599999999999995</v>
      </c>
      <c r="FU164">
        <v>1.4</v>
      </c>
      <c r="FV164">
        <v>-19.520000000000003</v>
      </c>
      <c r="FW164">
        <v>4.9599999999999964</v>
      </c>
      <c r="FX164">
        <v>-19.440000000000001</v>
      </c>
      <c r="FY164">
        <v>-1.8800000000000001</v>
      </c>
      <c r="FZ164">
        <v>-3.1599999999999993</v>
      </c>
      <c r="GA164">
        <v>21</v>
      </c>
      <c r="GB164">
        <v>-2.4176000000000002</v>
      </c>
      <c r="GC164">
        <v>-0.49311999999999967</v>
      </c>
      <c r="GD164">
        <v>24.4</v>
      </c>
      <c r="GE164">
        <v>2.4176000000000002</v>
      </c>
      <c r="GF164">
        <v>0.46204999999999991</v>
      </c>
      <c r="GG164">
        <v>3.0700000000000012</v>
      </c>
      <c r="GH164">
        <v>16.04</v>
      </c>
      <c r="GI164">
        <v>0.97199999999999931</v>
      </c>
      <c r="GJ164">
        <v>-12.720000000000002</v>
      </c>
      <c r="GK164">
        <v>1.4900000000000004</v>
      </c>
      <c r="GL164">
        <v>0.83999999999999986</v>
      </c>
    </row>
    <row r="165" spans="1:194" x14ac:dyDescent="0.2">
      <c r="A165" s="39">
        <v>43751</v>
      </c>
      <c r="B165" t="s">
        <v>252</v>
      </c>
      <c r="C165" s="41" t="s">
        <v>278</v>
      </c>
      <c r="D165" t="s">
        <v>310</v>
      </c>
      <c r="E165">
        <v>11.6</v>
      </c>
      <c r="F165">
        <v>1</v>
      </c>
      <c r="G165">
        <v>4.5</v>
      </c>
      <c r="H165">
        <v>3.6</v>
      </c>
      <c r="I165">
        <v>-1</v>
      </c>
      <c r="J165">
        <v>41</v>
      </c>
      <c r="L165" s="4" t="s">
        <v>278</v>
      </c>
      <c r="M165" s="3">
        <v>24</v>
      </c>
      <c r="N165" s="3">
        <v>-2.2351999999999999</v>
      </c>
      <c r="O165" s="3">
        <v>17</v>
      </c>
      <c r="P165" s="3">
        <v>17</v>
      </c>
      <c r="Q165" s="3">
        <v>24</v>
      </c>
      <c r="R165" s="3">
        <v>-0.43199999999999966</v>
      </c>
      <c r="S165" s="3">
        <v>10</v>
      </c>
      <c r="T165" s="3">
        <v>-1.7200000000000017</v>
      </c>
      <c r="U165" s="3">
        <v>1.1200000000000001</v>
      </c>
      <c r="V165" s="3">
        <v>18</v>
      </c>
      <c r="W165" s="3">
        <v>17.5</v>
      </c>
      <c r="X165" s="3">
        <v>22</v>
      </c>
      <c r="Y165" s="3">
        <v>2.6379999999999999</v>
      </c>
      <c r="Z165" s="3">
        <v>13</v>
      </c>
      <c r="AA165">
        <v>19.2</v>
      </c>
      <c r="AB165">
        <v>1.33</v>
      </c>
      <c r="AC165">
        <v>11</v>
      </c>
      <c r="AD165">
        <v>12.5</v>
      </c>
      <c r="AE165">
        <v>11</v>
      </c>
      <c r="AF165">
        <v>3.1799999999999993</v>
      </c>
      <c r="AG165">
        <v>14</v>
      </c>
      <c r="AH165">
        <v>16.990000000000002</v>
      </c>
      <c r="AI165">
        <v>1.1599999999999999</v>
      </c>
      <c r="AJ165">
        <v>31</v>
      </c>
      <c r="AK165">
        <v>30.5</v>
      </c>
      <c r="AL165">
        <v>31</v>
      </c>
      <c r="AM165">
        <v>1.1749999999999996</v>
      </c>
      <c r="AN165">
        <v>30</v>
      </c>
      <c r="AO165">
        <v>2.5100000000000007</v>
      </c>
      <c r="AP165">
        <v>0.45000000000000018</v>
      </c>
      <c r="AQ165">
        <v>32</v>
      </c>
      <c r="AR165">
        <v>32</v>
      </c>
      <c r="AS165">
        <v>32</v>
      </c>
      <c r="AT165">
        <v>-1.1100000000000003</v>
      </c>
      <c r="AU165">
        <v>32</v>
      </c>
      <c r="AV165">
        <v>-6.8400000000000007</v>
      </c>
      <c r="AW165">
        <v>-0.17</v>
      </c>
      <c r="AX165">
        <v>31</v>
      </c>
      <c r="AY165">
        <v>31.5</v>
      </c>
      <c r="AZ165">
        <v>31</v>
      </c>
      <c r="BA165">
        <v>-4.168000000000001</v>
      </c>
      <c r="BB165">
        <v>32</v>
      </c>
      <c r="BC165">
        <v>-11.28</v>
      </c>
      <c r="BD165">
        <v>-1.7200000000000002</v>
      </c>
      <c r="BE165">
        <v>9</v>
      </c>
      <c r="BF165">
        <v>8.5</v>
      </c>
      <c r="BG165">
        <v>9</v>
      </c>
      <c r="BH165">
        <v>-2.3440000000000007</v>
      </c>
      <c r="BI165">
        <v>8</v>
      </c>
      <c r="BJ165">
        <v>-7.0400000000000009</v>
      </c>
      <c r="BK165">
        <v>-1.0399999999999998</v>
      </c>
      <c r="BL165">
        <v>10</v>
      </c>
      <c r="BM165">
        <v>9</v>
      </c>
      <c r="BN165">
        <v>6</v>
      </c>
      <c r="BO165">
        <v>2</v>
      </c>
      <c r="BP165">
        <v>12</v>
      </c>
      <c r="BQ165">
        <v>0.55999999999999994</v>
      </c>
      <c r="BR165">
        <v>-2.2800000000000002</v>
      </c>
      <c r="BS165">
        <v>22</v>
      </c>
      <c r="BT165">
        <v>20.25</v>
      </c>
      <c r="BU165">
        <v>15</v>
      </c>
      <c r="BV165">
        <v>2.3213101329641141E-2</v>
      </c>
      <c r="BW165">
        <v>19</v>
      </c>
      <c r="BX165">
        <v>1.245320076793814E-2</v>
      </c>
      <c r="BY165">
        <v>28</v>
      </c>
      <c r="BZ165">
        <v>6.3480000000000061</v>
      </c>
      <c r="CA165">
        <v>19</v>
      </c>
      <c r="CB165">
        <v>-3.9999999999999855E-2</v>
      </c>
      <c r="CC165">
        <v>1</v>
      </c>
      <c r="CD165">
        <v>-2.120000000000001</v>
      </c>
      <c r="CE165">
        <v>-0.27999999999999997</v>
      </c>
      <c r="CF165">
        <v>-1.0799999999999954</v>
      </c>
      <c r="CG165">
        <v>-5.8800000000000008</v>
      </c>
      <c r="CH165">
        <v>12.6</v>
      </c>
      <c r="CI165">
        <v>-1.48</v>
      </c>
      <c r="CJ165">
        <v>-6.32</v>
      </c>
      <c r="CK165">
        <v>26</v>
      </c>
      <c r="CL165">
        <v>-4.4412000000000003</v>
      </c>
      <c r="CM165">
        <v>-1.3698400000000006</v>
      </c>
      <c r="CN165">
        <v>-18.48</v>
      </c>
      <c r="CO165">
        <v>4.4412000000000003</v>
      </c>
      <c r="CP165">
        <v>0.35897499999999977</v>
      </c>
      <c r="CQ165">
        <v>3.2449999999999983</v>
      </c>
      <c r="CR165">
        <v>12.660000000000004</v>
      </c>
      <c r="CS165">
        <v>2.2060000000000004</v>
      </c>
      <c r="CT165">
        <v>17.479999999999997</v>
      </c>
      <c r="CU165">
        <v>0.40000000000000036</v>
      </c>
      <c r="CV165">
        <v>2.4500000000000002</v>
      </c>
      <c r="CW165">
        <v>-1.1117000000000001</v>
      </c>
      <c r="CX165">
        <v>-1.1539000000000004</v>
      </c>
      <c r="CY165" t="s">
        <v>310</v>
      </c>
      <c r="CZ165">
        <v>11</v>
      </c>
      <c r="DA165">
        <v>-0.70399999999999885</v>
      </c>
      <c r="DB165">
        <v>7</v>
      </c>
      <c r="DC165">
        <v>10</v>
      </c>
      <c r="DD165">
        <v>13</v>
      </c>
      <c r="DE165">
        <v>-4.6440000000000001</v>
      </c>
      <c r="DF165">
        <v>7</v>
      </c>
      <c r="DG165">
        <v>-24.919999999999998</v>
      </c>
      <c r="DH165">
        <v>1.0799999999999998</v>
      </c>
      <c r="DI165">
        <v>23</v>
      </c>
      <c r="DJ165">
        <v>19.5</v>
      </c>
      <c r="DK165">
        <v>22</v>
      </c>
      <c r="DL165">
        <v>0.30800000000000038</v>
      </c>
      <c r="DM165">
        <v>17</v>
      </c>
      <c r="DN165">
        <v>-1.44</v>
      </c>
      <c r="DO165">
        <v>-4.0000000000000036E-2</v>
      </c>
      <c r="DP165">
        <v>3</v>
      </c>
      <c r="DQ165">
        <v>1.5</v>
      </c>
      <c r="DR165">
        <v>2</v>
      </c>
      <c r="DS165">
        <v>-2.1359999999999997</v>
      </c>
      <c r="DT165">
        <v>1</v>
      </c>
      <c r="DU165">
        <v>-2.1199999999999988</v>
      </c>
      <c r="DV165">
        <v>-0.80000000000000038</v>
      </c>
      <c r="DW165">
        <v>11</v>
      </c>
      <c r="DX165">
        <v>13</v>
      </c>
      <c r="DY165">
        <v>14</v>
      </c>
      <c r="DZ165">
        <v>-3.156000000000001</v>
      </c>
      <c r="EA165">
        <v>12</v>
      </c>
      <c r="EB165">
        <v>-17.880000000000003</v>
      </c>
      <c r="EC165">
        <v>-1.8399999999999999</v>
      </c>
      <c r="ED165">
        <v>28</v>
      </c>
      <c r="EE165">
        <v>30</v>
      </c>
      <c r="EF165">
        <v>30</v>
      </c>
      <c r="EG165">
        <v>0.93199999999999983</v>
      </c>
      <c r="EH165">
        <v>30</v>
      </c>
      <c r="EI165">
        <v>8.0400000000000009</v>
      </c>
      <c r="EJ165">
        <v>3.1599999999999997</v>
      </c>
      <c r="EK165">
        <v>6</v>
      </c>
      <c r="EL165">
        <v>5.5</v>
      </c>
      <c r="EM165">
        <v>6</v>
      </c>
      <c r="EN165">
        <v>-1.9680000000000017</v>
      </c>
      <c r="EO165">
        <v>5</v>
      </c>
      <c r="EP165">
        <v>-7.2799999999999985</v>
      </c>
      <c r="EQ165">
        <v>-0.40000000000000036</v>
      </c>
      <c r="ER165">
        <v>6</v>
      </c>
      <c r="ES165">
        <v>8</v>
      </c>
      <c r="ET165">
        <v>7</v>
      </c>
      <c r="EU165">
        <v>3.3239999999999994</v>
      </c>
      <c r="EV165">
        <v>9</v>
      </c>
      <c r="EW165">
        <v>3.72</v>
      </c>
      <c r="EX165">
        <v>0.83999999999999986</v>
      </c>
      <c r="EY165">
        <v>3</v>
      </c>
      <c r="EZ165">
        <v>3.5</v>
      </c>
      <c r="FA165">
        <v>6</v>
      </c>
      <c r="FB165">
        <v>-2.48</v>
      </c>
      <c r="FC165">
        <v>1</v>
      </c>
      <c r="FD165">
        <v>-1</v>
      </c>
      <c r="FE165">
        <v>7.9999999999999891E-2</v>
      </c>
      <c r="FF165">
        <v>15</v>
      </c>
      <c r="FG165">
        <v>15.75</v>
      </c>
      <c r="FH165">
        <v>16</v>
      </c>
      <c r="FI165">
        <v>-5.0217051769135469E-2</v>
      </c>
      <c r="FJ165">
        <v>21</v>
      </c>
      <c r="FK165">
        <v>1.2881196572488837E-2</v>
      </c>
      <c r="FL165">
        <v>13</v>
      </c>
      <c r="FM165">
        <v>3.6360000000000001</v>
      </c>
      <c r="FN165">
        <v>13</v>
      </c>
      <c r="FO165">
        <v>2</v>
      </c>
      <c r="FP165">
        <v>-7.999999999999971E-2</v>
      </c>
      <c r="FQ165">
        <v>-2.4</v>
      </c>
      <c r="FR165">
        <v>1.8399999999999999</v>
      </c>
      <c r="FS165">
        <v>0.59999999999999853</v>
      </c>
      <c r="FT165">
        <v>-3.6799999999999997</v>
      </c>
      <c r="FU165">
        <v>-0.64</v>
      </c>
      <c r="FV165">
        <v>-7.6</v>
      </c>
      <c r="FW165">
        <v>-2.8000000000000056</v>
      </c>
      <c r="FX165">
        <v>-13.040000000000001</v>
      </c>
      <c r="FY165">
        <v>0.96000000000000019</v>
      </c>
      <c r="FZ165">
        <v>7.2799999999999994</v>
      </c>
      <c r="GA165">
        <v>8</v>
      </c>
      <c r="GB165">
        <v>3.632000000000001</v>
      </c>
      <c r="GC165">
        <v>1.8199999999999996</v>
      </c>
      <c r="GD165">
        <v>10.239999999999995</v>
      </c>
      <c r="GE165">
        <v>-3.6320000000000006</v>
      </c>
      <c r="GF165">
        <v>-1.0694999999999999</v>
      </c>
      <c r="GG165">
        <v>-4.3600000000000012</v>
      </c>
      <c r="GH165">
        <v>-11.959999999999999</v>
      </c>
      <c r="GI165">
        <v>-4.3359999999999994</v>
      </c>
      <c r="GJ165">
        <v>-26.36</v>
      </c>
      <c r="GK165">
        <v>1.3599999999999994</v>
      </c>
      <c r="GL165">
        <v>1.0399999999999998</v>
      </c>
    </row>
    <row r="166" spans="1:194" x14ac:dyDescent="0.2">
      <c r="A166" s="39">
        <v>43751</v>
      </c>
      <c r="B166" s="23" t="s">
        <v>252</v>
      </c>
      <c r="C166" s="41" t="s">
        <v>299</v>
      </c>
      <c r="D166" s="22" t="s">
        <v>300</v>
      </c>
      <c r="E166">
        <v>20.100000000000001</v>
      </c>
      <c r="F166" s="14">
        <v>3.7</v>
      </c>
      <c r="G166">
        <v>6.8</v>
      </c>
      <c r="H166">
        <f>6.1+1.8</f>
        <v>7.8999999999999995</v>
      </c>
      <c r="I166">
        <v>3.5</v>
      </c>
      <c r="J166">
        <v>47</v>
      </c>
      <c r="L166" s="1" t="s">
        <v>299</v>
      </c>
      <c r="M166">
        <v>15</v>
      </c>
      <c r="N166">
        <v>5.6799999999999427E-2</v>
      </c>
      <c r="O166">
        <v>28</v>
      </c>
      <c r="P166">
        <v>26</v>
      </c>
      <c r="Q166">
        <v>31</v>
      </c>
      <c r="R166">
        <v>-4.0120000000000005</v>
      </c>
      <c r="S166">
        <v>21</v>
      </c>
      <c r="T166">
        <v>-24.800000000000004</v>
      </c>
      <c r="U166">
        <v>-0.60000000000000009</v>
      </c>
      <c r="V166">
        <v>13</v>
      </c>
      <c r="W166">
        <v>13.5</v>
      </c>
      <c r="X166">
        <v>8</v>
      </c>
      <c r="Y166">
        <v>-2.3519999999999994</v>
      </c>
      <c r="Z166">
        <v>19</v>
      </c>
      <c r="AA166">
        <v>-3.3199999999999994</v>
      </c>
      <c r="AB166">
        <v>-0.96</v>
      </c>
      <c r="AC166">
        <v>5</v>
      </c>
      <c r="AD166">
        <v>5.5</v>
      </c>
      <c r="AE166">
        <v>8</v>
      </c>
      <c r="AF166">
        <v>1.5079999999999991</v>
      </c>
      <c r="AG166">
        <v>3</v>
      </c>
      <c r="AH166">
        <v>2.2000000000000002</v>
      </c>
      <c r="AI166">
        <v>1.0799999999999998</v>
      </c>
      <c r="AJ166">
        <v>3</v>
      </c>
      <c r="AK166">
        <v>3.5</v>
      </c>
      <c r="AL166">
        <v>2</v>
      </c>
      <c r="AM166">
        <v>1.4560000000000004</v>
      </c>
      <c r="AN166">
        <v>5</v>
      </c>
      <c r="AO166">
        <v>12.319999999999999</v>
      </c>
      <c r="AP166">
        <v>0.4</v>
      </c>
      <c r="AQ166">
        <v>10</v>
      </c>
      <c r="AR166">
        <v>10</v>
      </c>
      <c r="AS166">
        <v>10</v>
      </c>
      <c r="AT166">
        <v>2.5919999999999992</v>
      </c>
      <c r="AU166">
        <v>10</v>
      </c>
      <c r="AV166">
        <v>14.88</v>
      </c>
      <c r="AW166">
        <v>0.91999999999999993</v>
      </c>
      <c r="AX166">
        <v>9</v>
      </c>
      <c r="AY166">
        <v>10.5</v>
      </c>
      <c r="AZ166">
        <v>13</v>
      </c>
      <c r="BA166">
        <v>5.7639999999999985</v>
      </c>
      <c r="BB166">
        <v>8</v>
      </c>
      <c r="BC166">
        <v>29.24</v>
      </c>
      <c r="BD166">
        <v>1.6799999999999997</v>
      </c>
      <c r="BE166">
        <v>20</v>
      </c>
      <c r="BF166">
        <v>22</v>
      </c>
      <c r="BG166">
        <v>23</v>
      </c>
      <c r="BH166">
        <v>-0.5880000000000003</v>
      </c>
      <c r="BI166">
        <v>21</v>
      </c>
      <c r="BJ166">
        <v>0.55999999999999805</v>
      </c>
      <c r="BK166">
        <v>-0.11999999999999975</v>
      </c>
      <c r="BL166">
        <v>23</v>
      </c>
      <c r="BM166">
        <v>22.5</v>
      </c>
      <c r="BN166">
        <v>20</v>
      </c>
      <c r="BO166">
        <v>4.2799999999999994</v>
      </c>
      <c r="BP166">
        <v>25</v>
      </c>
      <c r="BQ166">
        <v>0.96000000000000019</v>
      </c>
      <c r="BR166">
        <v>2.6800000000000006</v>
      </c>
      <c r="BS166">
        <v>5</v>
      </c>
      <c r="BT166">
        <v>9</v>
      </c>
      <c r="BU166">
        <v>6</v>
      </c>
      <c r="BV166">
        <v>-4.6671000339999956E-2</v>
      </c>
      <c r="BW166">
        <v>12</v>
      </c>
      <c r="BX166">
        <v>-1.6341383249389139E-2</v>
      </c>
      <c r="BY166">
        <v>9</v>
      </c>
      <c r="BZ166">
        <v>-14.811999999999998</v>
      </c>
      <c r="CA166">
        <v>9</v>
      </c>
      <c r="CB166">
        <v>-0.75999999999999979</v>
      </c>
      <c r="CC166">
        <v>2.0799999999999983</v>
      </c>
      <c r="CD166">
        <v>0.99999999999999933</v>
      </c>
      <c r="CE166">
        <v>0.83999999999999986</v>
      </c>
      <c r="CF166">
        <v>-3.3199999999999932</v>
      </c>
      <c r="CG166">
        <v>14.919999999999993</v>
      </c>
      <c r="CH166">
        <v>-11.599999999999998</v>
      </c>
      <c r="CI166">
        <v>-2.4799999999999995</v>
      </c>
      <c r="CJ166">
        <v>-4.16</v>
      </c>
      <c r="CK166">
        <v>5</v>
      </c>
      <c r="CL166">
        <v>6.420799999999999</v>
      </c>
      <c r="CM166">
        <v>4.1869599999999991</v>
      </c>
      <c r="CN166">
        <v>26.519999999999989</v>
      </c>
      <c r="CO166">
        <v>-6.420799999999999</v>
      </c>
      <c r="CP166">
        <v>0.3675999999999997</v>
      </c>
      <c r="CQ166">
        <v>5.5559999999999992</v>
      </c>
      <c r="CR166">
        <v>29.4</v>
      </c>
      <c r="CS166">
        <v>-6.3639999999999999</v>
      </c>
      <c r="CT166">
        <v>-28.120000000000005</v>
      </c>
      <c r="CU166">
        <v>2.2800000000000002</v>
      </c>
      <c r="CV166">
        <v>-1.56</v>
      </c>
      <c r="CW166">
        <v>-0.45779999999999993</v>
      </c>
      <c r="CX166">
        <v>-0.10460000000000007</v>
      </c>
      <c r="CY166" t="s">
        <v>300</v>
      </c>
      <c r="CZ166">
        <v>21</v>
      </c>
      <c r="DA166">
        <v>-2.0599999999999996</v>
      </c>
      <c r="DB166">
        <v>5</v>
      </c>
      <c r="DC166">
        <v>6</v>
      </c>
      <c r="DD166">
        <v>8</v>
      </c>
      <c r="DE166">
        <v>5.8280000000000003</v>
      </c>
      <c r="DF166">
        <v>4</v>
      </c>
      <c r="DG166">
        <v>10.999999999999996</v>
      </c>
      <c r="DH166">
        <v>-0.27999999999999992</v>
      </c>
      <c r="DI166">
        <v>9</v>
      </c>
      <c r="DJ166">
        <v>11.5</v>
      </c>
      <c r="DK166">
        <v>19</v>
      </c>
      <c r="DL166">
        <v>-0.60800000000000054</v>
      </c>
      <c r="DM166">
        <v>4</v>
      </c>
      <c r="DN166">
        <v>3.1999999999999997</v>
      </c>
      <c r="DO166">
        <v>0.23999999999999985</v>
      </c>
      <c r="DP166">
        <v>23</v>
      </c>
      <c r="DQ166">
        <v>27.5</v>
      </c>
      <c r="DR166">
        <v>29</v>
      </c>
      <c r="DS166">
        <v>-1.2520000000000011</v>
      </c>
      <c r="DT166">
        <v>26</v>
      </c>
      <c r="DU166">
        <v>11.239999999999998</v>
      </c>
      <c r="DV166">
        <v>0.88000000000000023</v>
      </c>
      <c r="DW166">
        <v>13</v>
      </c>
      <c r="DX166">
        <v>13.5</v>
      </c>
      <c r="DY166">
        <v>17</v>
      </c>
      <c r="DZ166">
        <v>-4.0239999999999991</v>
      </c>
      <c r="EA166">
        <v>10</v>
      </c>
      <c r="EB166">
        <v>-21.439999999999998</v>
      </c>
      <c r="EC166">
        <v>4.0000000000000216E-2</v>
      </c>
      <c r="ED166">
        <v>12</v>
      </c>
      <c r="EE166">
        <v>17</v>
      </c>
      <c r="EF166">
        <v>20</v>
      </c>
      <c r="EG166">
        <v>-0.39199999999999957</v>
      </c>
      <c r="EH166">
        <v>14</v>
      </c>
      <c r="EI166">
        <v>5.3599999999999994</v>
      </c>
      <c r="EJ166">
        <v>-0.88000000000000012</v>
      </c>
      <c r="EK166">
        <v>16</v>
      </c>
      <c r="EL166">
        <v>16</v>
      </c>
      <c r="EM166">
        <v>17</v>
      </c>
      <c r="EN166">
        <v>-4.1839999999999993</v>
      </c>
      <c r="EO166">
        <v>15</v>
      </c>
      <c r="EP166">
        <v>-9.4400000000000013</v>
      </c>
      <c r="EQ166">
        <v>-1.9599999999999995</v>
      </c>
      <c r="ER166">
        <v>1</v>
      </c>
      <c r="ES166">
        <v>1</v>
      </c>
      <c r="ET166">
        <v>1</v>
      </c>
      <c r="EU166">
        <v>-1.379999999999999</v>
      </c>
      <c r="EV166">
        <v>1</v>
      </c>
      <c r="EW166">
        <v>-8.4</v>
      </c>
      <c r="EX166">
        <v>-0.48000000000000009</v>
      </c>
      <c r="EY166">
        <v>6</v>
      </c>
      <c r="EZ166">
        <v>5</v>
      </c>
      <c r="FA166">
        <v>2</v>
      </c>
      <c r="FB166">
        <v>-2.6</v>
      </c>
      <c r="FC166">
        <v>8</v>
      </c>
      <c r="FD166">
        <v>-0.20000000000000004</v>
      </c>
      <c r="FE166">
        <v>-3.7199999999999998</v>
      </c>
      <c r="FF166">
        <v>29</v>
      </c>
      <c r="FG166">
        <v>24</v>
      </c>
      <c r="FH166">
        <v>17</v>
      </c>
      <c r="FI166">
        <v>8.8121797504564878E-2</v>
      </c>
      <c r="FJ166">
        <v>23</v>
      </c>
      <c r="FK166">
        <v>1.2524227984281152E-2</v>
      </c>
      <c r="FL166">
        <v>27</v>
      </c>
      <c r="FM166">
        <v>-9.5479999999999929</v>
      </c>
      <c r="FN166">
        <v>29</v>
      </c>
      <c r="FO166">
        <v>3.5200000000000005</v>
      </c>
      <c r="FP166">
        <v>2.9999999999999991</v>
      </c>
      <c r="FQ166">
        <v>-0.6399999999999999</v>
      </c>
      <c r="FR166">
        <v>0.51999999999999991</v>
      </c>
      <c r="FS166">
        <v>3.2399999999999993</v>
      </c>
      <c r="FT166">
        <v>-2.9199999999999995</v>
      </c>
      <c r="FU166">
        <v>-0.91999999999999993</v>
      </c>
      <c r="FV166">
        <v>29.560000000000002</v>
      </c>
      <c r="FW166">
        <v>15.000000000000005</v>
      </c>
      <c r="FX166">
        <v>12.88</v>
      </c>
      <c r="FY166">
        <v>-2.6799999999999997</v>
      </c>
      <c r="FZ166">
        <v>4.3600000000000012</v>
      </c>
      <c r="GA166">
        <v>28</v>
      </c>
      <c r="GB166">
        <v>-7.2799999999999994</v>
      </c>
      <c r="GC166">
        <v>-4.4315999999999995</v>
      </c>
      <c r="GD166">
        <v>2.1200000000000045</v>
      </c>
      <c r="GE166">
        <v>7.2799999999999994</v>
      </c>
      <c r="GF166">
        <v>-0.81099999999999983</v>
      </c>
      <c r="GG166">
        <v>-5.6679999999999993</v>
      </c>
      <c r="GH166">
        <v>-4.84</v>
      </c>
      <c r="GI166">
        <v>5.22</v>
      </c>
      <c r="GJ166">
        <v>14.199999999999996</v>
      </c>
      <c r="GK166">
        <v>-0.43999999999999972</v>
      </c>
      <c r="GL166">
        <v>-4.0000000000000063E-2</v>
      </c>
    </row>
    <row r="167" spans="1:194" x14ac:dyDescent="0.2">
      <c r="A167" s="39">
        <v>43751</v>
      </c>
      <c r="B167" s="22" t="s">
        <v>252</v>
      </c>
      <c r="C167" s="41" t="s">
        <v>300</v>
      </c>
      <c r="D167" s="22" t="s">
        <v>299</v>
      </c>
      <c r="E167" s="30">
        <v>7</v>
      </c>
      <c r="F167" s="3">
        <v>16.5</v>
      </c>
      <c r="G167" s="3">
        <v>7.7</v>
      </c>
      <c r="H167">
        <v>10.7</v>
      </c>
      <c r="I167">
        <v>-3.5</v>
      </c>
      <c r="J167">
        <v>47</v>
      </c>
      <c r="L167" s="1" t="s">
        <v>300</v>
      </c>
      <c r="M167">
        <v>12</v>
      </c>
      <c r="N167">
        <v>1.6271999999999998</v>
      </c>
      <c r="O167">
        <v>22</v>
      </c>
      <c r="P167">
        <v>21.5</v>
      </c>
      <c r="Q167">
        <v>14</v>
      </c>
      <c r="R167">
        <v>7.804000000000002</v>
      </c>
      <c r="S167">
        <v>29</v>
      </c>
      <c r="T167">
        <v>4.4800000000000013</v>
      </c>
      <c r="U167">
        <v>-1.9999999999999928E-2</v>
      </c>
      <c r="V167">
        <v>2</v>
      </c>
      <c r="W167">
        <v>4</v>
      </c>
      <c r="X167">
        <v>4</v>
      </c>
      <c r="Y167">
        <v>-0.23000000000000007</v>
      </c>
      <c r="Z167">
        <v>4</v>
      </c>
      <c r="AA167">
        <v>1.0399999999999998</v>
      </c>
      <c r="AB167">
        <v>-0.66999999999999993</v>
      </c>
      <c r="AC167">
        <v>3</v>
      </c>
      <c r="AD167">
        <v>3.5</v>
      </c>
      <c r="AE167">
        <v>5</v>
      </c>
      <c r="AF167">
        <v>1.3839999999999992</v>
      </c>
      <c r="AG167">
        <v>2</v>
      </c>
      <c r="AH167">
        <v>24.630000000000003</v>
      </c>
      <c r="AI167">
        <v>0.84000000000000019</v>
      </c>
      <c r="AJ167">
        <v>16</v>
      </c>
      <c r="AK167">
        <v>17</v>
      </c>
      <c r="AL167">
        <v>17</v>
      </c>
      <c r="AM167">
        <v>-2.4090000000000007</v>
      </c>
      <c r="AN167">
        <v>17</v>
      </c>
      <c r="AO167">
        <v>-4.93</v>
      </c>
      <c r="AP167">
        <v>0.12999999999999989</v>
      </c>
      <c r="AQ167">
        <v>20</v>
      </c>
      <c r="AR167">
        <v>19</v>
      </c>
      <c r="AS167">
        <v>18</v>
      </c>
      <c r="AT167">
        <v>-0.86599999999999999</v>
      </c>
      <c r="AU167">
        <v>20</v>
      </c>
      <c r="AV167">
        <v>-9.4</v>
      </c>
      <c r="AW167">
        <v>-1.61</v>
      </c>
      <c r="AX167">
        <v>18</v>
      </c>
      <c r="AY167">
        <v>17</v>
      </c>
      <c r="AZ167">
        <v>12</v>
      </c>
      <c r="BA167">
        <v>2.1640000000000006</v>
      </c>
      <c r="BB167">
        <v>22</v>
      </c>
      <c r="BC167">
        <v>5.6399999999999988</v>
      </c>
      <c r="BD167">
        <v>-1.3199999999999998</v>
      </c>
      <c r="BE167">
        <v>27</v>
      </c>
      <c r="BF167">
        <v>27</v>
      </c>
      <c r="BG167">
        <v>26</v>
      </c>
      <c r="BH167">
        <v>-0.32799999999999996</v>
      </c>
      <c r="BI167">
        <v>28</v>
      </c>
      <c r="BJ167">
        <v>-0.8</v>
      </c>
      <c r="BK167">
        <v>-0.91999999999999971</v>
      </c>
      <c r="BL167">
        <v>31</v>
      </c>
      <c r="BM167">
        <v>31</v>
      </c>
      <c r="BN167">
        <v>30</v>
      </c>
      <c r="BO167">
        <v>0.6</v>
      </c>
      <c r="BP167">
        <v>32</v>
      </c>
      <c r="BQ167">
        <v>-0.19999999999999996</v>
      </c>
      <c r="BR167">
        <v>3.5200000000000005</v>
      </c>
      <c r="BS167">
        <v>16</v>
      </c>
      <c r="BT167">
        <v>14.5</v>
      </c>
      <c r="BU167">
        <v>17</v>
      </c>
      <c r="BV167">
        <v>4.9381937038810844E-2</v>
      </c>
      <c r="BW167">
        <v>14</v>
      </c>
      <c r="BX167">
        <v>-7.6003156759539532E-3</v>
      </c>
      <c r="BY167">
        <v>3</v>
      </c>
      <c r="BZ167">
        <v>2.644000000000001</v>
      </c>
      <c r="CA167">
        <v>24</v>
      </c>
      <c r="CB167">
        <v>-3.7199999999999998</v>
      </c>
      <c r="CC167">
        <v>0.24000000000000057</v>
      </c>
      <c r="CD167">
        <v>6.3999999999999995</v>
      </c>
      <c r="CE167">
        <v>-0.55999999999999994</v>
      </c>
      <c r="CF167">
        <v>17.600000000000012</v>
      </c>
      <c r="CG167">
        <v>16.799999999999994</v>
      </c>
      <c r="CH167">
        <v>0.8</v>
      </c>
      <c r="CI167">
        <v>-3.72</v>
      </c>
      <c r="CJ167">
        <v>3.72</v>
      </c>
      <c r="CK167">
        <v>27</v>
      </c>
      <c r="CL167">
        <v>-5.9468000000000014</v>
      </c>
      <c r="CM167">
        <v>-3.9053600000000013</v>
      </c>
      <c r="CN167">
        <v>15.999999999999993</v>
      </c>
      <c r="CO167">
        <v>5.9468000000000014</v>
      </c>
      <c r="CP167">
        <v>0.94777499999999992</v>
      </c>
      <c r="CQ167">
        <v>-1.8910000000000013</v>
      </c>
      <c r="CR167">
        <v>10.300000000000002</v>
      </c>
      <c r="CS167">
        <v>7.5740000000000016</v>
      </c>
      <c r="CT167">
        <v>5.5200000000000014</v>
      </c>
      <c r="CU167">
        <v>-1.5599999999999996</v>
      </c>
      <c r="CV167">
        <v>-0.68999999999999984</v>
      </c>
      <c r="CW167">
        <v>-0.45779999999999993</v>
      </c>
      <c r="CX167">
        <v>-0.81099999999999983</v>
      </c>
      <c r="CY167" t="s">
        <v>299</v>
      </c>
      <c r="CZ167">
        <v>3</v>
      </c>
      <c r="DA167">
        <v>-1.0287999999999999</v>
      </c>
      <c r="DB167">
        <v>14</v>
      </c>
      <c r="DC167">
        <v>16</v>
      </c>
      <c r="DD167">
        <v>14</v>
      </c>
      <c r="DE167">
        <v>-1.5040000000000007</v>
      </c>
      <c r="DF167">
        <v>18</v>
      </c>
      <c r="DG167">
        <v>12.200000000000001</v>
      </c>
      <c r="DH167">
        <v>0.28000000000000025</v>
      </c>
      <c r="DI167">
        <v>11</v>
      </c>
      <c r="DJ167">
        <v>14</v>
      </c>
      <c r="DK167">
        <v>3</v>
      </c>
      <c r="DL167">
        <v>4.7359999999999989</v>
      </c>
      <c r="DM167">
        <v>25</v>
      </c>
      <c r="DN167">
        <v>12.759999999999998</v>
      </c>
      <c r="DO167">
        <v>-0.36000000000000004</v>
      </c>
      <c r="DP167">
        <v>10</v>
      </c>
      <c r="DQ167">
        <v>9.5</v>
      </c>
      <c r="DR167">
        <v>10</v>
      </c>
      <c r="DS167">
        <v>-1.7519999999999996</v>
      </c>
      <c r="DT167">
        <v>9</v>
      </c>
      <c r="DU167">
        <v>-9.6799999999999979</v>
      </c>
      <c r="DV167">
        <v>1.3599999999999999</v>
      </c>
      <c r="DW167">
        <v>3</v>
      </c>
      <c r="DX167">
        <v>3.5</v>
      </c>
      <c r="DY167">
        <v>4</v>
      </c>
      <c r="DZ167">
        <v>-0.39999999999999891</v>
      </c>
      <c r="EA167">
        <v>3</v>
      </c>
      <c r="EB167">
        <v>-0.55999999999999939</v>
      </c>
      <c r="EC167">
        <v>0.83999999999999986</v>
      </c>
      <c r="ED167">
        <v>15</v>
      </c>
      <c r="EE167">
        <v>3.5</v>
      </c>
      <c r="EF167">
        <v>3</v>
      </c>
      <c r="EG167">
        <v>-0.42400000000000004</v>
      </c>
      <c r="EH167">
        <v>4</v>
      </c>
      <c r="EI167">
        <v>3.5600000000000009</v>
      </c>
      <c r="EJ167">
        <v>0.76</v>
      </c>
      <c r="EK167">
        <v>2</v>
      </c>
      <c r="EL167">
        <v>3.5</v>
      </c>
      <c r="EM167">
        <v>3</v>
      </c>
      <c r="EN167">
        <v>-0.11200000000000046</v>
      </c>
      <c r="EO167">
        <v>4</v>
      </c>
      <c r="EP167">
        <v>-7.1199999999999992</v>
      </c>
      <c r="EQ167">
        <v>2.2000000000000002</v>
      </c>
      <c r="ER167">
        <v>11</v>
      </c>
      <c r="ES167">
        <v>12.5</v>
      </c>
      <c r="ET167">
        <v>8</v>
      </c>
      <c r="EU167">
        <v>-1.4639999999999997</v>
      </c>
      <c r="EV167">
        <v>17</v>
      </c>
      <c r="EW167">
        <v>2.96</v>
      </c>
      <c r="EX167">
        <v>-0.88000000000000023</v>
      </c>
      <c r="EY167">
        <v>12</v>
      </c>
      <c r="EZ167">
        <v>12.5</v>
      </c>
      <c r="FA167">
        <v>7</v>
      </c>
      <c r="FB167">
        <v>0.99999999999999967</v>
      </c>
      <c r="FC167">
        <v>18</v>
      </c>
      <c r="FD167">
        <v>0.67999999999999994</v>
      </c>
      <c r="FE167">
        <v>-0.75999999999999979</v>
      </c>
      <c r="FF167">
        <v>24</v>
      </c>
      <c r="FG167">
        <v>21</v>
      </c>
      <c r="FH167">
        <v>26</v>
      </c>
      <c r="FI167">
        <v>-6.0338078712177411E-2</v>
      </c>
      <c r="FJ167">
        <v>23</v>
      </c>
      <c r="FK167">
        <v>-1.0454141513245056E-2</v>
      </c>
      <c r="FL167">
        <v>5</v>
      </c>
      <c r="FM167">
        <v>-7.5119999999999987</v>
      </c>
      <c r="FN167">
        <v>30</v>
      </c>
      <c r="FO167">
        <v>2.6800000000000006</v>
      </c>
      <c r="FP167">
        <v>3.4</v>
      </c>
      <c r="FQ167">
        <v>2.12</v>
      </c>
      <c r="FR167">
        <v>-0.15999999999999998</v>
      </c>
      <c r="FS167">
        <v>4.92</v>
      </c>
      <c r="FT167">
        <v>-1.1199999999999997</v>
      </c>
      <c r="FU167">
        <v>0.27999999999999997</v>
      </c>
      <c r="FV167">
        <v>38.519999999999996</v>
      </c>
      <c r="FW167">
        <v>7.2000000000000117</v>
      </c>
      <c r="FX167">
        <v>21.639999999999997</v>
      </c>
      <c r="FY167">
        <v>2</v>
      </c>
      <c r="FZ167">
        <v>7.6799999999999979</v>
      </c>
      <c r="GA167">
        <v>24</v>
      </c>
      <c r="GB167">
        <v>-4.2607999999999979</v>
      </c>
      <c r="GC167">
        <v>-2.6297599999999988</v>
      </c>
      <c r="GD167">
        <v>-14.439999999999985</v>
      </c>
      <c r="GE167">
        <v>4.2607999999999979</v>
      </c>
      <c r="GF167">
        <v>-0.10460000000000007</v>
      </c>
      <c r="GG167">
        <v>-2.5759999999999983</v>
      </c>
      <c r="GH167">
        <v>-6.6799999999999962</v>
      </c>
      <c r="GI167">
        <v>3.2319999999999984</v>
      </c>
      <c r="GJ167">
        <v>24.96</v>
      </c>
      <c r="GK167">
        <v>2.0799999999999996</v>
      </c>
      <c r="GL167">
        <v>-7.9999999999999793E-2</v>
      </c>
    </row>
    <row r="168" spans="1:194" x14ac:dyDescent="0.2">
      <c r="A168" s="39">
        <v>43751</v>
      </c>
      <c r="B168" s="22" t="s">
        <v>252</v>
      </c>
      <c r="C168" s="41" t="s">
        <v>311</v>
      </c>
      <c r="D168" s="22" t="s">
        <v>288</v>
      </c>
      <c r="E168">
        <v>16.5</v>
      </c>
      <c r="F168" s="14">
        <v>9.4</v>
      </c>
      <c r="G168">
        <v>7.9</v>
      </c>
      <c r="H168">
        <f>12.9+6.9</f>
        <v>19.8</v>
      </c>
      <c r="I168">
        <v>3.5</v>
      </c>
      <c r="J168">
        <v>54.5</v>
      </c>
      <c r="K168" t="s">
        <v>109</v>
      </c>
      <c r="L168" s="1" t="s">
        <v>311</v>
      </c>
      <c r="M168">
        <v>4</v>
      </c>
      <c r="N168">
        <v>5.7455999999999978</v>
      </c>
      <c r="O168">
        <v>22</v>
      </c>
      <c r="P168">
        <v>21.5</v>
      </c>
      <c r="Q168">
        <v>30</v>
      </c>
      <c r="R168">
        <v>-6.4480000000000004</v>
      </c>
      <c r="S168">
        <v>13</v>
      </c>
      <c r="T168">
        <v>-10.199999999999999</v>
      </c>
      <c r="U168">
        <v>-1.8399999999999999</v>
      </c>
      <c r="V168">
        <v>8</v>
      </c>
      <c r="W168">
        <v>9.5</v>
      </c>
      <c r="X168">
        <v>3</v>
      </c>
      <c r="Y168">
        <v>1.0960000000000001</v>
      </c>
      <c r="Z168">
        <v>16</v>
      </c>
      <c r="AA168">
        <v>12.280000000000001</v>
      </c>
      <c r="AB168">
        <v>0.51999999999999991</v>
      </c>
      <c r="AC168">
        <v>2</v>
      </c>
      <c r="AD168">
        <v>2.5</v>
      </c>
      <c r="AE168">
        <v>1</v>
      </c>
      <c r="AF168">
        <v>-0.73599999999999921</v>
      </c>
      <c r="AG168">
        <v>4</v>
      </c>
      <c r="AH168">
        <v>-1.9199999999999975</v>
      </c>
      <c r="AI168">
        <v>1.0799999999999998</v>
      </c>
      <c r="AJ168">
        <v>15</v>
      </c>
      <c r="AK168">
        <v>15</v>
      </c>
      <c r="AL168">
        <v>16</v>
      </c>
      <c r="AM168">
        <v>2.9040000000000017</v>
      </c>
      <c r="AN168">
        <v>14</v>
      </c>
      <c r="AO168">
        <v>13.639999999999997</v>
      </c>
      <c r="AP168">
        <v>1.4000000000000001</v>
      </c>
      <c r="AQ168">
        <v>21</v>
      </c>
      <c r="AR168">
        <v>21</v>
      </c>
      <c r="AS168">
        <v>21</v>
      </c>
      <c r="AT168">
        <v>4.3959999999999999</v>
      </c>
      <c r="AU168">
        <v>21</v>
      </c>
      <c r="AV168">
        <v>26</v>
      </c>
      <c r="AW168">
        <v>0.27999999999999997</v>
      </c>
      <c r="AX168">
        <v>17</v>
      </c>
      <c r="AY168">
        <v>16.5</v>
      </c>
      <c r="AZ168">
        <v>21</v>
      </c>
      <c r="BA168">
        <v>1.4679999999999978</v>
      </c>
      <c r="BB168">
        <v>12</v>
      </c>
      <c r="BC168">
        <v>10.680000000000003</v>
      </c>
      <c r="BD168">
        <v>-0.64</v>
      </c>
      <c r="BE168">
        <v>11</v>
      </c>
      <c r="BF168">
        <v>12</v>
      </c>
      <c r="BG168">
        <v>11</v>
      </c>
      <c r="BH168">
        <v>4.4120000000000008</v>
      </c>
      <c r="BI168">
        <v>13</v>
      </c>
      <c r="BJ168">
        <v>5</v>
      </c>
      <c r="BK168">
        <v>-0.23999999999999985</v>
      </c>
      <c r="BL168">
        <v>22</v>
      </c>
      <c r="BM168">
        <v>20.5</v>
      </c>
      <c r="BN168">
        <v>22</v>
      </c>
      <c r="BO168">
        <v>-0.67999999999999972</v>
      </c>
      <c r="BP168">
        <v>19</v>
      </c>
      <c r="BQ168">
        <v>-0.36000000000000004</v>
      </c>
      <c r="BR168">
        <v>0.91999999999999993</v>
      </c>
      <c r="BS168">
        <v>20</v>
      </c>
      <c r="BT168">
        <v>17.5</v>
      </c>
      <c r="BU168">
        <v>1</v>
      </c>
      <c r="BV168">
        <v>4.2425775435519626E-2</v>
      </c>
      <c r="BW168">
        <v>24</v>
      </c>
      <c r="BX168">
        <v>1.9633256402785942E-2</v>
      </c>
      <c r="BY168">
        <v>15</v>
      </c>
      <c r="BZ168">
        <v>4.788000000000002</v>
      </c>
      <c r="CA168">
        <v>30</v>
      </c>
      <c r="CB168">
        <v>-0.4799999999999997</v>
      </c>
      <c r="CC168">
        <v>-0.75999999999999945</v>
      </c>
      <c r="CD168">
        <v>1.36</v>
      </c>
      <c r="CE168">
        <v>0.83999999999999986</v>
      </c>
      <c r="CF168">
        <v>27.279999999999994</v>
      </c>
      <c r="CG168">
        <v>21.840000000000003</v>
      </c>
      <c r="CH168">
        <v>-0.27999999999999831</v>
      </c>
      <c r="CI168">
        <v>-2.2000000000000002</v>
      </c>
      <c r="CJ168">
        <v>7.92</v>
      </c>
      <c r="CK168">
        <v>1</v>
      </c>
      <c r="CL168">
        <v>11.097599999999998</v>
      </c>
      <c r="CM168">
        <v>6.0203200000000008</v>
      </c>
      <c r="CN168">
        <v>22.12</v>
      </c>
      <c r="CO168">
        <v>-11.097599999999998</v>
      </c>
      <c r="CP168">
        <v>1.3362000000000001</v>
      </c>
      <c r="CQ168">
        <v>6.5640000000000018</v>
      </c>
      <c r="CR168">
        <v>37.72</v>
      </c>
      <c r="CS168">
        <v>-5.3520000000000003</v>
      </c>
      <c r="CT168">
        <v>2.0800000000000018</v>
      </c>
      <c r="CU168">
        <v>2.52</v>
      </c>
      <c r="CV168">
        <v>-1.3199999999999998</v>
      </c>
      <c r="CW168">
        <v>0.19089999999999996</v>
      </c>
      <c r="CX168">
        <v>0.40449999999999997</v>
      </c>
      <c r="CY168" t="s">
        <v>288</v>
      </c>
      <c r="CZ168">
        <v>7</v>
      </c>
      <c r="DA168">
        <v>-0.58559999999999945</v>
      </c>
      <c r="DB168">
        <v>3</v>
      </c>
      <c r="DC168">
        <v>3</v>
      </c>
      <c r="DD168">
        <v>3</v>
      </c>
      <c r="DE168">
        <v>3.2840000000000003</v>
      </c>
      <c r="DF168">
        <v>3</v>
      </c>
      <c r="DG168">
        <v>23.639999999999997</v>
      </c>
      <c r="DH168">
        <v>0.38</v>
      </c>
      <c r="DI168">
        <v>20</v>
      </c>
      <c r="DJ168">
        <v>17.5</v>
      </c>
      <c r="DK168">
        <v>5</v>
      </c>
      <c r="DL168">
        <v>0.7</v>
      </c>
      <c r="DM168">
        <v>30</v>
      </c>
      <c r="DN168">
        <v>3.1600000000000006</v>
      </c>
      <c r="DO168">
        <v>0.72</v>
      </c>
      <c r="DP168">
        <v>32</v>
      </c>
      <c r="DQ168">
        <v>32</v>
      </c>
      <c r="DR168">
        <v>32</v>
      </c>
      <c r="DS168">
        <v>-1.0800000000000007</v>
      </c>
      <c r="DT168">
        <v>32</v>
      </c>
      <c r="DU168">
        <v>-12.72</v>
      </c>
      <c r="DV168">
        <v>-0.28000000000000008</v>
      </c>
      <c r="DW168">
        <v>24</v>
      </c>
      <c r="DX168">
        <v>25</v>
      </c>
      <c r="DY168">
        <v>23</v>
      </c>
      <c r="DZ168">
        <v>-0.30799999999999983</v>
      </c>
      <c r="EA168">
        <v>27</v>
      </c>
      <c r="EB168">
        <v>11.080000000000002</v>
      </c>
      <c r="EC168">
        <v>-7.9999999999999988E-2</v>
      </c>
      <c r="ED168">
        <v>13</v>
      </c>
      <c r="EE168">
        <v>12.5</v>
      </c>
      <c r="EF168">
        <v>12</v>
      </c>
      <c r="EG168">
        <v>0.68399999999999994</v>
      </c>
      <c r="EH168">
        <v>13</v>
      </c>
      <c r="EI168">
        <v>8.2399999999999984</v>
      </c>
      <c r="EJ168">
        <v>-0.6399999999999999</v>
      </c>
      <c r="EK168">
        <v>12</v>
      </c>
      <c r="EL168">
        <v>12</v>
      </c>
      <c r="EM168">
        <v>8</v>
      </c>
      <c r="EN168">
        <v>1.44</v>
      </c>
      <c r="EO168">
        <v>16</v>
      </c>
      <c r="EP168">
        <v>-4.8</v>
      </c>
      <c r="EQ168">
        <v>0.31999999999999956</v>
      </c>
      <c r="ER168">
        <v>2</v>
      </c>
      <c r="ES168">
        <v>2</v>
      </c>
      <c r="ET168">
        <v>2</v>
      </c>
      <c r="EU168">
        <v>-2.996</v>
      </c>
      <c r="EV168">
        <v>2</v>
      </c>
      <c r="EW168">
        <v>-10.16</v>
      </c>
      <c r="EX168">
        <v>-3.9999999999999855E-2</v>
      </c>
      <c r="EY168">
        <v>20</v>
      </c>
      <c r="EZ168">
        <v>21</v>
      </c>
      <c r="FA168">
        <v>25</v>
      </c>
      <c r="FB168">
        <v>0.11999999999999975</v>
      </c>
      <c r="FC168">
        <v>17</v>
      </c>
      <c r="FD168">
        <v>7.9999999999999988E-2</v>
      </c>
      <c r="FE168">
        <v>-2.7199999999999998</v>
      </c>
      <c r="FF168">
        <v>2</v>
      </c>
      <c r="FG168">
        <v>7.25</v>
      </c>
      <c r="FH168">
        <v>4</v>
      </c>
      <c r="FI168">
        <v>2.9779749585955716E-2</v>
      </c>
      <c r="FJ168">
        <v>13</v>
      </c>
      <c r="FK168">
        <v>1.3153321774424756E-3</v>
      </c>
      <c r="FL168">
        <v>3</v>
      </c>
      <c r="FM168">
        <v>9.4640000000000022</v>
      </c>
      <c r="FN168">
        <v>9</v>
      </c>
      <c r="FO168">
        <v>1.2399999999999998</v>
      </c>
      <c r="FP168">
        <v>1.3599999999999994</v>
      </c>
      <c r="FQ168">
        <v>0.71999999999999953</v>
      </c>
      <c r="FR168">
        <v>-0.96000000000000019</v>
      </c>
      <c r="FS168">
        <v>1.4399999999999991</v>
      </c>
      <c r="FT168">
        <v>-1.1200000000000003</v>
      </c>
      <c r="FU168">
        <v>-0.55999999999999994</v>
      </c>
      <c r="FV168">
        <v>19.880000000000006</v>
      </c>
      <c r="FW168">
        <v>3.7600000000000025</v>
      </c>
      <c r="FX168">
        <v>22.2</v>
      </c>
      <c r="FY168">
        <v>-1.6</v>
      </c>
      <c r="FZ168">
        <v>-4.4799999999999995</v>
      </c>
      <c r="GA168">
        <v>25</v>
      </c>
      <c r="GB168">
        <v>-4.5695999999999994</v>
      </c>
      <c r="GC168">
        <v>-2.8491200000000001</v>
      </c>
      <c r="GD168">
        <v>-18.439999999999998</v>
      </c>
      <c r="GE168">
        <v>4.5695999999999994</v>
      </c>
      <c r="GF168">
        <v>-2.2700000000000043E-2</v>
      </c>
      <c r="GG168">
        <v>-0.70400000000000063</v>
      </c>
      <c r="GH168">
        <v>6.6</v>
      </c>
      <c r="GI168">
        <v>3.984</v>
      </c>
      <c r="GJ168">
        <v>26.799999999999997</v>
      </c>
      <c r="GK168">
        <v>-1.0399999999999998</v>
      </c>
      <c r="GL168">
        <v>1.1000000000000001</v>
      </c>
    </row>
    <row r="169" spans="1:194" x14ac:dyDescent="0.2">
      <c r="A169" s="39">
        <v>43751</v>
      </c>
      <c r="B169" s="22" t="s">
        <v>252</v>
      </c>
      <c r="C169" s="41" t="s">
        <v>297</v>
      </c>
      <c r="D169" s="22" t="s">
        <v>307</v>
      </c>
      <c r="E169">
        <v>8.3000000000000007</v>
      </c>
      <c r="F169">
        <v>7.3</v>
      </c>
      <c r="G169">
        <v>0</v>
      </c>
      <c r="H169">
        <f>2.6+1.5</f>
        <v>4.0999999999999996</v>
      </c>
      <c r="I169">
        <v>-2.5</v>
      </c>
      <c r="J169">
        <v>42.5</v>
      </c>
      <c r="K169" t="s">
        <v>110</v>
      </c>
      <c r="L169" s="1" t="s">
        <v>297</v>
      </c>
      <c r="M169">
        <v>6</v>
      </c>
      <c r="N169">
        <v>4.1199999999999992</v>
      </c>
      <c r="O169">
        <v>10</v>
      </c>
      <c r="P169">
        <v>9.5</v>
      </c>
      <c r="Q169">
        <v>3</v>
      </c>
      <c r="R169">
        <v>1.0760000000000001</v>
      </c>
      <c r="S169">
        <v>16</v>
      </c>
      <c r="T169">
        <v>26.880000000000003</v>
      </c>
      <c r="U169">
        <v>1</v>
      </c>
      <c r="V169">
        <v>28</v>
      </c>
      <c r="W169">
        <v>28.5</v>
      </c>
      <c r="X169">
        <v>26</v>
      </c>
      <c r="Y169">
        <v>-3.3599999999999985</v>
      </c>
      <c r="Z169">
        <v>31</v>
      </c>
      <c r="AA169">
        <v>-10.56</v>
      </c>
      <c r="AB169">
        <v>-1.7599999999999998</v>
      </c>
      <c r="AC169">
        <v>31</v>
      </c>
      <c r="AD169">
        <v>31.5</v>
      </c>
      <c r="AE169">
        <v>32</v>
      </c>
      <c r="AF169">
        <v>-2.992</v>
      </c>
      <c r="AG169">
        <v>31</v>
      </c>
      <c r="AH169">
        <v>-12.56</v>
      </c>
      <c r="AI169">
        <v>-0.40000000000000019</v>
      </c>
      <c r="AJ169">
        <v>7</v>
      </c>
      <c r="AK169">
        <v>8</v>
      </c>
      <c r="AL169">
        <v>4</v>
      </c>
      <c r="AM169">
        <v>8.8960000000000008</v>
      </c>
      <c r="AN169">
        <v>12</v>
      </c>
      <c r="AO169">
        <v>36.200000000000003</v>
      </c>
      <c r="AP169">
        <v>0.48000000000000009</v>
      </c>
      <c r="AQ169">
        <v>3</v>
      </c>
      <c r="AR169">
        <v>3</v>
      </c>
      <c r="AS169">
        <v>3</v>
      </c>
      <c r="AT169">
        <v>2.5759999999999996</v>
      </c>
      <c r="AU169">
        <v>3</v>
      </c>
      <c r="AV169">
        <v>17.68</v>
      </c>
      <c r="AW169">
        <v>-0.20000000000000026</v>
      </c>
      <c r="AX169">
        <v>13</v>
      </c>
      <c r="AY169">
        <v>12.5</v>
      </c>
      <c r="AZ169">
        <v>10</v>
      </c>
      <c r="BA169">
        <v>-0.90800000000000058</v>
      </c>
      <c r="BB169">
        <v>15</v>
      </c>
      <c r="BC169">
        <v>-2.680000000000001</v>
      </c>
      <c r="BD169">
        <v>-0.6000000000000002</v>
      </c>
      <c r="BE169">
        <v>32</v>
      </c>
      <c r="BF169">
        <v>31</v>
      </c>
      <c r="BG169">
        <v>32</v>
      </c>
      <c r="BH169">
        <v>0.97199999999999975</v>
      </c>
      <c r="BI169">
        <v>30</v>
      </c>
      <c r="BJ169">
        <v>-0.48000000000000043</v>
      </c>
      <c r="BK169">
        <v>0.48000000000000009</v>
      </c>
      <c r="BL169">
        <v>27</v>
      </c>
      <c r="BM169">
        <v>27</v>
      </c>
      <c r="BN169">
        <v>27</v>
      </c>
      <c r="BO169">
        <v>1.2399999999999998</v>
      </c>
      <c r="BP169">
        <v>27</v>
      </c>
      <c r="BQ169">
        <v>0.24</v>
      </c>
      <c r="BR169">
        <v>-0.83999999999999986</v>
      </c>
      <c r="BS169">
        <v>7</v>
      </c>
      <c r="BT169">
        <v>11.25</v>
      </c>
      <c r="BU169">
        <v>7</v>
      </c>
      <c r="BV169">
        <v>3.020129333117717E-2</v>
      </c>
      <c r="BW169">
        <v>17</v>
      </c>
      <c r="BX169">
        <v>-3.3467236141587987E-3</v>
      </c>
      <c r="BY169">
        <v>18</v>
      </c>
      <c r="BZ169">
        <v>3.883999999999999</v>
      </c>
      <c r="CA169">
        <v>3</v>
      </c>
      <c r="CB169">
        <v>-0.67999999999999972</v>
      </c>
      <c r="CC169">
        <v>-2.6399999999999992</v>
      </c>
      <c r="CD169">
        <v>2</v>
      </c>
      <c r="CE169">
        <v>-0.27999999999999997</v>
      </c>
      <c r="CF169">
        <v>41.11999999999999</v>
      </c>
      <c r="CG169">
        <v>26.4</v>
      </c>
      <c r="CH169">
        <v>10.159999999999997</v>
      </c>
      <c r="CI169">
        <v>-4.04</v>
      </c>
      <c r="CJ169">
        <v>8.6</v>
      </c>
      <c r="CK169">
        <v>6</v>
      </c>
      <c r="CL169">
        <v>6.4039999999999981</v>
      </c>
      <c r="CM169">
        <v>3.8563999999999998</v>
      </c>
      <c r="CN169">
        <v>16.240000000000002</v>
      </c>
      <c r="CO169">
        <v>-6.4039999999999981</v>
      </c>
      <c r="CP169">
        <v>1.5660000000000003</v>
      </c>
      <c r="CQ169">
        <v>8.48</v>
      </c>
      <c r="CR169">
        <v>41.32</v>
      </c>
      <c r="CS169">
        <v>-2.2839999999999985</v>
      </c>
      <c r="CT169">
        <v>16.32</v>
      </c>
      <c r="CU169">
        <v>0.35999999999999976</v>
      </c>
      <c r="CV169">
        <v>-0.75999999999999979</v>
      </c>
      <c r="CW169">
        <v>-1.2846499999999998</v>
      </c>
      <c r="CX169">
        <v>-0.94689999999999996</v>
      </c>
      <c r="CY169" t="s">
        <v>307</v>
      </c>
      <c r="CZ169">
        <v>18</v>
      </c>
      <c r="DA169">
        <v>0.73280000000000245</v>
      </c>
      <c r="DB169">
        <v>29</v>
      </c>
      <c r="DC169">
        <v>27.5</v>
      </c>
      <c r="DD169">
        <v>26</v>
      </c>
      <c r="DE169">
        <v>-3.4079999999999999</v>
      </c>
      <c r="DF169">
        <v>29</v>
      </c>
      <c r="DG169">
        <v>-13.720000000000002</v>
      </c>
      <c r="DH169">
        <v>0.36</v>
      </c>
      <c r="DI169">
        <v>7</v>
      </c>
      <c r="DJ169">
        <v>10</v>
      </c>
      <c r="DK169">
        <v>8</v>
      </c>
      <c r="DL169">
        <v>0.94800000000000006</v>
      </c>
      <c r="DM169">
        <v>12</v>
      </c>
      <c r="DN169">
        <v>-3.2</v>
      </c>
      <c r="DO169">
        <v>0.96</v>
      </c>
      <c r="DP169">
        <v>15</v>
      </c>
      <c r="DQ169">
        <v>19</v>
      </c>
      <c r="DR169">
        <v>18</v>
      </c>
      <c r="DS169">
        <v>0.10800000000000054</v>
      </c>
      <c r="DT169">
        <v>20</v>
      </c>
      <c r="DU169">
        <v>2.1199999999999988</v>
      </c>
      <c r="DV169">
        <v>0.44000000000000006</v>
      </c>
      <c r="DW169">
        <v>29</v>
      </c>
      <c r="DX169">
        <v>29.5</v>
      </c>
      <c r="DY169">
        <v>27</v>
      </c>
      <c r="DZ169">
        <v>-5.572000000000001</v>
      </c>
      <c r="EA169">
        <v>32</v>
      </c>
      <c r="EB169">
        <v>-20.6</v>
      </c>
      <c r="EC169">
        <v>-3.4800000000000004</v>
      </c>
      <c r="ED169">
        <v>27</v>
      </c>
      <c r="EE169">
        <v>25</v>
      </c>
      <c r="EF169">
        <v>25</v>
      </c>
      <c r="EG169">
        <v>0.70400000000000029</v>
      </c>
      <c r="EH169">
        <v>25</v>
      </c>
      <c r="EI169">
        <v>-1.64</v>
      </c>
      <c r="EJ169">
        <v>-0.28000000000000008</v>
      </c>
      <c r="EK169">
        <v>24</v>
      </c>
      <c r="EL169">
        <v>23.5</v>
      </c>
      <c r="EM169">
        <v>20</v>
      </c>
      <c r="EN169">
        <v>5.3480000000000008</v>
      </c>
      <c r="EO169">
        <v>27</v>
      </c>
      <c r="EP169">
        <v>22.279999999999998</v>
      </c>
      <c r="EQ169">
        <v>1.56</v>
      </c>
      <c r="ER169">
        <v>3</v>
      </c>
      <c r="ES169">
        <v>3.5</v>
      </c>
      <c r="ET169">
        <v>3</v>
      </c>
      <c r="EU169">
        <v>-3.8520000000000012</v>
      </c>
      <c r="EV169">
        <v>4</v>
      </c>
      <c r="EW169">
        <v>-7.3600000000000021</v>
      </c>
      <c r="EX169">
        <v>-0.3999999999999998</v>
      </c>
      <c r="EY169">
        <v>8</v>
      </c>
      <c r="EZ169">
        <v>8.5</v>
      </c>
      <c r="FA169">
        <v>9</v>
      </c>
      <c r="FB169">
        <v>-2.6399999999999997</v>
      </c>
      <c r="FC169">
        <v>8</v>
      </c>
      <c r="FD169">
        <v>-1.1600000000000001</v>
      </c>
      <c r="FE169">
        <v>-2.6</v>
      </c>
      <c r="FF169">
        <v>17</v>
      </c>
      <c r="FG169">
        <v>16</v>
      </c>
      <c r="FH169">
        <v>6</v>
      </c>
      <c r="FI169">
        <v>4.0878567474878627E-2</v>
      </c>
      <c r="FJ169">
        <v>18</v>
      </c>
      <c r="FK169">
        <v>2.1314766936584725E-2</v>
      </c>
      <c r="FL169">
        <v>21</v>
      </c>
      <c r="FM169">
        <v>-5.4600000000000009</v>
      </c>
      <c r="FN169">
        <v>19</v>
      </c>
      <c r="FO169">
        <v>1.6800000000000002</v>
      </c>
      <c r="FP169">
        <v>-1.3600000000000008</v>
      </c>
      <c r="FQ169">
        <v>-3.28</v>
      </c>
      <c r="FR169">
        <v>-1.7763568394002506E-16</v>
      </c>
      <c r="FS169">
        <v>-3.5199999999999987</v>
      </c>
      <c r="FT169">
        <v>-2.9200000000000004</v>
      </c>
      <c r="FU169">
        <v>-1.4</v>
      </c>
      <c r="FV169">
        <v>-30.839999999999996</v>
      </c>
      <c r="FW169">
        <v>-19.239999999999998</v>
      </c>
      <c r="FX169">
        <v>-17.88</v>
      </c>
      <c r="FY169">
        <v>1.04</v>
      </c>
      <c r="FZ169">
        <v>5.24</v>
      </c>
      <c r="GA169">
        <v>9</v>
      </c>
      <c r="GB169">
        <v>3.1928000000000023</v>
      </c>
      <c r="GC169">
        <v>-0.3458399999999997</v>
      </c>
      <c r="GD169">
        <v>-1.3599999999999994</v>
      </c>
      <c r="GE169">
        <v>-3.1928000000000023</v>
      </c>
      <c r="GF169">
        <v>-1.6223999999999998</v>
      </c>
      <c r="GG169">
        <v>-4.76</v>
      </c>
      <c r="GH169">
        <v>-20.120000000000005</v>
      </c>
      <c r="GI169">
        <v>-2.46</v>
      </c>
      <c r="GJ169">
        <v>-16.920000000000002</v>
      </c>
      <c r="GK169">
        <v>-3.7200000000000006</v>
      </c>
      <c r="GL169">
        <v>1.3199999999999998</v>
      </c>
    </row>
    <row r="170" spans="1:194" x14ac:dyDescent="0.2">
      <c r="A170" s="39">
        <v>43751</v>
      </c>
      <c r="B170" s="22" t="s">
        <v>252</v>
      </c>
      <c r="C170" s="41" t="s">
        <v>288</v>
      </c>
      <c r="D170" s="22" t="s">
        <v>311</v>
      </c>
      <c r="E170">
        <v>25</v>
      </c>
      <c r="F170" s="14">
        <v>8.5</v>
      </c>
      <c r="G170">
        <v>4.4000000000000004</v>
      </c>
      <c r="H170">
        <v>9.8000000000000007</v>
      </c>
      <c r="I170">
        <v>-3.5</v>
      </c>
      <c r="J170">
        <v>54.5</v>
      </c>
      <c r="K170" t="s">
        <v>109</v>
      </c>
      <c r="L170" s="1" t="s">
        <v>288</v>
      </c>
      <c r="M170">
        <v>1</v>
      </c>
      <c r="N170">
        <v>7.8775999999999984</v>
      </c>
      <c r="O170">
        <v>32</v>
      </c>
      <c r="P170">
        <v>30</v>
      </c>
      <c r="Q170">
        <v>28</v>
      </c>
      <c r="R170">
        <v>-2.2800000000000002</v>
      </c>
      <c r="S170">
        <v>32</v>
      </c>
      <c r="T170">
        <v>-28.479999999999997</v>
      </c>
      <c r="U170">
        <v>0.64</v>
      </c>
      <c r="V170">
        <v>17</v>
      </c>
      <c r="W170">
        <v>16.5</v>
      </c>
      <c r="X170">
        <v>19</v>
      </c>
      <c r="Y170">
        <v>2.6295999999999995</v>
      </c>
      <c r="Z170">
        <v>14</v>
      </c>
      <c r="AA170">
        <v>5.0799999999999983</v>
      </c>
      <c r="AB170">
        <v>0.48</v>
      </c>
      <c r="AC170">
        <v>8</v>
      </c>
      <c r="AD170">
        <v>7</v>
      </c>
      <c r="AE170">
        <v>6</v>
      </c>
      <c r="AF170">
        <v>4.7320000000000011</v>
      </c>
      <c r="AG170">
        <v>8</v>
      </c>
      <c r="AH170">
        <v>24.96</v>
      </c>
      <c r="AI170">
        <v>1.6</v>
      </c>
      <c r="AJ170">
        <v>26</v>
      </c>
      <c r="AK170">
        <v>26.5</v>
      </c>
      <c r="AL170">
        <v>27</v>
      </c>
      <c r="AM170">
        <v>2.0080000000000013</v>
      </c>
      <c r="AN170">
        <v>26</v>
      </c>
      <c r="AO170">
        <v>1.1200000000000003</v>
      </c>
      <c r="AP170">
        <v>-0.79999999999999993</v>
      </c>
      <c r="AQ170">
        <v>9</v>
      </c>
      <c r="AR170">
        <v>9.5</v>
      </c>
      <c r="AS170">
        <v>11</v>
      </c>
      <c r="AT170">
        <v>3.5520000000000005</v>
      </c>
      <c r="AU170">
        <v>8</v>
      </c>
      <c r="AV170">
        <v>20.6</v>
      </c>
      <c r="AW170">
        <v>0.76</v>
      </c>
      <c r="AX170">
        <v>2</v>
      </c>
      <c r="AY170">
        <v>3.5</v>
      </c>
      <c r="AZ170">
        <v>4</v>
      </c>
      <c r="BA170">
        <v>7.7799999999999994</v>
      </c>
      <c r="BB170">
        <v>3</v>
      </c>
      <c r="BC170">
        <v>45.4</v>
      </c>
      <c r="BD170">
        <v>2.52</v>
      </c>
      <c r="BE170">
        <v>3</v>
      </c>
      <c r="BF170">
        <v>3.5</v>
      </c>
      <c r="BG170">
        <v>4</v>
      </c>
      <c r="BH170">
        <v>5.7119999999999997</v>
      </c>
      <c r="BI170">
        <v>3</v>
      </c>
      <c r="BJ170">
        <v>39.720000000000006</v>
      </c>
      <c r="BK170">
        <v>2.7199999999999998</v>
      </c>
      <c r="BL170">
        <v>15</v>
      </c>
      <c r="BM170">
        <v>14.5</v>
      </c>
      <c r="BN170">
        <v>12</v>
      </c>
      <c r="BO170">
        <v>1.8800000000000001</v>
      </c>
      <c r="BP170">
        <v>17</v>
      </c>
      <c r="BQ170">
        <v>0.24000000000000005</v>
      </c>
      <c r="BR170">
        <v>1.2399999999999998</v>
      </c>
      <c r="BS170">
        <v>29</v>
      </c>
      <c r="BT170">
        <v>25</v>
      </c>
      <c r="BU170">
        <v>26</v>
      </c>
      <c r="BV170">
        <v>-2.272091929463993E-2</v>
      </c>
      <c r="BW170">
        <v>23</v>
      </c>
      <c r="BX170">
        <v>-2.4195046901238412E-2</v>
      </c>
      <c r="BY170">
        <v>25</v>
      </c>
      <c r="BZ170">
        <v>4.7959999999999976</v>
      </c>
      <c r="CA170">
        <v>26</v>
      </c>
      <c r="CB170">
        <v>-2.7199999999999998</v>
      </c>
      <c r="CC170">
        <v>1.8800000000000012</v>
      </c>
      <c r="CD170">
        <v>4.6399999999999988</v>
      </c>
      <c r="CE170">
        <v>0.55999999999999983</v>
      </c>
      <c r="CF170">
        <v>65.2</v>
      </c>
      <c r="CG170">
        <v>89.44</v>
      </c>
      <c r="CH170">
        <v>-24.4</v>
      </c>
      <c r="CI170">
        <v>-4.04</v>
      </c>
      <c r="CJ170">
        <v>4.2000000000000011</v>
      </c>
      <c r="CK170">
        <v>2</v>
      </c>
      <c r="CL170">
        <v>7.5279999999999987</v>
      </c>
      <c r="CM170">
        <v>4.6015200000000007</v>
      </c>
      <c r="CN170">
        <v>113.84</v>
      </c>
      <c r="CO170">
        <v>-7.5279999999999987</v>
      </c>
      <c r="CP170">
        <v>3.2639</v>
      </c>
      <c r="CQ170">
        <v>10.292000000000002</v>
      </c>
      <c r="CR170">
        <v>46.680000000000007</v>
      </c>
      <c r="CS170">
        <v>0.34959999999999924</v>
      </c>
      <c r="CT170">
        <v>-23.4</v>
      </c>
      <c r="CU170">
        <v>4.2799999999999994</v>
      </c>
      <c r="CV170">
        <v>1.1200000000000001</v>
      </c>
      <c r="CW170">
        <v>0.19089999999999996</v>
      </c>
      <c r="CX170">
        <v>-2.2700000000000043E-2</v>
      </c>
      <c r="CY170" t="s">
        <v>311</v>
      </c>
      <c r="CZ170">
        <v>6</v>
      </c>
      <c r="DA170">
        <v>2.3008000000000002</v>
      </c>
      <c r="DB170">
        <v>27</v>
      </c>
      <c r="DC170">
        <v>24</v>
      </c>
      <c r="DD170">
        <v>18</v>
      </c>
      <c r="DE170">
        <v>-1.5288000000000004</v>
      </c>
      <c r="DF170">
        <v>30</v>
      </c>
      <c r="DG170">
        <v>-13.600000000000003</v>
      </c>
      <c r="DH170">
        <v>0.48000000000000009</v>
      </c>
      <c r="DI170">
        <v>1</v>
      </c>
      <c r="DJ170">
        <v>1</v>
      </c>
      <c r="DK170">
        <v>1</v>
      </c>
      <c r="DL170">
        <v>0.9</v>
      </c>
      <c r="DM170">
        <v>1</v>
      </c>
      <c r="DN170">
        <v>-2.9200000000000008</v>
      </c>
      <c r="DO170">
        <v>0.88000000000000012</v>
      </c>
      <c r="DP170">
        <v>15</v>
      </c>
      <c r="DQ170">
        <v>11.5</v>
      </c>
      <c r="DR170">
        <v>11</v>
      </c>
      <c r="DS170">
        <v>-0.21199999999999869</v>
      </c>
      <c r="DT170">
        <v>12</v>
      </c>
      <c r="DU170">
        <v>0.84000000000000052</v>
      </c>
      <c r="DV170">
        <v>0.23999999999999969</v>
      </c>
      <c r="DW170">
        <v>23</v>
      </c>
      <c r="DX170">
        <v>23</v>
      </c>
      <c r="DY170">
        <v>25</v>
      </c>
      <c r="DZ170">
        <v>1.1920000000000004</v>
      </c>
      <c r="EA170">
        <v>21</v>
      </c>
      <c r="EB170">
        <v>2.8800000000000012</v>
      </c>
      <c r="EC170">
        <v>1.2799999999999998</v>
      </c>
      <c r="ED170">
        <v>10</v>
      </c>
      <c r="EE170">
        <v>8.5</v>
      </c>
      <c r="EF170">
        <v>8</v>
      </c>
      <c r="EG170">
        <v>3.6560000000000001</v>
      </c>
      <c r="EH170">
        <v>9</v>
      </c>
      <c r="EI170">
        <v>13.279999999999998</v>
      </c>
      <c r="EJ170">
        <v>0.59999999999999987</v>
      </c>
      <c r="EK170">
        <v>15</v>
      </c>
      <c r="EL170">
        <v>15.5</v>
      </c>
      <c r="EM170">
        <v>18</v>
      </c>
      <c r="EN170">
        <v>1.5159999999999987</v>
      </c>
      <c r="EO170">
        <v>13</v>
      </c>
      <c r="EP170">
        <v>7.1599999999999993</v>
      </c>
      <c r="EQ170">
        <v>0.11999999999999993</v>
      </c>
      <c r="ER170">
        <v>14</v>
      </c>
      <c r="ES170">
        <v>14</v>
      </c>
      <c r="ET170">
        <v>14</v>
      </c>
      <c r="EU170">
        <v>-4.1920000000000019</v>
      </c>
      <c r="EV170">
        <v>14</v>
      </c>
      <c r="EW170">
        <v>-16.16</v>
      </c>
      <c r="EX170">
        <v>-1.2000000000000002</v>
      </c>
      <c r="EY170">
        <v>22</v>
      </c>
      <c r="EZ170">
        <v>21.5</v>
      </c>
      <c r="FA170">
        <v>19</v>
      </c>
      <c r="FB170">
        <v>1.1199999999999999</v>
      </c>
      <c r="FC170">
        <v>24</v>
      </c>
      <c r="FD170">
        <v>0.20000000000000004</v>
      </c>
      <c r="FE170">
        <v>-0.4799999999999997</v>
      </c>
      <c r="FF170">
        <v>27</v>
      </c>
      <c r="FG170">
        <v>22.75</v>
      </c>
      <c r="FH170">
        <v>31</v>
      </c>
      <c r="FI170">
        <v>3.7047734958900881E-2</v>
      </c>
      <c r="FJ170">
        <v>30</v>
      </c>
      <c r="FK170">
        <v>1.3651769396303429E-2</v>
      </c>
      <c r="FL170">
        <v>2</v>
      </c>
      <c r="FM170">
        <v>-5.3160000000000043</v>
      </c>
      <c r="FN170">
        <v>28</v>
      </c>
      <c r="FO170">
        <v>0.91999999999999993</v>
      </c>
      <c r="FP170">
        <v>2.8800000000000012</v>
      </c>
      <c r="FQ170">
        <v>-1.64</v>
      </c>
      <c r="FR170">
        <v>-0.16</v>
      </c>
      <c r="FS170">
        <v>1.8799999999999983</v>
      </c>
      <c r="FT170">
        <v>0.80000000000000071</v>
      </c>
      <c r="FU170">
        <v>-1.2</v>
      </c>
      <c r="FV170">
        <v>-1.0000000000000113</v>
      </c>
      <c r="FW170">
        <v>12.520000000000005</v>
      </c>
      <c r="FX170">
        <v>-16.88</v>
      </c>
      <c r="FY170">
        <v>-1.52</v>
      </c>
      <c r="FZ170">
        <v>4.88</v>
      </c>
      <c r="GA170">
        <v>12</v>
      </c>
      <c r="GB170">
        <v>2.9296000000000006</v>
      </c>
      <c r="GC170">
        <v>0.86336000000000013</v>
      </c>
      <c r="GD170">
        <v>29.400000000000006</v>
      </c>
      <c r="GE170">
        <v>-2.9296000000000006</v>
      </c>
      <c r="GF170">
        <v>0.40449999999999997</v>
      </c>
      <c r="GG170">
        <v>4.6360000000000019</v>
      </c>
      <c r="GH170">
        <v>17</v>
      </c>
      <c r="GI170">
        <v>-0.62880000000000036</v>
      </c>
      <c r="GJ170">
        <v>-16.520000000000003</v>
      </c>
      <c r="GK170">
        <v>0.91999999999999904</v>
      </c>
      <c r="GL170">
        <v>1.3600000000000003</v>
      </c>
    </row>
    <row r="171" spans="1:194" x14ac:dyDescent="0.2">
      <c r="A171" s="39">
        <v>43751</v>
      </c>
      <c r="B171" s="22" t="s">
        <v>252</v>
      </c>
      <c r="C171" s="41" t="s">
        <v>287</v>
      </c>
      <c r="D171" s="22" t="s">
        <v>309</v>
      </c>
      <c r="E171">
        <v>5.3</v>
      </c>
      <c r="F171">
        <v>12.2</v>
      </c>
      <c r="G171">
        <v>6.3</v>
      </c>
      <c r="H171">
        <f>33+2.5</f>
        <v>35.5</v>
      </c>
      <c r="I171">
        <v>-6</v>
      </c>
      <c r="J171">
        <v>42.5</v>
      </c>
      <c r="L171" s="1" t="s">
        <v>287</v>
      </c>
      <c r="M171">
        <v>22</v>
      </c>
      <c r="N171">
        <v>-1.4359999999999999</v>
      </c>
      <c r="O171">
        <v>17</v>
      </c>
      <c r="P171">
        <v>17</v>
      </c>
      <c r="Q171">
        <v>17</v>
      </c>
      <c r="R171">
        <v>6.5</v>
      </c>
      <c r="S171">
        <v>17</v>
      </c>
      <c r="T171">
        <v>-27.76</v>
      </c>
      <c r="U171">
        <v>3.4799999999999995</v>
      </c>
      <c r="V171">
        <v>3</v>
      </c>
      <c r="W171">
        <v>4.5</v>
      </c>
      <c r="X171">
        <v>1</v>
      </c>
      <c r="Y171">
        <v>-0.15999999999999986</v>
      </c>
      <c r="Z171">
        <v>8</v>
      </c>
      <c r="AA171">
        <v>8.84</v>
      </c>
      <c r="AB171">
        <v>0.8</v>
      </c>
      <c r="AC171">
        <v>9</v>
      </c>
      <c r="AD171">
        <v>10</v>
      </c>
      <c r="AE171">
        <v>9</v>
      </c>
      <c r="AF171">
        <v>3.776000000000002</v>
      </c>
      <c r="AG171">
        <v>11</v>
      </c>
      <c r="AH171">
        <v>17.880000000000003</v>
      </c>
      <c r="AI171">
        <v>2.68</v>
      </c>
      <c r="AJ171">
        <v>5</v>
      </c>
      <c r="AK171">
        <v>5.5</v>
      </c>
      <c r="AL171">
        <v>10</v>
      </c>
      <c r="AM171">
        <v>0.27599999999999997</v>
      </c>
      <c r="AN171">
        <v>1</v>
      </c>
      <c r="AO171">
        <v>15.080000000000002</v>
      </c>
      <c r="AP171">
        <v>0.8</v>
      </c>
      <c r="AQ171">
        <v>28</v>
      </c>
      <c r="AR171">
        <v>28.5</v>
      </c>
      <c r="AS171">
        <v>30</v>
      </c>
      <c r="AT171">
        <v>-2.4800000000000009</v>
      </c>
      <c r="AU171">
        <v>27</v>
      </c>
      <c r="AV171">
        <v>-6.12</v>
      </c>
      <c r="AW171">
        <v>-1.1600000000000001</v>
      </c>
      <c r="AX171">
        <v>10</v>
      </c>
      <c r="AY171">
        <v>11</v>
      </c>
      <c r="AZ171">
        <v>11</v>
      </c>
      <c r="BA171">
        <v>-2.7039999999999988</v>
      </c>
      <c r="BB171">
        <v>11</v>
      </c>
      <c r="BC171">
        <v>-17.040000000000003</v>
      </c>
      <c r="BD171">
        <v>-0.3999999999999998</v>
      </c>
      <c r="BE171">
        <v>26</v>
      </c>
      <c r="BF171">
        <v>26.5</v>
      </c>
      <c r="BG171">
        <v>27</v>
      </c>
      <c r="BH171">
        <v>-6.3639999999999999</v>
      </c>
      <c r="BI171">
        <v>26</v>
      </c>
      <c r="BJ171">
        <v>-24.68</v>
      </c>
      <c r="BK171">
        <v>-3.4799999999999995</v>
      </c>
      <c r="BL171">
        <v>4</v>
      </c>
      <c r="BM171">
        <v>7</v>
      </c>
      <c r="BN171">
        <v>11</v>
      </c>
      <c r="BO171">
        <v>-0.43999999999999984</v>
      </c>
      <c r="BP171">
        <v>3</v>
      </c>
      <c r="BQ171">
        <v>0.12000000000000011</v>
      </c>
      <c r="BR171">
        <v>-0.56000000000000016</v>
      </c>
      <c r="BS171">
        <v>10</v>
      </c>
      <c r="BT171">
        <v>12.75</v>
      </c>
      <c r="BU171">
        <v>24</v>
      </c>
      <c r="BV171">
        <v>4.762281287089546E-2</v>
      </c>
      <c r="BW171">
        <v>12</v>
      </c>
      <c r="BX171">
        <v>4.3710141647736196E-3</v>
      </c>
      <c r="BY171">
        <v>7</v>
      </c>
      <c r="BZ171">
        <v>6.6559999999999988</v>
      </c>
      <c r="CA171">
        <v>8</v>
      </c>
      <c r="CB171">
        <v>2.08</v>
      </c>
      <c r="CC171">
        <v>4.0000000000001992E-2</v>
      </c>
      <c r="CD171">
        <v>-4.5600000000000005</v>
      </c>
      <c r="CE171">
        <v>0</v>
      </c>
      <c r="CF171">
        <v>-4.5999999999999996</v>
      </c>
      <c r="CG171">
        <v>31.32</v>
      </c>
      <c r="CH171">
        <v>-22.439999999999998</v>
      </c>
      <c r="CI171">
        <v>-6.12</v>
      </c>
      <c r="CJ171">
        <v>-7.3599999999999994</v>
      </c>
      <c r="CK171">
        <v>28</v>
      </c>
      <c r="CL171">
        <v>-7.7759999999999998</v>
      </c>
      <c r="CM171">
        <v>-4.4155999999999995</v>
      </c>
      <c r="CN171">
        <v>53.76</v>
      </c>
      <c r="CO171">
        <v>7.7759999999999998</v>
      </c>
      <c r="CP171">
        <v>-4.0999999999999856E-2</v>
      </c>
      <c r="CQ171">
        <v>1.5720000000000014</v>
      </c>
      <c r="CR171">
        <v>26.840000000000007</v>
      </c>
      <c r="CS171">
        <v>6.34</v>
      </c>
      <c r="CT171">
        <v>-18.920000000000002</v>
      </c>
      <c r="CU171">
        <v>-1.1599999999999993</v>
      </c>
      <c r="CV171">
        <v>4.2799999999999994</v>
      </c>
      <c r="CW171">
        <v>-1.0772999999999999</v>
      </c>
      <c r="CX171">
        <v>-0.62259999999999982</v>
      </c>
      <c r="CY171" t="s">
        <v>309</v>
      </c>
      <c r="CZ171">
        <v>31</v>
      </c>
      <c r="DA171">
        <v>-4.1128</v>
      </c>
      <c r="DB171">
        <v>22</v>
      </c>
      <c r="DC171">
        <v>21.5</v>
      </c>
      <c r="DD171">
        <v>32</v>
      </c>
      <c r="DE171">
        <v>-4.7159999999999993</v>
      </c>
      <c r="DF171">
        <v>11</v>
      </c>
      <c r="DG171">
        <v>-16.440000000000005</v>
      </c>
      <c r="DH171">
        <v>0.36</v>
      </c>
      <c r="DI171">
        <v>16</v>
      </c>
      <c r="DJ171">
        <v>16.5</v>
      </c>
      <c r="DK171">
        <v>12</v>
      </c>
      <c r="DL171">
        <v>-0.83200000000000041</v>
      </c>
      <c r="DM171">
        <v>21</v>
      </c>
      <c r="DN171">
        <v>6.2399999999999993</v>
      </c>
      <c r="DO171">
        <v>3.9999999999999855E-2</v>
      </c>
      <c r="DP171">
        <v>26</v>
      </c>
      <c r="DQ171">
        <v>29.5</v>
      </c>
      <c r="DR171">
        <v>28</v>
      </c>
      <c r="DS171">
        <v>-3.7152000000000003</v>
      </c>
      <c r="DT171">
        <v>31</v>
      </c>
      <c r="DU171">
        <v>-15.12</v>
      </c>
      <c r="DV171">
        <v>-0.24000000000000005</v>
      </c>
      <c r="DW171">
        <v>29</v>
      </c>
      <c r="DX171">
        <v>29.5</v>
      </c>
      <c r="DY171">
        <v>31</v>
      </c>
      <c r="DZ171">
        <v>0.84400000000000031</v>
      </c>
      <c r="EA171">
        <v>28</v>
      </c>
      <c r="EB171">
        <v>-2.7199999999999989</v>
      </c>
      <c r="EC171">
        <v>8.0000000000000071E-2</v>
      </c>
      <c r="ED171">
        <v>5</v>
      </c>
      <c r="EE171">
        <v>25</v>
      </c>
      <c r="EF171">
        <v>27</v>
      </c>
      <c r="EG171">
        <v>2.7359999999999998</v>
      </c>
      <c r="EH171">
        <v>23</v>
      </c>
      <c r="EI171">
        <v>17.96</v>
      </c>
      <c r="EJ171">
        <v>-0.6399999999999999</v>
      </c>
      <c r="EK171">
        <v>27</v>
      </c>
      <c r="EL171">
        <v>27</v>
      </c>
      <c r="EM171">
        <v>30</v>
      </c>
      <c r="EN171">
        <v>6.3479999999999999</v>
      </c>
      <c r="EO171">
        <v>24</v>
      </c>
      <c r="EP171">
        <v>27.48</v>
      </c>
      <c r="EQ171">
        <v>3.4799999999999995</v>
      </c>
      <c r="ER171">
        <v>24</v>
      </c>
      <c r="ES171">
        <v>24</v>
      </c>
      <c r="ET171">
        <v>24</v>
      </c>
      <c r="EU171">
        <v>-3.5800000000000005</v>
      </c>
      <c r="EV171">
        <v>24</v>
      </c>
      <c r="EW171">
        <v>-17.16</v>
      </c>
      <c r="EX171">
        <v>-0.51999999999999991</v>
      </c>
      <c r="EY171">
        <v>30</v>
      </c>
      <c r="EZ171">
        <v>27.5</v>
      </c>
      <c r="FA171">
        <v>31</v>
      </c>
      <c r="FB171">
        <v>1.1199999999999999</v>
      </c>
      <c r="FC171">
        <v>24</v>
      </c>
      <c r="FD171">
        <v>7.9999999999999988E-2</v>
      </c>
      <c r="FE171">
        <v>-4.04</v>
      </c>
      <c r="FF171">
        <v>1</v>
      </c>
      <c r="FG171">
        <v>5.25</v>
      </c>
      <c r="FH171">
        <v>2</v>
      </c>
      <c r="FI171">
        <v>2.01642254272612E-2</v>
      </c>
      <c r="FJ171">
        <v>1</v>
      </c>
      <c r="FK171">
        <v>2.8321291752997892E-2</v>
      </c>
      <c r="FL171">
        <v>16</v>
      </c>
      <c r="FM171">
        <v>-6.7520000000000007</v>
      </c>
      <c r="FN171">
        <v>2</v>
      </c>
      <c r="FO171">
        <v>3.0799999999999992</v>
      </c>
      <c r="FP171">
        <v>-0.71999999999999886</v>
      </c>
      <c r="FQ171">
        <v>0.92000000000000104</v>
      </c>
      <c r="FR171">
        <v>1.1199999999999999</v>
      </c>
      <c r="FS171">
        <v>2.0800000000000027</v>
      </c>
      <c r="FT171">
        <v>-2.5600000000000009</v>
      </c>
      <c r="FU171">
        <v>-1.6799999999999997</v>
      </c>
      <c r="FV171">
        <v>-21.320000000000004</v>
      </c>
      <c r="FW171">
        <v>-17.160000000000004</v>
      </c>
      <c r="FX171">
        <v>-3.5599999999999978</v>
      </c>
      <c r="FY171">
        <v>-2.8</v>
      </c>
      <c r="FZ171">
        <v>2.2000000000000002</v>
      </c>
      <c r="GA171">
        <v>16</v>
      </c>
      <c r="GB171">
        <v>1.4351999999999996</v>
      </c>
      <c r="GC171">
        <v>1.2083999999999997</v>
      </c>
      <c r="GD171">
        <v>-13.600000000000005</v>
      </c>
      <c r="GE171">
        <v>-1.4352</v>
      </c>
      <c r="GF171">
        <v>-1.532</v>
      </c>
      <c r="GG171">
        <v>-0.13520000000000021</v>
      </c>
      <c r="GH171">
        <v>0.12000000000000455</v>
      </c>
      <c r="GI171">
        <v>-5.548</v>
      </c>
      <c r="GJ171">
        <v>-10.200000000000006</v>
      </c>
      <c r="GK171">
        <v>-1.3199999999999998</v>
      </c>
      <c r="GL171">
        <v>0.39999999999999986</v>
      </c>
    </row>
    <row r="172" spans="1:194" x14ac:dyDescent="0.2">
      <c r="A172" s="39">
        <v>43751</v>
      </c>
      <c r="B172" s="22" t="s">
        <v>252</v>
      </c>
      <c r="C172" s="41" t="s">
        <v>304</v>
      </c>
      <c r="D172" s="22" t="s">
        <v>256</v>
      </c>
      <c r="E172" s="14">
        <v>5.7</v>
      </c>
      <c r="F172">
        <v>7.6</v>
      </c>
      <c r="G172">
        <v>6.2</v>
      </c>
      <c r="H172">
        <f>5.5+2.9</f>
        <v>8.4</v>
      </c>
      <c r="I172">
        <v>-3</v>
      </c>
      <c r="J172">
        <v>49.5</v>
      </c>
      <c r="K172" t="s">
        <v>109</v>
      </c>
      <c r="L172" s="1" t="s">
        <v>304</v>
      </c>
      <c r="M172">
        <v>21</v>
      </c>
      <c r="N172">
        <v>-1.3296000000000003</v>
      </c>
      <c r="O172">
        <v>12</v>
      </c>
      <c r="P172">
        <v>14.5</v>
      </c>
      <c r="Q172">
        <v>15</v>
      </c>
      <c r="R172">
        <v>0.34719999999999979</v>
      </c>
      <c r="S172">
        <v>14</v>
      </c>
      <c r="T172">
        <v>-1.8399999999999992</v>
      </c>
      <c r="U172">
        <v>-0.11999999999999993</v>
      </c>
      <c r="V172">
        <v>21</v>
      </c>
      <c r="W172">
        <v>19</v>
      </c>
      <c r="X172">
        <v>21</v>
      </c>
      <c r="Y172">
        <v>-0.80399999999999994</v>
      </c>
      <c r="Z172">
        <v>17</v>
      </c>
      <c r="AA172">
        <v>-1.4799999999999998</v>
      </c>
      <c r="AB172">
        <v>-0.91999999999999993</v>
      </c>
      <c r="AC172">
        <v>12</v>
      </c>
      <c r="AD172">
        <v>13</v>
      </c>
      <c r="AE172">
        <v>13</v>
      </c>
      <c r="AF172">
        <v>8.4079999999999995</v>
      </c>
      <c r="AG172">
        <v>13</v>
      </c>
      <c r="AH172">
        <v>30.2</v>
      </c>
      <c r="AI172">
        <v>3.5999999999999992</v>
      </c>
      <c r="AJ172">
        <v>4</v>
      </c>
      <c r="AK172">
        <v>4.5</v>
      </c>
      <c r="AL172">
        <v>7</v>
      </c>
      <c r="AM172">
        <v>0.65600000000000003</v>
      </c>
      <c r="AN172">
        <v>2</v>
      </c>
      <c r="AO172">
        <v>3.6399999999999992</v>
      </c>
      <c r="AP172">
        <v>2.72</v>
      </c>
      <c r="AQ172">
        <v>8</v>
      </c>
      <c r="AR172">
        <v>8.5</v>
      </c>
      <c r="AS172">
        <v>8</v>
      </c>
      <c r="AT172">
        <v>7.2399999999999993</v>
      </c>
      <c r="AU172">
        <v>9</v>
      </c>
      <c r="AV172">
        <v>38.4</v>
      </c>
      <c r="AW172">
        <v>2.8</v>
      </c>
      <c r="AX172">
        <v>5</v>
      </c>
      <c r="AY172">
        <v>5</v>
      </c>
      <c r="AZ172">
        <v>8</v>
      </c>
      <c r="BA172">
        <v>6.7359999999999989</v>
      </c>
      <c r="BB172">
        <v>2</v>
      </c>
      <c r="BC172">
        <v>32.160000000000011</v>
      </c>
      <c r="BD172">
        <v>4.4799999999999995</v>
      </c>
      <c r="BE172">
        <v>12</v>
      </c>
      <c r="BF172">
        <v>12.5</v>
      </c>
      <c r="BG172">
        <v>14</v>
      </c>
      <c r="BH172">
        <v>2.4199999999999995</v>
      </c>
      <c r="BI172">
        <v>11</v>
      </c>
      <c r="BJ172">
        <v>14.12</v>
      </c>
      <c r="BK172">
        <v>2.0800000000000005</v>
      </c>
      <c r="BL172">
        <v>16</v>
      </c>
      <c r="BM172">
        <v>15.5</v>
      </c>
      <c r="BN172">
        <v>18</v>
      </c>
      <c r="BO172">
        <v>4.2799999999999994</v>
      </c>
      <c r="BP172">
        <v>13</v>
      </c>
      <c r="BQ172">
        <v>0.91999999999999993</v>
      </c>
      <c r="BR172">
        <v>-1.04</v>
      </c>
      <c r="BS172">
        <v>23</v>
      </c>
      <c r="BT172">
        <v>20.5</v>
      </c>
      <c r="BU172">
        <v>32</v>
      </c>
      <c r="BV172">
        <v>5.6831637156475913E-2</v>
      </c>
      <c r="BW172">
        <v>29</v>
      </c>
      <c r="BX172">
        <v>-3.317534235534414E-2</v>
      </c>
      <c r="BY172">
        <v>8</v>
      </c>
      <c r="BZ172">
        <v>-5.1519999999999992</v>
      </c>
      <c r="CA172">
        <v>13</v>
      </c>
      <c r="CB172">
        <v>-1.1999999999999997</v>
      </c>
      <c r="CC172">
        <v>4.8800000000000008</v>
      </c>
      <c r="CD172">
        <v>5.2</v>
      </c>
      <c r="CE172">
        <v>-0.43999999999999984</v>
      </c>
      <c r="CF172">
        <v>48.199999999999989</v>
      </c>
      <c r="CG172">
        <v>60.679999999999993</v>
      </c>
      <c r="CH172">
        <v>-6.5199999999999987</v>
      </c>
      <c r="CI172">
        <v>9.0800000000000018</v>
      </c>
      <c r="CJ172">
        <v>-15.039999999999997</v>
      </c>
      <c r="CK172">
        <v>22</v>
      </c>
      <c r="CL172">
        <v>-0.87280000000000013</v>
      </c>
      <c r="CM172">
        <v>3.7072799999999995</v>
      </c>
      <c r="CN172">
        <v>67.199999999999989</v>
      </c>
      <c r="CO172">
        <v>0.87280000000000024</v>
      </c>
      <c r="CP172">
        <v>2.6521999999999997</v>
      </c>
      <c r="CQ172">
        <v>16.303999999999998</v>
      </c>
      <c r="CR172">
        <v>72.239999999999995</v>
      </c>
      <c r="CS172">
        <v>-0.45680000000000015</v>
      </c>
      <c r="CT172">
        <v>-3.319999999999999</v>
      </c>
      <c r="CU172">
        <v>11.2</v>
      </c>
      <c r="CV172">
        <v>-1.0399999999999998</v>
      </c>
      <c r="CW172">
        <v>-2.0659999999999998</v>
      </c>
      <c r="CX172">
        <v>0.17100000000000018</v>
      </c>
      <c r="CY172" t="s">
        <v>256</v>
      </c>
      <c r="CZ172">
        <v>22</v>
      </c>
      <c r="DA172">
        <v>-6.7359999999999989</v>
      </c>
      <c r="DB172">
        <v>14</v>
      </c>
      <c r="DC172">
        <v>16</v>
      </c>
      <c r="DD172">
        <v>22</v>
      </c>
      <c r="DE172">
        <v>-6.492</v>
      </c>
      <c r="DF172">
        <v>10</v>
      </c>
      <c r="DG172">
        <v>-8.92</v>
      </c>
      <c r="DH172">
        <v>-1.0400000000000003</v>
      </c>
      <c r="DI172">
        <v>32</v>
      </c>
      <c r="DJ172">
        <v>32</v>
      </c>
      <c r="DK172">
        <v>32</v>
      </c>
      <c r="DL172">
        <v>-2.5880000000000005</v>
      </c>
      <c r="DM172">
        <v>32</v>
      </c>
      <c r="DN172">
        <v>0.51999999999999991</v>
      </c>
      <c r="DO172">
        <v>-0.12000000000000002</v>
      </c>
      <c r="DP172">
        <v>28</v>
      </c>
      <c r="DQ172">
        <v>26.5</v>
      </c>
      <c r="DR172">
        <v>23</v>
      </c>
      <c r="DS172">
        <v>-5.6280000000000001</v>
      </c>
      <c r="DT172">
        <v>30</v>
      </c>
      <c r="DU172">
        <v>-22.88</v>
      </c>
      <c r="DV172">
        <v>-2.4</v>
      </c>
      <c r="DW172">
        <v>31</v>
      </c>
      <c r="DX172">
        <v>30.5</v>
      </c>
      <c r="DY172">
        <v>32</v>
      </c>
      <c r="DZ172">
        <v>-1.5920000000000012</v>
      </c>
      <c r="EA172">
        <v>29</v>
      </c>
      <c r="EB172">
        <v>-13.959999999999999</v>
      </c>
      <c r="EC172">
        <v>-1.9600000000000002</v>
      </c>
      <c r="ED172">
        <v>7</v>
      </c>
      <c r="EE172">
        <v>14</v>
      </c>
      <c r="EF172">
        <v>12</v>
      </c>
      <c r="EG172">
        <v>-3.0920000000000005</v>
      </c>
      <c r="EH172">
        <v>16</v>
      </c>
      <c r="EI172">
        <v>-21.48</v>
      </c>
      <c r="EJ172">
        <v>-1.0399999999999998</v>
      </c>
      <c r="EK172">
        <v>27</v>
      </c>
      <c r="EL172">
        <v>27</v>
      </c>
      <c r="EM172">
        <v>26</v>
      </c>
      <c r="EN172">
        <v>-8.6079999999999988</v>
      </c>
      <c r="EO172">
        <v>28</v>
      </c>
      <c r="EP172">
        <v>-34.08</v>
      </c>
      <c r="EQ172">
        <v>-4.6799999999999988</v>
      </c>
      <c r="ER172">
        <v>22</v>
      </c>
      <c r="ES172">
        <v>23.5</v>
      </c>
      <c r="ET172">
        <v>19</v>
      </c>
      <c r="EU172">
        <v>-3.8160000000000003</v>
      </c>
      <c r="EV172">
        <v>28</v>
      </c>
      <c r="EW172">
        <v>-18.880000000000003</v>
      </c>
      <c r="EX172">
        <v>-3.9999999999999945E-2</v>
      </c>
      <c r="EY172">
        <v>18</v>
      </c>
      <c r="EZ172">
        <v>20</v>
      </c>
      <c r="FA172">
        <v>22</v>
      </c>
      <c r="FB172">
        <v>-4.4799999999999995</v>
      </c>
      <c r="FC172">
        <v>18</v>
      </c>
      <c r="FD172">
        <v>-1</v>
      </c>
      <c r="FE172">
        <v>-0.76</v>
      </c>
      <c r="FF172">
        <v>13</v>
      </c>
      <c r="FG172">
        <v>14.75</v>
      </c>
      <c r="FH172">
        <v>23</v>
      </c>
      <c r="FI172">
        <v>4.3640317582626875E-2</v>
      </c>
      <c r="FJ172">
        <v>8</v>
      </c>
      <c r="FK172">
        <v>3.5577552373849519E-2</v>
      </c>
      <c r="FL172">
        <v>24</v>
      </c>
      <c r="FM172">
        <v>-18.596000000000004</v>
      </c>
      <c r="FN172">
        <v>4</v>
      </c>
      <c r="FO172">
        <v>5.1599999999999993</v>
      </c>
      <c r="FP172">
        <v>-6.3599999999999994</v>
      </c>
      <c r="FQ172">
        <v>-2.0399999999999991</v>
      </c>
      <c r="FR172">
        <v>0.27999999999999992</v>
      </c>
      <c r="FS172">
        <v>-6.919999999999999</v>
      </c>
      <c r="FT172">
        <v>-10.32</v>
      </c>
      <c r="FU172">
        <v>0.56000000000000005</v>
      </c>
      <c r="FV172">
        <v>-100.32000000000001</v>
      </c>
      <c r="FW172">
        <v>-98.359999999999985</v>
      </c>
      <c r="FX172">
        <v>-9.2799999999999994</v>
      </c>
      <c r="FY172">
        <v>5.8</v>
      </c>
      <c r="FZ172">
        <v>1.52</v>
      </c>
      <c r="GA172">
        <v>13</v>
      </c>
      <c r="GB172">
        <v>2.3440000000000016</v>
      </c>
      <c r="GC172">
        <v>0.36719999999999953</v>
      </c>
      <c r="GD172">
        <v>-89.079999999999984</v>
      </c>
      <c r="GE172">
        <v>-2.3440000000000012</v>
      </c>
      <c r="GF172">
        <v>-4.3029999999999999</v>
      </c>
      <c r="GG172">
        <v>-10.312000000000001</v>
      </c>
      <c r="GH172">
        <v>-58.319999999999993</v>
      </c>
      <c r="GI172">
        <v>-9.08</v>
      </c>
      <c r="GJ172">
        <v>-8.4</v>
      </c>
      <c r="GK172">
        <v>-5.44</v>
      </c>
      <c r="GL172">
        <v>-1.1600000000000004</v>
      </c>
    </row>
    <row r="173" spans="1:194" x14ac:dyDescent="0.2">
      <c r="A173" s="39">
        <v>43751</v>
      </c>
      <c r="B173" s="28" t="s">
        <v>252</v>
      </c>
      <c r="C173" s="41" t="s">
        <v>293</v>
      </c>
      <c r="D173" s="28" t="s">
        <v>306</v>
      </c>
      <c r="E173" s="30">
        <v>5.0999999999999996</v>
      </c>
      <c r="F173" s="3">
        <v>11.8</v>
      </c>
      <c r="G173" s="3">
        <v>6.5</v>
      </c>
      <c r="H173" s="3">
        <f>8.1+1.3</f>
        <v>9.4</v>
      </c>
      <c r="I173" s="3">
        <v>6</v>
      </c>
      <c r="J173" s="3">
        <v>42</v>
      </c>
      <c r="K173" s="3"/>
      <c r="L173" s="1" t="s">
        <v>293</v>
      </c>
      <c r="M173">
        <v>31</v>
      </c>
      <c r="N173">
        <v>-6.6383999999999999</v>
      </c>
      <c r="O173">
        <v>31</v>
      </c>
      <c r="P173">
        <v>29</v>
      </c>
      <c r="Q173">
        <v>27</v>
      </c>
      <c r="R173">
        <v>-7.3440000000000012</v>
      </c>
      <c r="S173">
        <v>31</v>
      </c>
      <c r="T173">
        <v>-33.799999999999997</v>
      </c>
      <c r="U173">
        <v>2.6</v>
      </c>
      <c r="V173">
        <v>26</v>
      </c>
      <c r="W173">
        <v>24.5</v>
      </c>
      <c r="X173">
        <v>23</v>
      </c>
      <c r="Y173">
        <v>-1.6344000000000005</v>
      </c>
      <c r="Z173">
        <v>26</v>
      </c>
      <c r="AA173">
        <v>0.72000000000000031</v>
      </c>
      <c r="AB173">
        <v>0.16000000000000006</v>
      </c>
      <c r="AC173">
        <v>1</v>
      </c>
      <c r="AD173">
        <v>1.5</v>
      </c>
      <c r="AE173">
        <v>2</v>
      </c>
      <c r="AF173">
        <v>-4.556</v>
      </c>
      <c r="AG173">
        <v>1</v>
      </c>
      <c r="AH173">
        <v>-15.439999999999998</v>
      </c>
      <c r="AI173">
        <v>-0.19999999999999982</v>
      </c>
      <c r="AJ173">
        <v>18</v>
      </c>
      <c r="AK173">
        <v>18.5</v>
      </c>
      <c r="AL173">
        <v>18</v>
      </c>
      <c r="AM173">
        <v>-2.5439999999999996</v>
      </c>
      <c r="AN173">
        <v>19</v>
      </c>
      <c r="AO173">
        <v>-9.16</v>
      </c>
      <c r="AP173">
        <v>-0.91999999999999993</v>
      </c>
      <c r="AQ173">
        <v>5</v>
      </c>
      <c r="AR173">
        <v>5.5</v>
      </c>
      <c r="AS173">
        <v>4</v>
      </c>
      <c r="AT173">
        <v>-0.54799999999999982</v>
      </c>
      <c r="AU173">
        <v>7</v>
      </c>
      <c r="AV173">
        <v>-7.4799999999999995</v>
      </c>
      <c r="AW173">
        <v>0.87999999999999989</v>
      </c>
      <c r="AX173">
        <v>1</v>
      </c>
      <c r="AY173">
        <v>1</v>
      </c>
      <c r="AZ173">
        <v>1</v>
      </c>
      <c r="BA173">
        <v>-5.120000000000001</v>
      </c>
      <c r="BB173">
        <v>1</v>
      </c>
      <c r="BC173">
        <v>-28</v>
      </c>
      <c r="BD173">
        <v>-0.91999999999999971</v>
      </c>
      <c r="BE173">
        <v>10</v>
      </c>
      <c r="BF173">
        <v>11</v>
      </c>
      <c r="BG173">
        <v>12</v>
      </c>
      <c r="BH173">
        <v>-5.24</v>
      </c>
      <c r="BI173">
        <v>10</v>
      </c>
      <c r="BJ173">
        <v>-18.8</v>
      </c>
      <c r="BK173">
        <v>-1.2</v>
      </c>
      <c r="BL173">
        <v>13</v>
      </c>
      <c r="BM173">
        <v>12</v>
      </c>
      <c r="BN173">
        <v>3</v>
      </c>
      <c r="BO173">
        <v>-2.2000000000000002</v>
      </c>
      <c r="BP173">
        <v>21</v>
      </c>
      <c r="BQ173">
        <v>-8.0000000000000043E-2</v>
      </c>
      <c r="BR173">
        <v>-6.0399999999999991</v>
      </c>
      <c r="BS173">
        <v>16</v>
      </c>
      <c r="BT173">
        <v>14.5</v>
      </c>
      <c r="BU173">
        <v>12</v>
      </c>
      <c r="BV173">
        <v>4.7760040664507467E-2</v>
      </c>
      <c r="BW173">
        <v>10</v>
      </c>
      <c r="BX173">
        <v>3.7307312923229516E-2</v>
      </c>
      <c r="BY173">
        <v>14</v>
      </c>
      <c r="BZ173">
        <v>-16.431999999999995</v>
      </c>
      <c r="CA173">
        <v>22</v>
      </c>
      <c r="CB173">
        <v>8.24</v>
      </c>
      <c r="CC173">
        <v>-1.5600000000000009</v>
      </c>
      <c r="CD173">
        <v>-10.16</v>
      </c>
      <c r="CE173">
        <v>-1.1199999999999999</v>
      </c>
      <c r="CF173">
        <v>-94.11999999999999</v>
      </c>
      <c r="CG173">
        <v>-45.64</v>
      </c>
      <c r="CH173">
        <v>-36</v>
      </c>
      <c r="CI173">
        <v>-7</v>
      </c>
      <c r="CJ173">
        <v>-5.4799999999999995</v>
      </c>
      <c r="CK173">
        <v>17</v>
      </c>
      <c r="CL173">
        <v>2.3400000000000016</v>
      </c>
      <c r="CM173">
        <v>0.58392000000000133</v>
      </c>
      <c r="CN173">
        <v>-9.64</v>
      </c>
      <c r="CO173">
        <v>-2.3400000000000025</v>
      </c>
      <c r="CP173">
        <v>-3.8381000000000003</v>
      </c>
      <c r="CQ173">
        <v>-7.6479999999999997</v>
      </c>
      <c r="CR173">
        <v>-32.08</v>
      </c>
      <c r="CS173">
        <v>-8.9784000000000024</v>
      </c>
      <c r="CT173">
        <v>-33.08</v>
      </c>
      <c r="CU173">
        <v>-1.4399999999999997</v>
      </c>
      <c r="CV173">
        <v>2.7600000000000002</v>
      </c>
      <c r="CW173">
        <v>1.7779499999999997</v>
      </c>
      <c r="CX173">
        <v>1.7088999999999996</v>
      </c>
      <c r="CY173" t="s">
        <v>306</v>
      </c>
      <c r="CZ173">
        <v>22</v>
      </c>
      <c r="DA173">
        <v>4.0152000000000001</v>
      </c>
      <c r="DB173">
        <v>11</v>
      </c>
      <c r="DC173">
        <v>11</v>
      </c>
      <c r="DD173">
        <v>16</v>
      </c>
      <c r="DE173">
        <v>3.2280000000000002</v>
      </c>
      <c r="DF173">
        <v>6</v>
      </c>
      <c r="DG173">
        <v>10</v>
      </c>
      <c r="DH173">
        <v>0.33999999999999997</v>
      </c>
      <c r="DI173">
        <v>10</v>
      </c>
      <c r="DJ173">
        <v>12.5</v>
      </c>
      <c r="DK173">
        <v>16</v>
      </c>
      <c r="DL173">
        <v>-1.488</v>
      </c>
      <c r="DM173">
        <v>9</v>
      </c>
      <c r="DN173">
        <v>2.5099999999999989</v>
      </c>
      <c r="DO173">
        <v>-0.2100000000000001</v>
      </c>
      <c r="DP173">
        <v>13</v>
      </c>
      <c r="DQ173">
        <v>12</v>
      </c>
      <c r="DR173">
        <v>14</v>
      </c>
      <c r="DS173">
        <v>2.479999999999798E-2</v>
      </c>
      <c r="DT173">
        <v>10</v>
      </c>
      <c r="DU173">
        <v>-6.0800000000000036</v>
      </c>
      <c r="DV173">
        <v>-1.64</v>
      </c>
      <c r="DW173">
        <v>26</v>
      </c>
      <c r="DX173">
        <v>26.5</v>
      </c>
      <c r="DY173">
        <v>23</v>
      </c>
      <c r="DZ173">
        <v>10.708000000000002</v>
      </c>
      <c r="EA173">
        <v>30</v>
      </c>
      <c r="EB173">
        <v>29.4</v>
      </c>
      <c r="EC173">
        <v>1.52</v>
      </c>
      <c r="ED173">
        <v>32</v>
      </c>
      <c r="EE173">
        <v>15</v>
      </c>
      <c r="EF173">
        <v>15</v>
      </c>
      <c r="EG173">
        <v>-2.9440000000000004</v>
      </c>
      <c r="EH173">
        <v>15</v>
      </c>
      <c r="EI173">
        <v>-13.48</v>
      </c>
      <c r="EJ173">
        <v>-0.68</v>
      </c>
      <c r="EK173">
        <v>7</v>
      </c>
      <c r="EL173">
        <v>7.5</v>
      </c>
      <c r="EM173">
        <v>7</v>
      </c>
      <c r="EN173">
        <v>0.45600000000000163</v>
      </c>
      <c r="EO173">
        <v>8</v>
      </c>
      <c r="EP173">
        <v>-13.040000000000006</v>
      </c>
      <c r="EQ173">
        <v>-1.3199999999999998</v>
      </c>
      <c r="ER173">
        <v>10</v>
      </c>
      <c r="ES173">
        <v>10.5</v>
      </c>
      <c r="ET173">
        <v>6</v>
      </c>
      <c r="EU173">
        <v>0.71200000000000008</v>
      </c>
      <c r="EV173">
        <v>15</v>
      </c>
      <c r="EW173">
        <v>2.5199999999999996</v>
      </c>
      <c r="EX173">
        <v>0.15999999999999978</v>
      </c>
      <c r="EY173">
        <v>12</v>
      </c>
      <c r="EZ173">
        <v>12.5</v>
      </c>
      <c r="FA173">
        <v>12</v>
      </c>
      <c r="FB173">
        <v>0.52000000000000013</v>
      </c>
      <c r="FC173">
        <v>13</v>
      </c>
      <c r="FD173">
        <v>-3.9999999999999994E-2</v>
      </c>
      <c r="FE173">
        <v>1.4800000000000004</v>
      </c>
      <c r="FF173">
        <v>3</v>
      </c>
      <c r="FG173">
        <v>8</v>
      </c>
      <c r="FH173">
        <v>13</v>
      </c>
      <c r="FI173">
        <v>-2.8309701599881398E-2</v>
      </c>
      <c r="FJ173">
        <v>2</v>
      </c>
      <c r="FK173">
        <v>2.5739081704012059E-3</v>
      </c>
      <c r="FL173">
        <v>9</v>
      </c>
      <c r="FM173">
        <v>18.360000000000003</v>
      </c>
      <c r="FN173">
        <v>8</v>
      </c>
      <c r="FO173">
        <v>-1.56</v>
      </c>
      <c r="FP173">
        <v>-1.5600000000000009</v>
      </c>
      <c r="FQ173">
        <v>3.6000000000000005</v>
      </c>
      <c r="FR173">
        <v>0.1999999999999999</v>
      </c>
      <c r="FS173">
        <v>2.9199999999999973</v>
      </c>
      <c r="FT173">
        <v>4.92</v>
      </c>
      <c r="FU173">
        <v>0.83999999999999986</v>
      </c>
      <c r="FV173">
        <v>50.640000000000008</v>
      </c>
      <c r="FW173">
        <v>15.8</v>
      </c>
      <c r="FX173">
        <v>21.64</v>
      </c>
      <c r="FY173">
        <v>2.96</v>
      </c>
      <c r="FZ173">
        <v>10.24</v>
      </c>
      <c r="GA173">
        <v>14</v>
      </c>
      <c r="GB173">
        <v>2.2751999999999999</v>
      </c>
      <c r="GC173">
        <v>1.6332</v>
      </c>
      <c r="GD173">
        <v>-5.84</v>
      </c>
      <c r="GE173">
        <v>-2.2751999999999999</v>
      </c>
      <c r="GF173">
        <v>1.8469999999999998</v>
      </c>
      <c r="GG173">
        <v>7.7887999999999984</v>
      </c>
      <c r="GH173">
        <v>9.8399999999999928</v>
      </c>
      <c r="GI173">
        <v>1.7400000000000002</v>
      </c>
      <c r="GJ173">
        <v>12.509999999999998</v>
      </c>
      <c r="GK173">
        <v>-0.64000000000000012</v>
      </c>
      <c r="GL173">
        <v>0.12999999999999987</v>
      </c>
    </row>
    <row r="174" spans="1:194" x14ac:dyDescent="0.2">
      <c r="A174" s="39">
        <v>43751</v>
      </c>
      <c r="B174" s="22" t="s">
        <v>252</v>
      </c>
      <c r="C174" s="41" t="s">
        <v>312</v>
      </c>
      <c r="D174" s="22" t="s">
        <v>294</v>
      </c>
      <c r="E174">
        <v>17.7</v>
      </c>
      <c r="F174">
        <v>46.5</v>
      </c>
      <c r="G174">
        <v>2.6</v>
      </c>
      <c r="H174">
        <f>6.6+4.9</f>
        <v>11.5</v>
      </c>
      <c r="I174">
        <v>-3.5</v>
      </c>
      <c r="J174">
        <v>44</v>
      </c>
      <c r="K174" t="s">
        <v>110</v>
      </c>
      <c r="L174" s="1" t="s">
        <v>312</v>
      </c>
      <c r="M174">
        <v>30</v>
      </c>
      <c r="N174">
        <v>-5.3848000000000003</v>
      </c>
      <c r="O174">
        <v>12</v>
      </c>
      <c r="P174">
        <v>14.5</v>
      </c>
      <c r="Q174">
        <v>7</v>
      </c>
      <c r="R174">
        <v>11.343999999999999</v>
      </c>
      <c r="S174">
        <v>22</v>
      </c>
      <c r="T174">
        <v>43.6</v>
      </c>
      <c r="U174">
        <v>1.6800000000000002</v>
      </c>
      <c r="V174">
        <v>5</v>
      </c>
      <c r="W174">
        <v>8</v>
      </c>
      <c r="X174">
        <v>13</v>
      </c>
      <c r="Y174">
        <v>-2.4419999999999993</v>
      </c>
      <c r="Z174">
        <v>3</v>
      </c>
      <c r="AA174">
        <v>7.2</v>
      </c>
      <c r="AB174">
        <v>-2.71</v>
      </c>
      <c r="AC174">
        <v>16</v>
      </c>
      <c r="AD174">
        <v>17</v>
      </c>
      <c r="AE174">
        <v>18</v>
      </c>
      <c r="AF174">
        <v>-2.4000000000001263E-2</v>
      </c>
      <c r="AG174">
        <v>16</v>
      </c>
      <c r="AH174">
        <v>-4.2899999999999991</v>
      </c>
      <c r="AI174">
        <v>-1.8</v>
      </c>
      <c r="AJ174">
        <v>23</v>
      </c>
      <c r="AK174">
        <v>22</v>
      </c>
      <c r="AL174">
        <v>26</v>
      </c>
      <c r="AM174">
        <v>-6.2010000000000005</v>
      </c>
      <c r="AN174">
        <v>18</v>
      </c>
      <c r="AO174">
        <v>-20.65</v>
      </c>
      <c r="AP174">
        <v>-1.7100000000000002</v>
      </c>
      <c r="AQ174">
        <v>27</v>
      </c>
      <c r="AR174">
        <v>28</v>
      </c>
      <c r="AS174">
        <v>27</v>
      </c>
      <c r="AT174">
        <v>-0.35399999999999993</v>
      </c>
      <c r="AU174">
        <v>29</v>
      </c>
      <c r="AV174">
        <v>4.9200000000000008</v>
      </c>
      <c r="AW174">
        <v>-1.05</v>
      </c>
      <c r="AX174">
        <v>29</v>
      </c>
      <c r="AY174">
        <v>29</v>
      </c>
      <c r="AZ174">
        <v>29</v>
      </c>
      <c r="BA174">
        <v>-5.984</v>
      </c>
      <c r="BB174">
        <v>29</v>
      </c>
      <c r="BC174">
        <v>-25.839999999999996</v>
      </c>
      <c r="BD174">
        <v>-4.68</v>
      </c>
      <c r="BE174">
        <v>5</v>
      </c>
      <c r="BF174">
        <v>6</v>
      </c>
      <c r="BG174">
        <v>3</v>
      </c>
      <c r="BH174">
        <v>-7.5</v>
      </c>
      <c r="BI174">
        <v>9</v>
      </c>
      <c r="BJ174">
        <v>-28.72</v>
      </c>
      <c r="BK174">
        <v>-3.6799999999999997</v>
      </c>
      <c r="BL174">
        <v>26</v>
      </c>
      <c r="BM174">
        <v>25</v>
      </c>
      <c r="BN174">
        <v>21</v>
      </c>
      <c r="BO174">
        <v>0.72</v>
      </c>
      <c r="BP174">
        <v>29</v>
      </c>
      <c r="BQ174">
        <v>8.0000000000000029E-2</v>
      </c>
      <c r="BR174">
        <v>2.12</v>
      </c>
      <c r="BS174">
        <v>28</v>
      </c>
      <c r="BT174">
        <v>24.5</v>
      </c>
      <c r="BU174">
        <v>22</v>
      </c>
      <c r="BV174">
        <v>9.2588759899809872E-2</v>
      </c>
      <c r="BW174">
        <v>27</v>
      </c>
      <c r="BX174">
        <v>1.0555998053454647E-2</v>
      </c>
      <c r="BY174">
        <v>22</v>
      </c>
      <c r="BZ174">
        <v>16.312000000000001</v>
      </c>
      <c r="CA174">
        <v>27</v>
      </c>
      <c r="CB174">
        <v>-0.23999999999999991</v>
      </c>
      <c r="CC174">
        <v>-5.4</v>
      </c>
      <c r="CD174">
        <v>-0.12000000000000099</v>
      </c>
      <c r="CE174">
        <v>4.0000000000000036E-2</v>
      </c>
      <c r="CF174">
        <v>-8.7600000000000016</v>
      </c>
      <c r="CG174">
        <v>-62.52</v>
      </c>
      <c r="CH174">
        <v>57.919999999999995</v>
      </c>
      <c r="CI174">
        <v>-1</v>
      </c>
      <c r="CJ174">
        <v>-3.1599999999999997</v>
      </c>
      <c r="CK174">
        <v>31</v>
      </c>
      <c r="CL174">
        <v>-14.286799999999999</v>
      </c>
      <c r="CM174">
        <v>-8.3437599999999996</v>
      </c>
      <c r="CN174">
        <v>-120.44</v>
      </c>
      <c r="CO174">
        <v>14.286800000000001</v>
      </c>
      <c r="CP174">
        <v>-1.2302250000000001</v>
      </c>
      <c r="CQ174">
        <v>-6.5790000000000015</v>
      </c>
      <c r="CR174">
        <v>-20.019999999999996</v>
      </c>
      <c r="CS174">
        <v>8.902000000000001</v>
      </c>
      <c r="CT174">
        <v>50.800000000000004</v>
      </c>
      <c r="CU174">
        <v>-8.24</v>
      </c>
      <c r="CV174">
        <v>-1.0299999999999998</v>
      </c>
      <c r="CW174">
        <v>-8.989999999999998E-2</v>
      </c>
      <c r="CX174">
        <v>-1.2994000000000001</v>
      </c>
      <c r="CY174" t="s">
        <v>294</v>
      </c>
      <c r="CZ174">
        <v>30</v>
      </c>
      <c r="DA174">
        <v>2.5808000000000009</v>
      </c>
      <c r="DB174">
        <v>18</v>
      </c>
      <c r="DC174">
        <v>19.5</v>
      </c>
      <c r="DD174">
        <v>7</v>
      </c>
      <c r="DE174">
        <v>-2.2519999999999998</v>
      </c>
      <c r="DF174">
        <v>32</v>
      </c>
      <c r="DG174">
        <v>-23.84</v>
      </c>
      <c r="DH174">
        <v>0.76</v>
      </c>
      <c r="DI174">
        <v>5</v>
      </c>
      <c r="DJ174">
        <v>8</v>
      </c>
      <c r="DK174">
        <v>13</v>
      </c>
      <c r="DL174">
        <v>-1.4399999999999995</v>
      </c>
      <c r="DM174">
        <v>3</v>
      </c>
      <c r="DN174">
        <v>-4.88</v>
      </c>
      <c r="DO174">
        <v>0.12000000000000002</v>
      </c>
      <c r="DP174">
        <v>30</v>
      </c>
      <c r="DQ174">
        <v>24</v>
      </c>
      <c r="DR174">
        <v>24</v>
      </c>
      <c r="DS174">
        <v>3.5679999999999992</v>
      </c>
      <c r="DT174">
        <v>24</v>
      </c>
      <c r="DU174">
        <v>17.760000000000002</v>
      </c>
      <c r="DV174">
        <v>0.3999999999999998</v>
      </c>
      <c r="DW174">
        <v>31</v>
      </c>
      <c r="DX174">
        <v>30.5</v>
      </c>
      <c r="DY174">
        <v>30</v>
      </c>
      <c r="DZ174">
        <v>3.0480000000000005</v>
      </c>
      <c r="EA174">
        <v>31</v>
      </c>
      <c r="EB174">
        <v>11.040000000000001</v>
      </c>
      <c r="EC174">
        <v>1.2</v>
      </c>
      <c r="ED174">
        <v>29</v>
      </c>
      <c r="EE174">
        <v>20</v>
      </c>
      <c r="EF174">
        <v>18</v>
      </c>
      <c r="EG174">
        <v>2.0199999999999996</v>
      </c>
      <c r="EH174">
        <v>22</v>
      </c>
      <c r="EI174">
        <v>2.1199999999999974</v>
      </c>
      <c r="EJ174">
        <v>1.24</v>
      </c>
      <c r="EK174">
        <v>32</v>
      </c>
      <c r="EL174">
        <v>32</v>
      </c>
      <c r="EM174">
        <v>32</v>
      </c>
      <c r="EN174">
        <v>-4.5160000000000027</v>
      </c>
      <c r="EO174">
        <v>32</v>
      </c>
      <c r="EP174">
        <v>-20.360000000000003</v>
      </c>
      <c r="EQ174">
        <v>-1.9200000000000004</v>
      </c>
      <c r="ER174">
        <v>8</v>
      </c>
      <c r="ES174">
        <v>8.5</v>
      </c>
      <c r="ET174">
        <v>12</v>
      </c>
      <c r="EU174">
        <v>0.11199999999999974</v>
      </c>
      <c r="EV174">
        <v>5</v>
      </c>
      <c r="EW174">
        <v>-1.6799999999999997</v>
      </c>
      <c r="EX174">
        <v>0.31999999999999973</v>
      </c>
      <c r="EY174">
        <v>31</v>
      </c>
      <c r="EZ174">
        <v>28.5</v>
      </c>
      <c r="FA174">
        <v>26</v>
      </c>
      <c r="FB174">
        <v>1.3199999999999998</v>
      </c>
      <c r="FC174">
        <v>31</v>
      </c>
      <c r="FD174">
        <v>0.48</v>
      </c>
      <c r="FE174">
        <v>-1.2800000000000002</v>
      </c>
      <c r="FF174">
        <v>4</v>
      </c>
      <c r="FG174">
        <v>8.75</v>
      </c>
      <c r="FH174">
        <v>3</v>
      </c>
      <c r="FI174">
        <v>7.5912896900556331E-2</v>
      </c>
      <c r="FJ174">
        <v>4</v>
      </c>
      <c r="FK174">
        <v>-8.9269579253529237E-3</v>
      </c>
      <c r="FL174">
        <v>14</v>
      </c>
      <c r="FM174">
        <v>-1.4600000000000009</v>
      </c>
      <c r="FN174">
        <v>14</v>
      </c>
      <c r="FO174">
        <v>0.68000000000000038</v>
      </c>
      <c r="FP174">
        <v>2.7600000000000007</v>
      </c>
      <c r="FQ174">
        <v>-2.4399999999999995</v>
      </c>
      <c r="FR174">
        <v>-0.11999999999999997</v>
      </c>
      <c r="FS174">
        <v>0.35999999999999943</v>
      </c>
      <c r="FT174">
        <v>2.9600000000000004</v>
      </c>
      <c r="FU174">
        <v>0.2</v>
      </c>
      <c r="FV174">
        <v>12.759999999999996</v>
      </c>
      <c r="FW174">
        <v>29.52000000000001</v>
      </c>
      <c r="FX174">
        <v>-18.68</v>
      </c>
      <c r="FY174">
        <v>0.4799999999999997</v>
      </c>
      <c r="FZ174">
        <v>1.4399999999999986</v>
      </c>
      <c r="GA174">
        <v>5</v>
      </c>
      <c r="GB174">
        <v>6.2728000000000002</v>
      </c>
      <c r="GC174">
        <v>4.1117599999999994</v>
      </c>
      <c r="GD174">
        <v>48.20000000000001</v>
      </c>
      <c r="GE174">
        <v>-6.2728000000000002</v>
      </c>
      <c r="GF174">
        <v>1.1196000000000002</v>
      </c>
      <c r="GG174">
        <v>8.6359999999999992</v>
      </c>
      <c r="GH174">
        <v>30.92</v>
      </c>
      <c r="GI174">
        <v>-3.6919999999999993</v>
      </c>
      <c r="GJ174">
        <v>-28.72</v>
      </c>
      <c r="GK174">
        <v>3.1599999999999997</v>
      </c>
      <c r="GL174">
        <v>0.88</v>
      </c>
    </row>
    <row r="175" spans="1:194" x14ac:dyDescent="0.2">
      <c r="A175" s="39">
        <v>43751</v>
      </c>
      <c r="B175" s="22" t="s">
        <v>252</v>
      </c>
      <c r="C175" s="41" t="s">
        <v>302</v>
      </c>
      <c r="D175" s="22" t="s">
        <v>296</v>
      </c>
      <c r="E175">
        <v>23.3</v>
      </c>
      <c r="F175" s="14"/>
      <c r="G175">
        <v>9.4</v>
      </c>
      <c r="H175">
        <v>5.0999999999999996</v>
      </c>
      <c r="I175">
        <v>-16.5</v>
      </c>
      <c r="J175">
        <v>43</v>
      </c>
      <c r="L175" s="1" t="s">
        <v>302</v>
      </c>
      <c r="M175">
        <v>9</v>
      </c>
      <c r="N175">
        <v>2.2032000000000003</v>
      </c>
      <c r="O175">
        <v>27</v>
      </c>
      <c r="P175">
        <v>25</v>
      </c>
      <c r="Q175">
        <v>32</v>
      </c>
      <c r="R175">
        <v>-6.452</v>
      </c>
      <c r="S175">
        <v>18</v>
      </c>
      <c r="T175">
        <v>-18.360000000000003</v>
      </c>
      <c r="U175">
        <v>-2.2000000000000002</v>
      </c>
      <c r="V175">
        <v>12</v>
      </c>
      <c r="W175">
        <v>11.5</v>
      </c>
      <c r="X175">
        <v>5</v>
      </c>
      <c r="Y175">
        <v>6.2719999999999994</v>
      </c>
      <c r="Z175">
        <v>18</v>
      </c>
      <c r="AA175">
        <v>-3.5200000000000005</v>
      </c>
      <c r="AB175">
        <v>4.28</v>
      </c>
      <c r="AC175">
        <v>4</v>
      </c>
      <c r="AD175">
        <v>4</v>
      </c>
      <c r="AE175">
        <v>3</v>
      </c>
      <c r="AF175">
        <v>0.58880000000000021</v>
      </c>
      <c r="AG175">
        <v>5</v>
      </c>
      <c r="AH175">
        <v>-0.27999999999999831</v>
      </c>
      <c r="AI175">
        <v>1.24</v>
      </c>
      <c r="AJ175">
        <v>14</v>
      </c>
      <c r="AK175">
        <v>14</v>
      </c>
      <c r="AL175">
        <v>15</v>
      </c>
      <c r="AM175">
        <v>0.34400000000000014</v>
      </c>
      <c r="AN175">
        <v>13</v>
      </c>
      <c r="AO175">
        <v>11.8</v>
      </c>
      <c r="AP175">
        <v>0.55999999999999994</v>
      </c>
      <c r="AQ175">
        <v>16</v>
      </c>
      <c r="AR175">
        <v>16</v>
      </c>
      <c r="AS175">
        <v>13</v>
      </c>
      <c r="AT175">
        <v>4.2640000000000002</v>
      </c>
      <c r="AU175">
        <v>19</v>
      </c>
      <c r="AV175">
        <v>6.4799999999999995</v>
      </c>
      <c r="AW175">
        <v>1.1199999999999999</v>
      </c>
      <c r="AX175">
        <v>4</v>
      </c>
      <c r="AY175">
        <v>4.5</v>
      </c>
      <c r="AZ175">
        <v>2</v>
      </c>
      <c r="BA175">
        <v>7.8159999999999981</v>
      </c>
      <c r="BB175">
        <v>7</v>
      </c>
      <c r="BC175">
        <v>35.36</v>
      </c>
      <c r="BD175">
        <v>0.83999999999999986</v>
      </c>
      <c r="BE175">
        <v>25</v>
      </c>
      <c r="BF175">
        <v>25.5</v>
      </c>
      <c r="BG175">
        <v>28</v>
      </c>
      <c r="BH175">
        <v>-5.3079999999999981</v>
      </c>
      <c r="BI175">
        <v>23</v>
      </c>
      <c r="BJ175">
        <v>-21.080000000000002</v>
      </c>
      <c r="BK175">
        <v>-3.6799999999999997</v>
      </c>
      <c r="BL175">
        <v>2</v>
      </c>
      <c r="BM175">
        <v>5</v>
      </c>
      <c r="BN175">
        <v>8</v>
      </c>
      <c r="BO175">
        <v>1.0000000000000004</v>
      </c>
      <c r="BP175">
        <v>2</v>
      </c>
      <c r="BQ175">
        <v>0.15999999999999998</v>
      </c>
      <c r="BR175">
        <v>7.3600000000000012</v>
      </c>
      <c r="BS175">
        <v>27</v>
      </c>
      <c r="BT175">
        <v>23.25</v>
      </c>
      <c r="BU175">
        <v>23</v>
      </c>
      <c r="BV175">
        <v>-4.4008688400902884E-2</v>
      </c>
      <c r="BW175">
        <v>26</v>
      </c>
      <c r="BX175">
        <v>-1.6919940613386482E-2</v>
      </c>
      <c r="BY175">
        <v>23</v>
      </c>
      <c r="BZ175">
        <v>-16.464000000000006</v>
      </c>
      <c r="CA175">
        <v>21</v>
      </c>
      <c r="CB175">
        <v>-0.88000000000000012</v>
      </c>
      <c r="CC175">
        <v>2.3200000000000016</v>
      </c>
      <c r="CD175">
        <v>3.5999999999999992</v>
      </c>
      <c r="CE175">
        <v>1.8799999999999997</v>
      </c>
      <c r="CF175">
        <v>7.2400000000000091</v>
      </c>
      <c r="CG175">
        <v>31.600000000000005</v>
      </c>
      <c r="CH175">
        <v>-12.479999999999995</v>
      </c>
      <c r="CI175">
        <v>1.0399999999999998</v>
      </c>
      <c r="CJ175">
        <v>-12.919999999999998</v>
      </c>
      <c r="CK175">
        <v>16</v>
      </c>
      <c r="CL175">
        <v>2.3832000000000013</v>
      </c>
      <c r="CM175">
        <v>0.50840000000000096</v>
      </c>
      <c r="CN175">
        <v>44.08</v>
      </c>
      <c r="CO175">
        <v>-2.3832000000000009</v>
      </c>
      <c r="CP175">
        <v>0.36400000000000038</v>
      </c>
      <c r="CQ175">
        <v>5.1968000000000005</v>
      </c>
      <c r="CR175">
        <v>18.000000000000004</v>
      </c>
      <c r="CS175">
        <v>-0.1800000000000006</v>
      </c>
      <c r="CT175">
        <v>-21.880000000000003</v>
      </c>
      <c r="CU175">
        <v>-0.75999999999999979</v>
      </c>
      <c r="CV175">
        <v>2.08</v>
      </c>
      <c r="CW175">
        <v>-0.63929999999999987</v>
      </c>
      <c r="CX175">
        <v>-2.9612999999999996</v>
      </c>
      <c r="CY175" t="s">
        <v>296</v>
      </c>
      <c r="CZ175">
        <v>5</v>
      </c>
      <c r="DA175">
        <v>4.2375999999999987</v>
      </c>
      <c r="DB175">
        <v>31</v>
      </c>
      <c r="DC175">
        <v>29</v>
      </c>
      <c r="DD175">
        <v>31</v>
      </c>
      <c r="DE175">
        <v>-1.1119999999999997</v>
      </c>
      <c r="DF175">
        <v>27</v>
      </c>
      <c r="DG175">
        <v>-0.72000000000000453</v>
      </c>
      <c r="DH175">
        <v>-0.91999999999999993</v>
      </c>
      <c r="DI175">
        <v>15</v>
      </c>
      <c r="DJ175">
        <v>16</v>
      </c>
      <c r="DK175">
        <v>24</v>
      </c>
      <c r="DL175">
        <v>0.57600000000000018</v>
      </c>
      <c r="DM175">
        <v>8</v>
      </c>
      <c r="DN175">
        <v>11.28</v>
      </c>
      <c r="DO175">
        <v>-0.68</v>
      </c>
      <c r="DP175">
        <v>4</v>
      </c>
      <c r="DQ175">
        <v>4.5</v>
      </c>
      <c r="DR175">
        <v>4</v>
      </c>
      <c r="DS175">
        <v>7.9760000000000009</v>
      </c>
      <c r="DT175">
        <v>5</v>
      </c>
      <c r="DU175">
        <v>25.360000000000003</v>
      </c>
      <c r="DV175">
        <v>1.6400000000000001</v>
      </c>
      <c r="DW175">
        <v>13</v>
      </c>
      <c r="DX175">
        <v>13.5</v>
      </c>
      <c r="DY175">
        <v>14</v>
      </c>
      <c r="DZ175">
        <v>-3.628000000000001</v>
      </c>
      <c r="EA175">
        <v>13</v>
      </c>
      <c r="EB175">
        <v>1.3199999999999974</v>
      </c>
      <c r="EC175">
        <v>-2.08</v>
      </c>
      <c r="ED175">
        <v>24</v>
      </c>
      <c r="EE175">
        <v>13.5</v>
      </c>
      <c r="EF175">
        <v>16</v>
      </c>
      <c r="EG175">
        <v>3.0040000000000004</v>
      </c>
      <c r="EH175">
        <v>11</v>
      </c>
      <c r="EI175">
        <v>7.44</v>
      </c>
      <c r="EJ175">
        <v>-1.0400000000000003</v>
      </c>
      <c r="EK175">
        <v>2</v>
      </c>
      <c r="EL175">
        <v>3.5</v>
      </c>
      <c r="EM175">
        <v>4</v>
      </c>
      <c r="EN175">
        <v>-0.18000000000000077</v>
      </c>
      <c r="EO175">
        <v>3</v>
      </c>
      <c r="EP175">
        <v>-16.600000000000001</v>
      </c>
      <c r="EQ175">
        <v>-2</v>
      </c>
      <c r="ER175">
        <v>17</v>
      </c>
      <c r="ES175">
        <v>15.5</v>
      </c>
      <c r="ET175">
        <v>15</v>
      </c>
      <c r="EU175">
        <v>0.12799999999999975</v>
      </c>
      <c r="EV175">
        <v>16</v>
      </c>
      <c r="EW175">
        <v>-3.8800000000000012</v>
      </c>
      <c r="EX175">
        <v>0.44000000000000006</v>
      </c>
      <c r="EY175">
        <v>2</v>
      </c>
      <c r="EZ175">
        <v>3</v>
      </c>
      <c r="FA175">
        <v>2</v>
      </c>
      <c r="FB175">
        <v>2.2799999999999998</v>
      </c>
      <c r="FC175">
        <v>4</v>
      </c>
      <c r="FD175">
        <v>0.48</v>
      </c>
      <c r="FE175">
        <v>0.96</v>
      </c>
      <c r="FF175">
        <v>29</v>
      </c>
      <c r="FG175">
        <v>24</v>
      </c>
      <c r="FH175">
        <v>11</v>
      </c>
      <c r="FI175">
        <v>-6.0990352648478983E-2</v>
      </c>
      <c r="FJ175">
        <v>27</v>
      </c>
      <c r="FK175">
        <v>4.5809872949552858E-3</v>
      </c>
      <c r="FL175">
        <v>31</v>
      </c>
      <c r="FM175">
        <v>0.55200000000000105</v>
      </c>
      <c r="FN175">
        <v>27</v>
      </c>
      <c r="FO175">
        <v>-1.9599999999999997</v>
      </c>
      <c r="FP175">
        <v>-2.04</v>
      </c>
      <c r="FQ175">
        <v>3.04</v>
      </c>
      <c r="FR175">
        <v>8.0000000000000154E-2</v>
      </c>
      <c r="FS175">
        <v>0.87999999999999967</v>
      </c>
      <c r="FT175">
        <v>3.12</v>
      </c>
      <c r="FU175">
        <v>-0.23999999999999994</v>
      </c>
      <c r="FV175">
        <v>44.559999999999988</v>
      </c>
      <c r="FW175">
        <v>39.080000000000005</v>
      </c>
      <c r="FX175">
        <v>11.960000000000003</v>
      </c>
      <c r="FY175">
        <v>-3.1199999999999997</v>
      </c>
      <c r="FZ175">
        <v>-3.3600000000000003</v>
      </c>
      <c r="GA175">
        <v>6</v>
      </c>
      <c r="GB175">
        <v>4.7735999999999983</v>
      </c>
      <c r="GC175">
        <v>2.6115200000000001</v>
      </c>
      <c r="GD175">
        <v>27.120000000000005</v>
      </c>
      <c r="GE175">
        <v>-4.7735999999999983</v>
      </c>
      <c r="GF175">
        <v>1.6826999999999999</v>
      </c>
      <c r="GG175">
        <v>7.3520000000000003</v>
      </c>
      <c r="GH175">
        <v>34.119999999999997</v>
      </c>
      <c r="GI175">
        <v>-0.53599999999999948</v>
      </c>
      <c r="GJ175">
        <v>10.559999999999995</v>
      </c>
      <c r="GK175">
        <v>-1.04</v>
      </c>
      <c r="GL175">
        <v>-1.6</v>
      </c>
    </row>
    <row r="176" spans="1:194" x14ac:dyDescent="0.2">
      <c r="A176" s="39">
        <v>43751</v>
      </c>
      <c r="B176" s="22" t="s">
        <v>252</v>
      </c>
      <c r="C176" s="41" t="s">
        <v>307</v>
      </c>
      <c r="D176" s="22" t="s">
        <v>297</v>
      </c>
      <c r="E176">
        <v>16.899999999999999</v>
      </c>
      <c r="F176">
        <v>6.8</v>
      </c>
      <c r="G176">
        <v>0</v>
      </c>
      <c r="H176">
        <f>12.7+1.8</f>
        <v>14.5</v>
      </c>
      <c r="I176">
        <v>2.5</v>
      </c>
      <c r="J176">
        <v>42.5</v>
      </c>
      <c r="K176" t="s">
        <v>110</v>
      </c>
      <c r="L176" s="1" t="s">
        <v>307</v>
      </c>
      <c r="M176">
        <v>16</v>
      </c>
      <c r="N176">
        <v>-0.15679999999999944</v>
      </c>
      <c r="O176">
        <v>8</v>
      </c>
      <c r="P176">
        <v>8.5</v>
      </c>
      <c r="Q176">
        <v>5</v>
      </c>
      <c r="R176">
        <v>0.40720000000000062</v>
      </c>
      <c r="S176">
        <v>12</v>
      </c>
      <c r="T176">
        <v>8.5599999999999987</v>
      </c>
      <c r="U176">
        <v>0.4</v>
      </c>
      <c r="V176">
        <v>16</v>
      </c>
      <c r="W176">
        <v>15</v>
      </c>
      <c r="X176">
        <v>15</v>
      </c>
      <c r="Y176">
        <v>-6.4000000000000057E-2</v>
      </c>
      <c r="Z176">
        <v>15</v>
      </c>
      <c r="AA176">
        <v>4.3600000000000003</v>
      </c>
      <c r="AB176">
        <v>-0.36000000000000004</v>
      </c>
      <c r="AC176">
        <v>5</v>
      </c>
      <c r="AD176">
        <v>5.5</v>
      </c>
      <c r="AE176">
        <v>4</v>
      </c>
      <c r="AF176">
        <v>7.2240000000000011</v>
      </c>
      <c r="AG176">
        <v>7</v>
      </c>
      <c r="AH176">
        <v>30.839999999999996</v>
      </c>
      <c r="AI176">
        <v>1.6800000000000002</v>
      </c>
      <c r="AJ176">
        <v>32</v>
      </c>
      <c r="AK176">
        <v>32</v>
      </c>
      <c r="AL176">
        <v>32</v>
      </c>
      <c r="AM176">
        <v>-3.4520000000000004</v>
      </c>
      <c r="AN176">
        <v>32</v>
      </c>
      <c r="AO176">
        <v>-17.52</v>
      </c>
      <c r="AP176">
        <v>-2.4799999999999995</v>
      </c>
      <c r="AQ176">
        <v>29</v>
      </c>
      <c r="AR176">
        <v>29</v>
      </c>
      <c r="AS176">
        <v>28</v>
      </c>
      <c r="AT176">
        <v>-2.4640000000000004</v>
      </c>
      <c r="AU176">
        <v>30</v>
      </c>
      <c r="AV176">
        <v>-20.04</v>
      </c>
      <c r="AW176">
        <v>-3.3200000000000003</v>
      </c>
      <c r="AX176">
        <v>28</v>
      </c>
      <c r="AY176">
        <v>28</v>
      </c>
      <c r="AZ176">
        <v>28</v>
      </c>
      <c r="BA176">
        <v>0.40799999999999842</v>
      </c>
      <c r="BB176">
        <v>28</v>
      </c>
      <c r="BC176">
        <v>6.0799999999999983</v>
      </c>
      <c r="BD176">
        <v>-0.23999999999999985</v>
      </c>
      <c r="BE176">
        <v>4</v>
      </c>
      <c r="BF176">
        <v>4.5</v>
      </c>
      <c r="BG176">
        <v>5</v>
      </c>
      <c r="BH176">
        <v>-5.0440000000000014</v>
      </c>
      <c r="BI176">
        <v>4</v>
      </c>
      <c r="BJ176">
        <v>-19.999999999999996</v>
      </c>
      <c r="BK176">
        <v>-0.68</v>
      </c>
      <c r="BL176">
        <v>4</v>
      </c>
      <c r="BM176">
        <v>7</v>
      </c>
      <c r="BN176">
        <v>4</v>
      </c>
      <c r="BO176">
        <v>0.80000000000000016</v>
      </c>
      <c r="BP176">
        <v>10</v>
      </c>
      <c r="BQ176">
        <v>8.0000000000000071E-2</v>
      </c>
      <c r="BR176">
        <v>1.72</v>
      </c>
      <c r="BS176">
        <v>32</v>
      </c>
      <c r="BT176">
        <v>29.5</v>
      </c>
      <c r="BU176">
        <v>30</v>
      </c>
      <c r="BV176">
        <v>-7.1954634359717426E-2</v>
      </c>
      <c r="BW176">
        <v>28</v>
      </c>
      <c r="BX176">
        <v>-1.1093884610144282E-2</v>
      </c>
      <c r="BY176">
        <v>31</v>
      </c>
      <c r="BZ176">
        <v>11.204000000000004</v>
      </c>
      <c r="CA176">
        <v>29</v>
      </c>
      <c r="CB176">
        <v>-2.6</v>
      </c>
      <c r="CC176">
        <v>-3.9200000000000004</v>
      </c>
      <c r="CD176">
        <v>-2.04</v>
      </c>
      <c r="CE176">
        <v>1.0399999999999998</v>
      </c>
      <c r="CF176">
        <v>-13.520000000000016</v>
      </c>
      <c r="CG176">
        <v>-27.360000000000014</v>
      </c>
      <c r="CH176">
        <v>10.84</v>
      </c>
      <c r="CI176">
        <v>-1.6799999999999997</v>
      </c>
      <c r="CJ176">
        <v>4.68</v>
      </c>
      <c r="CK176">
        <v>21</v>
      </c>
      <c r="CL176">
        <v>-0.5</v>
      </c>
      <c r="CM176">
        <v>-0.95016000000000045</v>
      </c>
      <c r="CN176">
        <v>-38.200000000000017</v>
      </c>
      <c r="CO176">
        <v>0.5</v>
      </c>
      <c r="CP176">
        <v>-0.34370000000000001</v>
      </c>
      <c r="CQ176">
        <v>1.3080000000000003</v>
      </c>
      <c r="CR176">
        <v>-6.7200000000000024</v>
      </c>
      <c r="CS176">
        <v>0.34320000000000056</v>
      </c>
      <c r="CT176">
        <v>12.919999999999998</v>
      </c>
      <c r="CU176">
        <v>-4.7999999999999989</v>
      </c>
      <c r="CV176">
        <v>3.999999999999998E-2</v>
      </c>
      <c r="CW176">
        <v>-1.2846499999999998</v>
      </c>
      <c r="CX176">
        <v>-1.6223999999999998</v>
      </c>
      <c r="CY176" t="s">
        <v>297</v>
      </c>
      <c r="CZ176">
        <v>20</v>
      </c>
      <c r="DA176">
        <v>-0.10720000000000027</v>
      </c>
      <c r="DB176">
        <v>1</v>
      </c>
      <c r="DC176">
        <v>1.5</v>
      </c>
      <c r="DD176">
        <v>2</v>
      </c>
      <c r="DE176">
        <v>0.86000000000000087</v>
      </c>
      <c r="DF176">
        <v>1</v>
      </c>
      <c r="DG176">
        <v>6.6799999999999971</v>
      </c>
      <c r="DH176">
        <v>-0.43999999999999995</v>
      </c>
      <c r="DI176">
        <v>13</v>
      </c>
      <c r="DJ176">
        <v>14.5</v>
      </c>
      <c r="DK176">
        <v>11</v>
      </c>
      <c r="DL176">
        <v>0.43599999999999978</v>
      </c>
      <c r="DM176">
        <v>18</v>
      </c>
      <c r="DN176">
        <v>13.2</v>
      </c>
      <c r="DO176">
        <v>-0.64</v>
      </c>
      <c r="DP176">
        <v>12</v>
      </c>
      <c r="DQ176">
        <v>13</v>
      </c>
      <c r="DR176">
        <v>11</v>
      </c>
      <c r="DS176">
        <v>1.1359999999999999</v>
      </c>
      <c r="DT176">
        <v>15</v>
      </c>
      <c r="DU176">
        <v>3.8399999999999976</v>
      </c>
      <c r="DV176">
        <v>-1.4400000000000002</v>
      </c>
      <c r="DW176">
        <v>26</v>
      </c>
      <c r="DX176">
        <v>26.5</v>
      </c>
      <c r="DY176">
        <v>28</v>
      </c>
      <c r="DZ176">
        <v>-3.3</v>
      </c>
      <c r="EA176">
        <v>25</v>
      </c>
      <c r="EB176">
        <v>-8.52</v>
      </c>
      <c r="EC176">
        <v>3.9999999999999855E-2</v>
      </c>
      <c r="ED176">
        <v>1</v>
      </c>
      <c r="EE176">
        <v>5</v>
      </c>
      <c r="EF176">
        <v>5</v>
      </c>
      <c r="EG176">
        <v>-2.2039999999999997</v>
      </c>
      <c r="EH176">
        <v>5</v>
      </c>
      <c r="EI176">
        <v>-9.6399999999999988</v>
      </c>
      <c r="EJ176">
        <v>7.9999999999999988E-2</v>
      </c>
      <c r="EK176">
        <v>27</v>
      </c>
      <c r="EL176">
        <v>27</v>
      </c>
      <c r="EM176">
        <v>29</v>
      </c>
      <c r="EN176">
        <v>-3.0759999999999992</v>
      </c>
      <c r="EO176">
        <v>25</v>
      </c>
      <c r="EP176">
        <v>-12.759999999999996</v>
      </c>
      <c r="EQ176">
        <v>0.4399999999999995</v>
      </c>
      <c r="ER176">
        <v>26</v>
      </c>
      <c r="ES176">
        <v>25.5</v>
      </c>
      <c r="ET176">
        <v>22</v>
      </c>
      <c r="EU176">
        <v>-3.4760000000000004</v>
      </c>
      <c r="EV176">
        <v>29</v>
      </c>
      <c r="EW176">
        <v>-8.9600000000000009</v>
      </c>
      <c r="EX176">
        <v>-0.11999999999999993</v>
      </c>
      <c r="EY176">
        <v>26</v>
      </c>
      <c r="EZ176">
        <v>25</v>
      </c>
      <c r="FA176">
        <v>21</v>
      </c>
      <c r="FB176">
        <v>-0.92000000000000026</v>
      </c>
      <c r="FC176">
        <v>29</v>
      </c>
      <c r="FD176">
        <v>-0.24000000000000013</v>
      </c>
      <c r="FE176">
        <v>-0.67999999999999972</v>
      </c>
      <c r="FF176">
        <v>20</v>
      </c>
      <c r="FG176">
        <v>16.75</v>
      </c>
      <c r="FH176">
        <v>21</v>
      </c>
      <c r="FI176">
        <v>-1.1496069398059462E-2</v>
      </c>
      <c r="FJ176">
        <v>5</v>
      </c>
      <c r="FK176">
        <v>-3.6893002735955971E-3</v>
      </c>
      <c r="FL176">
        <v>32</v>
      </c>
      <c r="FM176">
        <v>-3.3359999999999972</v>
      </c>
      <c r="FN176">
        <v>9</v>
      </c>
      <c r="FO176">
        <v>-0.83999999999999986</v>
      </c>
      <c r="FP176">
        <v>0.32000000000000028</v>
      </c>
      <c r="FQ176">
        <v>-0.40000000000000069</v>
      </c>
      <c r="FR176">
        <v>-0.24000000000000016</v>
      </c>
      <c r="FS176">
        <v>0.159999999999998</v>
      </c>
      <c r="FT176">
        <v>1.7200000000000002</v>
      </c>
      <c r="FU176">
        <v>0.12000000000000011</v>
      </c>
      <c r="FV176">
        <v>10</v>
      </c>
      <c r="FW176">
        <v>-7.5999999999999943</v>
      </c>
      <c r="FX176">
        <v>19.28</v>
      </c>
      <c r="FY176">
        <v>3.16</v>
      </c>
      <c r="FZ176">
        <v>-4.839999999999999</v>
      </c>
      <c r="GA176">
        <v>19</v>
      </c>
      <c r="GB176">
        <v>-1.4032000000000009</v>
      </c>
      <c r="GC176">
        <v>-2.2382400000000002</v>
      </c>
      <c r="GD176">
        <v>-26.879999999999995</v>
      </c>
      <c r="GE176">
        <v>1.4032000000000009</v>
      </c>
      <c r="GF176">
        <v>-0.94689999999999996</v>
      </c>
      <c r="GG176">
        <v>-4.3679999999999994</v>
      </c>
      <c r="GH176">
        <v>-14.32</v>
      </c>
      <c r="GI176">
        <v>1.2960000000000007</v>
      </c>
      <c r="GJ176">
        <v>19.879999999999995</v>
      </c>
      <c r="GK176">
        <v>-1.4400000000000002</v>
      </c>
      <c r="GL176">
        <v>-1.08</v>
      </c>
    </row>
    <row r="177" spans="1:194" x14ac:dyDescent="0.2">
      <c r="A177" s="39">
        <v>43751</v>
      </c>
      <c r="B177" s="28" t="s">
        <v>252</v>
      </c>
      <c r="C177" s="41" t="s">
        <v>296</v>
      </c>
      <c r="D177" s="28" t="s">
        <v>302</v>
      </c>
      <c r="E177" s="3">
        <v>25.2</v>
      </c>
      <c r="F177" s="3">
        <v>6.2</v>
      </c>
      <c r="G177" s="3">
        <v>0</v>
      </c>
      <c r="H177" s="3">
        <v>6</v>
      </c>
      <c r="I177" s="3">
        <v>16.5</v>
      </c>
      <c r="J177" s="3">
        <v>43</v>
      </c>
      <c r="K177" s="3"/>
      <c r="L177" s="1" t="s">
        <v>296</v>
      </c>
      <c r="M177">
        <v>13</v>
      </c>
      <c r="N177">
        <v>1.4104000000000005</v>
      </c>
      <c r="O177">
        <v>20</v>
      </c>
      <c r="P177">
        <v>21</v>
      </c>
      <c r="Q177">
        <v>16</v>
      </c>
      <c r="R177">
        <v>0.27519999999999972</v>
      </c>
      <c r="S177">
        <v>26</v>
      </c>
      <c r="T177">
        <v>3.8</v>
      </c>
      <c r="U177">
        <v>0.15999999999999998</v>
      </c>
      <c r="V177">
        <v>31</v>
      </c>
      <c r="W177">
        <v>31</v>
      </c>
      <c r="X177">
        <v>32</v>
      </c>
      <c r="Y177">
        <v>-2.144000000000001</v>
      </c>
      <c r="Z177">
        <v>30</v>
      </c>
      <c r="AA177">
        <v>-2.7599999999999993</v>
      </c>
      <c r="AB177">
        <v>-1.8399999999999999</v>
      </c>
      <c r="AC177">
        <v>14</v>
      </c>
      <c r="AD177">
        <v>15.5</v>
      </c>
      <c r="AE177">
        <v>10</v>
      </c>
      <c r="AF177">
        <v>-0.74400000000000044</v>
      </c>
      <c r="AG177">
        <v>21</v>
      </c>
      <c r="AH177">
        <v>-5.0799999999999983</v>
      </c>
      <c r="AI177">
        <v>0.19999999999999982</v>
      </c>
      <c r="AJ177">
        <v>13</v>
      </c>
      <c r="AK177">
        <v>13.5</v>
      </c>
      <c r="AL177">
        <v>5</v>
      </c>
      <c r="AM177">
        <v>-4.7439999999999998</v>
      </c>
      <c r="AN177">
        <v>22</v>
      </c>
      <c r="AO177">
        <v>-11.44</v>
      </c>
      <c r="AP177">
        <v>-1.28</v>
      </c>
      <c r="AQ177">
        <v>12</v>
      </c>
      <c r="AR177">
        <v>12.5</v>
      </c>
      <c r="AS177">
        <v>14</v>
      </c>
      <c r="AT177">
        <v>1.7399999999999998</v>
      </c>
      <c r="AU177">
        <v>11</v>
      </c>
      <c r="AV177">
        <v>4.2399999999999993</v>
      </c>
      <c r="AW177">
        <v>-0.24000000000000005</v>
      </c>
      <c r="AX177">
        <v>22</v>
      </c>
      <c r="AY177">
        <v>21</v>
      </c>
      <c r="AZ177">
        <v>17</v>
      </c>
      <c r="BA177">
        <v>0.31199999999999906</v>
      </c>
      <c r="BB177">
        <v>25</v>
      </c>
      <c r="BC177">
        <v>7.919999999999999</v>
      </c>
      <c r="BD177">
        <v>1.72</v>
      </c>
      <c r="BE177">
        <v>19</v>
      </c>
      <c r="BF177">
        <v>19</v>
      </c>
      <c r="BG177">
        <v>18</v>
      </c>
      <c r="BH177">
        <v>6.3719999999999999</v>
      </c>
      <c r="BI177">
        <v>20</v>
      </c>
      <c r="BJ177">
        <v>24</v>
      </c>
      <c r="BK177">
        <v>3.4799999999999995</v>
      </c>
      <c r="BL177">
        <v>28</v>
      </c>
      <c r="BM177">
        <v>27.5</v>
      </c>
      <c r="BN177">
        <v>29</v>
      </c>
      <c r="BO177">
        <v>-1.92</v>
      </c>
      <c r="BP177">
        <v>26</v>
      </c>
      <c r="BQ177">
        <v>-0.67999999999999994</v>
      </c>
      <c r="BR177">
        <v>-2.12</v>
      </c>
      <c r="BS177">
        <v>2</v>
      </c>
      <c r="BT177">
        <v>7.5</v>
      </c>
      <c r="BU177">
        <v>3</v>
      </c>
      <c r="BV177">
        <v>2.1446728730212833E-2</v>
      </c>
      <c r="BW177">
        <v>16</v>
      </c>
      <c r="BX177">
        <v>-8.5881022087991657E-3</v>
      </c>
      <c r="BY177">
        <v>10</v>
      </c>
      <c r="BZ177">
        <v>-17.835999999999999</v>
      </c>
      <c r="CA177">
        <v>1</v>
      </c>
      <c r="CB177">
        <v>0.96</v>
      </c>
      <c r="CC177">
        <v>-0.44000000000000056</v>
      </c>
      <c r="CD177">
        <v>-1.1599999999999997</v>
      </c>
      <c r="CE177">
        <v>-0.72</v>
      </c>
      <c r="CF177">
        <v>23.240000000000009</v>
      </c>
      <c r="CG177">
        <v>6.3199999999999985</v>
      </c>
      <c r="CH177">
        <v>3.5200000000000018</v>
      </c>
      <c r="CI177">
        <v>6.4</v>
      </c>
      <c r="CJ177">
        <v>7</v>
      </c>
      <c r="CK177">
        <v>14</v>
      </c>
      <c r="CL177">
        <v>3.2792000000000021</v>
      </c>
      <c r="CM177">
        <v>1.7412800000000006</v>
      </c>
      <c r="CN177">
        <v>2.7999999999999967</v>
      </c>
      <c r="CO177">
        <v>-3.2792000000000021</v>
      </c>
      <c r="CP177">
        <v>3.069999999999995E-2</v>
      </c>
      <c r="CQ177">
        <v>-3.7480000000000007</v>
      </c>
      <c r="CR177">
        <v>-12.279999999999998</v>
      </c>
      <c r="CS177">
        <v>-1.8688000000000013</v>
      </c>
      <c r="CT177">
        <v>1.0400000000000005</v>
      </c>
      <c r="CU177">
        <v>2.1599999999999993</v>
      </c>
      <c r="CV177">
        <v>-1.68</v>
      </c>
      <c r="CW177">
        <v>-0.63929999999999987</v>
      </c>
      <c r="CX177">
        <v>1.6826999999999999</v>
      </c>
      <c r="CY177" t="s">
        <v>302</v>
      </c>
      <c r="CZ177">
        <v>28</v>
      </c>
      <c r="DA177">
        <v>-5.8744000000000014</v>
      </c>
      <c r="DB177">
        <v>20</v>
      </c>
      <c r="DC177">
        <v>21</v>
      </c>
      <c r="DD177">
        <v>26</v>
      </c>
      <c r="DE177">
        <v>-2.532</v>
      </c>
      <c r="DF177">
        <v>16</v>
      </c>
      <c r="DG177">
        <v>-3.6400000000000015</v>
      </c>
      <c r="DH177">
        <v>-1.08</v>
      </c>
      <c r="DI177">
        <v>19</v>
      </c>
      <c r="DJ177">
        <v>17</v>
      </c>
      <c r="DK177">
        <v>15</v>
      </c>
      <c r="DL177">
        <v>-2.1319999999999992</v>
      </c>
      <c r="DM177">
        <v>19</v>
      </c>
      <c r="DN177">
        <v>-8.6000000000000014</v>
      </c>
      <c r="DO177">
        <v>0.28000000000000008</v>
      </c>
      <c r="DP177">
        <v>31</v>
      </c>
      <c r="DQ177">
        <v>29</v>
      </c>
      <c r="DR177">
        <v>30</v>
      </c>
      <c r="DS177">
        <v>-3.1479999999999988</v>
      </c>
      <c r="DT177">
        <v>28</v>
      </c>
      <c r="DU177">
        <v>-4.7999999999999972</v>
      </c>
      <c r="DV177">
        <v>0</v>
      </c>
      <c r="DW177">
        <v>24</v>
      </c>
      <c r="DX177">
        <v>25</v>
      </c>
      <c r="DY177">
        <v>26</v>
      </c>
      <c r="DZ177">
        <v>-4.8720000000000008</v>
      </c>
      <c r="EA177">
        <v>24</v>
      </c>
      <c r="EB177">
        <v>-22.48</v>
      </c>
      <c r="EC177">
        <v>1.2400000000000002</v>
      </c>
      <c r="ED177">
        <v>23</v>
      </c>
      <c r="EE177">
        <v>21</v>
      </c>
      <c r="EF177">
        <v>25</v>
      </c>
      <c r="EG177">
        <v>-0.55999999999999939</v>
      </c>
      <c r="EH177">
        <v>17</v>
      </c>
      <c r="EI177">
        <v>-4.04</v>
      </c>
      <c r="EJ177">
        <v>1.56</v>
      </c>
      <c r="EK177">
        <v>22</v>
      </c>
      <c r="EL177">
        <v>23</v>
      </c>
      <c r="EM177">
        <v>24</v>
      </c>
      <c r="EN177">
        <v>-0.27999999999999936</v>
      </c>
      <c r="EO177">
        <v>22</v>
      </c>
      <c r="EP177">
        <v>7.1999999999999984</v>
      </c>
      <c r="EQ177">
        <v>2.4799999999999995</v>
      </c>
      <c r="ER177">
        <v>20</v>
      </c>
      <c r="ES177">
        <v>20</v>
      </c>
      <c r="ET177">
        <v>18</v>
      </c>
      <c r="EU177">
        <v>-1.9319999999999999</v>
      </c>
      <c r="EV177">
        <v>22</v>
      </c>
      <c r="EW177">
        <v>1.4399999999999991</v>
      </c>
      <c r="EX177">
        <v>-1.44</v>
      </c>
      <c r="EY177">
        <v>24</v>
      </c>
      <c r="EZ177">
        <v>23</v>
      </c>
      <c r="FA177">
        <v>24</v>
      </c>
      <c r="FB177">
        <v>-2.6399999999999997</v>
      </c>
      <c r="FC177">
        <v>22</v>
      </c>
      <c r="FD177">
        <v>-0.72</v>
      </c>
      <c r="FE177">
        <v>-0.88000000000000012</v>
      </c>
      <c r="FF177">
        <v>5</v>
      </c>
      <c r="FG177">
        <v>9.75</v>
      </c>
      <c r="FH177">
        <v>1</v>
      </c>
      <c r="FI177">
        <v>1.2883281346094567E-3</v>
      </c>
      <c r="FJ177">
        <v>12</v>
      </c>
      <c r="FK177">
        <v>3.9482876602704983E-2</v>
      </c>
      <c r="FL177">
        <v>23</v>
      </c>
      <c r="FM177">
        <v>-12.923999999999996</v>
      </c>
      <c r="FN177">
        <v>3</v>
      </c>
      <c r="FO177">
        <v>7.3600000000000012</v>
      </c>
      <c r="FP177">
        <v>1.6400000000000019</v>
      </c>
      <c r="FQ177">
        <v>-1.3999999999999997</v>
      </c>
      <c r="FR177">
        <v>-1.0799999999999998</v>
      </c>
      <c r="FS177">
        <v>0.11999999999999886</v>
      </c>
      <c r="FT177">
        <v>-9.76</v>
      </c>
      <c r="FU177">
        <v>1.8800000000000001</v>
      </c>
      <c r="FV177">
        <v>-27.120000000000012</v>
      </c>
      <c r="FW177">
        <v>-25.96</v>
      </c>
      <c r="FX177">
        <v>-7.2</v>
      </c>
      <c r="FY177">
        <v>6.4799999999999995</v>
      </c>
      <c r="FZ177">
        <v>-0.44000000000000022</v>
      </c>
      <c r="GA177">
        <v>18</v>
      </c>
      <c r="GB177">
        <v>-1.2104000000000021</v>
      </c>
      <c r="GC177">
        <v>-0.9452799999999999</v>
      </c>
      <c r="GD177">
        <v>-18.760000000000002</v>
      </c>
      <c r="GE177">
        <v>1.2104000000000017</v>
      </c>
      <c r="GF177">
        <v>-2.9612999999999996</v>
      </c>
      <c r="GG177">
        <v>-8.5799999999999983</v>
      </c>
      <c r="GH177">
        <v>-31.319999999999997</v>
      </c>
      <c r="GI177">
        <v>-4.6639999999999997</v>
      </c>
      <c r="GJ177">
        <v>-12.240000000000002</v>
      </c>
      <c r="GK177">
        <v>1.3600000000000003</v>
      </c>
      <c r="GL177">
        <v>-0.8</v>
      </c>
    </row>
    <row r="178" spans="1:194" x14ac:dyDescent="0.2">
      <c r="A178" s="39">
        <v>43751</v>
      </c>
      <c r="B178" s="22" t="s">
        <v>252</v>
      </c>
      <c r="C178" s="41" t="s">
        <v>298</v>
      </c>
      <c r="D178" s="22" t="s">
        <v>291</v>
      </c>
      <c r="E178">
        <v>15.8</v>
      </c>
      <c r="F178">
        <v>26.5</v>
      </c>
      <c r="G178">
        <v>10.199999999999999</v>
      </c>
      <c r="H178">
        <v>11.8</v>
      </c>
      <c r="I178">
        <v>7</v>
      </c>
      <c r="J178">
        <v>43.5</v>
      </c>
      <c r="K178" t="s">
        <v>110</v>
      </c>
      <c r="L178" s="1" t="s">
        <v>298</v>
      </c>
      <c r="M178">
        <v>26</v>
      </c>
      <c r="N178">
        <v>-4.1424000000000003</v>
      </c>
      <c r="O178">
        <v>19</v>
      </c>
      <c r="P178">
        <v>20.5</v>
      </c>
      <c r="Q178">
        <v>13</v>
      </c>
      <c r="R178">
        <v>1.5399999999999998</v>
      </c>
      <c r="S178">
        <v>28</v>
      </c>
      <c r="T178">
        <v>-4.7199999999999971</v>
      </c>
      <c r="U178">
        <v>2.74</v>
      </c>
      <c r="V178">
        <v>24</v>
      </c>
      <c r="W178">
        <v>24</v>
      </c>
      <c r="X178">
        <v>27</v>
      </c>
      <c r="Y178">
        <v>-3.8440000000000003</v>
      </c>
      <c r="Z178">
        <v>21</v>
      </c>
      <c r="AA178">
        <v>-7.2000000000000011</v>
      </c>
      <c r="AB178">
        <v>-1.92</v>
      </c>
      <c r="AC178">
        <v>31</v>
      </c>
      <c r="AD178">
        <v>31</v>
      </c>
      <c r="AE178">
        <v>30</v>
      </c>
      <c r="AF178">
        <v>-1.7920000000000005</v>
      </c>
      <c r="AG178">
        <v>32</v>
      </c>
      <c r="AH178">
        <v>-6.4399999999999977</v>
      </c>
      <c r="AI178">
        <v>-8.0000000000000071E-2</v>
      </c>
      <c r="AJ178">
        <v>21</v>
      </c>
      <c r="AK178">
        <v>20.5</v>
      </c>
      <c r="AL178">
        <v>21</v>
      </c>
      <c r="AM178">
        <v>1.4119999999999997</v>
      </c>
      <c r="AN178">
        <v>20</v>
      </c>
      <c r="AO178">
        <v>9.24</v>
      </c>
      <c r="AP178">
        <v>-0.4</v>
      </c>
      <c r="AQ178">
        <v>6</v>
      </c>
      <c r="AR178">
        <v>6</v>
      </c>
      <c r="AS178">
        <v>7</v>
      </c>
      <c r="AT178">
        <v>-1.8600000000000008</v>
      </c>
      <c r="AU178">
        <v>5</v>
      </c>
      <c r="AV178">
        <v>-0.55999999999999939</v>
      </c>
      <c r="AW178">
        <v>-0.36</v>
      </c>
      <c r="AX178">
        <v>24</v>
      </c>
      <c r="AY178">
        <v>25</v>
      </c>
      <c r="AZ178">
        <v>24</v>
      </c>
      <c r="BA178">
        <v>-0.67199999999999993</v>
      </c>
      <c r="BB178">
        <v>26</v>
      </c>
      <c r="BC178">
        <v>1.2799999999999983</v>
      </c>
      <c r="BD178">
        <v>-1</v>
      </c>
      <c r="BE178">
        <v>14</v>
      </c>
      <c r="BF178">
        <v>13.5</v>
      </c>
      <c r="BG178">
        <v>13</v>
      </c>
      <c r="BH178">
        <v>-6.6320000000000006</v>
      </c>
      <c r="BI178">
        <v>14</v>
      </c>
      <c r="BJ178">
        <v>-34.4</v>
      </c>
      <c r="BK178">
        <v>-3.6400000000000006</v>
      </c>
      <c r="BL178">
        <v>14</v>
      </c>
      <c r="BM178">
        <v>13.5</v>
      </c>
      <c r="BN178">
        <v>19</v>
      </c>
      <c r="BO178">
        <v>-3.1999999999999997</v>
      </c>
      <c r="BP178">
        <v>8</v>
      </c>
      <c r="BQ178">
        <v>-0.88000000000000012</v>
      </c>
      <c r="BR178">
        <v>1.4</v>
      </c>
      <c r="BS178">
        <v>8</v>
      </c>
      <c r="BT178">
        <v>12</v>
      </c>
      <c r="BU178">
        <v>2</v>
      </c>
      <c r="BV178">
        <v>5.5602477762056512E-2</v>
      </c>
      <c r="BW178">
        <v>17</v>
      </c>
      <c r="BX178">
        <v>5.7807328641446554E-2</v>
      </c>
      <c r="BY178">
        <v>12</v>
      </c>
      <c r="BZ178">
        <v>13.180000000000001</v>
      </c>
      <c r="CA178">
        <v>17</v>
      </c>
      <c r="CB178">
        <v>4.4400000000000004</v>
      </c>
      <c r="CC178">
        <v>-5.3600000000000012</v>
      </c>
      <c r="CD178">
        <v>-7.24</v>
      </c>
      <c r="CE178">
        <v>2.76</v>
      </c>
      <c r="CF178">
        <v>-76.239999999999981</v>
      </c>
      <c r="CG178">
        <v>-43.960000000000008</v>
      </c>
      <c r="CH178">
        <v>-17.84</v>
      </c>
      <c r="CI178">
        <v>-4.1599999999999993</v>
      </c>
      <c r="CJ178">
        <v>-10.28</v>
      </c>
      <c r="CK178">
        <v>25</v>
      </c>
      <c r="CL178">
        <v>-1.8384</v>
      </c>
      <c r="CM178">
        <v>-1.4508800000000002</v>
      </c>
      <c r="CN178">
        <v>-26.120000000000008</v>
      </c>
      <c r="CO178">
        <v>1.8384</v>
      </c>
      <c r="CP178">
        <v>-2.3148</v>
      </c>
      <c r="CQ178">
        <v>-2.2400000000000015</v>
      </c>
      <c r="CR178">
        <v>2.2400000000000029</v>
      </c>
      <c r="CS178">
        <v>-2.3040000000000003</v>
      </c>
      <c r="CT178">
        <v>-11.919999999999998</v>
      </c>
      <c r="CU178">
        <v>-4.4800000000000004</v>
      </c>
      <c r="CV178">
        <v>0.82000000000000028</v>
      </c>
      <c r="CW178">
        <v>0.45087499999999991</v>
      </c>
      <c r="CX178">
        <v>0.46204999999999991</v>
      </c>
      <c r="CY178" t="s">
        <v>291</v>
      </c>
      <c r="CZ178">
        <v>19</v>
      </c>
      <c r="DA178">
        <v>-2.9936000000000007</v>
      </c>
      <c r="DB178">
        <v>6</v>
      </c>
      <c r="DC178">
        <v>8</v>
      </c>
      <c r="DD178">
        <v>4</v>
      </c>
      <c r="DE178">
        <v>5.5031999999999996</v>
      </c>
      <c r="DF178">
        <v>12</v>
      </c>
      <c r="DG178">
        <v>18.68</v>
      </c>
      <c r="DH178">
        <v>0.26000000000000006</v>
      </c>
      <c r="DI178">
        <v>22</v>
      </c>
      <c r="DJ178">
        <v>19</v>
      </c>
      <c r="DK178">
        <v>24</v>
      </c>
      <c r="DL178">
        <v>1.6200000000000003</v>
      </c>
      <c r="DM178">
        <v>14</v>
      </c>
      <c r="DN178">
        <v>-4.25</v>
      </c>
      <c r="DO178">
        <v>0.67</v>
      </c>
      <c r="DP178">
        <v>26</v>
      </c>
      <c r="DQ178">
        <v>29.5</v>
      </c>
      <c r="DR178">
        <v>30</v>
      </c>
      <c r="DS178">
        <v>-3.9120000000000004</v>
      </c>
      <c r="DT178">
        <v>29</v>
      </c>
      <c r="DU178">
        <v>-10.359999999999998</v>
      </c>
      <c r="DV178">
        <v>-0.28000000000000008</v>
      </c>
      <c r="DW178">
        <v>15</v>
      </c>
      <c r="DX178">
        <v>14</v>
      </c>
      <c r="DY178">
        <v>13</v>
      </c>
      <c r="DZ178">
        <v>-1.1999999999999997</v>
      </c>
      <c r="EA178">
        <v>15</v>
      </c>
      <c r="EB178">
        <v>-3.9599999999999982</v>
      </c>
      <c r="EC178">
        <v>0.15999999999999998</v>
      </c>
      <c r="ED178">
        <v>19</v>
      </c>
      <c r="EE178">
        <v>10.5</v>
      </c>
      <c r="EF178">
        <v>9</v>
      </c>
      <c r="EG178">
        <v>-0.49200000000000016</v>
      </c>
      <c r="EH178">
        <v>12</v>
      </c>
      <c r="EI178">
        <v>2.4399999999999991</v>
      </c>
      <c r="EJ178">
        <v>0.67999999999999994</v>
      </c>
      <c r="EK178">
        <v>8</v>
      </c>
      <c r="EL178">
        <v>8.5</v>
      </c>
      <c r="EM178">
        <v>10</v>
      </c>
      <c r="EN178">
        <v>-3.9200000000000017</v>
      </c>
      <c r="EO178">
        <v>7</v>
      </c>
      <c r="EP178">
        <v>-9.6000000000000032</v>
      </c>
      <c r="EQ178">
        <v>-0.44000000000000022</v>
      </c>
      <c r="ER178">
        <v>27</v>
      </c>
      <c r="ES178">
        <v>26</v>
      </c>
      <c r="ET178">
        <v>22</v>
      </c>
      <c r="EU178">
        <v>3.472</v>
      </c>
      <c r="EV178">
        <v>30</v>
      </c>
      <c r="EW178">
        <v>14.680000000000001</v>
      </c>
      <c r="EX178">
        <v>1.1199999999999999</v>
      </c>
      <c r="EY178">
        <v>7</v>
      </c>
      <c r="EZ178">
        <v>7</v>
      </c>
      <c r="FA178">
        <v>10</v>
      </c>
      <c r="FB178">
        <v>1.52</v>
      </c>
      <c r="FC178">
        <v>4</v>
      </c>
      <c r="FD178">
        <v>0.48</v>
      </c>
      <c r="FE178">
        <v>-1.9200000000000004</v>
      </c>
      <c r="FF178">
        <v>15</v>
      </c>
      <c r="FG178">
        <v>15.75</v>
      </c>
      <c r="FH178">
        <v>7</v>
      </c>
      <c r="FI178">
        <v>-2.1496512247217815E-2</v>
      </c>
      <c r="FJ178">
        <v>7</v>
      </c>
      <c r="FK178">
        <v>-6.2725163635416747E-3</v>
      </c>
      <c r="FL178">
        <v>28</v>
      </c>
      <c r="FM178">
        <v>12.676</v>
      </c>
      <c r="FN178">
        <v>21</v>
      </c>
      <c r="FO178">
        <v>-3</v>
      </c>
      <c r="FP178">
        <v>1.8000000000000014</v>
      </c>
      <c r="FQ178">
        <v>0.44000000000000022</v>
      </c>
      <c r="FR178">
        <v>0.48000000000000009</v>
      </c>
      <c r="FS178">
        <v>2.6399999999999992</v>
      </c>
      <c r="FT178">
        <v>1</v>
      </c>
      <c r="FU178">
        <v>-0.83999999999999986</v>
      </c>
      <c r="FV178">
        <v>10.520000000000005</v>
      </c>
      <c r="FW178">
        <v>-3.039999999999992</v>
      </c>
      <c r="FX178">
        <v>16.079999999999998</v>
      </c>
      <c r="FY178">
        <v>-0.39999999999999963</v>
      </c>
      <c r="FZ178">
        <v>-2.12</v>
      </c>
      <c r="GA178">
        <v>31</v>
      </c>
      <c r="GB178">
        <v>-10.116800000000001</v>
      </c>
      <c r="GC178">
        <v>-4.5867200000000006</v>
      </c>
      <c r="GD178">
        <v>-19.11999999999999</v>
      </c>
      <c r="GE178">
        <v>10.116800000000001</v>
      </c>
      <c r="GF178">
        <v>0.43969999999999987</v>
      </c>
      <c r="GG178">
        <v>-5.6040000000000001</v>
      </c>
      <c r="GH178">
        <v>-11.879999999999997</v>
      </c>
      <c r="GI178">
        <v>7.1231999999999998</v>
      </c>
      <c r="GJ178">
        <v>14.43</v>
      </c>
      <c r="GK178">
        <v>1.6799999999999997</v>
      </c>
      <c r="GL178">
        <v>0.93000000000000016</v>
      </c>
    </row>
    <row r="179" spans="1:194" x14ac:dyDescent="0.2">
      <c r="A179" s="39">
        <v>43751</v>
      </c>
      <c r="B179" s="22" t="s">
        <v>252</v>
      </c>
      <c r="C179" s="41" t="s">
        <v>294</v>
      </c>
      <c r="D179" s="22" t="s">
        <v>312</v>
      </c>
      <c r="E179">
        <v>23.6</v>
      </c>
      <c r="F179">
        <v>8.1999999999999993</v>
      </c>
      <c r="G179">
        <v>0</v>
      </c>
      <c r="H179">
        <f>9.8+8.4</f>
        <v>18.200000000000003</v>
      </c>
      <c r="I179">
        <v>3.5</v>
      </c>
      <c r="J179">
        <v>44</v>
      </c>
      <c r="L179" s="1" t="s">
        <v>294</v>
      </c>
      <c r="M179">
        <v>17</v>
      </c>
      <c r="N179">
        <v>-0.19040000000000176</v>
      </c>
      <c r="O179">
        <v>16</v>
      </c>
      <c r="P179">
        <v>16.5</v>
      </c>
      <c r="Q179">
        <v>18</v>
      </c>
      <c r="R179">
        <v>-4.4600000000000009</v>
      </c>
      <c r="S179">
        <v>15</v>
      </c>
      <c r="T179">
        <v>-18.84</v>
      </c>
      <c r="U179">
        <v>-0.83999999999999986</v>
      </c>
      <c r="V179">
        <v>9</v>
      </c>
      <c r="W179">
        <v>10.5</v>
      </c>
      <c r="X179">
        <v>16</v>
      </c>
      <c r="Y179">
        <v>0.1439999999999996</v>
      </c>
      <c r="Z179">
        <v>5</v>
      </c>
      <c r="AA179">
        <v>4.08</v>
      </c>
      <c r="AB179">
        <v>-0.48000000000000009</v>
      </c>
      <c r="AC179">
        <v>19</v>
      </c>
      <c r="AD179">
        <v>18.5</v>
      </c>
      <c r="AE179">
        <v>20</v>
      </c>
      <c r="AF179">
        <v>1.4319999999999999</v>
      </c>
      <c r="AG179">
        <v>17</v>
      </c>
      <c r="AH179">
        <v>-17.88</v>
      </c>
      <c r="AI179">
        <v>0.84000000000000008</v>
      </c>
      <c r="AJ179">
        <v>30</v>
      </c>
      <c r="AK179">
        <v>30</v>
      </c>
      <c r="AL179">
        <v>29</v>
      </c>
      <c r="AM179">
        <v>-2.3600000000000008</v>
      </c>
      <c r="AN179">
        <v>31</v>
      </c>
      <c r="AO179">
        <v>-6.4</v>
      </c>
      <c r="AP179">
        <v>-1.4</v>
      </c>
      <c r="AQ179">
        <v>23</v>
      </c>
      <c r="AR179">
        <v>23.5</v>
      </c>
      <c r="AS179">
        <v>24</v>
      </c>
      <c r="AT179">
        <v>-3.0880000000000001</v>
      </c>
      <c r="AU179">
        <v>23</v>
      </c>
      <c r="AV179">
        <v>-17.599999999999998</v>
      </c>
      <c r="AW179">
        <v>-0.44000000000000022</v>
      </c>
      <c r="AX179">
        <v>20</v>
      </c>
      <c r="AY179">
        <v>20</v>
      </c>
      <c r="AZ179">
        <v>19</v>
      </c>
      <c r="BA179">
        <v>7.9599999999999982</v>
      </c>
      <c r="BB179">
        <v>21</v>
      </c>
      <c r="BC179">
        <v>16</v>
      </c>
      <c r="BD179">
        <v>3.28</v>
      </c>
      <c r="BE179">
        <v>1</v>
      </c>
      <c r="BF179">
        <v>1</v>
      </c>
      <c r="BG179">
        <v>1</v>
      </c>
      <c r="BH179">
        <v>5.9719999999999995</v>
      </c>
      <c r="BI179">
        <v>1</v>
      </c>
      <c r="BJ179">
        <v>22.6</v>
      </c>
      <c r="BK179">
        <v>4.5999999999999996</v>
      </c>
      <c r="BL179">
        <v>23</v>
      </c>
      <c r="BM179">
        <v>22.5</v>
      </c>
      <c r="BN179">
        <v>24</v>
      </c>
      <c r="BO179">
        <v>-1.5999999999999999</v>
      </c>
      <c r="BP179">
        <v>21</v>
      </c>
      <c r="BQ179">
        <v>-0.79999999999999982</v>
      </c>
      <c r="BR179">
        <v>0.68000000000000038</v>
      </c>
      <c r="BS179">
        <v>6</v>
      </c>
      <c r="BT179">
        <v>10.25</v>
      </c>
      <c r="BU179">
        <v>16</v>
      </c>
      <c r="BV179">
        <v>1.6782138604225595E-2</v>
      </c>
      <c r="BW179">
        <v>4</v>
      </c>
      <c r="BX179">
        <v>-7.3512213604605484E-3</v>
      </c>
      <c r="BY179">
        <v>6</v>
      </c>
      <c r="BZ179">
        <v>-2.4720000000000013</v>
      </c>
      <c r="CA179">
        <v>15</v>
      </c>
      <c r="CB179">
        <v>-1.2800000000000002</v>
      </c>
      <c r="CC179">
        <v>0.15999999999999942</v>
      </c>
      <c r="CD179">
        <v>1.6</v>
      </c>
      <c r="CE179">
        <v>1.1199999999999997</v>
      </c>
      <c r="CF179">
        <v>-52.120000000000005</v>
      </c>
      <c r="CG179">
        <v>-37.56</v>
      </c>
      <c r="CH179">
        <v>-4.8799999999999981</v>
      </c>
      <c r="CI179">
        <v>-3.6799999999999997</v>
      </c>
      <c r="CJ179">
        <v>-6</v>
      </c>
      <c r="CK179">
        <v>10</v>
      </c>
      <c r="CL179">
        <v>4.1255999999999995</v>
      </c>
      <c r="CM179">
        <v>2.5111200000000005</v>
      </c>
      <c r="CN179">
        <v>-32.680000000000007</v>
      </c>
      <c r="CO179">
        <v>-4.1255999999999995</v>
      </c>
      <c r="CP179">
        <v>-0.51880000000000059</v>
      </c>
      <c r="CQ179">
        <v>-4.0160000000000009</v>
      </c>
      <c r="CR179">
        <v>-41.879999999999995</v>
      </c>
      <c r="CS179">
        <v>-4.3160000000000016</v>
      </c>
      <c r="CT179">
        <v>-14.76</v>
      </c>
      <c r="CU179">
        <v>3.5999999999999996</v>
      </c>
      <c r="CV179">
        <v>-1.3199999999999998</v>
      </c>
      <c r="CW179">
        <v>-8.989999999999998E-2</v>
      </c>
      <c r="CX179">
        <v>1.1196000000000002</v>
      </c>
      <c r="CY179" t="s">
        <v>312</v>
      </c>
      <c r="CZ179">
        <v>7</v>
      </c>
      <c r="DA179">
        <v>-1.5872000000000004</v>
      </c>
      <c r="DB179">
        <v>22</v>
      </c>
      <c r="DC179">
        <v>21.5</v>
      </c>
      <c r="DD179">
        <v>22</v>
      </c>
      <c r="DE179">
        <v>-6.2239999999999993</v>
      </c>
      <c r="DF179">
        <v>21</v>
      </c>
      <c r="DG179">
        <v>-8.76</v>
      </c>
      <c r="DH179">
        <v>-0.13999999999999999</v>
      </c>
      <c r="DI179">
        <v>8</v>
      </c>
      <c r="DJ179">
        <v>11</v>
      </c>
      <c r="DK179">
        <v>9</v>
      </c>
      <c r="DL179">
        <v>0.89200000000000013</v>
      </c>
      <c r="DM179">
        <v>13</v>
      </c>
      <c r="DN179">
        <v>5.2700000000000005</v>
      </c>
      <c r="DO179">
        <v>-0.29000000000000004</v>
      </c>
      <c r="DP179">
        <v>6</v>
      </c>
      <c r="DQ179">
        <v>14.5</v>
      </c>
      <c r="DR179">
        <v>15</v>
      </c>
      <c r="DS179">
        <v>-1.3640000000000003</v>
      </c>
      <c r="DT179">
        <v>14</v>
      </c>
      <c r="DU179">
        <v>-10.000000000000002</v>
      </c>
      <c r="DV179">
        <v>-1.7763568394002506E-16</v>
      </c>
      <c r="DW179">
        <v>4</v>
      </c>
      <c r="DX179">
        <v>5</v>
      </c>
      <c r="DY179">
        <v>3</v>
      </c>
      <c r="DZ179">
        <v>-1.5</v>
      </c>
      <c r="EA179">
        <v>7</v>
      </c>
      <c r="EB179">
        <v>-8.16</v>
      </c>
      <c r="EC179">
        <v>-0.28000000000000008</v>
      </c>
      <c r="ED179">
        <v>3</v>
      </c>
      <c r="EE179">
        <v>1</v>
      </c>
      <c r="EF179">
        <v>1</v>
      </c>
      <c r="EG179">
        <v>4.0559999999999992</v>
      </c>
      <c r="EH179">
        <v>1</v>
      </c>
      <c r="EI179">
        <v>14.440000000000001</v>
      </c>
      <c r="EJ179">
        <v>1</v>
      </c>
      <c r="EK179">
        <v>13</v>
      </c>
      <c r="EL179">
        <v>12.5</v>
      </c>
      <c r="EM179">
        <v>13</v>
      </c>
      <c r="EN179">
        <v>1.5239999999999998</v>
      </c>
      <c r="EO179">
        <v>12</v>
      </c>
      <c r="EP179">
        <v>6.0399999999999991</v>
      </c>
      <c r="EQ179">
        <v>0.68</v>
      </c>
      <c r="ER179">
        <v>18</v>
      </c>
      <c r="ES179">
        <v>16</v>
      </c>
      <c r="ET179">
        <v>20</v>
      </c>
      <c r="EU179">
        <v>-2.5080000000000005</v>
      </c>
      <c r="EV179">
        <v>12</v>
      </c>
      <c r="EW179">
        <v>-10.599999999999998</v>
      </c>
      <c r="EX179">
        <v>0.36</v>
      </c>
      <c r="EY179">
        <v>11</v>
      </c>
      <c r="EZ179">
        <v>12</v>
      </c>
      <c r="FA179">
        <v>11</v>
      </c>
      <c r="FB179">
        <v>-2.16</v>
      </c>
      <c r="FC179">
        <v>13</v>
      </c>
      <c r="FD179">
        <v>-0.32</v>
      </c>
      <c r="FE179">
        <v>-0.19999999999999987</v>
      </c>
      <c r="FF179">
        <v>7</v>
      </c>
      <c r="FG179">
        <v>12.25</v>
      </c>
      <c r="FH179">
        <v>19</v>
      </c>
      <c r="FI179">
        <v>4.8374956732376163E-2</v>
      </c>
      <c r="FJ179">
        <v>13</v>
      </c>
      <c r="FK179">
        <v>2.154514587031681E-2</v>
      </c>
      <c r="FL179">
        <v>1</v>
      </c>
      <c r="FM179">
        <v>-9.2479999999999958</v>
      </c>
      <c r="FN179">
        <v>16</v>
      </c>
      <c r="FO179">
        <v>2.12</v>
      </c>
      <c r="FP179">
        <v>-8.000000000000114E-2</v>
      </c>
      <c r="FQ179">
        <v>0.84000000000000052</v>
      </c>
      <c r="FR179">
        <v>7.9999999999999988E-2</v>
      </c>
      <c r="FS179">
        <v>1.8799999999999997</v>
      </c>
      <c r="FT179">
        <v>-4.88</v>
      </c>
      <c r="FU179">
        <v>-0.83999999999999986</v>
      </c>
      <c r="FV179">
        <v>-38.879999999999995</v>
      </c>
      <c r="FW179">
        <v>-28.159999999999997</v>
      </c>
      <c r="FX179">
        <v>-0.68000000000000116</v>
      </c>
      <c r="FY179">
        <v>-8.1999999999999993</v>
      </c>
      <c r="FZ179">
        <v>-1.8399999999999999</v>
      </c>
      <c r="GA179">
        <v>7</v>
      </c>
      <c r="GB179">
        <v>3.7447999999999988</v>
      </c>
      <c r="GC179">
        <v>2.0853599999999988</v>
      </c>
      <c r="GD179">
        <v>-27.479999999999997</v>
      </c>
      <c r="GE179">
        <v>-3.7447999999999988</v>
      </c>
      <c r="GF179">
        <v>-1.2994000000000001</v>
      </c>
      <c r="GG179">
        <v>1.1919999999999988</v>
      </c>
      <c r="GH179">
        <v>-3.7200000000000024</v>
      </c>
      <c r="GI179">
        <v>-5.331999999999999</v>
      </c>
      <c r="GJ179">
        <v>-3.4899999999999993</v>
      </c>
      <c r="GK179">
        <v>1.0799999999999996</v>
      </c>
      <c r="GL179">
        <v>-0.43000000000000005</v>
      </c>
    </row>
    <row r="180" spans="1:194" x14ac:dyDescent="0.2">
      <c r="A180" s="39">
        <v>43751</v>
      </c>
      <c r="B180" s="22" t="s">
        <v>252</v>
      </c>
      <c r="C180" s="41" t="s">
        <v>309</v>
      </c>
      <c r="D180" s="22" t="s">
        <v>287</v>
      </c>
      <c r="E180">
        <v>1.7</v>
      </c>
      <c r="F180">
        <v>3.4</v>
      </c>
      <c r="G180">
        <v>2.1</v>
      </c>
      <c r="H180">
        <v>3</v>
      </c>
      <c r="I180">
        <v>6</v>
      </c>
      <c r="J180">
        <v>42.5</v>
      </c>
      <c r="L180" s="1" t="s">
        <v>309</v>
      </c>
      <c r="M180">
        <v>19</v>
      </c>
      <c r="N180">
        <v>-0.99919999999999976</v>
      </c>
      <c r="O180">
        <v>12</v>
      </c>
      <c r="P180">
        <v>14.5</v>
      </c>
      <c r="Q180">
        <v>9</v>
      </c>
      <c r="R180">
        <v>-0.90000000000000069</v>
      </c>
      <c r="S180">
        <v>20</v>
      </c>
      <c r="T180">
        <v>-14.919999999999998</v>
      </c>
      <c r="U180">
        <v>0.44000000000000011</v>
      </c>
      <c r="V180">
        <v>9</v>
      </c>
      <c r="W180">
        <v>10.5</v>
      </c>
      <c r="X180">
        <v>11</v>
      </c>
      <c r="Y180">
        <v>-8.0000000000000598E-2</v>
      </c>
      <c r="Z180">
        <v>10</v>
      </c>
      <c r="AA180">
        <v>-9.84</v>
      </c>
      <c r="AB180">
        <v>0.32000000000000012</v>
      </c>
      <c r="AC180">
        <v>13</v>
      </c>
      <c r="AD180">
        <v>14.5</v>
      </c>
      <c r="AE180">
        <v>19</v>
      </c>
      <c r="AF180">
        <v>1.1320000000000008</v>
      </c>
      <c r="AG180">
        <v>10</v>
      </c>
      <c r="AH180">
        <v>7.9999999999999982</v>
      </c>
      <c r="AI180">
        <v>-0.51999999999999991</v>
      </c>
      <c r="AJ180">
        <v>17</v>
      </c>
      <c r="AK180">
        <v>17.5</v>
      </c>
      <c r="AL180">
        <v>19</v>
      </c>
      <c r="AM180">
        <v>-2.5600000000000005</v>
      </c>
      <c r="AN180">
        <v>16</v>
      </c>
      <c r="AO180">
        <v>-19.560000000000002</v>
      </c>
      <c r="AP180">
        <v>-0.20000000000000018</v>
      </c>
      <c r="AQ180">
        <v>18</v>
      </c>
      <c r="AR180">
        <v>17.5</v>
      </c>
      <c r="AS180">
        <v>20</v>
      </c>
      <c r="AT180">
        <v>-0.37199999999999989</v>
      </c>
      <c r="AU180">
        <v>15</v>
      </c>
      <c r="AV180">
        <v>-1.1999999999999997</v>
      </c>
      <c r="AW180">
        <v>7.9999999999999932E-2</v>
      </c>
      <c r="AX180">
        <v>31</v>
      </c>
      <c r="AY180">
        <v>31.5</v>
      </c>
      <c r="AZ180">
        <v>32</v>
      </c>
      <c r="BA180">
        <v>-3.148000000000001</v>
      </c>
      <c r="BB180">
        <v>31</v>
      </c>
      <c r="BC180">
        <v>-24.279999999999994</v>
      </c>
      <c r="BD180">
        <v>-0.11999999999999993</v>
      </c>
      <c r="BE180">
        <v>28</v>
      </c>
      <c r="BF180">
        <v>27.5</v>
      </c>
      <c r="BG180">
        <v>24</v>
      </c>
      <c r="BH180">
        <v>-0.77200000000000024</v>
      </c>
      <c r="BI180">
        <v>31</v>
      </c>
      <c r="BJ180">
        <v>-14.479999999999999</v>
      </c>
      <c r="BK180">
        <v>-0.76</v>
      </c>
      <c r="BL180">
        <v>3</v>
      </c>
      <c r="BM180">
        <v>5.5</v>
      </c>
      <c r="BN180">
        <v>5</v>
      </c>
      <c r="BO180">
        <v>2.0400000000000005</v>
      </c>
      <c r="BP180">
        <v>6</v>
      </c>
      <c r="BQ180">
        <v>7.999999999999996E-2</v>
      </c>
      <c r="BR180">
        <v>3.0799999999999992</v>
      </c>
      <c r="BS180">
        <v>12</v>
      </c>
      <c r="BT180">
        <v>13.25</v>
      </c>
      <c r="BU180">
        <v>9</v>
      </c>
      <c r="BV180">
        <v>-7.0619516488219111E-2</v>
      </c>
      <c r="BW180">
        <v>20</v>
      </c>
      <c r="BX180">
        <v>-4.3432333815609049E-2</v>
      </c>
      <c r="BY180">
        <v>19</v>
      </c>
      <c r="BZ180">
        <v>-0.27199999999999702</v>
      </c>
      <c r="CA180">
        <v>5</v>
      </c>
      <c r="CB180">
        <v>-4.04</v>
      </c>
      <c r="CC180">
        <v>-4.3599999999999994</v>
      </c>
      <c r="CD180">
        <v>2.1999999999999997</v>
      </c>
      <c r="CE180">
        <v>-1.4</v>
      </c>
      <c r="CF180">
        <v>-56.480000000000004</v>
      </c>
      <c r="CG180">
        <v>-23.240000000000009</v>
      </c>
      <c r="CH180">
        <v>-24.080000000000005</v>
      </c>
      <c r="CI180">
        <v>-5.2</v>
      </c>
      <c r="CJ180">
        <v>-3.9599999999999995</v>
      </c>
      <c r="CK180">
        <v>20</v>
      </c>
      <c r="CL180">
        <v>-1.9199999999998468E-2</v>
      </c>
      <c r="CM180">
        <v>-0.22423999999999933</v>
      </c>
      <c r="CN180">
        <v>0.83999999999999631</v>
      </c>
      <c r="CO180">
        <v>1.9199999999998441E-2</v>
      </c>
      <c r="CP180">
        <v>-0.31390000000000001</v>
      </c>
      <c r="CQ180">
        <v>-1.7999999999999996</v>
      </c>
      <c r="CR180">
        <v>-12.760000000000003</v>
      </c>
      <c r="CS180">
        <v>-0.98000000000000131</v>
      </c>
      <c r="CT180">
        <v>-24.759999999999998</v>
      </c>
      <c r="CU180">
        <v>-1.4000000000000001</v>
      </c>
      <c r="CV180">
        <v>0.76000000000000023</v>
      </c>
      <c r="CW180">
        <v>-1.0772999999999999</v>
      </c>
      <c r="CX180">
        <v>-1.532</v>
      </c>
      <c r="CY180" t="s">
        <v>287</v>
      </c>
      <c r="CZ180">
        <v>26</v>
      </c>
      <c r="DA180">
        <v>-1.0447999999999993</v>
      </c>
      <c r="DB180">
        <v>7</v>
      </c>
      <c r="DC180">
        <v>10</v>
      </c>
      <c r="DD180">
        <v>11</v>
      </c>
      <c r="DE180">
        <v>5.0440000000000014</v>
      </c>
      <c r="DF180">
        <v>9</v>
      </c>
      <c r="DG180">
        <v>18</v>
      </c>
      <c r="DH180">
        <v>-0.86</v>
      </c>
      <c r="DI180">
        <v>21</v>
      </c>
      <c r="DJ180">
        <v>18.5</v>
      </c>
      <c r="DK180">
        <v>9</v>
      </c>
      <c r="DL180">
        <v>-1.4320000000000002</v>
      </c>
      <c r="DM180">
        <v>28</v>
      </c>
      <c r="DN180">
        <v>-4.8</v>
      </c>
      <c r="DO180">
        <v>-0.96</v>
      </c>
      <c r="DP180">
        <v>28</v>
      </c>
      <c r="DQ180">
        <v>26.5</v>
      </c>
      <c r="DR180">
        <v>26</v>
      </c>
      <c r="DS180">
        <v>0.30800000000000055</v>
      </c>
      <c r="DT180">
        <v>27</v>
      </c>
      <c r="DU180">
        <v>-2.6400000000000006</v>
      </c>
      <c r="DV180">
        <v>-1.4400000000000002</v>
      </c>
      <c r="DW180">
        <v>21</v>
      </c>
      <c r="DX180">
        <v>22</v>
      </c>
      <c r="DY180">
        <v>22</v>
      </c>
      <c r="DZ180">
        <v>-3.5720000000000001</v>
      </c>
      <c r="EA180">
        <v>22</v>
      </c>
      <c r="EB180">
        <v>-14.319999999999999</v>
      </c>
      <c r="EC180">
        <v>-1.2799999999999998</v>
      </c>
      <c r="ED180">
        <v>18</v>
      </c>
      <c r="EE180">
        <v>20.5</v>
      </c>
      <c r="EF180">
        <v>23</v>
      </c>
      <c r="EG180">
        <v>-2.1359999999999997</v>
      </c>
      <c r="EH180">
        <v>18</v>
      </c>
      <c r="EI180">
        <v>-4.4000000000000004</v>
      </c>
      <c r="EJ180">
        <v>-2.76</v>
      </c>
      <c r="EK180">
        <v>22</v>
      </c>
      <c r="EL180">
        <v>23</v>
      </c>
      <c r="EM180">
        <v>25</v>
      </c>
      <c r="EN180">
        <v>-2.7880000000000011</v>
      </c>
      <c r="EO180">
        <v>21</v>
      </c>
      <c r="EP180">
        <v>-9.08</v>
      </c>
      <c r="EQ180">
        <v>-3.0000000000000004</v>
      </c>
      <c r="ER180">
        <v>30</v>
      </c>
      <c r="ES180">
        <v>27.5</v>
      </c>
      <c r="ET180">
        <v>28</v>
      </c>
      <c r="EU180">
        <v>0.45199999999999962</v>
      </c>
      <c r="EV180">
        <v>27</v>
      </c>
      <c r="EW180">
        <v>-1.6000000000000014</v>
      </c>
      <c r="EX180">
        <v>-0.11999999999999993</v>
      </c>
      <c r="EY180">
        <v>3</v>
      </c>
      <c r="EZ180">
        <v>3.5</v>
      </c>
      <c r="FA180">
        <v>4</v>
      </c>
      <c r="FB180">
        <v>-2.6</v>
      </c>
      <c r="FC180">
        <v>3</v>
      </c>
      <c r="FD180">
        <v>0.11999999999999993</v>
      </c>
      <c r="FE180">
        <v>2.08</v>
      </c>
      <c r="FF180">
        <v>25</v>
      </c>
      <c r="FG180">
        <v>21.5</v>
      </c>
      <c r="FH180">
        <v>20</v>
      </c>
      <c r="FI180">
        <v>-1.9629488482797608E-2</v>
      </c>
      <c r="FJ180">
        <v>25</v>
      </c>
      <c r="FK180">
        <v>3.4603401641558409E-3</v>
      </c>
      <c r="FL180">
        <v>18</v>
      </c>
      <c r="FM180">
        <v>1.7000000000000028</v>
      </c>
      <c r="FN180">
        <v>23</v>
      </c>
      <c r="FO180">
        <v>-0.56000000000000016</v>
      </c>
      <c r="FP180">
        <v>-4.4399999999999995</v>
      </c>
      <c r="FQ180">
        <v>-0.64000000000000057</v>
      </c>
      <c r="FR180">
        <v>0.4</v>
      </c>
      <c r="FS180">
        <v>-7.4400000000000022</v>
      </c>
      <c r="FT180">
        <v>-0.44000000000000022</v>
      </c>
      <c r="FU180">
        <v>-0.55999999999999994</v>
      </c>
      <c r="FV180">
        <v>-4.0799999999999956</v>
      </c>
      <c r="FW180">
        <v>-13.319999999999999</v>
      </c>
      <c r="FX180">
        <v>10.279999999999998</v>
      </c>
      <c r="FY180">
        <v>1.3599999999999999</v>
      </c>
      <c r="FZ180">
        <v>-2.3999999999999995</v>
      </c>
      <c r="GA180">
        <v>26</v>
      </c>
      <c r="GB180">
        <v>-4.6568000000000005</v>
      </c>
      <c r="GC180">
        <v>-3.0045600000000006</v>
      </c>
      <c r="GD180">
        <v>-23.599999999999994</v>
      </c>
      <c r="GE180">
        <v>4.6568000000000005</v>
      </c>
      <c r="GF180">
        <v>-0.62259999999999982</v>
      </c>
      <c r="GG180">
        <v>-5.3999999999999986</v>
      </c>
      <c r="GH180">
        <v>-21.36</v>
      </c>
      <c r="GI180">
        <v>3.612000000000001</v>
      </c>
      <c r="GJ180">
        <v>13.2</v>
      </c>
      <c r="GK180">
        <v>-5.6</v>
      </c>
      <c r="GL180">
        <v>-1.8199999999999998</v>
      </c>
    </row>
    <row r="181" spans="1:194" x14ac:dyDescent="0.2">
      <c r="A181" s="39">
        <v>43751</v>
      </c>
      <c r="B181" s="22" t="s">
        <v>252</v>
      </c>
      <c r="C181" s="40" t="s">
        <v>256</v>
      </c>
      <c r="D181" s="22" t="s">
        <v>304</v>
      </c>
      <c r="E181">
        <v>7.5</v>
      </c>
      <c r="F181">
        <v>4.9000000000000004</v>
      </c>
      <c r="G181">
        <v>3.5</v>
      </c>
      <c r="H181">
        <f>21.3+1.8</f>
        <v>23.1</v>
      </c>
      <c r="I181">
        <v>3</v>
      </c>
      <c r="J181">
        <v>49.5</v>
      </c>
      <c r="K181" t="s">
        <v>109</v>
      </c>
      <c r="L181" s="1" t="s">
        <v>256</v>
      </c>
      <c r="M181">
        <v>28</v>
      </c>
      <c r="N181">
        <v>-4.6776</v>
      </c>
      <c r="O181">
        <v>26</v>
      </c>
      <c r="P181">
        <v>24.5</v>
      </c>
      <c r="Q181">
        <v>25</v>
      </c>
      <c r="R181">
        <v>-2.1528000000000005</v>
      </c>
      <c r="S181">
        <v>24</v>
      </c>
      <c r="T181">
        <v>13.48</v>
      </c>
      <c r="U181">
        <v>-2.04</v>
      </c>
      <c r="V181">
        <v>5</v>
      </c>
      <c r="W181">
        <v>8</v>
      </c>
      <c r="X181">
        <v>9</v>
      </c>
      <c r="Y181">
        <v>7.4544000000000015</v>
      </c>
      <c r="Z181">
        <v>7</v>
      </c>
      <c r="AA181">
        <v>41.6</v>
      </c>
      <c r="AB181">
        <v>0.4</v>
      </c>
      <c r="AC181">
        <v>23</v>
      </c>
      <c r="AD181">
        <v>22</v>
      </c>
      <c r="AE181">
        <v>24</v>
      </c>
      <c r="AF181">
        <v>-5.3151999999999999</v>
      </c>
      <c r="AG181">
        <v>20</v>
      </c>
      <c r="AH181">
        <v>-16.84</v>
      </c>
      <c r="AI181">
        <v>-2.9200000000000004</v>
      </c>
      <c r="AJ181">
        <v>27</v>
      </c>
      <c r="AK181">
        <v>27</v>
      </c>
      <c r="AL181">
        <v>25</v>
      </c>
      <c r="AM181">
        <v>-5.7960000000000012</v>
      </c>
      <c r="AN181">
        <v>29</v>
      </c>
      <c r="AO181">
        <v>-36.799999999999997</v>
      </c>
      <c r="AP181">
        <v>-2.3199999999999998</v>
      </c>
      <c r="AQ181">
        <v>13</v>
      </c>
      <c r="AR181">
        <v>14.5</v>
      </c>
      <c r="AS181">
        <v>16</v>
      </c>
      <c r="AT181">
        <v>-0.71200000000000008</v>
      </c>
      <c r="AU181">
        <v>13</v>
      </c>
      <c r="AV181">
        <v>-6.6400000000000006</v>
      </c>
      <c r="AW181">
        <v>-0.51999999999999991</v>
      </c>
      <c r="AX181">
        <v>19</v>
      </c>
      <c r="AY181">
        <v>19.5</v>
      </c>
      <c r="AZ181">
        <v>20</v>
      </c>
      <c r="BA181">
        <v>-3.7600000000000025</v>
      </c>
      <c r="BB181">
        <v>19</v>
      </c>
      <c r="BC181">
        <v>-12</v>
      </c>
      <c r="BD181">
        <v>-3.5200000000000005</v>
      </c>
      <c r="BE181">
        <v>17</v>
      </c>
      <c r="BF181">
        <v>17.5</v>
      </c>
      <c r="BG181">
        <v>16</v>
      </c>
      <c r="BH181">
        <v>2.54</v>
      </c>
      <c r="BI181">
        <v>19</v>
      </c>
      <c r="BJ181">
        <v>14.76</v>
      </c>
      <c r="BK181">
        <v>1.28</v>
      </c>
      <c r="BL181">
        <v>17</v>
      </c>
      <c r="BM181">
        <v>16</v>
      </c>
      <c r="BN181">
        <v>15</v>
      </c>
      <c r="BO181">
        <v>-0.71999999999999953</v>
      </c>
      <c r="BP181">
        <v>17</v>
      </c>
      <c r="BQ181">
        <v>0.51999999999999991</v>
      </c>
      <c r="BR181">
        <v>5.2</v>
      </c>
      <c r="BS181">
        <v>21</v>
      </c>
      <c r="BT181">
        <v>17.75</v>
      </c>
      <c r="BU181">
        <v>19</v>
      </c>
      <c r="BV181">
        <v>-9.5543356539650917E-2</v>
      </c>
      <c r="BW181">
        <v>3</v>
      </c>
      <c r="BX181">
        <v>-2.7369812667338976E-2</v>
      </c>
      <c r="BY181">
        <v>29</v>
      </c>
      <c r="BZ181">
        <v>-2.295999999999998</v>
      </c>
      <c r="CA181">
        <v>20</v>
      </c>
      <c r="CB181">
        <v>-0.76</v>
      </c>
      <c r="CC181">
        <v>3.680000000000001</v>
      </c>
      <c r="CD181">
        <v>2</v>
      </c>
      <c r="CE181">
        <v>1.24</v>
      </c>
      <c r="CF181">
        <v>25.560000000000002</v>
      </c>
      <c r="CG181">
        <v>-30.72</v>
      </c>
      <c r="CH181">
        <v>68.52000000000001</v>
      </c>
      <c r="CI181">
        <v>3.1999999999999997</v>
      </c>
      <c r="CJ181">
        <v>-15.440000000000001</v>
      </c>
      <c r="CK181">
        <v>30</v>
      </c>
      <c r="CL181">
        <v>-9.9792000000000005</v>
      </c>
      <c r="CM181">
        <v>-5.4429600000000011</v>
      </c>
      <c r="CN181">
        <v>-99.240000000000009</v>
      </c>
      <c r="CO181">
        <v>9.9792000000000005</v>
      </c>
      <c r="CP181">
        <v>-1.1724000000000001</v>
      </c>
      <c r="CQ181">
        <v>-11.8232</v>
      </c>
      <c r="CR181">
        <v>-60.28</v>
      </c>
      <c r="CS181">
        <v>5.3016000000000005</v>
      </c>
      <c r="CT181">
        <v>55.08</v>
      </c>
      <c r="CU181">
        <v>-4.4799999999999995</v>
      </c>
      <c r="CV181">
        <v>-1.6400000000000001</v>
      </c>
      <c r="CW181">
        <v>-2.0659999999999998</v>
      </c>
      <c r="CX181">
        <v>-4.3029999999999999</v>
      </c>
      <c r="CY181" t="s">
        <v>304</v>
      </c>
      <c r="CZ181">
        <v>16</v>
      </c>
      <c r="DA181">
        <v>-4.719999999999995E-2</v>
      </c>
      <c r="DB181">
        <v>17</v>
      </c>
      <c r="DC181">
        <v>18</v>
      </c>
      <c r="DD181">
        <v>20</v>
      </c>
      <c r="DE181">
        <v>0.9472000000000016</v>
      </c>
      <c r="DF181">
        <v>16</v>
      </c>
      <c r="DG181">
        <v>5.9199999999999964</v>
      </c>
      <c r="DH181">
        <v>0.2</v>
      </c>
      <c r="DI181">
        <v>4</v>
      </c>
      <c r="DJ181">
        <v>6.5</v>
      </c>
      <c r="DK181">
        <v>7</v>
      </c>
      <c r="DL181">
        <v>-1.052</v>
      </c>
      <c r="DM181">
        <v>6</v>
      </c>
      <c r="DN181">
        <v>-9.64</v>
      </c>
      <c r="DO181">
        <v>-0.6</v>
      </c>
      <c r="DP181">
        <v>19</v>
      </c>
      <c r="DQ181">
        <v>19.5</v>
      </c>
      <c r="DR181">
        <v>17</v>
      </c>
      <c r="DS181">
        <v>-1.6359999999999997</v>
      </c>
      <c r="DT181">
        <v>22</v>
      </c>
      <c r="DU181">
        <v>-6.8799999999999981</v>
      </c>
      <c r="DV181">
        <v>0.16000000000000014</v>
      </c>
      <c r="DW181">
        <v>11</v>
      </c>
      <c r="DX181">
        <v>13</v>
      </c>
      <c r="DY181">
        <v>10</v>
      </c>
      <c r="DZ181">
        <v>2.1960000000000002</v>
      </c>
      <c r="EA181">
        <v>16</v>
      </c>
      <c r="EB181">
        <v>6.7200000000000015</v>
      </c>
      <c r="EC181">
        <v>-4.0000000000000216E-2</v>
      </c>
      <c r="ED181">
        <v>2</v>
      </c>
      <c r="EE181">
        <v>2</v>
      </c>
      <c r="EF181">
        <v>2</v>
      </c>
      <c r="EG181">
        <v>-0.97600000000000031</v>
      </c>
      <c r="EH181">
        <v>2</v>
      </c>
      <c r="EI181">
        <v>-2.0399999999999991</v>
      </c>
      <c r="EJ181">
        <v>0</v>
      </c>
      <c r="EK181">
        <v>14</v>
      </c>
      <c r="EL181">
        <v>14</v>
      </c>
      <c r="EM181">
        <v>11</v>
      </c>
      <c r="EN181">
        <v>-1.1800000000000008</v>
      </c>
      <c r="EO181">
        <v>17</v>
      </c>
      <c r="EP181">
        <v>-8.6</v>
      </c>
      <c r="EQ181">
        <v>2.2799999999999998</v>
      </c>
      <c r="ER181">
        <v>25</v>
      </c>
      <c r="ES181">
        <v>24.5</v>
      </c>
      <c r="ET181">
        <v>29</v>
      </c>
      <c r="EU181">
        <v>1.599999999999966E-2</v>
      </c>
      <c r="EV181">
        <v>20</v>
      </c>
      <c r="EW181">
        <v>2.0799999999999983</v>
      </c>
      <c r="EX181">
        <v>0.60000000000000009</v>
      </c>
      <c r="EY181">
        <v>28</v>
      </c>
      <c r="EZ181">
        <v>26.5</v>
      </c>
      <c r="FA181">
        <v>29</v>
      </c>
      <c r="FB181">
        <v>1.92</v>
      </c>
      <c r="FC181">
        <v>24</v>
      </c>
      <c r="FD181">
        <v>0.27999999999999997</v>
      </c>
      <c r="FE181">
        <v>-1.1999999999999997</v>
      </c>
      <c r="FF181">
        <v>14</v>
      </c>
      <c r="FG181">
        <v>15</v>
      </c>
      <c r="FH181">
        <v>22</v>
      </c>
      <c r="FI181">
        <v>3.9376517957391853E-2</v>
      </c>
      <c r="FJ181">
        <v>10</v>
      </c>
      <c r="FK181">
        <v>-2.4967715296170406E-2</v>
      </c>
      <c r="FL181">
        <v>22</v>
      </c>
      <c r="FM181">
        <v>5.2039999999999988</v>
      </c>
      <c r="FN181">
        <v>6</v>
      </c>
      <c r="FO181">
        <v>-1.0799999999999998</v>
      </c>
      <c r="FP181">
        <v>1.320000000000001</v>
      </c>
      <c r="FQ181">
        <v>1.9600000000000002</v>
      </c>
      <c r="FR181">
        <v>-8.0000000000000071E-2</v>
      </c>
      <c r="FS181">
        <v>2.3600000000000008</v>
      </c>
      <c r="FT181">
        <v>2.5200000000000005</v>
      </c>
      <c r="FU181">
        <v>-0.35999999999999993</v>
      </c>
      <c r="FV181">
        <v>-15.720000000000004</v>
      </c>
      <c r="FW181">
        <v>-3.9599999999999964</v>
      </c>
      <c r="FX181">
        <v>-4.7199999999999989</v>
      </c>
      <c r="FY181">
        <v>-4.3199999999999994</v>
      </c>
      <c r="FZ181">
        <v>-2.72</v>
      </c>
      <c r="GA181">
        <v>17</v>
      </c>
      <c r="GB181">
        <v>5.7599999999998541E-2</v>
      </c>
      <c r="GC181">
        <v>-3.7040000000000781E-2</v>
      </c>
      <c r="GD181">
        <v>0.76000000000000245</v>
      </c>
      <c r="GE181">
        <v>-5.75999999999985E-2</v>
      </c>
      <c r="GF181">
        <v>0.17100000000000018</v>
      </c>
      <c r="GG181">
        <v>-0.41599999999999981</v>
      </c>
      <c r="GH181">
        <v>-2.1999999999999957</v>
      </c>
      <c r="GI181">
        <v>-0.10479999999999845</v>
      </c>
      <c r="GJ181">
        <v>-3.7200000000000042</v>
      </c>
      <c r="GK181">
        <v>0.72</v>
      </c>
      <c r="GL181">
        <v>-0.39999999999999997</v>
      </c>
    </row>
    <row r="182" spans="1:194" x14ac:dyDescent="0.2">
      <c r="A182" s="39">
        <v>43751</v>
      </c>
      <c r="B182" s="22" t="s">
        <v>252</v>
      </c>
      <c r="C182" s="41" t="s">
        <v>308</v>
      </c>
      <c r="D182" s="22" t="s">
        <v>281</v>
      </c>
      <c r="E182">
        <v>12.8</v>
      </c>
      <c r="F182">
        <v>11.3</v>
      </c>
      <c r="G182" s="14">
        <v>17.899999999999999</v>
      </c>
      <c r="H182" s="22"/>
      <c r="I182" s="22">
        <v>1</v>
      </c>
      <c r="J182" s="22">
        <v>45.5</v>
      </c>
      <c r="K182" t="s">
        <v>110</v>
      </c>
      <c r="L182" s="1" t="s">
        <v>308</v>
      </c>
      <c r="M182">
        <v>5</v>
      </c>
      <c r="N182">
        <v>5.4768000000000008</v>
      </c>
      <c r="O182">
        <v>3</v>
      </c>
      <c r="P182">
        <v>6</v>
      </c>
      <c r="Q182">
        <v>10</v>
      </c>
      <c r="R182">
        <v>1.1239999999999988</v>
      </c>
      <c r="S182">
        <v>2</v>
      </c>
      <c r="T182">
        <v>4.3599999999999977</v>
      </c>
      <c r="U182">
        <v>-0.15999999999999998</v>
      </c>
      <c r="V182">
        <v>1</v>
      </c>
      <c r="W182">
        <v>1.5</v>
      </c>
      <c r="X182">
        <v>2</v>
      </c>
      <c r="Y182">
        <v>-0.28559999999999908</v>
      </c>
      <c r="Z182">
        <v>1</v>
      </c>
      <c r="AA182">
        <v>-4.68</v>
      </c>
      <c r="AB182">
        <v>-0.6</v>
      </c>
      <c r="AC182">
        <v>19</v>
      </c>
      <c r="AD182">
        <v>18.5</v>
      </c>
      <c r="AE182">
        <v>15</v>
      </c>
      <c r="AF182">
        <v>2.4767999999999999</v>
      </c>
      <c r="AG182">
        <v>22</v>
      </c>
      <c r="AH182">
        <v>9.1199999999999992</v>
      </c>
      <c r="AI182">
        <v>-0.64</v>
      </c>
      <c r="AJ182">
        <v>12</v>
      </c>
      <c r="AK182">
        <v>11.5</v>
      </c>
      <c r="AL182">
        <v>12</v>
      </c>
      <c r="AM182">
        <v>-2.1360000000000001</v>
      </c>
      <c r="AN182">
        <v>11</v>
      </c>
      <c r="AO182">
        <v>-0.72000000000000031</v>
      </c>
      <c r="AP182">
        <v>-0.20000000000000018</v>
      </c>
      <c r="AQ182">
        <v>17</v>
      </c>
      <c r="AR182">
        <v>17</v>
      </c>
      <c r="AS182">
        <v>17</v>
      </c>
      <c r="AT182">
        <v>-1.04</v>
      </c>
      <c r="AU182">
        <v>17</v>
      </c>
      <c r="AV182">
        <v>0.91999999999999926</v>
      </c>
      <c r="AW182">
        <v>-4.0000000000000077E-2</v>
      </c>
      <c r="AX182">
        <v>24</v>
      </c>
      <c r="AY182">
        <v>25</v>
      </c>
      <c r="AZ182">
        <v>26</v>
      </c>
      <c r="BA182">
        <v>-0.1</v>
      </c>
      <c r="BB182">
        <v>24</v>
      </c>
      <c r="BC182">
        <v>3.8000000000000056</v>
      </c>
      <c r="BD182">
        <v>-1.8000000000000003</v>
      </c>
      <c r="BE182">
        <v>12</v>
      </c>
      <c r="BF182">
        <v>12.5</v>
      </c>
      <c r="BG182">
        <v>10</v>
      </c>
      <c r="BH182">
        <v>4.0399999999999991</v>
      </c>
      <c r="BI182">
        <v>15</v>
      </c>
      <c r="BJ182">
        <v>11.64</v>
      </c>
      <c r="BK182">
        <v>0.44000000000000011</v>
      </c>
      <c r="BL182">
        <v>8</v>
      </c>
      <c r="BM182">
        <v>8.5</v>
      </c>
      <c r="BN182">
        <v>9</v>
      </c>
      <c r="BO182">
        <v>-3.7599999999999993</v>
      </c>
      <c r="BP182">
        <v>8</v>
      </c>
      <c r="BQ182">
        <v>-0.6</v>
      </c>
      <c r="BR182">
        <v>8.0000000000000071E-2</v>
      </c>
      <c r="BS182">
        <v>12</v>
      </c>
      <c r="BT182">
        <v>13.25</v>
      </c>
      <c r="BU182">
        <v>11</v>
      </c>
      <c r="BV182">
        <v>2.9346748028822939E-2</v>
      </c>
      <c r="BW182">
        <v>5</v>
      </c>
      <c r="BX182">
        <v>1.5372710467381557E-2</v>
      </c>
      <c r="BY182">
        <v>21</v>
      </c>
      <c r="BZ182">
        <v>11.400000000000002</v>
      </c>
      <c r="CA182">
        <v>16</v>
      </c>
      <c r="CB182">
        <v>0.56000000000000028</v>
      </c>
      <c r="CC182">
        <v>-0.4799999999999997</v>
      </c>
      <c r="CD182">
        <v>0.24000000000000057</v>
      </c>
      <c r="CE182">
        <v>0.83999999999999986</v>
      </c>
      <c r="CF182">
        <v>13.879999999999995</v>
      </c>
      <c r="CG182">
        <v>19.52</v>
      </c>
      <c r="CH182">
        <v>-4.0400000000000009</v>
      </c>
      <c r="CI182">
        <v>-3.6</v>
      </c>
      <c r="CJ182">
        <v>1.9999999999999987</v>
      </c>
      <c r="CK182">
        <v>9</v>
      </c>
      <c r="CL182">
        <v>4.6384000000000007</v>
      </c>
      <c r="CM182">
        <v>1.34432</v>
      </c>
      <c r="CN182">
        <v>23.560000000000002</v>
      </c>
      <c r="CO182">
        <v>-4.6384000000000007</v>
      </c>
      <c r="CP182">
        <v>0.7370000000000001</v>
      </c>
      <c r="CQ182">
        <v>-0.69920000000000027</v>
      </c>
      <c r="CR182">
        <v>9.3199999999999985</v>
      </c>
      <c r="CS182">
        <v>0.8383999999999997</v>
      </c>
      <c r="CT182">
        <v>-0.32000000000000206</v>
      </c>
      <c r="CU182">
        <v>-0.44000000000000011</v>
      </c>
      <c r="CV182">
        <v>-0.76</v>
      </c>
      <c r="CW182">
        <v>9.4999999999999599E-2</v>
      </c>
      <c r="CX182">
        <v>1.9299999999999651E-2</v>
      </c>
      <c r="CY182" t="s">
        <v>281</v>
      </c>
      <c r="CZ182">
        <v>11</v>
      </c>
      <c r="DA182">
        <v>0.14159999999999934</v>
      </c>
      <c r="DB182">
        <v>19</v>
      </c>
      <c r="DC182">
        <v>20</v>
      </c>
      <c r="DD182">
        <v>20</v>
      </c>
      <c r="DE182">
        <v>-0.48800000000000027</v>
      </c>
      <c r="DF182">
        <v>20</v>
      </c>
      <c r="DG182">
        <v>5.599999999999997</v>
      </c>
      <c r="DH182">
        <v>-0.51999999999999991</v>
      </c>
      <c r="DI182">
        <v>25</v>
      </c>
      <c r="DJ182">
        <v>22.5</v>
      </c>
      <c r="DK182">
        <v>19</v>
      </c>
      <c r="DL182">
        <v>3.1279999999999992</v>
      </c>
      <c r="DM182">
        <v>26</v>
      </c>
      <c r="DN182">
        <v>7.3599999999999994</v>
      </c>
      <c r="DO182">
        <v>0.72</v>
      </c>
      <c r="DP182">
        <v>10</v>
      </c>
      <c r="DQ182">
        <v>12</v>
      </c>
      <c r="DR182">
        <v>13</v>
      </c>
      <c r="DS182">
        <v>-2.0759999999999996</v>
      </c>
      <c r="DT182">
        <v>11</v>
      </c>
      <c r="DU182">
        <v>-20.48</v>
      </c>
      <c r="DV182">
        <v>-1.1199999999999999</v>
      </c>
      <c r="DW182">
        <v>21</v>
      </c>
      <c r="DX182">
        <v>22</v>
      </c>
      <c r="DY182">
        <v>21</v>
      </c>
      <c r="DZ182">
        <v>-0.36000000000000087</v>
      </c>
      <c r="EA182">
        <v>23</v>
      </c>
      <c r="EB182">
        <v>6.8799999999999981</v>
      </c>
      <c r="EC182">
        <v>-0.92000000000000015</v>
      </c>
      <c r="ED182">
        <v>21</v>
      </c>
      <c r="EE182">
        <v>19.5</v>
      </c>
      <c r="EF182">
        <v>19</v>
      </c>
      <c r="EG182">
        <v>1.2999999999999996</v>
      </c>
      <c r="EH182">
        <v>20</v>
      </c>
      <c r="EI182">
        <v>4.08</v>
      </c>
      <c r="EJ182">
        <v>0.84000000000000019</v>
      </c>
      <c r="EK182">
        <v>10</v>
      </c>
      <c r="EL182">
        <v>11.5</v>
      </c>
      <c r="EM182">
        <v>12</v>
      </c>
      <c r="EN182">
        <v>-2.8320000000000012</v>
      </c>
      <c r="EO182">
        <v>11</v>
      </c>
      <c r="EP182">
        <v>-26.32</v>
      </c>
      <c r="EQ182">
        <v>-2.52</v>
      </c>
      <c r="ER182">
        <v>4</v>
      </c>
      <c r="ES182">
        <v>4</v>
      </c>
      <c r="ET182">
        <v>5</v>
      </c>
      <c r="EU182">
        <v>-0.56000000000000083</v>
      </c>
      <c r="EV182">
        <v>3</v>
      </c>
      <c r="EW182">
        <v>-17.240000000000002</v>
      </c>
      <c r="EX182">
        <v>-1.44</v>
      </c>
      <c r="EY182">
        <v>29</v>
      </c>
      <c r="EZ182">
        <v>27</v>
      </c>
      <c r="FA182">
        <v>30</v>
      </c>
      <c r="FB182">
        <v>0.28000000000000008</v>
      </c>
      <c r="FC182">
        <v>24</v>
      </c>
      <c r="FD182">
        <v>7.9999999999999988E-2</v>
      </c>
      <c r="FE182">
        <v>2.2399999999999998</v>
      </c>
      <c r="FF182">
        <v>9</v>
      </c>
      <c r="FG182">
        <v>12.5</v>
      </c>
      <c r="FH182">
        <v>8</v>
      </c>
      <c r="FI182">
        <v>-1.6008838274264164E-2</v>
      </c>
      <c r="FJ182">
        <v>16</v>
      </c>
      <c r="FK182">
        <v>1.1595269883120349E-2</v>
      </c>
      <c r="FL182">
        <v>7</v>
      </c>
      <c r="FM182">
        <v>0.50800000000000411</v>
      </c>
      <c r="FN182">
        <v>19</v>
      </c>
      <c r="FO182">
        <v>-0.72000000000000008</v>
      </c>
      <c r="FP182">
        <v>-1.7199999999999989</v>
      </c>
      <c r="FQ182">
        <v>-0.35999999999999943</v>
      </c>
      <c r="FR182">
        <v>-0.64000000000000024</v>
      </c>
      <c r="FS182">
        <v>-2.1599999999999979</v>
      </c>
      <c r="FT182">
        <v>-0.40000000000000069</v>
      </c>
      <c r="FU182">
        <v>-0.31999999999999973</v>
      </c>
      <c r="FV182">
        <v>7.8800000000000008</v>
      </c>
      <c r="FW182">
        <v>-16.119999999999997</v>
      </c>
      <c r="FX182">
        <v>15.000000000000004</v>
      </c>
      <c r="FY182">
        <v>7.4399999999999995</v>
      </c>
      <c r="FZ182">
        <v>1.5600000000000005</v>
      </c>
      <c r="GA182">
        <v>22</v>
      </c>
      <c r="GB182">
        <v>-2.4983999999999997</v>
      </c>
      <c r="GC182">
        <v>-1.6308799999999999</v>
      </c>
      <c r="GD182">
        <v>-31.12</v>
      </c>
      <c r="GE182">
        <v>2.4983999999999993</v>
      </c>
      <c r="GF182">
        <v>0.17069999999999955</v>
      </c>
      <c r="GG182">
        <v>-1.1360000000000008</v>
      </c>
      <c r="GH182">
        <v>-9.5200000000000014</v>
      </c>
      <c r="GI182">
        <v>2.6399999999999988</v>
      </c>
      <c r="GJ182">
        <v>12.959999999999997</v>
      </c>
      <c r="GK182">
        <v>-2.6399999999999997</v>
      </c>
      <c r="GL182">
        <v>0.20000000000000007</v>
      </c>
    </row>
    <row r="183" spans="1:194" x14ac:dyDescent="0.2">
      <c r="A183" s="39">
        <v>43751</v>
      </c>
      <c r="B183" s="22" t="s">
        <v>252</v>
      </c>
      <c r="C183" s="41" t="s">
        <v>284</v>
      </c>
      <c r="D183" s="22" t="s">
        <v>301</v>
      </c>
      <c r="E183">
        <v>20.6</v>
      </c>
      <c r="F183">
        <v>28.1</v>
      </c>
      <c r="G183">
        <v>6.9</v>
      </c>
      <c r="H183">
        <f>12.7+5.5</f>
        <v>18.2</v>
      </c>
      <c r="I183">
        <v>2</v>
      </c>
      <c r="J183">
        <v>48.5</v>
      </c>
      <c r="L183" s="1" t="s">
        <v>284</v>
      </c>
      <c r="M183">
        <v>10</v>
      </c>
      <c r="N183">
        <v>2.1943999999999995</v>
      </c>
      <c r="O183">
        <v>24</v>
      </c>
      <c r="P183">
        <v>22.5</v>
      </c>
      <c r="Q183">
        <v>20</v>
      </c>
      <c r="R183">
        <v>-1.8120000000000005</v>
      </c>
      <c r="S183">
        <v>25</v>
      </c>
      <c r="T183">
        <v>-0.40000000000000141</v>
      </c>
      <c r="U183">
        <v>-1.9599999999999997</v>
      </c>
      <c r="V183">
        <v>20</v>
      </c>
      <c r="W183">
        <v>18.5</v>
      </c>
      <c r="X183">
        <v>12</v>
      </c>
      <c r="Y183">
        <v>0.42000000000000026</v>
      </c>
      <c r="Z183">
        <v>25</v>
      </c>
      <c r="AA183">
        <v>4.8</v>
      </c>
      <c r="AB183">
        <v>-4.0000000000000036E-2</v>
      </c>
      <c r="AC183">
        <v>24</v>
      </c>
      <c r="AD183">
        <v>22.5</v>
      </c>
      <c r="AE183">
        <v>26</v>
      </c>
      <c r="AF183">
        <v>-0.55200000000000082</v>
      </c>
      <c r="AG183">
        <v>19</v>
      </c>
      <c r="AH183">
        <v>-0.31999999999999884</v>
      </c>
      <c r="AI183">
        <v>-0.92000000000000015</v>
      </c>
      <c r="AJ183">
        <v>2</v>
      </c>
      <c r="AK183">
        <v>3</v>
      </c>
      <c r="AL183">
        <v>3</v>
      </c>
      <c r="AM183">
        <v>10.924000000000001</v>
      </c>
      <c r="AN183">
        <v>3</v>
      </c>
      <c r="AO183">
        <v>33.519999999999996</v>
      </c>
      <c r="AP183">
        <v>2.08</v>
      </c>
      <c r="AQ183">
        <v>4</v>
      </c>
      <c r="AR183">
        <v>4.5</v>
      </c>
      <c r="AS183">
        <v>5</v>
      </c>
      <c r="AT183">
        <v>-3.2159999999999997</v>
      </c>
      <c r="AU183">
        <v>4</v>
      </c>
      <c r="AV183">
        <v>-16.16</v>
      </c>
      <c r="AW183">
        <v>-7.9999999999999988E-2</v>
      </c>
      <c r="AX183">
        <v>6</v>
      </c>
      <c r="AY183">
        <v>5.5</v>
      </c>
      <c r="AZ183">
        <v>6</v>
      </c>
      <c r="BA183">
        <v>-1.2279999999999998</v>
      </c>
      <c r="BB183">
        <v>5</v>
      </c>
      <c r="BC183">
        <v>-2.2799999999999967</v>
      </c>
      <c r="BD183">
        <v>-2.7600000000000007</v>
      </c>
      <c r="BE183">
        <v>20</v>
      </c>
      <c r="BF183">
        <v>22</v>
      </c>
      <c r="BG183">
        <v>22</v>
      </c>
      <c r="BH183">
        <v>-1.6000000000000902E-2</v>
      </c>
      <c r="BI183">
        <v>22</v>
      </c>
      <c r="BJ183">
        <v>5.4</v>
      </c>
      <c r="BK183">
        <v>-0.76000000000000012</v>
      </c>
      <c r="BL183">
        <v>18</v>
      </c>
      <c r="BM183">
        <v>17.5</v>
      </c>
      <c r="BN183">
        <v>16</v>
      </c>
      <c r="BO183">
        <v>2.68</v>
      </c>
      <c r="BP183">
        <v>19</v>
      </c>
      <c r="BQ183">
        <v>0.6</v>
      </c>
      <c r="BR183">
        <v>2.44</v>
      </c>
      <c r="BS183">
        <v>14</v>
      </c>
      <c r="BT183">
        <v>14</v>
      </c>
      <c r="BU183">
        <v>29</v>
      </c>
      <c r="BV183">
        <v>1.4066968455257978E-2</v>
      </c>
      <c r="BW183">
        <v>22</v>
      </c>
      <c r="BX183">
        <v>1.478359758297508E-2</v>
      </c>
      <c r="BY183">
        <v>1</v>
      </c>
      <c r="BZ183">
        <v>-2.3359999999999959</v>
      </c>
      <c r="CA183">
        <v>4</v>
      </c>
      <c r="CB183">
        <v>1.2800000000000002</v>
      </c>
      <c r="CC183">
        <v>2.1600000000000024</v>
      </c>
      <c r="CD183">
        <v>5.4</v>
      </c>
      <c r="CE183">
        <v>2.1599999999999997</v>
      </c>
      <c r="CF183">
        <v>24.95999999999998</v>
      </c>
      <c r="CG183">
        <v>29.399999999999995</v>
      </c>
      <c r="CH183">
        <v>2.6799999999999984</v>
      </c>
      <c r="CI183">
        <v>0.11999999999999958</v>
      </c>
      <c r="CJ183">
        <v>-7.2399999999999993</v>
      </c>
      <c r="CK183">
        <v>13</v>
      </c>
      <c r="CL183">
        <v>3.5863999999999998</v>
      </c>
      <c r="CM183">
        <v>2.5628799999999998</v>
      </c>
      <c r="CN183">
        <v>26.719999999999995</v>
      </c>
      <c r="CO183">
        <v>-3.5863999999999998</v>
      </c>
      <c r="CP183">
        <v>1.3278000000000001</v>
      </c>
      <c r="CQ183">
        <v>7.1560000000000006</v>
      </c>
      <c r="CR183">
        <v>17.039999999999996</v>
      </c>
      <c r="CS183">
        <v>-1.3920000000000003</v>
      </c>
      <c r="CT183">
        <v>4.3999999999999986</v>
      </c>
      <c r="CU183">
        <v>0.31999999999999973</v>
      </c>
      <c r="CV183">
        <v>-1.9999999999999998</v>
      </c>
      <c r="CW183">
        <v>0.22703749999999989</v>
      </c>
      <c r="CX183">
        <v>2.2418749999999998</v>
      </c>
      <c r="CY183" t="s">
        <v>301</v>
      </c>
      <c r="CZ183">
        <v>14</v>
      </c>
      <c r="DA183">
        <v>-5.2823999999999982</v>
      </c>
      <c r="DB183">
        <v>7</v>
      </c>
      <c r="DC183">
        <v>10</v>
      </c>
      <c r="DD183">
        <v>5</v>
      </c>
      <c r="DE183">
        <v>1.4279999999999995</v>
      </c>
      <c r="DF183">
        <v>15</v>
      </c>
      <c r="DG183">
        <v>8.52</v>
      </c>
      <c r="DH183">
        <v>0.6399999999999999</v>
      </c>
      <c r="DI183">
        <v>2</v>
      </c>
      <c r="DJ183">
        <v>3</v>
      </c>
      <c r="DK183">
        <v>4</v>
      </c>
      <c r="DL183">
        <v>1.0400000000000005</v>
      </c>
      <c r="DM183">
        <v>2</v>
      </c>
      <c r="DN183">
        <v>1.0000000000000007</v>
      </c>
      <c r="DO183">
        <v>-0.20000000000000009</v>
      </c>
      <c r="DP183">
        <v>20</v>
      </c>
      <c r="DQ183">
        <v>16.5</v>
      </c>
      <c r="DR183">
        <v>16</v>
      </c>
      <c r="DS183">
        <v>-5.0640000000000001</v>
      </c>
      <c r="DT183">
        <v>17</v>
      </c>
      <c r="DU183">
        <v>-19.16</v>
      </c>
      <c r="DV183">
        <v>-0.24000000000000021</v>
      </c>
      <c r="DW183">
        <v>7</v>
      </c>
      <c r="DX183">
        <v>6.5</v>
      </c>
      <c r="DY183">
        <v>8</v>
      </c>
      <c r="DZ183">
        <v>2.7039999999999993</v>
      </c>
      <c r="EA183">
        <v>5</v>
      </c>
      <c r="EB183">
        <v>6.8</v>
      </c>
      <c r="EC183">
        <v>1.8399999999999999</v>
      </c>
      <c r="ED183">
        <v>11</v>
      </c>
      <c r="EE183">
        <v>7.5</v>
      </c>
      <c r="EF183">
        <v>12</v>
      </c>
      <c r="EG183">
        <v>-4.5640000000000001</v>
      </c>
      <c r="EH183">
        <v>3</v>
      </c>
      <c r="EI183">
        <v>-21.240000000000002</v>
      </c>
      <c r="EJ183">
        <v>-0.88000000000000012</v>
      </c>
      <c r="EK183">
        <v>18</v>
      </c>
      <c r="EL183">
        <v>18</v>
      </c>
      <c r="EM183">
        <v>22</v>
      </c>
      <c r="EN183">
        <v>-3.6640000000000015</v>
      </c>
      <c r="EO183">
        <v>14</v>
      </c>
      <c r="EP183">
        <v>-15.040000000000001</v>
      </c>
      <c r="EQ183">
        <v>1.0399999999999996</v>
      </c>
      <c r="ER183">
        <v>12</v>
      </c>
      <c r="ES183">
        <v>13</v>
      </c>
      <c r="ET183">
        <v>20</v>
      </c>
      <c r="EU183">
        <v>-3.9640000000000022</v>
      </c>
      <c r="EV183">
        <v>6</v>
      </c>
      <c r="EW183">
        <v>-17.560000000000002</v>
      </c>
      <c r="EX183">
        <v>-1.8799999999999997</v>
      </c>
      <c r="EY183">
        <v>10</v>
      </c>
      <c r="EZ183">
        <v>11.5</v>
      </c>
      <c r="FA183">
        <v>16</v>
      </c>
      <c r="FB183">
        <v>-0.6000000000000002</v>
      </c>
      <c r="FC183">
        <v>7</v>
      </c>
      <c r="FD183">
        <v>8.0000000000000071E-2</v>
      </c>
      <c r="FE183">
        <v>0.12000000000000011</v>
      </c>
      <c r="FF183">
        <v>18</v>
      </c>
      <c r="FG183">
        <v>16.25</v>
      </c>
      <c r="FH183">
        <v>18</v>
      </c>
      <c r="FI183">
        <v>1.9153840439789106E-2</v>
      </c>
      <c r="FJ183">
        <v>16</v>
      </c>
      <c r="FK183">
        <v>1.6718294484017026E-2</v>
      </c>
      <c r="FL183">
        <v>8</v>
      </c>
      <c r="FM183">
        <v>-5.5720000000000045</v>
      </c>
      <c r="FN183">
        <v>23</v>
      </c>
      <c r="FO183">
        <v>2.3600000000000003</v>
      </c>
      <c r="FP183">
        <v>-4.0000000000001278E-2</v>
      </c>
      <c r="FQ183">
        <v>1.56</v>
      </c>
      <c r="FR183">
        <v>1.2400000000000002</v>
      </c>
      <c r="FS183">
        <v>3.6400000000000006</v>
      </c>
      <c r="FT183">
        <v>-2.8800000000000003</v>
      </c>
      <c r="FU183">
        <v>-1.1199999999999999</v>
      </c>
      <c r="FV183">
        <v>-47.760000000000005</v>
      </c>
      <c r="FW183">
        <v>-62.320000000000007</v>
      </c>
      <c r="FX183">
        <v>9.64</v>
      </c>
      <c r="FY183">
        <v>-1.4000000000000001</v>
      </c>
      <c r="FZ183">
        <v>6.3199999999999985</v>
      </c>
      <c r="GA183">
        <v>29</v>
      </c>
      <c r="GB183">
        <v>-7.7503999999999991</v>
      </c>
      <c r="GC183">
        <v>-4.4680800000000005</v>
      </c>
      <c r="GD183">
        <v>-71.960000000000008</v>
      </c>
      <c r="GE183">
        <v>7.7503999999999982</v>
      </c>
      <c r="GF183">
        <v>-1.7878000000000001</v>
      </c>
      <c r="GG183">
        <v>-6.9240000000000013</v>
      </c>
      <c r="GH183">
        <v>-33.6</v>
      </c>
      <c r="GI183">
        <v>2.468</v>
      </c>
      <c r="GJ183">
        <v>9.52</v>
      </c>
      <c r="GK183">
        <v>-1.1600000000000001</v>
      </c>
      <c r="GL183">
        <v>0.43999999999999984</v>
      </c>
    </row>
    <row r="184" spans="1:194" x14ac:dyDescent="0.2">
      <c r="A184" s="39">
        <v>43751</v>
      </c>
      <c r="B184" s="22" t="s">
        <v>252</v>
      </c>
      <c r="C184" s="41" t="s">
        <v>310</v>
      </c>
      <c r="D184" s="22" t="s">
        <v>278</v>
      </c>
      <c r="E184">
        <v>6.6</v>
      </c>
      <c r="F184" s="14">
        <v>10.7</v>
      </c>
      <c r="G184">
        <v>4.3</v>
      </c>
      <c r="H184">
        <f>7.3+3.5+1.8</f>
        <v>12.600000000000001</v>
      </c>
      <c r="I184">
        <v>1</v>
      </c>
      <c r="J184">
        <v>41</v>
      </c>
      <c r="L184" s="1" t="s">
        <v>310</v>
      </c>
      <c r="M184">
        <v>23</v>
      </c>
      <c r="N184">
        <v>-1.4672000000000007</v>
      </c>
      <c r="O184">
        <v>1</v>
      </c>
      <c r="P184">
        <v>1.5</v>
      </c>
      <c r="Q184">
        <v>2</v>
      </c>
      <c r="R184">
        <v>3.5999999999999588E-2</v>
      </c>
      <c r="S184">
        <v>1</v>
      </c>
      <c r="T184">
        <v>4.480000000000004</v>
      </c>
      <c r="U184">
        <v>-1.48</v>
      </c>
      <c r="V184">
        <v>29</v>
      </c>
      <c r="W184">
        <v>29</v>
      </c>
      <c r="X184">
        <v>29</v>
      </c>
      <c r="Y184">
        <v>-2.0640000000000001</v>
      </c>
      <c r="Z184">
        <v>29</v>
      </c>
      <c r="AA184">
        <v>-14.160000000000002</v>
      </c>
      <c r="AB184">
        <v>0.52</v>
      </c>
      <c r="AC184">
        <v>28</v>
      </c>
      <c r="AD184">
        <v>27.5</v>
      </c>
      <c r="AE184">
        <v>28</v>
      </c>
      <c r="AF184">
        <v>-8.2759999999999998</v>
      </c>
      <c r="AG184">
        <v>27</v>
      </c>
      <c r="AH184">
        <v>-26.8</v>
      </c>
      <c r="AI184">
        <v>-3.2</v>
      </c>
      <c r="AJ184">
        <v>28</v>
      </c>
      <c r="AK184">
        <v>27.5</v>
      </c>
      <c r="AL184">
        <v>28</v>
      </c>
      <c r="AM184">
        <v>2.944</v>
      </c>
      <c r="AN184">
        <v>27</v>
      </c>
      <c r="AO184">
        <v>17.360000000000003</v>
      </c>
      <c r="AP184">
        <v>-7.9999999999999988E-2</v>
      </c>
      <c r="AQ184">
        <v>15</v>
      </c>
      <c r="AR184">
        <v>15</v>
      </c>
      <c r="AS184">
        <v>12</v>
      </c>
      <c r="AT184">
        <v>-3.5480000000000005</v>
      </c>
      <c r="AU184">
        <v>18</v>
      </c>
      <c r="AV184">
        <v>-18.559999999999999</v>
      </c>
      <c r="AW184">
        <v>-1.44</v>
      </c>
      <c r="AX184">
        <v>20</v>
      </c>
      <c r="AY184">
        <v>20</v>
      </c>
      <c r="AZ184">
        <v>22</v>
      </c>
      <c r="BA184">
        <v>-5.136000000000001</v>
      </c>
      <c r="BB184">
        <v>18</v>
      </c>
      <c r="BC184">
        <v>-15.760000000000002</v>
      </c>
      <c r="BD184">
        <v>-0.6399999999999999</v>
      </c>
      <c r="BE184">
        <v>14</v>
      </c>
      <c r="BF184">
        <v>13.5</v>
      </c>
      <c r="BG184">
        <v>15</v>
      </c>
      <c r="BH184">
        <v>0.73199999999999987</v>
      </c>
      <c r="BI184">
        <v>12</v>
      </c>
      <c r="BJ184">
        <v>4.5200000000000005</v>
      </c>
      <c r="BK184">
        <v>0.1999999999999999</v>
      </c>
      <c r="BL184">
        <v>29</v>
      </c>
      <c r="BM184">
        <v>29</v>
      </c>
      <c r="BN184">
        <v>28</v>
      </c>
      <c r="BO184">
        <v>-0.9199999999999996</v>
      </c>
      <c r="BP184">
        <v>30</v>
      </c>
      <c r="BQ184">
        <v>0.11999999999999997</v>
      </c>
      <c r="BR184">
        <v>1.3599999999999999</v>
      </c>
      <c r="BS184">
        <v>25</v>
      </c>
      <c r="BT184">
        <v>21</v>
      </c>
      <c r="BU184">
        <v>27</v>
      </c>
      <c r="BV184">
        <v>3.5199171787367908E-2</v>
      </c>
      <c r="BW184">
        <v>2</v>
      </c>
      <c r="BX184">
        <v>4.9032921285496321E-2</v>
      </c>
      <c r="BY184">
        <v>30</v>
      </c>
      <c r="BZ184">
        <v>13.244</v>
      </c>
      <c r="CA184">
        <v>25</v>
      </c>
      <c r="CB184">
        <v>0.72</v>
      </c>
      <c r="CC184">
        <v>-1.0400000000000005</v>
      </c>
      <c r="CD184">
        <v>-1.3600000000000008</v>
      </c>
      <c r="CE184">
        <v>-4.0000000000000036E-2</v>
      </c>
      <c r="CF184">
        <v>-26.759999999999991</v>
      </c>
      <c r="CG184">
        <v>-20.599999999999994</v>
      </c>
      <c r="CH184">
        <v>-13.440000000000001</v>
      </c>
      <c r="CI184">
        <v>-5.92</v>
      </c>
      <c r="CJ184">
        <v>13.2</v>
      </c>
      <c r="CK184">
        <v>19</v>
      </c>
      <c r="CL184">
        <v>0.56079999999999974</v>
      </c>
      <c r="CM184">
        <v>-0.90904000000000007</v>
      </c>
      <c r="CN184">
        <v>-7.159999999999993</v>
      </c>
      <c r="CO184">
        <v>-0.56079999999999974</v>
      </c>
      <c r="CP184">
        <v>-1.5704000000000002</v>
      </c>
      <c r="CQ184">
        <v>-8.8800000000000008</v>
      </c>
      <c r="CR184">
        <v>-27.999999999999996</v>
      </c>
      <c r="CS184">
        <v>-2.0280000000000005</v>
      </c>
      <c r="CT184">
        <v>-9.6799999999999979</v>
      </c>
      <c r="CU184">
        <v>-4.5200000000000005</v>
      </c>
      <c r="CV184">
        <v>-0.96</v>
      </c>
      <c r="CW184">
        <v>-1.1117000000000001</v>
      </c>
      <c r="CX184">
        <v>-1.0694999999999999</v>
      </c>
      <c r="CY184" t="s">
        <v>278</v>
      </c>
      <c r="CZ184">
        <v>15</v>
      </c>
      <c r="DA184">
        <v>-5.2031999999999998</v>
      </c>
      <c r="DB184">
        <v>28</v>
      </c>
      <c r="DC184">
        <v>24.5</v>
      </c>
      <c r="DD184">
        <v>25</v>
      </c>
      <c r="DE184">
        <v>2.024</v>
      </c>
      <c r="DF184">
        <v>24</v>
      </c>
      <c r="DG184">
        <v>11.759999999999998</v>
      </c>
      <c r="DH184">
        <v>0.1600000000000002</v>
      </c>
      <c r="DI184">
        <v>28</v>
      </c>
      <c r="DJ184">
        <v>25.5</v>
      </c>
      <c r="DK184">
        <v>28</v>
      </c>
      <c r="DL184">
        <v>0.67199999999999949</v>
      </c>
      <c r="DM184">
        <v>23</v>
      </c>
      <c r="DN184">
        <v>13.199999999999998</v>
      </c>
      <c r="DO184">
        <v>-0.20000000000000009</v>
      </c>
      <c r="DP184">
        <v>14</v>
      </c>
      <c r="DQ184">
        <v>8.5</v>
      </c>
      <c r="DR184">
        <v>9</v>
      </c>
      <c r="DS184">
        <v>-3.2680000000000007</v>
      </c>
      <c r="DT184">
        <v>8</v>
      </c>
      <c r="DU184">
        <v>-12.000000000000002</v>
      </c>
      <c r="DV184">
        <v>-2.0800000000000005</v>
      </c>
      <c r="DW184">
        <v>17</v>
      </c>
      <c r="DX184">
        <v>16.5</v>
      </c>
      <c r="DY184">
        <v>14</v>
      </c>
      <c r="DZ184">
        <v>-1.52</v>
      </c>
      <c r="EA184">
        <v>19</v>
      </c>
      <c r="EB184">
        <v>-6.76</v>
      </c>
      <c r="EC184">
        <v>1.1599999999999999</v>
      </c>
      <c r="ED184">
        <v>15</v>
      </c>
      <c r="EE184">
        <v>7.5</v>
      </c>
      <c r="EF184">
        <v>9</v>
      </c>
      <c r="EG184">
        <v>-3.2480000000000002</v>
      </c>
      <c r="EH184">
        <v>6</v>
      </c>
      <c r="EI184">
        <v>-11.52</v>
      </c>
      <c r="EJ184">
        <v>-0.28000000000000003</v>
      </c>
      <c r="EK184">
        <v>30</v>
      </c>
      <c r="EL184">
        <v>28.5</v>
      </c>
      <c r="EM184">
        <v>28</v>
      </c>
      <c r="EN184">
        <v>-3.1080000000000001</v>
      </c>
      <c r="EO184">
        <v>29</v>
      </c>
      <c r="EP184">
        <v>-12.680000000000003</v>
      </c>
      <c r="EQ184">
        <v>-1.3599999999999999</v>
      </c>
      <c r="ER184">
        <v>6</v>
      </c>
      <c r="ES184">
        <v>8</v>
      </c>
      <c r="ET184">
        <v>9</v>
      </c>
      <c r="EU184">
        <v>-1.9280000000000002</v>
      </c>
      <c r="EV184">
        <v>7</v>
      </c>
      <c r="EW184">
        <v>-10.199999999999999</v>
      </c>
      <c r="EX184">
        <v>-0.3999999999999998</v>
      </c>
      <c r="EY184">
        <v>9</v>
      </c>
      <c r="EZ184">
        <v>9.5</v>
      </c>
      <c r="FA184">
        <v>8</v>
      </c>
      <c r="FB184">
        <v>3.2399999999999998</v>
      </c>
      <c r="FC184">
        <v>11</v>
      </c>
      <c r="FD184">
        <v>0.96</v>
      </c>
      <c r="FE184">
        <v>-3.9999999999999855E-2</v>
      </c>
      <c r="FF184">
        <v>12</v>
      </c>
      <c r="FG184">
        <v>14.5</v>
      </c>
      <c r="FH184">
        <v>25</v>
      </c>
      <c r="FI184">
        <v>-2.4111413301673167E-2</v>
      </c>
      <c r="FJ184">
        <v>6</v>
      </c>
      <c r="FK184">
        <v>-2.7913462536239719E-2</v>
      </c>
      <c r="FL184">
        <v>10</v>
      </c>
      <c r="FM184">
        <v>-10.404</v>
      </c>
      <c r="FN184">
        <v>17</v>
      </c>
      <c r="FO184">
        <v>-2.2800000000000002</v>
      </c>
      <c r="FP184">
        <v>-2.4000000000000012</v>
      </c>
      <c r="FQ184">
        <v>3.4800000000000004</v>
      </c>
      <c r="FR184">
        <v>-1.2399999999999998</v>
      </c>
      <c r="FS184">
        <v>-1.6399999999999992</v>
      </c>
      <c r="FT184">
        <v>-0.27999999999999969</v>
      </c>
      <c r="FU184">
        <v>0.55999999999999983</v>
      </c>
      <c r="FV184">
        <v>-23.4</v>
      </c>
      <c r="FW184">
        <v>-42.959999999999994</v>
      </c>
      <c r="FX184">
        <v>22.8</v>
      </c>
      <c r="FY184">
        <v>5.24</v>
      </c>
      <c r="FZ184">
        <v>-8.4799999999999986</v>
      </c>
      <c r="GA184">
        <v>30</v>
      </c>
      <c r="GB184">
        <v>-7.8991999999999996</v>
      </c>
      <c r="GC184">
        <v>-4.3814399999999996</v>
      </c>
      <c r="GD184">
        <v>-65.759999999999991</v>
      </c>
      <c r="GE184">
        <v>7.8991999999999996</v>
      </c>
      <c r="GF184">
        <v>-1.1539000000000004</v>
      </c>
      <c r="GG184">
        <v>-8.0360000000000014</v>
      </c>
      <c r="GH184">
        <v>-30.28</v>
      </c>
      <c r="GI184">
        <v>2.6959999999999997</v>
      </c>
      <c r="GJ184">
        <v>24.959999999999994</v>
      </c>
      <c r="GK184">
        <v>-1.6000000000000005</v>
      </c>
      <c r="GL184">
        <v>-3.9999999999999897E-2</v>
      </c>
    </row>
    <row r="185" spans="1:194" x14ac:dyDescent="0.2">
      <c r="A185" s="39">
        <v>43751</v>
      </c>
      <c r="B185" s="22" t="s">
        <v>252</v>
      </c>
      <c r="C185" s="41" t="s">
        <v>306</v>
      </c>
      <c r="D185" s="22" t="s">
        <v>293</v>
      </c>
      <c r="E185">
        <v>29</v>
      </c>
      <c r="F185">
        <v>0</v>
      </c>
      <c r="G185" s="14">
        <v>2.8</v>
      </c>
      <c r="H185">
        <v>4.4000000000000004</v>
      </c>
      <c r="I185">
        <v>-6</v>
      </c>
      <c r="J185">
        <v>42</v>
      </c>
      <c r="L185" s="1" t="s">
        <v>306</v>
      </c>
      <c r="M185">
        <v>18</v>
      </c>
      <c r="N185">
        <v>-0.25760000000000077</v>
      </c>
      <c r="O185">
        <v>9</v>
      </c>
      <c r="P185">
        <v>9</v>
      </c>
      <c r="Q185">
        <v>11</v>
      </c>
      <c r="R185">
        <v>-8.7880000000000003</v>
      </c>
      <c r="S185">
        <v>7</v>
      </c>
      <c r="T185">
        <v>-26.24</v>
      </c>
      <c r="U185">
        <v>-2.2599999999999998</v>
      </c>
      <c r="V185">
        <v>19</v>
      </c>
      <c r="W185">
        <v>18</v>
      </c>
      <c r="X185">
        <v>25</v>
      </c>
      <c r="Y185">
        <v>4.7060000000000004</v>
      </c>
      <c r="Z185">
        <v>11</v>
      </c>
      <c r="AA185">
        <v>-4.76</v>
      </c>
      <c r="AB185">
        <v>3.7300000000000004</v>
      </c>
      <c r="AC185">
        <v>29</v>
      </c>
      <c r="AD185">
        <v>29</v>
      </c>
      <c r="AE185">
        <v>29</v>
      </c>
      <c r="AF185">
        <v>0.37599999999999872</v>
      </c>
      <c r="AG185">
        <v>29</v>
      </c>
      <c r="AH185">
        <v>-4.6099999999999977</v>
      </c>
      <c r="AI185">
        <v>-0.43999999999999984</v>
      </c>
      <c r="AJ185">
        <v>28</v>
      </c>
      <c r="AK185">
        <v>27.5</v>
      </c>
      <c r="AL185">
        <v>30</v>
      </c>
      <c r="AM185">
        <v>-2.2650000000000001</v>
      </c>
      <c r="AN185">
        <v>25</v>
      </c>
      <c r="AO185">
        <v>-22.85</v>
      </c>
      <c r="AP185">
        <v>-1.7100000000000002</v>
      </c>
      <c r="AQ185">
        <v>30</v>
      </c>
      <c r="AR185">
        <v>29.5</v>
      </c>
      <c r="AS185">
        <v>31</v>
      </c>
      <c r="AT185">
        <v>0.40199999999999997</v>
      </c>
      <c r="AU185">
        <v>28</v>
      </c>
      <c r="AV185">
        <v>-0.83999999999999986</v>
      </c>
      <c r="AW185">
        <v>0.42999999999999988</v>
      </c>
      <c r="AX185">
        <v>30</v>
      </c>
      <c r="AY185">
        <v>30</v>
      </c>
      <c r="AZ185">
        <v>30</v>
      </c>
      <c r="BA185">
        <v>1.0600000000000016</v>
      </c>
      <c r="BB185">
        <v>30</v>
      </c>
      <c r="BC185">
        <v>-3.4000000000000012</v>
      </c>
      <c r="BD185">
        <v>-0.3999999999999998</v>
      </c>
      <c r="BE185">
        <v>31</v>
      </c>
      <c r="BF185">
        <v>30</v>
      </c>
      <c r="BG185">
        <v>31</v>
      </c>
      <c r="BH185">
        <v>-2.3160000000000007</v>
      </c>
      <c r="BI185">
        <v>29</v>
      </c>
      <c r="BJ185">
        <v>-8.36</v>
      </c>
      <c r="BK185">
        <v>-0.15999999999999998</v>
      </c>
      <c r="BL185">
        <v>1</v>
      </c>
      <c r="BM185">
        <v>1</v>
      </c>
      <c r="BN185">
        <v>1</v>
      </c>
      <c r="BO185">
        <v>-1.8400000000000003</v>
      </c>
      <c r="BP185">
        <v>1</v>
      </c>
      <c r="BQ185">
        <v>-0.55999999999999994</v>
      </c>
      <c r="BR185">
        <v>-1.56</v>
      </c>
      <c r="BS185">
        <v>1</v>
      </c>
      <c r="BT185">
        <v>5.25</v>
      </c>
      <c r="BU185">
        <v>9</v>
      </c>
      <c r="BV185">
        <v>-6.8356436994656657E-3</v>
      </c>
      <c r="BW185">
        <v>1</v>
      </c>
      <c r="BX185">
        <v>-1.1805193242768505E-3</v>
      </c>
      <c r="BY185">
        <v>2</v>
      </c>
      <c r="BZ185">
        <v>-13.127999999999997</v>
      </c>
      <c r="CA185">
        <v>9</v>
      </c>
      <c r="CB185">
        <v>1.4400000000000006</v>
      </c>
      <c r="CC185">
        <v>-6.0400000000000009</v>
      </c>
      <c r="CD185">
        <v>-1.6400000000000006</v>
      </c>
      <c r="CE185">
        <v>-0.91999999999999993</v>
      </c>
      <c r="CF185">
        <v>-38.200000000000003</v>
      </c>
      <c r="CG185">
        <v>-16.120000000000015</v>
      </c>
      <c r="CH185">
        <v>-31.560000000000002</v>
      </c>
      <c r="CI185">
        <v>10.84</v>
      </c>
      <c r="CJ185">
        <v>-1.36</v>
      </c>
      <c r="CK185">
        <v>12</v>
      </c>
      <c r="CL185">
        <v>3.8243999999999998</v>
      </c>
      <c r="CM185">
        <v>1.2288799999999993</v>
      </c>
      <c r="CN185">
        <v>15.439999999999987</v>
      </c>
      <c r="CO185">
        <v>-3.8243999999999989</v>
      </c>
      <c r="CP185">
        <v>-1.2478250000000002</v>
      </c>
      <c r="CQ185">
        <v>-1.4870000000000014</v>
      </c>
      <c r="CR185">
        <v>-28.3</v>
      </c>
      <c r="CS185">
        <v>-4.0819999999999999</v>
      </c>
      <c r="CT185">
        <v>-31</v>
      </c>
      <c r="CU185">
        <v>-1.88</v>
      </c>
      <c r="CV185">
        <v>1.4700000000000006</v>
      </c>
      <c r="CW185">
        <v>1.7779499999999997</v>
      </c>
      <c r="CX185">
        <v>1.8469999999999998</v>
      </c>
      <c r="CY185" t="s">
        <v>293</v>
      </c>
      <c r="CZ185">
        <v>2</v>
      </c>
      <c r="DA185">
        <v>4.4383999999999997</v>
      </c>
      <c r="DB185">
        <v>1</v>
      </c>
      <c r="DC185">
        <v>1.5</v>
      </c>
      <c r="DD185">
        <v>1</v>
      </c>
      <c r="DE185">
        <v>5.4359999999999991</v>
      </c>
      <c r="DF185">
        <v>2</v>
      </c>
      <c r="DG185">
        <v>43.999999999999993</v>
      </c>
      <c r="DH185">
        <v>-1.1999999999999997</v>
      </c>
      <c r="DI185">
        <v>30</v>
      </c>
      <c r="DJ185">
        <v>27</v>
      </c>
      <c r="DK185">
        <v>27</v>
      </c>
      <c r="DL185">
        <v>2.4880000000000004</v>
      </c>
      <c r="DM185">
        <v>27</v>
      </c>
      <c r="DN185">
        <v>12.080000000000002</v>
      </c>
      <c r="DO185">
        <v>-1.44</v>
      </c>
      <c r="DP185">
        <v>2</v>
      </c>
      <c r="DQ185">
        <v>1.5</v>
      </c>
      <c r="DR185">
        <v>1</v>
      </c>
      <c r="DS185">
        <v>4.4808000000000003</v>
      </c>
      <c r="DT185">
        <v>2</v>
      </c>
      <c r="DU185">
        <v>9</v>
      </c>
      <c r="DV185">
        <v>-2.08</v>
      </c>
      <c r="DW185">
        <v>8</v>
      </c>
      <c r="DX185">
        <v>7</v>
      </c>
      <c r="DY185">
        <v>6</v>
      </c>
      <c r="DZ185">
        <v>-3.5479999999999996</v>
      </c>
      <c r="EA185">
        <v>8</v>
      </c>
      <c r="EB185">
        <v>-16.080000000000002</v>
      </c>
      <c r="EC185">
        <v>-1.3199999999999998</v>
      </c>
      <c r="ED185">
        <v>29</v>
      </c>
      <c r="EE185">
        <v>24</v>
      </c>
      <c r="EF185">
        <v>22</v>
      </c>
      <c r="EG185">
        <v>-2.9919999999999995</v>
      </c>
      <c r="EH185">
        <v>26</v>
      </c>
      <c r="EI185">
        <v>-10.96</v>
      </c>
      <c r="EJ185">
        <v>-0.72000000000000008</v>
      </c>
      <c r="EK185">
        <v>9</v>
      </c>
      <c r="EL185">
        <v>9</v>
      </c>
      <c r="EM185">
        <v>8</v>
      </c>
      <c r="EN185">
        <v>1.2679999999999996</v>
      </c>
      <c r="EO185">
        <v>10</v>
      </c>
      <c r="EP185">
        <v>10.679999999999996</v>
      </c>
      <c r="EQ185">
        <v>-2.2000000000000002</v>
      </c>
      <c r="ER185">
        <v>19</v>
      </c>
      <c r="ES185">
        <v>18.5</v>
      </c>
      <c r="ET185">
        <v>25</v>
      </c>
      <c r="EU185">
        <v>1.6080000000000005</v>
      </c>
      <c r="EV185">
        <v>12</v>
      </c>
      <c r="EW185">
        <v>15.319999999999999</v>
      </c>
      <c r="EX185">
        <v>-0.2</v>
      </c>
      <c r="EY185">
        <v>1</v>
      </c>
      <c r="EZ185">
        <v>1.5</v>
      </c>
      <c r="FA185">
        <v>1</v>
      </c>
      <c r="FB185">
        <v>1.7599999999999998</v>
      </c>
      <c r="FC185">
        <v>2</v>
      </c>
      <c r="FD185">
        <v>0.24000000000000005</v>
      </c>
      <c r="FE185">
        <v>8.24</v>
      </c>
      <c r="FF185">
        <v>31</v>
      </c>
      <c r="FG185">
        <v>29</v>
      </c>
      <c r="FH185">
        <v>29</v>
      </c>
      <c r="FI185">
        <v>-5.4820745969143991E-2</v>
      </c>
      <c r="FJ185">
        <v>32</v>
      </c>
      <c r="FK185">
        <v>-2.103702322821489E-2</v>
      </c>
      <c r="FL185">
        <v>30</v>
      </c>
      <c r="FM185">
        <v>6.8759999999999994</v>
      </c>
      <c r="FN185">
        <v>25</v>
      </c>
      <c r="FO185">
        <v>-6.0399999999999991</v>
      </c>
      <c r="FP185">
        <v>-8.68</v>
      </c>
      <c r="FQ185">
        <v>9.24</v>
      </c>
      <c r="FR185">
        <v>0.23999999999999985</v>
      </c>
      <c r="FS185">
        <v>0.7600000000000009</v>
      </c>
      <c r="FT185">
        <v>9.4</v>
      </c>
      <c r="FU185">
        <v>1.6800000000000002</v>
      </c>
      <c r="FV185">
        <v>27.360000000000003</v>
      </c>
      <c r="FW185">
        <v>-15.319999999999993</v>
      </c>
      <c r="FX185">
        <v>60.36</v>
      </c>
      <c r="FY185">
        <v>-4.1599999999999993</v>
      </c>
      <c r="FZ185">
        <v>-13.52</v>
      </c>
      <c r="GA185">
        <v>23</v>
      </c>
      <c r="GB185">
        <v>-3.4855999999999998</v>
      </c>
      <c r="GC185">
        <v>-3.1645599999999998</v>
      </c>
      <c r="GD185">
        <v>-75.679999999999993</v>
      </c>
      <c r="GE185">
        <v>3.4855999999999998</v>
      </c>
      <c r="GF185">
        <v>1.7088999999999996</v>
      </c>
      <c r="GG185">
        <v>-2.0591999999999988</v>
      </c>
      <c r="GH185">
        <v>-18.040000000000003</v>
      </c>
      <c r="GI185">
        <v>7.9239999999999995</v>
      </c>
      <c r="GJ185">
        <v>56.08</v>
      </c>
      <c r="GK185">
        <v>-4.32</v>
      </c>
      <c r="GL185">
        <v>-2.6399999999999997</v>
      </c>
    </row>
    <row r="186" spans="1:194" x14ac:dyDescent="0.2">
      <c r="A186" s="39">
        <v>43758</v>
      </c>
      <c r="B186" s="22" t="s">
        <v>250</v>
      </c>
      <c r="C186" s="41" t="s">
        <v>285</v>
      </c>
      <c r="D186" s="22" t="s">
        <v>296</v>
      </c>
      <c r="E186">
        <v>2.2000000000000002</v>
      </c>
      <c r="F186">
        <v>6.9</v>
      </c>
      <c r="G186">
        <v>2.8</v>
      </c>
      <c r="H186">
        <f>2.2+1.5</f>
        <v>3.7</v>
      </c>
      <c r="I186">
        <v>3.5</v>
      </c>
      <c r="J186">
        <v>49.5</v>
      </c>
      <c r="K186" t="s">
        <v>109</v>
      </c>
      <c r="L186" s="1" t="s">
        <v>285</v>
      </c>
      <c r="M186">
        <v>12</v>
      </c>
      <c r="N186">
        <v>0.72159999999999935</v>
      </c>
      <c r="O186">
        <v>24</v>
      </c>
      <c r="P186">
        <v>22.5</v>
      </c>
      <c r="Q186">
        <v>22</v>
      </c>
      <c r="R186">
        <v>0.4080000000000002</v>
      </c>
      <c r="S186">
        <v>23</v>
      </c>
      <c r="T186">
        <v>-20.240000000000002</v>
      </c>
      <c r="U186">
        <v>2.56</v>
      </c>
      <c r="V186">
        <v>29</v>
      </c>
      <c r="W186">
        <v>29</v>
      </c>
      <c r="X186">
        <v>30</v>
      </c>
      <c r="Y186">
        <v>0.98000000000000098</v>
      </c>
      <c r="Z186">
        <v>28</v>
      </c>
      <c r="AA186">
        <v>7.5200000000000005</v>
      </c>
      <c r="AB186">
        <v>-0.64</v>
      </c>
      <c r="AC186">
        <v>27</v>
      </c>
      <c r="AD186">
        <v>26.5</v>
      </c>
      <c r="AE186">
        <v>27</v>
      </c>
      <c r="AF186">
        <v>-0.81600000000000106</v>
      </c>
      <c r="AG186">
        <v>26</v>
      </c>
      <c r="AH186">
        <v>-2.12</v>
      </c>
      <c r="AI186">
        <v>-0.43999999999999967</v>
      </c>
      <c r="AJ186">
        <v>7</v>
      </c>
      <c r="AK186">
        <v>8</v>
      </c>
      <c r="AL186">
        <v>6</v>
      </c>
      <c r="AM186">
        <v>-4.4439999999999991</v>
      </c>
      <c r="AN186">
        <v>10</v>
      </c>
      <c r="AO186">
        <v>-14.279999999999998</v>
      </c>
      <c r="AP186">
        <v>-0.28000000000000025</v>
      </c>
      <c r="AQ186">
        <v>11</v>
      </c>
      <c r="AR186">
        <v>10.5</v>
      </c>
      <c r="AS186">
        <v>9</v>
      </c>
      <c r="AT186">
        <v>0.45599999999999979</v>
      </c>
      <c r="AU186">
        <v>12</v>
      </c>
      <c r="AV186">
        <v>-0.6</v>
      </c>
      <c r="AW186">
        <v>0.47999999999999987</v>
      </c>
      <c r="AX186">
        <v>16</v>
      </c>
      <c r="AY186">
        <v>16</v>
      </c>
      <c r="AZ186">
        <v>18</v>
      </c>
      <c r="BA186">
        <v>3.4880000000000018</v>
      </c>
      <c r="BB186">
        <v>14</v>
      </c>
      <c r="BC186">
        <v>19.280000000000005</v>
      </c>
      <c r="BD186">
        <v>3.84</v>
      </c>
      <c r="BE186">
        <v>24</v>
      </c>
      <c r="BF186">
        <v>23.5</v>
      </c>
      <c r="BG186">
        <v>29</v>
      </c>
      <c r="BH186">
        <v>-6.0239999999999991</v>
      </c>
      <c r="BI186">
        <v>18</v>
      </c>
      <c r="BJ186">
        <v>-28.2</v>
      </c>
      <c r="BK186">
        <v>-3.04</v>
      </c>
      <c r="BL186">
        <v>21</v>
      </c>
      <c r="BM186">
        <v>20</v>
      </c>
      <c r="BN186">
        <v>17</v>
      </c>
      <c r="BO186">
        <v>0.51999999999999991</v>
      </c>
      <c r="BP186">
        <v>23</v>
      </c>
      <c r="BQ186">
        <v>0.79999999999999993</v>
      </c>
      <c r="BR186">
        <v>-4.84</v>
      </c>
      <c r="BS186">
        <v>9</v>
      </c>
      <c r="BT186">
        <v>12.25</v>
      </c>
      <c r="BU186">
        <v>20</v>
      </c>
      <c r="BV186">
        <v>-3.7486223402579393E-2</v>
      </c>
      <c r="BW186">
        <v>7</v>
      </c>
      <c r="BX186">
        <v>2.7514284995964127E-2</v>
      </c>
      <c r="BY186">
        <v>4</v>
      </c>
      <c r="BZ186">
        <v>3.3000000000000029</v>
      </c>
      <c r="CA186">
        <v>18</v>
      </c>
      <c r="CB186">
        <v>1.1200000000000003</v>
      </c>
      <c r="CC186">
        <v>0.92000000000000026</v>
      </c>
      <c r="CD186">
        <v>-3.6800000000000006</v>
      </c>
      <c r="CE186">
        <v>-1.1199999999999999</v>
      </c>
      <c r="CF186">
        <v>-2.9199999999999933</v>
      </c>
      <c r="CG186">
        <v>-3.960000000000008</v>
      </c>
      <c r="CH186">
        <v>-18.599999999999998</v>
      </c>
      <c r="CI186">
        <v>1.04</v>
      </c>
      <c r="CJ186">
        <v>18.599999999999998</v>
      </c>
      <c r="CK186">
        <v>21</v>
      </c>
      <c r="CL186">
        <v>-0.66640000000000188</v>
      </c>
      <c r="CM186">
        <v>-2.7152800000000008</v>
      </c>
      <c r="CN186">
        <v>14.63999999999999</v>
      </c>
      <c r="CO186">
        <v>0.66640000000000188</v>
      </c>
      <c r="CP186">
        <v>-1.0247999999999999</v>
      </c>
      <c r="CQ186">
        <v>-4.8040000000000003</v>
      </c>
      <c r="CR186">
        <v>-17</v>
      </c>
      <c r="CS186">
        <v>1.3880000000000012</v>
      </c>
      <c r="CT186">
        <v>-12.720000000000002</v>
      </c>
      <c r="CU186">
        <v>-3.2800000000000002</v>
      </c>
      <c r="CV186">
        <v>1.92</v>
      </c>
      <c r="CW186">
        <v>1.0465999999999998</v>
      </c>
      <c r="CX186">
        <v>1.4759249999999997</v>
      </c>
      <c r="CY186" t="s">
        <v>296</v>
      </c>
      <c r="CZ186">
        <v>5</v>
      </c>
      <c r="DA186">
        <v>2.5591999999999997</v>
      </c>
      <c r="DB186">
        <v>31</v>
      </c>
      <c r="DC186">
        <v>29</v>
      </c>
      <c r="DD186">
        <v>31</v>
      </c>
      <c r="DE186">
        <v>0.79200000000000037</v>
      </c>
      <c r="DF186">
        <v>27</v>
      </c>
      <c r="DG186">
        <v>11.04</v>
      </c>
      <c r="DH186">
        <v>1.0000000000000002</v>
      </c>
      <c r="DI186">
        <v>15</v>
      </c>
      <c r="DJ186">
        <v>16</v>
      </c>
      <c r="DK186">
        <v>24</v>
      </c>
      <c r="DL186">
        <v>1.2400000000000004</v>
      </c>
      <c r="DM186">
        <v>8</v>
      </c>
      <c r="DN186">
        <v>8.84</v>
      </c>
      <c r="DO186">
        <v>-1.0399999999999998</v>
      </c>
      <c r="DP186">
        <v>4</v>
      </c>
      <c r="DQ186">
        <v>4.5</v>
      </c>
      <c r="DR186">
        <v>4</v>
      </c>
      <c r="DS186">
        <v>7.992</v>
      </c>
      <c r="DT186">
        <v>5</v>
      </c>
      <c r="DU186">
        <v>31.72</v>
      </c>
      <c r="DV186">
        <v>2.0799999999999996</v>
      </c>
      <c r="DW186">
        <v>13</v>
      </c>
      <c r="DX186">
        <v>13.5</v>
      </c>
      <c r="DY186">
        <v>14</v>
      </c>
      <c r="DZ186">
        <v>-9.3090000000000011</v>
      </c>
      <c r="EA186">
        <v>13</v>
      </c>
      <c r="EB186">
        <v>-30.869999999999997</v>
      </c>
      <c r="EC186">
        <v>-3.8200000000000003</v>
      </c>
      <c r="ED186">
        <v>24</v>
      </c>
      <c r="EE186">
        <v>13.5</v>
      </c>
      <c r="EF186">
        <v>16</v>
      </c>
      <c r="EG186">
        <v>2.024</v>
      </c>
      <c r="EH186">
        <v>11</v>
      </c>
      <c r="EI186">
        <v>6.76</v>
      </c>
      <c r="EJ186">
        <v>-1</v>
      </c>
      <c r="EK186">
        <v>2</v>
      </c>
      <c r="EL186">
        <v>3.5</v>
      </c>
      <c r="EM186">
        <v>4</v>
      </c>
      <c r="EN186">
        <v>-1.4920000000000013</v>
      </c>
      <c r="EO186">
        <v>3</v>
      </c>
      <c r="EP186">
        <v>-30.76</v>
      </c>
      <c r="EQ186">
        <v>15.440000000000001</v>
      </c>
      <c r="ER186">
        <v>17</v>
      </c>
      <c r="ES186">
        <v>15.5</v>
      </c>
      <c r="ET186">
        <v>15</v>
      </c>
      <c r="EU186">
        <v>-2.3200000000000003</v>
      </c>
      <c r="EV186">
        <v>16</v>
      </c>
      <c r="EW186">
        <v>-6.0400000000000009</v>
      </c>
      <c r="EX186">
        <v>0.35999999999999988</v>
      </c>
      <c r="EY186">
        <v>2</v>
      </c>
      <c r="EZ186">
        <v>3</v>
      </c>
      <c r="FA186">
        <v>2</v>
      </c>
      <c r="FB186">
        <v>1.9599999999999997</v>
      </c>
      <c r="FC186">
        <v>4</v>
      </c>
      <c r="FD186">
        <v>0.4</v>
      </c>
      <c r="FE186">
        <v>2.16</v>
      </c>
      <c r="FF186">
        <v>29</v>
      </c>
      <c r="FG186">
        <v>24</v>
      </c>
      <c r="FH186">
        <v>11</v>
      </c>
      <c r="FI186">
        <v>-2.6540828689013578E-2</v>
      </c>
      <c r="FJ186">
        <v>27</v>
      </c>
      <c r="FK186">
        <v>1.5047908799414941E-2</v>
      </c>
      <c r="FL186">
        <v>31</v>
      </c>
      <c r="FM186">
        <v>6.8519999999999994</v>
      </c>
      <c r="FN186">
        <v>27</v>
      </c>
      <c r="FO186">
        <v>1.36</v>
      </c>
      <c r="FP186">
        <v>-1.4799999999999998</v>
      </c>
      <c r="FQ186">
        <v>2.6399999999999997</v>
      </c>
      <c r="FR186">
        <v>1.1599999999999997</v>
      </c>
      <c r="FS186">
        <v>1.9999999999999987</v>
      </c>
      <c r="FT186">
        <v>-0.23999999999999949</v>
      </c>
      <c r="FU186">
        <v>1.1599999999999997</v>
      </c>
      <c r="FV186">
        <v>44.6</v>
      </c>
      <c r="FW186">
        <v>25.480000000000008</v>
      </c>
      <c r="FX186">
        <v>22.279999999999994</v>
      </c>
      <c r="FY186">
        <v>-3.839999999999999</v>
      </c>
      <c r="FZ186">
        <v>0.68000000000000038</v>
      </c>
      <c r="GA186">
        <v>13</v>
      </c>
      <c r="GB186">
        <v>0.527199999999999</v>
      </c>
      <c r="GC186">
        <v>-0.82676000000000083</v>
      </c>
      <c r="GD186">
        <v>3.2000000000000135</v>
      </c>
      <c r="GE186">
        <v>-0.52719999999999878</v>
      </c>
      <c r="GF186">
        <v>0.61727500000000002</v>
      </c>
      <c r="GG186">
        <v>0.70699999999999896</v>
      </c>
      <c r="GH186">
        <v>7.6100000000000012</v>
      </c>
      <c r="GI186">
        <v>2.0320000000000009</v>
      </c>
      <c r="GJ186">
        <v>19.88</v>
      </c>
      <c r="GK186">
        <v>-2.3800000000000008</v>
      </c>
      <c r="GL186">
        <v>-3.9999999999999591E-2</v>
      </c>
    </row>
    <row r="187" spans="1:194" x14ac:dyDescent="0.2">
      <c r="A187" s="39">
        <v>43758</v>
      </c>
      <c r="B187" s="22" t="s">
        <v>250</v>
      </c>
      <c r="C187" s="41" t="s">
        <v>295</v>
      </c>
      <c r="D187" s="22" t="s">
        <v>304</v>
      </c>
      <c r="E187">
        <v>15.3</v>
      </c>
      <c r="F187">
        <v>7</v>
      </c>
      <c r="G187" s="14">
        <v>1.3</v>
      </c>
      <c r="H187">
        <v>14.6</v>
      </c>
      <c r="I187">
        <v>3</v>
      </c>
      <c r="J187">
        <v>54.5</v>
      </c>
      <c r="K187" t="s">
        <v>109</v>
      </c>
      <c r="L187" s="1" t="s">
        <v>295</v>
      </c>
      <c r="M187">
        <v>2</v>
      </c>
      <c r="N187">
        <v>7.9047999999999998</v>
      </c>
      <c r="O187">
        <v>29</v>
      </c>
      <c r="P187">
        <v>28</v>
      </c>
      <c r="Q187">
        <v>29</v>
      </c>
      <c r="R187">
        <v>1.9039999999999995</v>
      </c>
      <c r="S187">
        <v>27</v>
      </c>
      <c r="T187">
        <v>-5.0400000000000009</v>
      </c>
      <c r="U187">
        <v>0.82000000000000006</v>
      </c>
      <c r="V187">
        <v>11</v>
      </c>
      <c r="W187">
        <v>11</v>
      </c>
      <c r="X187">
        <v>10</v>
      </c>
      <c r="Y187">
        <v>2.0800000000000005</v>
      </c>
      <c r="Z187">
        <v>12</v>
      </c>
      <c r="AA187">
        <v>-0.72000000000000031</v>
      </c>
      <c r="AB187">
        <v>1</v>
      </c>
      <c r="AC187">
        <v>15</v>
      </c>
      <c r="AD187">
        <v>16</v>
      </c>
      <c r="AE187">
        <v>23</v>
      </c>
      <c r="AF187">
        <v>3.1440000000000001</v>
      </c>
      <c r="AG187">
        <v>9</v>
      </c>
      <c r="AH187">
        <v>16.32</v>
      </c>
      <c r="AI187">
        <v>0.4399999999999995</v>
      </c>
      <c r="AJ187">
        <v>6</v>
      </c>
      <c r="AK187">
        <v>7</v>
      </c>
      <c r="AL187">
        <v>8</v>
      </c>
      <c r="AM187">
        <v>2.4439999999999995</v>
      </c>
      <c r="AN187">
        <v>6</v>
      </c>
      <c r="AO187">
        <v>9.1999999999999993</v>
      </c>
      <c r="AP187">
        <v>0.88000000000000012</v>
      </c>
      <c r="AQ187">
        <v>6</v>
      </c>
      <c r="AR187">
        <v>6</v>
      </c>
      <c r="AS187">
        <v>6</v>
      </c>
      <c r="AT187">
        <v>3.532</v>
      </c>
      <c r="AU187">
        <v>6</v>
      </c>
      <c r="AV187">
        <v>13.680000000000001</v>
      </c>
      <c r="AW187">
        <v>1.8800000000000001</v>
      </c>
      <c r="AX187">
        <v>7</v>
      </c>
      <c r="AY187">
        <v>6.5</v>
      </c>
      <c r="AZ187">
        <v>7</v>
      </c>
      <c r="BA187">
        <v>3.9520000000000004</v>
      </c>
      <c r="BB187">
        <v>6</v>
      </c>
      <c r="BC187">
        <v>17.120000000000005</v>
      </c>
      <c r="BD187">
        <v>1.92</v>
      </c>
      <c r="BE187">
        <v>16</v>
      </c>
      <c r="BF187">
        <v>17</v>
      </c>
      <c r="BG187">
        <v>17</v>
      </c>
      <c r="BH187">
        <v>7.2239999999999993</v>
      </c>
      <c r="BI187">
        <v>17</v>
      </c>
      <c r="BJ187">
        <v>31.839999999999996</v>
      </c>
      <c r="BK187">
        <v>2.5200000000000005</v>
      </c>
      <c r="BL187">
        <v>4</v>
      </c>
      <c r="BM187">
        <v>7</v>
      </c>
      <c r="BN187">
        <v>10</v>
      </c>
      <c r="BO187">
        <v>-0.88000000000000012</v>
      </c>
      <c r="BP187">
        <v>4</v>
      </c>
      <c r="BQ187">
        <v>-0.4</v>
      </c>
      <c r="BR187">
        <v>-5.4</v>
      </c>
      <c r="BS187">
        <v>14</v>
      </c>
      <c r="BT187">
        <v>14</v>
      </c>
      <c r="BU187">
        <v>7</v>
      </c>
      <c r="BV187">
        <v>-1.2445594924166003E-2</v>
      </c>
      <c r="BW187">
        <v>9</v>
      </c>
      <c r="BX187">
        <v>-2.289016798368157E-2</v>
      </c>
      <c r="BY187">
        <v>26</v>
      </c>
      <c r="BZ187">
        <v>8.6439999999999948</v>
      </c>
      <c r="CA187">
        <v>14</v>
      </c>
      <c r="CB187">
        <v>-0.40000000000000019</v>
      </c>
      <c r="CC187">
        <v>2.5600000000000009</v>
      </c>
      <c r="CD187">
        <v>3.16</v>
      </c>
      <c r="CE187">
        <v>-0.83999999999999986</v>
      </c>
      <c r="CF187">
        <v>50.56</v>
      </c>
      <c r="CG187">
        <v>78.52000000000001</v>
      </c>
      <c r="CH187">
        <v>-13.160000000000002</v>
      </c>
      <c r="CI187">
        <v>-5.28</v>
      </c>
      <c r="CJ187">
        <v>-9.52</v>
      </c>
      <c r="CK187">
        <v>11</v>
      </c>
      <c r="CL187">
        <v>3.9207999999999994</v>
      </c>
      <c r="CM187">
        <v>2.8577599999999999</v>
      </c>
      <c r="CN187">
        <v>91.68</v>
      </c>
      <c r="CO187">
        <v>-3.9207999999999998</v>
      </c>
      <c r="CP187">
        <v>3.4191000000000003</v>
      </c>
      <c r="CQ187">
        <v>9.1199999999999992</v>
      </c>
      <c r="CR187">
        <v>39.200000000000003</v>
      </c>
      <c r="CS187">
        <v>3.984</v>
      </c>
      <c r="CT187">
        <v>-5.7600000000000016</v>
      </c>
      <c r="CU187">
        <v>5.7200000000000006</v>
      </c>
      <c r="CV187">
        <v>1.82</v>
      </c>
      <c r="CW187">
        <v>1.7071875000000005</v>
      </c>
      <c r="CX187">
        <v>3.729200000000001</v>
      </c>
      <c r="CY187" t="s">
        <v>304</v>
      </c>
      <c r="CZ187">
        <v>16</v>
      </c>
      <c r="DA187">
        <v>0.23119999999999977</v>
      </c>
      <c r="DB187">
        <v>17</v>
      </c>
      <c r="DC187">
        <v>18</v>
      </c>
      <c r="DD187">
        <v>20</v>
      </c>
      <c r="DE187">
        <v>-1.7687999999999999</v>
      </c>
      <c r="DF187">
        <v>16</v>
      </c>
      <c r="DG187">
        <v>-2.6799999999999997</v>
      </c>
      <c r="DH187">
        <v>-8.0000000000000071E-2</v>
      </c>
      <c r="DI187">
        <v>4</v>
      </c>
      <c r="DJ187">
        <v>6.5</v>
      </c>
      <c r="DK187">
        <v>7</v>
      </c>
      <c r="DL187">
        <v>-2.36</v>
      </c>
      <c r="DM187">
        <v>6</v>
      </c>
      <c r="DN187">
        <v>-11.4</v>
      </c>
      <c r="DO187">
        <v>-0.44000000000000006</v>
      </c>
      <c r="DP187">
        <v>19</v>
      </c>
      <c r="DQ187">
        <v>19.5</v>
      </c>
      <c r="DR187">
        <v>17</v>
      </c>
      <c r="DS187">
        <v>-2.8640000000000008</v>
      </c>
      <c r="DT187">
        <v>22</v>
      </c>
      <c r="DU187">
        <v>-14.24</v>
      </c>
      <c r="DV187">
        <v>-0.64</v>
      </c>
      <c r="DW187">
        <v>11</v>
      </c>
      <c r="DX187">
        <v>13</v>
      </c>
      <c r="DY187">
        <v>10</v>
      </c>
      <c r="DZ187">
        <v>2.5760000000000001</v>
      </c>
      <c r="EA187">
        <v>16</v>
      </c>
      <c r="EB187">
        <v>7.0799999999999983</v>
      </c>
      <c r="EC187">
        <v>0.87999999999999989</v>
      </c>
      <c r="ED187">
        <v>2</v>
      </c>
      <c r="EE187">
        <v>2</v>
      </c>
      <c r="EF187">
        <v>2</v>
      </c>
      <c r="EG187">
        <v>-0.64400000000000035</v>
      </c>
      <c r="EH187">
        <v>2</v>
      </c>
      <c r="EI187">
        <v>0.44000000000000022</v>
      </c>
      <c r="EJ187">
        <v>0.36</v>
      </c>
      <c r="EK187">
        <v>14</v>
      </c>
      <c r="EL187">
        <v>14</v>
      </c>
      <c r="EM187">
        <v>11</v>
      </c>
      <c r="EN187">
        <v>-1.8880000000000006</v>
      </c>
      <c r="EO187">
        <v>17</v>
      </c>
      <c r="EP187">
        <v>-13.279999999999998</v>
      </c>
      <c r="EQ187">
        <v>1.8799999999999997</v>
      </c>
      <c r="ER187">
        <v>25</v>
      </c>
      <c r="ES187">
        <v>24.5</v>
      </c>
      <c r="ET187">
        <v>29</v>
      </c>
      <c r="EU187">
        <v>0.75100000000000089</v>
      </c>
      <c r="EV187">
        <v>20</v>
      </c>
      <c r="EW187">
        <v>8.0799999999999983</v>
      </c>
      <c r="EX187">
        <v>-6.0000000000000053E-2</v>
      </c>
      <c r="EY187">
        <v>28</v>
      </c>
      <c r="EZ187">
        <v>26.5</v>
      </c>
      <c r="FA187">
        <v>29</v>
      </c>
      <c r="FB187">
        <v>1.5599999999999998</v>
      </c>
      <c r="FC187">
        <v>24</v>
      </c>
      <c r="FD187">
        <v>0.32</v>
      </c>
      <c r="FE187">
        <v>1.7763568394002506E-16</v>
      </c>
      <c r="FF187">
        <v>14</v>
      </c>
      <c r="FG187">
        <v>15</v>
      </c>
      <c r="FH187">
        <v>22</v>
      </c>
      <c r="FI187">
        <v>5.0394854655662749E-2</v>
      </c>
      <c r="FJ187">
        <v>10</v>
      </c>
      <c r="FK187">
        <v>-1.418277190389074E-2</v>
      </c>
      <c r="FL187">
        <v>22</v>
      </c>
      <c r="FM187">
        <v>-2.8000000000001534E-2</v>
      </c>
      <c r="FN187">
        <v>6</v>
      </c>
      <c r="FO187">
        <v>-0.6</v>
      </c>
      <c r="FP187">
        <v>0.96000000000000085</v>
      </c>
      <c r="FQ187">
        <v>2.6800000000000006</v>
      </c>
      <c r="FR187">
        <v>-0.6</v>
      </c>
      <c r="FS187">
        <v>2.2400000000000007</v>
      </c>
      <c r="FT187">
        <v>-7.999999999999971E-2</v>
      </c>
      <c r="FU187">
        <v>0.27999999999999992</v>
      </c>
      <c r="FV187">
        <v>-32.04</v>
      </c>
      <c r="FW187">
        <v>-4.8399999999999981</v>
      </c>
      <c r="FX187">
        <v>-17.720000000000002</v>
      </c>
      <c r="FY187">
        <v>-4.5200000000000005</v>
      </c>
      <c r="FZ187">
        <v>-4.9600000000000009</v>
      </c>
      <c r="GA187">
        <v>6</v>
      </c>
      <c r="GB187">
        <v>4.3599999999999994</v>
      </c>
      <c r="GC187">
        <v>2.0744400000000001</v>
      </c>
      <c r="GD187">
        <v>12.880000000000004</v>
      </c>
      <c r="GE187">
        <v>-4.3599999999999994</v>
      </c>
      <c r="GF187">
        <v>-0.31482500000000002</v>
      </c>
      <c r="GG187">
        <v>-0.93200000000000105</v>
      </c>
      <c r="GH187">
        <v>-6.7200000000000015</v>
      </c>
      <c r="GI187">
        <v>-4.1288</v>
      </c>
      <c r="GJ187">
        <v>-14.08</v>
      </c>
      <c r="GK187">
        <v>0.53999999999999981</v>
      </c>
      <c r="GL187">
        <v>-0.52000000000000013</v>
      </c>
    </row>
    <row r="188" spans="1:194" x14ac:dyDescent="0.2">
      <c r="A188" s="39">
        <v>43758</v>
      </c>
      <c r="B188" s="22" t="s">
        <v>250</v>
      </c>
      <c r="C188" s="41" t="s">
        <v>305</v>
      </c>
      <c r="D188" s="22" t="s">
        <v>308</v>
      </c>
      <c r="H188">
        <f>5.9+3+2</f>
        <v>10.9</v>
      </c>
      <c r="I188">
        <v>3</v>
      </c>
      <c r="J188">
        <v>49</v>
      </c>
      <c r="L188" s="1" t="s">
        <v>305</v>
      </c>
      <c r="M188">
        <v>4</v>
      </c>
      <c r="N188">
        <v>5.0192000000000014</v>
      </c>
      <c r="O188">
        <v>4</v>
      </c>
      <c r="P188">
        <v>6.5</v>
      </c>
      <c r="Q188">
        <v>4</v>
      </c>
      <c r="R188">
        <v>-0.42400000000000021</v>
      </c>
      <c r="S188">
        <v>9</v>
      </c>
      <c r="T188">
        <v>-20.48</v>
      </c>
      <c r="U188">
        <v>-0.68</v>
      </c>
      <c r="V188">
        <v>5</v>
      </c>
      <c r="W188">
        <v>8</v>
      </c>
      <c r="X188">
        <v>14</v>
      </c>
      <c r="Y188">
        <v>-4.121599999999999</v>
      </c>
      <c r="Z188">
        <v>2</v>
      </c>
      <c r="AA188">
        <v>-1.4800000000000004</v>
      </c>
      <c r="AB188">
        <v>-1.7200000000000002</v>
      </c>
      <c r="AC188">
        <v>26</v>
      </c>
      <c r="AD188">
        <v>25</v>
      </c>
      <c r="AE188">
        <v>22</v>
      </c>
      <c r="AF188">
        <v>-3.9000000000000008</v>
      </c>
      <c r="AG188">
        <v>28</v>
      </c>
      <c r="AH188">
        <v>-13.9</v>
      </c>
      <c r="AI188">
        <v>0.95</v>
      </c>
      <c r="AJ188">
        <v>25</v>
      </c>
      <c r="AK188">
        <v>26</v>
      </c>
      <c r="AL188">
        <v>24</v>
      </c>
      <c r="AM188">
        <v>-1.25</v>
      </c>
      <c r="AN188">
        <v>28</v>
      </c>
      <c r="AO188">
        <v>-0.90000000000000036</v>
      </c>
      <c r="AP188">
        <v>-2.25</v>
      </c>
      <c r="AQ188">
        <v>31</v>
      </c>
      <c r="AR188">
        <v>30</v>
      </c>
      <c r="AS188">
        <v>29</v>
      </c>
      <c r="AT188">
        <v>-2.9950000000000001</v>
      </c>
      <c r="AU188">
        <v>31</v>
      </c>
      <c r="AV188">
        <v>-14.6</v>
      </c>
      <c r="AW188">
        <v>-1.75</v>
      </c>
      <c r="AX188">
        <v>10</v>
      </c>
      <c r="AY188">
        <v>11</v>
      </c>
      <c r="AZ188">
        <v>5</v>
      </c>
      <c r="BA188">
        <v>4.4250000000000007</v>
      </c>
      <c r="BB188">
        <v>17</v>
      </c>
      <c r="BC188">
        <v>14.25</v>
      </c>
      <c r="BD188">
        <v>2.65</v>
      </c>
      <c r="BE188">
        <v>2</v>
      </c>
      <c r="BF188">
        <v>2</v>
      </c>
      <c r="BG188">
        <v>2</v>
      </c>
      <c r="BH188">
        <v>6.5280000000000005</v>
      </c>
      <c r="BI188">
        <v>2</v>
      </c>
      <c r="BJ188">
        <v>32.6</v>
      </c>
      <c r="BK188">
        <v>5.84</v>
      </c>
      <c r="BL188">
        <v>8</v>
      </c>
      <c r="BM188">
        <v>8.5</v>
      </c>
      <c r="BN188">
        <v>2</v>
      </c>
      <c r="BO188">
        <v>1.6</v>
      </c>
      <c r="BP188">
        <v>15</v>
      </c>
      <c r="BQ188">
        <v>7.9999999999999891E-2</v>
      </c>
      <c r="BR188">
        <v>-3.8</v>
      </c>
      <c r="BS188">
        <v>31</v>
      </c>
      <c r="BT188">
        <v>29.25</v>
      </c>
      <c r="BU188">
        <v>27</v>
      </c>
      <c r="BV188">
        <v>-1.2590185827370037E-2</v>
      </c>
      <c r="BW188">
        <v>31</v>
      </c>
      <c r="BX188">
        <v>1.3315433298636678E-2</v>
      </c>
      <c r="BY188">
        <v>27</v>
      </c>
      <c r="BZ188">
        <v>-0.57599999999999763</v>
      </c>
      <c r="CA188">
        <v>32</v>
      </c>
      <c r="CB188">
        <v>0.48</v>
      </c>
      <c r="CC188">
        <v>5.24</v>
      </c>
      <c r="CD188">
        <v>0.9199999999999996</v>
      </c>
      <c r="CE188">
        <v>-0.27999999999999997</v>
      </c>
      <c r="CF188">
        <v>20.880000000000006</v>
      </c>
      <c r="CG188">
        <v>-13.719999999999999</v>
      </c>
      <c r="CH188">
        <v>-20.080000000000002</v>
      </c>
      <c r="CI188">
        <v>-4.9999999999999991</v>
      </c>
      <c r="CJ188">
        <v>59.679999999999993</v>
      </c>
      <c r="CK188">
        <v>2</v>
      </c>
      <c r="CL188">
        <v>9.5648000000000017</v>
      </c>
      <c r="CM188">
        <v>2.9532400000000001</v>
      </c>
      <c r="CN188">
        <v>6.360000000000003</v>
      </c>
      <c r="CO188">
        <v>-9.5648000000000017</v>
      </c>
      <c r="CP188">
        <v>5.7075000000000153E-2</v>
      </c>
      <c r="CQ188">
        <v>-8.1449999999999996</v>
      </c>
      <c r="CR188">
        <v>-29.4</v>
      </c>
      <c r="CS188">
        <v>-4.5455999999999994</v>
      </c>
      <c r="CT188">
        <v>-21.96</v>
      </c>
      <c r="CU188">
        <v>2.79</v>
      </c>
      <c r="CV188">
        <v>-2.4000000000000004</v>
      </c>
      <c r="CW188">
        <v>0.88869999999999993</v>
      </c>
      <c r="CX188">
        <v>1.4556</v>
      </c>
      <c r="CY188" t="s">
        <v>308</v>
      </c>
      <c r="CZ188">
        <v>17</v>
      </c>
      <c r="DA188">
        <v>2.8912</v>
      </c>
      <c r="DB188">
        <v>24</v>
      </c>
      <c r="DC188">
        <v>22</v>
      </c>
      <c r="DD188">
        <v>18</v>
      </c>
      <c r="DE188">
        <v>6.2191999999999998</v>
      </c>
      <c r="DF188">
        <v>26</v>
      </c>
      <c r="DG188">
        <v>6.1599999999999993</v>
      </c>
      <c r="DH188">
        <v>1.7600000000000002</v>
      </c>
      <c r="DI188">
        <v>25</v>
      </c>
      <c r="DJ188">
        <v>22.5</v>
      </c>
      <c r="DK188">
        <v>16</v>
      </c>
      <c r="DL188">
        <v>-3.3920000000000003</v>
      </c>
      <c r="DM188">
        <v>29</v>
      </c>
      <c r="DN188">
        <v>-8.16</v>
      </c>
      <c r="DO188">
        <v>-1.3599999999999999</v>
      </c>
      <c r="DP188">
        <v>5</v>
      </c>
      <c r="DQ188">
        <v>3.5</v>
      </c>
      <c r="DR188">
        <v>3</v>
      </c>
      <c r="DS188">
        <v>-0.35199999999999998</v>
      </c>
      <c r="DT188">
        <v>4</v>
      </c>
      <c r="DU188">
        <v>0.87999999999999967</v>
      </c>
      <c r="DV188">
        <v>0.15999999999999978</v>
      </c>
      <c r="DW188">
        <v>19</v>
      </c>
      <c r="DX188">
        <v>17.5</v>
      </c>
      <c r="DY188">
        <v>18</v>
      </c>
      <c r="DZ188">
        <v>-4.1639999999999997</v>
      </c>
      <c r="EA188">
        <v>17</v>
      </c>
      <c r="EB188">
        <v>-22.360000000000003</v>
      </c>
      <c r="EC188">
        <v>-1.1200000000000001</v>
      </c>
      <c r="ED188">
        <v>13</v>
      </c>
      <c r="EE188">
        <v>13.5</v>
      </c>
      <c r="EF188">
        <v>6</v>
      </c>
      <c r="EG188">
        <v>-0.86800000000000033</v>
      </c>
      <c r="EH188">
        <v>21</v>
      </c>
      <c r="EI188">
        <v>-10.199999999999999</v>
      </c>
      <c r="EJ188">
        <v>-0.24000000000000013</v>
      </c>
      <c r="EK188">
        <v>18</v>
      </c>
      <c r="EL188">
        <v>18</v>
      </c>
      <c r="EM188">
        <v>16</v>
      </c>
      <c r="EN188">
        <v>-0.53200000000000114</v>
      </c>
      <c r="EO188">
        <v>20</v>
      </c>
      <c r="EP188">
        <v>2.6800000000000024</v>
      </c>
      <c r="EQ188">
        <v>0.23999999999999985</v>
      </c>
      <c r="ER188">
        <v>15</v>
      </c>
      <c r="ES188">
        <v>15</v>
      </c>
      <c r="ET188">
        <v>11</v>
      </c>
      <c r="EU188">
        <v>5.08</v>
      </c>
      <c r="EV188">
        <v>19</v>
      </c>
      <c r="EW188">
        <v>20</v>
      </c>
      <c r="EX188">
        <v>1.6</v>
      </c>
      <c r="EY188">
        <v>12</v>
      </c>
      <c r="EZ188">
        <v>12.5</v>
      </c>
      <c r="FA188">
        <v>17</v>
      </c>
      <c r="FB188">
        <v>-2.8400000000000007</v>
      </c>
      <c r="FC188">
        <v>8</v>
      </c>
      <c r="FD188">
        <v>-0.32000000000000012</v>
      </c>
      <c r="FE188">
        <v>-2.6</v>
      </c>
      <c r="FF188">
        <v>21</v>
      </c>
      <c r="FG188">
        <v>17.25</v>
      </c>
      <c r="FH188">
        <v>30</v>
      </c>
      <c r="FI188">
        <v>-2.9118507621729583E-2</v>
      </c>
      <c r="FJ188">
        <v>28</v>
      </c>
      <c r="FK188">
        <v>-2.1887772527266619E-2</v>
      </c>
      <c r="FL188">
        <v>4</v>
      </c>
      <c r="FM188">
        <v>4.4320000000000039</v>
      </c>
      <c r="FN188">
        <v>7</v>
      </c>
      <c r="FO188">
        <v>-0.3999999999999998</v>
      </c>
      <c r="FP188">
        <v>0.87999999999999967</v>
      </c>
      <c r="FQ188">
        <v>-2</v>
      </c>
      <c r="FR188">
        <v>0.2</v>
      </c>
      <c r="FS188">
        <v>-2.319999999999999</v>
      </c>
      <c r="FT188">
        <v>2.2799999999999998</v>
      </c>
      <c r="FU188">
        <v>1.3999999999999997</v>
      </c>
      <c r="FV188">
        <v>11.319999999999993</v>
      </c>
      <c r="FW188">
        <v>-1.3199999999999932</v>
      </c>
      <c r="FX188">
        <v>1.6399999999999992</v>
      </c>
      <c r="FY188">
        <v>1.44</v>
      </c>
      <c r="FZ188">
        <v>9.56</v>
      </c>
      <c r="GA188">
        <v>15</v>
      </c>
      <c r="GB188">
        <v>6.4000000000000501E-2</v>
      </c>
      <c r="GC188">
        <v>-0.89615999999999973</v>
      </c>
      <c r="GD188">
        <v>-2.9599999999999924</v>
      </c>
      <c r="GE188">
        <v>-6.4000000000000501E-2</v>
      </c>
      <c r="GF188">
        <v>0.32179999999999986</v>
      </c>
      <c r="GG188">
        <v>-5.3840000000000003</v>
      </c>
      <c r="GH188">
        <v>-31.680000000000003</v>
      </c>
      <c r="GI188">
        <v>2.8271999999999995</v>
      </c>
      <c r="GJ188">
        <v>-2.0000000000000009</v>
      </c>
      <c r="GK188">
        <v>0.39999999999999969</v>
      </c>
      <c r="GL188">
        <v>0.40000000000000036</v>
      </c>
    </row>
    <row r="189" spans="1:194" x14ac:dyDescent="0.2">
      <c r="A189" s="39">
        <v>43758</v>
      </c>
      <c r="B189" s="22" t="s">
        <v>250</v>
      </c>
      <c r="C189" s="41" t="s">
        <v>276</v>
      </c>
      <c r="D189" s="23" t="s">
        <v>293</v>
      </c>
      <c r="E189">
        <v>19.3</v>
      </c>
      <c r="F189">
        <v>10.6</v>
      </c>
      <c r="G189" s="14">
        <v>3.3</v>
      </c>
      <c r="H189">
        <f>4.2+1.9</f>
        <v>6.1</v>
      </c>
      <c r="I189">
        <v>-17</v>
      </c>
      <c r="J189">
        <v>42.5</v>
      </c>
      <c r="L189" s="1" t="s">
        <v>276</v>
      </c>
      <c r="M189">
        <v>10</v>
      </c>
      <c r="N189">
        <v>1.4039999999999995</v>
      </c>
      <c r="O189">
        <v>15</v>
      </c>
      <c r="P189">
        <v>16</v>
      </c>
      <c r="Q189">
        <v>21</v>
      </c>
      <c r="R189">
        <v>-3.3720000000000012</v>
      </c>
      <c r="S189">
        <v>11</v>
      </c>
      <c r="T189">
        <v>-1.319999999999999</v>
      </c>
      <c r="U189">
        <v>-2.3199999999999994</v>
      </c>
      <c r="V189">
        <v>15</v>
      </c>
      <c r="W189">
        <v>14.5</v>
      </c>
      <c r="X189">
        <v>20</v>
      </c>
      <c r="Y189">
        <v>-0.24559999999999943</v>
      </c>
      <c r="Z189">
        <v>9</v>
      </c>
      <c r="AA189">
        <v>4.9999999999999982</v>
      </c>
      <c r="AB189">
        <v>-0.15999999999999998</v>
      </c>
      <c r="AC189">
        <v>21</v>
      </c>
      <c r="AD189">
        <v>19.5</v>
      </c>
      <c r="AE189">
        <v>14</v>
      </c>
      <c r="AF189">
        <v>-1.6479999999999992</v>
      </c>
      <c r="AG189">
        <v>25</v>
      </c>
      <c r="AH189">
        <v>4.5999999999999996</v>
      </c>
      <c r="AI189">
        <v>4.0000000000000216E-2</v>
      </c>
      <c r="AJ189">
        <v>9</v>
      </c>
      <c r="AK189">
        <v>8.5</v>
      </c>
      <c r="AL189">
        <v>9</v>
      </c>
      <c r="AM189">
        <v>3.8600000000000003</v>
      </c>
      <c r="AN189">
        <v>8</v>
      </c>
      <c r="AO189">
        <v>14.360000000000003</v>
      </c>
      <c r="AP189">
        <v>2.3600000000000003</v>
      </c>
      <c r="AQ189">
        <v>13</v>
      </c>
      <c r="AR189">
        <v>14.5</v>
      </c>
      <c r="AS189">
        <v>15</v>
      </c>
      <c r="AT189">
        <v>1.1880000000000004</v>
      </c>
      <c r="AU189">
        <v>14</v>
      </c>
      <c r="AV189">
        <v>6.4399999999999995</v>
      </c>
      <c r="AW189">
        <v>-1.1200000000000001</v>
      </c>
      <c r="AX189">
        <v>23</v>
      </c>
      <c r="AY189">
        <v>22.5</v>
      </c>
      <c r="AZ189">
        <v>25</v>
      </c>
      <c r="BA189">
        <v>0.18800000000000025</v>
      </c>
      <c r="BB189">
        <v>20</v>
      </c>
      <c r="BC189">
        <v>2.0400000000000005</v>
      </c>
      <c r="BD189">
        <v>-2.8</v>
      </c>
      <c r="BE189">
        <v>29</v>
      </c>
      <c r="BF189">
        <v>28.5</v>
      </c>
      <c r="BG189">
        <v>30</v>
      </c>
      <c r="BH189">
        <v>1.2079999999999997</v>
      </c>
      <c r="BI189">
        <v>27</v>
      </c>
      <c r="BJ189">
        <v>-0.95999999999999941</v>
      </c>
      <c r="BK189">
        <v>0.43999999999999995</v>
      </c>
      <c r="BL189">
        <v>25</v>
      </c>
      <c r="BM189">
        <v>23</v>
      </c>
      <c r="BN189">
        <v>23</v>
      </c>
      <c r="BO189">
        <v>-1.1599999999999999</v>
      </c>
      <c r="BP189">
        <v>23</v>
      </c>
      <c r="BQ189">
        <v>-0.32</v>
      </c>
      <c r="BR189">
        <v>-2.7600000000000002</v>
      </c>
      <c r="BS189">
        <v>24</v>
      </c>
      <c r="BT189">
        <v>20.75</v>
      </c>
      <c r="BU189">
        <v>25</v>
      </c>
      <c r="BV189">
        <v>5.6968549955647173E-2</v>
      </c>
      <c r="BW189">
        <v>25</v>
      </c>
      <c r="BX189">
        <v>9.4936751676844931E-3</v>
      </c>
      <c r="BY189">
        <v>5</v>
      </c>
      <c r="BZ189">
        <v>3.2680000000000007</v>
      </c>
      <c r="CA189">
        <v>28</v>
      </c>
      <c r="CB189">
        <v>-0.72</v>
      </c>
      <c r="CC189">
        <v>2.0799999999999996</v>
      </c>
      <c r="CD189">
        <v>0.15999999999999961</v>
      </c>
      <c r="CE189">
        <v>-0.92000000000000015</v>
      </c>
      <c r="CF189">
        <v>7.2</v>
      </c>
      <c r="CG189">
        <v>5.1200000000000045</v>
      </c>
      <c r="CH189">
        <v>-6.3599999999999994</v>
      </c>
      <c r="CI189">
        <v>-0.27999999999999997</v>
      </c>
      <c r="CJ189">
        <v>8.7199999999999989</v>
      </c>
      <c r="CK189">
        <v>8</v>
      </c>
      <c r="CL189">
        <v>5.0216000000000003</v>
      </c>
      <c r="CM189">
        <v>3.0112000000000005</v>
      </c>
      <c r="CN189">
        <v>11.480000000000004</v>
      </c>
      <c r="CO189">
        <v>-5.0216000000000003</v>
      </c>
      <c r="CP189">
        <v>0.15430000000000002</v>
      </c>
      <c r="CQ189">
        <v>3.4000000000000012</v>
      </c>
      <c r="CR189">
        <v>25.4</v>
      </c>
      <c r="CS189">
        <v>-3.6176000000000008</v>
      </c>
      <c r="CT189">
        <v>3.6799999999999993</v>
      </c>
      <c r="CU189">
        <v>1.7200000000000002</v>
      </c>
      <c r="CV189">
        <v>-2.4799999999999995</v>
      </c>
      <c r="CW189">
        <v>-0.1896874999999999</v>
      </c>
      <c r="CX189">
        <v>-1.1367499999999999</v>
      </c>
      <c r="CY189" t="s">
        <v>293</v>
      </c>
      <c r="CZ189">
        <v>2</v>
      </c>
      <c r="DA189">
        <v>3.3319999999999994</v>
      </c>
      <c r="DB189">
        <v>1</v>
      </c>
      <c r="DC189">
        <v>1.5</v>
      </c>
      <c r="DD189">
        <v>1</v>
      </c>
      <c r="DE189">
        <v>2.1720000000000006</v>
      </c>
      <c r="DF189">
        <v>2</v>
      </c>
      <c r="DG189">
        <v>22.200000000000003</v>
      </c>
      <c r="DH189">
        <v>-1.4</v>
      </c>
      <c r="DI189">
        <v>30</v>
      </c>
      <c r="DJ189">
        <v>27</v>
      </c>
      <c r="DK189">
        <v>27</v>
      </c>
      <c r="DL189">
        <v>2.4440000000000004</v>
      </c>
      <c r="DM189">
        <v>27</v>
      </c>
      <c r="DN189">
        <v>14.919999999999998</v>
      </c>
      <c r="DO189">
        <v>-1.2799999999999998</v>
      </c>
      <c r="DP189">
        <v>2</v>
      </c>
      <c r="DQ189">
        <v>1.5</v>
      </c>
      <c r="DR189">
        <v>1</v>
      </c>
      <c r="DS189">
        <v>2.5600000000000009</v>
      </c>
      <c r="DT189">
        <v>2</v>
      </c>
      <c r="DU189">
        <v>-1.2600000000000009</v>
      </c>
      <c r="DV189">
        <v>-1.7</v>
      </c>
      <c r="DW189">
        <v>8</v>
      </c>
      <c r="DX189">
        <v>7</v>
      </c>
      <c r="DY189">
        <v>6</v>
      </c>
      <c r="DZ189">
        <v>-3.4370000000000003</v>
      </c>
      <c r="EA189">
        <v>8</v>
      </c>
      <c r="EB189">
        <v>-17.87</v>
      </c>
      <c r="EC189">
        <v>-1.8200000000000003</v>
      </c>
      <c r="ED189">
        <v>29</v>
      </c>
      <c r="EE189">
        <v>24</v>
      </c>
      <c r="EF189">
        <v>22</v>
      </c>
      <c r="EG189">
        <v>-2.1840000000000002</v>
      </c>
      <c r="EH189">
        <v>26</v>
      </c>
      <c r="EI189">
        <v>-9.52</v>
      </c>
      <c r="EJ189">
        <v>-0.96</v>
      </c>
      <c r="EK189">
        <v>9</v>
      </c>
      <c r="EL189">
        <v>9</v>
      </c>
      <c r="EM189">
        <v>8</v>
      </c>
      <c r="EN189">
        <v>0.491999999999997</v>
      </c>
      <c r="EO189">
        <v>10</v>
      </c>
      <c r="EP189">
        <v>-0.51999999999999891</v>
      </c>
      <c r="EQ189">
        <v>-5.7200000000000006</v>
      </c>
      <c r="ER189">
        <v>19</v>
      </c>
      <c r="ES189">
        <v>18.5</v>
      </c>
      <c r="ET189">
        <v>25</v>
      </c>
      <c r="EU189">
        <v>-2.1079999999999997</v>
      </c>
      <c r="EV189">
        <v>12</v>
      </c>
      <c r="EW189">
        <v>-1.9200000000000017</v>
      </c>
      <c r="EX189">
        <v>-0.44000000000000011</v>
      </c>
      <c r="EY189">
        <v>1</v>
      </c>
      <c r="EZ189">
        <v>1.5</v>
      </c>
      <c r="FA189">
        <v>1</v>
      </c>
      <c r="FB189">
        <v>3.28</v>
      </c>
      <c r="FC189">
        <v>2</v>
      </c>
      <c r="FD189">
        <v>0.6399999999999999</v>
      </c>
      <c r="FE189">
        <v>5.9599999999999991</v>
      </c>
      <c r="FF189">
        <v>31</v>
      </c>
      <c r="FG189">
        <v>29</v>
      </c>
      <c r="FH189">
        <v>29</v>
      </c>
      <c r="FI189">
        <v>-7.3754677872322968E-2</v>
      </c>
      <c r="FJ189">
        <v>32</v>
      </c>
      <c r="FK189">
        <v>-1.3298117139573917E-2</v>
      </c>
      <c r="FL189">
        <v>30</v>
      </c>
      <c r="FM189">
        <v>-0.51999999999999891</v>
      </c>
      <c r="FN189">
        <v>25</v>
      </c>
      <c r="FO189">
        <v>-6.919999999999999</v>
      </c>
      <c r="FP189">
        <v>-7.88</v>
      </c>
      <c r="FQ189">
        <v>6</v>
      </c>
      <c r="FR189">
        <v>0</v>
      </c>
      <c r="FS189">
        <v>-3.0799999999999996</v>
      </c>
      <c r="FT189">
        <v>6.88</v>
      </c>
      <c r="FU189">
        <v>2.2399999999999998</v>
      </c>
      <c r="FV189">
        <v>8.2400000000000091</v>
      </c>
      <c r="FW189">
        <v>-22.280000000000008</v>
      </c>
      <c r="FX189">
        <v>39.6</v>
      </c>
      <c r="FY189">
        <v>-5.2</v>
      </c>
      <c r="FZ189">
        <v>-3.88</v>
      </c>
      <c r="GA189">
        <v>18</v>
      </c>
      <c r="GB189">
        <v>-1.2840000000000016</v>
      </c>
      <c r="GC189">
        <v>-2.6754000000000007</v>
      </c>
      <c r="GD189">
        <v>-61.88000000000001</v>
      </c>
      <c r="GE189">
        <v>1.284000000000002</v>
      </c>
      <c r="GF189">
        <v>0.75737500000000013</v>
      </c>
      <c r="GG189">
        <v>-3.0609999999999995</v>
      </c>
      <c r="GH189">
        <v>-28.650000000000002</v>
      </c>
      <c r="GI189">
        <v>4.6160000000000014</v>
      </c>
      <c r="GJ189">
        <v>37.120000000000005</v>
      </c>
      <c r="GK189">
        <v>-4.9200000000000008</v>
      </c>
      <c r="GL189">
        <v>-2.6799999999999997</v>
      </c>
    </row>
    <row r="190" spans="1:194" x14ac:dyDescent="0.2">
      <c r="A190" s="39">
        <v>43758</v>
      </c>
      <c r="B190" s="22" t="s">
        <v>250</v>
      </c>
      <c r="C190" s="41" t="s">
        <v>265</v>
      </c>
      <c r="D190" s="23" t="s">
        <v>307</v>
      </c>
      <c r="E190">
        <v>24.7</v>
      </c>
      <c r="F190" s="14">
        <v>10.3</v>
      </c>
      <c r="G190">
        <v>1.6</v>
      </c>
      <c r="H190">
        <v>9.5</v>
      </c>
      <c r="I190">
        <v>-4</v>
      </c>
      <c r="J190">
        <v>37</v>
      </c>
      <c r="K190" t="s">
        <v>110</v>
      </c>
      <c r="L190" s="1" t="s">
        <v>265</v>
      </c>
      <c r="M190">
        <v>28</v>
      </c>
      <c r="N190">
        <v>-3.6320000000000006</v>
      </c>
      <c r="O190">
        <v>20</v>
      </c>
      <c r="P190">
        <v>21</v>
      </c>
      <c r="Q190">
        <v>23</v>
      </c>
      <c r="R190">
        <v>-5.0999999999999996</v>
      </c>
      <c r="S190">
        <v>19</v>
      </c>
      <c r="T190">
        <v>-17.360000000000003</v>
      </c>
      <c r="U190">
        <v>-1.24</v>
      </c>
      <c r="V190">
        <v>13</v>
      </c>
      <c r="W190">
        <v>13.5</v>
      </c>
      <c r="X190">
        <v>7</v>
      </c>
      <c r="Y190">
        <v>0.42000000000000048</v>
      </c>
      <c r="Z190">
        <v>20</v>
      </c>
      <c r="AA190">
        <v>-11.52</v>
      </c>
      <c r="AB190">
        <v>3.3600000000000003</v>
      </c>
      <c r="AC190">
        <v>16</v>
      </c>
      <c r="AD190">
        <v>17</v>
      </c>
      <c r="AE190">
        <v>16</v>
      </c>
      <c r="AF190">
        <v>2.903999999999999</v>
      </c>
      <c r="AG190">
        <v>18</v>
      </c>
      <c r="AH190">
        <v>6.1599999999999984</v>
      </c>
      <c r="AI190">
        <v>1.6799999999999997</v>
      </c>
      <c r="AJ190">
        <v>11</v>
      </c>
      <c r="AK190">
        <v>11</v>
      </c>
      <c r="AL190">
        <v>13</v>
      </c>
      <c r="AM190">
        <v>0.64800000000000035</v>
      </c>
      <c r="AN190">
        <v>9</v>
      </c>
      <c r="AO190">
        <v>-1.9200000000000004</v>
      </c>
      <c r="AP190">
        <v>-4.0000000000000036E-2</v>
      </c>
      <c r="AQ190">
        <v>26</v>
      </c>
      <c r="AR190">
        <v>26</v>
      </c>
      <c r="AS190">
        <v>26</v>
      </c>
      <c r="AT190">
        <v>-3.6399999999999997</v>
      </c>
      <c r="AU190">
        <v>26</v>
      </c>
      <c r="AV190">
        <v>-14.48</v>
      </c>
      <c r="AW190">
        <v>-1.64</v>
      </c>
      <c r="AX190">
        <v>8</v>
      </c>
      <c r="AY190">
        <v>9</v>
      </c>
      <c r="AZ190">
        <v>9</v>
      </c>
      <c r="BA190">
        <v>-3.1360000000000001</v>
      </c>
      <c r="BB190">
        <v>9</v>
      </c>
      <c r="BC190">
        <v>-10.16</v>
      </c>
      <c r="BD190">
        <v>0.8</v>
      </c>
      <c r="BE190">
        <v>29</v>
      </c>
      <c r="BF190">
        <v>28.5</v>
      </c>
      <c r="BG190">
        <v>25</v>
      </c>
      <c r="BH190">
        <v>-3.5720000000000005</v>
      </c>
      <c r="BI190">
        <v>32</v>
      </c>
      <c r="BJ190">
        <v>-18.440000000000005</v>
      </c>
      <c r="BK190">
        <v>-0.96000000000000019</v>
      </c>
      <c r="BL190">
        <v>30</v>
      </c>
      <c r="BM190">
        <v>29.5</v>
      </c>
      <c r="BN190">
        <v>31</v>
      </c>
      <c r="BO190">
        <v>1.3599999999999999</v>
      </c>
      <c r="BP190">
        <v>28</v>
      </c>
      <c r="BQ190">
        <v>0.32</v>
      </c>
      <c r="BR190">
        <v>2.96</v>
      </c>
      <c r="BS190">
        <v>18</v>
      </c>
      <c r="BT190">
        <v>15.5</v>
      </c>
      <c r="BU190">
        <v>20</v>
      </c>
      <c r="BV190">
        <v>-1.2002428876065886E-2</v>
      </c>
      <c r="BW190">
        <v>11</v>
      </c>
      <c r="BX190">
        <v>-5.1547829064612525E-3</v>
      </c>
      <c r="BY190">
        <v>20</v>
      </c>
      <c r="BZ190">
        <v>-6.9760000000000018</v>
      </c>
      <c r="CA190">
        <v>11</v>
      </c>
      <c r="CB190">
        <v>-1.6800000000000002</v>
      </c>
      <c r="CC190">
        <v>-3.72</v>
      </c>
      <c r="CD190">
        <v>-1.8</v>
      </c>
      <c r="CE190">
        <v>1.9599999999999997</v>
      </c>
      <c r="CF190">
        <v>-70.760000000000005</v>
      </c>
      <c r="CG190">
        <v>-42.199999999999996</v>
      </c>
      <c r="CH190">
        <v>-33.119999999999997</v>
      </c>
      <c r="CI190">
        <v>12.2</v>
      </c>
      <c r="CJ190">
        <v>-7.6400000000000006</v>
      </c>
      <c r="CK190">
        <v>19</v>
      </c>
      <c r="CL190">
        <v>1.0479999999999987</v>
      </c>
      <c r="CM190">
        <v>0.88159999999999905</v>
      </c>
      <c r="CN190">
        <v>-9.0799999999999983</v>
      </c>
      <c r="CO190">
        <v>-1.0479999999999983</v>
      </c>
      <c r="CP190">
        <v>-1.3265</v>
      </c>
      <c r="CQ190">
        <v>-8.8000000000000078E-2</v>
      </c>
      <c r="CR190">
        <v>-10.240000000000002</v>
      </c>
      <c r="CS190">
        <v>-4.6799999999999988</v>
      </c>
      <c r="CT190">
        <v>-28.880000000000003</v>
      </c>
      <c r="CU190">
        <v>-0.96000000000000041</v>
      </c>
      <c r="CV190">
        <v>2.12</v>
      </c>
      <c r="CW190">
        <v>-1.0698750000000001</v>
      </c>
      <c r="CX190">
        <v>0.88597499999999973</v>
      </c>
      <c r="CY190" t="s">
        <v>307</v>
      </c>
      <c r="CZ190">
        <v>18</v>
      </c>
      <c r="DA190">
        <v>-2.4487999999999994</v>
      </c>
      <c r="DB190">
        <v>29</v>
      </c>
      <c r="DC190">
        <v>27.5</v>
      </c>
      <c r="DD190">
        <v>26</v>
      </c>
      <c r="DE190">
        <v>-4.2439999999999998</v>
      </c>
      <c r="DF190">
        <v>29</v>
      </c>
      <c r="DG190">
        <v>-24.559999999999995</v>
      </c>
      <c r="DH190">
        <v>0.47999999999999987</v>
      </c>
      <c r="DI190">
        <v>7</v>
      </c>
      <c r="DJ190">
        <v>10</v>
      </c>
      <c r="DK190">
        <v>8</v>
      </c>
      <c r="DL190">
        <v>-0.37199999999999978</v>
      </c>
      <c r="DM190">
        <v>12</v>
      </c>
      <c r="DN190">
        <v>-5.2799999999999994</v>
      </c>
      <c r="DO190">
        <v>0.15999999999999998</v>
      </c>
      <c r="DP190">
        <v>15</v>
      </c>
      <c r="DQ190">
        <v>19</v>
      </c>
      <c r="DR190">
        <v>18</v>
      </c>
      <c r="DS190">
        <v>-4.0839999999999996</v>
      </c>
      <c r="DT190">
        <v>20</v>
      </c>
      <c r="DU190">
        <v>-8.3400000000000034</v>
      </c>
      <c r="DV190">
        <v>-0.78</v>
      </c>
      <c r="DW190">
        <v>29</v>
      </c>
      <c r="DX190">
        <v>29.5</v>
      </c>
      <c r="DY190">
        <v>27</v>
      </c>
      <c r="DZ190">
        <v>-5.427999999999999</v>
      </c>
      <c r="EA190">
        <v>32</v>
      </c>
      <c r="EB190">
        <v>-21</v>
      </c>
      <c r="EC190">
        <v>-2.5599999999999996</v>
      </c>
      <c r="ED190">
        <v>27</v>
      </c>
      <c r="EE190">
        <v>25</v>
      </c>
      <c r="EF190">
        <v>25</v>
      </c>
      <c r="EG190">
        <v>-1.5640000000000005</v>
      </c>
      <c r="EH190">
        <v>25</v>
      </c>
      <c r="EI190">
        <v>-5.76</v>
      </c>
      <c r="EJ190">
        <v>-0.48</v>
      </c>
      <c r="EK190">
        <v>24</v>
      </c>
      <c r="EL190">
        <v>23.5</v>
      </c>
      <c r="EM190">
        <v>20</v>
      </c>
      <c r="EN190">
        <v>2.6680000000000015</v>
      </c>
      <c r="EO190">
        <v>27</v>
      </c>
      <c r="EP190">
        <v>17.880000000000003</v>
      </c>
      <c r="EQ190">
        <v>1.0400000000000003</v>
      </c>
      <c r="ER190">
        <v>3</v>
      </c>
      <c r="ES190">
        <v>3.5</v>
      </c>
      <c r="ET190">
        <v>3</v>
      </c>
      <c r="EU190">
        <v>-3.145</v>
      </c>
      <c r="EV190">
        <v>4</v>
      </c>
      <c r="EW190">
        <v>-8.6</v>
      </c>
      <c r="EX190">
        <v>-0.82000000000000006</v>
      </c>
      <c r="EY190">
        <v>8</v>
      </c>
      <c r="EZ190">
        <v>8.5</v>
      </c>
      <c r="FA190">
        <v>9</v>
      </c>
      <c r="FB190">
        <v>-2.9200000000000004</v>
      </c>
      <c r="FC190">
        <v>8</v>
      </c>
      <c r="FD190">
        <v>-0.92000000000000015</v>
      </c>
      <c r="FE190">
        <v>-0.72</v>
      </c>
      <c r="FF190">
        <v>17</v>
      </c>
      <c r="FG190">
        <v>16</v>
      </c>
      <c r="FH190">
        <v>6</v>
      </c>
      <c r="FI190">
        <v>-1.4956785877840429E-2</v>
      </c>
      <c r="FJ190">
        <v>18</v>
      </c>
      <c r="FK190">
        <v>4.2605743407032968E-3</v>
      </c>
      <c r="FL190">
        <v>21</v>
      </c>
      <c r="FM190">
        <v>-11.167999999999997</v>
      </c>
      <c r="FN190">
        <v>19</v>
      </c>
      <c r="FO190">
        <v>1.9599999999999997</v>
      </c>
      <c r="FP190">
        <v>-2.9199999999999973</v>
      </c>
      <c r="FQ190">
        <v>-2.9199999999999995</v>
      </c>
      <c r="FR190">
        <v>-0.20000000000000009</v>
      </c>
      <c r="FS190">
        <v>-5.8399999999999981</v>
      </c>
      <c r="FT190">
        <v>-5.64</v>
      </c>
      <c r="FU190">
        <v>-0.83999999999999986</v>
      </c>
      <c r="FV190">
        <v>-69.439999999999984</v>
      </c>
      <c r="FW190">
        <v>-35.119999999999997</v>
      </c>
      <c r="FX190">
        <v>-32.08</v>
      </c>
      <c r="FY190">
        <v>0.59999999999999987</v>
      </c>
      <c r="FZ190">
        <v>-2.8400000000000003</v>
      </c>
      <c r="GA190">
        <v>11</v>
      </c>
      <c r="GB190">
        <v>2.1672000000000002</v>
      </c>
      <c r="GC190">
        <v>-1.02596</v>
      </c>
      <c r="GD190">
        <v>-3.0399999999999991</v>
      </c>
      <c r="GE190">
        <v>-2.1672000000000002</v>
      </c>
      <c r="GF190">
        <v>-3.025725</v>
      </c>
      <c r="GG190">
        <v>-11.075999999999999</v>
      </c>
      <c r="GH190">
        <v>-35.1</v>
      </c>
      <c r="GI190">
        <v>-4.6159999999999997</v>
      </c>
      <c r="GJ190">
        <v>-29.839999999999996</v>
      </c>
      <c r="GK190">
        <v>-4.6399999999999997</v>
      </c>
      <c r="GL190">
        <v>0.6399999999999999</v>
      </c>
    </row>
    <row r="191" spans="1:194" x14ac:dyDescent="0.2">
      <c r="A191" s="39">
        <v>43758</v>
      </c>
      <c r="B191" s="22" t="s">
        <v>250</v>
      </c>
      <c r="C191" s="17" t="s">
        <v>272</v>
      </c>
      <c r="D191" s="22" t="s">
        <v>297</v>
      </c>
      <c r="E191">
        <v>9.5</v>
      </c>
      <c r="F191">
        <v>9.5</v>
      </c>
      <c r="G191">
        <v>24.5</v>
      </c>
      <c r="H191">
        <v>4.3</v>
      </c>
      <c r="I191">
        <v>4</v>
      </c>
      <c r="J191">
        <v>44.5</v>
      </c>
      <c r="L191" s="1" t="s">
        <v>272</v>
      </c>
      <c r="M191">
        <v>16</v>
      </c>
      <c r="N191">
        <v>-0.66360000000000097</v>
      </c>
      <c r="O191">
        <v>29</v>
      </c>
      <c r="P191">
        <v>28</v>
      </c>
      <c r="Q191">
        <v>26</v>
      </c>
      <c r="R191">
        <v>-3.8439999999999999</v>
      </c>
      <c r="S191">
        <v>30</v>
      </c>
      <c r="T191">
        <v>-16.72</v>
      </c>
      <c r="U191">
        <v>0.55999999999999994</v>
      </c>
      <c r="V191">
        <v>24</v>
      </c>
      <c r="W191">
        <v>24</v>
      </c>
      <c r="X191">
        <v>24</v>
      </c>
      <c r="Y191">
        <v>-1.1503999999999999</v>
      </c>
      <c r="Z191">
        <v>24</v>
      </c>
      <c r="AA191">
        <v>-12.84</v>
      </c>
      <c r="AB191">
        <v>1.04</v>
      </c>
      <c r="AC191">
        <v>22</v>
      </c>
      <c r="AD191">
        <v>20</v>
      </c>
      <c r="AE191">
        <v>17</v>
      </c>
      <c r="AF191">
        <v>3.7599999999999989</v>
      </c>
      <c r="AG191">
        <v>23</v>
      </c>
      <c r="AH191">
        <v>14.2</v>
      </c>
      <c r="AI191">
        <v>2.16</v>
      </c>
      <c r="AJ191">
        <v>20</v>
      </c>
      <c r="AK191">
        <v>19</v>
      </c>
      <c r="AL191">
        <v>23</v>
      </c>
      <c r="AM191">
        <v>0.44399999999999978</v>
      </c>
      <c r="AN191">
        <v>15</v>
      </c>
      <c r="AO191">
        <v>6.5199999999999987</v>
      </c>
      <c r="AP191">
        <v>1.2</v>
      </c>
      <c r="AQ191">
        <v>2</v>
      </c>
      <c r="AR191">
        <v>2</v>
      </c>
      <c r="AS191">
        <v>2</v>
      </c>
      <c r="AT191">
        <v>1.3880000000000003</v>
      </c>
      <c r="AU191">
        <v>2</v>
      </c>
      <c r="AV191">
        <v>13.2</v>
      </c>
      <c r="AW191">
        <v>2</v>
      </c>
      <c r="AX191">
        <v>14</v>
      </c>
      <c r="AY191">
        <v>14.5</v>
      </c>
      <c r="AZ191">
        <v>16</v>
      </c>
      <c r="BA191">
        <v>-1.595999999999999</v>
      </c>
      <c r="BB191">
        <v>13</v>
      </c>
      <c r="BC191">
        <v>-7.9599999999999991</v>
      </c>
      <c r="BD191">
        <v>0.15999999999999998</v>
      </c>
      <c r="BE191">
        <v>17</v>
      </c>
      <c r="BF191">
        <v>17.5</v>
      </c>
      <c r="BG191">
        <v>19</v>
      </c>
      <c r="BH191">
        <v>-5.9279999999999999</v>
      </c>
      <c r="BI191">
        <v>16</v>
      </c>
      <c r="BJ191">
        <v>-24.88</v>
      </c>
      <c r="BK191">
        <v>-1.0399999999999996</v>
      </c>
      <c r="BL191">
        <v>12</v>
      </c>
      <c r="BM191">
        <v>11.5</v>
      </c>
      <c r="BN191">
        <v>12</v>
      </c>
      <c r="BO191">
        <v>-0.48000000000000015</v>
      </c>
      <c r="BP191">
        <v>11</v>
      </c>
      <c r="BQ191">
        <v>-0.16000000000000006</v>
      </c>
      <c r="BR191">
        <v>-3.1599999999999997</v>
      </c>
      <c r="BS191">
        <v>10</v>
      </c>
      <c r="BT191">
        <v>12.75</v>
      </c>
      <c r="BU191">
        <v>13</v>
      </c>
      <c r="BV191">
        <v>-3.7411528338698583E-2</v>
      </c>
      <c r="BW191">
        <v>15</v>
      </c>
      <c r="BX191">
        <v>3.41217352507691E-3</v>
      </c>
      <c r="BY191">
        <v>11</v>
      </c>
      <c r="BZ191">
        <v>-7.7479999999999993</v>
      </c>
      <c r="CA191">
        <v>12</v>
      </c>
      <c r="CB191">
        <v>1.2799999999999998</v>
      </c>
      <c r="CC191">
        <v>0.63999999999999913</v>
      </c>
      <c r="CD191">
        <v>-4.92</v>
      </c>
      <c r="CE191">
        <v>0.55999999999999983</v>
      </c>
      <c r="CF191">
        <v>-36.279999999999994</v>
      </c>
      <c r="CG191">
        <v>6.6799999999999953</v>
      </c>
      <c r="CH191">
        <v>-32.160000000000004</v>
      </c>
      <c r="CI191">
        <v>-1.6</v>
      </c>
      <c r="CJ191">
        <v>-9.2000000000000011</v>
      </c>
      <c r="CK191">
        <v>10</v>
      </c>
      <c r="CL191">
        <v>4.3307999999999982</v>
      </c>
      <c r="CM191">
        <v>2.2972799999999993</v>
      </c>
      <c r="CN191">
        <v>38.839999999999996</v>
      </c>
      <c r="CO191">
        <v>-4.3307999999999991</v>
      </c>
      <c r="CP191">
        <v>-0.80925000000000036</v>
      </c>
      <c r="CQ191">
        <v>5.5919999999999987</v>
      </c>
      <c r="CR191">
        <v>33.92</v>
      </c>
      <c r="CS191">
        <v>-4.9943999999999997</v>
      </c>
      <c r="CT191">
        <v>-29.56</v>
      </c>
      <c r="CU191">
        <v>4.32</v>
      </c>
      <c r="CV191">
        <v>1.6</v>
      </c>
      <c r="CW191">
        <v>0.16732499999999995</v>
      </c>
      <c r="CX191">
        <v>1.4745500000000002</v>
      </c>
      <c r="CY191" t="s">
        <v>297</v>
      </c>
      <c r="CZ191">
        <v>20</v>
      </c>
      <c r="DA191">
        <v>-0.25840000000000141</v>
      </c>
      <c r="DB191">
        <v>1</v>
      </c>
      <c r="DC191">
        <v>1.5</v>
      </c>
      <c r="DD191">
        <v>2</v>
      </c>
      <c r="DE191">
        <v>0.62719999999999776</v>
      </c>
      <c r="DF191">
        <v>1</v>
      </c>
      <c r="DG191">
        <v>7.0400000000000009</v>
      </c>
      <c r="DH191">
        <v>-7.9999999999999988E-2</v>
      </c>
      <c r="DI191">
        <v>13</v>
      </c>
      <c r="DJ191">
        <v>14.5</v>
      </c>
      <c r="DK191">
        <v>11</v>
      </c>
      <c r="DL191">
        <v>1.7720000000000002</v>
      </c>
      <c r="DM191">
        <v>18</v>
      </c>
      <c r="DN191">
        <v>11.16</v>
      </c>
      <c r="DO191">
        <v>8.8817841970012528E-17</v>
      </c>
      <c r="DP191">
        <v>12</v>
      </c>
      <c r="DQ191">
        <v>13</v>
      </c>
      <c r="DR191">
        <v>11</v>
      </c>
      <c r="DS191">
        <v>-5.0720000000000001</v>
      </c>
      <c r="DT191">
        <v>15</v>
      </c>
      <c r="DU191">
        <v>-16.920000000000002</v>
      </c>
      <c r="DV191">
        <v>-1.56</v>
      </c>
      <c r="DW191">
        <v>26</v>
      </c>
      <c r="DX191">
        <v>26.5</v>
      </c>
      <c r="DY191">
        <v>28</v>
      </c>
      <c r="DZ191">
        <v>-1.151999999999999</v>
      </c>
      <c r="EA191">
        <v>25</v>
      </c>
      <c r="EB191">
        <v>6.24</v>
      </c>
      <c r="EC191">
        <v>0.84000000000000008</v>
      </c>
      <c r="ED191">
        <v>1</v>
      </c>
      <c r="EE191">
        <v>5</v>
      </c>
      <c r="EF191">
        <v>5</v>
      </c>
      <c r="EG191">
        <v>-0.66400000000000003</v>
      </c>
      <c r="EH191">
        <v>5</v>
      </c>
      <c r="EI191">
        <v>-1.0399999999999996</v>
      </c>
      <c r="EJ191">
        <v>0.39999999999999991</v>
      </c>
      <c r="EK191">
        <v>27</v>
      </c>
      <c r="EL191">
        <v>27</v>
      </c>
      <c r="EM191">
        <v>29</v>
      </c>
      <c r="EN191">
        <v>1.416000000000001</v>
      </c>
      <c r="EO191">
        <v>25</v>
      </c>
      <c r="EP191">
        <v>6.1600000000000019</v>
      </c>
      <c r="EQ191">
        <v>0.3999999999999998</v>
      </c>
      <c r="ER191">
        <v>26</v>
      </c>
      <c r="ES191">
        <v>25.5</v>
      </c>
      <c r="ET191">
        <v>22</v>
      </c>
      <c r="EU191">
        <v>-2.0520000000000009</v>
      </c>
      <c r="EV191">
        <v>29</v>
      </c>
      <c r="EW191">
        <v>-12.12</v>
      </c>
      <c r="EX191">
        <v>-0.64</v>
      </c>
      <c r="EY191">
        <v>26</v>
      </c>
      <c r="EZ191">
        <v>25</v>
      </c>
      <c r="FA191">
        <v>21</v>
      </c>
      <c r="FB191">
        <v>-2.3199999999999998</v>
      </c>
      <c r="FC191">
        <v>29</v>
      </c>
      <c r="FD191">
        <v>-0.64</v>
      </c>
      <c r="FE191">
        <v>-0.96</v>
      </c>
      <c r="FF191">
        <v>20</v>
      </c>
      <c r="FG191">
        <v>16.75</v>
      </c>
      <c r="FH191">
        <v>21</v>
      </c>
      <c r="FI191">
        <v>3.7767582567428723E-2</v>
      </c>
      <c r="FJ191">
        <v>5</v>
      </c>
      <c r="FK191">
        <v>1.4414576860299035E-2</v>
      </c>
      <c r="FL191">
        <v>32</v>
      </c>
      <c r="FM191">
        <v>-9.408000000000003</v>
      </c>
      <c r="FN191">
        <v>9</v>
      </c>
      <c r="FO191">
        <v>0.28000000000000008</v>
      </c>
      <c r="FP191">
        <v>1.9199999999999995</v>
      </c>
      <c r="FQ191">
        <v>-2.12</v>
      </c>
      <c r="FR191">
        <v>-0.11999999999999997</v>
      </c>
      <c r="FS191">
        <v>0.51999999999999891</v>
      </c>
      <c r="FT191">
        <v>-0.55999999999999983</v>
      </c>
      <c r="FU191">
        <v>0.20000000000000009</v>
      </c>
      <c r="FV191">
        <v>17.079999999999984</v>
      </c>
      <c r="FW191">
        <v>-2.4800000000000013</v>
      </c>
      <c r="FX191">
        <v>17.919999999999995</v>
      </c>
      <c r="FY191">
        <v>3.2400000000000007</v>
      </c>
      <c r="FZ191">
        <v>-1.6</v>
      </c>
      <c r="GA191">
        <v>21</v>
      </c>
      <c r="GB191">
        <v>-2.6575999999999995</v>
      </c>
      <c r="GC191">
        <v>-3.0392799999999989</v>
      </c>
      <c r="GD191">
        <v>-20.399999999999995</v>
      </c>
      <c r="GE191">
        <v>2.6575999999999991</v>
      </c>
      <c r="GF191">
        <v>-1.1399000000000004</v>
      </c>
      <c r="GG191">
        <v>-6.887999999999999</v>
      </c>
      <c r="GH191">
        <v>-11.72</v>
      </c>
      <c r="GI191">
        <v>2.3991999999999978</v>
      </c>
      <c r="GJ191">
        <v>18.200000000000003</v>
      </c>
      <c r="GK191">
        <v>-0.96000000000000008</v>
      </c>
      <c r="GL191">
        <v>-7.9999999999999905E-2</v>
      </c>
    </row>
    <row r="192" spans="1:194" x14ac:dyDescent="0.2">
      <c r="A192" s="39">
        <v>43758</v>
      </c>
      <c r="B192" s="22" t="s">
        <v>250</v>
      </c>
      <c r="C192" s="41" t="s">
        <v>291</v>
      </c>
      <c r="D192" s="22" t="s">
        <v>294</v>
      </c>
      <c r="E192">
        <v>18.600000000000001</v>
      </c>
      <c r="F192">
        <v>6.4</v>
      </c>
      <c r="G192" s="14">
        <v>4.9000000000000004</v>
      </c>
      <c r="H192">
        <v>14.4</v>
      </c>
      <c r="I192">
        <v>-3</v>
      </c>
      <c r="J192">
        <v>50</v>
      </c>
      <c r="L192" s="4" t="s">
        <v>291</v>
      </c>
      <c r="M192" s="3">
        <v>7</v>
      </c>
      <c r="N192" s="3">
        <v>2.7871999999999986</v>
      </c>
      <c r="O192" s="3">
        <v>5</v>
      </c>
      <c r="P192" s="3">
        <v>7</v>
      </c>
      <c r="Q192" s="3">
        <v>6</v>
      </c>
      <c r="R192" s="3">
        <v>2.7959999999999998</v>
      </c>
      <c r="S192" s="3">
        <v>8</v>
      </c>
      <c r="T192" s="3">
        <v>17.84</v>
      </c>
      <c r="U192" s="3">
        <v>0.87999999999999989</v>
      </c>
      <c r="V192" s="3">
        <v>27</v>
      </c>
      <c r="W192" s="3">
        <v>27.5</v>
      </c>
      <c r="X192" s="3">
        <v>28</v>
      </c>
      <c r="Y192" s="3">
        <v>-1.4</v>
      </c>
      <c r="Z192" s="3">
        <v>27</v>
      </c>
      <c r="AA192">
        <v>4.88</v>
      </c>
      <c r="AB192">
        <v>-2.08</v>
      </c>
      <c r="AC192">
        <v>10</v>
      </c>
      <c r="AD192">
        <v>12</v>
      </c>
      <c r="AE192">
        <v>12</v>
      </c>
      <c r="AF192">
        <v>6.4250000000000007</v>
      </c>
      <c r="AG192">
        <v>12</v>
      </c>
      <c r="AH192">
        <v>24.95</v>
      </c>
      <c r="AI192">
        <v>0.89999999999999991</v>
      </c>
      <c r="AJ192">
        <v>10</v>
      </c>
      <c r="AK192">
        <v>9</v>
      </c>
      <c r="AL192">
        <v>11</v>
      </c>
      <c r="AM192">
        <v>3.3080000000000007</v>
      </c>
      <c r="AN192">
        <v>7</v>
      </c>
      <c r="AO192">
        <v>21</v>
      </c>
      <c r="AP192">
        <v>1.8</v>
      </c>
      <c r="AQ192">
        <v>1</v>
      </c>
      <c r="AR192">
        <v>1</v>
      </c>
      <c r="AS192">
        <v>1</v>
      </c>
      <c r="AT192">
        <v>1.8520000000000003</v>
      </c>
      <c r="AU192">
        <v>1</v>
      </c>
      <c r="AV192">
        <v>12.6</v>
      </c>
      <c r="AW192">
        <v>2.12</v>
      </c>
      <c r="AX192">
        <v>2</v>
      </c>
      <c r="AY192">
        <v>3.5</v>
      </c>
      <c r="AZ192">
        <v>3</v>
      </c>
      <c r="BA192">
        <v>0.18000000000000077</v>
      </c>
      <c r="BB192">
        <v>4</v>
      </c>
      <c r="BC192">
        <v>10.199999999999999</v>
      </c>
      <c r="BD192">
        <v>1.4</v>
      </c>
      <c r="BE192">
        <v>8</v>
      </c>
      <c r="BF192">
        <v>7</v>
      </c>
      <c r="BG192">
        <v>7</v>
      </c>
      <c r="BH192">
        <v>2.5399999999999991</v>
      </c>
      <c r="BI192">
        <v>7</v>
      </c>
      <c r="BJ192">
        <v>15.4</v>
      </c>
      <c r="BK192">
        <v>0.91999999999999993</v>
      </c>
      <c r="BL192">
        <v>11</v>
      </c>
      <c r="BM192">
        <v>9.5</v>
      </c>
      <c r="BN192">
        <v>14</v>
      </c>
      <c r="BO192">
        <v>-0.23999999999999985</v>
      </c>
      <c r="BP192">
        <v>5</v>
      </c>
      <c r="BQ192">
        <v>0.36</v>
      </c>
      <c r="BR192">
        <v>-5.32</v>
      </c>
      <c r="BS192">
        <v>26</v>
      </c>
      <c r="BT192">
        <v>22.25</v>
      </c>
      <c r="BU192">
        <v>18</v>
      </c>
      <c r="BV192">
        <v>1.2213887774738886E-2</v>
      </c>
      <c r="BW192">
        <v>32</v>
      </c>
      <c r="BX192">
        <v>-1.8873618040061137E-2</v>
      </c>
      <c r="BY192">
        <v>16</v>
      </c>
      <c r="BZ192">
        <v>9.8719999999999981</v>
      </c>
      <c r="CA192">
        <v>23</v>
      </c>
      <c r="CB192">
        <v>-0.92000000000000026</v>
      </c>
      <c r="CC192">
        <v>1.7199999999999989</v>
      </c>
      <c r="CD192">
        <v>0.36000000000000015</v>
      </c>
      <c r="CE192">
        <v>-2.04</v>
      </c>
      <c r="CF192">
        <v>68.88</v>
      </c>
      <c r="CG192">
        <v>37.4</v>
      </c>
      <c r="CH192">
        <v>19.84</v>
      </c>
      <c r="CI192">
        <v>-0.16000000000000023</v>
      </c>
      <c r="CJ192">
        <v>11.8</v>
      </c>
      <c r="CK192">
        <v>18</v>
      </c>
      <c r="CL192">
        <v>1.3911999999999987</v>
      </c>
      <c r="CM192">
        <v>2.6844399999999999</v>
      </c>
      <c r="CN192">
        <v>17.559999999999999</v>
      </c>
      <c r="CO192">
        <v>-1.3911999999999987</v>
      </c>
      <c r="CP192">
        <v>2.2585250000000001</v>
      </c>
      <c r="CQ192">
        <v>11.585000000000001</v>
      </c>
      <c r="CR192">
        <v>58.550000000000004</v>
      </c>
      <c r="CS192">
        <v>1.3959999999999999</v>
      </c>
      <c r="CT192">
        <v>22.72</v>
      </c>
      <c r="CU192">
        <v>5.74</v>
      </c>
      <c r="CV192">
        <v>-1.2000000000000002</v>
      </c>
      <c r="CW192">
        <v>0.94782499999999992</v>
      </c>
      <c r="CX192">
        <v>1.4864499999999996</v>
      </c>
      <c r="CY192" t="s">
        <v>294</v>
      </c>
      <c r="CZ192">
        <v>30</v>
      </c>
      <c r="DA192">
        <v>2.2055999999999996</v>
      </c>
      <c r="DB192">
        <v>18</v>
      </c>
      <c r="DC192">
        <v>19.5</v>
      </c>
      <c r="DD192">
        <v>7</v>
      </c>
      <c r="DE192">
        <v>-5.2759999999999989</v>
      </c>
      <c r="DF192">
        <v>32</v>
      </c>
      <c r="DG192">
        <v>-36.680000000000007</v>
      </c>
      <c r="DH192">
        <v>-0.19999999999999982</v>
      </c>
      <c r="DI192">
        <v>5</v>
      </c>
      <c r="DJ192">
        <v>8</v>
      </c>
      <c r="DK192">
        <v>13</v>
      </c>
      <c r="DL192">
        <v>-3.0280000000000005</v>
      </c>
      <c r="DM192">
        <v>3</v>
      </c>
      <c r="DN192">
        <v>-2.8400000000000007</v>
      </c>
      <c r="DO192">
        <v>-0.76</v>
      </c>
      <c r="DP192">
        <v>30</v>
      </c>
      <c r="DQ192">
        <v>24</v>
      </c>
      <c r="DR192">
        <v>24</v>
      </c>
      <c r="DS192">
        <v>2.1879999999999997</v>
      </c>
      <c r="DT192">
        <v>24</v>
      </c>
      <c r="DU192">
        <v>3.6400000000000006</v>
      </c>
      <c r="DV192">
        <v>1.6</v>
      </c>
      <c r="DW192">
        <v>31</v>
      </c>
      <c r="DX192">
        <v>30.5</v>
      </c>
      <c r="DY192">
        <v>30</v>
      </c>
      <c r="DZ192">
        <v>7.7120000000000006</v>
      </c>
      <c r="EA192">
        <v>31</v>
      </c>
      <c r="EB192">
        <v>27.439999999999998</v>
      </c>
      <c r="EC192">
        <v>1.3599999999999999</v>
      </c>
      <c r="ED192">
        <v>29</v>
      </c>
      <c r="EE192">
        <v>20</v>
      </c>
      <c r="EF192">
        <v>18</v>
      </c>
      <c r="EG192">
        <v>6.7999999999999797E-2</v>
      </c>
      <c r="EH192">
        <v>22</v>
      </c>
      <c r="EI192">
        <v>-5.04</v>
      </c>
      <c r="EJ192">
        <v>0.67999999999999994</v>
      </c>
      <c r="EK192">
        <v>32</v>
      </c>
      <c r="EL192">
        <v>32</v>
      </c>
      <c r="EM192">
        <v>32</v>
      </c>
      <c r="EN192">
        <v>-6.0120000000000022</v>
      </c>
      <c r="EO192">
        <v>32</v>
      </c>
      <c r="EP192">
        <v>-24.92</v>
      </c>
      <c r="EQ192">
        <v>-2.12</v>
      </c>
      <c r="ER192">
        <v>8</v>
      </c>
      <c r="ES192">
        <v>8.5</v>
      </c>
      <c r="ET192">
        <v>12</v>
      </c>
      <c r="EU192">
        <v>4.0000000000002698E-3</v>
      </c>
      <c r="EV192">
        <v>5</v>
      </c>
      <c r="EW192">
        <v>1.6400000000000006</v>
      </c>
      <c r="EX192">
        <v>0.3999999999999998</v>
      </c>
      <c r="EY192">
        <v>31</v>
      </c>
      <c r="EZ192">
        <v>28.5</v>
      </c>
      <c r="FA192">
        <v>26</v>
      </c>
      <c r="FB192">
        <v>-0.59999999999999987</v>
      </c>
      <c r="FC192">
        <v>31</v>
      </c>
      <c r="FD192">
        <v>0.72</v>
      </c>
      <c r="FE192">
        <v>1.52</v>
      </c>
      <c r="FF192">
        <v>4</v>
      </c>
      <c r="FG192">
        <v>8.75</v>
      </c>
      <c r="FH192">
        <v>3</v>
      </c>
      <c r="FI192">
        <v>5.404984635809075E-2</v>
      </c>
      <c r="FJ192">
        <v>4</v>
      </c>
      <c r="FK192">
        <v>5.3654151415937369E-3</v>
      </c>
      <c r="FL192">
        <v>14</v>
      </c>
      <c r="FM192">
        <v>-7.0840000000000032</v>
      </c>
      <c r="FN192">
        <v>14</v>
      </c>
      <c r="FO192">
        <v>1.9999999999999993</v>
      </c>
      <c r="FP192">
        <v>1.5200000000000002</v>
      </c>
      <c r="FQ192">
        <v>-1.5600000000000009</v>
      </c>
      <c r="FR192">
        <v>0.12000000000000002</v>
      </c>
      <c r="FS192">
        <v>1.5199999999999989</v>
      </c>
      <c r="FT192">
        <v>2.08</v>
      </c>
      <c r="FU192">
        <v>0.48</v>
      </c>
      <c r="FV192">
        <v>-4.9200000000000044</v>
      </c>
      <c r="FW192">
        <v>16.040000000000013</v>
      </c>
      <c r="FX192">
        <v>-30.6</v>
      </c>
      <c r="FY192">
        <v>6.4799999999999995</v>
      </c>
      <c r="FZ192">
        <v>3.1599999999999997</v>
      </c>
      <c r="GA192">
        <v>2</v>
      </c>
      <c r="GB192">
        <v>10.509599999999999</v>
      </c>
      <c r="GC192">
        <v>6.5875199999999987</v>
      </c>
      <c r="GD192">
        <v>46.640000000000015</v>
      </c>
      <c r="GE192">
        <v>-10.509599999999999</v>
      </c>
      <c r="GF192">
        <v>0.40920000000000012</v>
      </c>
      <c r="GG192">
        <v>9.968</v>
      </c>
      <c r="GH192">
        <v>26.04</v>
      </c>
      <c r="GI192">
        <v>-8.3039999999999985</v>
      </c>
      <c r="GJ192">
        <v>-39.52000000000001</v>
      </c>
      <c r="GK192">
        <v>4.0399999999999991</v>
      </c>
      <c r="GL192">
        <v>-0.95999999999999985</v>
      </c>
    </row>
    <row r="193" spans="1:194" x14ac:dyDescent="0.2">
      <c r="A193" s="39">
        <v>43758</v>
      </c>
      <c r="B193" t="s">
        <v>250</v>
      </c>
      <c r="C193" s="41" t="s">
        <v>278</v>
      </c>
      <c r="D193" t="s">
        <v>288</v>
      </c>
      <c r="E193">
        <v>14.7</v>
      </c>
      <c r="F193">
        <v>11</v>
      </c>
      <c r="G193">
        <v>2.4</v>
      </c>
      <c r="H193">
        <v>1.7</v>
      </c>
      <c r="I193">
        <v>3</v>
      </c>
      <c r="J193">
        <v>49.5</v>
      </c>
      <c r="L193" s="1" t="s">
        <v>278</v>
      </c>
      <c r="M193">
        <v>25</v>
      </c>
      <c r="N193">
        <v>-2.9968000000000004</v>
      </c>
      <c r="O193">
        <v>17</v>
      </c>
      <c r="P193">
        <v>17</v>
      </c>
      <c r="Q193">
        <v>24</v>
      </c>
      <c r="R193">
        <v>-1.0999999999999992</v>
      </c>
      <c r="S193">
        <v>10</v>
      </c>
      <c r="T193">
        <v>2.9600000000000022</v>
      </c>
      <c r="U193">
        <v>-0.47999999999999987</v>
      </c>
      <c r="V193">
        <v>18</v>
      </c>
      <c r="W193">
        <v>17.5</v>
      </c>
      <c r="X193">
        <v>22</v>
      </c>
      <c r="Y193">
        <v>4.4960000000000004</v>
      </c>
      <c r="Z193">
        <v>13</v>
      </c>
      <c r="AA193">
        <v>16.850000000000001</v>
      </c>
      <c r="AB193">
        <v>2.44</v>
      </c>
      <c r="AC193">
        <v>11</v>
      </c>
      <c r="AD193">
        <v>12.5</v>
      </c>
      <c r="AE193">
        <v>11</v>
      </c>
      <c r="AF193">
        <v>3.6369999999999991</v>
      </c>
      <c r="AG193">
        <v>14</v>
      </c>
      <c r="AH193">
        <v>12.400000000000002</v>
      </c>
      <c r="AI193">
        <v>1.5699999999999998</v>
      </c>
      <c r="AJ193">
        <v>31</v>
      </c>
      <c r="AK193">
        <v>30.5</v>
      </c>
      <c r="AL193">
        <v>31</v>
      </c>
      <c r="AM193">
        <v>-0.48899999999999971</v>
      </c>
      <c r="AN193">
        <v>30</v>
      </c>
      <c r="AO193">
        <v>-5.009999999999998</v>
      </c>
      <c r="AP193">
        <v>0.1</v>
      </c>
      <c r="AQ193">
        <v>32</v>
      </c>
      <c r="AR193">
        <v>32</v>
      </c>
      <c r="AS193">
        <v>32</v>
      </c>
      <c r="AT193">
        <v>-1.4100000000000001</v>
      </c>
      <c r="AU193">
        <v>32</v>
      </c>
      <c r="AV193">
        <v>-8.48</v>
      </c>
      <c r="AW193">
        <v>-1.55</v>
      </c>
      <c r="AX193">
        <v>31</v>
      </c>
      <c r="AY193">
        <v>31.5</v>
      </c>
      <c r="AZ193">
        <v>31</v>
      </c>
      <c r="BA193">
        <v>-3.0000000000000009</v>
      </c>
      <c r="BB193">
        <v>32</v>
      </c>
      <c r="BC193">
        <v>-8.0000000000000018</v>
      </c>
      <c r="BD193">
        <v>-0.92000000000000026</v>
      </c>
      <c r="BE193">
        <v>9</v>
      </c>
      <c r="BF193">
        <v>8.5</v>
      </c>
      <c r="BG193">
        <v>9</v>
      </c>
      <c r="BH193">
        <v>-2.1720000000000006</v>
      </c>
      <c r="BI193">
        <v>8</v>
      </c>
      <c r="BJ193">
        <v>-3.7199999999999989</v>
      </c>
      <c r="BK193">
        <v>-0.96</v>
      </c>
      <c r="BL193">
        <v>10</v>
      </c>
      <c r="BM193">
        <v>9</v>
      </c>
      <c r="BN193">
        <v>6</v>
      </c>
      <c r="BO193">
        <v>1.9599999999999997</v>
      </c>
      <c r="BP193">
        <v>12</v>
      </c>
      <c r="BQ193">
        <v>0.24</v>
      </c>
      <c r="BR193">
        <v>0.88000000000000023</v>
      </c>
      <c r="BS193">
        <v>22</v>
      </c>
      <c r="BT193">
        <v>20.25</v>
      </c>
      <c r="BU193">
        <v>15</v>
      </c>
      <c r="BV193">
        <v>7.9017336281335775E-3</v>
      </c>
      <c r="BW193">
        <v>19</v>
      </c>
      <c r="BX193">
        <v>5.344277584303567E-3</v>
      </c>
      <c r="BY193">
        <v>28</v>
      </c>
      <c r="BZ193">
        <v>3.7000000000000028</v>
      </c>
      <c r="CA193">
        <v>19</v>
      </c>
      <c r="CB193">
        <v>-0.24000000000000005</v>
      </c>
      <c r="CC193">
        <v>0.83999999999999775</v>
      </c>
      <c r="CD193">
        <v>-0.71999999999999953</v>
      </c>
      <c r="CE193">
        <v>-0.6399999999999999</v>
      </c>
      <c r="CF193">
        <v>-8.1600000000000019</v>
      </c>
      <c r="CG193">
        <v>-11.319999999999993</v>
      </c>
      <c r="CH193">
        <v>14.239999999999998</v>
      </c>
      <c r="CI193">
        <v>-1.0000000000000002</v>
      </c>
      <c r="CJ193">
        <v>-10.079999999999998</v>
      </c>
      <c r="CK193">
        <v>27</v>
      </c>
      <c r="CL193">
        <v>-6.3928000000000011</v>
      </c>
      <c r="CM193">
        <v>-2.3841600000000009</v>
      </c>
      <c r="CN193">
        <v>-25.559999999999992</v>
      </c>
      <c r="CO193">
        <v>6.3928000000000011</v>
      </c>
      <c r="CP193">
        <v>0.24064999999999978</v>
      </c>
      <c r="CQ193">
        <v>1.7379999999999991</v>
      </c>
      <c r="CR193">
        <v>-1.0899999999999963</v>
      </c>
      <c r="CS193">
        <v>3.3960000000000012</v>
      </c>
      <c r="CT193">
        <v>19.810000000000002</v>
      </c>
      <c r="CU193">
        <v>-0.84000000000000008</v>
      </c>
      <c r="CV193">
        <v>1.96</v>
      </c>
      <c r="CW193">
        <v>-0.81567499999999993</v>
      </c>
      <c r="CX193">
        <v>-1.6570999999999998</v>
      </c>
      <c r="CY193" t="s">
        <v>288</v>
      </c>
      <c r="CZ193">
        <v>7</v>
      </c>
      <c r="DA193">
        <v>-1.5680000000000003</v>
      </c>
      <c r="DB193">
        <v>3</v>
      </c>
      <c r="DC193">
        <v>3</v>
      </c>
      <c r="DD193">
        <v>3</v>
      </c>
      <c r="DE193">
        <v>7.8600000000000012</v>
      </c>
      <c r="DF193">
        <v>3</v>
      </c>
      <c r="DG193">
        <v>46.120000000000005</v>
      </c>
      <c r="DH193">
        <v>-0.13999999999999996</v>
      </c>
      <c r="DI193">
        <v>20</v>
      </c>
      <c r="DJ193">
        <v>17.5</v>
      </c>
      <c r="DK193">
        <v>5</v>
      </c>
      <c r="DL193">
        <v>2.1119999999999997</v>
      </c>
      <c r="DM193">
        <v>30</v>
      </c>
      <c r="DN193">
        <v>3.6800000000000006</v>
      </c>
      <c r="DO193">
        <v>0.88000000000000012</v>
      </c>
      <c r="DP193">
        <v>32</v>
      </c>
      <c r="DQ193">
        <v>32</v>
      </c>
      <c r="DR193">
        <v>32</v>
      </c>
      <c r="DS193">
        <v>1.4269999999999998</v>
      </c>
      <c r="DT193">
        <v>32</v>
      </c>
      <c r="DU193">
        <v>-2.5299999999999998</v>
      </c>
      <c r="DV193">
        <v>0.82000000000000006</v>
      </c>
      <c r="DW193">
        <v>24</v>
      </c>
      <c r="DX193">
        <v>25</v>
      </c>
      <c r="DY193">
        <v>23</v>
      </c>
      <c r="DZ193">
        <v>-5.2080000000000002</v>
      </c>
      <c r="EA193">
        <v>27</v>
      </c>
      <c r="EB193">
        <v>-9.3000000000000007</v>
      </c>
      <c r="EC193">
        <v>0.19000000000000003</v>
      </c>
      <c r="ED193">
        <v>13</v>
      </c>
      <c r="EE193">
        <v>12.5</v>
      </c>
      <c r="EF193">
        <v>12</v>
      </c>
      <c r="EG193">
        <v>-1.8169999999999995</v>
      </c>
      <c r="EH193">
        <v>13</v>
      </c>
      <c r="EI193">
        <v>-4.5699999999999994</v>
      </c>
      <c r="EJ193">
        <v>-0.71</v>
      </c>
      <c r="EK193">
        <v>12</v>
      </c>
      <c r="EL193">
        <v>12</v>
      </c>
      <c r="EM193">
        <v>8</v>
      </c>
      <c r="EN193">
        <v>0.79200000000000093</v>
      </c>
      <c r="EO193">
        <v>16</v>
      </c>
      <c r="EP193">
        <v>-4.4800000000000013</v>
      </c>
      <c r="EQ193">
        <v>1.6800000000000002</v>
      </c>
      <c r="ER193">
        <v>2</v>
      </c>
      <c r="ES193">
        <v>2</v>
      </c>
      <c r="ET193">
        <v>2</v>
      </c>
      <c r="EU193">
        <v>-3.0399999999999996</v>
      </c>
      <c r="EV193">
        <v>2</v>
      </c>
      <c r="EW193">
        <v>-2.6</v>
      </c>
      <c r="EX193">
        <v>-0.12000000000000011</v>
      </c>
      <c r="EY193">
        <v>20</v>
      </c>
      <c r="EZ193">
        <v>21</v>
      </c>
      <c r="FA193">
        <v>25</v>
      </c>
      <c r="FB193">
        <v>0.43999999999999984</v>
      </c>
      <c r="FC193">
        <v>17</v>
      </c>
      <c r="FD193">
        <v>0.31999999999999995</v>
      </c>
      <c r="FE193">
        <v>-0.64</v>
      </c>
      <c r="FF193">
        <v>2</v>
      </c>
      <c r="FG193">
        <v>7.25</v>
      </c>
      <c r="FH193">
        <v>4</v>
      </c>
      <c r="FI193">
        <v>1.6544146213552026E-2</v>
      </c>
      <c r="FJ193">
        <v>13</v>
      </c>
      <c r="FK193">
        <v>-2.223461485304337E-3</v>
      </c>
      <c r="FL193">
        <v>3</v>
      </c>
      <c r="FM193">
        <v>-1.8839999999999961</v>
      </c>
      <c r="FN193">
        <v>9</v>
      </c>
      <c r="FO193">
        <v>1.0000000000000002</v>
      </c>
      <c r="FP193">
        <v>2.0399999999999991</v>
      </c>
      <c r="FQ193">
        <v>4.6800000000000006</v>
      </c>
      <c r="FR193">
        <v>4.0000000000000299E-2</v>
      </c>
      <c r="FS193">
        <v>7.1199999999999974</v>
      </c>
      <c r="FT193">
        <v>0.40000000000000069</v>
      </c>
      <c r="FU193">
        <v>-0.91999999999999993</v>
      </c>
      <c r="FV193">
        <v>26.520000000000003</v>
      </c>
      <c r="FW193">
        <v>-14.999999999999995</v>
      </c>
      <c r="FX193">
        <v>44.92</v>
      </c>
      <c r="FY193">
        <v>-1.72</v>
      </c>
      <c r="FZ193">
        <v>-1.6799999999999997</v>
      </c>
      <c r="GA193">
        <v>32</v>
      </c>
      <c r="GB193">
        <v>-11.540000000000001</v>
      </c>
      <c r="GC193">
        <v>-7.0272000000000006</v>
      </c>
      <c r="GD193">
        <v>-59.919999999999995</v>
      </c>
      <c r="GE193">
        <v>11.540000000000001</v>
      </c>
      <c r="GF193">
        <v>2.5750000000000037E-2</v>
      </c>
      <c r="GG193">
        <v>-5.5979999999999999</v>
      </c>
      <c r="GH193">
        <v>-16.399999999999999</v>
      </c>
      <c r="GI193">
        <v>9.9720000000000013</v>
      </c>
      <c r="GJ193">
        <v>49.800000000000004</v>
      </c>
      <c r="GK193">
        <v>0.17999999999999994</v>
      </c>
      <c r="GL193">
        <v>0.74000000000000021</v>
      </c>
    </row>
    <row r="194" spans="1:194" x14ac:dyDescent="0.2">
      <c r="A194" s="39">
        <v>43758</v>
      </c>
      <c r="B194" s="22" t="s">
        <v>250</v>
      </c>
      <c r="C194" s="41" t="s">
        <v>299</v>
      </c>
      <c r="D194" s="22" t="s">
        <v>312</v>
      </c>
      <c r="E194">
        <v>3.1</v>
      </c>
      <c r="F194" s="14">
        <v>43.3</v>
      </c>
      <c r="G194">
        <v>21.5</v>
      </c>
      <c r="H194">
        <f>6.2+1.7</f>
        <v>7.9</v>
      </c>
      <c r="I194">
        <v>2.5</v>
      </c>
      <c r="J194">
        <v>43.5</v>
      </c>
      <c r="L194" s="1" t="s">
        <v>299</v>
      </c>
      <c r="M194">
        <v>9</v>
      </c>
      <c r="N194">
        <v>2.0368000000000013</v>
      </c>
      <c r="O194">
        <v>28</v>
      </c>
      <c r="P194">
        <v>26</v>
      </c>
      <c r="Q194">
        <v>31</v>
      </c>
      <c r="R194">
        <v>-3.1320000000000001</v>
      </c>
      <c r="S194">
        <v>21</v>
      </c>
      <c r="T194">
        <v>-16.440000000000001</v>
      </c>
      <c r="U194">
        <v>-0.24000000000000005</v>
      </c>
      <c r="V194">
        <v>13</v>
      </c>
      <c r="W194">
        <v>13.5</v>
      </c>
      <c r="X194">
        <v>8</v>
      </c>
      <c r="Y194">
        <v>-2.6439999999999997</v>
      </c>
      <c r="Z194">
        <v>19</v>
      </c>
      <c r="AA194">
        <v>-10.8</v>
      </c>
      <c r="AB194">
        <v>-0.16000000000000009</v>
      </c>
      <c r="AC194">
        <v>5</v>
      </c>
      <c r="AD194">
        <v>5.5</v>
      </c>
      <c r="AE194">
        <v>8</v>
      </c>
      <c r="AF194">
        <v>0.79599999999999971</v>
      </c>
      <c r="AG194">
        <v>3</v>
      </c>
      <c r="AH194">
        <v>2.3599999999999981</v>
      </c>
      <c r="AI194">
        <v>-0.2</v>
      </c>
      <c r="AJ194">
        <v>3</v>
      </c>
      <c r="AK194">
        <v>3.5</v>
      </c>
      <c r="AL194">
        <v>2</v>
      </c>
      <c r="AM194">
        <v>7.7559999999999985</v>
      </c>
      <c r="AN194">
        <v>5</v>
      </c>
      <c r="AO194">
        <v>19.080000000000002</v>
      </c>
      <c r="AP194">
        <v>1.7200000000000002</v>
      </c>
      <c r="AQ194">
        <v>10</v>
      </c>
      <c r="AR194">
        <v>10</v>
      </c>
      <c r="AS194">
        <v>10</v>
      </c>
      <c r="AT194">
        <v>2.6</v>
      </c>
      <c r="AU194">
        <v>10</v>
      </c>
      <c r="AV194">
        <v>20.56</v>
      </c>
      <c r="AW194">
        <v>0.84000000000000008</v>
      </c>
      <c r="AX194">
        <v>9</v>
      </c>
      <c r="AY194">
        <v>10.5</v>
      </c>
      <c r="AZ194">
        <v>13</v>
      </c>
      <c r="BA194">
        <v>5.3000000000000016</v>
      </c>
      <c r="BB194">
        <v>8</v>
      </c>
      <c r="BC194">
        <v>29.4</v>
      </c>
      <c r="BD194">
        <v>1.6799999999999997</v>
      </c>
      <c r="BE194">
        <v>20</v>
      </c>
      <c r="BF194">
        <v>22</v>
      </c>
      <c r="BG194">
        <v>23</v>
      </c>
      <c r="BH194">
        <v>-3.12</v>
      </c>
      <c r="BI194">
        <v>21</v>
      </c>
      <c r="BJ194">
        <v>-17.48</v>
      </c>
      <c r="BK194">
        <v>-0.64000000000000024</v>
      </c>
      <c r="BL194">
        <v>23</v>
      </c>
      <c r="BM194">
        <v>22.5</v>
      </c>
      <c r="BN194">
        <v>20</v>
      </c>
      <c r="BO194">
        <v>3.72</v>
      </c>
      <c r="BP194">
        <v>25</v>
      </c>
      <c r="BQ194">
        <v>0.51999999999999991</v>
      </c>
      <c r="BR194">
        <v>-0.15999999999999998</v>
      </c>
      <c r="BS194">
        <v>5</v>
      </c>
      <c r="BT194">
        <v>9</v>
      </c>
      <c r="BU194">
        <v>6</v>
      </c>
      <c r="BV194">
        <v>-3.8045086315224498E-2</v>
      </c>
      <c r="BW194">
        <v>12</v>
      </c>
      <c r="BX194">
        <v>-1.6498976903959267E-2</v>
      </c>
      <c r="BY194">
        <v>9</v>
      </c>
      <c r="BZ194">
        <v>-10.796000000000001</v>
      </c>
      <c r="CA194">
        <v>9</v>
      </c>
      <c r="CB194">
        <v>-2.04</v>
      </c>
      <c r="CC194">
        <v>-1.0400000000000005</v>
      </c>
      <c r="CD194">
        <v>2.4800000000000004</v>
      </c>
      <c r="CE194">
        <v>0.83999999999999986</v>
      </c>
      <c r="CF194">
        <v>6.8799999999999955</v>
      </c>
      <c r="CG194">
        <v>27.320000000000004</v>
      </c>
      <c r="CH194">
        <v>-11.680000000000001</v>
      </c>
      <c r="CI194">
        <v>-3.44</v>
      </c>
      <c r="CJ194">
        <v>-5.32</v>
      </c>
      <c r="CK194">
        <v>3</v>
      </c>
      <c r="CL194">
        <v>7.8128000000000011</v>
      </c>
      <c r="CM194">
        <v>4.9017599999999995</v>
      </c>
      <c r="CN194">
        <v>39.000000000000007</v>
      </c>
      <c r="CO194">
        <v>-7.8128000000000011</v>
      </c>
      <c r="CP194">
        <v>1.0015999999999998</v>
      </c>
      <c r="CQ194">
        <v>11.151999999999997</v>
      </c>
      <c r="CR194">
        <v>42</v>
      </c>
      <c r="CS194">
        <v>-5.7759999999999998</v>
      </c>
      <c r="CT194">
        <v>-27.240000000000002</v>
      </c>
      <c r="CU194">
        <v>1.7200000000000002</v>
      </c>
      <c r="CV194">
        <v>-0.40000000000000013</v>
      </c>
      <c r="CW194">
        <v>0.15853750000000016</v>
      </c>
      <c r="CX194">
        <v>0.87350000000000028</v>
      </c>
      <c r="CY194" t="s">
        <v>312</v>
      </c>
      <c r="CZ194">
        <v>7</v>
      </c>
      <c r="DA194">
        <v>-0.71039999999999992</v>
      </c>
      <c r="DB194">
        <v>22</v>
      </c>
      <c r="DC194">
        <v>21.5</v>
      </c>
      <c r="DD194">
        <v>22</v>
      </c>
      <c r="DE194">
        <v>-5.5840000000000005</v>
      </c>
      <c r="DF194">
        <v>21</v>
      </c>
      <c r="DG194">
        <v>-3.7399999999999975</v>
      </c>
      <c r="DH194">
        <v>-0.54</v>
      </c>
      <c r="DI194">
        <v>8</v>
      </c>
      <c r="DJ194">
        <v>11</v>
      </c>
      <c r="DK194">
        <v>9</v>
      </c>
      <c r="DL194">
        <v>2.5669999999999997</v>
      </c>
      <c r="DM194">
        <v>13</v>
      </c>
      <c r="DN194">
        <v>-6.26</v>
      </c>
      <c r="DO194">
        <v>4.0000000000000036E-2</v>
      </c>
      <c r="DP194">
        <v>6</v>
      </c>
      <c r="DQ194">
        <v>14.5</v>
      </c>
      <c r="DR194">
        <v>15</v>
      </c>
      <c r="DS194">
        <v>-2.7999999999999046E-2</v>
      </c>
      <c r="DT194">
        <v>14</v>
      </c>
      <c r="DU194">
        <v>0.64000000000000201</v>
      </c>
      <c r="DV194">
        <v>-0.20000000000000018</v>
      </c>
      <c r="DW194">
        <v>4</v>
      </c>
      <c r="DX194">
        <v>5</v>
      </c>
      <c r="DY194">
        <v>3</v>
      </c>
      <c r="DZ194">
        <v>-1.8480000000000003</v>
      </c>
      <c r="EA194">
        <v>7</v>
      </c>
      <c r="EB194">
        <v>-8.08</v>
      </c>
      <c r="EC194">
        <v>0.11999999999999993</v>
      </c>
      <c r="ED194">
        <v>3</v>
      </c>
      <c r="EE194">
        <v>1</v>
      </c>
      <c r="EF194">
        <v>1</v>
      </c>
      <c r="EG194">
        <v>4.1599999999999993</v>
      </c>
      <c r="EH194">
        <v>1</v>
      </c>
      <c r="EI194">
        <v>12.120000000000001</v>
      </c>
      <c r="EJ194">
        <v>1.24</v>
      </c>
      <c r="EK194">
        <v>13</v>
      </c>
      <c r="EL194">
        <v>12.5</v>
      </c>
      <c r="EM194">
        <v>13</v>
      </c>
      <c r="EN194">
        <v>-1.907999999999999</v>
      </c>
      <c r="EO194">
        <v>12</v>
      </c>
      <c r="EP194">
        <v>-13.879999999999999</v>
      </c>
      <c r="EQ194">
        <v>-1.0799999999999996</v>
      </c>
      <c r="ER194">
        <v>18</v>
      </c>
      <c r="ES194">
        <v>16</v>
      </c>
      <c r="ET194">
        <v>20</v>
      </c>
      <c r="EU194">
        <v>-2.1279999999999988</v>
      </c>
      <c r="EV194">
        <v>12</v>
      </c>
      <c r="EW194">
        <v>-6.4</v>
      </c>
      <c r="EX194">
        <v>1.3600000000000005</v>
      </c>
      <c r="EY194">
        <v>11</v>
      </c>
      <c r="EZ194">
        <v>12</v>
      </c>
      <c r="FA194">
        <v>11</v>
      </c>
      <c r="FB194">
        <v>-0.87999999999999989</v>
      </c>
      <c r="FC194">
        <v>13</v>
      </c>
      <c r="FD194">
        <v>4.0000000000000036E-2</v>
      </c>
      <c r="FE194">
        <v>-1.44</v>
      </c>
      <c r="FF194">
        <v>7</v>
      </c>
      <c r="FG194">
        <v>12.25</v>
      </c>
      <c r="FH194">
        <v>19</v>
      </c>
      <c r="FI194">
        <v>3.1735850421121446E-2</v>
      </c>
      <c r="FJ194">
        <v>13</v>
      </c>
      <c r="FK194">
        <v>2.2530934486844813E-2</v>
      </c>
      <c r="FL194">
        <v>1</v>
      </c>
      <c r="FM194">
        <v>-5.851999999999995</v>
      </c>
      <c r="FN194">
        <v>16</v>
      </c>
      <c r="FO194">
        <v>0.36</v>
      </c>
      <c r="FP194">
        <v>0.15999999999999942</v>
      </c>
      <c r="FQ194">
        <v>0.4</v>
      </c>
      <c r="FR194">
        <v>-0.11999999999999993</v>
      </c>
      <c r="FS194">
        <v>1.4800000000000011</v>
      </c>
      <c r="FT194">
        <v>-4.5199999999999996</v>
      </c>
      <c r="FU194">
        <v>-1.9599999999999997</v>
      </c>
      <c r="FV194">
        <v>-22.8</v>
      </c>
      <c r="FW194">
        <v>-8.7600000000000016</v>
      </c>
      <c r="FX194">
        <v>-3.3999999999999986</v>
      </c>
      <c r="FY194">
        <v>-8.36</v>
      </c>
      <c r="FZ194">
        <v>-2.2800000000000002</v>
      </c>
      <c r="GA194">
        <v>10</v>
      </c>
      <c r="GB194">
        <v>2.3066000000000009</v>
      </c>
      <c r="GC194">
        <v>1.3976200000000005</v>
      </c>
      <c r="GD194">
        <v>-5.360000000000003</v>
      </c>
      <c r="GE194">
        <v>-2.3066000000000009</v>
      </c>
      <c r="GF194">
        <v>-0.55642499999999995</v>
      </c>
      <c r="GG194">
        <v>2.2839999999999998</v>
      </c>
      <c r="GH194">
        <v>4.6800000000000033</v>
      </c>
      <c r="GI194">
        <v>-3.0170000000000008</v>
      </c>
      <c r="GJ194">
        <v>-9.9999999999999964</v>
      </c>
      <c r="GK194">
        <v>2.5200000000000005</v>
      </c>
      <c r="GL194">
        <v>-0.5</v>
      </c>
    </row>
    <row r="195" spans="1:194" x14ac:dyDescent="0.2">
      <c r="A195" s="39">
        <v>43758</v>
      </c>
      <c r="B195" s="22" t="s">
        <v>250</v>
      </c>
      <c r="C195" s="41" t="s">
        <v>300</v>
      </c>
      <c r="D195" s="22" t="s">
        <v>303</v>
      </c>
      <c r="E195" s="3">
        <v>24.3</v>
      </c>
      <c r="F195" s="30">
        <v>7.3</v>
      </c>
      <c r="G195" s="3">
        <v>7.2</v>
      </c>
      <c r="H195">
        <v>16.5</v>
      </c>
      <c r="I195">
        <v>-5.5</v>
      </c>
      <c r="J195">
        <v>48</v>
      </c>
      <c r="L195" s="1" t="s">
        <v>300</v>
      </c>
      <c r="M195">
        <v>11</v>
      </c>
      <c r="N195">
        <v>1.3784000000000003</v>
      </c>
      <c r="O195">
        <v>22</v>
      </c>
      <c r="P195">
        <v>21.5</v>
      </c>
      <c r="Q195">
        <v>14</v>
      </c>
      <c r="R195">
        <v>8.5719999999999992</v>
      </c>
      <c r="S195">
        <v>29</v>
      </c>
      <c r="T195">
        <v>5.2799999999999994</v>
      </c>
      <c r="U195">
        <v>1.4999999999999998</v>
      </c>
      <c r="V195">
        <v>2</v>
      </c>
      <c r="W195">
        <v>4</v>
      </c>
      <c r="X195">
        <v>4</v>
      </c>
      <c r="Y195">
        <v>3.3160000000000003</v>
      </c>
      <c r="Z195">
        <v>4</v>
      </c>
      <c r="AA195">
        <v>17.080000000000002</v>
      </c>
      <c r="AB195">
        <v>0.40000000000000008</v>
      </c>
      <c r="AC195">
        <v>3</v>
      </c>
      <c r="AD195">
        <v>3.5</v>
      </c>
      <c r="AE195">
        <v>5</v>
      </c>
      <c r="AF195">
        <v>7.9999999999999363E-2</v>
      </c>
      <c r="AG195">
        <v>2</v>
      </c>
      <c r="AH195">
        <v>21.759999999999998</v>
      </c>
      <c r="AI195">
        <v>-0.43999999999999984</v>
      </c>
      <c r="AJ195">
        <v>16</v>
      </c>
      <c r="AK195">
        <v>17</v>
      </c>
      <c r="AL195">
        <v>17</v>
      </c>
      <c r="AM195">
        <v>-1.8480000000000014</v>
      </c>
      <c r="AN195">
        <v>17</v>
      </c>
      <c r="AO195">
        <v>-8.4000000000000021</v>
      </c>
      <c r="AP195">
        <v>4.0000000000000216E-2</v>
      </c>
      <c r="AQ195">
        <v>20</v>
      </c>
      <c r="AR195">
        <v>19</v>
      </c>
      <c r="AS195">
        <v>18</v>
      </c>
      <c r="AT195">
        <v>1.7760000000000005</v>
      </c>
      <c r="AU195">
        <v>20</v>
      </c>
      <c r="AV195">
        <v>2.0799999999999996</v>
      </c>
      <c r="AW195">
        <v>-0.52</v>
      </c>
      <c r="AX195">
        <v>18</v>
      </c>
      <c r="AY195">
        <v>17</v>
      </c>
      <c r="AZ195">
        <v>12</v>
      </c>
      <c r="BA195">
        <v>3.4040000000000021</v>
      </c>
      <c r="BB195">
        <v>22</v>
      </c>
      <c r="BC195">
        <v>8.4399999999999977</v>
      </c>
      <c r="BD195">
        <v>-0.4</v>
      </c>
      <c r="BE195">
        <v>27</v>
      </c>
      <c r="BF195">
        <v>27</v>
      </c>
      <c r="BG195">
        <v>26</v>
      </c>
      <c r="BH195">
        <v>-0.96000000000000019</v>
      </c>
      <c r="BI195">
        <v>28</v>
      </c>
      <c r="BJ195">
        <v>-1.5199999999999989</v>
      </c>
      <c r="BK195">
        <v>-0.8</v>
      </c>
      <c r="BL195">
        <v>31</v>
      </c>
      <c r="BM195">
        <v>31</v>
      </c>
      <c r="BN195">
        <v>30</v>
      </c>
      <c r="BO195">
        <v>1.4000000000000001</v>
      </c>
      <c r="BP195">
        <v>32</v>
      </c>
      <c r="BQ195">
        <v>-0.16000000000000006</v>
      </c>
      <c r="BR195">
        <v>0.76000000000000012</v>
      </c>
      <c r="BS195">
        <v>16</v>
      </c>
      <c r="BT195">
        <v>14.5</v>
      </c>
      <c r="BU195">
        <v>17</v>
      </c>
      <c r="BV195">
        <v>3.4258156889234039E-2</v>
      </c>
      <c r="BW195">
        <v>14</v>
      </c>
      <c r="BX195">
        <v>-2.6293805378768288E-2</v>
      </c>
      <c r="BY195">
        <v>3</v>
      </c>
      <c r="BZ195">
        <v>12.483999999999996</v>
      </c>
      <c r="CA195">
        <v>24</v>
      </c>
      <c r="CB195">
        <v>-3.6399999999999997</v>
      </c>
      <c r="CC195">
        <v>2.2800000000000011</v>
      </c>
      <c r="CD195">
        <v>6.6400000000000006</v>
      </c>
      <c r="CE195">
        <v>-0.83999999999999986</v>
      </c>
      <c r="CF195">
        <v>42.2</v>
      </c>
      <c r="CG195">
        <v>28.160000000000007</v>
      </c>
      <c r="CH195">
        <v>16.32</v>
      </c>
      <c r="CI195">
        <v>-3.0400000000000005</v>
      </c>
      <c r="CJ195">
        <v>0.76000000000000101</v>
      </c>
      <c r="CK195">
        <v>31</v>
      </c>
      <c r="CL195">
        <v>-10.509599999999999</v>
      </c>
      <c r="CM195">
        <v>-5.8587199999999999</v>
      </c>
      <c r="CN195">
        <v>11.840000000000007</v>
      </c>
      <c r="CO195">
        <v>10.509599999999999</v>
      </c>
      <c r="CP195">
        <v>1.7142999999999999</v>
      </c>
      <c r="CQ195">
        <v>7.9999999999984528E-3</v>
      </c>
      <c r="CR195">
        <v>15.439999999999996</v>
      </c>
      <c r="CS195">
        <v>11.888</v>
      </c>
      <c r="CT195">
        <v>22.36</v>
      </c>
      <c r="CU195">
        <v>-1.7199999999999998</v>
      </c>
      <c r="CV195">
        <v>1.9</v>
      </c>
      <c r="CW195">
        <v>0.51675000000000026</v>
      </c>
      <c r="CX195">
        <v>-0.60919999999999963</v>
      </c>
      <c r="CY195" t="s">
        <v>303</v>
      </c>
      <c r="CZ195">
        <v>13</v>
      </c>
      <c r="DA195">
        <v>7.2295999999999996</v>
      </c>
      <c r="DB195">
        <v>13</v>
      </c>
      <c r="DC195">
        <v>12</v>
      </c>
      <c r="DD195">
        <v>10</v>
      </c>
      <c r="DE195">
        <v>-2.8079999999999989</v>
      </c>
      <c r="DF195">
        <v>14</v>
      </c>
      <c r="DG195">
        <v>-12.88</v>
      </c>
      <c r="DH195">
        <v>-0.83999999999999986</v>
      </c>
      <c r="DI195">
        <v>6</v>
      </c>
      <c r="DJ195">
        <v>8.5</v>
      </c>
      <c r="DK195">
        <v>6</v>
      </c>
      <c r="DL195">
        <v>2.0200000000000005</v>
      </c>
      <c r="DM195">
        <v>11</v>
      </c>
      <c r="DN195">
        <v>-4.2799999999999994</v>
      </c>
      <c r="DO195">
        <v>0.8</v>
      </c>
      <c r="DP195">
        <v>18</v>
      </c>
      <c r="DQ195">
        <v>25</v>
      </c>
      <c r="DR195">
        <v>25</v>
      </c>
      <c r="DS195">
        <v>3.112000000000001</v>
      </c>
      <c r="DT195">
        <v>25</v>
      </c>
      <c r="DU195">
        <v>9.8399999999999981</v>
      </c>
      <c r="DV195">
        <v>-0.87999999999999967</v>
      </c>
      <c r="DW195">
        <v>9</v>
      </c>
      <c r="DX195">
        <v>10</v>
      </c>
      <c r="DY195">
        <v>11</v>
      </c>
      <c r="DZ195">
        <v>0.4719999999999992</v>
      </c>
      <c r="EA195">
        <v>9</v>
      </c>
      <c r="EB195">
        <v>5.9200000000000017</v>
      </c>
      <c r="EC195">
        <v>-0.36</v>
      </c>
      <c r="ED195">
        <v>25</v>
      </c>
      <c r="EE195">
        <v>32</v>
      </c>
      <c r="EF195">
        <v>32</v>
      </c>
      <c r="EG195">
        <v>0.12400000000000055</v>
      </c>
      <c r="EH195">
        <v>32</v>
      </c>
      <c r="EI195">
        <v>-0.56000000000000083</v>
      </c>
      <c r="EJ195">
        <v>-0.2</v>
      </c>
      <c r="EK195">
        <v>31</v>
      </c>
      <c r="EL195">
        <v>31</v>
      </c>
      <c r="EM195">
        <v>31</v>
      </c>
      <c r="EN195">
        <v>9.0400000000000009</v>
      </c>
      <c r="EO195">
        <v>31</v>
      </c>
      <c r="EP195">
        <v>41.6</v>
      </c>
      <c r="EQ195">
        <v>3.0800000000000005</v>
      </c>
      <c r="ER195">
        <v>22</v>
      </c>
      <c r="ES195">
        <v>23.5</v>
      </c>
      <c r="ET195">
        <v>26</v>
      </c>
      <c r="EU195">
        <v>4.7519999999999998</v>
      </c>
      <c r="EV195">
        <v>21</v>
      </c>
      <c r="EW195">
        <v>12</v>
      </c>
      <c r="EX195">
        <v>0.24000000000000005</v>
      </c>
      <c r="EY195">
        <v>27</v>
      </c>
      <c r="EZ195">
        <v>25.5</v>
      </c>
      <c r="FA195">
        <v>22</v>
      </c>
      <c r="FB195">
        <v>-1.7600000000000002</v>
      </c>
      <c r="FC195">
        <v>29</v>
      </c>
      <c r="FD195">
        <v>-1.1599999999999999</v>
      </c>
      <c r="FE195">
        <v>-1.7200000000000002</v>
      </c>
      <c r="FF195">
        <v>10</v>
      </c>
      <c r="FG195">
        <v>13.25</v>
      </c>
      <c r="FH195">
        <v>12</v>
      </c>
      <c r="FI195">
        <v>-6.5847694695701967E-2</v>
      </c>
      <c r="FJ195">
        <v>11</v>
      </c>
      <c r="FK195">
        <v>-3.5669368567934944E-3</v>
      </c>
      <c r="FL195">
        <v>12</v>
      </c>
      <c r="FM195">
        <v>8.3520000000000021</v>
      </c>
      <c r="FN195">
        <v>18</v>
      </c>
      <c r="FO195">
        <v>-1.64</v>
      </c>
      <c r="FP195">
        <v>-0.99999999999999856</v>
      </c>
      <c r="FQ195">
        <v>-1.2000000000000006</v>
      </c>
      <c r="FR195">
        <v>0.55999999999999994</v>
      </c>
      <c r="FS195">
        <v>-2.4000000000000012</v>
      </c>
      <c r="FT195">
        <v>6.24</v>
      </c>
      <c r="FU195">
        <v>-1</v>
      </c>
      <c r="FV195">
        <v>20.639999999999997</v>
      </c>
      <c r="FW195">
        <v>43.440000000000012</v>
      </c>
      <c r="FX195">
        <v>-15.76</v>
      </c>
      <c r="FY195">
        <v>-4.68</v>
      </c>
      <c r="FZ195">
        <v>-2.3600000000000003</v>
      </c>
      <c r="GA195">
        <v>3</v>
      </c>
      <c r="GB195">
        <v>8.0175999999999981</v>
      </c>
      <c r="GC195">
        <v>3.5319199999999991</v>
      </c>
      <c r="GD195">
        <v>59.20000000000001</v>
      </c>
      <c r="GE195">
        <v>-8.0175999999999981</v>
      </c>
      <c r="GF195">
        <v>1.6427000000000003</v>
      </c>
      <c r="GG195">
        <v>3.7080000000000006</v>
      </c>
      <c r="GH195">
        <v>15.2</v>
      </c>
      <c r="GI195">
        <v>-0.78799999999999848</v>
      </c>
      <c r="GJ195">
        <v>-17.16</v>
      </c>
      <c r="GK195">
        <v>-1.1999999999999997</v>
      </c>
      <c r="GL195">
        <v>-3.9999999999999813E-2</v>
      </c>
    </row>
    <row r="196" spans="1:194" x14ac:dyDescent="0.2">
      <c r="A196" s="39">
        <v>43758</v>
      </c>
      <c r="B196" s="22" t="s">
        <v>250</v>
      </c>
      <c r="C196" s="41" t="s">
        <v>311</v>
      </c>
      <c r="D196" s="22" t="s">
        <v>289</v>
      </c>
      <c r="E196">
        <v>28.6</v>
      </c>
      <c r="F196">
        <v>17.5</v>
      </c>
      <c r="G196">
        <v>11.9</v>
      </c>
      <c r="H196">
        <f>4.7+3.7</f>
        <v>8.4</v>
      </c>
      <c r="I196">
        <v>1.5</v>
      </c>
      <c r="J196">
        <v>46.5</v>
      </c>
      <c r="L196" s="1" t="s">
        <v>311</v>
      </c>
      <c r="M196">
        <v>3</v>
      </c>
      <c r="N196">
        <v>6.3128000000000002</v>
      </c>
      <c r="O196">
        <v>22</v>
      </c>
      <c r="P196">
        <v>21.5</v>
      </c>
      <c r="Q196">
        <v>30</v>
      </c>
      <c r="R196">
        <v>-5.8759999999999994</v>
      </c>
      <c r="S196">
        <v>13</v>
      </c>
      <c r="T196">
        <v>-4.1599999999999993</v>
      </c>
      <c r="U196">
        <v>-2.2000000000000002</v>
      </c>
      <c r="V196">
        <v>8</v>
      </c>
      <c r="W196">
        <v>9.5</v>
      </c>
      <c r="X196">
        <v>3</v>
      </c>
      <c r="Y196">
        <v>0.81600000000000072</v>
      </c>
      <c r="Z196">
        <v>16</v>
      </c>
      <c r="AA196">
        <v>9.7600000000000016</v>
      </c>
      <c r="AB196">
        <v>-8.0000000000000071E-2</v>
      </c>
      <c r="AC196">
        <v>2</v>
      </c>
      <c r="AD196">
        <v>2.5</v>
      </c>
      <c r="AE196">
        <v>1</v>
      </c>
      <c r="AF196">
        <v>-1.0239999999999998</v>
      </c>
      <c r="AG196">
        <v>4</v>
      </c>
      <c r="AH196">
        <v>-1.3599999999999994</v>
      </c>
      <c r="AI196">
        <v>0.76000000000000012</v>
      </c>
      <c r="AJ196">
        <v>15</v>
      </c>
      <c r="AK196">
        <v>15</v>
      </c>
      <c r="AL196">
        <v>16</v>
      </c>
      <c r="AM196">
        <v>3.276000000000002</v>
      </c>
      <c r="AN196">
        <v>14</v>
      </c>
      <c r="AO196">
        <v>7.8400000000000007</v>
      </c>
      <c r="AP196">
        <v>2.2800000000000002</v>
      </c>
      <c r="AQ196">
        <v>21</v>
      </c>
      <c r="AR196">
        <v>21</v>
      </c>
      <c r="AS196">
        <v>21</v>
      </c>
      <c r="AT196">
        <v>4.2120000000000006</v>
      </c>
      <c r="AU196">
        <v>21</v>
      </c>
      <c r="AV196">
        <v>29.679999999999996</v>
      </c>
      <c r="AW196">
        <v>0.96</v>
      </c>
      <c r="AX196">
        <v>17</v>
      </c>
      <c r="AY196">
        <v>16.5</v>
      </c>
      <c r="AZ196">
        <v>21</v>
      </c>
      <c r="BA196">
        <v>0.56000000000000016</v>
      </c>
      <c r="BB196">
        <v>12</v>
      </c>
      <c r="BC196">
        <v>14.8</v>
      </c>
      <c r="BD196">
        <v>0.99999999999999967</v>
      </c>
      <c r="BE196">
        <v>11</v>
      </c>
      <c r="BF196">
        <v>12</v>
      </c>
      <c r="BG196">
        <v>11</v>
      </c>
      <c r="BH196">
        <v>5.9240000000000022</v>
      </c>
      <c r="BI196">
        <v>13</v>
      </c>
      <c r="BJ196">
        <v>16.96</v>
      </c>
      <c r="BK196">
        <v>0.4799999999999997</v>
      </c>
      <c r="BL196">
        <v>22</v>
      </c>
      <c r="BM196">
        <v>20.5</v>
      </c>
      <c r="BN196">
        <v>22</v>
      </c>
      <c r="BO196">
        <v>-0.6000000000000002</v>
      </c>
      <c r="BP196">
        <v>19</v>
      </c>
      <c r="BQ196">
        <v>-8.0000000000000029E-2</v>
      </c>
      <c r="BR196">
        <v>2.0000000000000004</v>
      </c>
      <c r="BS196">
        <v>20</v>
      </c>
      <c r="BT196">
        <v>17.5</v>
      </c>
      <c r="BU196">
        <v>1</v>
      </c>
      <c r="BV196">
        <v>1.6330151421233324E-2</v>
      </c>
      <c r="BW196">
        <v>24</v>
      </c>
      <c r="BX196">
        <v>-3.5754874068989776E-3</v>
      </c>
      <c r="BY196">
        <v>15</v>
      </c>
      <c r="BZ196">
        <v>1.1080000000000028</v>
      </c>
      <c r="CA196">
        <v>30</v>
      </c>
      <c r="CB196">
        <v>-1.64</v>
      </c>
      <c r="CC196">
        <v>0.7600000000000009</v>
      </c>
      <c r="CD196">
        <v>3.16</v>
      </c>
      <c r="CE196">
        <v>0.55999999999999983</v>
      </c>
      <c r="CF196">
        <v>26.880000000000006</v>
      </c>
      <c r="CG196">
        <v>21.719999999999992</v>
      </c>
      <c r="CH196">
        <v>0.24000000000000057</v>
      </c>
      <c r="CI196">
        <v>-0.72</v>
      </c>
      <c r="CJ196">
        <v>5.64</v>
      </c>
      <c r="CK196">
        <v>1</v>
      </c>
      <c r="CL196">
        <v>11.3728</v>
      </c>
      <c r="CM196">
        <v>6.2701600000000006</v>
      </c>
      <c r="CN196">
        <v>21.47999999999999</v>
      </c>
      <c r="CO196">
        <v>-11.372799999999998</v>
      </c>
      <c r="CP196">
        <v>1.6301000000000008</v>
      </c>
      <c r="CQ196">
        <v>6.4640000000000031</v>
      </c>
      <c r="CR196">
        <v>36.159999999999997</v>
      </c>
      <c r="CS196">
        <v>-5.0599999999999987</v>
      </c>
      <c r="CT196">
        <v>5.6000000000000023</v>
      </c>
      <c r="CU196">
        <v>4.4799999999999995</v>
      </c>
      <c r="CV196">
        <v>-2.2800000000000002</v>
      </c>
      <c r="CW196">
        <v>-0.91494999999999993</v>
      </c>
      <c r="CX196">
        <v>-0.9337000000000002</v>
      </c>
      <c r="CY196" t="s">
        <v>289</v>
      </c>
      <c r="CZ196">
        <v>25</v>
      </c>
      <c r="DA196">
        <v>-2.6296000000000004</v>
      </c>
      <c r="DB196">
        <v>20</v>
      </c>
      <c r="DC196">
        <v>21</v>
      </c>
      <c r="DD196">
        <v>17</v>
      </c>
      <c r="DE196">
        <v>-3.4560000000000008</v>
      </c>
      <c r="DF196">
        <v>25</v>
      </c>
      <c r="DG196">
        <v>-0.63999999999999913</v>
      </c>
      <c r="DH196">
        <v>-0.2</v>
      </c>
      <c r="DI196">
        <v>16</v>
      </c>
      <c r="DJ196">
        <v>16.5</v>
      </c>
      <c r="DK196">
        <v>26</v>
      </c>
      <c r="DL196">
        <v>-3.056</v>
      </c>
      <c r="DM196">
        <v>7</v>
      </c>
      <c r="DN196">
        <v>-8.68</v>
      </c>
      <c r="DO196">
        <v>-1.3599999999999999</v>
      </c>
      <c r="DP196">
        <v>24</v>
      </c>
      <c r="DQ196">
        <v>20</v>
      </c>
      <c r="DR196">
        <v>21</v>
      </c>
      <c r="DS196">
        <v>7.1320000000000023</v>
      </c>
      <c r="DT196">
        <v>19</v>
      </c>
      <c r="DU196">
        <v>22.560000000000002</v>
      </c>
      <c r="DV196">
        <v>1.1200000000000001</v>
      </c>
      <c r="DW196">
        <v>5</v>
      </c>
      <c r="DX196">
        <v>5.5</v>
      </c>
      <c r="DY196">
        <v>7</v>
      </c>
      <c r="DZ196">
        <v>-6.0239999999999991</v>
      </c>
      <c r="EA196">
        <v>4</v>
      </c>
      <c r="EB196">
        <v>-19.04</v>
      </c>
      <c r="EC196">
        <v>-2.2800000000000002</v>
      </c>
      <c r="ED196">
        <v>29</v>
      </c>
      <c r="EE196">
        <v>26</v>
      </c>
      <c r="EF196">
        <v>24</v>
      </c>
      <c r="EG196">
        <v>2.3280000000000003</v>
      </c>
      <c r="EH196">
        <v>28</v>
      </c>
      <c r="EI196">
        <v>-1.4000000000000004</v>
      </c>
      <c r="EJ196">
        <v>-0.6</v>
      </c>
      <c r="EK196">
        <v>17</v>
      </c>
      <c r="EL196">
        <v>16.5</v>
      </c>
      <c r="EM196">
        <v>15</v>
      </c>
      <c r="EN196">
        <v>-0.92000000000000104</v>
      </c>
      <c r="EO196">
        <v>18</v>
      </c>
      <c r="EP196">
        <v>-5.6000000000000032</v>
      </c>
      <c r="EQ196">
        <v>-0.55999999999999983</v>
      </c>
      <c r="ER196">
        <v>27</v>
      </c>
      <c r="ES196">
        <v>26</v>
      </c>
      <c r="ET196">
        <v>27</v>
      </c>
      <c r="EU196">
        <v>-3.1040000000000001</v>
      </c>
      <c r="EV196">
        <v>25</v>
      </c>
      <c r="EW196">
        <v>-21.159999999999997</v>
      </c>
      <c r="EX196">
        <v>-0.76</v>
      </c>
      <c r="EY196">
        <v>5</v>
      </c>
      <c r="EZ196">
        <v>4.5</v>
      </c>
      <c r="FA196">
        <v>5</v>
      </c>
      <c r="FB196">
        <v>1.64</v>
      </c>
      <c r="FC196">
        <v>4</v>
      </c>
      <c r="FD196">
        <v>0.27999999999999997</v>
      </c>
      <c r="FE196">
        <v>-0.47999999999999987</v>
      </c>
      <c r="FF196">
        <v>28</v>
      </c>
      <c r="FG196">
        <v>23</v>
      </c>
      <c r="FH196">
        <v>27</v>
      </c>
      <c r="FI196">
        <v>-4.7124176658283725E-3</v>
      </c>
      <c r="FJ196">
        <v>18</v>
      </c>
      <c r="FK196">
        <v>1.9313187677867133E-3</v>
      </c>
      <c r="FL196">
        <v>26</v>
      </c>
      <c r="FM196">
        <v>0.39599999999999935</v>
      </c>
      <c r="FN196">
        <v>21</v>
      </c>
      <c r="FO196">
        <v>-0.79999999999999982</v>
      </c>
      <c r="FP196">
        <v>-2.6800000000000006</v>
      </c>
      <c r="FQ196">
        <v>-2.3199999999999994</v>
      </c>
      <c r="FR196">
        <v>-0.92000000000000015</v>
      </c>
      <c r="FS196">
        <v>-4.6800000000000015</v>
      </c>
      <c r="FT196">
        <v>-1.3599999999999999</v>
      </c>
      <c r="FU196">
        <v>0.55999999999999994</v>
      </c>
      <c r="FV196">
        <v>-23.76</v>
      </c>
      <c r="FW196">
        <v>-27.639999999999993</v>
      </c>
      <c r="FX196">
        <v>-8.64</v>
      </c>
      <c r="FY196">
        <v>10.959999999999999</v>
      </c>
      <c r="FZ196">
        <v>1.56</v>
      </c>
      <c r="GA196">
        <v>7</v>
      </c>
      <c r="GB196">
        <v>3.8824000000000005</v>
      </c>
      <c r="GC196">
        <v>2.7964800000000007</v>
      </c>
      <c r="GD196">
        <v>-18.999999999999993</v>
      </c>
      <c r="GE196">
        <v>-3.8824000000000001</v>
      </c>
      <c r="GF196">
        <v>-0.89619999999999955</v>
      </c>
      <c r="GG196">
        <v>3.4360000000000035</v>
      </c>
      <c r="GH196">
        <v>2.1200000000000028</v>
      </c>
      <c r="GI196">
        <v>-6.5120000000000005</v>
      </c>
      <c r="GJ196">
        <v>-9.3199999999999985</v>
      </c>
      <c r="GK196">
        <v>-2.5200000000000005</v>
      </c>
      <c r="GL196">
        <v>-1.5599999999999998</v>
      </c>
    </row>
    <row r="197" spans="1:194" x14ac:dyDescent="0.2">
      <c r="A197" s="39">
        <v>43758</v>
      </c>
      <c r="B197" s="22" t="s">
        <v>250</v>
      </c>
      <c r="C197" s="41" t="s">
        <v>289</v>
      </c>
      <c r="D197" s="22" t="s">
        <v>311</v>
      </c>
      <c r="E197">
        <v>19.399999999999999</v>
      </c>
      <c r="F197">
        <v>31.6</v>
      </c>
      <c r="G197">
        <v>4.4000000000000004</v>
      </c>
      <c r="H197">
        <v>22.1</v>
      </c>
      <c r="I197">
        <v>-1.5</v>
      </c>
      <c r="J197">
        <v>46.5</v>
      </c>
      <c r="L197" s="4" t="s">
        <v>289</v>
      </c>
      <c r="M197" s="3">
        <v>17</v>
      </c>
      <c r="N197" s="3">
        <v>-0.67360000000000009</v>
      </c>
      <c r="O197" s="3">
        <v>11</v>
      </c>
      <c r="P197" s="3">
        <v>11.5</v>
      </c>
      <c r="Q197" s="3">
        <v>19</v>
      </c>
      <c r="R197" s="3">
        <v>-4.8279999999999985</v>
      </c>
      <c r="S197" s="3">
        <v>4</v>
      </c>
      <c r="T197" s="3">
        <v>4.4000000000000004</v>
      </c>
      <c r="U197" s="3">
        <v>-1.52</v>
      </c>
      <c r="V197" s="3">
        <v>23</v>
      </c>
      <c r="W197" s="3">
        <v>20.5</v>
      </c>
      <c r="X197" s="3">
        <v>18</v>
      </c>
      <c r="Y197" s="3">
        <v>-1.4359999999999993</v>
      </c>
      <c r="Z197" s="3">
        <v>23</v>
      </c>
      <c r="AA197">
        <v>-15.64</v>
      </c>
      <c r="AB197">
        <v>0.59999999999999987</v>
      </c>
      <c r="AC197">
        <v>18</v>
      </c>
      <c r="AD197">
        <v>18</v>
      </c>
      <c r="AE197">
        <v>21</v>
      </c>
      <c r="AF197">
        <v>-1.2480000000000016</v>
      </c>
      <c r="AG197">
        <v>15</v>
      </c>
      <c r="AH197">
        <v>-7.7600000000000007</v>
      </c>
      <c r="AI197">
        <v>0.11999999999999975</v>
      </c>
      <c r="AJ197">
        <v>18</v>
      </c>
      <c r="AK197">
        <v>18.5</v>
      </c>
      <c r="AL197">
        <v>14</v>
      </c>
      <c r="AM197">
        <v>1.1040000000000012</v>
      </c>
      <c r="AN197">
        <v>23</v>
      </c>
      <c r="AO197">
        <v>-10.919999999999998</v>
      </c>
      <c r="AP197">
        <v>-1.8800000000000001</v>
      </c>
      <c r="AQ197">
        <v>22</v>
      </c>
      <c r="AR197">
        <v>22</v>
      </c>
      <c r="AS197">
        <v>22</v>
      </c>
      <c r="AT197">
        <v>-1.8519999999999996</v>
      </c>
      <c r="AU197">
        <v>22</v>
      </c>
      <c r="AV197">
        <v>-15.88</v>
      </c>
      <c r="AW197">
        <v>2.84</v>
      </c>
      <c r="AX197">
        <v>12</v>
      </c>
      <c r="AY197">
        <v>12</v>
      </c>
      <c r="AZ197">
        <v>14</v>
      </c>
      <c r="BA197">
        <v>1.9520000000000006</v>
      </c>
      <c r="BB197">
        <v>10</v>
      </c>
      <c r="BC197">
        <v>0.72000000000000175</v>
      </c>
      <c r="BD197">
        <v>-1.1600000000000006</v>
      </c>
      <c r="BE197">
        <v>7</v>
      </c>
      <c r="BF197">
        <v>6.5</v>
      </c>
      <c r="BG197">
        <v>8</v>
      </c>
      <c r="BH197">
        <v>4.3120000000000021</v>
      </c>
      <c r="BI197">
        <v>5</v>
      </c>
      <c r="BJ197">
        <v>15.640000000000004</v>
      </c>
      <c r="BK197">
        <v>1.4</v>
      </c>
      <c r="BL197">
        <v>19</v>
      </c>
      <c r="BM197">
        <v>19.5</v>
      </c>
      <c r="BN197">
        <v>24</v>
      </c>
      <c r="BO197">
        <v>-0.92000000000000026</v>
      </c>
      <c r="BP197">
        <v>15</v>
      </c>
      <c r="BQ197">
        <v>-4.0000000000000036E-2</v>
      </c>
      <c r="BR197">
        <v>-0.79999999999999982</v>
      </c>
      <c r="BS197">
        <v>3</v>
      </c>
      <c r="BT197">
        <v>7.75</v>
      </c>
      <c r="BU197">
        <v>4</v>
      </c>
      <c r="BV197">
        <v>1.8565830413906498E-2</v>
      </c>
      <c r="BW197">
        <v>8</v>
      </c>
      <c r="BX197">
        <v>-2.2830842537296763E-2</v>
      </c>
      <c r="BY197">
        <v>13</v>
      </c>
      <c r="BZ197">
        <v>-5.2719999999999985</v>
      </c>
      <c r="CA197">
        <v>6</v>
      </c>
      <c r="CB197">
        <v>-0.47999999999999987</v>
      </c>
      <c r="CC197">
        <v>2.7200000000000033</v>
      </c>
      <c r="CD197">
        <v>-0.64000000000000057</v>
      </c>
      <c r="CE197">
        <v>0.12000000000000002</v>
      </c>
      <c r="CF197">
        <v>-28.599999999999987</v>
      </c>
      <c r="CG197">
        <v>-32.239999999999995</v>
      </c>
      <c r="CH197">
        <v>7.7199999999999989</v>
      </c>
      <c r="CI197">
        <v>0.7599999999999999</v>
      </c>
      <c r="CJ197">
        <v>-4.8400000000000007</v>
      </c>
      <c r="CK197">
        <v>5</v>
      </c>
      <c r="CL197">
        <v>5.5903999999999971</v>
      </c>
      <c r="CM197">
        <v>3.4604799999999991</v>
      </c>
      <c r="CN197">
        <v>-39.959999999999994</v>
      </c>
      <c r="CO197">
        <v>-5.5903999999999971</v>
      </c>
      <c r="CP197">
        <v>-0.69269999999999954</v>
      </c>
      <c r="CQ197">
        <v>-1.996</v>
      </c>
      <c r="CR197">
        <v>-34.56</v>
      </c>
      <c r="CS197">
        <v>-6.2639999999999976</v>
      </c>
      <c r="CT197">
        <v>-11.24</v>
      </c>
      <c r="CU197">
        <v>2.4799999999999995</v>
      </c>
      <c r="CV197">
        <v>-0.92000000000000015</v>
      </c>
      <c r="CW197">
        <v>-0.91494999999999993</v>
      </c>
      <c r="CX197">
        <v>-0.89619999999999955</v>
      </c>
      <c r="CY197" t="s">
        <v>311</v>
      </c>
      <c r="CZ197">
        <v>6</v>
      </c>
      <c r="DA197">
        <v>5.4399999999998269E-2</v>
      </c>
      <c r="DB197">
        <v>27</v>
      </c>
      <c r="DC197">
        <v>24</v>
      </c>
      <c r="DD197">
        <v>18</v>
      </c>
      <c r="DE197">
        <v>-2.0600000000000018</v>
      </c>
      <c r="DF197">
        <v>30</v>
      </c>
      <c r="DG197">
        <v>-21.52</v>
      </c>
      <c r="DH197">
        <v>4.0000000000000126E-2</v>
      </c>
      <c r="DI197">
        <v>1</v>
      </c>
      <c r="DJ197">
        <v>1</v>
      </c>
      <c r="DK197">
        <v>1</v>
      </c>
      <c r="DL197">
        <v>-0.9</v>
      </c>
      <c r="DM197">
        <v>1</v>
      </c>
      <c r="DN197">
        <v>-1.8000000000000003</v>
      </c>
      <c r="DO197">
        <v>0.36000000000000004</v>
      </c>
      <c r="DP197">
        <v>15</v>
      </c>
      <c r="DQ197">
        <v>11.5</v>
      </c>
      <c r="DR197">
        <v>11</v>
      </c>
      <c r="DS197">
        <v>2.3080000000000007</v>
      </c>
      <c r="DT197">
        <v>12</v>
      </c>
      <c r="DU197">
        <v>-0.32000000000000028</v>
      </c>
      <c r="DV197">
        <v>0.16000000000000014</v>
      </c>
      <c r="DW197">
        <v>23</v>
      </c>
      <c r="DX197">
        <v>23</v>
      </c>
      <c r="DY197">
        <v>25</v>
      </c>
      <c r="DZ197">
        <v>-2.2719999999999998</v>
      </c>
      <c r="EA197">
        <v>21</v>
      </c>
      <c r="EB197">
        <v>-11.080000000000002</v>
      </c>
      <c r="EC197">
        <v>-8.0000000000000071E-2</v>
      </c>
      <c r="ED197">
        <v>10</v>
      </c>
      <c r="EE197">
        <v>8.5</v>
      </c>
      <c r="EF197">
        <v>8</v>
      </c>
      <c r="EG197">
        <v>1.964</v>
      </c>
      <c r="EH197">
        <v>9</v>
      </c>
      <c r="EI197">
        <v>7.1599999999999993</v>
      </c>
      <c r="EJ197">
        <v>7.9999999999999988E-2</v>
      </c>
      <c r="EK197">
        <v>15</v>
      </c>
      <c r="EL197">
        <v>15.5</v>
      </c>
      <c r="EM197">
        <v>18</v>
      </c>
      <c r="EN197">
        <v>-4.4400000000000013</v>
      </c>
      <c r="EO197">
        <v>13</v>
      </c>
      <c r="EP197">
        <v>-30.8</v>
      </c>
      <c r="EQ197">
        <v>-1.1599999999999995</v>
      </c>
      <c r="ER197">
        <v>14</v>
      </c>
      <c r="ES197">
        <v>14</v>
      </c>
      <c r="ET197">
        <v>14</v>
      </c>
      <c r="EU197">
        <v>-6.2039999999999988</v>
      </c>
      <c r="EV197">
        <v>14</v>
      </c>
      <c r="EW197">
        <v>-25.639999999999997</v>
      </c>
      <c r="EX197">
        <v>-0.92000000000000015</v>
      </c>
      <c r="EY197">
        <v>22</v>
      </c>
      <c r="EZ197">
        <v>21.5</v>
      </c>
      <c r="FA197">
        <v>19</v>
      </c>
      <c r="FB197">
        <v>-0.36</v>
      </c>
      <c r="FC197">
        <v>24</v>
      </c>
      <c r="FD197">
        <v>-0.28000000000000003</v>
      </c>
      <c r="FE197">
        <v>-1.64</v>
      </c>
      <c r="FF197">
        <v>27</v>
      </c>
      <c r="FG197">
        <v>22.75</v>
      </c>
      <c r="FH197">
        <v>31</v>
      </c>
      <c r="FI197">
        <v>5.9551559297075549E-2</v>
      </c>
      <c r="FJ197">
        <v>30</v>
      </c>
      <c r="FK197">
        <v>1.8069064446590809E-2</v>
      </c>
      <c r="FL197">
        <v>2</v>
      </c>
      <c r="FM197">
        <v>-2.1439999999999984</v>
      </c>
      <c r="FN197">
        <v>28</v>
      </c>
      <c r="FO197">
        <v>2.0000000000000004</v>
      </c>
      <c r="FP197">
        <v>0.7600000000000009</v>
      </c>
      <c r="FQ197">
        <v>-3.3600000000000003</v>
      </c>
      <c r="FR197">
        <v>-0.2</v>
      </c>
      <c r="FS197">
        <v>-1.8000000000000014</v>
      </c>
      <c r="FT197">
        <v>-1.2800000000000005</v>
      </c>
      <c r="FU197">
        <v>-0.91999999999999993</v>
      </c>
      <c r="FV197">
        <v>-40</v>
      </c>
      <c r="FW197">
        <v>-18.52</v>
      </c>
      <c r="FX197">
        <v>-24.04</v>
      </c>
      <c r="FY197">
        <v>-1.3199999999999998</v>
      </c>
      <c r="FZ197">
        <v>3.88</v>
      </c>
      <c r="GA197">
        <v>8</v>
      </c>
      <c r="GB197">
        <v>3.0144000000000002</v>
      </c>
      <c r="GC197">
        <v>0.65008000000000099</v>
      </c>
      <c r="GD197">
        <v>5.52</v>
      </c>
      <c r="GE197">
        <v>-3.0144000000000002</v>
      </c>
      <c r="GF197">
        <v>-0.9337000000000002</v>
      </c>
      <c r="GG197">
        <v>2.0000000000000009</v>
      </c>
      <c r="GH197">
        <v>-4.2400000000000029</v>
      </c>
      <c r="GI197">
        <v>-2.9600000000000017</v>
      </c>
      <c r="GJ197">
        <v>-23.32</v>
      </c>
      <c r="GK197">
        <v>-0.76000000000000012</v>
      </c>
      <c r="GL197">
        <v>0.40000000000000019</v>
      </c>
    </row>
    <row r="198" spans="1:194" x14ac:dyDescent="0.2">
      <c r="A198" s="39">
        <v>43758</v>
      </c>
      <c r="B198" s="22" t="s">
        <v>250</v>
      </c>
      <c r="C198" s="41" t="s">
        <v>297</v>
      </c>
      <c r="D198" s="22" t="s">
        <v>272</v>
      </c>
      <c r="E198">
        <v>20.7</v>
      </c>
      <c r="F198">
        <v>10.3</v>
      </c>
      <c r="G198">
        <v>13.3</v>
      </c>
      <c r="H198">
        <v>0</v>
      </c>
      <c r="I198">
        <v>-4</v>
      </c>
      <c r="J198">
        <v>44.5</v>
      </c>
      <c r="L198" s="1" t="s">
        <v>297</v>
      </c>
      <c r="M198">
        <v>14</v>
      </c>
      <c r="N198">
        <v>2.5599999999999311E-2</v>
      </c>
      <c r="O198">
        <v>10</v>
      </c>
      <c r="P198">
        <v>9.5</v>
      </c>
      <c r="Q198">
        <v>3</v>
      </c>
      <c r="R198">
        <v>5.0600000000000005</v>
      </c>
      <c r="S198">
        <v>16</v>
      </c>
      <c r="T198">
        <v>48.36</v>
      </c>
      <c r="U198">
        <v>1.0799999999999998</v>
      </c>
      <c r="V198">
        <v>28</v>
      </c>
      <c r="W198">
        <v>28.5</v>
      </c>
      <c r="X198">
        <v>26</v>
      </c>
      <c r="Y198">
        <v>-3.3159999999999998</v>
      </c>
      <c r="Z198">
        <v>31</v>
      </c>
      <c r="AA198">
        <v>-10.16</v>
      </c>
      <c r="AB198">
        <v>-2.12</v>
      </c>
      <c r="AC198">
        <v>31</v>
      </c>
      <c r="AD198">
        <v>31.5</v>
      </c>
      <c r="AE198">
        <v>32</v>
      </c>
      <c r="AF198">
        <v>-3.4399999999999991</v>
      </c>
      <c r="AG198">
        <v>31</v>
      </c>
      <c r="AH198">
        <v>-8.56</v>
      </c>
      <c r="AI198">
        <v>0.11999999999999993</v>
      </c>
      <c r="AJ198">
        <v>7</v>
      </c>
      <c r="AK198">
        <v>8</v>
      </c>
      <c r="AL198">
        <v>4</v>
      </c>
      <c r="AM198">
        <v>4.9959999999999996</v>
      </c>
      <c r="AN198">
        <v>12</v>
      </c>
      <c r="AO198">
        <v>17.72</v>
      </c>
      <c r="AP198">
        <v>1.2799999999999998</v>
      </c>
      <c r="AQ198">
        <v>3</v>
      </c>
      <c r="AR198">
        <v>3</v>
      </c>
      <c r="AS198">
        <v>3</v>
      </c>
      <c r="AT198">
        <v>-1.2079999999999997</v>
      </c>
      <c r="AU198">
        <v>3</v>
      </c>
      <c r="AV198">
        <v>-1.4210854715202005E-15</v>
      </c>
      <c r="AW198">
        <v>-1.2</v>
      </c>
      <c r="AX198">
        <v>13</v>
      </c>
      <c r="AY198">
        <v>12.5</v>
      </c>
      <c r="AZ198">
        <v>10</v>
      </c>
      <c r="BA198">
        <v>-4.1320000000000006</v>
      </c>
      <c r="BB198">
        <v>15</v>
      </c>
      <c r="BC198">
        <v>-12.52</v>
      </c>
      <c r="BD198">
        <v>-0.91999999999999993</v>
      </c>
      <c r="BE198">
        <v>32</v>
      </c>
      <c r="BF198">
        <v>31</v>
      </c>
      <c r="BG198">
        <v>32</v>
      </c>
      <c r="BH198">
        <v>0.32800000000000029</v>
      </c>
      <c r="BI198">
        <v>30</v>
      </c>
      <c r="BJ198">
        <v>-5.1199999999999992</v>
      </c>
      <c r="BK198">
        <v>0.11999999999999993</v>
      </c>
      <c r="BL198">
        <v>27</v>
      </c>
      <c r="BM198">
        <v>27</v>
      </c>
      <c r="BN198">
        <v>27</v>
      </c>
      <c r="BO198">
        <v>1.8799999999999997</v>
      </c>
      <c r="BP198">
        <v>27</v>
      </c>
      <c r="BQ198">
        <v>0.56000000000000005</v>
      </c>
      <c r="BR198">
        <v>0.28000000000000008</v>
      </c>
      <c r="BS198">
        <v>7</v>
      </c>
      <c r="BT198">
        <v>11.25</v>
      </c>
      <c r="BU198">
        <v>7</v>
      </c>
      <c r="BV198">
        <v>1.2435475090462767E-2</v>
      </c>
      <c r="BW198">
        <v>17</v>
      </c>
      <c r="BX198">
        <v>-7.0540488234043059E-3</v>
      </c>
      <c r="BY198">
        <v>18</v>
      </c>
      <c r="BZ198">
        <v>-4.6080000000000014</v>
      </c>
      <c r="CA198">
        <v>3</v>
      </c>
      <c r="CB198">
        <v>-0.96</v>
      </c>
      <c r="CC198">
        <v>0.15999999999999942</v>
      </c>
      <c r="CD198">
        <v>-7.1054273576010023E-16</v>
      </c>
      <c r="CE198">
        <v>-0.27999999999999997</v>
      </c>
      <c r="CF198">
        <v>28.039999999999985</v>
      </c>
      <c r="CG198">
        <v>-10.159999999999997</v>
      </c>
      <c r="CH198">
        <v>33.720000000000006</v>
      </c>
      <c r="CI198">
        <v>-4.24</v>
      </c>
      <c r="CJ198">
        <v>8.7199999999999989</v>
      </c>
      <c r="CK198">
        <v>23</v>
      </c>
      <c r="CL198">
        <v>-1.7184000000000017</v>
      </c>
      <c r="CM198">
        <v>-0.73168000000000022</v>
      </c>
      <c r="CN198">
        <v>-43.88</v>
      </c>
      <c r="CO198">
        <v>1.7184000000000013</v>
      </c>
      <c r="CP198">
        <v>0.54070000000000007</v>
      </c>
      <c r="CQ198">
        <v>0.34800000000000075</v>
      </c>
      <c r="CR198">
        <v>9.1599999999999966</v>
      </c>
      <c r="CS198">
        <v>1.7440000000000007</v>
      </c>
      <c r="CT198">
        <v>38.200000000000003</v>
      </c>
      <c r="CU198">
        <v>0.31999999999999967</v>
      </c>
      <c r="CV198">
        <v>-1.0400000000000003</v>
      </c>
      <c r="CW198">
        <v>0.16732499999999995</v>
      </c>
      <c r="CX198">
        <v>-1.1399000000000004</v>
      </c>
      <c r="CY198" t="s">
        <v>272</v>
      </c>
      <c r="CZ198">
        <v>10</v>
      </c>
      <c r="DA198">
        <v>4.4544000000000015</v>
      </c>
      <c r="DB198">
        <v>25</v>
      </c>
      <c r="DC198">
        <v>23.5</v>
      </c>
      <c r="DD198">
        <v>29</v>
      </c>
      <c r="DE198">
        <v>3.2319999999999993</v>
      </c>
      <c r="DF198">
        <v>18</v>
      </c>
      <c r="DG198">
        <v>17.68</v>
      </c>
      <c r="DH198">
        <v>0.44000000000000006</v>
      </c>
      <c r="DI198">
        <v>24</v>
      </c>
      <c r="DJ198">
        <v>21.5</v>
      </c>
      <c r="DK198">
        <v>19</v>
      </c>
      <c r="DL198">
        <v>5.7</v>
      </c>
      <c r="DM198">
        <v>24</v>
      </c>
      <c r="DN198">
        <v>10.679999999999996</v>
      </c>
      <c r="DO198">
        <v>1.56</v>
      </c>
      <c r="DP198">
        <v>1</v>
      </c>
      <c r="DQ198">
        <v>4</v>
      </c>
      <c r="DR198">
        <v>5</v>
      </c>
      <c r="DS198">
        <v>-2.5969999999999995</v>
      </c>
      <c r="DT198">
        <v>3</v>
      </c>
      <c r="DU198">
        <v>-15.129999999999999</v>
      </c>
      <c r="DV198">
        <v>-2.06</v>
      </c>
      <c r="DW198">
        <v>17</v>
      </c>
      <c r="DX198">
        <v>16.5</v>
      </c>
      <c r="DY198">
        <v>19</v>
      </c>
      <c r="DZ198">
        <v>1.3200000000000003</v>
      </c>
      <c r="EA198">
        <v>14</v>
      </c>
      <c r="EB198">
        <v>0.73999999999999777</v>
      </c>
      <c r="EC198">
        <v>7.0000000000000021E-2</v>
      </c>
      <c r="ED198">
        <v>6</v>
      </c>
      <c r="EE198">
        <v>8</v>
      </c>
      <c r="EF198">
        <v>6</v>
      </c>
      <c r="EG198">
        <v>-1.6170000000000002</v>
      </c>
      <c r="EH198">
        <v>10</v>
      </c>
      <c r="EI198">
        <v>-5.93</v>
      </c>
      <c r="EJ198">
        <v>-1.1499999999999999</v>
      </c>
      <c r="EK198">
        <v>2</v>
      </c>
      <c r="EL198">
        <v>3.5</v>
      </c>
      <c r="EM198">
        <v>5</v>
      </c>
      <c r="EN198">
        <v>3.0999999999999988</v>
      </c>
      <c r="EO198">
        <v>2</v>
      </c>
      <c r="EP198">
        <v>19</v>
      </c>
      <c r="EQ198">
        <v>0.51999999999999991</v>
      </c>
      <c r="ER198">
        <v>9</v>
      </c>
      <c r="ES198">
        <v>10</v>
      </c>
      <c r="ET198">
        <v>9</v>
      </c>
      <c r="EU198">
        <v>-1.0159999999999996</v>
      </c>
      <c r="EV198">
        <v>11</v>
      </c>
      <c r="EW198">
        <v>9.9599999999999991</v>
      </c>
      <c r="EX198">
        <v>-1.24</v>
      </c>
      <c r="EY198">
        <v>20</v>
      </c>
      <c r="EZ198">
        <v>21</v>
      </c>
      <c r="FA198">
        <v>18</v>
      </c>
      <c r="FB198">
        <v>2.3199999999999998</v>
      </c>
      <c r="FC198">
        <v>24</v>
      </c>
      <c r="FD198">
        <v>0.76</v>
      </c>
      <c r="FE198">
        <v>1.2799999999999998</v>
      </c>
      <c r="FF198">
        <v>22</v>
      </c>
      <c r="FG198">
        <v>18.25</v>
      </c>
      <c r="FH198">
        <v>13</v>
      </c>
      <c r="FI198">
        <v>-1.9805685429181229E-2</v>
      </c>
      <c r="FJ198">
        <v>15</v>
      </c>
      <c r="FK198">
        <v>-4.1258268634499537E-2</v>
      </c>
      <c r="FL198">
        <v>19</v>
      </c>
      <c r="FM198">
        <v>-4.1719999999999988</v>
      </c>
      <c r="FN198">
        <v>26</v>
      </c>
      <c r="FO198">
        <v>-3.1599999999999997</v>
      </c>
      <c r="FP198">
        <v>-1.4</v>
      </c>
      <c r="FQ198">
        <v>3.12</v>
      </c>
      <c r="FR198">
        <v>2.0800000000000005</v>
      </c>
      <c r="FS198">
        <v>3.8</v>
      </c>
      <c r="FT198">
        <v>4.92</v>
      </c>
      <c r="FU198">
        <v>-0.55999999999999994</v>
      </c>
      <c r="FV198">
        <v>79.28</v>
      </c>
      <c r="FW198">
        <v>19.360000000000003</v>
      </c>
      <c r="FX198">
        <v>34.44</v>
      </c>
      <c r="FY198">
        <v>2.68</v>
      </c>
      <c r="FZ198">
        <v>22.8</v>
      </c>
      <c r="GA198">
        <v>28</v>
      </c>
      <c r="GB198">
        <v>-4.477599999999998</v>
      </c>
      <c r="GC198">
        <v>-4.3571199999999992</v>
      </c>
      <c r="GD198">
        <v>-15.079999999999995</v>
      </c>
      <c r="GE198">
        <v>4.4775999999999971</v>
      </c>
      <c r="GF198">
        <v>1.4745500000000002</v>
      </c>
      <c r="GG198">
        <v>-2.8939999999999992</v>
      </c>
      <c r="GH198">
        <v>-20.32</v>
      </c>
      <c r="GI198">
        <v>8.9319999999999986</v>
      </c>
      <c r="GJ198">
        <v>28.359999999999996</v>
      </c>
      <c r="GK198">
        <v>-4.38</v>
      </c>
      <c r="GL198">
        <v>2</v>
      </c>
    </row>
    <row r="199" spans="1:194" x14ac:dyDescent="0.2">
      <c r="A199" s="39">
        <v>43758</v>
      </c>
      <c r="B199" s="28" t="s">
        <v>250</v>
      </c>
      <c r="C199" s="41" t="s">
        <v>288</v>
      </c>
      <c r="D199" s="28" t="s">
        <v>278</v>
      </c>
      <c r="E199" s="3">
        <v>16.399999999999999</v>
      </c>
      <c r="F199" s="30">
        <v>10.8</v>
      </c>
      <c r="G199" s="3">
        <v>6.1</v>
      </c>
      <c r="H199" s="3">
        <v>10.4</v>
      </c>
      <c r="I199">
        <v>-3</v>
      </c>
      <c r="J199">
        <v>49.5</v>
      </c>
      <c r="K199" s="3"/>
      <c r="L199" s="1" t="s">
        <v>288</v>
      </c>
      <c r="M199">
        <v>5</v>
      </c>
      <c r="N199">
        <v>4.4239999999999986</v>
      </c>
      <c r="O199">
        <v>32</v>
      </c>
      <c r="P199">
        <v>30</v>
      </c>
      <c r="Q199">
        <v>28</v>
      </c>
      <c r="R199">
        <v>-2.984</v>
      </c>
      <c r="S199">
        <v>32</v>
      </c>
      <c r="T199">
        <v>-27.080000000000002</v>
      </c>
      <c r="U199">
        <v>-0.23999999999999994</v>
      </c>
      <c r="V199">
        <v>17</v>
      </c>
      <c r="W199">
        <v>16.5</v>
      </c>
      <c r="X199">
        <v>19</v>
      </c>
      <c r="Y199">
        <v>1.7296000000000007</v>
      </c>
      <c r="Z199">
        <v>14</v>
      </c>
      <c r="AA199">
        <v>5.5600000000000005</v>
      </c>
      <c r="AB199">
        <v>0.44000000000000006</v>
      </c>
      <c r="AC199">
        <v>8</v>
      </c>
      <c r="AD199">
        <v>7</v>
      </c>
      <c r="AE199">
        <v>6</v>
      </c>
      <c r="AF199">
        <v>-0.93200000000000005</v>
      </c>
      <c r="AG199">
        <v>8</v>
      </c>
      <c r="AH199">
        <v>3.9999999999997725E-2</v>
      </c>
      <c r="AI199">
        <v>0.71999999999999975</v>
      </c>
      <c r="AJ199">
        <v>26</v>
      </c>
      <c r="AK199">
        <v>26.5</v>
      </c>
      <c r="AL199">
        <v>27</v>
      </c>
      <c r="AM199">
        <v>1.8800000000000003</v>
      </c>
      <c r="AN199">
        <v>26</v>
      </c>
      <c r="AO199">
        <v>1.2399999999999978</v>
      </c>
      <c r="AP199">
        <v>-0.56000000000000016</v>
      </c>
      <c r="AQ199">
        <v>9</v>
      </c>
      <c r="AR199">
        <v>9.5</v>
      </c>
      <c r="AS199">
        <v>11</v>
      </c>
      <c r="AT199">
        <v>2.7320000000000002</v>
      </c>
      <c r="AU199">
        <v>8</v>
      </c>
      <c r="AV199">
        <v>19.239999999999998</v>
      </c>
      <c r="AW199">
        <v>1.0399999999999998</v>
      </c>
      <c r="AX199">
        <v>2</v>
      </c>
      <c r="AY199">
        <v>3.5</v>
      </c>
      <c r="AZ199">
        <v>4</v>
      </c>
      <c r="BA199">
        <v>9.1840000000000011</v>
      </c>
      <c r="BB199">
        <v>3</v>
      </c>
      <c r="BC199">
        <v>52.240000000000009</v>
      </c>
      <c r="BD199">
        <v>3</v>
      </c>
      <c r="BE199">
        <v>3</v>
      </c>
      <c r="BF199">
        <v>3.5</v>
      </c>
      <c r="BG199">
        <v>4</v>
      </c>
      <c r="BH199">
        <v>3.8679999999999994</v>
      </c>
      <c r="BI199">
        <v>3</v>
      </c>
      <c r="BJ199">
        <v>30.28</v>
      </c>
      <c r="BK199">
        <v>2.16</v>
      </c>
      <c r="BL199">
        <v>15</v>
      </c>
      <c r="BM199">
        <v>14.5</v>
      </c>
      <c r="BN199">
        <v>12</v>
      </c>
      <c r="BO199">
        <v>-8.0000000000000071E-2</v>
      </c>
      <c r="BP199">
        <v>17</v>
      </c>
      <c r="BQ199">
        <v>-8.8817841970012528E-17</v>
      </c>
      <c r="BR199">
        <v>1.0000000000000002</v>
      </c>
      <c r="BS199">
        <v>29</v>
      </c>
      <c r="BT199">
        <v>25</v>
      </c>
      <c r="BU199">
        <v>26</v>
      </c>
      <c r="BV199">
        <v>-1.4912573601115831E-2</v>
      </c>
      <c r="BW199">
        <v>23</v>
      </c>
      <c r="BX199">
        <v>-9.1447439433009377E-3</v>
      </c>
      <c r="BY199">
        <v>25</v>
      </c>
      <c r="BZ199">
        <v>-2.2079999999999997</v>
      </c>
      <c r="CA199">
        <v>26</v>
      </c>
      <c r="CB199">
        <v>-0.64</v>
      </c>
      <c r="CC199">
        <v>-0.35999999999999799</v>
      </c>
      <c r="CD199">
        <v>0.87999999999999967</v>
      </c>
      <c r="CE199">
        <v>0.55999999999999983</v>
      </c>
      <c r="CF199">
        <v>33.680000000000021</v>
      </c>
      <c r="CG199">
        <v>58.400000000000013</v>
      </c>
      <c r="CH199">
        <v>-23.080000000000002</v>
      </c>
      <c r="CI199">
        <v>-3.9200000000000004</v>
      </c>
      <c r="CJ199">
        <v>2.2799999999999994</v>
      </c>
      <c r="CK199">
        <v>4</v>
      </c>
      <c r="CL199">
        <v>5.6783999999999981</v>
      </c>
      <c r="CM199">
        <v>3.0215999999999994</v>
      </c>
      <c r="CN199">
        <v>81.480000000000018</v>
      </c>
      <c r="CO199">
        <v>-5.6783999999999981</v>
      </c>
      <c r="CP199">
        <v>1.3296999999999999</v>
      </c>
      <c r="CQ199">
        <v>3.6800000000000006</v>
      </c>
      <c r="CR199">
        <v>20.519999999999992</v>
      </c>
      <c r="CS199">
        <v>-1.2543999999999993</v>
      </c>
      <c r="CT199">
        <v>-21.520000000000003</v>
      </c>
      <c r="CU199">
        <v>3.3599999999999994</v>
      </c>
      <c r="CV199">
        <v>0.20000000000000012</v>
      </c>
      <c r="CW199">
        <v>-0.81567499999999993</v>
      </c>
      <c r="CX199">
        <v>2.5750000000000037E-2</v>
      </c>
      <c r="CY199" t="s">
        <v>278</v>
      </c>
      <c r="CZ199">
        <v>15</v>
      </c>
      <c r="DA199">
        <v>-6.4927999999999999</v>
      </c>
      <c r="DB199">
        <v>28</v>
      </c>
      <c r="DC199">
        <v>24.5</v>
      </c>
      <c r="DD199">
        <v>25</v>
      </c>
      <c r="DE199">
        <v>-0.1120000000000001</v>
      </c>
      <c r="DF199">
        <v>24</v>
      </c>
      <c r="DG199">
        <v>5.8400000000000016</v>
      </c>
      <c r="DH199">
        <v>0.36000000000000015</v>
      </c>
      <c r="DI199">
        <v>28</v>
      </c>
      <c r="DJ199">
        <v>25.5</v>
      </c>
      <c r="DK199">
        <v>28</v>
      </c>
      <c r="DL199">
        <v>0.96799999999999964</v>
      </c>
      <c r="DM199">
        <v>23</v>
      </c>
      <c r="DN199">
        <v>10.120000000000001</v>
      </c>
      <c r="DO199">
        <v>0.12000000000000011</v>
      </c>
      <c r="DP199">
        <v>14</v>
      </c>
      <c r="DQ199">
        <v>8.5</v>
      </c>
      <c r="DR199">
        <v>9</v>
      </c>
      <c r="DS199">
        <v>-5.1239999999999997</v>
      </c>
      <c r="DT199">
        <v>8</v>
      </c>
      <c r="DU199">
        <v>-23.040000000000003</v>
      </c>
      <c r="DV199">
        <v>-2.2799999999999998</v>
      </c>
      <c r="DW199">
        <v>17</v>
      </c>
      <c r="DX199">
        <v>16.5</v>
      </c>
      <c r="DY199">
        <v>14</v>
      </c>
      <c r="DZ199">
        <v>-1.6880000000000002</v>
      </c>
      <c r="EA199">
        <v>19</v>
      </c>
      <c r="EB199">
        <v>-6.4800000000000013</v>
      </c>
      <c r="EC199">
        <v>0.8</v>
      </c>
      <c r="ED199">
        <v>15</v>
      </c>
      <c r="EE199">
        <v>7.5</v>
      </c>
      <c r="EF199">
        <v>9</v>
      </c>
      <c r="EG199">
        <v>-1.9440000000000002</v>
      </c>
      <c r="EH199">
        <v>6</v>
      </c>
      <c r="EI199">
        <v>-9.4399999999999977</v>
      </c>
      <c r="EJ199">
        <v>-4.0000000000000126E-2</v>
      </c>
      <c r="EK199">
        <v>30</v>
      </c>
      <c r="EL199">
        <v>28.5</v>
      </c>
      <c r="EM199">
        <v>28</v>
      </c>
      <c r="EN199">
        <v>-2.98</v>
      </c>
      <c r="EO199">
        <v>29</v>
      </c>
      <c r="EP199">
        <v>-9.8000000000000007</v>
      </c>
      <c r="EQ199">
        <v>-1.0799999999999996</v>
      </c>
      <c r="ER199">
        <v>6</v>
      </c>
      <c r="ES199">
        <v>8</v>
      </c>
      <c r="ET199">
        <v>9</v>
      </c>
      <c r="EU199">
        <v>-1.0639999999999987</v>
      </c>
      <c r="EV199">
        <v>7</v>
      </c>
      <c r="EW199">
        <v>-5.44</v>
      </c>
      <c r="EX199">
        <v>0.40000000000000019</v>
      </c>
      <c r="EY199">
        <v>9</v>
      </c>
      <c r="EZ199">
        <v>9.5</v>
      </c>
      <c r="FA199">
        <v>8</v>
      </c>
      <c r="FB199">
        <v>2.2000000000000002</v>
      </c>
      <c r="FC199">
        <v>11</v>
      </c>
      <c r="FD199">
        <v>0.55999999999999994</v>
      </c>
      <c r="FE199">
        <v>-0.24000000000000005</v>
      </c>
      <c r="FF199">
        <v>12</v>
      </c>
      <c r="FG199">
        <v>14.5</v>
      </c>
      <c r="FH199">
        <v>25</v>
      </c>
      <c r="FI199">
        <v>-1.9145355925318353E-2</v>
      </c>
      <c r="FJ199">
        <v>6</v>
      </c>
      <c r="FK199">
        <v>-3.2541181234983911E-3</v>
      </c>
      <c r="FL199">
        <v>10</v>
      </c>
      <c r="FM199">
        <v>-14.191999999999997</v>
      </c>
      <c r="FN199">
        <v>17</v>
      </c>
      <c r="FO199">
        <v>0.88000000000000023</v>
      </c>
      <c r="FP199">
        <v>-1.3599999999999988</v>
      </c>
      <c r="FQ199">
        <v>2.5199999999999996</v>
      </c>
      <c r="FR199">
        <v>-1.56</v>
      </c>
      <c r="FS199">
        <v>-0.67999999999999972</v>
      </c>
      <c r="FT199">
        <v>-3.7600000000000002</v>
      </c>
      <c r="FU199">
        <v>0.55999999999999994</v>
      </c>
      <c r="FV199">
        <v>-32.799999999999997</v>
      </c>
      <c r="FW199">
        <v>-47.8</v>
      </c>
      <c r="FX199">
        <v>16.439999999999998</v>
      </c>
      <c r="FY199">
        <v>8</v>
      </c>
      <c r="FZ199">
        <v>-9.4400000000000013</v>
      </c>
      <c r="GA199">
        <v>31</v>
      </c>
      <c r="GB199">
        <v>-7.3487999999999998</v>
      </c>
      <c r="GC199">
        <v>-3.6905599999999996</v>
      </c>
      <c r="GD199">
        <v>-64.239999999999995</v>
      </c>
      <c r="GE199">
        <v>7.3487999999999998</v>
      </c>
      <c r="GF199">
        <v>-1.6570999999999998</v>
      </c>
      <c r="GG199">
        <v>-8.7560000000000002</v>
      </c>
      <c r="GH199">
        <v>-38.96</v>
      </c>
      <c r="GI199">
        <v>0.85599999999999954</v>
      </c>
      <c r="GJ199">
        <v>15.960000000000003</v>
      </c>
      <c r="GK199">
        <v>-1.1199999999999997</v>
      </c>
      <c r="GL199">
        <v>0.48000000000000026</v>
      </c>
    </row>
    <row r="200" spans="1:194" x14ac:dyDescent="0.2">
      <c r="A200" s="39">
        <v>43758</v>
      </c>
      <c r="B200" s="22" t="s">
        <v>250</v>
      </c>
      <c r="C200" s="41" t="s">
        <v>303</v>
      </c>
      <c r="D200" s="23" t="s">
        <v>300</v>
      </c>
      <c r="E200" s="3">
        <v>8.4</v>
      </c>
      <c r="F200" s="3">
        <v>3.4</v>
      </c>
      <c r="G200" s="3">
        <v>4.5999999999999996</v>
      </c>
      <c r="H200">
        <f>34.6+10.4+4.2</f>
        <v>49.2</v>
      </c>
      <c r="I200">
        <v>5.5</v>
      </c>
      <c r="J200">
        <v>48</v>
      </c>
      <c r="L200" s="1" t="s">
        <v>303</v>
      </c>
      <c r="M200">
        <v>24</v>
      </c>
      <c r="N200">
        <v>-2.6063999999999998</v>
      </c>
      <c r="O200">
        <v>7</v>
      </c>
      <c r="P200">
        <v>7.5</v>
      </c>
      <c r="Q200">
        <v>12</v>
      </c>
      <c r="R200">
        <v>-1.8680000000000008</v>
      </c>
      <c r="S200">
        <v>3</v>
      </c>
      <c r="T200">
        <v>16</v>
      </c>
      <c r="U200">
        <v>-1.2799999999999998</v>
      </c>
      <c r="V200">
        <v>22</v>
      </c>
      <c r="W200">
        <v>19.5</v>
      </c>
      <c r="X200">
        <v>17</v>
      </c>
      <c r="Y200">
        <v>-0.95999999999999974</v>
      </c>
      <c r="Z200">
        <v>22</v>
      </c>
      <c r="AA200">
        <v>-5.67</v>
      </c>
      <c r="AB200">
        <v>-8.0000000000000071E-2</v>
      </c>
      <c r="AC200">
        <v>30</v>
      </c>
      <c r="AD200">
        <v>30.5</v>
      </c>
      <c r="AE200">
        <v>31</v>
      </c>
      <c r="AF200">
        <v>-5.875</v>
      </c>
      <c r="AG200">
        <v>30</v>
      </c>
      <c r="AH200">
        <v>-34.799999999999997</v>
      </c>
      <c r="AI200">
        <v>-2.35</v>
      </c>
      <c r="AJ200">
        <v>24</v>
      </c>
      <c r="AK200">
        <v>23</v>
      </c>
      <c r="AL200">
        <v>22</v>
      </c>
      <c r="AM200">
        <v>-4.4450000000000003</v>
      </c>
      <c r="AN200">
        <v>24</v>
      </c>
      <c r="AO200">
        <v>-20.05</v>
      </c>
      <c r="AP200">
        <v>-1.5799999999999998</v>
      </c>
      <c r="AQ200">
        <v>25</v>
      </c>
      <c r="AR200">
        <v>25</v>
      </c>
      <c r="AS200">
        <v>25</v>
      </c>
      <c r="AT200">
        <v>0.39</v>
      </c>
      <c r="AU200">
        <v>25</v>
      </c>
      <c r="AV200">
        <v>-14.8</v>
      </c>
      <c r="AW200">
        <v>-0.83000000000000007</v>
      </c>
      <c r="AX200">
        <v>24</v>
      </c>
      <c r="AY200">
        <v>25</v>
      </c>
      <c r="AZ200">
        <v>27</v>
      </c>
      <c r="BA200">
        <v>0.10400000000000062</v>
      </c>
      <c r="BB200">
        <v>23</v>
      </c>
      <c r="BC200">
        <v>-14.16</v>
      </c>
      <c r="BD200">
        <v>-0.36000000000000049</v>
      </c>
      <c r="BE200">
        <v>5</v>
      </c>
      <c r="BF200">
        <v>6</v>
      </c>
      <c r="BG200">
        <v>6</v>
      </c>
      <c r="BH200">
        <v>14.976000000000003</v>
      </c>
      <c r="BI200">
        <v>6</v>
      </c>
      <c r="BJ200">
        <v>58.879999999999995</v>
      </c>
      <c r="BK200">
        <v>4.5600000000000005</v>
      </c>
      <c r="BL200">
        <v>19</v>
      </c>
      <c r="BM200">
        <v>19.5</v>
      </c>
      <c r="BN200">
        <v>26</v>
      </c>
      <c r="BO200">
        <v>-1.6</v>
      </c>
      <c r="BP200">
        <v>13</v>
      </c>
      <c r="BQ200">
        <v>-0.88000000000000012</v>
      </c>
      <c r="BR200">
        <v>-1.64</v>
      </c>
      <c r="BS200">
        <v>19</v>
      </c>
      <c r="BT200">
        <v>17.25</v>
      </c>
      <c r="BU200">
        <v>14</v>
      </c>
      <c r="BV200">
        <v>-0.10088090752894981</v>
      </c>
      <c r="BW200">
        <v>21</v>
      </c>
      <c r="BX200">
        <v>-1.8573134338657062E-2</v>
      </c>
      <c r="BY200">
        <v>32</v>
      </c>
      <c r="BZ200">
        <v>14.827999999999999</v>
      </c>
      <c r="CA200">
        <v>2</v>
      </c>
      <c r="CB200">
        <v>-1.7200000000000002</v>
      </c>
      <c r="CC200">
        <v>-2.7600000000000007</v>
      </c>
      <c r="CD200">
        <v>-1</v>
      </c>
      <c r="CE200">
        <v>1.0399999999999998</v>
      </c>
      <c r="CF200">
        <v>5.7200000000000042</v>
      </c>
      <c r="CG200">
        <v>-14.759999999999991</v>
      </c>
      <c r="CH200">
        <v>18.28</v>
      </c>
      <c r="CI200">
        <v>11.8</v>
      </c>
      <c r="CJ200">
        <v>-9.6</v>
      </c>
      <c r="CK200">
        <v>20</v>
      </c>
      <c r="CL200">
        <v>0.22160000000000069</v>
      </c>
      <c r="CM200">
        <v>1.9019200000000005</v>
      </c>
      <c r="CN200">
        <v>-33.039999999999992</v>
      </c>
      <c r="CO200">
        <v>-0.22160000000000046</v>
      </c>
      <c r="CP200">
        <v>-0.24854999999999966</v>
      </c>
      <c r="CQ200">
        <v>-9.93</v>
      </c>
      <c r="CR200">
        <v>-69.649999999999991</v>
      </c>
      <c r="CS200">
        <v>-2.8280000000000003</v>
      </c>
      <c r="CT200">
        <v>10.33</v>
      </c>
      <c r="CU200">
        <v>-0.19999999999999929</v>
      </c>
      <c r="CV200">
        <v>-1.3599999999999999</v>
      </c>
      <c r="CW200">
        <v>0.51675000000000026</v>
      </c>
      <c r="CX200">
        <v>1.6427000000000003</v>
      </c>
      <c r="CY200" t="s">
        <v>300</v>
      </c>
      <c r="CZ200">
        <v>21</v>
      </c>
      <c r="DA200">
        <v>-2.4416000000000002</v>
      </c>
      <c r="DB200">
        <v>5</v>
      </c>
      <c r="DC200">
        <v>6</v>
      </c>
      <c r="DD200">
        <v>8</v>
      </c>
      <c r="DE200">
        <v>6.3640000000000017</v>
      </c>
      <c r="DF200">
        <v>4</v>
      </c>
      <c r="DG200">
        <v>11.760000000000002</v>
      </c>
      <c r="DH200">
        <v>0.22000000000000003</v>
      </c>
      <c r="DI200">
        <v>9</v>
      </c>
      <c r="DJ200">
        <v>11.5</v>
      </c>
      <c r="DK200">
        <v>19</v>
      </c>
      <c r="DL200">
        <v>-2.0759999999999996</v>
      </c>
      <c r="DM200">
        <v>4</v>
      </c>
      <c r="DN200">
        <v>4.839999999999999</v>
      </c>
      <c r="DO200">
        <v>-0.48000000000000009</v>
      </c>
      <c r="DP200">
        <v>23</v>
      </c>
      <c r="DQ200">
        <v>27.5</v>
      </c>
      <c r="DR200">
        <v>29</v>
      </c>
      <c r="DS200">
        <v>-0.82800000000000007</v>
      </c>
      <c r="DT200">
        <v>26</v>
      </c>
      <c r="DU200">
        <v>16.7</v>
      </c>
      <c r="DV200">
        <v>-0.17999999999999988</v>
      </c>
      <c r="DW200">
        <v>13</v>
      </c>
      <c r="DX200">
        <v>13.5</v>
      </c>
      <c r="DY200">
        <v>17</v>
      </c>
      <c r="DZ200">
        <v>-4.4960000000000004</v>
      </c>
      <c r="EA200">
        <v>10</v>
      </c>
      <c r="EB200">
        <v>-20.240000000000002</v>
      </c>
      <c r="EC200">
        <v>-0.51999999999999991</v>
      </c>
      <c r="ED200">
        <v>12</v>
      </c>
      <c r="EE200">
        <v>17</v>
      </c>
      <c r="EF200">
        <v>20</v>
      </c>
      <c r="EG200">
        <v>-0.23200000000000037</v>
      </c>
      <c r="EH200">
        <v>14</v>
      </c>
      <c r="EI200">
        <v>7.7600000000000007</v>
      </c>
      <c r="EJ200">
        <v>-1.2</v>
      </c>
      <c r="EK200">
        <v>16</v>
      </c>
      <c r="EL200">
        <v>16</v>
      </c>
      <c r="EM200">
        <v>17</v>
      </c>
      <c r="EN200">
        <v>-3.092000000000001</v>
      </c>
      <c r="EO200">
        <v>15</v>
      </c>
      <c r="EP200">
        <v>-0.91999999999999882</v>
      </c>
      <c r="EQ200">
        <v>-2.6800000000000006</v>
      </c>
      <c r="ER200">
        <v>1</v>
      </c>
      <c r="ES200">
        <v>1</v>
      </c>
      <c r="ET200">
        <v>1</v>
      </c>
      <c r="EU200">
        <v>-0.76399999999999879</v>
      </c>
      <c r="EV200">
        <v>1</v>
      </c>
      <c r="EW200">
        <v>-8.8400000000000016</v>
      </c>
      <c r="EX200">
        <v>-0.31999999999999995</v>
      </c>
      <c r="EY200">
        <v>6</v>
      </c>
      <c r="EZ200">
        <v>5</v>
      </c>
      <c r="FA200">
        <v>2</v>
      </c>
      <c r="FB200">
        <v>-0.3999999999999998</v>
      </c>
      <c r="FC200">
        <v>8</v>
      </c>
      <c r="FD200">
        <v>7.9999999999999932E-2</v>
      </c>
      <c r="FE200">
        <v>-3.6399999999999997</v>
      </c>
      <c r="FF200">
        <v>29</v>
      </c>
      <c r="FG200">
        <v>24</v>
      </c>
      <c r="FH200">
        <v>17</v>
      </c>
      <c r="FI200">
        <v>5.0283851434233216E-2</v>
      </c>
      <c r="FJ200">
        <v>23</v>
      </c>
      <c r="FK200">
        <v>1.6924454075850751E-2</v>
      </c>
      <c r="FL200">
        <v>27</v>
      </c>
      <c r="FM200">
        <v>-9.5760000000000005</v>
      </c>
      <c r="FN200">
        <v>29</v>
      </c>
      <c r="FO200">
        <v>0.76000000000000012</v>
      </c>
      <c r="FP200">
        <v>-1.4799999999999998</v>
      </c>
      <c r="FQ200">
        <v>-0.80000000000000071</v>
      </c>
      <c r="FR200">
        <v>0.64</v>
      </c>
      <c r="FS200">
        <v>-0.4</v>
      </c>
      <c r="FT200">
        <v>7.999999999999971E-2</v>
      </c>
      <c r="FU200">
        <v>-0.91999999999999993</v>
      </c>
      <c r="FV200">
        <v>19.759999999999991</v>
      </c>
      <c r="FW200">
        <v>7.9599999999999964</v>
      </c>
      <c r="FX200">
        <v>8.2799999999999976</v>
      </c>
      <c r="FY200">
        <v>0.56000000000000016</v>
      </c>
      <c r="FZ200">
        <v>2.96</v>
      </c>
      <c r="GA200">
        <v>30</v>
      </c>
      <c r="GB200">
        <v>-6.7296000000000022</v>
      </c>
      <c r="GC200">
        <v>-3.8963200000000011</v>
      </c>
      <c r="GD200">
        <v>-0.32000000000000117</v>
      </c>
      <c r="GE200">
        <v>6.7296000000000022</v>
      </c>
      <c r="GF200">
        <v>-0.60919999999999963</v>
      </c>
      <c r="GG200">
        <v>-5.5560000000000009</v>
      </c>
      <c r="GH200">
        <v>4.219999999999998</v>
      </c>
      <c r="GI200">
        <v>4.288000000000002</v>
      </c>
      <c r="GJ200">
        <v>16.600000000000001</v>
      </c>
      <c r="GK200">
        <v>-2.2199999999999998</v>
      </c>
      <c r="GL200">
        <v>-0.26000000000000006</v>
      </c>
    </row>
    <row r="201" spans="1:194" x14ac:dyDescent="0.2">
      <c r="A201" s="39">
        <v>43758</v>
      </c>
      <c r="B201" s="22" t="s">
        <v>250</v>
      </c>
      <c r="C201" s="41" t="s">
        <v>287</v>
      </c>
      <c r="D201" s="22" t="s">
        <v>310</v>
      </c>
      <c r="E201">
        <v>10.1</v>
      </c>
      <c r="F201">
        <v>8.6999999999999993</v>
      </c>
      <c r="G201">
        <v>0</v>
      </c>
      <c r="H201">
        <f>15.7+1.9</f>
        <v>17.599999999999998</v>
      </c>
      <c r="I201">
        <v>3</v>
      </c>
      <c r="J201">
        <v>42.5</v>
      </c>
      <c r="K201" t="s">
        <v>110</v>
      </c>
      <c r="L201" s="1" t="s">
        <v>287</v>
      </c>
      <c r="M201">
        <v>19</v>
      </c>
      <c r="N201">
        <v>-0.73760000000000103</v>
      </c>
      <c r="O201">
        <v>17</v>
      </c>
      <c r="P201">
        <v>17</v>
      </c>
      <c r="Q201">
        <v>17</v>
      </c>
      <c r="R201">
        <v>3.7439999999999998</v>
      </c>
      <c r="S201">
        <v>17</v>
      </c>
      <c r="T201">
        <v>-25.919999999999995</v>
      </c>
      <c r="U201">
        <v>3.4</v>
      </c>
      <c r="V201">
        <v>3</v>
      </c>
      <c r="W201">
        <v>4.5</v>
      </c>
      <c r="X201">
        <v>1</v>
      </c>
      <c r="Y201">
        <v>-1.4119999999999999</v>
      </c>
      <c r="Z201">
        <v>8</v>
      </c>
      <c r="AA201">
        <v>-3.3999999999999995</v>
      </c>
      <c r="AB201">
        <v>0.72</v>
      </c>
      <c r="AC201">
        <v>9</v>
      </c>
      <c r="AD201">
        <v>10</v>
      </c>
      <c r="AE201">
        <v>9</v>
      </c>
      <c r="AF201">
        <v>2.7400000000000007</v>
      </c>
      <c r="AG201">
        <v>11</v>
      </c>
      <c r="AH201">
        <v>17.52</v>
      </c>
      <c r="AI201">
        <v>2.44</v>
      </c>
      <c r="AJ201">
        <v>5</v>
      </c>
      <c r="AK201">
        <v>5.5</v>
      </c>
      <c r="AL201">
        <v>10</v>
      </c>
      <c r="AM201">
        <v>0.13999999999999968</v>
      </c>
      <c r="AN201">
        <v>1</v>
      </c>
      <c r="AO201">
        <v>16.04</v>
      </c>
      <c r="AP201">
        <v>1.6800000000000004</v>
      </c>
      <c r="AQ201">
        <v>28</v>
      </c>
      <c r="AR201">
        <v>28.5</v>
      </c>
      <c r="AS201">
        <v>30</v>
      </c>
      <c r="AT201">
        <v>-0.56799999999999995</v>
      </c>
      <c r="AU201">
        <v>27</v>
      </c>
      <c r="AV201">
        <v>0.11999999999999958</v>
      </c>
      <c r="AW201">
        <v>-0.88000000000000012</v>
      </c>
      <c r="AX201">
        <v>10</v>
      </c>
      <c r="AY201">
        <v>11</v>
      </c>
      <c r="AZ201">
        <v>11</v>
      </c>
      <c r="BA201">
        <v>1.2680000000000013</v>
      </c>
      <c r="BB201">
        <v>11</v>
      </c>
      <c r="BC201">
        <v>-4.1200000000000028</v>
      </c>
      <c r="BD201">
        <v>-0.11999999999999993</v>
      </c>
      <c r="BE201">
        <v>26</v>
      </c>
      <c r="BF201">
        <v>26.5</v>
      </c>
      <c r="BG201">
        <v>27</v>
      </c>
      <c r="BH201">
        <v>-1.4</v>
      </c>
      <c r="BI201">
        <v>26</v>
      </c>
      <c r="BJ201">
        <v>-13.2</v>
      </c>
      <c r="BK201">
        <v>-2.6</v>
      </c>
      <c r="BL201">
        <v>4</v>
      </c>
      <c r="BM201">
        <v>7</v>
      </c>
      <c r="BN201">
        <v>11</v>
      </c>
      <c r="BO201">
        <v>-8.0000000000000071E-2</v>
      </c>
      <c r="BP201">
        <v>3</v>
      </c>
      <c r="BQ201">
        <v>0.39999999999999997</v>
      </c>
      <c r="BR201">
        <v>0.12000000000000029</v>
      </c>
      <c r="BS201">
        <v>10</v>
      </c>
      <c r="BT201">
        <v>12.75</v>
      </c>
      <c r="BU201">
        <v>24</v>
      </c>
      <c r="BV201">
        <v>5.2045253758965196E-2</v>
      </c>
      <c r="BW201">
        <v>12</v>
      </c>
      <c r="BX201">
        <v>-2.0669000519852564E-2</v>
      </c>
      <c r="BY201">
        <v>7</v>
      </c>
      <c r="BZ201">
        <v>6.4960000000000022</v>
      </c>
      <c r="CA201">
        <v>8</v>
      </c>
      <c r="CB201">
        <v>1.3199999999999998</v>
      </c>
      <c r="CC201">
        <v>-0.27999999999999969</v>
      </c>
      <c r="CD201">
        <v>-4.76</v>
      </c>
      <c r="CE201">
        <v>-8.8817841970012528E-17</v>
      </c>
      <c r="CF201">
        <v>-5.599999999999989</v>
      </c>
      <c r="CG201">
        <v>41.280000000000008</v>
      </c>
      <c r="CH201">
        <v>-33.519999999999996</v>
      </c>
      <c r="CI201">
        <v>-2.9600000000000004</v>
      </c>
      <c r="CJ201">
        <v>-10.4</v>
      </c>
      <c r="CK201">
        <v>24</v>
      </c>
      <c r="CL201">
        <v>-3.0696000000000012</v>
      </c>
      <c r="CM201">
        <v>-1.1311200000000001</v>
      </c>
      <c r="CN201">
        <v>74.800000000000011</v>
      </c>
      <c r="CO201">
        <v>3.0696000000000008</v>
      </c>
      <c r="CP201">
        <v>0.3032999999999999</v>
      </c>
      <c r="CQ201">
        <v>2.3120000000000003</v>
      </c>
      <c r="CR201">
        <v>33.68</v>
      </c>
      <c r="CS201">
        <v>2.3319999999999999</v>
      </c>
      <c r="CT201">
        <v>-29.319999999999993</v>
      </c>
      <c r="CU201">
        <v>0.64000000000000012</v>
      </c>
      <c r="CV201">
        <v>4.12</v>
      </c>
      <c r="CW201">
        <v>-1.5318000000000001</v>
      </c>
      <c r="CX201">
        <v>-1.24715</v>
      </c>
      <c r="CY201" t="s">
        <v>310</v>
      </c>
      <c r="CZ201">
        <v>11</v>
      </c>
      <c r="DA201">
        <v>-2.5556000000000014</v>
      </c>
      <c r="DB201">
        <v>7</v>
      </c>
      <c r="DC201">
        <v>10</v>
      </c>
      <c r="DD201">
        <v>13</v>
      </c>
      <c r="DE201">
        <v>-3.0880000000000005</v>
      </c>
      <c r="DF201">
        <v>7</v>
      </c>
      <c r="DG201">
        <v>-16.919999999999998</v>
      </c>
      <c r="DH201">
        <v>1</v>
      </c>
      <c r="DI201">
        <v>23</v>
      </c>
      <c r="DJ201">
        <v>19.5</v>
      </c>
      <c r="DK201">
        <v>22</v>
      </c>
      <c r="DL201">
        <v>0.13600000000000004</v>
      </c>
      <c r="DM201">
        <v>17</v>
      </c>
      <c r="DN201">
        <v>-3.8400000000000007</v>
      </c>
      <c r="DO201">
        <v>8.0000000000000071E-2</v>
      </c>
      <c r="DP201">
        <v>3</v>
      </c>
      <c r="DQ201">
        <v>1.5</v>
      </c>
      <c r="DR201">
        <v>2</v>
      </c>
      <c r="DS201">
        <v>-4.5679999999999996</v>
      </c>
      <c r="DT201">
        <v>1</v>
      </c>
      <c r="DU201">
        <v>-20.000000000000004</v>
      </c>
      <c r="DV201">
        <v>-2.56</v>
      </c>
      <c r="DW201">
        <v>11</v>
      </c>
      <c r="DX201">
        <v>13</v>
      </c>
      <c r="DY201">
        <v>14</v>
      </c>
      <c r="DZ201">
        <v>-5.3559999999999999</v>
      </c>
      <c r="EA201">
        <v>12</v>
      </c>
      <c r="EB201">
        <v>-23.48</v>
      </c>
      <c r="EC201">
        <v>-2.6</v>
      </c>
      <c r="ED201">
        <v>28</v>
      </c>
      <c r="EE201">
        <v>30</v>
      </c>
      <c r="EF201">
        <v>30</v>
      </c>
      <c r="EG201">
        <v>1.4120000000000004</v>
      </c>
      <c r="EH201">
        <v>30</v>
      </c>
      <c r="EI201">
        <v>8.3999999999999986</v>
      </c>
      <c r="EJ201">
        <v>3.3600000000000003</v>
      </c>
      <c r="EK201">
        <v>6</v>
      </c>
      <c r="EL201">
        <v>5.5</v>
      </c>
      <c r="EM201">
        <v>6</v>
      </c>
      <c r="EN201">
        <v>-3.6799999999999997</v>
      </c>
      <c r="EO201">
        <v>5</v>
      </c>
      <c r="EP201">
        <v>-14.800000000000002</v>
      </c>
      <c r="EQ201">
        <v>-0.75999999999999956</v>
      </c>
      <c r="ER201">
        <v>6</v>
      </c>
      <c r="ES201">
        <v>8</v>
      </c>
      <c r="ET201">
        <v>7</v>
      </c>
      <c r="EU201">
        <v>0.16799999999999979</v>
      </c>
      <c r="EV201">
        <v>9</v>
      </c>
      <c r="EW201">
        <v>-7.44</v>
      </c>
      <c r="EX201">
        <v>-0.12000000000000037</v>
      </c>
      <c r="EY201">
        <v>3</v>
      </c>
      <c r="EZ201">
        <v>3.5</v>
      </c>
      <c r="FA201">
        <v>6</v>
      </c>
      <c r="FB201">
        <v>-0.68</v>
      </c>
      <c r="FC201">
        <v>1</v>
      </c>
      <c r="FD201">
        <v>-0.4</v>
      </c>
      <c r="FE201">
        <v>4.6399999999999997</v>
      </c>
      <c r="FF201">
        <v>15</v>
      </c>
      <c r="FG201">
        <v>15.75</v>
      </c>
      <c r="FH201">
        <v>16</v>
      </c>
      <c r="FI201">
        <v>-5.3431099468023248E-2</v>
      </c>
      <c r="FJ201">
        <v>21</v>
      </c>
      <c r="FK201">
        <v>5.44959390423935E-3</v>
      </c>
      <c r="FL201">
        <v>13</v>
      </c>
      <c r="FM201">
        <v>-1.6239999999999994</v>
      </c>
      <c r="FN201">
        <v>13</v>
      </c>
      <c r="FO201">
        <v>-0.79999999999999982</v>
      </c>
      <c r="FP201">
        <v>-1.8799999999999983</v>
      </c>
      <c r="FQ201">
        <v>-2.44</v>
      </c>
      <c r="FR201">
        <v>2.0800000000000005</v>
      </c>
      <c r="FS201">
        <v>-1.4400000000000019</v>
      </c>
      <c r="FT201">
        <v>-3.7600000000000002</v>
      </c>
      <c r="FU201">
        <v>-0.36</v>
      </c>
      <c r="FV201">
        <v>-28.520000000000003</v>
      </c>
      <c r="FW201">
        <v>-25.52</v>
      </c>
      <c r="FX201">
        <v>-10.199999999999999</v>
      </c>
      <c r="FY201">
        <v>4.0000000000000036E-2</v>
      </c>
      <c r="FZ201">
        <v>7.160000000000001</v>
      </c>
      <c r="GA201">
        <v>14</v>
      </c>
      <c r="GB201">
        <v>0.39639999999999909</v>
      </c>
      <c r="GC201">
        <v>-0.70391999999999988</v>
      </c>
      <c r="GD201">
        <v>-15.32</v>
      </c>
      <c r="GE201">
        <v>-0.39639999999999898</v>
      </c>
      <c r="GF201">
        <v>-1.8164500000000001</v>
      </c>
      <c r="GG201">
        <v>-8.5119999999999987</v>
      </c>
      <c r="GH201">
        <v>-35.080000000000005</v>
      </c>
      <c r="GI201">
        <v>-2.9520000000000004</v>
      </c>
      <c r="GJ201">
        <v>-20.759999999999998</v>
      </c>
      <c r="GK201">
        <v>-1.9200000000000002</v>
      </c>
      <c r="GL201">
        <v>1.08</v>
      </c>
    </row>
    <row r="202" spans="1:194" x14ac:dyDescent="0.2">
      <c r="A202" s="39">
        <v>43758</v>
      </c>
      <c r="B202" s="22" t="s">
        <v>250</v>
      </c>
      <c r="C202" s="41" t="s">
        <v>304</v>
      </c>
      <c r="D202" s="22" t="s">
        <v>295</v>
      </c>
      <c r="E202" s="14">
        <v>11</v>
      </c>
      <c r="F202">
        <v>13.6</v>
      </c>
      <c r="G202">
        <v>9.9</v>
      </c>
      <c r="H202">
        <v>16.8</v>
      </c>
      <c r="I202">
        <v>-3</v>
      </c>
      <c r="J202">
        <v>54.5</v>
      </c>
      <c r="K202" t="s">
        <v>109</v>
      </c>
      <c r="L202" s="1" t="s">
        <v>304</v>
      </c>
      <c r="M202">
        <v>18</v>
      </c>
      <c r="N202">
        <v>-0.68479999999999941</v>
      </c>
      <c r="O202">
        <v>12</v>
      </c>
      <c r="P202">
        <v>14.5</v>
      </c>
      <c r="Q202">
        <v>15</v>
      </c>
      <c r="R202">
        <v>-1.1408</v>
      </c>
      <c r="S202">
        <v>14</v>
      </c>
      <c r="T202">
        <v>-13.159999999999997</v>
      </c>
      <c r="U202">
        <v>-0.32000000000000012</v>
      </c>
      <c r="V202">
        <v>21</v>
      </c>
      <c r="W202">
        <v>19</v>
      </c>
      <c r="X202">
        <v>21</v>
      </c>
      <c r="Y202">
        <v>-1.4319999999999999</v>
      </c>
      <c r="Z202">
        <v>17</v>
      </c>
      <c r="AA202">
        <v>2.6400000000000006</v>
      </c>
      <c r="AB202">
        <v>-0.27999999999999997</v>
      </c>
      <c r="AC202">
        <v>12</v>
      </c>
      <c r="AD202">
        <v>13</v>
      </c>
      <c r="AE202">
        <v>13</v>
      </c>
      <c r="AF202">
        <v>7.3</v>
      </c>
      <c r="AG202">
        <v>13</v>
      </c>
      <c r="AH202">
        <v>20.160000000000004</v>
      </c>
      <c r="AI202">
        <v>3.1599999999999997</v>
      </c>
      <c r="AJ202">
        <v>4</v>
      </c>
      <c r="AK202">
        <v>4.5</v>
      </c>
      <c r="AL202">
        <v>7</v>
      </c>
      <c r="AM202">
        <v>1.1999999999999997</v>
      </c>
      <c r="AN202">
        <v>2</v>
      </c>
      <c r="AO202">
        <v>1</v>
      </c>
      <c r="AP202">
        <v>1.8399999999999999</v>
      </c>
      <c r="AQ202">
        <v>8</v>
      </c>
      <c r="AR202">
        <v>8.5</v>
      </c>
      <c r="AS202">
        <v>8</v>
      </c>
      <c r="AT202">
        <v>7.7879999999999994</v>
      </c>
      <c r="AU202">
        <v>9</v>
      </c>
      <c r="AV202">
        <v>38.44</v>
      </c>
      <c r="AW202">
        <v>2.2399999999999998</v>
      </c>
      <c r="AX202">
        <v>5</v>
      </c>
      <c r="AY202">
        <v>5</v>
      </c>
      <c r="AZ202">
        <v>8</v>
      </c>
      <c r="BA202">
        <v>6.3080000000000016</v>
      </c>
      <c r="BB202">
        <v>2</v>
      </c>
      <c r="BC202">
        <v>26.680000000000007</v>
      </c>
      <c r="BD202">
        <v>3.9200000000000004</v>
      </c>
      <c r="BE202">
        <v>12</v>
      </c>
      <c r="BF202">
        <v>12.5</v>
      </c>
      <c r="BG202">
        <v>14</v>
      </c>
      <c r="BH202">
        <v>2.7319999999999998</v>
      </c>
      <c r="BI202">
        <v>11</v>
      </c>
      <c r="BJ202">
        <v>21.24</v>
      </c>
      <c r="BK202">
        <v>2.8</v>
      </c>
      <c r="BL202">
        <v>16</v>
      </c>
      <c r="BM202">
        <v>15.5</v>
      </c>
      <c r="BN202">
        <v>18</v>
      </c>
      <c r="BO202">
        <v>2.84</v>
      </c>
      <c r="BP202">
        <v>13</v>
      </c>
      <c r="BQ202">
        <v>0.4</v>
      </c>
      <c r="BR202">
        <v>-0.55999999999999983</v>
      </c>
      <c r="BS202">
        <v>23</v>
      </c>
      <c r="BT202">
        <v>20.5</v>
      </c>
      <c r="BU202">
        <v>32</v>
      </c>
      <c r="BV202">
        <v>9.0780050721000746E-2</v>
      </c>
      <c r="BW202">
        <v>29</v>
      </c>
      <c r="BX202">
        <v>-8.8088897539297974E-3</v>
      </c>
      <c r="BY202">
        <v>8</v>
      </c>
      <c r="BZ202">
        <v>-4.5040000000000004</v>
      </c>
      <c r="CA202">
        <v>13</v>
      </c>
      <c r="CB202">
        <v>1.7763568394002506E-16</v>
      </c>
      <c r="CC202">
        <v>3.7599999999999993</v>
      </c>
      <c r="CD202">
        <v>2.8400000000000003</v>
      </c>
      <c r="CE202">
        <v>0.48000000000000009</v>
      </c>
      <c r="CF202">
        <v>45.48</v>
      </c>
      <c r="CG202">
        <v>60.160000000000004</v>
      </c>
      <c r="CH202">
        <v>-13.8</v>
      </c>
      <c r="CI202">
        <v>9.879999999999999</v>
      </c>
      <c r="CJ202">
        <v>-10.76</v>
      </c>
      <c r="CK202">
        <v>15</v>
      </c>
      <c r="CL202">
        <v>1.8880000000000006</v>
      </c>
      <c r="CM202">
        <v>4.9534400000000005</v>
      </c>
      <c r="CN202">
        <v>73.960000000000008</v>
      </c>
      <c r="CO202">
        <v>-1.8880000000000006</v>
      </c>
      <c r="CP202">
        <v>2.3252999999999999</v>
      </c>
      <c r="CQ202">
        <v>16.288</v>
      </c>
      <c r="CR202">
        <v>59.6</v>
      </c>
      <c r="CS202">
        <v>-2.5728</v>
      </c>
      <c r="CT202">
        <v>-10.519999999999996</v>
      </c>
      <c r="CU202">
        <v>10.039999999999999</v>
      </c>
      <c r="CV202">
        <v>-0.60000000000000009</v>
      </c>
      <c r="CW202">
        <v>1.7071875000000005</v>
      </c>
      <c r="CX202">
        <v>-0.31482500000000002</v>
      </c>
      <c r="CY202" t="s">
        <v>295</v>
      </c>
      <c r="CZ202">
        <v>27</v>
      </c>
      <c r="DA202">
        <v>7.9056000000000024</v>
      </c>
      <c r="DB202">
        <v>30</v>
      </c>
      <c r="DC202">
        <v>28</v>
      </c>
      <c r="DD202">
        <v>28</v>
      </c>
      <c r="DE202">
        <v>1.8200000000000003</v>
      </c>
      <c r="DF202">
        <v>28</v>
      </c>
      <c r="DG202">
        <v>-1.1599999999999995</v>
      </c>
      <c r="DH202">
        <v>0.60000000000000009</v>
      </c>
      <c r="DI202">
        <v>28</v>
      </c>
      <c r="DJ202">
        <v>25.5</v>
      </c>
      <c r="DK202">
        <v>30</v>
      </c>
      <c r="DL202">
        <v>0.12799999999999975</v>
      </c>
      <c r="DM202">
        <v>21</v>
      </c>
      <c r="DN202">
        <v>0.96000000000000085</v>
      </c>
      <c r="DO202">
        <v>0.32000000000000012</v>
      </c>
      <c r="DP202">
        <v>22</v>
      </c>
      <c r="DQ202">
        <v>18.5</v>
      </c>
      <c r="DR202">
        <v>21</v>
      </c>
      <c r="DS202">
        <v>5.4960000000000013</v>
      </c>
      <c r="DT202">
        <v>16</v>
      </c>
      <c r="DU202">
        <v>25.76</v>
      </c>
      <c r="DV202">
        <v>0.72000000000000008</v>
      </c>
      <c r="DW202">
        <v>9</v>
      </c>
      <c r="DX202">
        <v>10</v>
      </c>
      <c r="DY202">
        <v>9</v>
      </c>
      <c r="DZ202">
        <v>10.008000000000001</v>
      </c>
      <c r="EA202">
        <v>11</v>
      </c>
      <c r="EB202">
        <v>40.520000000000003</v>
      </c>
      <c r="EC202">
        <v>0.32000000000000012</v>
      </c>
      <c r="ED202">
        <v>17</v>
      </c>
      <c r="EE202">
        <v>26.5</v>
      </c>
      <c r="EF202">
        <v>29</v>
      </c>
      <c r="EG202">
        <v>0.51600000000000035</v>
      </c>
      <c r="EH202">
        <v>24</v>
      </c>
      <c r="EI202">
        <v>3.72</v>
      </c>
      <c r="EJ202">
        <v>-0.67999999999999994</v>
      </c>
      <c r="EK202">
        <v>10</v>
      </c>
      <c r="EL202">
        <v>11.5</v>
      </c>
      <c r="EM202">
        <v>14</v>
      </c>
      <c r="EN202">
        <v>4.1599999999999993</v>
      </c>
      <c r="EO202">
        <v>9</v>
      </c>
      <c r="EP202">
        <v>5.6</v>
      </c>
      <c r="EQ202">
        <v>0.48000000000000009</v>
      </c>
      <c r="ER202">
        <v>29</v>
      </c>
      <c r="ES202">
        <v>26.5</v>
      </c>
      <c r="ET202">
        <v>30</v>
      </c>
      <c r="EU202">
        <v>1.0399999999999996</v>
      </c>
      <c r="EV202">
        <v>23</v>
      </c>
      <c r="EW202">
        <v>-3.5200000000000018</v>
      </c>
      <c r="EX202">
        <v>-0.11999999999999993</v>
      </c>
      <c r="EY202">
        <v>17</v>
      </c>
      <c r="EZ202">
        <v>14.5</v>
      </c>
      <c r="FA202">
        <v>14</v>
      </c>
      <c r="FB202">
        <v>2.9200000000000004</v>
      </c>
      <c r="FC202">
        <v>15</v>
      </c>
      <c r="FD202">
        <v>0</v>
      </c>
      <c r="FE202">
        <v>-0.40000000000000019</v>
      </c>
      <c r="FF202">
        <v>19</v>
      </c>
      <c r="FG202">
        <v>16.5</v>
      </c>
      <c r="FH202">
        <v>10</v>
      </c>
      <c r="FI202">
        <v>-7.832631225409413E-2</v>
      </c>
      <c r="FJ202">
        <v>20</v>
      </c>
      <c r="FK202">
        <v>-4.6038082226176433E-2</v>
      </c>
      <c r="FL202">
        <v>25</v>
      </c>
      <c r="FM202">
        <v>8.8160000000000007</v>
      </c>
      <c r="FN202">
        <v>11</v>
      </c>
      <c r="FO202">
        <v>-5.4</v>
      </c>
      <c r="FP202">
        <v>1.8000000000000007</v>
      </c>
      <c r="FQ202">
        <v>1.4800000000000004</v>
      </c>
      <c r="FR202">
        <v>-0.44000000000000006</v>
      </c>
      <c r="FS202">
        <v>0.67999999999999972</v>
      </c>
      <c r="FT202">
        <v>8.84</v>
      </c>
      <c r="FU202">
        <v>0.47999999999999987</v>
      </c>
      <c r="FV202">
        <v>55.879999999999995</v>
      </c>
      <c r="FW202">
        <v>64.64</v>
      </c>
      <c r="FX202">
        <v>-4.8400000000000007</v>
      </c>
      <c r="FY202">
        <v>-1.6</v>
      </c>
      <c r="FZ202">
        <v>-2.3199999999999998</v>
      </c>
      <c r="GA202">
        <v>4</v>
      </c>
      <c r="GB202">
        <v>5.957600000000002</v>
      </c>
      <c r="GC202">
        <v>4.0191200000000009</v>
      </c>
      <c r="GD202">
        <v>69.48</v>
      </c>
      <c r="GE202">
        <v>-5.9576000000000029</v>
      </c>
      <c r="GF202">
        <v>3.729200000000001</v>
      </c>
      <c r="GG202">
        <v>16.020000000000003</v>
      </c>
      <c r="GH202">
        <v>70</v>
      </c>
      <c r="GI202">
        <v>1.948</v>
      </c>
      <c r="GJ202">
        <v>-0.19999999999999862</v>
      </c>
      <c r="GK202">
        <v>0.24000000000000038</v>
      </c>
      <c r="GL202">
        <v>0.92000000000000015</v>
      </c>
    </row>
    <row r="203" spans="1:194" x14ac:dyDescent="0.2">
      <c r="A203" s="39">
        <v>43758</v>
      </c>
      <c r="B203" s="22" t="s">
        <v>250</v>
      </c>
      <c r="C203" s="41" t="s">
        <v>293</v>
      </c>
      <c r="D203" s="22" t="s">
        <v>276</v>
      </c>
      <c r="E203" s="14">
        <v>13.2</v>
      </c>
      <c r="F203">
        <v>16.5</v>
      </c>
      <c r="G203">
        <v>8.3000000000000007</v>
      </c>
      <c r="H203">
        <v>8.1</v>
      </c>
      <c r="I203">
        <v>17</v>
      </c>
      <c r="J203">
        <v>42.5</v>
      </c>
      <c r="L203" s="1" t="s">
        <v>293</v>
      </c>
      <c r="M203">
        <v>22</v>
      </c>
      <c r="N203">
        <v>-2.4400000000000004</v>
      </c>
      <c r="O203">
        <v>31</v>
      </c>
      <c r="P203">
        <v>29</v>
      </c>
      <c r="Q203">
        <v>27</v>
      </c>
      <c r="R203">
        <v>-5.7080000000000002</v>
      </c>
      <c r="S203">
        <v>31</v>
      </c>
      <c r="T203">
        <v>-26.360000000000003</v>
      </c>
      <c r="U203">
        <v>2.4400000000000004</v>
      </c>
      <c r="V203">
        <v>26</v>
      </c>
      <c r="W203">
        <v>24.5</v>
      </c>
      <c r="X203">
        <v>23</v>
      </c>
      <c r="Y203">
        <v>3.2000000000000028E-2</v>
      </c>
      <c r="Z203">
        <v>26</v>
      </c>
      <c r="AA203">
        <v>12.760000000000002</v>
      </c>
      <c r="AB203">
        <v>4.0000000000000036E-2</v>
      </c>
      <c r="AC203">
        <v>1</v>
      </c>
      <c r="AD203">
        <v>1.5</v>
      </c>
      <c r="AE203">
        <v>2</v>
      </c>
      <c r="AF203">
        <v>-2.5200000000000005</v>
      </c>
      <c r="AG203">
        <v>1</v>
      </c>
      <c r="AH203">
        <v>-1.8400000000000005</v>
      </c>
      <c r="AI203">
        <v>0.40000000000000019</v>
      </c>
      <c r="AJ203">
        <v>18</v>
      </c>
      <c r="AK203">
        <v>18.5</v>
      </c>
      <c r="AL203">
        <v>18</v>
      </c>
      <c r="AM203">
        <v>0.65999999999999948</v>
      </c>
      <c r="AN203">
        <v>19</v>
      </c>
      <c r="AO203">
        <v>-0.71999999999999886</v>
      </c>
      <c r="AP203">
        <v>0.24000000000000005</v>
      </c>
      <c r="AQ203">
        <v>5</v>
      </c>
      <c r="AR203">
        <v>5.5</v>
      </c>
      <c r="AS203">
        <v>4</v>
      </c>
      <c r="AT203">
        <v>0.70000000000000018</v>
      </c>
      <c r="AU203">
        <v>7</v>
      </c>
      <c r="AV203">
        <v>1.5599999999999998</v>
      </c>
      <c r="AW203">
        <v>0.72</v>
      </c>
      <c r="AX203">
        <v>1</v>
      </c>
      <c r="AY203">
        <v>1</v>
      </c>
      <c r="AZ203">
        <v>1</v>
      </c>
      <c r="BA203">
        <v>0.99200000000000121</v>
      </c>
      <c r="BB203">
        <v>1</v>
      </c>
      <c r="BC203">
        <v>4.7199999999999989</v>
      </c>
      <c r="BD203">
        <v>1.1600000000000001</v>
      </c>
      <c r="BE203">
        <v>10</v>
      </c>
      <c r="BF203">
        <v>11</v>
      </c>
      <c r="BG203">
        <v>12</v>
      </c>
      <c r="BH203">
        <v>-2.6280000000000001</v>
      </c>
      <c r="BI203">
        <v>10</v>
      </c>
      <c r="BJ203">
        <v>-7.0799999999999983</v>
      </c>
      <c r="BK203">
        <v>-0.68</v>
      </c>
      <c r="BL203">
        <v>13</v>
      </c>
      <c r="BM203">
        <v>12</v>
      </c>
      <c r="BN203">
        <v>3</v>
      </c>
      <c r="BO203">
        <v>-1.64</v>
      </c>
      <c r="BP203">
        <v>21</v>
      </c>
      <c r="BQ203">
        <v>-3.9999999999999966E-2</v>
      </c>
      <c r="BR203">
        <v>-6.919999999999999</v>
      </c>
      <c r="BS203">
        <v>16</v>
      </c>
      <c r="BT203">
        <v>14.5</v>
      </c>
      <c r="BU203">
        <v>12</v>
      </c>
      <c r="BV203">
        <v>3.001764313433869E-2</v>
      </c>
      <c r="BW203">
        <v>10</v>
      </c>
      <c r="BX203">
        <v>1.8864583533273548E-2</v>
      </c>
      <c r="BY203">
        <v>14</v>
      </c>
      <c r="BZ203">
        <v>-7.8919999999999986</v>
      </c>
      <c r="CA203">
        <v>22</v>
      </c>
      <c r="CB203">
        <v>5.9599999999999991</v>
      </c>
      <c r="CC203">
        <v>2.4400000000000004</v>
      </c>
      <c r="CD203">
        <v>-5.2799999999999994</v>
      </c>
      <c r="CE203">
        <v>-1.9600000000000002</v>
      </c>
      <c r="CF203">
        <v>-28.160000000000004</v>
      </c>
      <c r="CG203">
        <v>-3.4800000000000066</v>
      </c>
      <c r="CH203">
        <v>-13.560000000000002</v>
      </c>
      <c r="CI203">
        <v>-7.68</v>
      </c>
      <c r="CJ203">
        <v>-3.44</v>
      </c>
      <c r="CK203">
        <v>13</v>
      </c>
      <c r="CL203">
        <v>3.2359999999999998</v>
      </c>
      <c r="CM203">
        <v>1.5923999999999998</v>
      </c>
      <c r="CN203">
        <v>10.079999999999995</v>
      </c>
      <c r="CO203">
        <v>-3.2359999999999998</v>
      </c>
      <c r="CP203">
        <v>-1.6930000000000001</v>
      </c>
      <c r="CQ203">
        <v>-1.1600000000000008</v>
      </c>
      <c r="CR203">
        <v>-0.99999999999999978</v>
      </c>
      <c r="CS203">
        <v>-5.6760000000000002</v>
      </c>
      <c r="CT203">
        <v>-13.600000000000001</v>
      </c>
      <c r="CU203">
        <v>0.68000000000000027</v>
      </c>
      <c r="CV203">
        <v>2.4800000000000004</v>
      </c>
      <c r="CW203">
        <v>-0.1896874999999999</v>
      </c>
      <c r="CX203">
        <v>0.75737500000000013</v>
      </c>
      <c r="CY203" t="s">
        <v>276</v>
      </c>
      <c r="CZ203">
        <v>24</v>
      </c>
      <c r="DA203">
        <v>-2.92</v>
      </c>
      <c r="DB203">
        <v>10</v>
      </c>
      <c r="DC203">
        <v>10.5</v>
      </c>
      <c r="DD203">
        <v>8</v>
      </c>
      <c r="DE203">
        <v>2.1559999999999988</v>
      </c>
      <c r="DF203">
        <v>13</v>
      </c>
      <c r="DG203">
        <v>11.02</v>
      </c>
      <c r="DH203">
        <v>-1.06</v>
      </c>
      <c r="DI203">
        <v>3</v>
      </c>
      <c r="DJ203">
        <v>6</v>
      </c>
      <c r="DK203">
        <v>2</v>
      </c>
      <c r="DL203">
        <v>-0.32899999999999968</v>
      </c>
      <c r="DM203">
        <v>10</v>
      </c>
      <c r="DN203">
        <v>1.3399999999999992</v>
      </c>
      <c r="DO203">
        <v>0.16000000000000014</v>
      </c>
      <c r="DP203">
        <v>17</v>
      </c>
      <c r="DQ203">
        <v>19</v>
      </c>
      <c r="DR203">
        <v>20</v>
      </c>
      <c r="DS203">
        <v>-4.4719999999999995</v>
      </c>
      <c r="DT203">
        <v>18</v>
      </c>
      <c r="DU203">
        <v>-13.639999999999997</v>
      </c>
      <c r="DV203">
        <v>-0.28000000000000008</v>
      </c>
      <c r="DW203">
        <v>20</v>
      </c>
      <c r="DX203">
        <v>19</v>
      </c>
      <c r="DY203">
        <v>20</v>
      </c>
      <c r="DZ203">
        <v>-2.3449999999999998</v>
      </c>
      <c r="EA203">
        <v>18</v>
      </c>
      <c r="EB203">
        <v>-13.55</v>
      </c>
      <c r="EC203">
        <v>0.34</v>
      </c>
      <c r="ED203">
        <v>8</v>
      </c>
      <c r="EE203">
        <v>21</v>
      </c>
      <c r="EF203">
        <v>11</v>
      </c>
      <c r="EG203">
        <v>2.7</v>
      </c>
      <c r="EH203">
        <v>31</v>
      </c>
      <c r="EI203">
        <v>16.28</v>
      </c>
      <c r="EJ203">
        <v>1.1600000000000001</v>
      </c>
      <c r="EK203">
        <v>20</v>
      </c>
      <c r="EL203">
        <v>19</v>
      </c>
      <c r="EM203">
        <v>19</v>
      </c>
      <c r="EN203">
        <v>-5.0759999999999996</v>
      </c>
      <c r="EO203">
        <v>19</v>
      </c>
      <c r="EP203">
        <v>-15.8</v>
      </c>
      <c r="EQ203">
        <v>-5.4</v>
      </c>
      <c r="ER203">
        <v>32</v>
      </c>
      <c r="ES203">
        <v>32</v>
      </c>
      <c r="ET203">
        <v>32</v>
      </c>
      <c r="EU203">
        <v>-2.524</v>
      </c>
      <c r="EV203">
        <v>32</v>
      </c>
      <c r="EW203">
        <v>-7.0400000000000009</v>
      </c>
      <c r="EX203">
        <v>-2.12</v>
      </c>
      <c r="EY203">
        <v>32</v>
      </c>
      <c r="EZ203">
        <v>32</v>
      </c>
      <c r="FA203">
        <v>32</v>
      </c>
      <c r="FB203">
        <v>-1.3599999999999999</v>
      </c>
      <c r="FC203">
        <v>32</v>
      </c>
      <c r="FD203">
        <v>8.0000000000000029E-2</v>
      </c>
      <c r="FE203">
        <v>-0.68</v>
      </c>
      <c r="FF203">
        <v>7</v>
      </c>
      <c r="FG203">
        <v>12.25</v>
      </c>
      <c r="FH203">
        <v>24</v>
      </c>
      <c r="FI203">
        <v>-5.7213415791041219E-3</v>
      </c>
      <c r="FJ203">
        <v>3</v>
      </c>
      <c r="FK203">
        <v>-2.9869185457736213E-2</v>
      </c>
      <c r="FL203">
        <v>17</v>
      </c>
      <c r="FM203">
        <v>-4.8960000000000008</v>
      </c>
      <c r="FN203">
        <v>5</v>
      </c>
      <c r="FO203">
        <v>-2.7600000000000002</v>
      </c>
      <c r="FP203">
        <v>-0.6399999999999999</v>
      </c>
      <c r="FQ203">
        <v>-3.9999999999999855E-2</v>
      </c>
      <c r="FR203">
        <v>0.31999999999999995</v>
      </c>
      <c r="FS203">
        <v>-2.1200000000000019</v>
      </c>
      <c r="FT203">
        <v>-2.1199999999999997</v>
      </c>
      <c r="FU203">
        <v>-0.83999999999999986</v>
      </c>
      <c r="FV203">
        <v>-6.6</v>
      </c>
      <c r="FW203">
        <v>-15.88</v>
      </c>
      <c r="FX203">
        <v>12.559999999999997</v>
      </c>
      <c r="FY203">
        <v>1.6</v>
      </c>
      <c r="FZ203">
        <v>-4.88</v>
      </c>
      <c r="GA203">
        <v>29</v>
      </c>
      <c r="GB203">
        <v>-4.746999999999999</v>
      </c>
      <c r="GC203">
        <v>-2.8256999999999994</v>
      </c>
      <c r="GD203">
        <v>-28.439999999999998</v>
      </c>
      <c r="GE203">
        <v>4.746999999999999</v>
      </c>
      <c r="GF203">
        <v>-1.1367499999999999</v>
      </c>
      <c r="GG203">
        <v>-4.1169999999999991</v>
      </c>
      <c r="GH203">
        <v>-10.909999999999997</v>
      </c>
      <c r="GI203">
        <v>1.8269999999999991</v>
      </c>
      <c r="GJ203">
        <v>12.36</v>
      </c>
      <c r="GK203">
        <v>-0.89999999999999991</v>
      </c>
      <c r="GL203">
        <v>-0.89999999999999991</v>
      </c>
    </row>
    <row r="204" spans="1:194" x14ac:dyDescent="0.2">
      <c r="A204" s="39">
        <v>43758</v>
      </c>
      <c r="B204" s="22" t="s">
        <v>250</v>
      </c>
      <c r="C204" s="41" t="s">
        <v>312</v>
      </c>
      <c r="D204" s="22" t="s">
        <v>299</v>
      </c>
      <c r="E204">
        <f>14+9.5</f>
        <v>23.5</v>
      </c>
      <c r="F204">
        <v>24.2</v>
      </c>
      <c r="G204">
        <v>0</v>
      </c>
      <c r="H204">
        <v>27.8</v>
      </c>
      <c r="I204">
        <v>-2.5</v>
      </c>
      <c r="J204">
        <v>43.5</v>
      </c>
      <c r="L204" s="1" t="s">
        <v>312</v>
      </c>
      <c r="M204">
        <v>23</v>
      </c>
      <c r="N204">
        <v>-2.6048000000000004</v>
      </c>
      <c r="O204">
        <v>12</v>
      </c>
      <c r="P204">
        <v>14.5</v>
      </c>
      <c r="Q204">
        <v>7</v>
      </c>
      <c r="R204">
        <v>6.8320000000000007</v>
      </c>
      <c r="S204">
        <v>22</v>
      </c>
      <c r="T204">
        <v>33.96</v>
      </c>
      <c r="U204">
        <v>0.7</v>
      </c>
      <c r="V204">
        <v>5</v>
      </c>
      <c r="W204">
        <v>8</v>
      </c>
      <c r="X204">
        <v>13</v>
      </c>
      <c r="Y204">
        <v>-2.1119999999999997</v>
      </c>
      <c r="Z204">
        <v>3</v>
      </c>
      <c r="AA204">
        <v>13.65</v>
      </c>
      <c r="AB204">
        <v>-2.48</v>
      </c>
      <c r="AC204">
        <v>16</v>
      </c>
      <c r="AD204">
        <v>17</v>
      </c>
      <c r="AE204">
        <v>18</v>
      </c>
      <c r="AF204">
        <v>-0.43900000000000039</v>
      </c>
      <c r="AG204">
        <v>16</v>
      </c>
      <c r="AH204">
        <v>-11.64</v>
      </c>
      <c r="AI204">
        <v>-1.3900000000000001</v>
      </c>
      <c r="AJ204">
        <v>23</v>
      </c>
      <c r="AK204">
        <v>22</v>
      </c>
      <c r="AL204">
        <v>26</v>
      </c>
      <c r="AM204">
        <v>3.6549999999999998</v>
      </c>
      <c r="AN204">
        <v>18</v>
      </c>
      <c r="AO204">
        <v>14.870000000000001</v>
      </c>
      <c r="AP204">
        <v>0.17999999999999988</v>
      </c>
      <c r="AQ204">
        <v>27</v>
      </c>
      <c r="AR204">
        <v>28</v>
      </c>
      <c r="AS204">
        <v>27</v>
      </c>
      <c r="AT204">
        <v>-1.0580000000000001</v>
      </c>
      <c r="AU204">
        <v>29</v>
      </c>
      <c r="AV204">
        <v>1.36</v>
      </c>
      <c r="AW204">
        <v>-1.55</v>
      </c>
      <c r="AX204">
        <v>29</v>
      </c>
      <c r="AY204">
        <v>29</v>
      </c>
      <c r="AZ204">
        <v>29</v>
      </c>
      <c r="BA204">
        <v>-5.8199999999999994</v>
      </c>
      <c r="BB204">
        <v>29</v>
      </c>
      <c r="BC204">
        <v>-25.639999999999997</v>
      </c>
      <c r="BD204">
        <v>-8.6399999999999988</v>
      </c>
      <c r="BE204">
        <v>5</v>
      </c>
      <c r="BF204">
        <v>6</v>
      </c>
      <c r="BG204">
        <v>3</v>
      </c>
      <c r="BH204">
        <v>-4.620000000000001</v>
      </c>
      <c r="BI204">
        <v>9</v>
      </c>
      <c r="BJ204">
        <v>-15.4</v>
      </c>
      <c r="BK204">
        <v>-2.6399999999999997</v>
      </c>
      <c r="BL204">
        <v>26</v>
      </c>
      <c r="BM204">
        <v>25</v>
      </c>
      <c r="BN204">
        <v>21</v>
      </c>
      <c r="BO204">
        <v>0.99999999999999944</v>
      </c>
      <c r="BP204">
        <v>29</v>
      </c>
      <c r="BQ204">
        <v>0.67999999999999994</v>
      </c>
      <c r="BR204">
        <v>0.36</v>
      </c>
      <c r="BS204">
        <v>28</v>
      </c>
      <c r="BT204">
        <v>24.5</v>
      </c>
      <c r="BU204">
        <v>22</v>
      </c>
      <c r="BV204">
        <v>4.942206420538138E-2</v>
      </c>
      <c r="BW204">
        <v>27</v>
      </c>
      <c r="BX204">
        <v>-2.7571277587572856E-3</v>
      </c>
      <c r="BY204">
        <v>22</v>
      </c>
      <c r="BZ204">
        <v>14.103999999999999</v>
      </c>
      <c r="CA204">
        <v>27</v>
      </c>
      <c r="CB204">
        <v>-1.48</v>
      </c>
      <c r="CC204">
        <v>-3.2000000000000015</v>
      </c>
      <c r="CD204">
        <v>0.87999999999999967</v>
      </c>
      <c r="CE204">
        <v>-0.6</v>
      </c>
      <c r="CF204">
        <v>20.880000000000006</v>
      </c>
      <c r="CG204">
        <v>-26.91999999999998</v>
      </c>
      <c r="CH204">
        <v>50.519999999999996</v>
      </c>
      <c r="CI204">
        <v>0.55999999999999983</v>
      </c>
      <c r="CJ204">
        <v>-3.2800000000000002</v>
      </c>
      <c r="CK204">
        <v>28</v>
      </c>
      <c r="CL204">
        <v>-7.3248000000000015</v>
      </c>
      <c r="CM204">
        <v>-3.3733600000000008</v>
      </c>
      <c r="CN204">
        <v>-77.439999999999969</v>
      </c>
      <c r="CO204">
        <v>7.3248000000000015</v>
      </c>
      <c r="CP204">
        <v>8.1649999999999709E-2</v>
      </c>
      <c r="CQ204">
        <v>2.1579999999999995</v>
      </c>
      <c r="CR204">
        <v>4.5900000000000007</v>
      </c>
      <c r="CS204">
        <v>4.7200000000000006</v>
      </c>
      <c r="CT204">
        <v>47.61</v>
      </c>
      <c r="CU204">
        <v>-5.4</v>
      </c>
      <c r="CV204">
        <v>-1.78</v>
      </c>
      <c r="CW204">
        <v>0.15853750000000016</v>
      </c>
      <c r="CX204">
        <v>-0.55642499999999995</v>
      </c>
      <c r="CY204" t="s">
        <v>299</v>
      </c>
      <c r="CZ204">
        <v>3</v>
      </c>
      <c r="DA204">
        <v>1.6279999999999997</v>
      </c>
      <c r="DB204">
        <v>14</v>
      </c>
      <c r="DC204">
        <v>16</v>
      </c>
      <c r="DD204">
        <v>14</v>
      </c>
      <c r="DE204">
        <v>-0.13199999999999967</v>
      </c>
      <c r="DF204">
        <v>18</v>
      </c>
      <c r="DG204">
        <v>17</v>
      </c>
      <c r="DH204">
        <v>-0.19999999999999982</v>
      </c>
      <c r="DI204">
        <v>11</v>
      </c>
      <c r="DJ204">
        <v>14</v>
      </c>
      <c r="DK204">
        <v>3</v>
      </c>
      <c r="DL204">
        <v>5.4</v>
      </c>
      <c r="DM204">
        <v>25</v>
      </c>
      <c r="DN204">
        <v>11.2</v>
      </c>
      <c r="DO204">
        <v>-8.0000000000000071E-2</v>
      </c>
      <c r="DP204">
        <v>10</v>
      </c>
      <c r="DQ204">
        <v>9.5</v>
      </c>
      <c r="DR204">
        <v>10</v>
      </c>
      <c r="DS204">
        <v>-1.0199999999999991</v>
      </c>
      <c r="DT204">
        <v>9</v>
      </c>
      <c r="DU204">
        <v>-11.959999999999999</v>
      </c>
      <c r="DV204">
        <v>1.2000000000000002</v>
      </c>
      <c r="DW204">
        <v>3</v>
      </c>
      <c r="DX204">
        <v>3.5</v>
      </c>
      <c r="DY204">
        <v>4</v>
      </c>
      <c r="DZ204">
        <v>1.6639999999999993</v>
      </c>
      <c r="EA204">
        <v>3</v>
      </c>
      <c r="EB204">
        <v>17.760000000000002</v>
      </c>
      <c r="EC204">
        <v>0.31999999999999995</v>
      </c>
      <c r="ED204">
        <v>15</v>
      </c>
      <c r="EE204">
        <v>3.5</v>
      </c>
      <c r="EF204">
        <v>3</v>
      </c>
      <c r="EG204">
        <v>-2.52</v>
      </c>
      <c r="EH204">
        <v>4</v>
      </c>
      <c r="EI204">
        <v>-9.4400000000000013</v>
      </c>
      <c r="EJ204">
        <v>-0.60000000000000009</v>
      </c>
      <c r="EK204">
        <v>2</v>
      </c>
      <c r="EL204">
        <v>3.5</v>
      </c>
      <c r="EM204">
        <v>3</v>
      </c>
      <c r="EN204">
        <v>-1.3800000000000012</v>
      </c>
      <c r="EO204">
        <v>4</v>
      </c>
      <c r="EP204">
        <v>-9.4</v>
      </c>
      <c r="EQ204">
        <v>1.5200000000000002</v>
      </c>
      <c r="ER204">
        <v>11</v>
      </c>
      <c r="ES204">
        <v>12.5</v>
      </c>
      <c r="ET204">
        <v>8</v>
      </c>
      <c r="EU204">
        <v>2.1680000000000015</v>
      </c>
      <c r="EV204">
        <v>17</v>
      </c>
      <c r="EW204">
        <v>18.88</v>
      </c>
      <c r="EX204">
        <v>0.48000000000000009</v>
      </c>
      <c r="EY204">
        <v>12</v>
      </c>
      <c r="EZ204">
        <v>12.5</v>
      </c>
      <c r="FA204">
        <v>7</v>
      </c>
      <c r="FB204">
        <v>-0.2</v>
      </c>
      <c r="FC204">
        <v>18</v>
      </c>
      <c r="FD204">
        <v>0.15999999999999998</v>
      </c>
      <c r="FE204">
        <v>-2.04</v>
      </c>
      <c r="FF204">
        <v>24</v>
      </c>
      <c r="FG204">
        <v>21</v>
      </c>
      <c r="FH204">
        <v>26</v>
      </c>
      <c r="FI204">
        <v>-7.38521219994525E-2</v>
      </c>
      <c r="FJ204">
        <v>23</v>
      </c>
      <c r="FK204">
        <v>-1.6347826541173553E-2</v>
      </c>
      <c r="FL204">
        <v>5</v>
      </c>
      <c r="FM204">
        <v>-2.9919999999999987</v>
      </c>
      <c r="FN204">
        <v>30</v>
      </c>
      <c r="FO204">
        <v>-0.15999999999999998</v>
      </c>
      <c r="FP204">
        <v>0.7600000000000009</v>
      </c>
      <c r="FQ204">
        <v>3.7599999999999993</v>
      </c>
      <c r="FR204">
        <v>0.76</v>
      </c>
      <c r="FS204">
        <v>4.32</v>
      </c>
      <c r="FT204">
        <v>2.2000000000000002</v>
      </c>
      <c r="FU204">
        <v>0.1999999999999999</v>
      </c>
      <c r="FV204">
        <v>54.759999999999991</v>
      </c>
      <c r="FW204">
        <v>16.720000000000006</v>
      </c>
      <c r="FX204">
        <v>27.04</v>
      </c>
      <c r="FY204">
        <v>0.08</v>
      </c>
      <c r="FZ204">
        <v>10.92</v>
      </c>
      <c r="GA204">
        <v>25</v>
      </c>
      <c r="GB204">
        <v>-3.640000000000001</v>
      </c>
      <c r="GC204">
        <v>-2.25</v>
      </c>
      <c r="GD204">
        <v>-10.319999999999993</v>
      </c>
      <c r="GE204">
        <v>3.640000000000001</v>
      </c>
      <c r="GF204">
        <v>0.87350000000000028</v>
      </c>
      <c r="GG204">
        <v>-1.8759999999999999</v>
      </c>
      <c r="GH204">
        <v>-3.6399999999999988</v>
      </c>
      <c r="GI204">
        <v>5.2680000000000007</v>
      </c>
      <c r="GJ204">
        <v>28.2</v>
      </c>
      <c r="GK204">
        <v>1.4</v>
      </c>
      <c r="GL204">
        <v>-0.27999999999999992</v>
      </c>
    </row>
    <row r="205" spans="1:194" x14ac:dyDescent="0.2">
      <c r="A205" s="39">
        <v>43758</v>
      </c>
      <c r="B205" s="22" t="s">
        <v>250</v>
      </c>
      <c r="C205" s="41" t="s">
        <v>302</v>
      </c>
      <c r="D205" s="22" t="s">
        <v>298</v>
      </c>
      <c r="E205">
        <v>13.7</v>
      </c>
      <c r="F205" s="14">
        <v>13.6</v>
      </c>
      <c r="G205">
        <v>9.6999999999999993</v>
      </c>
      <c r="H205">
        <v>5.9</v>
      </c>
      <c r="I205">
        <v>-9.5</v>
      </c>
      <c r="J205">
        <v>43</v>
      </c>
      <c r="L205" s="1" t="s">
        <v>302</v>
      </c>
      <c r="M205">
        <v>8</v>
      </c>
      <c r="N205">
        <v>2.6827999999999994</v>
      </c>
      <c r="O205">
        <v>27</v>
      </c>
      <c r="P205">
        <v>25</v>
      </c>
      <c r="Q205">
        <v>32</v>
      </c>
      <c r="R205">
        <v>-4.2480000000000002</v>
      </c>
      <c r="S205">
        <v>18</v>
      </c>
      <c r="T205">
        <v>-4.0399999999999991</v>
      </c>
      <c r="U205">
        <v>-0.44000000000000006</v>
      </c>
      <c r="V205">
        <v>12</v>
      </c>
      <c r="W205">
        <v>11.5</v>
      </c>
      <c r="X205">
        <v>5</v>
      </c>
      <c r="Y205">
        <v>5.3559999999999999</v>
      </c>
      <c r="Z205">
        <v>18</v>
      </c>
      <c r="AA205">
        <v>-9.7600000000000016</v>
      </c>
      <c r="AB205">
        <v>3.12</v>
      </c>
      <c r="AC205">
        <v>4</v>
      </c>
      <c r="AD205">
        <v>4</v>
      </c>
      <c r="AE205">
        <v>3</v>
      </c>
      <c r="AF205">
        <v>1.6280000000000012</v>
      </c>
      <c r="AG205">
        <v>5</v>
      </c>
      <c r="AH205">
        <v>2.3599999999999981</v>
      </c>
      <c r="AI205">
        <v>1.7600000000000002</v>
      </c>
      <c r="AJ205">
        <v>14</v>
      </c>
      <c r="AK205">
        <v>14</v>
      </c>
      <c r="AL205">
        <v>15</v>
      </c>
      <c r="AM205">
        <v>-1.2479999999999998</v>
      </c>
      <c r="AN205">
        <v>13</v>
      </c>
      <c r="AO205">
        <v>4.2800000000000011</v>
      </c>
      <c r="AP205">
        <v>0.3999999999999998</v>
      </c>
      <c r="AQ205">
        <v>16</v>
      </c>
      <c r="AR205">
        <v>16</v>
      </c>
      <c r="AS205">
        <v>13</v>
      </c>
      <c r="AT205">
        <v>0.57600000000000051</v>
      </c>
      <c r="AU205">
        <v>19</v>
      </c>
      <c r="AV205">
        <v>-2.4799999999999995</v>
      </c>
      <c r="AW205">
        <v>1.1199999999999999</v>
      </c>
      <c r="AX205">
        <v>4</v>
      </c>
      <c r="AY205">
        <v>4.5</v>
      </c>
      <c r="AZ205">
        <v>2</v>
      </c>
      <c r="BA205">
        <v>5.3120000000000003</v>
      </c>
      <c r="BB205">
        <v>7</v>
      </c>
      <c r="BC205">
        <v>19.68</v>
      </c>
      <c r="BD205">
        <v>17.96</v>
      </c>
      <c r="BE205">
        <v>25</v>
      </c>
      <c r="BF205">
        <v>25.5</v>
      </c>
      <c r="BG205">
        <v>28</v>
      </c>
      <c r="BH205">
        <v>-1.972</v>
      </c>
      <c r="BI205">
        <v>23</v>
      </c>
      <c r="BJ205">
        <v>-6.919999999999999</v>
      </c>
      <c r="BK205">
        <v>-2.56</v>
      </c>
      <c r="BL205">
        <v>2</v>
      </c>
      <c r="BM205">
        <v>5</v>
      </c>
      <c r="BN205">
        <v>8</v>
      </c>
      <c r="BO205">
        <v>-1.32</v>
      </c>
      <c r="BP205">
        <v>2</v>
      </c>
      <c r="BQ205">
        <v>-0.48</v>
      </c>
      <c r="BR205">
        <v>9.52</v>
      </c>
      <c r="BS205">
        <v>27</v>
      </c>
      <c r="BT205">
        <v>23.25</v>
      </c>
      <c r="BU205">
        <v>23</v>
      </c>
      <c r="BV205">
        <v>-9.3523559266457099E-2</v>
      </c>
      <c r="BW205">
        <v>26</v>
      </c>
      <c r="BX205">
        <v>-7.8564589039876592E-3</v>
      </c>
      <c r="BY205">
        <v>23</v>
      </c>
      <c r="BZ205">
        <v>-14.068000000000001</v>
      </c>
      <c r="CA205">
        <v>21</v>
      </c>
      <c r="CB205">
        <v>1.48</v>
      </c>
      <c r="CC205">
        <v>5.6</v>
      </c>
      <c r="CD205">
        <v>2.3199999999999998</v>
      </c>
      <c r="CE205">
        <v>4.04</v>
      </c>
      <c r="CF205">
        <v>11.920000000000005</v>
      </c>
      <c r="CG205">
        <v>28.160000000000004</v>
      </c>
      <c r="CH205">
        <v>-6.6</v>
      </c>
      <c r="CI205">
        <v>-0.2</v>
      </c>
      <c r="CJ205">
        <v>-9.4400000000000013</v>
      </c>
      <c r="CK205">
        <v>17</v>
      </c>
      <c r="CL205">
        <v>1.5747999999999998</v>
      </c>
      <c r="CM205">
        <v>-0.22063999999999961</v>
      </c>
      <c r="CN205">
        <v>34.760000000000005</v>
      </c>
      <c r="CO205">
        <v>-1.5747999999999998</v>
      </c>
      <c r="CP205">
        <v>0.18185000000000004</v>
      </c>
      <c r="CQ205">
        <v>0.95600000000000196</v>
      </c>
      <c r="CR205">
        <v>4.1599999999999993</v>
      </c>
      <c r="CS205">
        <v>1.1079999999999997</v>
      </c>
      <c r="CT205">
        <v>-13.8</v>
      </c>
      <c r="CU205">
        <v>0.7200000000000002</v>
      </c>
      <c r="CV205">
        <v>2.68</v>
      </c>
      <c r="CW205">
        <v>-1.1980499999999998</v>
      </c>
      <c r="CX205">
        <v>-2.845475</v>
      </c>
      <c r="CY205" t="s">
        <v>298</v>
      </c>
      <c r="CZ205">
        <v>9</v>
      </c>
      <c r="DA205">
        <v>-2.7599999999999985</v>
      </c>
      <c r="DB205">
        <v>32</v>
      </c>
      <c r="DC205">
        <v>30.5</v>
      </c>
      <c r="DD205">
        <v>30</v>
      </c>
      <c r="DE205">
        <v>1.2760000000000002</v>
      </c>
      <c r="DF205">
        <v>31</v>
      </c>
      <c r="DG205">
        <v>-20.440000000000001</v>
      </c>
      <c r="DH205">
        <v>-0.68000000000000016</v>
      </c>
      <c r="DI205">
        <v>16</v>
      </c>
      <c r="DJ205">
        <v>16.5</v>
      </c>
      <c r="DK205">
        <v>18</v>
      </c>
      <c r="DL205">
        <v>0.34799999999999986</v>
      </c>
      <c r="DM205">
        <v>15</v>
      </c>
      <c r="DN205">
        <v>-2.9200000000000004</v>
      </c>
      <c r="DO205">
        <v>1.08</v>
      </c>
      <c r="DP205">
        <v>7</v>
      </c>
      <c r="DQ205">
        <v>10.5</v>
      </c>
      <c r="DR205">
        <v>8</v>
      </c>
      <c r="DS205">
        <v>0.88499999999999979</v>
      </c>
      <c r="DT205">
        <v>13</v>
      </c>
      <c r="DU205">
        <v>9</v>
      </c>
      <c r="DV205">
        <v>0.34999999999999964</v>
      </c>
      <c r="DW205">
        <v>5</v>
      </c>
      <c r="DX205">
        <v>5.5</v>
      </c>
      <c r="DY205">
        <v>5</v>
      </c>
      <c r="DZ205">
        <v>-1.5619999999999992</v>
      </c>
      <c r="EA205">
        <v>6</v>
      </c>
      <c r="EB205">
        <v>-13.620000000000001</v>
      </c>
      <c r="EC205">
        <v>-0.6</v>
      </c>
      <c r="ED205">
        <v>26</v>
      </c>
      <c r="EE205">
        <v>28.5</v>
      </c>
      <c r="EF205">
        <v>28</v>
      </c>
      <c r="EG205">
        <v>4.0119999999999987</v>
      </c>
      <c r="EH205">
        <v>29</v>
      </c>
      <c r="EI205">
        <v>18.32</v>
      </c>
      <c r="EJ205">
        <v>8.0000000000000071E-2</v>
      </c>
      <c r="EK205">
        <v>25</v>
      </c>
      <c r="EL205">
        <v>26</v>
      </c>
      <c r="EM205">
        <v>26</v>
      </c>
      <c r="EN205">
        <v>1.1039999999999968</v>
      </c>
      <c r="EO205">
        <v>26</v>
      </c>
      <c r="EP205">
        <v>17.360000000000007</v>
      </c>
      <c r="EQ205">
        <v>-6.9599999999999991</v>
      </c>
      <c r="ER205">
        <v>13</v>
      </c>
      <c r="ES205">
        <v>13.5</v>
      </c>
      <c r="ET205">
        <v>17</v>
      </c>
      <c r="EU205">
        <v>-1.2039999999999995</v>
      </c>
      <c r="EV205">
        <v>10</v>
      </c>
      <c r="EW205">
        <v>-7.6400000000000032</v>
      </c>
      <c r="EX205">
        <v>0.40000000000000024</v>
      </c>
      <c r="EY205">
        <v>24</v>
      </c>
      <c r="EZ205">
        <v>23</v>
      </c>
      <c r="FA205">
        <v>28</v>
      </c>
      <c r="FB205">
        <v>2.6</v>
      </c>
      <c r="FC205">
        <v>18</v>
      </c>
      <c r="FD205">
        <v>0.44000000000000006</v>
      </c>
      <c r="FE205">
        <v>3.7599999999999993</v>
      </c>
      <c r="FF205">
        <v>23</v>
      </c>
      <c r="FG205">
        <v>20</v>
      </c>
      <c r="FH205">
        <v>32</v>
      </c>
      <c r="FI205">
        <v>7.6954668175768196E-2</v>
      </c>
      <c r="FJ205">
        <v>22</v>
      </c>
      <c r="FK205">
        <v>-1.9577715947882331E-2</v>
      </c>
      <c r="FL205">
        <v>11</v>
      </c>
      <c r="FM205">
        <v>5.839999999999999</v>
      </c>
      <c r="FN205">
        <v>15</v>
      </c>
      <c r="FO205">
        <v>-1.7600000000000002</v>
      </c>
      <c r="FP205">
        <v>2.4</v>
      </c>
      <c r="FQ205">
        <v>1.6800000000000004</v>
      </c>
      <c r="FR205">
        <v>-0.59999999999999987</v>
      </c>
      <c r="FS205">
        <v>3.0799999999999983</v>
      </c>
      <c r="FT205">
        <v>1.2400000000000007</v>
      </c>
      <c r="FU205">
        <v>-0.16000000000000014</v>
      </c>
      <c r="FV205">
        <v>-27.879999999999995</v>
      </c>
      <c r="FW205">
        <v>4.4000000000000004</v>
      </c>
      <c r="FX205">
        <v>-27.520000000000003</v>
      </c>
      <c r="FY205">
        <v>2.52</v>
      </c>
      <c r="FZ205">
        <v>-7.2799999999999994</v>
      </c>
      <c r="GA205">
        <v>27</v>
      </c>
      <c r="GB205">
        <v>-4.3839999999999986</v>
      </c>
      <c r="GC205">
        <v>-0.93779999999999974</v>
      </c>
      <c r="GD205">
        <v>31.92</v>
      </c>
      <c r="GE205">
        <v>4.3839999999999986</v>
      </c>
      <c r="GF205">
        <v>0.44937500000000019</v>
      </c>
      <c r="GG205">
        <v>3.3349999999999991</v>
      </c>
      <c r="GH205">
        <v>13.7</v>
      </c>
      <c r="GI205">
        <v>1.6240000000000001</v>
      </c>
      <c r="GJ205">
        <v>-23.360000000000003</v>
      </c>
      <c r="GK205">
        <v>0.22999999999999998</v>
      </c>
      <c r="GL205">
        <v>0.39999999999999991</v>
      </c>
    </row>
    <row r="206" spans="1:194" x14ac:dyDescent="0.2">
      <c r="A206" s="39">
        <v>43758</v>
      </c>
      <c r="B206" s="22" t="s">
        <v>250</v>
      </c>
      <c r="C206" s="41" t="s">
        <v>307</v>
      </c>
      <c r="D206" s="22" t="s">
        <v>265</v>
      </c>
      <c r="E206">
        <v>25.1</v>
      </c>
      <c r="F206">
        <v>6.8</v>
      </c>
      <c r="G206">
        <v>0</v>
      </c>
      <c r="H206">
        <v>13.3</v>
      </c>
      <c r="I206">
        <v>4</v>
      </c>
      <c r="J206">
        <v>37</v>
      </c>
      <c r="K206" t="s">
        <v>110</v>
      </c>
      <c r="L206" s="1" t="s">
        <v>307</v>
      </c>
      <c r="M206">
        <v>20</v>
      </c>
      <c r="N206">
        <v>-2.1255999999999995</v>
      </c>
      <c r="O206">
        <v>8</v>
      </c>
      <c r="P206">
        <v>8.5</v>
      </c>
      <c r="Q206">
        <v>5</v>
      </c>
      <c r="R206">
        <v>-1.1527999999999992</v>
      </c>
      <c r="S206">
        <v>12</v>
      </c>
      <c r="T206">
        <v>-5.4799999999999986</v>
      </c>
      <c r="U206">
        <v>1.3599999999999999</v>
      </c>
      <c r="V206">
        <v>16</v>
      </c>
      <c r="W206">
        <v>15</v>
      </c>
      <c r="X206">
        <v>15</v>
      </c>
      <c r="Y206">
        <v>-0.20399999999999965</v>
      </c>
      <c r="Z206">
        <v>15</v>
      </c>
      <c r="AA206">
        <v>2.2800000000000011</v>
      </c>
      <c r="AB206">
        <v>-0.44000000000000006</v>
      </c>
      <c r="AC206">
        <v>5</v>
      </c>
      <c r="AD206">
        <v>5.5</v>
      </c>
      <c r="AE206">
        <v>4</v>
      </c>
      <c r="AF206">
        <v>6.5519999999999978</v>
      </c>
      <c r="AG206">
        <v>7</v>
      </c>
      <c r="AH206">
        <v>24.520000000000003</v>
      </c>
      <c r="AI206">
        <v>1.8800000000000003</v>
      </c>
      <c r="AJ206">
        <v>32</v>
      </c>
      <c r="AK206">
        <v>32</v>
      </c>
      <c r="AL206">
        <v>32</v>
      </c>
      <c r="AM206">
        <v>-5.6879999999999997</v>
      </c>
      <c r="AN206">
        <v>32</v>
      </c>
      <c r="AO206">
        <v>-28.48</v>
      </c>
      <c r="AP206">
        <v>-2.4799999999999995</v>
      </c>
      <c r="AQ206">
        <v>29</v>
      </c>
      <c r="AR206">
        <v>29</v>
      </c>
      <c r="AS206">
        <v>28</v>
      </c>
      <c r="AT206">
        <v>-2.8760000000000003</v>
      </c>
      <c r="AU206">
        <v>30</v>
      </c>
      <c r="AV206">
        <v>-19.8</v>
      </c>
      <c r="AW206">
        <v>-3.6</v>
      </c>
      <c r="AX206">
        <v>28</v>
      </c>
      <c r="AY206">
        <v>28</v>
      </c>
      <c r="AZ206">
        <v>28</v>
      </c>
      <c r="BA206">
        <v>-2.556</v>
      </c>
      <c r="BB206">
        <v>28</v>
      </c>
      <c r="BC206">
        <v>-18.759999999999998</v>
      </c>
      <c r="BD206">
        <v>-0.91999999999999993</v>
      </c>
      <c r="BE206">
        <v>4</v>
      </c>
      <c r="BF206">
        <v>4.5</v>
      </c>
      <c r="BG206">
        <v>5</v>
      </c>
      <c r="BH206">
        <v>-3.2800000000000002</v>
      </c>
      <c r="BI206">
        <v>4</v>
      </c>
      <c r="BJ206">
        <v>-17.32</v>
      </c>
      <c r="BK206">
        <v>0.2</v>
      </c>
      <c r="BL206">
        <v>4</v>
      </c>
      <c r="BM206">
        <v>7</v>
      </c>
      <c r="BN206">
        <v>4</v>
      </c>
      <c r="BO206">
        <v>0.6</v>
      </c>
      <c r="BP206">
        <v>10</v>
      </c>
      <c r="BQ206">
        <v>-3.9999999999999994E-2</v>
      </c>
      <c r="BR206">
        <v>2.0000000000000004</v>
      </c>
      <c r="BS206">
        <v>32</v>
      </c>
      <c r="BT206">
        <v>29.5</v>
      </c>
      <c r="BU206">
        <v>30</v>
      </c>
      <c r="BV206">
        <v>-1.7840273527344564E-2</v>
      </c>
      <c r="BW206">
        <v>28</v>
      </c>
      <c r="BX206">
        <v>-4.8950174943852695E-3</v>
      </c>
      <c r="BY206">
        <v>31</v>
      </c>
      <c r="BZ206">
        <v>9.1280000000000037</v>
      </c>
      <c r="CA206">
        <v>29</v>
      </c>
      <c r="CB206">
        <v>-0.72</v>
      </c>
      <c r="CC206">
        <v>-3.4</v>
      </c>
      <c r="CD206">
        <v>-6.0399999999999991</v>
      </c>
      <c r="CE206">
        <v>1.3199999999999998</v>
      </c>
      <c r="CF206">
        <v>-40.159999999999989</v>
      </c>
      <c r="CG206">
        <v>-38.760000000000005</v>
      </c>
      <c r="CH206">
        <v>-5.9599999999999991</v>
      </c>
      <c r="CI206">
        <v>-1.3199999999999998</v>
      </c>
      <c r="CJ206">
        <v>5.8800000000000008</v>
      </c>
      <c r="CK206">
        <v>22</v>
      </c>
      <c r="CL206">
        <v>-0.76880000000000071</v>
      </c>
      <c r="CM206">
        <v>-0.80512000000000095</v>
      </c>
      <c r="CN206">
        <v>-32.800000000000004</v>
      </c>
      <c r="CO206">
        <v>0.76880000000000059</v>
      </c>
      <c r="CP206">
        <v>-1.0218</v>
      </c>
      <c r="CQ206">
        <v>-2.0120000000000022</v>
      </c>
      <c r="CR206">
        <v>-23.759999999999998</v>
      </c>
      <c r="CS206">
        <v>-1.3567999999999989</v>
      </c>
      <c r="CT206">
        <v>-3.1999999999999975</v>
      </c>
      <c r="CU206">
        <v>-3.9999999999999991</v>
      </c>
      <c r="CV206">
        <v>0.91999999999999982</v>
      </c>
      <c r="CW206">
        <v>-1.0698750000000001</v>
      </c>
      <c r="CX206">
        <v>-3.025725</v>
      </c>
      <c r="CY206" t="s">
        <v>265</v>
      </c>
      <c r="CZ206">
        <v>29</v>
      </c>
      <c r="DA206">
        <v>1.6095999999999999</v>
      </c>
      <c r="DB206">
        <v>12</v>
      </c>
      <c r="DC206">
        <v>11.5</v>
      </c>
      <c r="DD206">
        <v>15</v>
      </c>
      <c r="DE206">
        <v>3.6791999999999989</v>
      </c>
      <c r="DF206">
        <v>8</v>
      </c>
      <c r="DG206">
        <v>-1.8800000000000012</v>
      </c>
      <c r="DH206">
        <v>1.8800000000000001</v>
      </c>
      <c r="DI206">
        <v>14</v>
      </c>
      <c r="DJ206">
        <v>15</v>
      </c>
      <c r="DK206">
        <v>14</v>
      </c>
      <c r="DL206">
        <v>-0.46399999999999936</v>
      </c>
      <c r="DM206">
        <v>16</v>
      </c>
      <c r="DN206">
        <v>-8.879999999999999</v>
      </c>
      <c r="DO206">
        <v>0.24000000000000007</v>
      </c>
      <c r="DP206">
        <v>25</v>
      </c>
      <c r="DQ206">
        <v>20</v>
      </c>
      <c r="DR206">
        <v>19</v>
      </c>
      <c r="DS206">
        <v>-6.21</v>
      </c>
      <c r="DT206">
        <v>21</v>
      </c>
      <c r="DU206">
        <v>-16.800000000000004</v>
      </c>
      <c r="DV206">
        <v>-2.35</v>
      </c>
      <c r="DW206">
        <v>28</v>
      </c>
      <c r="DX206">
        <v>27</v>
      </c>
      <c r="DY206">
        <v>28</v>
      </c>
      <c r="DZ206">
        <v>8.6150000000000002</v>
      </c>
      <c r="EA206">
        <v>26</v>
      </c>
      <c r="EB206">
        <v>40.200000000000003</v>
      </c>
      <c r="EC206">
        <v>3.25</v>
      </c>
      <c r="ED206">
        <v>20</v>
      </c>
      <c r="EE206">
        <v>19.5</v>
      </c>
      <c r="EF206">
        <v>20</v>
      </c>
      <c r="EG206">
        <v>1.03</v>
      </c>
      <c r="EH206">
        <v>19</v>
      </c>
      <c r="EI206">
        <v>2.25</v>
      </c>
      <c r="EJ206">
        <v>2.35</v>
      </c>
      <c r="EK206">
        <v>21</v>
      </c>
      <c r="EL206">
        <v>21.5</v>
      </c>
      <c r="EM206">
        <v>20</v>
      </c>
      <c r="EN206">
        <v>2.2999999999999998</v>
      </c>
      <c r="EO206">
        <v>23</v>
      </c>
      <c r="EP206">
        <v>3.400000000000003</v>
      </c>
      <c r="EQ206">
        <v>2.0799999999999996</v>
      </c>
      <c r="ER206">
        <v>15</v>
      </c>
      <c r="ES206">
        <v>15</v>
      </c>
      <c r="ET206">
        <v>12</v>
      </c>
      <c r="EU206">
        <v>6.7999999999999255E-2</v>
      </c>
      <c r="EV206">
        <v>18</v>
      </c>
      <c r="EW206">
        <v>2.160000000000001</v>
      </c>
      <c r="EX206">
        <v>0.24000000000000005</v>
      </c>
      <c r="EY206">
        <v>15</v>
      </c>
      <c r="EZ206">
        <v>13</v>
      </c>
      <c r="FA206">
        <v>14</v>
      </c>
      <c r="FB206">
        <v>-1.2400000000000002</v>
      </c>
      <c r="FC206">
        <v>12</v>
      </c>
      <c r="FD206">
        <v>7.9999999999999988E-2</v>
      </c>
      <c r="FE206">
        <v>-1.6800000000000002</v>
      </c>
      <c r="FF206">
        <v>32</v>
      </c>
      <c r="FG206">
        <v>29.25</v>
      </c>
      <c r="FH206">
        <v>28</v>
      </c>
      <c r="FI206">
        <v>-1.4219725411577438E-2</v>
      </c>
      <c r="FJ206">
        <v>29</v>
      </c>
      <c r="FK206">
        <v>-2.2127489369001135E-3</v>
      </c>
      <c r="FL206">
        <v>29</v>
      </c>
      <c r="FM206">
        <v>8.1480000000000015</v>
      </c>
      <c r="FN206">
        <v>31</v>
      </c>
      <c r="FO206">
        <v>2.96</v>
      </c>
      <c r="FP206">
        <v>7.88</v>
      </c>
      <c r="FQ206">
        <v>1.4</v>
      </c>
      <c r="FR206">
        <v>-0.4</v>
      </c>
      <c r="FS206">
        <v>8.5599999999999987</v>
      </c>
      <c r="FT206">
        <v>0.48000000000000009</v>
      </c>
      <c r="FU206">
        <v>-0.51999999999999991</v>
      </c>
      <c r="FV206">
        <v>24.239999999999988</v>
      </c>
      <c r="FW206">
        <v>43.12</v>
      </c>
      <c r="FX206">
        <v>-10.040000000000003</v>
      </c>
      <c r="FY206">
        <v>-8.5599999999999987</v>
      </c>
      <c r="FZ206">
        <v>-0.28000000000000025</v>
      </c>
      <c r="GA206">
        <v>20</v>
      </c>
      <c r="GB206">
        <v>-1.6055999999999997</v>
      </c>
      <c r="GC206">
        <v>-0.58507999999999982</v>
      </c>
      <c r="GD206">
        <v>53.16</v>
      </c>
      <c r="GE206">
        <v>1.6055999999999995</v>
      </c>
      <c r="GF206">
        <v>0.88597499999999973</v>
      </c>
      <c r="GG206">
        <v>3.4350000000000005</v>
      </c>
      <c r="GH206">
        <v>25.65</v>
      </c>
      <c r="GI206">
        <v>3.2151999999999994</v>
      </c>
      <c r="GJ206">
        <v>-10.76</v>
      </c>
      <c r="GK206">
        <v>3.49</v>
      </c>
      <c r="GL206">
        <v>2.12</v>
      </c>
    </row>
    <row r="207" spans="1:194" x14ac:dyDescent="0.2">
      <c r="A207" s="39">
        <v>43758</v>
      </c>
      <c r="B207" s="22" t="s">
        <v>250</v>
      </c>
      <c r="C207" s="41" t="s">
        <v>296</v>
      </c>
      <c r="D207" s="22" t="s">
        <v>285</v>
      </c>
      <c r="E207">
        <v>14</v>
      </c>
      <c r="F207">
        <v>7.5</v>
      </c>
      <c r="G207">
        <v>4.8</v>
      </c>
      <c r="H207">
        <f>12.9</f>
        <v>12.9</v>
      </c>
      <c r="I207">
        <v>-3.5</v>
      </c>
      <c r="J207">
        <v>49.5</v>
      </c>
      <c r="K207" t="s">
        <v>109</v>
      </c>
      <c r="L207" s="1" t="s">
        <v>296</v>
      </c>
      <c r="M207">
        <v>13</v>
      </c>
      <c r="N207">
        <v>0.46840000000000048</v>
      </c>
      <c r="O207">
        <v>20</v>
      </c>
      <c r="P207">
        <v>21</v>
      </c>
      <c r="Q207">
        <v>16</v>
      </c>
      <c r="R207">
        <v>-0.62079999999999946</v>
      </c>
      <c r="S207">
        <v>26</v>
      </c>
      <c r="T207">
        <v>-6.080000000000001</v>
      </c>
      <c r="U207">
        <v>-0.15999999999999978</v>
      </c>
      <c r="V207">
        <v>31</v>
      </c>
      <c r="W207">
        <v>31</v>
      </c>
      <c r="X207">
        <v>32</v>
      </c>
      <c r="Y207">
        <v>-4.1400000000000006</v>
      </c>
      <c r="Z207">
        <v>30</v>
      </c>
      <c r="AA207">
        <v>-3.6</v>
      </c>
      <c r="AB207">
        <v>-2.2399999999999998</v>
      </c>
      <c r="AC207">
        <v>14</v>
      </c>
      <c r="AD207">
        <v>15.5</v>
      </c>
      <c r="AE207">
        <v>10</v>
      </c>
      <c r="AF207">
        <v>2.6239999999999983</v>
      </c>
      <c r="AG207">
        <v>21</v>
      </c>
      <c r="AH207">
        <v>3.9599999999999982</v>
      </c>
      <c r="AI207">
        <v>0.76000000000000034</v>
      </c>
      <c r="AJ207">
        <v>13</v>
      </c>
      <c r="AK207">
        <v>13.5</v>
      </c>
      <c r="AL207">
        <v>5</v>
      </c>
      <c r="AM207">
        <v>-5.080000000000001</v>
      </c>
      <c r="AN207">
        <v>22</v>
      </c>
      <c r="AO207">
        <v>-15.280000000000001</v>
      </c>
      <c r="AP207">
        <v>-1.5999999999999999</v>
      </c>
      <c r="AQ207">
        <v>12</v>
      </c>
      <c r="AR207">
        <v>12.5</v>
      </c>
      <c r="AS207">
        <v>14</v>
      </c>
      <c r="AT207">
        <v>0.6960000000000004</v>
      </c>
      <c r="AU207">
        <v>11</v>
      </c>
      <c r="AV207">
        <v>-1.2000000000000004</v>
      </c>
      <c r="AW207">
        <v>-1.1599999999999997</v>
      </c>
      <c r="AX207">
        <v>22</v>
      </c>
      <c r="AY207">
        <v>21</v>
      </c>
      <c r="AZ207">
        <v>17</v>
      </c>
      <c r="BA207">
        <v>1.6880000000000002</v>
      </c>
      <c r="BB207">
        <v>25</v>
      </c>
      <c r="BC207">
        <v>11.280000000000001</v>
      </c>
      <c r="BD207">
        <v>0.96000000000000019</v>
      </c>
      <c r="BE207">
        <v>19</v>
      </c>
      <c r="BF207">
        <v>19</v>
      </c>
      <c r="BG207">
        <v>18</v>
      </c>
      <c r="BH207">
        <v>2.8679999999999999</v>
      </c>
      <c r="BI207">
        <v>20</v>
      </c>
      <c r="BJ207">
        <v>10.56</v>
      </c>
      <c r="BK207">
        <v>2.56</v>
      </c>
      <c r="BL207">
        <v>28</v>
      </c>
      <c r="BM207">
        <v>27.5</v>
      </c>
      <c r="BN207">
        <v>29</v>
      </c>
      <c r="BO207">
        <v>-1.9599999999999995</v>
      </c>
      <c r="BP207">
        <v>26</v>
      </c>
      <c r="BQ207">
        <v>-0.6399999999999999</v>
      </c>
      <c r="BR207">
        <v>1.2000000000000004</v>
      </c>
      <c r="BS207">
        <v>2</v>
      </c>
      <c r="BT207">
        <v>7.5</v>
      </c>
      <c r="BU207">
        <v>3</v>
      </c>
      <c r="BV207">
        <v>5.1796518530391002E-2</v>
      </c>
      <c r="BW207">
        <v>16</v>
      </c>
      <c r="BX207">
        <v>-1.8916761646132828E-2</v>
      </c>
      <c r="BY207">
        <v>10</v>
      </c>
      <c r="BZ207">
        <v>-12.756000000000004</v>
      </c>
      <c r="CA207">
        <v>1</v>
      </c>
      <c r="CB207">
        <v>2.16</v>
      </c>
      <c r="CC207">
        <v>-2.5599999999999996</v>
      </c>
      <c r="CD207">
        <v>-1.5599999999999998</v>
      </c>
      <c r="CE207">
        <v>0.76</v>
      </c>
      <c r="CF207">
        <v>-13.480000000000008</v>
      </c>
      <c r="CG207">
        <v>-14.640000000000004</v>
      </c>
      <c r="CH207">
        <v>-8.76</v>
      </c>
      <c r="CI207">
        <v>4.5200000000000005</v>
      </c>
      <c r="CJ207">
        <v>5.4</v>
      </c>
      <c r="CK207">
        <v>6</v>
      </c>
      <c r="CL207">
        <v>5.2292000000000005</v>
      </c>
      <c r="CM207">
        <v>2.6956799999999994</v>
      </c>
      <c r="CN207">
        <v>-5.8800000000000043</v>
      </c>
      <c r="CO207">
        <v>-5.2292000000000005</v>
      </c>
      <c r="CP207">
        <v>-0.64305000000000012</v>
      </c>
      <c r="CQ207">
        <v>-1.7600000000000022</v>
      </c>
      <c r="CR207">
        <v>-12.520000000000005</v>
      </c>
      <c r="CS207">
        <v>-4.7607999999999997</v>
      </c>
      <c r="CT207">
        <v>-9.6800000000000015</v>
      </c>
      <c r="CU207">
        <v>0.56000000000000094</v>
      </c>
      <c r="CV207">
        <v>-2.3999999999999995</v>
      </c>
      <c r="CW207">
        <v>1.0465999999999998</v>
      </c>
      <c r="CX207">
        <v>0.61727500000000002</v>
      </c>
      <c r="CY207" t="s">
        <v>285</v>
      </c>
      <c r="CZ207">
        <v>1</v>
      </c>
      <c r="DA207">
        <v>2.3944000000000001</v>
      </c>
      <c r="DB207">
        <v>16</v>
      </c>
      <c r="DC207">
        <v>16.5</v>
      </c>
      <c r="DD207">
        <v>12</v>
      </c>
      <c r="DE207">
        <v>1.959999999999998</v>
      </c>
      <c r="DF207">
        <v>21</v>
      </c>
      <c r="DG207">
        <v>26.399999999999995</v>
      </c>
      <c r="DH207">
        <v>-1.2399999999999998</v>
      </c>
      <c r="DI207">
        <v>11</v>
      </c>
      <c r="DJ207">
        <v>14</v>
      </c>
      <c r="DK207">
        <v>23</v>
      </c>
      <c r="DL207">
        <v>-2.1000000000000005</v>
      </c>
      <c r="DM207">
        <v>5</v>
      </c>
      <c r="DN207">
        <v>-9.9600000000000009</v>
      </c>
      <c r="DO207">
        <v>-1.1200000000000001</v>
      </c>
      <c r="DP207">
        <v>8</v>
      </c>
      <c r="DQ207">
        <v>7</v>
      </c>
      <c r="DR207">
        <v>7</v>
      </c>
      <c r="DS207">
        <v>2.9110000000000005</v>
      </c>
      <c r="DT207">
        <v>7</v>
      </c>
      <c r="DU207">
        <v>13.15</v>
      </c>
      <c r="DV207">
        <v>-1.9999999999999928E-2</v>
      </c>
      <c r="DW207">
        <v>1</v>
      </c>
      <c r="DX207">
        <v>1.5</v>
      </c>
      <c r="DY207">
        <v>2</v>
      </c>
      <c r="DZ207">
        <v>-2.3319999999999999</v>
      </c>
      <c r="EA207">
        <v>1</v>
      </c>
      <c r="EB207">
        <v>-23.82</v>
      </c>
      <c r="EC207">
        <v>-1.21</v>
      </c>
      <c r="ED207">
        <v>4</v>
      </c>
      <c r="EE207">
        <v>5.5</v>
      </c>
      <c r="EF207">
        <v>4</v>
      </c>
      <c r="EG207">
        <v>-1.7770000000000004</v>
      </c>
      <c r="EH207">
        <v>7</v>
      </c>
      <c r="EI207">
        <v>-5.17</v>
      </c>
      <c r="EJ207">
        <v>-1.9100000000000001</v>
      </c>
      <c r="EK207">
        <v>1</v>
      </c>
      <c r="EL207">
        <v>1.5</v>
      </c>
      <c r="EM207">
        <v>2</v>
      </c>
      <c r="EN207">
        <v>3.524</v>
      </c>
      <c r="EO207">
        <v>1</v>
      </c>
      <c r="EP207">
        <v>12.84</v>
      </c>
      <c r="EQ207">
        <v>-0.11999999999999958</v>
      </c>
      <c r="ER207">
        <v>5</v>
      </c>
      <c r="ES207">
        <v>6</v>
      </c>
      <c r="ET207">
        <v>4</v>
      </c>
      <c r="EU207">
        <v>8.5509999999999984</v>
      </c>
      <c r="EV207">
        <v>8</v>
      </c>
      <c r="EW207">
        <v>22.4</v>
      </c>
      <c r="EX207">
        <v>0.85999999999999976</v>
      </c>
      <c r="EY207">
        <v>19</v>
      </c>
      <c r="EZ207">
        <v>20.5</v>
      </c>
      <c r="FA207">
        <v>19</v>
      </c>
      <c r="FB207">
        <v>2.2000000000000002</v>
      </c>
      <c r="FC207">
        <v>22</v>
      </c>
      <c r="FD207">
        <v>0.2</v>
      </c>
      <c r="FE207">
        <v>1.1200000000000003</v>
      </c>
      <c r="FF207">
        <v>26</v>
      </c>
      <c r="FG207">
        <v>22</v>
      </c>
      <c r="FH207">
        <v>5</v>
      </c>
      <c r="FI207">
        <v>2.4658695700955245E-3</v>
      </c>
      <c r="FJ207">
        <v>31</v>
      </c>
      <c r="FK207">
        <v>-3.1283677961833414E-3</v>
      </c>
      <c r="FL207">
        <v>20</v>
      </c>
      <c r="FM207">
        <v>10.659999999999998</v>
      </c>
      <c r="FN207">
        <v>32</v>
      </c>
      <c r="FO207">
        <v>-4.84</v>
      </c>
      <c r="FP207">
        <v>-3.6399999999999992</v>
      </c>
      <c r="FQ207">
        <v>1.44</v>
      </c>
      <c r="FR207">
        <v>-7.9999999999999891E-2</v>
      </c>
      <c r="FS207">
        <v>-3.4000000000000012</v>
      </c>
      <c r="FT207">
        <v>4</v>
      </c>
      <c r="FU207">
        <v>0.47999999999999987</v>
      </c>
      <c r="FV207">
        <v>19.919999999999995</v>
      </c>
      <c r="FW207">
        <v>3.7600000000000025</v>
      </c>
      <c r="FX207">
        <v>16.04</v>
      </c>
      <c r="FY207">
        <v>-1.1199999999999999</v>
      </c>
      <c r="FZ207">
        <v>1.2400000000000007</v>
      </c>
      <c r="GA207">
        <v>9</v>
      </c>
      <c r="GB207">
        <v>2.5344000000000024</v>
      </c>
      <c r="GC207">
        <v>2.0194800000000011</v>
      </c>
      <c r="GD207">
        <v>-12.279999999999998</v>
      </c>
      <c r="GE207">
        <v>-2.5344000000000024</v>
      </c>
      <c r="GF207">
        <v>1.4759249999999997</v>
      </c>
      <c r="GG207">
        <v>-1.1979999999999997</v>
      </c>
      <c r="GH207">
        <v>-15.84</v>
      </c>
      <c r="GI207">
        <v>-0.14000000000000257</v>
      </c>
      <c r="GJ207">
        <v>16.439999999999994</v>
      </c>
      <c r="GK207">
        <v>-2.2800000000000002</v>
      </c>
      <c r="GL207">
        <v>-2.36</v>
      </c>
    </row>
    <row r="208" spans="1:194" x14ac:dyDescent="0.2">
      <c r="A208" s="39">
        <v>43758</v>
      </c>
      <c r="B208" s="22" t="s">
        <v>250</v>
      </c>
      <c r="C208" s="41" t="s">
        <v>298</v>
      </c>
      <c r="D208" s="22" t="s">
        <v>302</v>
      </c>
      <c r="E208">
        <v>6.6</v>
      </c>
      <c r="F208">
        <v>2</v>
      </c>
      <c r="G208">
        <v>7.2</v>
      </c>
      <c r="H208">
        <v>1.1000000000000001</v>
      </c>
      <c r="I208">
        <v>9.5</v>
      </c>
      <c r="J208">
        <v>43</v>
      </c>
      <c r="L208" s="1" t="s">
        <v>298</v>
      </c>
      <c r="M208">
        <v>31</v>
      </c>
      <c r="N208">
        <v>-6.5775999999999994</v>
      </c>
      <c r="O208">
        <v>19</v>
      </c>
      <c r="P208">
        <v>20.5</v>
      </c>
      <c r="Q208">
        <v>13</v>
      </c>
      <c r="R208">
        <v>0.78</v>
      </c>
      <c r="S208">
        <v>28</v>
      </c>
      <c r="T208">
        <v>2.8800000000000026</v>
      </c>
      <c r="U208">
        <v>2.1799999999999997</v>
      </c>
      <c r="V208">
        <v>24</v>
      </c>
      <c r="W208">
        <v>24</v>
      </c>
      <c r="X208">
        <v>27</v>
      </c>
      <c r="Y208">
        <v>-2.9920000000000004</v>
      </c>
      <c r="Z208">
        <v>21</v>
      </c>
      <c r="AA208">
        <v>-8.2799999999999994</v>
      </c>
      <c r="AB208">
        <v>-1.3599999999999999</v>
      </c>
      <c r="AC208">
        <v>31</v>
      </c>
      <c r="AD208">
        <v>31</v>
      </c>
      <c r="AE208">
        <v>30</v>
      </c>
      <c r="AF208">
        <v>-6.1360000000000001</v>
      </c>
      <c r="AG208">
        <v>32</v>
      </c>
      <c r="AH208">
        <v>-25.8</v>
      </c>
      <c r="AI208">
        <v>-2.2799999999999998</v>
      </c>
      <c r="AJ208">
        <v>21</v>
      </c>
      <c r="AK208">
        <v>20.5</v>
      </c>
      <c r="AL208">
        <v>21</v>
      </c>
      <c r="AM208">
        <v>-1.324000000000001</v>
      </c>
      <c r="AN208">
        <v>20</v>
      </c>
      <c r="AO208">
        <v>0.36000000000000087</v>
      </c>
      <c r="AP208">
        <v>-0.47999999999999987</v>
      </c>
      <c r="AQ208">
        <v>6</v>
      </c>
      <c r="AR208">
        <v>6</v>
      </c>
      <c r="AS208">
        <v>7</v>
      </c>
      <c r="AT208">
        <v>0.50799999999999945</v>
      </c>
      <c r="AU208">
        <v>5</v>
      </c>
      <c r="AV208">
        <v>12.2</v>
      </c>
      <c r="AW208">
        <v>1.1599999999999997</v>
      </c>
      <c r="AX208">
        <v>24</v>
      </c>
      <c r="AY208">
        <v>25</v>
      </c>
      <c r="AZ208">
        <v>24</v>
      </c>
      <c r="BA208">
        <v>-4.3999999999999986</v>
      </c>
      <c r="BB208">
        <v>26</v>
      </c>
      <c r="BC208">
        <v>-15.6</v>
      </c>
      <c r="BD208">
        <v>-1.9599999999999997</v>
      </c>
      <c r="BE208">
        <v>14</v>
      </c>
      <c r="BF208">
        <v>13.5</v>
      </c>
      <c r="BG208">
        <v>13</v>
      </c>
      <c r="BH208">
        <v>-5.0519999999999996</v>
      </c>
      <c r="BI208">
        <v>14</v>
      </c>
      <c r="BJ208">
        <v>-29.4</v>
      </c>
      <c r="BK208">
        <v>-3.2</v>
      </c>
      <c r="BL208">
        <v>14</v>
      </c>
      <c r="BM208">
        <v>13.5</v>
      </c>
      <c r="BN208">
        <v>19</v>
      </c>
      <c r="BO208">
        <v>-2.7600000000000002</v>
      </c>
      <c r="BP208">
        <v>8</v>
      </c>
      <c r="BQ208">
        <v>-0.91999999999999993</v>
      </c>
      <c r="BR208">
        <v>-1.7600000000000002</v>
      </c>
      <c r="BS208">
        <v>8</v>
      </c>
      <c r="BT208">
        <v>12</v>
      </c>
      <c r="BU208">
        <v>2</v>
      </c>
      <c r="BV208">
        <v>3.799271817806095E-2</v>
      </c>
      <c r="BW208">
        <v>17</v>
      </c>
      <c r="BX208">
        <v>3.476950796873432E-2</v>
      </c>
      <c r="BY208">
        <v>12</v>
      </c>
      <c r="BZ208">
        <v>4.5799999999999956</v>
      </c>
      <c r="CA208">
        <v>17</v>
      </c>
      <c r="CB208">
        <v>3.7599999999999993</v>
      </c>
      <c r="CC208">
        <v>-6.9599999999999991</v>
      </c>
      <c r="CD208">
        <v>-8.24</v>
      </c>
      <c r="CE208">
        <v>0.84000000000000019</v>
      </c>
      <c r="CF208">
        <v>-82.28</v>
      </c>
      <c r="CG208">
        <v>-51.240000000000009</v>
      </c>
      <c r="CH208">
        <v>-12.320000000000002</v>
      </c>
      <c r="CI208">
        <v>-6.68</v>
      </c>
      <c r="CJ208">
        <v>-12.040000000000001</v>
      </c>
      <c r="CK208">
        <v>25</v>
      </c>
      <c r="CL208">
        <v>-4.3655999999999988</v>
      </c>
      <c r="CM208">
        <v>-2.6103200000000002</v>
      </c>
      <c r="CN208">
        <v>-38.920000000000009</v>
      </c>
      <c r="CO208">
        <v>4.3655999999999988</v>
      </c>
      <c r="CP208">
        <v>-2.9442000000000004</v>
      </c>
      <c r="CQ208">
        <v>-6.9520000000000017</v>
      </c>
      <c r="CR208">
        <v>-13.240000000000002</v>
      </c>
      <c r="CS208">
        <v>-2.2120000000000006</v>
      </c>
      <c r="CT208">
        <v>-5.3999999999999968</v>
      </c>
      <c r="CU208">
        <v>-4.8000000000000007</v>
      </c>
      <c r="CV208">
        <v>0.81999999999999984</v>
      </c>
      <c r="CW208">
        <v>-1.1980499999999998</v>
      </c>
      <c r="CX208">
        <v>0.44937500000000019</v>
      </c>
      <c r="CY208" t="s">
        <v>302</v>
      </c>
      <c r="CZ208">
        <v>28</v>
      </c>
      <c r="DA208">
        <v>-6.2148000000000003</v>
      </c>
      <c r="DB208">
        <v>20</v>
      </c>
      <c r="DC208">
        <v>21</v>
      </c>
      <c r="DD208">
        <v>26</v>
      </c>
      <c r="DE208">
        <v>-3.6480000000000006</v>
      </c>
      <c r="DF208">
        <v>16</v>
      </c>
      <c r="DG208">
        <v>-7.58</v>
      </c>
      <c r="DH208">
        <v>-1.1000000000000001</v>
      </c>
      <c r="DI208">
        <v>19</v>
      </c>
      <c r="DJ208">
        <v>17</v>
      </c>
      <c r="DK208">
        <v>15</v>
      </c>
      <c r="DL208">
        <v>-1.1609999999999994</v>
      </c>
      <c r="DM208">
        <v>19</v>
      </c>
      <c r="DN208">
        <v>-13.14</v>
      </c>
      <c r="DO208">
        <v>0.88000000000000012</v>
      </c>
      <c r="DP208">
        <v>31</v>
      </c>
      <c r="DQ208">
        <v>29</v>
      </c>
      <c r="DR208">
        <v>30</v>
      </c>
      <c r="DS208">
        <v>-1.0000000000000004</v>
      </c>
      <c r="DT208">
        <v>28</v>
      </c>
      <c r="DU208">
        <v>1.4000000000000015</v>
      </c>
      <c r="DV208">
        <v>0.2</v>
      </c>
      <c r="DW208">
        <v>24</v>
      </c>
      <c r="DX208">
        <v>25</v>
      </c>
      <c r="DY208">
        <v>26</v>
      </c>
      <c r="DZ208">
        <v>-3.5120000000000005</v>
      </c>
      <c r="EA208">
        <v>24</v>
      </c>
      <c r="EB208">
        <v>-13.12</v>
      </c>
      <c r="EC208">
        <v>1.1999999999999997</v>
      </c>
      <c r="ED208">
        <v>23</v>
      </c>
      <c r="EE208">
        <v>21</v>
      </c>
      <c r="EF208">
        <v>25</v>
      </c>
      <c r="EG208">
        <v>-2.8159999999999998</v>
      </c>
      <c r="EH208">
        <v>17</v>
      </c>
      <c r="EI208">
        <v>-12.88</v>
      </c>
      <c r="EJ208">
        <v>0.72</v>
      </c>
      <c r="EK208">
        <v>22</v>
      </c>
      <c r="EL208">
        <v>23</v>
      </c>
      <c r="EM208">
        <v>24</v>
      </c>
      <c r="EN208">
        <v>-0.14000000000000021</v>
      </c>
      <c r="EO208">
        <v>22</v>
      </c>
      <c r="EP208">
        <v>6.5999999999999988</v>
      </c>
      <c r="EQ208">
        <v>1.1199999999999999</v>
      </c>
      <c r="ER208">
        <v>20</v>
      </c>
      <c r="ES208">
        <v>20</v>
      </c>
      <c r="ET208">
        <v>18</v>
      </c>
      <c r="EU208">
        <v>-2.5720000000000001</v>
      </c>
      <c r="EV208">
        <v>22</v>
      </c>
      <c r="EW208">
        <v>-5.5600000000000005</v>
      </c>
      <c r="EX208">
        <v>-1.6400000000000001</v>
      </c>
      <c r="EY208">
        <v>24</v>
      </c>
      <c r="EZ208">
        <v>23</v>
      </c>
      <c r="FA208">
        <v>24</v>
      </c>
      <c r="FB208">
        <v>-1.8400000000000003</v>
      </c>
      <c r="FC208">
        <v>22</v>
      </c>
      <c r="FD208">
        <v>-0.67999999999999994</v>
      </c>
      <c r="FE208">
        <v>1.52</v>
      </c>
      <c r="FF208">
        <v>5</v>
      </c>
      <c r="FG208">
        <v>9.75</v>
      </c>
      <c r="FH208">
        <v>1</v>
      </c>
      <c r="FI208">
        <v>4.7672858207739491E-2</v>
      </c>
      <c r="FJ208">
        <v>12</v>
      </c>
      <c r="FK208">
        <v>4.1423482031929762E-2</v>
      </c>
      <c r="FL208">
        <v>23</v>
      </c>
      <c r="FM208">
        <v>-9.9640000000000004</v>
      </c>
      <c r="FN208">
        <v>3</v>
      </c>
      <c r="FO208">
        <v>9.52</v>
      </c>
      <c r="FP208">
        <v>-0.7600000000000009</v>
      </c>
      <c r="FQ208">
        <v>-2.5199999999999996</v>
      </c>
      <c r="FR208">
        <v>-1.2</v>
      </c>
      <c r="FS208">
        <v>-3.6</v>
      </c>
      <c r="FT208">
        <v>-8.24</v>
      </c>
      <c r="FU208">
        <v>2.8</v>
      </c>
      <c r="FV208">
        <v>-53</v>
      </c>
      <c r="FW208">
        <v>-42.000000000000007</v>
      </c>
      <c r="FX208">
        <v>-13.720000000000002</v>
      </c>
      <c r="FY208">
        <v>4.76</v>
      </c>
      <c r="FZ208">
        <v>-2.04</v>
      </c>
      <c r="GA208">
        <v>19</v>
      </c>
      <c r="GB208">
        <v>-1.4058000000000004</v>
      </c>
      <c r="GC208">
        <v>-0.81845999999999952</v>
      </c>
      <c r="GD208">
        <v>-28.280000000000005</v>
      </c>
      <c r="GE208">
        <v>1.4058000000000002</v>
      </c>
      <c r="GF208">
        <v>-2.845475</v>
      </c>
      <c r="GG208">
        <v>-7.3280000000000003</v>
      </c>
      <c r="GH208">
        <v>-24.599999999999998</v>
      </c>
      <c r="GI208">
        <v>-4.8090000000000002</v>
      </c>
      <c r="GJ208">
        <v>-20.72</v>
      </c>
      <c r="GK208">
        <v>0.47999999999999954</v>
      </c>
      <c r="GL208">
        <v>-0.21999999999999997</v>
      </c>
    </row>
    <row r="209" spans="1:194" x14ac:dyDescent="0.2">
      <c r="A209" s="39">
        <v>43758</v>
      </c>
      <c r="B209" s="22" t="s">
        <v>250</v>
      </c>
      <c r="C209" s="41" t="s">
        <v>294</v>
      </c>
      <c r="D209" s="22" t="s">
        <v>291</v>
      </c>
      <c r="E209">
        <v>5.8</v>
      </c>
      <c r="F209">
        <v>4.4000000000000004</v>
      </c>
      <c r="G209">
        <v>0</v>
      </c>
      <c r="H209">
        <f>15.9+5.8</f>
        <v>21.7</v>
      </c>
      <c r="I209">
        <v>3</v>
      </c>
      <c r="J209">
        <v>50</v>
      </c>
      <c r="L209" s="1" t="s">
        <v>294</v>
      </c>
      <c r="M209">
        <v>15</v>
      </c>
      <c r="N209">
        <v>-0.11040000000000064</v>
      </c>
      <c r="O209">
        <v>16</v>
      </c>
      <c r="P209">
        <v>16.5</v>
      </c>
      <c r="Q209">
        <v>18</v>
      </c>
      <c r="R209">
        <v>-3.5999999999999992</v>
      </c>
      <c r="S209">
        <v>15</v>
      </c>
      <c r="T209">
        <v>-10.44</v>
      </c>
      <c r="U209">
        <v>-1.1599999999999997</v>
      </c>
      <c r="V209">
        <v>9</v>
      </c>
      <c r="W209">
        <v>10.5</v>
      </c>
      <c r="X209">
        <v>16</v>
      </c>
      <c r="Y209">
        <v>0.14399999999999977</v>
      </c>
      <c r="Z209">
        <v>5</v>
      </c>
      <c r="AA209">
        <v>-1</v>
      </c>
      <c r="AB209">
        <v>-0.6</v>
      </c>
      <c r="AC209">
        <v>19</v>
      </c>
      <c r="AD209">
        <v>18.5</v>
      </c>
      <c r="AE209">
        <v>20</v>
      </c>
      <c r="AF209">
        <v>3.0439999999999996</v>
      </c>
      <c r="AG209">
        <v>17</v>
      </c>
      <c r="AH209">
        <v>-9.2400000000000038</v>
      </c>
      <c r="AI209">
        <v>1.8400000000000003</v>
      </c>
      <c r="AJ209">
        <v>30</v>
      </c>
      <c r="AK209">
        <v>30</v>
      </c>
      <c r="AL209">
        <v>29</v>
      </c>
      <c r="AM209">
        <v>-5.952</v>
      </c>
      <c r="AN209">
        <v>31</v>
      </c>
      <c r="AO209">
        <v>-22.68</v>
      </c>
      <c r="AP209">
        <v>-1.24</v>
      </c>
      <c r="AQ209">
        <v>23</v>
      </c>
      <c r="AR209">
        <v>23.5</v>
      </c>
      <c r="AS209">
        <v>24</v>
      </c>
      <c r="AT209">
        <v>-5.1079999999999997</v>
      </c>
      <c r="AU209">
        <v>23</v>
      </c>
      <c r="AV209">
        <v>-24.96</v>
      </c>
      <c r="AW209">
        <v>-0.91999999999999993</v>
      </c>
      <c r="AX209">
        <v>20</v>
      </c>
      <c r="AY209">
        <v>20</v>
      </c>
      <c r="AZ209">
        <v>19</v>
      </c>
      <c r="BA209">
        <v>2.4479999999999995</v>
      </c>
      <c r="BB209">
        <v>21</v>
      </c>
      <c r="BC209">
        <v>-6.7199999999999989</v>
      </c>
      <c r="BD209">
        <v>2.36</v>
      </c>
      <c r="BE209">
        <v>1</v>
      </c>
      <c r="BF209">
        <v>1</v>
      </c>
      <c r="BG209">
        <v>1</v>
      </c>
      <c r="BH209">
        <v>4.9200000000000008</v>
      </c>
      <c r="BI209">
        <v>1</v>
      </c>
      <c r="BJ209">
        <v>21.759999999999998</v>
      </c>
      <c r="BK209">
        <v>4.4399999999999995</v>
      </c>
      <c r="BL209">
        <v>23</v>
      </c>
      <c r="BM209">
        <v>22.5</v>
      </c>
      <c r="BN209">
        <v>24</v>
      </c>
      <c r="BO209">
        <v>-1.24</v>
      </c>
      <c r="BP209">
        <v>21</v>
      </c>
      <c r="BQ209">
        <v>-0.72000000000000008</v>
      </c>
      <c r="BR209">
        <v>1.9999999999999993</v>
      </c>
      <c r="BS209">
        <v>6</v>
      </c>
      <c r="BT209">
        <v>10.25</v>
      </c>
      <c r="BU209">
        <v>16</v>
      </c>
      <c r="BV209">
        <v>2.9390537225020063E-2</v>
      </c>
      <c r="BW209">
        <v>4</v>
      </c>
      <c r="BX209">
        <v>1.439911842404186E-3</v>
      </c>
      <c r="BY209">
        <v>6</v>
      </c>
      <c r="BZ209">
        <v>-2.4840000000000004</v>
      </c>
      <c r="CA209">
        <v>15</v>
      </c>
      <c r="CB209">
        <v>1.52</v>
      </c>
      <c r="CC209">
        <v>-0.91999999999999882</v>
      </c>
      <c r="CD209">
        <v>-0.71999999999999953</v>
      </c>
      <c r="CE209">
        <v>1.6</v>
      </c>
      <c r="CF209">
        <v>-46.2</v>
      </c>
      <c r="CG209">
        <v>-41.36</v>
      </c>
      <c r="CH209">
        <v>-3.8</v>
      </c>
      <c r="CI209">
        <v>-2.64</v>
      </c>
      <c r="CJ209">
        <v>1.6</v>
      </c>
      <c r="CK209">
        <v>12</v>
      </c>
      <c r="CL209">
        <v>3.3455999999999988</v>
      </c>
      <c r="CM209">
        <v>1.0867199999999999</v>
      </c>
      <c r="CN209">
        <v>-37.56</v>
      </c>
      <c r="CO209">
        <v>-3.3455999999999988</v>
      </c>
      <c r="CP209">
        <v>-0.9877999999999999</v>
      </c>
      <c r="CQ209">
        <v>-8.016</v>
      </c>
      <c r="CR209">
        <v>-56.88</v>
      </c>
      <c r="CS209">
        <v>-3.4559999999999995</v>
      </c>
      <c r="CT209">
        <v>-11.44</v>
      </c>
      <c r="CU209">
        <v>4.12</v>
      </c>
      <c r="CV209">
        <v>-1.7599999999999998</v>
      </c>
      <c r="CW209">
        <v>0.94782499999999992</v>
      </c>
      <c r="CX209">
        <v>0.40920000000000012</v>
      </c>
      <c r="CY209" t="s">
        <v>291</v>
      </c>
      <c r="CZ209">
        <v>19</v>
      </c>
      <c r="DA209">
        <v>0.80439999999999967</v>
      </c>
      <c r="DB209">
        <v>6</v>
      </c>
      <c r="DC209">
        <v>8</v>
      </c>
      <c r="DD209">
        <v>4</v>
      </c>
      <c r="DE209">
        <v>4.6391999999999998</v>
      </c>
      <c r="DF209">
        <v>12</v>
      </c>
      <c r="DG209">
        <v>8.1999999999999993</v>
      </c>
      <c r="DH209">
        <v>-1</v>
      </c>
      <c r="DI209">
        <v>22</v>
      </c>
      <c r="DJ209">
        <v>19</v>
      </c>
      <c r="DK209">
        <v>24</v>
      </c>
      <c r="DL209">
        <v>-0.24799999999999986</v>
      </c>
      <c r="DM209">
        <v>14</v>
      </c>
      <c r="DN209">
        <v>-12.919999999999998</v>
      </c>
      <c r="DO209">
        <v>0.76</v>
      </c>
      <c r="DP209">
        <v>26</v>
      </c>
      <c r="DQ209">
        <v>29.5</v>
      </c>
      <c r="DR209">
        <v>30</v>
      </c>
      <c r="DS209">
        <v>-0.95999999999999974</v>
      </c>
      <c r="DT209">
        <v>29</v>
      </c>
      <c r="DU209">
        <v>5.0000000000000018</v>
      </c>
      <c r="DV209">
        <v>0.76</v>
      </c>
      <c r="DW209">
        <v>15</v>
      </c>
      <c r="DX209">
        <v>14</v>
      </c>
      <c r="DY209">
        <v>13</v>
      </c>
      <c r="DZ209">
        <v>1.8399999999999999</v>
      </c>
      <c r="EA209">
        <v>15</v>
      </c>
      <c r="EB209">
        <v>9.32</v>
      </c>
      <c r="EC209">
        <v>7.9999999999999891E-2</v>
      </c>
      <c r="ED209">
        <v>19</v>
      </c>
      <c r="EE209">
        <v>10.5</v>
      </c>
      <c r="EF209">
        <v>9</v>
      </c>
      <c r="EG209">
        <v>0.42399999999999982</v>
      </c>
      <c r="EH209">
        <v>12</v>
      </c>
      <c r="EI209">
        <v>3.9199999999999995</v>
      </c>
      <c r="EJ209">
        <v>0.4</v>
      </c>
      <c r="EK209">
        <v>8</v>
      </c>
      <c r="EL209">
        <v>8.5</v>
      </c>
      <c r="EM209">
        <v>10</v>
      </c>
      <c r="EN209">
        <v>-0.82000000000000028</v>
      </c>
      <c r="EO209">
        <v>7</v>
      </c>
      <c r="EP209">
        <v>7.8000000000000016</v>
      </c>
      <c r="EQ209">
        <v>-0.28000000000000008</v>
      </c>
      <c r="ER209">
        <v>27</v>
      </c>
      <c r="ES209">
        <v>26</v>
      </c>
      <c r="ET209">
        <v>22</v>
      </c>
      <c r="EU209">
        <v>2.9119999999999999</v>
      </c>
      <c r="EV209">
        <v>30</v>
      </c>
      <c r="EW209">
        <v>11.92</v>
      </c>
      <c r="EX209">
        <v>0.79999999999999982</v>
      </c>
      <c r="EY209">
        <v>7</v>
      </c>
      <c r="EZ209">
        <v>7</v>
      </c>
      <c r="FA209">
        <v>10</v>
      </c>
      <c r="FB209">
        <v>2.4799999999999995</v>
      </c>
      <c r="FC209">
        <v>4</v>
      </c>
      <c r="FD209">
        <v>0.6</v>
      </c>
      <c r="FE209">
        <v>-0.92000000000000026</v>
      </c>
      <c r="FF209">
        <v>15</v>
      </c>
      <c r="FG209">
        <v>15.75</v>
      </c>
      <c r="FH209">
        <v>7</v>
      </c>
      <c r="FI209">
        <v>-3.6060018961847871E-2</v>
      </c>
      <c r="FJ209">
        <v>7</v>
      </c>
      <c r="FK209">
        <v>-7.8998496766146849E-3</v>
      </c>
      <c r="FL209">
        <v>28</v>
      </c>
      <c r="FM209">
        <v>13.12</v>
      </c>
      <c r="FN209">
        <v>21</v>
      </c>
      <c r="FO209">
        <v>-5.32</v>
      </c>
      <c r="FP209">
        <v>1.3600000000000008</v>
      </c>
      <c r="FQ209">
        <v>-1.0399999999999998</v>
      </c>
      <c r="FR209">
        <v>0.88000000000000023</v>
      </c>
      <c r="FS209">
        <v>1.1599999999999995</v>
      </c>
      <c r="FT209">
        <v>4.8</v>
      </c>
      <c r="FU209">
        <v>-1.1199999999999999</v>
      </c>
      <c r="FV209">
        <v>18.719999999999992</v>
      </c>
      <c r="FW209">
        <v>25.76</v>
      </c>
      <c r="FX209">
        <v>-5.8</v>
      </c>
      <c r="FY209">
        <v>0.48000000000000043</v>
      </c>
      <c r="FZ209">
        <v>-1.7200000000000002</v>
      </c>
      <c r="GA209">
        <v>24</v>
      </c>
      <c r="GB209">
        <v>-3.5868000000000002</v>
      </c>
      <c r="GC209">
        <v>-1.1915199999999999</v>
      </c>
      <c r="GD209">
        <v>31.560000000000002</v>
      </c>
      <c r="GE209">
        <v>3.5867999999999998</v>
      </c>
      <c r="GF209">
        <v>1.4864499999999996</v>
      </c>
      <c r="GG209">
        <v>1.3039999999999998</v>
      </c>
      <c r="GH209">
        <v>18.240000000000002</v>
      </c>
      <c r="GI209">
        <v>4.3911999999999995</v>
      </c>
      <c r="GJ209">
        <v>-4.7199999999999989</v>
      </c>
      <c r="GK209">
        <v>2.0399999999999996</v>
      </c>
      <c r="GL209">
        <v>-0.24</v>
      </c>
    </row>
    <row r="210" spans="1:194" x14ac:dyDescent="0.2">
      <c r="A210" s="39">
        <v>43758</v>
      </c>
      <c r="B210" s="22" t="s">
        <v>250</v>
      </c>
      <c r="C210" s="40" t="s">
        <v>256</v>
      </c>
      <c r="D210" s="22" t="s">
        <v>306</v>
      </c>
      <c r="E210">
        <v>9.9</v>
      </c>
      <c r="F210">
        <v>5</v>
      </c>
      <c r="G210">
        <v>0</v>
      </c>
      <c r="H210">
        <f>6.8+2.4</f>
        <v>9.1999999999999993</v>
      </c>
      <c r="I210">
        <v>-10</v>
      </c>
      <c r="J210">
        <v>39</v>
      </c>
      <c r="K210" t="s">
        <v>110</v>
      </c>
      <c r="L210" s="1" t="s">
        <v>256</v>
      </c>
      <c r="M210">
        <v>30</v>
      </c>
      <c r="N210">
        <v>-5.4743999999999993</v>
      </c>
      <c r="O210">
        <v>26</v>
      </c>
      <c r="P210">
        <v>24.5</v>
      </c>
      <c r="Q210">
        <v>25</v>
      </c>
      <c r="R210">
        <v>-2.8319999999999999</v>
      </c>
      <c r="S210">
        <v>24</v>
      </c>
      <c r="T210">
        <v>7.2799999999999994</v>
      </c>
      <c r="U210">
        <v>-1.8799999999999997</v>
      </c>
      <c r="V210">
        <v>5</v>
      </c>
      <c r="W210">
        <v>8</v>
      </c>
      <c r="X210">
        <v>9</v>
      </c>
      <c r="Y210">
        <v>6.7864000000000004</v>
      </c>
      <c r="Z210">
        <v>7</v>
      </c>
      <c r="AA210">
        <v>37.4</v>
      </c>
      <c r="AB210">
        <v>-0.24000000000000005</v>
      </c>
      <c r="AC210">
        <v>23</v>
      </c>
      <c r="AD210">
        <v>22</v>
      </c>
      <c r="AE210">
        <v>24</v>
      </c>
      <c r="AF210">
        <v>-1.7880000000000007</v>
      </c>
      <c r="AG210">
        <v>20</v>
      </c>
      <c r="AH210">
        <v>3.0799999999999983</v>
      </c>
      <c r="AI210">
        <v>-1.64</v>
      </c>
      <c r="AJ210">
        <v>27</v>
      </c>
      <c r="AK210">
        <v>27</v>
      </c>
      <c r="AL210">
        <v>25</v>
      </c>
      <c r="AM210">
        <v>-4.8640000000000008</v>
      </c>
      <c r="AN210">
        <v>29</v>
      </c>
      <c r="AO210">
        <v>-22.32</v>
      </c>
      <c r="AP210">
        <v>-2.56</v>
      </c>
      <c r="AQ210">
        <v>13</v>
      </c>
      <c r="AR210">
        <v>14.5</v>
      </c>
      <c r="AS210">
        <v>16</v>
      </c>
      <c r="AT210">
        <v>-2.4119999999999999</v>
      </c>
      <c r="AU210">
        <v>13</v>
      </c>
      <c r="AV210">
        <v>-10.4</v>
      </c>
      <c r="AW210">
        <v>-0.67999999999999994</v>
      </c>
      <c r="AX210">
        <v>19</v>
      </c>
      <c r="AY210">
        <v>19.5</v>
      </c>
      <c r="AZ210">
        <v>20</v>
      </c>
      <c r="BA210">
        <v>-3.9160000000000004</v>
      </c>
      <c r="BB210">
        <v>19</v>
      </c>
      <c r="BC210">
        <v>-5.1599999999999993</v>
      </c>
      <c r="BD210">
        <v>-3.9200000000000004</v>
      </c>
      <c r="BE210">
        <v>17</v>
      </c>
      <c r="BF210">
        <v>17.5</v>
      </c>
      <c r="BG210">
        <v>16</v>
      </c>
      <c r="BH210">
        <v>1.8599999999999999</v>
      </c>
      <c r="BI210">
        <v>19</v>
      </c>
      <c r="BJ210">
        <v>10.760000000000002</v>
      </c>
      <c r="BK210">
        <v>1.4</v>
      </c>
      <c r="BL210">
        <v>17</v>
      </c>
      <c r="BM210">
        <v>16</v>
      </c>
      <c r="BN210">
        <v>15</v>
      </c>
      <c r="BO210">
        <v>8.0000000000000071E-2</v>
      </c>
      <c r="BP210">
        <v>17</v>
      </c>
      <c r="BQ210">
        <v>0.8</v>
      </c>
      <c r="BR210">
        <v>3.3200000000000003</v>
      </c>
      <c r="BS210">
        <v>21</v>
      </c>
      <c r="BT210">
        <v>17.75</v>
      </c>
      <c r="BU210">
        <v>19</v>
      </c>
      <c r="BV210">
        <v>-6.0274558058237095E-2</v>
      </c>
      <c r="BW210">
        <v>3</v>
      </c>
      <c r="BX210">
        <v>-1.3711419217016785E-2</v>
      </c>
      <c r="BY210">
        <v>29</v>
      </c>
      <c r="BZ210">
        <v>2.5040000000000022</v>
      </c>
      <c r="CA210">
        <v>20</v>
      </c>
      <c r="CB210">
        <v>-1.7600000000000002</v>
      </c>
      <c r="CC210">
        <v>2.3599999999999994</v>
      </c>
      <c r="CD210">
        <v>1.4799999999999998</v>
      </c>
      <c r="CE210">
        <v>-0.83999999999999986</v>
      </c>
      <c r="CF210">
        <v>23.8</v>
      </c>
      <c r="CG210">
        <v>-20.76</v>
      </c>
      <c r="CH210">
        <v>62.4</v>
      </c>
      <c r="CI210">
        <v>1.9600000000000002</v>
      </c>
      <c r="CJ210">
        <v>-19.8</v>
      </c>
      <c r="CK210">
        <v>29</v>
      </c>
      <c r="CL210">
        <v>-9.428799999999999</v>
      </c>
      <c r="CM210">
        <v>-4.5128800000000009</v>
      </c>
      <c r="CN210">
        <v>-83.16</v>
      </c>
      <c r="CO210">
        <v>9.428799999999999</v>
      </c>
      <c r="CP210">
        <v>-1.0805</v>
      </c>
      <c r="CQ210">
        <v>-9.0640000000000001</v>
      </c>
      <c r="CR210">
        <v>-29.64</v>
      </c>
      <c r="CS210">
        <v>3.9544000000000006</v>
      </c>
      <c r="CT210">
        <v>44.68</v>
      </c>
      <c r="CU210">
        <v>-3.48</v>
      </c>
      <c r="CV210">
        <v>-2.1199999999999997</v>
      </c>
      <c r="CW210">
        <v>-1.1088499999999994</v>
      </c>
      <c r="CX210">
        <v>-3.8912999999999993</v>
      </c>
      <c r="CY210" t="s">
        <v>306</v>
      </c>
      <c r="CZ210">
        <v>22</v>
      </c>
      <c r="DA210">
        <v>3.2028000000000021</v>
      </c>
      <c r="DB210">
        <v>11</v>
      </c>
      <c r="DC210">
        <v>11</v>
      </c>
      <c r="DD210">
        <v>16</v>
      </c>
      <c r="DE210">
        <v>5.668000000000001</v>
      </c>
      <c r="DF210">
        <v>6</v>
      </c>
      <c r="DG210">
        <v>16.34</v>
      </c>
      <c r="DH210">
        <v>0.74</v>
      </c>
      <c r="DI210">
        <v>10</v>
      </c>
      <c r="DJ210">
        <v>12.5</v>
      </c>
      <c r="DK210">
        <v>16</v>
      </c>
      <c r="DL210">
        <v>-1.2810000000000001</v>
      </c>
      <c r="DM210">
        <v>9</v>
      </c>
      <c r="DN210">
        <v>4.0200000000000005</v>
      </c>
      <c r="DO210">
        <v>0.32000000000000006</v>
      </c>
      <c r="DP210">
        <v>13</v>
      </c>
      <c r="DQ210">
        <v>12</v>
      </c>
      <c r="DR210">
        <v>14</v>
      </c>
      <c r="DS210">
        <v>-2.3519999999999999</v>
      </c>
      <c r="DT210">
        <v>10</v>
      </c>
      <c r="DU210">
        <v>-12.14</v>
      </c>
      <c r="DV210">
        <v>-1.7</v>
      </c>
      <c r="DW210">
        <v>26</v>
      </c>
      <c r="DX210">
        <v>26.5</v>
      </c>
      <c r="DY210">
        <v>23</v>
      </c>
      <c r="DZ210">
        <v>6.5390000000000015</v>
      </c>
      <c r="EA210">
        <v>30</v>
      </c>
      <c r="EB210">
        <v>12.29</v>
      </c>
      <c r="EC210">
        <v>-0.1</v>
      </c>
      <c r="ED210">
        <v>32</v>
      </c>
      <c r="EE210">
        <v>15</v>
      </c>
      <c r="EF210">
        <v>15</v>
      </c>
      <c r="EG210">
        <v>-1.8760000000000001</v>
      </c>
      <c r="EH210">
        <v>15</v>
      </c>
      <c r="EI210">
        <v>-12.879999999999999</v>
      </c>
      <c r="EJ210">
        <v>-0.75999999999999979</v>
      </c>
      <c r="EK210">
        <v>7</v>
      </c>
      <c r="EL210">
        <v>7.5</v>
      </c>
      <c r="EM210">
        <v>7</v>
      </c>
      <c r="EN210">
        <v>-1.572000000000001</v>
      </c>
      <c r="EO210">
        <v>8</v>
      </c>
      <c r="EP210">
        <v>-17.16</v>
      </c>
      <c r="EQ210">
        <v>-5.2799999999999994</v>
      </c>
      <c r="ER210">
        <v>10</v>
      </c>
      <c r="ES210">
        <v>10.5</v>
      </c>
      <c r="ET210">
        <v>6</v>
      </c>
      <c r="EU210">
        <v>2.7680000000000016</v>
      </c>
      <c r="EV210">
        <v>15</v>
      </c>
      <c r="EW210">
        <v>7.4799999999999986</v>
      </c>
      <c r="EX210">
        <v>0.96000000000000019</v>
      </c>
      <c r="EY210">
        <v>12</v>
      </c>
      <c r="EZ210">
        <v>12.5</v>
      </c>
      <c r="FA210">
        <v>12</v>
      </c>
      <c r="FB210">
        <v>0.72000000000000031</v>
      </c>
      <c r="FC210">
        <v>13</v>
      </c>
      <c r="FD210">
        <v>-0.12000000000000002</v>
      </c>
      <c r="FE210">
        <v>2.0799999999999996</v>
      </c>
      <c r="FF210">
        <v>3</v>
      </c>
      <c r="FG210">
        <v>8</v>
      </c>
      <c r="FH210">
        <v>13</v>
      </c>
      <c r="FI210">
        <v>-4.5873865450392098E-2</v>
      </c>
      <c r="FJ210">
        <v>2</v>
      </c>
      <c r="FK210">
        <v>6.592115752241748E-3</v>
      </c>
      <c r="FL210">
        <v>9</v>
      </c>
      <c r="FM210">
        <v>14.492000000000001</v>
      </c>
      <c r="FN210">
        <v>8</v>
      </c>
      <c r="FO210">
        <v>-3.12</v>
      </c>
      <c r="FP210">
        <v>-1.0799999999999996</v>
      </c>
      <c r="FQ210">
        <v>3.56</v>
      </c>
      <c r="FR210">
        <v>4.0000000000000036E-2</v>
      </c>
      <c r="FS210">
        <v>3.1599999999999993</v>
      </c>
      <c r="FT210">
        <v>5.4799999999999995</v>
      </c>
      <c r="FU210">
        <v>0.28000000000000008</v>
      </c>
      <c r="FV210">
        <v>47.760000000000012</v>
      </c>
      <c r="FW210">
        <v>10.839999999999993</v>
      </c>
      <c r="FX210">
        <v>22.919999999999998</v>
      </c>
      <c r="FY210">
        <v>2.6</v>
      </c>
      <c r="FZ210">
        <v>11.4</v>
      </c>
      <c r="GA210">
        <v>17</v>
      </c>
      <c r="GB210">
        <v>-1.1841999999999988</v>
      </c>
      <c r="GC210">
        <v>-0.53713999999999951</v>
      </c>
      <c r="GD210">
        <v>-12.080000000000005</v>
      </c>
      <c r="GE210">
        <v>1.1841999999999984</v>
      </c>
      <c r="GF210">
        <v>1.6736000000000006</v>
      </c>
      <c r="GG210">
        <v>2.3110000000000008</v>
      </c>
      <c r="GH210">
        <v>-12.73</v>
      </c>
      <c r="GI210">
        <v>4.3870000000000005</v>
      </c>
      <c r="GJ210">
        <v>20.36</v>
      </c>
      <c r="GK210">
        <v>-1.5999999999999994</v>
      </c>
      <c r="GL210">
        <v>1.06</v>
      </c>
    </row>
    <row r="211" spans="1:194" x14ac:dyDescent="0.2">
      <c r="A211" s="39">
        <v>43758</v>
      </c>
      <c r="B211" s="22" t="s">
        <v>250</v>
      </c>
      <c r="C211" s="41" t="s">
        <v>308</v>
      </c>
      <c r="D211" s="22" t="s">
        <v>305</v>
      </c>
      <c r="E211">
        <v>16.8</v>
      </c>
      <c r="F211">
        <v>8.3000000000000007</v>
      </c>
      <c r="G211" s="14">
        <v>9</v>
      </c>
      <c r="H211">
        <v>5</v>
      </c>
      <c r="I211">
        <v>-3</v>
      </c>
      <c r="J211">
        <v>49</v>
      </c>
      <c r="L211" s="1" t="s">
        <v>308</v>
      </c>
      <c r="M211">
        <v>1</v>
      </c>
      <c r="N211">
        <v>9.1784000000000017</v>
      </c>
      <c r="O211">
        <v>3</v>
      </c>
      <c r="P211">
        <v>6</v>
      </c>
      <c r="Q211">
        <v>10</v>
      </c>
      <c r="R211">
        <v>2.8000000000000007</v>
      </c>
      <c r="S211">
        <v>2</v>
      </c>
      <c r="T211">
        <v>20.919999999999998</v>
      </c>
      <c r="U211">
        <v>-0.56000000000000005</v>
      </c>
      <c r="V211">
        <v>1</v>
      </c>
      <c r="W211">
        <v>1.5</v>
      </c>
      <c r="X211">
        <v>2</v>
      </c>
      <c r="Y211">
        <v>1.6720000000000006</v>
      </c>
      <c r="Z211">
        <v>1</v>
      </c>
      <c r="AA211">
        <v>-2.4799999999999995</v>
      </c>
      <c r="AB211">
        <v>0.48</v>
      </c>
      <c r="AC211">
        <v>19</v>
      </c>
      <c r="AD211">
        <v>18.5</v>
      </c>
      <c r="AE211">
        <v>15</v>
      </c>
      <c r="AF211">
        <v>3.6039999999999983</v>
      </c>
      <c r="AG211">
        <v>22</v>
      </c>
      <c r="AH211">
        <v>17.36</v>
      </c>
      <c r="AI211">
        <v>0.2</v>
      </c>
      <c r="AJ211">
        <v>12</v>
      </c>
      <c r="AK211">
        <v>11.5</v>
      </c>
      <c r="AL211">
        <v>12</v>
      </c>
      <c r="AM211">
        <v>-1.5600000000000005</v>
      </c>
      <c r="AN211">
        <v>11</v>
      </c>
      <c r="AO211">
        <v>-0.72000000000000031</v>
      </c>
      <c r="AP211">
        <v>-0.59999999999999987</v>
      </c>
      <c r="AQ211">
        <v>17</v>
      </c>
      <c r="AR211">
        <v>17</v>
      </c>
      <c r="AS211">
        <v>17</v>
      </c>
      <c r="AT211">
        <v>3.032</v>
      </c>
      <c r="AU211">
        <v>17</v>
      </c>
      <c r="AV211">
        <v>8.7600000000000016</v>
      </c>
      <c r="AW211">
        <v>0.59999999999999987</v>
      </c>
      <c r="AX211">
        <v>24</v>
      </c>
      <c r="AY211">
        <v>25</v>
      </c>
      <c r="AZ211">
        <v>26</v>
      </c>
      <c r="BA211">
        <v>2.9880000000000022</v>
      </c>
      <c r="BB211">
        <v>24</v>
      </c>
      <c r="BC211">
        <v>17.880000000000003</v>
      </c>
      <c r="BD211">
        <v>-0.23999999999999985</v>
      </c>
      <c r="BE211">
        <v>12</v>
      </c>
      <c r="BF211">
        <v>12.5</v>
      </c>
      <c r="BG211">
        <v>10</v>
      </c>
      <c r="BH211">
        <v>0.56399999999999939</v>
      </c>
      <c r="BI211">
        <v>15</v>
      </c>
      <c r="BJ211">
        <v>0.84000000000000197</v>
      </c>
      <c r="BK211">
        <v>-0.99999999999999978</v>
      </c>
      <c r="BL211">
        <v>8</v>
      </c>
      <c r="BM211">
        <v>8.5</v>
      </c>
      <c r="BN211">
        <v>9</v>
      </c>
      <c r="BO211">
        <v>-1.8</v>
      </c>
      <c r="BP211">
        <v>8</v>
      </c>
      <c r="BQ211">
        <v>-0.55999999999999994</v>
      </c>
      <c r="BR211">
        <v>1.7763568394002506E-16</v>
      </c>
      <c r="BS211">
        <v>12</v>
      </c>
      <c r="BT211">
        <v>13.25</v>
      </c>
      <c r="BU211">
        <v>11</v>
      </c>
      <c r="BV211">
        <v>4.5164541201638937E-2</v>
      </c>
      <c r="BW211">
        <v>5</v>
      </c>
      <c r="BX211">
        <v>-6.6600238660584135E-3</v>
      </c>
      <c r="BY211">
        <v>21</v>
      </c>
      <c r="BZ211">
        <v>13.412000000000001</v>
      </c>
      <c r="CA211">
        <v>16</v>
      </c>
      <c r="CB211">
        <v>-1.3199999999999998</v>
      </c>
      <c r="CC211">
        <v>4.4799999999999986</v>
      </c>
      <c r="CD211">
        <v>5</v>
      </c>
      <c r="CE211">
        <v>0.83999999999999986</v>
      </c>
      <c r="CF211">
        <v>69.400000000000006</v>
      </c>
      <c r="CG211">
        <v>46.36</v>
      </c>
      <c r="CH211">
        <v>16.119999999999997</v>
      </c>
      <c r="CI211">
        <v>-3.3600000000000003</v>
      </c>
      <c r="CJ211">
        <v>10.279999999999998</v>
      </c>
      <c r="CK211">
        <v>9</v>
      </c>
      <c r="CL211">
        <v>4.7064000000000004</v>
      </c>
      <c r="CM211">
        <v>0.72767999999999899</v>
      </c>
      <c r="CN211">
        <v>30.240000000000002</v>
      </c>
      <c r="CO211">
        <v>-4.7064000000000004</v>
      </c>
      <c r="CP211">
        <v>2.1862999999999997</v>
      </c>
      <c r="CQ211">
        <v>5.0759999999999978</v>
      </c>
      <c r="CR211">
        <v>25.400000000000002</v>
      </c>
      <c r="CS211">
        <v>4.4720000000000013</v>
      </c>
      <c r="CT211">
        <v>18.439999999999998</v>
      </c>
      <c r="CU211">
        <v>-0.79999999999999982</v>
      </c>
      <c r="CV211">
        <v>-8.0000000000000071E-2</v>
      </c>
      <c r="CW211">
        <v>0.88869999999999993</v>
      </c>
      <c r="CX211">
        <v>0.32179999999999986</v>
      </c>
      <c r="CY211" t="s">
        <v>305</v>
      </c>
      <c r="CZ211">
        <v>32</v>
      </c>
      <c r="DA211">
        <v>1.0328000000000011</v>
      </c>
      <c r="DB211">
        <v>4</v>
      </c>
      <c r="DC211">
        <v>5.5</v>
      </c>
      <c r="DD211">
        <v>6</v>
      </c>
      <c r="DE211">
        <v>1.2080000000000002</v>
      </c>
      <c r="DF211">
        <v>5</v>
      </c>
      <c r="DG211">
        <v>5.5199999999999987</v>
      </c>
      <c r="DH211">
        <v>-2.3200000000000003</v>
      </c>
      <c r="DI211">
        <v>27</v>
      </c>
      <c r="DJ211">
        <v>24.5</v>
      </c>
      <c r="DK211">
        <v>29</v>
      </c>
      <c r="DL211">
        <v>0.83599999999999974</v>
      </c>
      <c r="DM211">
        <v>20</v>
      </c>
      <c r="DN211">
        <v>7.1054273576010023E-16</v>
      </c>
      <c r="DO211">
        <v>0.67999999999999994</v>
      </c>
      <c r="DP211">
        <v>20</v>
      </c>
      <c r="DQ211">
        <v>25</v>
      </c>
      <c r="DR211">
        <v>27</v>
      </c>
      <c r="DS211">
        <v>-2.7360000000000007</v>
      </c>
      <c r="DT211">
        <v>23</v>
      </c>
      <c r="DU211">
        <v>-11.24</v>
      </c>
      <c r="DV211">
        <v>-0.23999999999999969</v>
      </c>
      <c r="DW211">
        <v>16</v>
      </c>
      <c r="DX211">
        <v>16</v>
      </c>
      <c r="DY211">
        <v>12</v>
      </c>
      <c r="DZ211">
        <v>4.5799999999999992</v>
      </c>
      <c r="EA211">
        <v>20</v>
      </c>
      <c r="EB211">
        <v>29.6</v>
      </c>
      <c r="EC211">
        <v>1.8799999999999997</v>
      </c>
      <c r="ED211">
        <v>22</v>
      </c>
      <c r="EE211">
        <v>29</v>
      </c>
      <c r="EF211">
        <v>31</v>
      </c>
      <c r="EG211">
        <v>3.8439999999999999</v>
      </c>
      <c r="EH211">
        <v>27</v>
      </c>
      <c r="EI211">
        <v>17.04</v>
      </c>
      <c r="EJ211">
        <v>1.08</v>
      </c>
      <c r="EK211">
        <v>26</v>
      </c>
      <c r="EL211">
        <v>26.5</v>
      </c>
      <c r="EM211">
        <v>23</v>
      </c>
      <c r="EN211">
        <v>0.53599999999999992</v>
      </c>
      <c r="EO211">
        <v>30</v>
      </c>
      <c r="EP211">
        <v>22.159999999999997</v>
      </c>
      <c r="EQ211">
        <v>-0.51999999999999991</v>
      </c>
      <c r="ER211">
        <v>31</v>
      </c>
      <c r="ES211">
        <v>30.5</v>
      </c>
      <c r="ET211">
        <v>30</v>
      </c>
      <c r="EU211">
        <v>1.5600000000000009</v>
      </c>
      <c r="EV211">
        <v>31</v>
      </c>
      <c r="EW211">
        <v>16.399999999999999</v>
      </c>
      <c r="EX211">
        <v>0.12000000000000002</v>
      </c>
      <c r="EY211">
        <v>23</v>
      </c>
      <c r="EZ211">
        <v>22.5</v>
      </c>
      <c r="FA211">
        <v>27</v>
      </c>
      <c r="FB211">
        <v>1.32</v>
      </c>
      <c r="FC211">
        <v>18</v>
      </c>
      <c r="FD211">
        <v>0.15999999999999992</v>
      </c>
      <c r="FE211">
        <v>0.48</v>
      </c>
      <c r="FF211">
        <v>5</v>
      </c>
      <c r="FG211">
        <v>9.75</v>
      </c>
      <c r="FH211">
        <v>15</v>
      </c>
      <c r="FI211">
        <v>-3.2040697892536427E-2</v>
      </c>
      <c r="FJ211">
        <v>8</v>
      </c>
      <c r="FK211">
        <v>-1.416932213802841E-2</v>
      </c>
      <c r="FL211">
        <v>15</v>
      </c>
      <c r="FM211">
        <v>2.9960000000000009</v>
      </c>
      <c r="FN211">
        <v>1</v>
      </c>
      <c r="FO211">
        <v>-3.8</v>
      </c>
      <c r="FP211">
        <v>0.12000000000000029</v>
      </c>
      <c r="FQ211">
        <v>-1.36</v>
      </c>
      <c r="FR211">
        <v>-0.64</v>
      </c>
      <c r="FS211">
        <v>-2.3599999999999994</v>
      </c>
      <c r="FT211">
        <v>3.72</v>
      </c>
      <c r="FU211">
        <v>0.55999999999999983</v>
      </c>
      <c r="FV211">
        <v>40.439999999999984</v>
      </c>
      <c r="FW211">
        <v>42.120000000000012</v>
      </c>
      <c r="FX211">
        <v>5.599999999999997</v>
      </c>
      <c r="FY211">
        <v>1.64</v>
      </c>
      <c r="FZ211">
        <v>-8.92</v>
      </c>
      <c r="GA211">
        <v>16</v>
      </c>
      <c r="GB211">
        <v>-1.0111999999999988</v>
      </c>
      <c r="GC211">
        <v>0.63415999999999983</v>
      </c>
      <c r="GD211">
        <v>36.520000000000017</v>
      </c>
      <c r="GE211">
        <v>1.011199999999999</v>
      </c>
      <c r="GF211">
        <v>1.4556</v>
      </c>
      <c r="GG211">
        <v>5.6879999999999988</v>
      </c>
      <c r="GH211">
        <v>35.4</v>
      </c>
      <c r="GI211">
        <v>2.044</v>
      </c>
      <c r="GJ211">
        <v>5.52</v>
      </c>
      <c r="GK211">
        <v>2.84</v>
      </c>
      <c r="GL211">
        <v>-1.6400000000000003</v>
      </c>
    </row>
    <row r="212" spans="1:194" x14ac:dyDescent="0.2">
      <c r="A212" s="39">
        <v>43758</v>
      </c>
      <c r="B212" s="22" t="s">
        <v>250</v>
      </c>
      <c r="C212" s="41" t="s">
        <v>310</v>
      </c>
      <c r="D212" s="22" t="s">
        <v>287</v>
      </c>
      <c r="E212">
        <v>20</v>
      </c>
      <c r="F212">
        <v>12.2</v>
      </c>
      <c r="G212" s="14">
        <v>8</v>
      </c>
      <c r="H212">
        <f>9.4+3.7</f>
        <v>13.100000000000001</v>
      </c>
      <c r="I212">
        <v>-3</v>
      </c>
      <c r="J212">
        <v>42.5</v>
      </c>
      <c r="K212" t="s">
        <v>110</v>
      </c>
      <c r="L212" s="1" t="s">
        <v>310</v>
      </c>
      <c r="M212">
        <v>27</v>
      </c>
      <c r="N212">
        <v>-3.5124000000000009</v>
      </c>
      <c r="O212">
        <v>1</v>
      </c>
      <c r="P212">
        <v>1.5</v>
      </c>
      <c r="Q212">
        <v>2</v>
      </c>
      <c r="R212">
        <v>-2.8959999999999999</v>
      </c>
      <c r="S212">
        <v>1</v>
      </c>
      <c r="T212">
        <v>-0.48000000000000115</v>
      </c>
      <c r="U212">
        <v>-1.6</v>
      </c>
      <c r="V212">
        <v>29</v>
      </c>
      <c r="W212">
        <v>29</v>
      </c>
      <c r="X212">
        <v>29</v>
      </c>
      <c r="Y212">
        <v>-2.3239999999999998</v>
      </c>
      <c r="Z212">
        <v>29</v>
      </c>
      <c r="AA212">
        <v>-13.959999999999999</v>
      </c>
      <c r="AB212">
        <v>4.0000000000000036E-2</v>
      </c>
      <c r="AC212">
        <v>28</v>
      </c>
      <c r="AD212">
        <v>27.5</v>
      </c>
      <c r="AE212">
        <v>28</v>
      </c>
      <c r="AF212">
        <v>-4.4599999999999991</v>
      </c>
      <c r="AG212">
        <v>27</v>
      </c>
      <c r="AH212">
        <v>-15.4</v>
      </c>
      <c r="AI212">
        <v>-2.6</v>
      </c>
      <c r="AJ212">
        <v>28</v>
      </c>
      <c r="AK212">
        <v>27.5</v>
      </c>
      <c r="AL212">
        <v>28</v>
      </c>
      <c r="AM212">
        <v>0.54000000000000059</v>
      </c>
      <c r="AN212">
        <v>27</v>
      </c>
      <c r="AO212">
        <v>1.4400000000000006</v>
      </c>
      <c r="AP212">
        <v>-0.68</v>
      </c>
      <c r="AQ212">
        <v>15</v>
      </c>
      <c r="AR212">
        <v>15</v>
      </c>
      <c r="AS212">
        <v>12</v>
      </c>
      <c r="AT212">
        <v>-2.8039999999999994</v>
      </c>
      <c r="AU212">
        <v>18</v>
      </c>
      <c r="AV212">
        <v>-13.760000000000002</v>
      </c>
      <c r="AW212">
        <v>-0.59999999999999987</v>
      </c>
      <c r="AX212">
        <v>20</v>
      </c>
      <c r="AY212">
        <v>20</v>
      </c>
      <c r="AZ212">
        <v>22</v>
      </c>
      <c r="BA212">
        <v>-2.444</v>
      </c>
      <c r="BB212">
        <v>18</v>
      </c>
      <c r="BC212">
        <v>-2.4400000000000004</v>
      </c>
      <c r="BD212">
        <v>0.48000000000000009</v>
      </c>
      <c r="BE212">
        <v>14</v>
      </c>
      <c r="BF212">
        <v>13.5</v>
      </c>
      <c r="BG212">
        <v>15</v>
      </c>
      <c r="BH212">
        <v>-1.3639999999999999</v>
      </c>
      <c r="BI212">
        <v>12</v>
      </c>
      <c r="BJ212">
        <v>8.4400000000000013</v>
      </c>
      <c r="BK212">
        <v>0.4799999999999997</v>
      </c>
      <c r="BL212">
        <v>29</v>
      </c>
      <c r="BM212">
        <v>29</v>
      </c>
      <c r="BN212">
        <v>28</v>
      </c>
      <c r="BO212">
        <v>-4.0400000000000009</v>
      </c>
      <c r="BP212">
        <v>30</v>
      </c>
      <c r="BQ212">
        <v>-0.4</v>
      </c>
      <c r="BR212">
        <v>-0.71999999999999975</v>
      </c>
      <c r="BS212">
        <v>25</v>
      </c>
      <c r="BT212">
        <v>21</v>
      </c>
      <c r="BU212">
        <v>27</v>
      </c>
      <c r="BV212">
        <v>1.0523263298231578E-2</v>
      </c>
      <c r="BW212">
        <v>2</v>
      </c>
      <c r="BX212">
        <v>6.6251587999701808E-2</v>
      </c>
      <c r="BY212">
        <v>30</v>
      </c>
      <c r="BZ212">
        <v>13.412000000000001</v>
      </c>
      <c r="CA212">
        <v>25</v>
      </c>
      <c r="CB212">
        <v>4.5599999999999996</v>
      </c>
      <c r="CC212">
        <v>-0.51999999999999891</v>
      </c>
      <c r="CD212">
        <v>-6.08</v>
      </c>
      <c r="CE212">
        <v>-1.4</v>
      </c>
      <c r="CF212">
        <v>-43.44</v>
      </c>
      <c r="CG212">
        <v>-29.840000000000003</v>
      </c>
      <c r="CH212">
        <v>-16.04</v>
      </c>
      <c r="CI212">
        <v>-8.08</v>
      </c>
      <c r="CJ212">
        <v>10.52</v>
      </c>
      <c r="CK212">
        <v>16</v>
      </c>
      <c r="CL212">
        <v>1.7075999999999989</v>
      </c>
      <c r="CM212">
        <v>0.28991999999999996</v>
      </c>
      <c r="CN212">
        <v>-13.800000000000004</v>
      </c>
      <c r="CO212">
        <v>-1.7075999999999989</v>
      </c>
      <c r="CP212">
        <v>-2.6075499999999998</v>
      </c>
      <c r="CQ212">
        <v>-6.7239999999999984</v>
      </c>
      <c r="CR212">
        <v>-27.72</v>
      </c>
      <c r="CS212">
        <v>-5.22</v>
      </c>
      <c r="CT212">
        <v>-14.44</v>
      </c>
      <c r="CU212">
        <v>-3.4000000000000004</v>
      </c>
      <c r="CV212">
        <v>-1.56</v>
      </c>
      <c r="CW212">
        <v>-1.5318000000000001</v>
      </c>
      <c r="CX212">
        <v>-1.8164500000000001</v>
      </c>
      <c r="CY212" t="s">
        <v>287</v>
      </c>
      <c r="CZ212">
        <v>26</v>
      </c>
      <c r="DA212">
        <v>-1.6852000000000005</v>
      </c>
      <c r="DB212">
        <v>7</v>
      </c>
      <c r="DC212">
        <v>10</v>
      </c>
      <c r="DD212">
        <v>11</v>
      </c>
      <c r="DE212">
        <v>4.016</v>
      </c>
      <c r="DF212">
        <v>9</v>
      </c>
      <c r="DG212">
        <v>-1.2399999999999978</v>
      </c>
      <c r="DH212">
        <v>-9.9999999999999908E-2</v>
      </c>
      <c r="DI212">
        <v>21</v>
      </c>
      <c r="DJ212">
        <v>18.5</v>
      </c>
      <c r="DK212">
        <v>9</v>
      </c>
      <c r="DL212">
        <v>-1.536</v>
      </c>
      <c r="DM212">
        <v>28</v>
      </c>
      <c r="DN212">
        <v>3.1999999999999993</v>
      </c>
      <c r="DO212">
        <v>-1.52</v>
      </c>
      <c r="DP212">
        <v>28</v>
      </c>
      <c r="DQ212">
        <v>26.5</v>
      </c>
      <c r="DR212">
        <v>26</v>
      </c>
      <c r="DS212">
        <v>-2.5520000000000005</v>
      </c>
      <c r="DT212">
        <v>27</v>
      </c>
      <c r="DU212">
        <v>-14.320000000000002</v>
      </c>
      <c r="DV212">
        <v>-1.9600000000000002</v>
      </c>
      <c r="DW212">
        <v>21</v>
      </c>
      <c r="DX212">
        <v>22</v>
      </c>
      <c r="DY212">
        <v>22</v>
      </c>
      <c r="DZ212">
        <v>-5.1599999999999984</v>
      </c>
      <c r="EA212">
        <v>22</v>
      </c>
      <c r="EB212">
        <v>-15.760000000000002</v>
      </c>
      <c r="EC212">
        <v>-2.76</v>
      </c>
      <c r="ED212">
        <v>18</v>
      </c>
      <c r="EE212">
        <v>20.5</v>
      </c>
      <c r="EF212">
        <v>23</v>
      </c>
      <c r="EG212">
        <v>-2.3119999999999998</v>
      </c>
      <c r="EH212">
        <v>18</v>
      </c>
      <c r="EI212">
        <v>-11.2</v>
      </c>
      <c r="EJ212">
        <v>-1.8</v>
      </c>
      <c r="EK212">
        <v>22</v>
      </c>
      <c r="EL212">
        <v>23</v>
      </c>
      <c r="EM212">
        <v>25</v>
      </c>
      <c r="EN212">
        <v>-3.276000000000002</v>
      </c>
      <c r="EO212">
        <v>21</v>
      </c>
      <c r="EP212">
        <v>-16.360000000000003</v>
      </c>
      <c r="EQ212">
        <v>-3.6400000000000006</v>
      </c>
      <c r="ER212">
        <v>30</v>
      </c>
      <c r="ES212">
        <v>27.5</v>
      </c>
      <c r="ET212">
        <v>28</v>
      </c>
      <c r="EU212">
        <v>1.3720000000000003</v>
      </c>
      <c r="EV212">
        <v>27</v>
      </c>
      <c r="EW212">
        <v>2.12</v>
      </c>
      <c r="EX212">
        <v>-0.16000000000000014</v>
      </c>
      <c r="EY212">
        <v>3</v>
      </c>
      <c r="EZ212">
        <v>3.5</v>
      </c>
      <c r="FA212">
        <v>4</v>
      </c>
      <c r="FB212">
        <v>-2.12</v>
      </c>
      <c r="FC212">
        <v>3</v>
      </c>
      <c r="FD212">
        <v>-4.4408920985006264E-17</v>
      </c>
      <c r="FE212">
        <v>1.3199999999999998</v>
      </c>
      <c r="FF212">
        <v>25</v>
      </c>
      <c r="FG212">
        <v>21.5</v>
      </c>
      <c r="FH212">
        <v>20</v>
      </c>
      <c r="FI212">
        <v>-1.130369735889869E-2</v>
      </c>
      <c r="FJ212">
        <v>25</v>
      </c>
      <c r="FK212">
        <v>3.6198980148152622E-3</v>
      </c>
      <c r="FL212">
        <v>18</v>
      </c>
      <c r="FM212">
        <v>7.0999999999999988</v>
      </c>
      <c r="FN212">
        <v>23</v>
      </c>
      <c r="FO212">
        <v>0.12000000000000029</v>
      </c>
      <c r="FP212">
        <v>-5.160000000000001</v>
      </c>
      <c r="FQ212">
        <v>0.43999999999999984</v>
      </c>
      <c r="FR212">
        <v>0.40000000000000008</v>
      </c>
      <c r="FS212">
        <v>-7.24</v>
      </c>
      <c r="FT212">
        <v>-2.52</v>
      </c>
      <c r="FU212">
        <v>0.55999999999999983</v>
      </c>
      <c r="FV212">
        <v>-17.280000000000008</v>
      </c>
      <c r="FW212">
        <v>-18.959999999999997</v>
      </c>
      <c r="FX212">
        <v>2.7199999999999989</v>
      </c>
      <c r="FY212">
        <v>0.12000000000000002</v>
      </c>
      <c r="FZ212">
        <v>-1.1600000000000001</v>
      </c>
      <c r="GA212">
        <v>26</v>
      </c>
      <c r="GB212">
        <v>-4.1652000000000005</v>
      </c>
      <c r="GC212">
        <v>-3.3074399999999997</v>
      </c>
      <c r="GD212">
        <v>-21.679999999999996</v>
      </c>
      <c r="GE212">
        <v>4.1652000000000005</v>
      </c>
      <c r="GF212">
        <v>-1.24715</v>
      </c>
      <c r="GG212">
        <v>-10.023999999999999</v>
      </c>
      <c r="GH212">
        <v>-41.28</v>
      </c>
      <c r="GI212">
        <v>2.48</v>
      </c>
      <c r="GJ212">
        <v>1.9600000000000015</v>
      </c>
      <c r="GK212">
        <v>-6.68</v>
      </c>
      <c r="GL212">
        <v>-1.6199999999999999</v>
      </c>
    </row>
    <row r="213" spans="1:194" x14ac:dyDescent="0.2">
      <c r="A213" s="39">
        <v>43758</v>
      </c>
      <c r="B213" s="22" t="s">
        <v>250</v>
      </c>
      <c r="C213" s="41" t="s">
        <v>306</v>
      </c>
      <c r="D213" s="22" t="s">
        <v>256</v>
      </c>
      <c r="E213">
        <v>2.1</v>
      </c>
      <c r="F213" s="14">
        <v>5</v>
      </c>
      <c r="G213">
        <v>0</v>
      </c>
      <c r="H213">
        <v>3.3</v>
      </c>
      <c r="I213">
        <v>10</v>
      </c>
      <c r="J213">
        <v>39</v>
      </c>
      <c r="K213" t="s">
        <v>110</v>
      </c>
      <c r="L213" s="1" t="s">
        <v>306</v>
      </c>
      <c r="M213">
        <v>29</v>
      </c>
      <c r="N213">
        <v>-3.8960000000000017</v>
      </c>
      <c r="O213">
        <v>9</v>
      </c>
      <c r="P213">
        <v>9</v>
      </c>
      <c r="Q213">
        <v>11</v>
      </c>
      <c r="R213">
        <v>-7.9159999999999995</v>
      </c>
      <c r="S213">
        <v>7</v>
      </c>
      <c r="T213">
        <v>-20.999999999999996</v>
      </c>
      <c r="U213">
        <v>-2.08</v>
      </c>
      <c r="V213">
        <v>19</v>
      </c>
      <c r="W213">
        <v>18</v>
      </c>
      <c r="X213">
        <v>25</v>
      </c>
      <c r="Y213">
        <v>1.0680000000000003</v>
      </c>
      <c r="Z213">
        <v>11</v>
      </c>
      <c r="AA213">
        <v>-8.870000000000001</v>
      </c>
      <c r="AB213">
        <v>2.2800000000000002</v>
      </c>
      <c r="AC213">
        <v>29</v>
      </c>
      <c r="AD213">
        <v>29</v>
      </c>
      <c r="AE213">
        <v>29</v>
      </c>
      <c r="AF213">
        <v>-0.83500000000000019</v>
      </c>
      <c r="AG213">
        <v>29</v>
      </c>
      <c r="AH213">
        <v>-15.2</v>
      </c>
      <c r="AI213">
        <v>-0.58999999999999964</v>
      </c>
      <c r="AJ213">
        <v>28</v>
      </c>
      <c r="AK213">
        <v>27.5</v>
      </c>
      <c r="AL213">
        <v>30</v>
      </c>
      <c r="AM213">
        <v>-2.0890000000000004</v>
      </c>
      <c r="AN213">
        <v>25</v>
      </c>
      <c r="AO213">
        <v>-21.65</v>
      </c>
      <c r="AP213">
        <v>-1.5</v>
      </c>
      <c r="AQ213">
        <v>30</v>
      </c>
      <c r="AR213">
        <v>29.5</v>
      </c>
      <c r="AS213">
        <v>31</v>
      </c>
      <c r="AT213">
        <v>0.1660000000000002</v>
      </c>
      <c r="AU213">
        <v>28</v>
      </c>
      <c r="AV213">
        <v>-1.4799999999999998</v>
      </c>
      <c r="AW213">
        <v>0.76999999999999991</v>
      </c>
      <c r="AX213">
        <v>30</v>
      </c>
      <c r="AY213">
        <v>30</v>
      </c>
      <c r="AZ213">
        <v>30</v>
      </c>
      <c r="BA213">
        <v>-2.0759999999999983</v>
      </c>
      <c r="BB213">
        <v>30</v>
      </c>
      <c r="BC213">
        <v>-12.999999999999996</v>
      </c>
      <c r="BD213">
        <v>-5.160000000000001</v>
      </c>
      <c r="BE213">
        <v>31</v>
      </c>
      <c r="BF213">
        <v>30</v>
      </c>
      <c r="BG213">
        <v>31</v>
      </c>
      <c r="BH213">
        <v>-2.1719999999999997</v>
      </c>
      <c r="BI213">
        <v>29</v>
      </c>
      <c r="BJ213">
        <v>-9.3199999999999985</v>
      </c>
      <c r="BK213">
        <v>3.9999999999999945E-2</v>
      </c>
      <c r="BL213">
        <v>1</v>
      </c>
      <c r="BM213">
        <v>1</v>
      </c>
      <c r="BN213">
        <v>1</v>
      </c>
      <c r="BO213">
        <v>-3.72</v>
      </c>
      <c r="BP213">
        <v>1</v>
      </c>
      <c r="BQ213">
        <v>-0.76</v>
      </c>
      <c r="BR213">
        <v>-3.12</v>
      </c>
      <c r="BS213">
        <v>1</v>
      </c>
      <c r="BT213">
        <v>5.25</v>
      </c>
      <c r="BU213">
        <v>9</v>
      </c>
      <c r="BV213">
        <v>-1.6315124484010114E-2</v>
      </c>
      <c r="BW213">
        <v>1</v>
      </c>
      <c r="BX213">
        <v>-7.2815427529590582E-4</v>
      </c>
      <c r="BY213">
        <v>2</v>
      </c>
      <c r="BZ213">
        <v>-17.815999999999999</v>
      </c>
      <c r="CA213">
        <v>9</v>
      </c>
      <c r="CB213">
        <v>2.04</v>
      </c>
      <c r="CC213">
        <v>-6.2800000000000011</v>
      </c>
      <c r="CD213">
        <v>-5.5600000000000005</v>
      </c>
      <c r="CE213">
        <v>-2.4000000000000004</v>
      </c>
      <c r="CF213">
        <v>-61.639999999999986</v>
      </c>
      <c r="CG213">
        <v>-45.279999999999994</v>
      </c>
      <c r="CH213">
        <v>-28.6</v>
      </c>
      <c r="CI213">
        <v>11.8</v>
      </c>
      <c r="CJ213">
        <v>0.43999999999999984</v>
      </c>
      <c r="CK213">
        <v>14</v>
      </c>
      <c r="CL213">
        <v>2.9519999999999973</v>
      </c>
      <c r="CM213">
        <v>1.6587999999999994</v>
      </c>
      <c r="CN213">
        <v>-16.679999999999993</v>
      </c>
      <c r="CO213">
        <v>-2.9519999999999973</v>
      </c>
      <c r="CP213">
        <v>-2.4242500000000002</v>
      </c>
      <c r="CQ213">
        <v>-2.758</v>
      </c>
      <c r="CR213">
        <v>-38.329999999999991</v>
      </c>
      <c r="CS213">
        <v>-6.847999999999999</v>
      </c>
      <c r="CT213">
        <v>-29.869999999999997</v>
      </c>
      <c r="CU213">
        <v>-1.2799999999999998</v>
      </c>
      <c r="CV213">
        <v>0.20000000000000018</v>
      </c>
      <c r="CW213">
        <v>-1.1088499999999994</v>
      </c>
      <c r="CX213">
        <v>1.6736000000000006</v>
      </c>
      <c r="CY213" t="s">
        <v>256</v>
      </c>
      <c r="CZ213">
        <v>22</v>
      </c>
      <c r="DA213">
        <v>-6.082399999999998</v>
      </c>
      <c r="DB213">
        <v>14</v>
      </c>
      <c r="DC213">
        <v>16</v>
      </c>
      <c r="DD213">
        <v>22</v>
      </c>
      <c r="DE213">
        <v>-7.6760000000000002</v>
      </c>
      <c r="DF213">
        <v>10</v>
      </c>
      <c r="DG213">
        <v>-3.4800000000000013</v>
      </c>
      <c r="DH213">
        <v>-1.4000000000000001</v>
      </c>
      <c r="DI213">
        <v>32</v>
      </c>
      <c r="DJ213">
        <v>32</v>
      </c>
      <c r="DK213">
        <v>32</v>
      </c>
      <c r="DL213">
        <v>-2.976</v>
      </c>
      <c r="DM213">
        <v>32</v>
      </c>
      <c r="DN213">
        <v>-4.0000000000000216E-2</v>
      </c>
      <c r="DO213">
        <v>-1.6</v>
      </c>
      <c r="DP213">
        <v>28</v>
      </c>
      <c r="DQ213">
        <v>26.5</v>
      </c>
      <c r="DR213">
        <v>23</v>
      </c>
      <c r="DS213">
        <v>-5.0720000000000001</v>
      </c>
      <c r="DT213">
        <v>30</v>
      </c>
      <c r="DU213">
        <v>-18.68</v>
      </c>
      <c r="DV213">
        <v>-2.44</v>
      </c>
      <c r="DW213">
        <v>31</v>
      </c>
      <c r="DX213">
        <v>30.5</v>
      </c>
      <c r="DY213">
        <v>32</v>
      </c>
      <c r="DZ213">
        <v>1.6640000000000001</v>
      </c>
      <c r="EA213">
        <v>29</v>
      </c>
      <c r="EB213">
        <v>3.3999999999999986</v>
      </c>
      <c r="EC213">
        <v>-1</v>
      </c>
      <c r="ED213">
        <v>7</v>
      </c>
      <c r="EE213">
        <v>14</v>
      </c>
      <c r="EF213">
        <v>12</v>
      </c>
      <c r="EG213">
        <v>-4.1079999999999997</v>
      </c>
      <c r="EH213">
        <v>16</v>
      </c>
      <c r="EI213">
        <v>-24.119999999999997</v>
      </c>
      <c r="EJ213">
        <v>-1.92</v>
      </c>
      <c r="EK213">
        <v>27</v>
      </c>
      <c r="EL213">
        <v>27</v>
      </c>
      <c r="EM213">
        <v>26</v>
      </c>
      <c r="EN213">
        <v>-6.7520000000000007</v>
      </c>
      <c r="EO213">
        <v>28</v>
      </c>
      <c r="EP213">
        <v>-27.119999999999994</v>
      </c>
      <c r="EQ213">
        <v>-3.8</v>
      </c>
      <c r="ER213">
        <v>22</v>
      </c>
      <c r="ES213">
        <v>23.5</v>
      </c>
      <c r="ET213">
        <v>19</v>
      </c>
      <c r="EU213">
        <v>-3.2399999999999998</v>
      </c>
      <c r="EV213">
        <v>28</v>
      </c>
      <c r="EW213">
        <v>-19.600000000000001</v>
      </c>
      <c r="EX213">
        <v>-0.64000000000000024</v>
      </c>
      <c r="EY213">
        <v>18</v>
      </c>
      <c r="EZ213">
        <v>20</v>
      </c>
      <c r="FA213">
        <v>22</v>
      </c>
      <c r="FB213">
        <v>-3.6399999999999997</v>
      </c>
      <c r="FC213">
        <v>18</v>
      </c>
      <c r="FD213">
        <v>-0.52000000000000013</v>
      </c>
      <c r="FE213">
        <v>-1.7600000000000002</v>
      </c>
      <c r="FF213">
        <v>13</v>
      </c>
      <c r="FG213">
        <v>14.75</v>
      </c>
      <c r="FH213">
        <v>23</v>
      </c>
      <c r="FI213">
        <v>3.8049031715844131E-2</v>
      </c>
      <c r="FJ213">
        <v>8</v>
      </c>
      <c r="FK213">
        <v>6.7230988659737118E-2</v>
      </c>
      <c r="FL213">
        <v>24</v>
      </c>
      <c r="FM213">
        <v>-2.2919999999999989</v>
      </c>
      <c r="FN213">
        <v>4</v>
      </c>
      <c r="FO213">
        <v>3.3200000000000003</v>
      </c>
      <c r="FP213">
        <v>-8.7200000000000006</v>
      </c>
      <c r="FQ213">
        <v>-0.43999999999999984</v>
      </c>
      <c r="FR213">
        <v>-0.64000000000000024</v>
      </c>
      <c r="FS213">
        <v>-7.919999999999999</v>
      </c>
      <c r="FT213">
        <v>-9.36</v>
      </c>
      <c r="FU213">
        <v>-0.83999999999999986</v>
      </c>
      <c r="FV213">
        <v>-92.960000000000008</v>
      </c>
      <c r="FW213">
        <v>-87.359999999999985</v>
      </c>
      <c r="FX213">
        <v>-5.4400000000000022</v>
      </c>
      <c r="FY213">
        <v>2.92</v>
      </c>
      <c r="FZ213">
        <v>-3.0799999999999996</v>
      </c>
      <c r="GA213">
        <v>5</v>
      </c>
      <c r="GB213">
        <v>4.5696000000000021</v>
      </c>
      <c r="GC213">
        <v>1.9583200000000014</v>
      </c>
      <c r="GD213">
        <v>-81.919999999999987</v>
      </c>
      <c r="GE213">
        <v>-4.569600000000003</v>
      </c>
      <c r="GF213">
        <v>-3.8912999999999993</v>
      </c>
      <c r="GG213">
        <v>-7.516</v>
      </c>
      <c r="GH213">
        <v>-39.4</v>
      </c>
      <c r="GI213">
        <v>-10.652000000000001</v>
      </c>
      <c r="GJ213">
        <v>-3.5200000000000014</v>
      </c>
      <c r="GK213">
        <v>-6</v>
      </c>
      <c r="GL213">
        <v>-3</v>
      </c>
    </row>
    <row r="214" spans="1:194" x14ac:dyDescent="0.2">
      <c r="A214" s="39">
        <v>43765</v>
      </c>
      <c r="B214" s="22" t="s">
        <v>248</v>
      </c>
      <c r="C214" s="41" t="s">
        <v>285</v>
      </c>
      <c r="D214" s="22" t="s">
        <v>307</v>
      </c>
      <c r="E214">
        <v>2.8</v>
      </c>
      <c r="F214">
        <v>17.8</v>
      </c>
      <c r="G214">
        <v>3.8</v>
      </c>
      <c r="H214">
        <f>11.8+1.9</f>
        <v>13.700000000000001</v>
      </c>
      <c r="I214">
        <v>12.5</v>
      </c>
      <c r="J214">
        <v>47.5</v>
      </c>
      <c r="K214" t="s">
        <v>110</v>
      </c>
      <c r="L214" s="1" t="s">
        <v>285</v>
      </c>
      <c r="M214">
        <v>24</v>
      </c>
      <c r="N214">
        <v>-2.0072000000000001</v>
      </c>
      <c r="O214">
        <v>24</v>
      </c>
      <c r="P214">
        <v>22.5</v>
      </c>
      <c r="Q214">
        <v>22</v>
      </c>
      <c r="R214">
        <v>5.0640000000000009</v>
      </c>
      <c r="S214">
        <v>23</v>
      </c>
      <c r="T214">
        <v>-6.3600000000000012</v>
      </c>
      <c r="U214">
        <v>2.96</v>
      </c>
      <c r="V214">
        <v>29</v>
      </c>
      <c r="W214">
        <v>29</v>
      </c>
      <c r="X214">
        <v>30</v>
      </c>
      <c r="Y214">
        <v>1.1344000000000003</v>
      </c>
      <c r="Z214">
        <v>28</v>
      </c>
      <c r="AA214">
        <v>7.4399999999999995</v>
      </c>
      <c r="AB214">
        <v>-0.56000000000000005</v>
      </c>
      <c r="AC214">
        <v>27</v>
      </c>
      <c r="AD214">
        <v>26.5</v>
      </c>
      <c r="AE214">
        <v>27</v>
      </c>
      <c r="AF214">
        <v>-5.1840000000000019</v>
      </c>
      <c r="AG214">
        <v>26</v>
      </c>
      <c r="AH214">
        <v>-21.56</v>
      </c>
      <c r="AI214">
        <v>-1.8</v>
      </c>
      <c r="AJ214">
        <v>7</v>
      </c>
      <c r="AK214">
        <v>8</v>
      </c>
      <c r="AL214">
        <v>6</v>
      </c>
      <c r="AM214">
        <v>-3.8920000000000017</v>
      </c>
      <c r="AN214">
        <v>10</v>
      </c>
      <c r="AO214">
        <v>-13.76</v>
      </c>
      <c r="AP214">
        <v>0.31999999999999973</v>
      </c>
      <c r="AQ214">
        <v>11</v>
      </c>
      <c r="AR214">
        <v>10.5</v>
      </c>
      <c r="AS214">
        <v>9</v>
      </c>
      <c r="AT214">
        <v>-1.028</v>
      </c>
      <c r="AU214">
        <v>12</v>
      </c>
      <c r="AV214">
        <v>-8.6</v>
      </c>
      <c r="AW214">
        <v>0</v>
      </c>
      <c r="AX214">
        <v>16</v>
      </c>
      <c r="AY214">
        <v>16</v>
      </c>
      <c r="AZ214">
        <v>18</v>
      </c>
      <c r="BA214">
        <v>2.4960000000000009</v>
      </c>
      <c r="BB214">
        <v>14</v>
      </c>
      <c r="BC214">
        <v>17.12</v>
      </c>
      <c r="BD214">
        <v>-1</v>
      </c>
      <c r="BE214">
        <v>24</v>
      </c>
      <c r="BF214">
        <v>23.5</v>
      </c>
      <c r="BG214">
        <v>29</v>
      </c>
      <c r="BH214">
        <v>-4.6639999999999997</v>
      </c>
      <c r="BI214">
        <v>18</v>
      </c>
      <c r="BJ214">
        <v>-26.2</v>
      </c>
      <c r="BK214">
        <v>-3</v>
      </c>
      <c r="BL214">
        <v>21</v>
      </c>
      <c r="BM214">
        <v>20</v>
      </c>
      <c r="BN214">
        <v>17</v>
      </c>
      <c r="BO214">
        <v>8.0000000000000071E-2</v>
      </c>
      <c r="BP214">
        <v>23</v>
      </c>
      <c r="BQ214">
        <v>0.6</v>
      </c>
      <c r="BR214">
        <v>-5.6</v>
      </c>
      <c r="BS214">
        <v>9</v>
      </c>
      <c r="BT214">
        <v>12.25</v>
      </c>
      <c r="BU214">
        <v>20</v>
      </c>
      <c r="BV214">
        <v>-7.4316522167837268E-2</v>
      </c>
      <c r="BW214">
        <v>7</v>
      </c>
      <c r="BX214">
        <v>1.3543228841740432E-2</v>
      </c>
      <c r="BY214">
        <v>4</v>
      </c>
      <c r="BZ214">
        <v>-4.3639999999999972</v>
      </c>
      <c r="CA214">
        <v>18</v>
      </c>
      <c r="CB214">
        <v>1.0399999999999998</v>
      </c>
      <c r="CC214">
        <v>-7.999999999999971E-2</v>
      </c>
      <c r="CD214">
        <v>-1.4800000000000004</v>
      </c>
      <c r="CE214">
        <v>-2.6</v>
      </c>
      <c r="CF214">
        <v>-29.839999999999996</v>
      </c>
      <c r="CG214">
        <v>-39.47999999999999</v>
      </c>
      <c r="CH214">
        <v>-6.1199999999999992</v>
      </c>
      <c r="CI214">
        <v>-1.08</v>
      </c>
      <c r="CJ214">
        <v>16.839999999999996</v>
      </c>
      <c r="CK214">
        <v>29</v>
      </c>
      <c r="CL214">
        <v>-8.2056000000000004</v>
      </c>
      <c r="CM214">
        <v>-6.4542400000000022</v>
      </c>
      <c r="CN214">
        <v>-33.359999999999992</v>
      </c>
      <c r="CO214">
        <v>8.2056000000000004</v>
      </c>
      <c r="CP214">
        <v>-1.3121000000000003</v>
      </c>
      <c r="CQ214">
        <v>-10.104000000000005</v>
      </c>
      <c r="CR214">
        <v>-43.92</v>
      </c>
      <c r="CS214">
        <v>6.1984000000000012</v>
      </c>
      <c r="CT214">
        <v>1.0799999999999983</v>
      </c>
      <c r="CU214">
        <v>-4.4800000000000004</v>
      </c>
      <c r="CV214">
        <v>2.4</v>
      </c>
      <c r="CW214">
        <v>-0.52557500000000024</v>
      </c>
      <c r="CX214">
        <v>1.7174999999999996</v>
      </c>
      <c r="CY214" t="s">
        <v>307</v>
      </c>
      <c r="CZ214">
        <v>18</v>
      </c>
      <c r="DA214">
        <v>-1.8911999999999991</v>
      </c>
      <c r="DB214">
        <v>29</v>
      </c>
      <c r="DC214">
        <v>27.5</v>
      </c>
      <c r="DD214">
        <v>26</v>
      </c>
      <c r="DE214">
        <v>-6.6360000000000001</v>
      </c>
      <c r="DF214">
        <v>29</v>
      </c>
      <c r="DG214">
        <v>-40.6</v>
      </c>
      <c r="DH214">
        <v>3.9999999999999855E-2</v>
      </c>
      <c r="DI214">
        <v>7</v>
      </c>
      <c r="DJ214">
        <v>10</v>
      </c>
      <c r="DK214">
        <v>8</v>
      </c>
      <c r="DL214">
        <v>1.2000000000000011E-2</v>
      </c>
      <c r="DM214">
        <v>12</v>
      </c>
      <c r="DN214">
        <v>-7.2</v>
      </c>
      <c r="DO214">
        <v>1.24</v>
      </c>
      <c r="DP214">
        <v>15</v>
      </c>
      <c r="DQ214">
        <v>19</v>
      </c>
      <c r="DR214">
        <v>18</v>
      </c>
      <c r="DS214">
        <v>-4.402000000000001</v>
      </c>
      <c r="DT214">
        <v>20</v>
      </c>
      <c r="DU214">
        <v>-23.04</v>
      </c>
      <c r="DV214">
        <v>1.06</v>
      </c>
      <c r="DW214">
        <v>29</v>
      </c>
      <c r="DX214">
        <v>29.5</v>
      </c>
      <c r="DY214">
        <v>27</v>
      </c>
      <c r="DZ214">
        <v>-2.5919999999999996</v>
      </c>
      <c r="EA214">
        <v>32</v>
      </c>
      <c r="EB214">
        <v>-8.1199999999999992</v>
      </c>
      <c r="EC214">
        <v>-0.44000000000000022</v>
      </c>
      <c r="ED214">
        <v>27</v>
      </c>
      <c r="EE214">
        <v>25</v>
      </c>
      <c r="EF214">
        <v>25</v>
      </c>
      <c r="EG214">
        <v>-2.5639999999999996</v>
      </c>
      <c r="EH214">
        <v>25</v>
      </c>
      <c r="EI214">
        <v>-11.440000000000001</v>
      </c>
      <c r="EJ214">
        <v>-0.36</v>
      </c>
      <c r="EK214">
        <v>24</v>
      </c>
      <c r="EL214">
        <v>23.5</v>
      </c>
      <c r="EM214">
        <v>20</v>
      </c>
      <c r="EN214">
        <v>6.2120000000000015</v>
      </c>
      <c r="EO214">
        <v>27</v>
      </c>
      <c r="EP214">
        <v>19.72</v>
      </c>
      <c r="EQ214">
        <v>3.6800000000000006</v>
      </c>
      <c r="ER214">
        <v>3</v>
      </c>
      <c r="ES214">
        <v>3.5</v>
      </c>
      <c r="ET214">
        <v>3</v>
      </c>
      <c r="EU214">
        <v>-0.23600000000000029</v>
      </c>
      <c r="EV214">
        <v>4</v>
      </c>
      <c r="EW214">
        <v>1.9899999999999991</v>
      </c>
      <c r="EX214">
        <v>-0.42999999999999988</v>
      </c>
      <c r="EY214">
        <v>8</v>
      </c>
      <c r="EZ214">
        <v>8.5</v>
      </c>
      <c r="FA214">
        <v>9</v>
      </c>
      <c r="FB214">
        <v>-3.8400000000000007</v>
      </c>
      <c r="FC214">
        <v>8</v>
      </c>
      <c r="FD214">
        <v>-1.4</v>
      </c>
      <c r="FE214">
        <v>-2.6399999999999997</v>
      </c>
      <c r="FF214">
        <v>17</v>
      </c>
      <c r="FG214">
        <v>16</v>
      </c>
      <c r="FH214">
        <v>6</v>
      </c>
      <c r="FI214">
        <v>-2.7088656435992464E-2</v>
      </c>
      <c r="FJ214">
        <v>18</v>
      </c>
      <c r="FK214">
        <v>-5.3621641691418273E-3</v>
      </c>
      <c r="FL214">
        <v>21</v>
      </c>
      <c r="FM214">
        <v>-11.687999999999999</v>
      </c>
      <c r="FN214">
        <v>19</v>
      </c>
      <c r="FO214">
        <v>3</v>
      </c>
      <c r="FP214">
        <v>2.4399999999999991</v>
      </c>
      <c r="FQ214">
        <v>-7.3199999999999985</v>
      </c>
      <c r="FR214">
        <v>-1.1999999999999997</v>
      </c>
      <c r="FS214">
        <v>-6.5200000000000014</v>
      </c>
      <c r="FT214">
        <v>-6.8</v>
      </c>
      <c r="FU214">
        <v>8.8817841970012528E-17</v>
      </c>
      <c r="FV214">
        <v>-82.47999999999999</v>
      </c>
      <c r="FW214">
        <v>-28.4</v>
      </c>
      <c r="FX214">
        <v>-49.64</v>
      </c>
      <c r="FY214">
        <v>-1.72</v>
      </c>
      <c r="FZ214">
        <v>-2.72</v>
      </c>
      <c r="GA214">
        <v>7</v>
      </c>
      <c r="GB214">
        <v>4.732800000000001</v>
      </c>
      <c r="GC214">
        <v>0.97495999999999983</v>
      </c>
      <c r="GD214">
        <v>21.240000000000002</v>
      </c>
      <c r="GE214">
        <v>-4.732800000000001</v>
      </c>
      <c r="GF214">
        <v>-2.7686500000000001</v>
      </c>
      <c r="GG214">
        <v>-9.5579999999999998</v>
      </c>
      <c r="GH214">
        <v>-42.599999999999994</v>
      </c>
      <c r="GI214">
        <v>-6.6240000000000006</v>
      </c>
      <c r="GJ214">
        <v>-47.800000000000004</v>
      </c>
      <c r="GK214">
        <v>-0.16999999999999998</v>
      </c>
      <c r="GL214">
        <v>1.2799999999999998</v>
      </c>
    </row>
    <row r="215" spans="1:194" x14ac:dyDescent="0.2">
      <c r="A215" s="39">
        <v>43765</v>
      </c>
      <c r="B215" s="22" t="s">
        <v>248</v>
      </c>
      <c r="C215" s="41" t="s">
        <v>295</v>
      </c>
      <c r="D215" s="22" t="s">
        <v>308</v>
      </c>
      <c r="E215">
        <v>28.2</v>
      </c>
      <c r="F215">
        <v>13</v>
      </c>
      <c r="G215">
        <v>12.8</v>
      </c>
      <c r="H215">
        <f>18.5+2.8+2.1</f>
        <v>23.400000000000002</v>
      </c>
      <c r="I215">
        <v>7.5</v>
      </c>
      <c r="J215">
        <v>48.5</v>
      </c>
      <c r="L215" s="1" t="s">
        <v>295</v>
      </c>
      <c r="M215">
        <v>4</v>
      </c>
      <c r="N215">
        <v>5.3911999999999987</v>
      </c>
      <c r="O215">
        <v>29</v>
      </c>
      <c r="P215">
        <v>28</v>
      </c>
      <c r="Q215">
        <v>29</v>
      </c>
      <c r="R215">
        <v>0.7</v>
      </c>
      <c r="S215">
        <v>27</v>
      </c>
      <c r="T215">
        <v>-13.679999999999998</v>
      </c>
      <c r="U215">
        <v>0.83999999999999986</v>
      </c>
      <c r="V215">
        <v>11</v>
      </c>
      <c r="W215">
        <v>11</v>
      </c>
      <c r="X215">
        <v>10</v>
      </c>
      <c r="Y215">
        <v>-0.3839999999999999</v>
      </c>
      <c r="Z215">
        <v>12</v>
      </c>
      <c r="AA215">
        <v>-4.9599999999999991</v>
      </c>
      <c r="AB215">
        <v>0.31999999999999995</v>
      </c>
      <c r="AC215">
        <v>15</v>
      </c>
      <c r="AD215">
        <v>16</v>
      </c>
      <c r="AE215">
        <v>23</v>
      </c>
      <c r="AF215">
        <v>0.23200000000000182</v>
      </c>
      <c r="AG215">
        <v>9</v>
      </c>
      <c r="AH215">
        <v>10.480000000000002</v>
      </c>
      <c r="AI215">
        <v>0.2</v>
      </c>
      <c r="AJ215">
        <v>6</v>
      </c>
      <c r="AK215">
        <v>7</v>
      </c>
      <c r="AL215">
        <v>8</v>
      </c>
      <c r="AM215">
        <v>-1.1239999999999997</v>
      </c>
      <c r="AN215">
        <v>6</v>
      </c>
      <c r="AO215">
        <v>-5.7600000000000025</v>
      </c>
      <c r="AP215">
        <v>4.0000000000000126E-2</v>
      </c>
      <c r="AQ215">
        <v>6</v>
      </c>
      <c r="AR215">
        <v>6</v>
      </c>
      <c r="AS215">
        <v>6</v>
      </c>
      <c r="AT215">
        <v>3.8320000000000007</v>
      </c>
      <c r="AU215">
        <v>6</v>
      </c>
      <c r="AV215">
        <v>14.319999999999999</v>
      </c>
      <c r="AW215">
        <v>2.2000000000000002</v>
      </c>
      <c r="AX215">
        <v>7</v>
      </c>
      <c r="AY215">
        <v>6.5</v>
      </c>
      <c r="AZ215">
        <v>7</v>
      </c>
      <c r="BA215">
        <v>3.2640000000000002</v>
      </c>
      <c r="BB215">
        <v>6</v>
      </c>
      <c r="BC215">
        <v>8.24</v>
      </c>
      <c r="BD215">
        <v>0.68</v>
      </c>
      <c r="BE215">
        <v>16</v>
      </c>
      <c r="BF215">
        <v>17</v>
      </c>
      <c r="BG215">
        <v>17</v>
      </c>
      <c r="BH215">
        <v>7.6079999999999988</v>
      </c>
      <c r="BI215">
        <v>17</v>
      </c>
      <c r="BJ215">
        <v>28.360000000000003</v>
      </c>
      <c r="BK215">
        <v>2.16</v>
      </c>
      <c r="BL215">
        <v>4</v>
      </c>
      <c r="BM215">
        <v>7</v>
      </c>
      <c r="BN215">
        <v>10</v>
      </c>
      <c r="BO215">
        <v>-1.52</v>
      </c>
      <c r="BP215">
        <v>4</v>
      </c>
      <c r="BQ215">
        <v>-0.24000000000000007</v>
      </c>
      <c r="BR215">
        <v>-8.32</v>
      </c>
      <c r="BS215">
        <v>14</v>
      </c>
      <c r="BT215">
        <v>14</v>
      </c>
      <c r="BU215">
        <v>7</v>
      </c>
      <c r="BV215">
        <v>-8.5804001127136147E-3</v>
      </c>
      <c r="BW215">
        <v>9</v>
      </c>
      <c r="BX215">
        <v>1.7474280135047371E-3</v>
      </c>
      <c r="BY215">
        <v>26</v>
      </c>
      <c r="BZ215">
        <v>6.8479999999999936</v>
      </c>
      <c r="CA215">
        <v>14</v>
      </c>
      <c r="CB215">
        <v>2.5199999999999996</v>
      </c>
      <c r="CC215">
        <v>0.11999999999999886</v>
      </c>
      <c r="CD215">
        <v>-3.9999999999999855E-2</v>
      </c>
      <c r="CE215">
        <v>-1.2</v>
      </c>
      <c r="CF215">
        <v>26.719999999999992</v>
      </c>
      <c r="CG215">
        <v>51.88000000000001</v>
      </c>
      <c r="CH215">
        <v>-19.440000000000001</v>
      </c>
      <c r="CI215">
        <v>-3.6799999999999997</v>
      </c>
      <c r="CJ215">
        <v>-2.04</v>
      </c>
      <c r="CK215">
        <v>11</v>
      </c>
      <c r="CL215">
        <v>5.0751999999999988</v>
      </c>
      <c r="CM215">
        <v>3.0298400000000005</v>
      </c>
      <c r="CN215">
        <v>71.320000000000007</v>
      </c>
      <c r="CO215">
        <v>-5.0751999999999988</v>
      </c>
      <c r="CP215">
        <v>1.8419000000000003</v>
      </c>
      <c r="CQ215">
        <v>2.9400000000000031</v>
      </c>
      <c r="CR215">
        <v>19.04</v>
      </c>
      <c r="CS215">
        <v>0.31600000000000006</v>
      </c>
      <c r="CT215">
        <v>-18.639999999999997</v>
      </c>
      <c r="CU215">
        <v>4.6000000000000005</v>
      </c>
      <c r="CV215">
        <v>1.1599999999999997</v>
      </c>
      <c r="CW215">
        <v>1.2281333333333331</v>
      </c>
      <c r="CX215">
        <v>3.3884999999999996</v>
      </c>
      <c r="CY215" t="s">
        <v>308</v>
      </c>
      <c r="CZ215">
        <v>17</v>
      </c>
      <c r="DA215">
        <v>1.8975999999999993</v>
      </c>
      <c r="DB215">
        <v>24</v>
      </c>
      <c r="DC215">
        <v>22</v>
      </c>
      <c r="DD215">
        <v>18</v>
      </c>
      <c r="DE215">
        <v>4.8831999999999995</v>
      </c>
      <c r="DF215">
        <v>26</v>
      </c>
      <c r="DG215">
        <v>1.1999999999999986</v>
      </c>
      <c r="DH215">
        <v>1.9200000000000004</v>
      </c>
      <c r="DI215">
        <v>25</v>
      </c>
      <c r="DJ215">
        <v>22.5</v>
      </c>
      <c r="DK215">
        <v>16</v>
      </c>
      <c r="DL215">
        <v>-3.532</v>
      </c>
      <c r="DM215">
        <v>29</v>
      </c>
      <c r="DN215">
        <v>-4.08</v>
      </c>
      <c r="DO215">
        <v>-1.52</v>
      </c>
      <c r="DP215">
        <v>5</v>
      </c>
      <c r="DQ215">
        <v>3.5</v>
      </c>
      <c r="DR215">
        <v>3</v>
      </c>
      <c r="DS215">
        <v>-1.1239999999999999</v>
      </c>
      <c r="DT215">
        <v>4</v>
      </c>
      <c r="DU215">
        <v>-4.5466666666666669</v>
      </c>
      <c r="DV215">
        <v>-1.2399999999999998</v>
      </c>
      <c r="DW215">
        <v>19</v>
      </c>
      <c r="DX215">
        <v>17.5</v>
      </c>
      <c r="DY215">
        <v>18</v>
      </c>
      <c r="DZ215">
        <v>-5.4879999999999995</v>
      </c>
      <c r="EA215">
        <v>17</v>
      </c>
      <c r="EB215">
        <v>-31.693333333333335</v>
      </c>
      <c r="EC215">
        <v>-1.9599999999999997</v>
      </c>
      <c r="ED215">
        <v>13</v>
      </c>
      <c r="EE215">
        <v>13.5</v>
      </c>
      <c r="EF215">
        <v>6</v>
      </c>
      <c r="EG215">
        <v>-0.79066666666666696</v>
      </c>
      <c r="EH215">
        <v>21</v>
      </c>
      <c r="EI215">
        <v>-9.3466666666666676</v>
      </c>
      <c r="EJ215">
        <v>-0.98666666666666669</v>
      </c>
      <c r="EK215">
        <v>18</v>
      </c>
      <c r="EL215">
        <v>18</v>
      </c>
      <c r="EM215">
        <v>16</v>
      </c>
      <c r="EN215">
        <v>-1.5560000000000003</v>
      </c>
      <c r="EO215">
        <v>20</v>
      </c>
      <c r="EP215">
        <v>4.839999999999999</v>
      </c>
      <c r="EQ215">
        <v>-0.6399999999999999</v>
      </c>
      <c r="ER215">
        <v>15</v>
      </c>
      <c r="ES215">
        <v>15</v>
      </c>
      <c r="ET215">
        <v>11</v>
      </c>
      <c r="EU215">
        <v>-0.82399999999999951</v>
      </c>
      <c r="EV215">
        <v>19</v>
      </c>
      <c r="EW215">
        <v>7.400000000000003</v>
      </c>
      <c r="EX215">
        <v>0</v>
      </c>
      <c r="EY215">
        <v>12</v>
      </c>
      <c r="EZ215">
        <v>12.5</v>
      </c>
      <c r="FA215">
        <v>17</v>
      </c>
      <c r="FB215">
        <v>-2.4799999999999995</v>
      </c>
      <c r="FC215">
        <v>8</v>
      </c>
      <c r="FD215">
        <v>-0.2</v>
      </c>
      <c r="FE215">
        <v>0.75999999999999956</v>
      </c>
      <c r="FF215">
        <v>21</v>
      </c>
      <c r="FG215">
        <v>17.25</v>
      </c>
      <c r="FH215">
        <v>30</v>
      </c>
      <c r="FI215">
        <v>-1.1683812333023791E-2</v>
      </c>
      <c r="FJ215">
        <v>28</v>
      </c>
      <c r="FK215">
        <v>-2.6442298816694975E-2</v>
      </c>
      <c r="FL215">
        <v>4</v>
      </c>
      <c r="FM215">
        <v>7.5879999999999992</v>
      </c>
      <c r="FN215">
        <v>7</v>
      </c>
      <c r="FO215">
        <v>-1.1600000000000001</v>
      </c>
      <c r="FP215">
        <v>-3.12</v>
      </c>
      <c r="FQ215">
        <v>-2.1599999999999993</v>
      </c>
      <c r="FR215">
        <v>0.64</v>
      </c>
      <c r="FS215">
        <v>-5.8400000000000007</v>
      </c>
      <c r="FT215">
        <v>-1.0400000000000005</v>
      </c>
      <c r="FU215">
        <v>3.5599999999999996</v>
      </c>
      <c r="FV215">
        <v>-2.6399999999999979</v>
      </c>
      <c r="FW215">
        <v>-14.159999999999997</v>
      </c>
      <c r="FX215">
        <v>-5.1599999999999993</v>
      </c>
      <c r="FY215">
        <v>2.8000000000000003</v>
      </c>
      <c r="FZ215">
        <v>13.88</v>
      </c>
      <c r="GA215">
        <v>14</v>
      </c>
      <c r="GB215">
        <v>0.54639999999999977</v>
      </c>
      <c r="GC215">
        <v>-1.9414133333333332</v>
      </c>
      <c r="GD215">
        <v>-8.9999999999999964</v>
      </c>
      <c r="GE215">
        <v>-0.54639999999999977</v>
      </c>
      <c r="GF215">
        <v>-0.93223333333333325</v>
      </c>
      <c r="GG215">
        <v>-7.4026666666666658</v>
      </c>
      <c r="GH215">
        <v>-45.586666666666673</v>
      </c>
      <c r="GI215">
        <v>1.3511999999999995</v>
      </c>
      <c r="GJ215">
        <v>-2.8800000000000017</v>
      </c>
      <c r="GK215">
        <v>-4.1866666666666656</v>
      </c>
      <c r="GL215">
        <v>0.40000000000000036</v>
      </c>
    </row>
    <row r="216" spans="1:194" x14ac:dyDescent="0.2">
      <c r="A216" s="39">
        <v>43765</v>
      </c>
      <c r="B216" s="22" t="s">
        <v>248</v>
      </c>
      <c r="C216" s="41" t="s">
        <v>276</v>
      </c>
      <c r="D216" s="22" t="s">
        <v>294</v>
      </c>
      <c r="E216">
        <v>10.4</v>
      </c>
      <c r="F216">
        <v>13.1</v>
      </c>
      <c r="G216" s="14">
        <v>1.6</v>
      </c>
      <c r="H216">
        <v>6.8</v>
      </c>
      <c r="I216">
        <v>-1</v>
      </c>
      <c r="J216">
        <v>39.5</v>
      </c>
      <c r="L216" s="1" t="s">
        <v>276</v>
      </c>
      <c r="M216">
        <v>12</v>
      </c>
      <c r="N216">
        <v>1.3784000000000003</v>
      </c>
      <c r="O216">
        <v>15</v>
      </c>
      <c r="P216">
        <v>16</v>
      </c>
      <c r="Q216">
        <v>21</v>
      </c>
      <c r="R216">
        <v>-4.072000000000001</v>
      </c>
      <c r="S216">
        <v>11</v>
      </c>
      <c r="T216">
        <v>-6.3599999999999994</v>
      </c>
      <c r="U216">
        <v>-1.6600000000000001</v>
      </c>
      <c r="V216">
        <v>15</v>
      </c>
      <c r="W216">
        <v>14.5</v>
      </c>
      <c r="X216">
        <v>20</v>
      </c>
      <c r="Y216">
        <v>-0.82560000000000022</v>
      </c>
      <c r="Z216">
        <v>9</v>
      </c>
      <c r="AA216">
        <v>4.5999999999999996</v>
      </c>
      <c r="AB216">
        <v>-8.0000000000000154E-2</v>
      </c>
      <c r="AC216">
        <v>21</v>
      </c>
      <c r="AD216">
        <v>19.5</v>
      </c>
      <c r="AE216">
        <v>14</v>
      </c>
      <c r="AF216">
        <v>-0.39599999999999935</v>
      </c>
      <c r="AG216">
        <v>25</v>
      </c>
      <c r="AH216">
        <v>5.2399999999999993</v>
      </c>
      <c r="AI216">
        <v>0.23999999999999985</v>
      </c>
      <c r="AJ216">
        <v>9</v>
      </c>
      <c r="AK216">
        <v>8.5</v>
      </c>
      <c r="AL216">
        <v>9</v>
      </c>
      <c r="AM216">
        <v>1.423999999999999</v>
      </c>
      <c r="AN216">
        <v>8</v>
      </c>
      <c r="AO216">
        <v>-3.72</v>
      </c>
      <c r="AP216">
        <v>1.8399999999999999</v>
      </c>
      <c r="AQ216">
        <v>13</v>
      </c>
      <c r="AR216">
        <v>14.5</v>
      </c>
      <c r="AS216">
        <v>15</v>
      </c>
      <c r="AT216">
        <v>-1.3800000000000001</v>
      </c>
      <c r="AU216">
        <v>14</v>
      </c>
      <c r="AV216">
        <v>-5.120000000000001</v>
      </c>
      <c r="AW216">
        <v>-0.76</v>
      </c>
      <c r="AX216">
        <v>23</v>
      </c>
      <c r="AY216">
        <v>22.5</v>
      </c>
      <c r="AZ216">
        <v>25</v>
      </c>
      <c r="BA216">
        <v>1.268</v>
      </c>
      <c r="BB216">
        <v>20</v>
      </c>
      <c r="BC216">
        <v>3.88</v>
      </c>
      <c r="BD216">
        <v>2.04</v>
      </c>
      <c r="BE216">
        <v>29</v>
      </c>
      <c r="BF216">
        <v>28.5</v>
      </c>
      <c r="BG216">
        <v>30</v>
      </c>
      <c r="BH216">
        <v>0.89199999999999913</v>
      </c>
      <c r="BI216">
        <v>27</v>
      </c>
      <c r="BJ216">
        <v>0.27999999999999831</v>
      </c>
      <c r="BK216">
        <v>0.11999999999999993</v>
      </c>
      <c r="BL216">
        <v>25</v>
      </c>
      <c r="BM216">
        <v>23</v>
      </c>
      <c r="BN216">
        <v>23</v>
      </c>
      <c r="BO216">
        <v>-2.2399999999999998</v>
      </c>
      <c r="BP216">
        <v>23</v>
      </c>
      <c r="BQ216">
        <v>-0.4</v>
      </c>
      <c r="BR216">
        <v>-1.6</v>
      </c>
      <c r="BS216">
        <v>24</v>
      </c>
      <c r="BT216">
        <v>20.75</v>
      </c>
      <c r="BU216">
        <v>25</v>
      </c>
      <c r="BV216">
        <v>3.2698210048881758E-2</v>
      </c>
      <c r="BW216">
        <v>25</v>
      </c>
      <c r="BX216">
        <v>1.7211139478321501E-2</v>
      </c>
      <c r="BY216">
        <v>5</v>
      </c>
      <c r="BZ216">
        <v>-6.4680000000000035</v>
      </c>
      <c r="CA216">
        <v>28</v>
      </c>
      <c r="CB216">
        <v>2</v>
      </c>
      <c r="CC216">
        <v>0.72000000000000031</v>
      </c>
      <c r="CD216">
        <v>-2.72</v>
      </c>
      <c r="CE216">
        <v>-0.28000000000000014</v>
      </c>
      <c r="CF216">
        <v>-7.7600000000000078</v>
      </c>
      <c r="CG216">
        <v>-8.6400000000000041</v>
      </c>
      <c r="CH216">
        <v>-7.6</v>
      </c>
      <c r="CI216">
        <v>-3.9599999999999995</v>
      </c>
      <c r="CJ216">
        <v>12.440000000000001</v>
      </c>
      <c r="CK216">
        <v>6</v>
      </c>
      <c r="CL216">
        <v>6.2760000000000016</v>
      </c>
      <c r="CM216">
        <v>2.8324800000000008</v>
      </c>
      <c r="CN216">
        <v>-1.0400000000000045</v>
      </c>
      <c r="CO216">
        <v>-6.2760000000000016</v>
      </c>
      <c r="CP216">
        <v>-0.65240000000000031</v>
      </c>
      <c r="CQ216">
        <v>-0.35200000000000053</v>
      </c>
      <c r="CR216">
        <v>-3.6000000000000019</v>
      </c>
      <c r="CS216">
        <v>-4.8976000000000015</v>
      </c>
      <c r="CT216">
        <v>-1.7599999999999998</v>
      </c>
      <c r="CU216">
        <v>1.4399999999999995</v>
      </c>
      <c r="CV216">
        <v>-1.7400000000000002</v>
      </c>
      <c r="CW216">
        <v>-0.72533749999999997</v>
      </c>
      <c r="CX216">
        <v>-1.263225</v>
      </c>
      <c r="CY216" t="s">
        <v>294</v>
      </c>
      <c r="CZ216">
        <v>30</v>
      </c>
      <c r="DA216">
        <v>0.31440000000000057</v>
      </c>
      <c r="DB216">
        <v>18</v>
      </c>
      <c r="DC216">
        <v>19.5</v>
      </c>
      <c r="DD216">
        <v>7</v>
      </c>
      <c r="DE216">
        <v>-0.83199999999999896</v>
      </c>
      <c r="DF216">
        <v>32</v>
      </c>
      <c r="DG216">
        <v>-20.6</v>
      </c>
      <c r="DH216">
        <v>0.6</v>
      </c>
      <c r="DI216">
        <v>5</v>
      </c>
      <c r="DJ216">
        <v>8</v>
      </c>
      <c r="DK216">
        <v>13</v>
      </c>
      <c r="DL216">
        <v>-3.8240000000000007</v>
      </c>
      <c r="DM216">
        <v>3</v>
      </c>
      <c r="DN216">
        <v>-6.3599999999999994</v>
      </c>
      <c r="DO216">
        <v>-0.88000000000000012</v>
      </c>
      <c r="DP216">
        <v>30</v>
      </c>
      <c r="DQ216">
        <v>24</v>
      </c>
      <c r="DR216">
        <v>24</v>
      </c>
      <c r="DS216">
        <v>-1.782</v>
      </c>
      <c r="DT216">
        <v>24</v>
      </c>
      <c r="DU216">
        <v>-2.6000000000000014</v>
      </c>
      <c r="DV216">
        <v>0.86</v>
      </c>
      <c r="DW216">
        <v>31</v>
      </c>
      <c r="DX216">
        <v>30.5</v>
      </c>
      <c r="DY216">
        <v>30</v>
      </c>
      <c r="DZ216">
        <v>3.5479999999999996</v>
      </c>
      <c r="EA216">
        <v>31</v>
      </c>
      <c r="EB216">
        <v>10.200000000000001</v>
      </c>
      <c r="EC216">
        <v>0.12000000000000011</v>
      </c>
      <c r="ED216">
        <v>29</v>
      </c>
      <c r="EE216">
        <v>20</v>
      </c>
      <c r="EF216">
        <v>18</v>
      </c>
      <c r="EG216">
        <v>0.53200000000000025</v>
      </c>
      <c r="EH216">
        <v>22</v>
      </c>
      <c r="EI216">
        <v>-3.2400000000000011</v>
      </c>
      <c r="EJ216">
        <v>0.24000000000000005</v>
      </c>
      <c r="EK216">
        <v>32</v>
      </c>
      <c r="EL216">
        <v>32</v>
      </c>
      <c r="EM216">
        <v>32</v>
      </c>
      <c r="EN216">
        <v>-7.5</v>
      </c>
      <c r="EO216">
        <v>32</v>
      </c>
      <c r="EP216">
        <v>-34.6</v>
      </c>
      <c r="EQ216">
        <v>-3.0799999999999996</v>
      </c>
      <c r="ER216">
        <v>8</v>
      </c>
      <c r="ES216">
        <v>8.5</v>
      </c>
      <c r="ET216">
        <v>12</v>
      </c>
      <c r="EU216">
        <v>0.58400000000000019</v>
      </c>
      <c r="EV216">
        <v>5</v>
      </c>
      <c r="EW216">
        <v>-2.9600000000000009</v>
      </c>
      <c r="EX216">
        <v>0.44000000000000006</v>
      </c>
      <c r="EY216">
        <v>31</v>
      </c>
      <c r="EZ216">
        <v>28.5</v>
      </c>
      <c r="FA216">
        <v>26</v>
      </c>
      <c r="FB216">
        <v>-3.9999999999999682E-2</v>
      </c>
      <c r="FC216">
        <v>31</v>
      </c>
      <c r="FD216">
        <v>0.76</v>
      </c>
      <c r="FE216">
        <v>1.56</v>
      </c>
      <c r="FF216">
        <v>4</v>
      </c>
      <c r="FG216">
        <v>8.75</v>
      </c>
      <c r="FH216">
        <v>3</v>
      </c>
      <c r="FI216">
        <v>2.4086606927198578E-2</v>
      </c>
      <c r="FJ216">
        <v>4</v>
      </c>
      <c r="FK216">
        <v>1.3522178879530519E-2</v>
      </c>
      <c r="FL216">
        <v>14</v>
      </c>
      <c r="FM216">
        <v>-1.8960000000000008</v>
      </c>
      <c r="FN216">
        <v>14</v>
      </c>
      <c r="FO216">
        <v>1.9600000000000002</v>
      </c>
      <c r="FP216">
        <v>0.35999999999999943</v>
      </c>
      <c r="FQ216">
        <v>0.48000000000000043</v>
      </c>
      <c r="FR216">
        <v>0.36</v>
      </c>
      <c r="FS216">
        <v>2.4</v>
      </c>
      <c r="FT216">
        <v>1.8399999999999999</v>
      </c>
      <c r="FU216">
        <v>0.20000000000000009</v>
      </c>
      <c r="FV216">
        <v>-8.4799999999999951</v>
      </c>
      <c r="FW216">
        <v>-7.7600000000000025</v>
      </c>
      <c r="FX216">
        <v>-17.520000000000003</v>
      </c>
      <c r="FY216">
        <v>8.6399999999999988</v>
      </c>
      <c r="FZ216">
        <v>8.16</v>
      </c>
      <c r="GA216">
        <v>6</v>
      </c>
      <c r="GB216">
        <v>4.9703999999999997</v>
      </c>
      <c r="GC216">
        <v>2.9672799999999997</v>
      </c>
      <c r="GD216">
        <v>9.7600000000000016</v>
      </c>
      <c r="GE216">
        <v>-4.9704000000000006</v>
      </c>
      <c r="GF216">
        <v>-0.18744999999999978</v>
      </c>
      <c r="GG216">
        <v>2.298</v>
      </c>
      <c r="GH216">
        <v>4.3599999999999985</v>
      </c>
      <c r="GI216">
        <v>-4.6559999999999997</v>
      </c>
      <c r="GJ216">
        <v>-26.96</v>
      </c>
      <c r="GK216">
        <v>1.6600000000000001</v>
      </c>
      <c r="GL216">
        <v>-0.28000000000000014</v>
      </c>
    </row>
    <row r="217" spans="1:194" x14ac:dyDescent="0.2">
      <c r="A217" s="39">
        <v>43765</v>
      </c>
      <c r="B217" s="22" t="s">
        <v>248</v>
      </c>
      <c r="C217" s="41" t="s">
        <v>301</v>
      </c>
      <c r="D217" s="22" t="s">
        <v>256</v>
      </c>
      <c r="E217">
        <v>8.8000000000000007</v>
      </c>
      <c r="F217">
        <v>8.6</v>
      </c>
      <c r="G217">
        <v>3.2</v>
      </c>
      <c r="H217">
        <v>3.3</v>
      </c>
      <c r="I217">
        <v>4.5</v>
      </c>
      <c r="J217">
        <v>41</v>
      </c>
      <c r="K217" t="s">
        <v>110</v>
      </c>
      <c r="L217" s="1" t="s">
        <v>301</v>
      </c>
      <c r="M217">
        <v>31</v>
      </c>
      <c r="N217">
        <v>-6.2904000000000009</v>
      </c>
      <c r="O217">
        <v>2</v>
      </c>
      <c r="P217">
        <v>3</v>
      </c>
      <c r="Q217">
        <v>1</v>
      </c>
      <c r="R217">
        <v>16.839199999999998</v>
      </c>
      <c r="S217">
        <v>5</v>
      </c>
      <c r="T217">
        <v>50.96</v>
      </c>
      <c r="U217">
        <v>2.5999999999999996</v>
      </c>
      <c r="V217">
        <v>32</v>
      </c>
      <c r="W217">
        <v>31.5</v>
      </c>
      <c r="X217">
        <v>31</v>
      </c>
      <c r="Y217">
        <v>-0.66399999999999981</v>
      </c>
      <c r="Z217">
        <v>32</v>
      </c>
      <c r="AA217">
        <v>3.04</v>
      </c>
      <c r="AB217">
        <v>-0.72</v>
      </c>
      <c r="AC217">
        <v>7</v>
      </c>
      <c r="AD217">
        <v>6.5</v>
      </c>
      <c r="AE217">
        <v>7</v>
      </c>
      <c r="AF217">
        <v>-4.1999999999999984</v>
      </c>
      <c r="AG217">
        <v>6</v>
      </c>
      <c r="AH217">
        <v>-11.399999999999997</v>
      </c>
      <c r="AI217">
        <v>-1.64</v>
      </c>
      <c r="AJ217">
        <v>21</v>
      </c>
      <c r="AK217">
        <v>20.5</v>
      </c>
      <c r="AL217">
        <v>20</v>
      </c>
      <c r="AM217">
        <v>-0.26000000000000012</v>
      </c>
      <c r="AN217">
        <v>21</v>
      </c>
      <c r="AO217">
        <v>-10.640000000000002</v>
      </c>
      <c r="AP217">
        <v>1.04</v>
      </c>
      <c r="AQ217">
        <v>23</v>
      </c>
      <c r="AR217">
        <v>23.5</v>
      </c>
      <c r="AS217">
        <v>23</v>
      </c>
      <c r="AT217">
        <v>-1.2479999999999993</v>
      </c>
      <c r="AU217">
        <v>24</v>
      </c>
      <c r="AV217">
        <v>-3.9599999999999995</v>
      </c>
      <c r="AW217">
        <v>-0.24000000000000005</v>
      </c>
      <c r="AX217">
        <v>24</v>
      </c>
      <c r="AY217">
        <v>25</v>
      </c>
      <c r="AZ217">
        <v>23</v>
      </c>
      <c r="BA217">
        <v>-5.3519999999999985</v>
      </c>
      <c r="BB217">
        <v>27</v>
      </c>
      <c r="BC217">
        <v>-33.519999999999996</v>
      </c>
      <c r="BD217">
        <v>-2.6399999999999997</v>
      </c>
      <c r="BE217">
        <v>20</v>
      </c>
      <c r="BF217">
        <v>22</v>
      </c>
      <c r="BG217">
        <v>20</v>
      </c>
      <c r="BH217">
        <v>-4.9719999999999995</v>
      </c>
      <c r="BI217">
        <v>24</v>
      </c>
      <c r="BJ217">
        <v>-22.52</v>
      </c>
      <c r="BK217">
        <v>-2.36</v>
      </c>
      <c r="BL217">
        <v>32</v>
      </c>
      <c r="BM217">
        <v>31.5</v>
      </c>
      <c r="BN217">
        <v>32</v>
      </c>
      <c r="BO217">
        <v>1.64</v>
      </c>
      <c r="BP217">
        <v>31</v>
      </c>
      <c r="BQ217">
        <v>0.84000000000000008</v>
      </c>
      <c r="BR217">
        <v>5.6</v>
      </c>
      <c r="BS217">
        <v>4</v>
      </c>
      <c r="BT217">
        <v>8.5</v>
      </c>
      <c r="BU217">
        <v>4</v>
      </c>
      <c r="BV217">
        <v>-6.906813746816319E-2</v>
      </c>
      <c r="BW217">
        <v>6</v>
      </c>
      <c r="BX217">
        <v>8.1739073201759476E-3</v>
      </c>
      <c r="BY217">
        <v>17</v>
      </c>
      <c r="BZ217">
        <v>-5.1200000000000045</v>
      </c>
      <c r="CA217">
        <v>7</v>
      </c>
      <c r="CB217">
        <v>-1.64</v>
      </c>
      <c r="CC217">
        <v>1.2799999999999998</v>
      </c>
      <c r="CD217">
        <v>3.8</v>
      </c>
      <c r="CE217">
        <v>0.51999999999999991</v>
      </c>
      <c r="CF217">
        <v>11.599999999999989</v>
      </c>
      <c r="CG217">
        <v>-40.880000000000003</v>
      </c>
      <c r="CH217">
        <v>54.760000000000005</v>
      </c>
      <c r="CI217">
        <v>5.5200000000000005</v>
      </c>
      <c r="CJ217">
        <v>-7.8</v>
      </c>
      <c r="CK217">
        <v>32</v>
      </c>
      <c r="CL217">
        <v>-22.465599999999998</v>
      </c>
      <c r="CM217">
        <v>-11.481679999999997</v>
      </c>
      <c r="CN217">
        <v>-95.640000000000015</v>
      </c>
      <c r="CO217">
        <v>22.465599999999998</v>
      </c>
      <c r="CP217">
        <v>0.10559999999999994</v>
      </c>
      <c r="CQ217">
        <v>-5.7079999999999975</v>
      </c>
      <c r="CR217">
        <v>-26</v>
      </c>
      <c r="CS217">
        <v>16.175199999999997</v>
      </c>
      <c r="CT217">
        <v>54</v>
      </c>
      <c r="CU217">
        <v>-3.1999999999999997</v>
      </c>
      <c r="CV217">
        <v>1.8799999999999997</v>
      </c>
      <c r="CW217">
        <v>-2.4981000000000004</v>
      </c>
      <c r="CX217">
        <v>5.5999999999997441E-3</v>
      </c>
      <c r="CY217" t="s">
        <v>256</v>
      </c>
      <c r="CZ217">
        <v>22</v>
      </c>
      <c r="DA217">
        <v>-8.7744</v>
      </c>
      <c r="DB217">
        <v>14</v>
      </c>
      <c r="DC217">
        <v>16</v>
      </c>
      <c r="DD217">
        <v>22</v>
      </c>
      <c r="DE217">
        <v>-7.4520000000000008</v>
      </c>
      <c r="DF217">
        <v>10</v>
      </c>
      <c r="DG217">
        <v>-5.160000000000001</v>
      </c>
      <c r="DH217">
        <v>-1.7600000000000002</v>
      </c>
      <c r="DI217">
        <v>32</v>
      </c>
      <c r="DJ217">
        <v>32</v>
      </c>
      <c r="DK217">
        <v>32</v>
      </c>
      <c r="DL217">
        <v>-2.62</v>
      </c>
      <c r="DM217">
        <v>32</v>
      </c>
      <c r="DN217">
        <v>-2.92</v>
      </c>
      <c r="DO217">
        <v>-0.88000000000000012</v>
      </c>
      <c r="DP217">
        <v>28</v>
      </c>
      <c r="DQ217">
        <v>26.5</v>
      </c>
      <c r="DR217">
        <v>23</v>
      </c>
      <c r="DS217">
        <v>-6.1959999999999988</v>
      </c>
      <c r="DT217">
        <v>30</v>
      </c>
      <c r="DU217">
        <v>-24.760000000000005</v>
      </c>
      <c r="DV217">
        <v>-1.6799999999999997</v>
      </c>
      <c r="DW217">
        <v>31</v>
      </c>
      <c r="DX217">
        <v>30.5</v>
      </c>
      <c r="DY217">
        <v>32</v>
      </c>
      <c r="DZ217">
        <v>-2.4520000000000004</v>
      </c>
      <c r="EA217">
        <v>29</v>
      </c>
      <c r="EB217">
        <v>-13.320000000000002</v>
      </c>
      <c r="EC217">
        <v>-0.84000000000000008</v>
      </c>
      <c r="ED217">
        <v>7</v>
      </c>
      <c r="EE217">
        <v>14</v>
      </c>
      <c r="EF217">
        <v>12</v>
      </c>
      <c r="EG217">
        <v>-2.6920000000000002</v>
      </c>
      <c r="EH217">
        <v>16</v>
      </c>
      <c r="EI217">
        <v>-16.96</v>
      </c>
      <c r="EJ217">
        <v>-1.2399999999999998</v>
      </c>
      <c r="EK217">
        <v>27</v>
      </c>
      <c r="EL217">
        <v>27</v>
      </c>
      <c r="EM217">
        <v>26</v>
      </c>
      <c r="EN217">
        <v>-8.395999999999999</v>
      </c>
      <c r="EO217">
        <v>28</v>
      </c>
      <c r="EP217">
        <v>-32.36</v>
      </c>
      <c r="EQ217">
        <v>-3.84</v>
      </c>
      <c r="ER217">
        <v>22</v>
      </c>
      <c r="ES217">
        <v>23.5</v>
      </c>
      <c r="ET217">
        <v>19</v>
      </c>
      <c r="EU217">
        <v>-5.4679999999999991</v>
      </c>
      <c r="EV217">
        <v>28</v>
      </c>
      <c r="EW217">
        <v>-24.279999999999998</v>
      </c>
      <c r="EX217">
        <v>-1.6800000000000002</v>
      </c>
      <c r="EY217">
        <v>18</v>
      </c>
      <c r="EZ217">
        <v>20</v>
      </c>
      <c r="FA217">
        <v>22</v>
      </c>
      <c r="FB217">
        <v>-4.3600000000000012</v>
      </c>
      <c r="FC217">
        <v>18</v>
      </c>
      <c r="FD217">
        <v>-1</v>
      </c>
      <c r="FE217">
        <v>-3.4400000000000004</v>
      </c>
      <c r="FF217">
        <v>13</v>
      </c>
      <c r="FG217">
        <v>14.75</v>
      </c>
      <c r="FH217">
        <v>23</v>
      </c>
      <c r="FI217">
        <v>4.298446470207784E-2</v>
      </c>
      <c r="FJ217">
        <v>8</v>
      </c>
      <c r="FK217">
        <v>7.2737452654640475E-2</v>
      </c>
      <c r="FL217">
        <v>24</v>
      </c>
      <c r="FM217">
        <v>-11.84</v>
      </c>
      <c r="FN217">
        <v>4</v>
      </c>
      <c r="FO217">
        <v>4.92</v>
      </c>
      <c r="FP217">
        <v>-7.4800000000000013</v>
      </c>
      <c r="FQ217">
        <v>-2.9599999999999995</v>
      </c>
      <c r="FR217">
        <v>-0.88000000000000012</v>
      </c>
      <c r="FS217">
        <v>-9.2000000000000011</v>
      </c>
      <c r="FT217">
        <v>-11.84</v>
      </c>
      <c r="FU217">
        <v>-0.79999999999999993</v>
      </c>
      <c r="FV217">
        <v>-112.07999999999997</v>
      </c>
      <c r="FW217">
        <v>-102.16</v>
      </c>
      <c r="FX217">
        <v>-8.5599999999999969</v>
      </c>
      <c r="FY217">
        <v>2.3200000000000003</v>
      </c>
      <c r="FZ217">
        <v>-3.6799999999999997</v>
      </c>
      <c r="GA217">
        <v>13</v>
      </c>
      <c r="GB217">
        <v>1.297600000000001</v>
      </c>
      <c r="GC217">
        <v>-8.0479999999999663E-2</v>
      </c>
      <c r="GD217">
        <v>-93.6</v>
      </c>
      <c r="GE217">
        <v>-1.297600000000001</v>
      </c>
      <c r="GF217">
        <v>-5.0018000000000002</v>
      </c>
      <c r="GG217">
        <v>-11.34</v>
      </c>
      <c r="GH217">
        <v>-55.040000000000006</v>
      </c>
      <c r="GI217">
        <v>-10.072000000000001</v>
      </c>
      <c r="GJ217">
        <v>-8.0800000000000018</v>
      </c>
      <c r="GK217">
        <v>-5.4399999999999995</v>
      </c>
      <c r="GL217">
        <v>-2.6400000000000006</v>
      </c>
    </row>
    <row r="218" spans="1:194" x14ac:dyDescent="0.2">
      <c r="A218" s="39">
        <v>43765</v>
      </c>
      <c r="B218" s="22" t="s">
        <v>248</v>
      </c>
      <c r="C218" s="41" t="s">
        <v>265</v>
      </c>
      <c r="D218" s="22" t="s">
        <v>287</v>
      </c>
      <c r="E218">
        <v>11.2</v>
      </c>
      <c r="F218" s="14">
        <v>9.6999999999999993</v>
      </c>
      <c r="G218">
        <v>9.3000000000000007</v>
      </c>
      <c r="H218">
        <v>2.6</v>
      </c>
      <c r="I218">
        <v>-3.5</v>
      </c>
      <c r="J218">
        <v>41</v>
      </c>
      <c r="K218" t="s">
        <v>110</v>
      </c>
      <c r="L218" s="1" t="s">
        <v>265</v>
      </c>
      <c r="M218">
        <v>28</v>
      </c>
      <c r="N218">
        <v>-3.8032000000000004</v>
      </c>
      <c r="O218">
        <v>20</v>
      </c>
      <c r="P218">
        <v>21</v>
      </c>
      <c r="Q218">
        <v>23</v>
      </c>
      <c r="R218">
        <v>-0.89600000000000057</v>
      </c>
      <c r="S218">
        <v>19</v>
      </c>
      <c r="T218">
        <v>2.3600000000000021</v>
      </c>
      <c r="U218">
        <v>-0.1999999999999999</v>
      </c>
      <c r="V218">
        <v>13</v>
      </c>
      <c r="W218">
        <v>13.5</v>
      </c>
      <c r="X218">
        <v>7</v>
      </c>
      <c r="Y218">
        <v>1.0720000000000005</v>
      </c>
      <c r="Z218">
        <v>20</v>
      </c>
      <c r="AA218">
        <v>-12.48</v>
      </c>
      <c r="AB218">
        <v>2.8</v>
      </c>
      <c r="AC218">
        <v>16</v>
      </c>
      <c r="AD218">
        <v>17</v>
      </c>
      <c r="AE218">
        <v>16</v>
      </c>
      <c r="AF218">
        <v>3.6279999999999988</v>
      </c>
      <c r="AG218">
        <v>18</v>
      </c>
      <c r="AH218">
        <v>12.36</v>
      </c>
      <c r="AI218">
        <v>1.8399999999999999</v>
      </c>
      <c r="AJ218">
        <v>11</v>
      </c>
      <c r="AK218">
        <v>11</v>
      </c>
      <c r="AL218">
        <v>13</v>
      </c>
      <c r="AM218">
        <v>3.0080000000000005</v>
      </c>
      <c r="AN218">
        <v>9</v>
      </c>
      <c r="AO218">
        <v>17.84</v>
      </c>
      <c r="AP218">
        <v>0.71999999999999975</v>
      </c>
      <c r="AQ218">
        <v>26</v>
      </c>
      <c r="AR218">
        <v>26</v>
      </c>
      <c r="AS218">
        <v>26</v>
      </c>
      <c r="AT218">
        <v>-1.6320000000000003</v>
      </c>
      <c r="AU218">
        <v>26</v>
      </c>
      <c r="AV218">
        <v>-6.7600000000000007</v>
      </c>
      <c r="AW218">
        <v>-0.44000000000000006</v>
      </c>
      <c r="AX218">
        <v>8</v>
      </c>
      <c r="AY218">
        <v>9</v>
      </c>
      <c r="AZ218">
        <v>9</v>
      </c>
      <c r="BA218">
        <v>0.53199999999999792</v>
      </c>
      <c r="BB218">
        <v>9</v>
      </c>
      <c r="BC218">
        <v>10.52</v>
      </c>
      <c r="BD218">
        <v>2.6000000000000005</v>
      </c>
      <c r="BE218">
        <v>29</v>
      </c>
      <c r="BF218">
        <v>28.5</v>
      </c>
      <c r="BG218">
        <v>25</v>
      </c>
      <c r="BH218">
        <v>-6.3560000000000016</v>
      </c>
      <c r="BI218">
        <v>32</v>
      </c>
      <c r="BJ218">
        <v>-28.68</v>
      </c>
      <c r="BK218">
        <v>-1.9999999999999996</v>
      </c>
      <c r="BL218">
        <v>30</v>
      </c>
      <c r="BM218">
        <v>29.5</v>
      </c>
      <c r="BN218">
        <v>31</v>
      </c>
      <c r="BO218">
        <v>0.64</v>
      </c>
      <c r="BP218">
        <v>28</v>
      </c>
      <c r="BQ218">
        <v>0.64</v>
      </c>
      <c r="BR218">
        <v>3.3600000000000003</v>
      </c>
      <c r="BS218">
        <v>18</v>
      </c>
      <c r="BT218">
        <v>15.5</v>
      </c>
      <c r="BU218">
        <v>20</v>
      </c>
      <c r="BV218">
        <v>1.2843867948444387E-4</v>
      </c>
      <c r="BW218">
        <v>11</v>
      </c>
      <c r="BX218">
        <v>1.0378652468172423E-2</v>
      </c>
      <c r="BY218">
        <v>20</v>
      </c>
      <c r="BZ218">
        <v>-2.8639999999999985</v>
      </c>
      <c r="CA218">
        <v>11</v>
      </c>
      <c r="CB218">
        <v>-0.20000000000000018</v>
      </c>
      <c r="CC218">
        <v>1.8</v>
      </c>
      <c r="CD218">
        <v>-1.7600000000000002</v>
      </c>
      <c r="CE218">
        <v>1.6799999999999997</v>
      </c>
      <c r="CF218">
        <v>-34.319999999999993</v>
      </c>
      <c r="CG218">
        <v>-16.080000000000013</v>
      </c>
      <c r="CH218">
        <v>-13.879999999999999</v>
      </c>
      <c r="CI218">
        <v>3.84</v>
      </c>
      <c r="CJ218">
        <v>-8.1999999999999993</v>
      </c>
      <c r="CK218">
        <v>26</v>
      </c>
      <c r="CL218">
        <v>-3.9792000000000001</v>
      </c>
      <c r="CM218">
        <v>-1.1190400000000005</v>
      </c>
      <c r="CN218">
        <v>-2.2000000000000135</v>
      </c>
      <c r="CO218">
        <v>3.9792000000000005</v>
      </c>
      <c r="CP218">
        <v>-0.54240000000000044</v>
      </c>
      <c r="CQ218">
        <v>5.0039999999999987</v>
      </c>
      <c r="CR218">
        <v>23.439999999999998</v>
      </c>
      <c r="CS218">
        <v>0.17599999999999993</v>
      </c>
      <c r="CT218">
        <v>-10.119999999999997</v>
      </c>
      <c r="CU218">
        <v>0.12000000000000011</v>
      </c>
      <c r="CV218">
        <v>2.6</v>
      </c>
      <c r="CW218">
        <v>-0.46067500000000006</v>
      </c>
      <c r="CX218">
        <v>-0.50219999999999987</v>
      </c>
      <c r="CY218" t="s">
        <v>287</v>
      </c>
      <c r="CZ218">
        <v>26</v>
      </c>
      <c r="DA218">
        <v>-0.18120000000000047</v>
      </c>
      <c r="DB218">
        <v>7</v>
      </c>
      <c r="DC218">
        <v>10</v>
      </c>
      <c r="DD218">
        <v>11</v>
      </c>
      <c r="DE218">
        <v>4.7119999999999989</v>
      </c>
      <c r="DF218">
        <v>9</v>
      </c>
      <c r="DG218">
        <v>2.1599999999999993</v>
      </c>
      <c r="DH218">
        <v>8.0000000000000071E-2</v>
      </c>
      <c r="DI218">
        <v>21</v>
      </c>
      <c r="DJ218">
        <v>18.5</v>
      </c>
      <c r="DK218">
        <v>9</v>
      </c>
      <c r="DL218">
        <v>-1.8799999999999997</v>
      </c>
      <c r="DM218">
        <v>28</v>
      </c>
      <c r="DN218">
        <v>4.68</v>
      </c>
      <c r="DO218">
        <v>-1.24</v>
      </c>
      <c r="DP218">
        <v>28</v>
      </c>
      <c r="DQ218">
        <v>26.5</v>
      </c>
      <c r="DR218">
        <v>26</v>
      </c>
      <c r="DS218">
        <v>-4.8800000000000008</v>
      </c>
      <c r="DT218">
        <v>27</v>
      </c>
      <c r="DU218">
        <v>-23.6</v>
      </c>
      <c r="DV218">
        <v>-2.3600000000000003</v>
      </c>
      <c r="DW218">
        <v>21</v>
      </c>
      <c r="DX218">
        <v>22</v>
      </c>
      <c r="DY218">
        <v>22</v>
      </c>
      <c r="DZ218">
        <v>-4.4279999999999999</v>
      </c>
      <c r="EA218">
        <v>22</v>
      </c>
      <c r="EB218">
        <v>-17.32</v>
      </c>
      <c r="EC218">
        <v>-1.9599999999999997</v>
      </c>
      <c r="ED218">
        <v>18</v>
      </c>
      <c r="EE218">
        <v>20.5</v>
      </c>
      <c r="EF218">
        <v>23</v>
      </c>
      <c r="EG218">
        <v>-0.29999999999999966</v>
      </c>
      <c r="EH218">
        <v>18</v>
      </c>
      <c r="EI218">
        <v>3</v>
      </c>
      <c r="EJ218">
        <v>-0.96</v>
      </c>
      <c r="EK218">
        <v>22</v>
      </c>
      <c r="EL218">
        <v>23</v>
      </c>
      <c r="EM218">
        <v>25</v>
      </c>
      <c r="EN218">
        <v>0.28799999999999953</v>
      </c>
      <c r="EO218">
        <v>21</v>
      </c>
      <c r="EP218">
        <v>1.2799999999999983</v>
      </c>
      <c r="EQ218">
        <v>-3.3600000000000003</v>
      </c>
      <c r="ER218">
        <v>30</v>
      </c>
      <c r="ES218">
        <v>27.5</v>
      </c>
      <c r="ET218">
        <v>28</v>
      </c>
      <c r="EU218">
        <v>3.2840000000000003</v>
      </c>
      <c r="EV218">
        <v>27</v>
      </c>
      <c r="EW218">
        <v>11.24</v>
      </c>
      <c r="EX218">
        <v>-0.4</v>
      </c>
      <c r="EY218">
        <v>3</v>
      </c>
      <c r="EZ218">
        <v>3.5</v>
      </c>
      <c r="FA218">
        <v>4</v>
      </c>
      <c r="FB218">
        <v>0.32000000000000012</v>
      </c>
      <c r="FC218">
        <v>3</v>
      </c>
      <c r="FD218">
        <v>0.24000000000000005</v>
      </c>
      <c r="FE218">
        <v>0.48000000000000015</v>
      </c>
      <c r="FF218">
        <v>25</v>
      </c>
      <c r="FG218">
        <v>21.5</v>
      </c>
      <c r="FH218">
        <v>20</v>
      </c>
      <c r="FI218">
        <v>6.8255608733913675E-3</v>
      </c>
      <c r="FJ218">
        <v>25</v>
      </c>
      <c r="FK218">
        <v>-3.4319063918989562E-4</v>
      </c>
      <c r="FL218">
        <v>18</v>
      </c>
      <c r="FM218">
        <v>1.1479999999999961</v>
      </c>
      <c r="FN218">
        <v>23</v>
      </c>
      <c r="FO218">
        <v>-1.52</v>
      </c>
      <c r="FP218">
        <v>-6.36</v>
      </c>
      <c r="FQ218">
        <v>0.2</v>
      </c>
      <c r="FR218">
        <v>0.11999999999999984</v>
      </c>
      <c r="FS218">
        <v>-6.56</v>
      </c>
      <c r="FT218">
        <v>0.44000000000000022</v>
      </c>
      <c r="FU218">
        <v>0.83999999999999986</v>
      </c>
      <c r="FV218">
        <v>-4.6000000000000112</v>
      </c>
      <c r="FW218">
        <v>-5.7599999999999962</v>
      </c>
      <c r="FX218">
        <v>7.0800000000000036</v>
      </c>
      <c r="FY218">
        <v>-0.5199999999999998</v>
      </c>
      <c r="FZ218">
        <v>-5.4</v>
      </c>
      <c r="GA218">
        <v>25</v>
      </c>
      <c r="GB218">
        <v>-3.0131999999999994</v>
      </c>
      <c r="GC218">
        <v>-2.717039999999999</v>
      </c>
      <c r="GD218">
        <v>-12.84</v>
      </c>
      <c r="GE218">
        <v>3.0131999999999994</v>
      </c>
      <c r="GF218">
        <v>-0.41915000000000019</v>
      </c>
      <c r="GG218">
        <v>-9.6079999999999988</v>
      </c>
      <c r="GH218">
        <v>-37.92</v>
      </c>
      <c r="GI218">
        <v>2.831999999999999</v>
      </c>
      <c r="GJ218">
        <v>6.839999999999999</v>
      </c>
      <c r="GK218">
        <v>-5.6800000000000006</v>
      </c>
      <c r="GL218">
        <v>-1.1599999999999999</v>
      </c>
    </row>
    <row r="219" spans="1:194" x14ac:dyDescent="0.2">
      <c r="A219" s="39">
        <v>43765</v>
      </c>
      <c r="B219" s="22" t="s">
        <v>248</v>
      </c>
      <c r="C219" s="17" t="s">
        <v>272</v>
      </c>
      <c r="D219" s="22" t="s">
        <v>304</v>
      </c>
      <c r="E219">
        <v>12.8</v>
      </c>
      <c r="F219">
        <v>11.5</v>
      </c>
      <c r="G219">
        <v>15.7</v>
      </c>
      <c r="H219">
        <v>14.8</v>
      </c>
      <c r="I219">
        <v>12</v>
      </c>
      <c r="J219">
        <v>48.5</v>
      </c>
      <c r="K219" t="s">
        <v>109</v>
      </c>
      <c r="L219" s="1" t="s">
        <v>272</v>
      </c>
      <c r="M219">
        <v>20</v>
      </c>
      <c r="N219">
        <v>-1.4180000000000004</v>
      </c>
      <c r="O219">
        <v>29</v>
      </c>
      <c r="P219">
        <v>28</v>
      </c>
      <c r="Q219">
        <v>26</v>
      </c>
      <c r="R219">
        <v>-5.6039999999999974</v>
      </c>
      <c r="S219">
        <v>30</v>
      </c>
      <c r="T219">
        <v>-22.84</v>
      </c>
      <c r="U219">
        <v>-0.68000000000000016</v>
      </c>
      <c r="V219">
        <v>24</v>
      </c>
      <c r="W219">
        <v>24</v>
      </c>
      <c r="X219">
        <v>24</v>
      </c>
      <c r="Y219">
        <v>-2.4503999999999997</v>
      </c>
      <c r="Z219">
        <v>24</v>
      </c>
      <c r="AA219">
        <v>-18.28</v>
      </c>
      <c r="AB219">
        <v>0.76000000000000012</v>
      </c>
      <c r="AC219">
        <v>22</v>
      </c>
      <c r="AD219">
        <v>20</v>
      </c>
      <c r="AE219">
        <v>17</v>
      </c>
      <c r="AF219">
        <v>1.5320000000000005</v>
      </c>
      <c r="AG219">
        <v>23</v>
      </c>
      <c r="AH219">
        <v>2.8800000000000012</v>
      </c>
      <c r="AI219">
        <v>3.28</v>
      </c>
      <c r="AJ219">
        <v>20</v>
      </c>
      <c r="AK219">
        <v>19</v>
      </c>
      <c r="AL219">
        <v>23</v>
      </c>
      <c r="AM219">
        <v>-1.8720000000000003</v>
      </c>
      <c r="AN219">
        <v>15</v>
      </c>
      <c r="AO219">
        <v>-2.5600000000000009</v>
      </c>
      <c r="AP219">
        <v>0.24000000000000021</v>
      </c>
      <c r="AQ219">
        <v>2</v>
      </c>
      <c r="AR219">
        <v>2</v>
      </c>
      <c r="AS219">
        <v>2</v>
      </c>
      <c r="AT219">
        <v>5.2280000000000006</v>
      </c>
      <c r="AU219">
        <v>2</v>
      </c>
      <c r="AV219">
        <v>32.96</v>
      </c>
      <c r="AW219">
        <v>3.88</v>
      </c>
      <c r="AX219">
        <v>14</v>
      </c>
      <c r="AY219">
        <v>14.5</v>
      </c>
      <c r="AZ219">
        <v>16</v>
      </c>
      <c r="BA219">
        <v>-2.052</v>
      </c>
      <c r="BB219">
        <v>13</v>
      </c>
      <c r="BC219">
        <v>-12.520000000000003</v>
      </c>
      <c r="BD219">
        <v>0.35999999999999976</v>
      </c>
      <c r="BE219">
        <v>17</v>
      </c>
      <c r="BF219">
        <v>17.5</v>
      </c>
      <c r="BG219">
        <v>19</v>
      </c>
      <c r="BH219">
        <v>-6.9760000000000009</v>
      </c>
      <c r="BI219">
        <v>16</v>
      </c>
      <c r="BJ219">
        <v>-25.839999999999996</v>
      </c>
      <c r="BK219">
        <v>-1.92</v>
      </c>
      <c r="BL219">
        <v>12</v>
      </c>
      <c r="BM219">
        <v>11.5</v>
      </c>
      <c r="BN219">
        <v>12</v>
      </c>
      <c r="BO219">
        <v>-0.4</v>
      </c>
      <c r="BP219">
        <v>11</v>
      </c>
      <c r="BQ219">
        <v>-0.27999999999999997</v>
      </c>
      <c r="BR219">
        <v>-3.28</v>
      </c>
      <c r="BS219">
        <v>10</v>
      </c>
      <c r="BT219">
        <v>12.75</v>
      </c>
      <c r="BU219">
        <v>13</v>
      </c>
      <c r="BV219">
        <v>-4.2694794899140763E-2</v>
      </c>
      <c r="BW219">
        <v>15</v>
      </c>
      <c r="BX219">
        <v>-5.8338480427629351E-4</v>
      </c>
      <c r="BY219">
        <v>11</v>
      </c>
      <c r="BZ219">
        <v>-13.080000000000002</v>
      </c>
      <c r="CA219">
        <v>12</v>
      </c>
      <c r="CB219">
        <v>2.6</v>
      </c>
      <c r="CC219">
        <v>-1.8</v>
      </c>
      <c r="CD219">
        <v>-6.8</v>
      </c>
      <c r="CE219">
        <v>-8.8817841970012528E-17</v>
      </c>
      <c r="CF219">
        <v>-56.88000000000001</v>
      </c>
      <c r="CG219">
        <v>-9.0799999999999947</v>
      </c>
      <c r="CH219">
        <v>-43</v>
      </c>
      <c r="CI219">
        <v>-0.35999999999999988</v>
      </c>
      <c r="CJ219">
        <v>-4.4400000000000004</v>
      </c>
      <c r="CK219">
        <v>5</v>
      </c>
      <c r="CL219">
        <v>6.6363999999999965</v>
      </c>
      <c r="CM219">
        <v>3.3259999999999987</v>
      </c>
      <c r="CN219">
        <v>33.92</v>
      </c>
      <c r="CO219">
        <v>-6.6363999999999974</v>
      </c>
      <c r="CP219">
        <v>-1.4950499999999998</v>
      </c>
      <c r="CQ219">
        <v>4.8880000000000008</v>
      </c>
      <c r="CR219">
        <v>33.28</v>
      </c>
      <c r="CS219">
        <v>-8.0543999999999976</v>
      </c>
      <c r="CT219">
        <v>-41.120000000000005</v>
      </c>
      <c r="CU219">
        <v>5.48</v>
      </c>
      <c r="CV219">
        <v>7.999999999999996E-2</v>
      </c>
      <c r="CW219">
        <v>0.12783333333333302</v>
      </c>
      <c r="CX219">
        <v>0.92826666666666624</v>
      </c>
      <c r="CY219" t="s">
        <v>304</v>
      </c>
      <c r="CZ219">
        <v>16</v>
      </c>
      <c r="DA219">
        <v>-0.84080000000000188</v>
      </c>
      <c r="DB219">
        <v>17</v>
      </c>
      <c r="DC219">
        <v>18</v>
      </c>
      <c r="DD219">
        <v>20</v>
      </c>
      <c r="DE219">
        <v>-2.383999999999999</v>
      </c>
      <c r="DF219">
        <v>16</v>
      </c>
      <c r="DG219">
        <v>-7.4000000000000012</v>
      </c>
      <c r="DH219">
        <v>8.0000000000000071E-2</v>
      </c>
      <c r="DI219">
        <v>4</v>
      </c>
      <c r="DJ219">
        <v>6.5</v>
      </c>
      <c r="DK219">
        <v>7</v>
      </c>
      <c r="DL219">
        <v>-1.3679999999999997</v>
      </c>
      <c r="DM219">
        <v>6</v>
      </c>
      <c r="DN219">
        <v>-5.4799999999999986</v>
      </c>
      <c r="DO219">
        <v>-0.44000000000000006</v>
      </c>
      <c r="DP219">
        <v>19</v>
      </c>
      <c r="DQ219">
        <v>19.5</v>
      </c>
      <c r="DR219">
        <v>17</v>
      </c>
      <c r="DS219">
        <v>-2.5560000000000005</v>
      </c>
      <c r="DT219">
        <v>22</v>
      </c>
      <c r="DU219">
        <v>-7.919999999999999</v>
      </c>
      <c r="DV219">
        <v>-0.67999999999999994</v>
      </c>
      <c r="DW219">
        <v>11</v>
      </c>
      <c r="DX219">
        <v>13</v>
      </c>
      <c r="DY219">
        <v>10</v>
      </c>
      <c r="DZ219">
        <v>2.7359999999999998</v>
      </c>
      <c r="EA219">
        <v>16</v>
      </c>
      <c r="EB219">
        <v>5.7200000000000006</v>
      </c>
      <c r="EC219">
        <v>1.0399999999999998</v>
      </c>
      <c r="ED219">
        <v>2</v>
      </c>
      <c r="EE219">
        <v>2</v>
      </c>
      <c r="EF219">
        <v>2</v>
      </c>
      <c r="EG219">
        <v>-2.2040000000000002</v>
      </c>
      <c r="EH219">
        <v>2</v>
      </c>
      <c r="EI219">
        <v>-7.44</v>
      </c>
      <c r="EJ219">
        <v>-0.39999999999999991</v>
      </c>
      <c r="EK219">
        <v>14</v>
      </c>
      <c r="EL219">
        <v>14</v>
      </c>
      <c r="EM219">
        <v>11</v>
      </c>
      <c r="EN219">
        <v>-4.1879999999999997</v>
      </c>
      <c r="EO219">
        <v>17</v>
      </c>
      <c r="EP219">
        <v>-26.68</v>
      </c>
      <c r="EQ219">
        <v>-1.6799999999999997</v>
      </c>
      <c r="ER219">
        <v>25</v>
      </c>
      <c r="ES219">
        <v>24.5</v>
      </c>
      <c r="ET219">
        <v>29</v>
      </c>
      <c r="EU219">
        <v>0.43599999999999961</v>
      </c>
      <c r="EV219">
        <v>20</v>
      </c>
      <c r="EW219">
        <v>1.6300000000000026</v>
      </c>
      <c r="EX219">
        <v>-1.35</v>
      </c>
      <c r="EY219">
        <v>28</v>
      </c>
      <c r="EZ219">
        <v>26.5</v>
      </c>
      <c r="FA219">
        <v>29</v>
      </c>
      <c r="FB219">
        <v>0.79999999999999982</v>
      </c>
      <c r="FC219">
        <v>24</v>
      </c>
      <c r="FD219">
        <v>0.2</v>
      </c>
      <c r="FE219">
        <v>0.43999999999999967</v>
      </c>
      <c r="FF219">
        <v>14</v>
      </c>
      <c r="FG219">
        <v>15</v>
      </c>
      <c r="FH219">
        <v>22</v>
      </c>
      <c r="FI219">
        <v>6.019082970377284E-2</v>
      </c>
      <c r="FJ219">
        <v>10</v>
      </c>
      <c r="FK219">
        <v>1.3315577793178268E-3</v>
      </c>
      <c r="FL219">
        <v>22</v>
      </c>
      <c r="FM219">
        <v>-3.1160000000000023</v>
      </c>
      <c r="FN219">
        <v>6</v>
      </c>
      <c r="FO219">
        <v>-8.0000000000000432E-2</v>
      </c>
      <c r="FP219">
        <v>-1.7199999999999989</v>
      </c>
      <c r="FQ219">
        <v>2.8800000000000003</v>
      </c>
      <c r="FR219">
        <v>-0.12000000000000006</v>
      </c>
      <c r="FS219">
        <v>0.67999999999999972</v>
      </c>
      <c r="FT219">
        <v>-0.51999999999999957</v>
      </c>
      <c r="FU219">
        <v>0.83999999999999986</v>
      </c>
      <c r="FV219">
        <v>-36.879999999999995</v>
      </c>
      <c r="FW219">
        <v>-10.52</v>
      </c>
      <c r="FX219">
        <v>-15.76</v>
      </c>
      <c r="FY219">
        <v>-4.5200000000000005</v>
      </c>
      <c r="FZ219">
        <v>-6.080000000000001</v>
      </c>
      <c r="GA219">
        <v>10</v>
      </c>
      <c r="GB219">
        <v>2.9111999999999965</v>
      </c>
      <c r="GC219">
        <v>1.3902399999999988</v>
      </c>
      <c r="GD219">
        <v>5.24</v>
      </c>
      <c r="GE219">
        <v>-2.9111999999999969</v>
      </c>
      <c r="GF219">
        <v>-0.6726000000000002</v>
      </c>
      <c r="GG219">
        <v>-2.0240000000000009</v>
      </c>
      <c r="GH219">
        <v>-9.6399999999999988</v>
      </c>
      <c r="GI219">
        <v>-3.7519999999999989</v>
      </c>
      <c r="GJ219">
        <v>-12.879999999999999</v>
      </c>
      <c r="GK219">
        <v>-1.3900000000000001</v>
      </c>
      <c r="GL219">
        <v>-0.36</v>
      </c>
    </row>
    <row r="220" spans="1:194" x14ac:dyDescent="0.2">
      <c r="A220" s="39">
        <v>43765</v>
      </c>
      <c r="B220" s="22" t="s">
        <v>248</v>
      </c>
      <c r="C220" s="41" t="s">
        <v>281</v>
      </c>
      <c r="D220" s="23" t="s">
        <v>302</v>
      </c>
      <c r="E220">
        <v>10.199999999999999</v>
      </c>
      <c r="F220">
        <v>11.5</v>
      </c>
      <c r="G220">
        <v>3.1</v>
      </c>
      <c r="H220">
        <v>11.3</v>
      </c>
      <c r="I220">
        <v>9.5</v>
      </c>
      <c r="J220">
        <v>43</v>
      </c>
      <c r="L220" s="1" t="s">
        <v>281</v>
      </c>
      <c r="M220">
        <v>18</v>
      </c>
      <c r="N220">
        <v>-0.91519999999999979</v>
      </c>
      <c r="O220">
        <v>5</v>
      </c>
      <c r="P220">
        <v>7</v>
      </c>
      <c r="Q220">
        <v>8</v>
      </c>
      <c r="R220">
        <v>8.4199999999999982</v>
      </c>
      <c r="S220">
        <v>6</v>
      </c>
      <c r="T220">
        <v>53.679999999999993</v>
      </c>
      <c r="U220">
        <v>0.36</v>
      </c>
      <c r="V220">
        <v>4</v>
      </c>
      <c r="W220">
        <v>6</v>
      </c>
      <c r="X220">
        <v>6</v>
      </c>
      <c r="Y220">
        <v>0.54560000000000031</v>
      </c>
      <c r="Z220">
        <v>6</v>
      </c>
      <c r="AA220">
        <v>-7.76</v>
      </c>
      <c r="AB220">
        <v>0.24</v>
      </c>
      <c r="AC220">
        <v>25</v>
      </c>
      <c r="AD220">
        <v>24.5</v>
      </c>
      <c r="AE220">
        <v>25</v>
      </c>
      <c r="AF220">
        <v>-1.5879999999999996</v>
      </c>
      <c r="AG220">
        <v>24</v>
      </c>
      <c r="AH220">
        <v>-1.9999999999999987</v>
      </c>
      <c r="AI220">
        <v>0.87999999999999989</v>
      </c>
      <c r="AJ220">
        <v>1</v>
      </c>
      <c r="AK220">
        <v>2.5</v>
      </c>
      <c r="AL220">
        <v>1</v>
      </c>
      <c r="AM220">
        <v>3.1119999999999992</v>
      </c>
      <c r="AN220">
        <v>4</v>
      </c>
      <c r="AO220">
        <v>33.480000000000004</v>
      </c>
      <c r="AP220">
        <v>1.2</v>
      </c>
      <c r="AQ220">
        <v>18</v>
      </c>
      <c r="AR220">
        <v>17.5</v>
      </c>
      <c r="AS220">
        <v>19</v>
      </c>
      <c r="AT220">
        <v>-1.6560000000000001</v>
      </c>
      <c r="AU220">
        <v>16</v>
      </c>
      <c r="AV220">
        <v>-8.6799999999999979</v>
      </c>
      <c r="AW220">
        <v>-0.27999999999999997</v>
      </c>
      <c r="AX220">
        <v>15</v>
      </c>
      <c r="AY220">
        <v>15.5</v>
      </c>
      <c r="AZ220">
        <v>15</v>
      </c>
      <c r="BA220">
        <v>2.1880000000000002</v>
      </c>
      <c r="BB220">
        <v>16</v>
      </c>
      <c r="BC220">
        <v>21.479999999999997</v>
      </c>
      <c r="BD220">
        <v>1.4799999999999998</v>
      </c>
      <c r="BE220">
        <v>23</v>
      </c>
      <c r="BF220">
        <v>23</v>
      </c>
      <c r="BG220">
        <v>21</v>
      </c>
      <c r="BH220">
        <v>2.0639999999999996</v>
      </c>
      <c r="BI220">
        <v>25</v>
      </c>
      <c r="BJ220">
        <v>-4.6799999999999971</v>
      </c>
      <c r="BK220">
        <v>-1.24</v>
      </c>
      <c r="BL220">
        <v>4</v>
      </c>
      <c r="BM220">
        <v>7</v>
      </c>
      <c r="BN220">
        <v>7</v>
      </c>
      <c r="BO220">
        <v>0.16000000000000023</v>
      </c>
      <c r="BP220">
        <v>7</v>
      </c>
      <c r="BQ220">
        <v>-0.2</v>
      </c>
      <c r="BR220">
        <v>-0.92000000000000015</v>
      </c>
      <c r="BS220">
        <v>30</v>
      </c>
      <c r="BT220">
        <v>29</v>
      </c>
      <c r="BU220">
        <v>31</v>
      </c>
      <c r="BV220">
        <v>-6.8898130286870196E-3</v>
      </c>
      <c r="BW220">
        <v>30</v>
      </c>
      <c r="BX220">
        <v>3.7586201072204221E-3</v>
      </c>
      <c r="BY220">
        <v>24</v>
      </c>
      <c r="BZ220">
        <v>-3.3239999999999994</v>
      </c>
      <c r="CA220">
        <v>31</v>
      </c>
      <c r="CB220">
        <v>0.44000000000000022</v>
      </c>
      <c r="CC220">
        <v>-8.000000000000114E-2</v>
      </c>
      <c r="CD220">
        <v>3.0000000000000009</v>
      </c>
      <c r="CE220">
        <v>-2.6000000000000005</v>
      </c>
      <c r="CF220">
        <v>41.92</v>
      </c>
      <c r="CG220">
        <v>6.3199999999999985</v>
      </c>
      <c r="CH220">
        <v>43.519999999999996</v>
      </c>
      <c r="CI220">
        <v>-4.4399999999999995</v>
      </c>
      <c r="CJ220">
        <v>-3.4800000000000013</v>
      </c>
      <c r="CK220">
        <v>30</v>
      </c>
      <c r="CL220">
        <v>-9.8807999999999989</v>
      </c>
      <c r="CM220">
        <v>-4.2794399999999992</v>
      </c>
      <c r="CN220">
        <v>-37.199999999999996</v>
      </c>
      <c r="CO220">
        <v>9.8807999999999989</v>
      </c>
      <c r="CP220">
        <v>1.2678</v>
      </c>
      <c r="CQ220">
        <v>-0.13200000000000056</v>
      </c>
      <c r="CR220">
        <v>22.800000000000004</v>
      </c>
      <c r="CS220">
        <v>8.9655999999999985</v>
      </c>
      <c r="CT220">
        <v>45.919999999999995</v>
      </c>
      <c r="CU220">
        <v>0.56000000000000005</v>
      </c>
      <c r="CV220">
        <v>0.6</v>
      </c>
      <c r="CW220">
        <v>-1.2156791666666666</v>
      </c>
      <c r="CX220">
        <v>8.2241666666666588E-2</v>
      </c>
      <c r="CY220" t="s">
        <v>302</v>
      </c>
      <c r="CZ220">
        <v>28</v>
      </c>
      <c r="DA220">
        <v>-6.3848000000000003</v>
      </c>
      <c r="DB220">
        <v>20</v>
      </c>
      <c r="DC220">
        <v>21</v>
      </c>
      <c r="DD220">
        <v>26</v>
      </c>
      <c r="DE220">
        <v>-2.8909999999999996</v>
      </c>
      <c r="DF220">
        <v>16</v>
      </c>
      <c r="DG220">
        <v>3.089999999999999</v>
      </c>
      <c r="DH220">
        <v>-1.0799999999999998</v>
      </c>
      <c r="DI220">
        <v>19</v>
      </c>
      <c r="DJ220">
        <v>17</v>
      </c>
      <c r="DK220">
        <v>15</v>
      </c>
      <c r="DL220">
        <v>0.41100000000000014</v>
      </c>
      <c r="DM220">
        <v>19</v>
      </c>
      <c r="DN220">
        <v>-6.2200000000000006</v>
      </c>
      <c r="DO220">
        <v>1.0899999999999999</v>
      </c>
      <c r="DP220">
        <v>31</v>
      </c>
      <c r="DQ220">
        <v>29</v>
      </c>
      <c r="DR220">
        <v>30</v>
      </c>
      <c r="DS220">
        <v>-0.44800000000000006</v>
      </c>
      <c r="DT220">
        <v>28</v>
      </c>
      <c r="DU220">
        <v>0.51999999999999746</v>
      </c>
      <c r="DV220">
        <v>0.76</v>
      </c>
      <c r="DW220">
        <v>24</v>
      </c>
      <c r="DX220">
        <v>25</v>
      </c>
      <c r="DY220">
        <v>26</v>
      </c>
      <c r="DZ220">
        <v>-2.4119999999999999</v>
      </c>
      <c r="EA220">
        <v>24</v>
      </c>
      <c r="EB220">
        <v>-8.52</v>
      </c>
      <c r="EC220">
        <v>1.3199999999999998</v>
      </c>
      <c r="ED220">
        <v>23</v>
      </c>
      <c r="EE220">
        <v>21</v>
      </c>
      <c r="EF220">
        <v>25</v>
      </c>
      <c r="EG220">
        <v>-2.2399999999999993</v>
      </c>
      <c r="EH220">
        <v>17</v>
      </c>
      <c r="EI220">
        <v>-12.8</v>
      </c>
      <c r="EJ220">
        <v>0.92000000000000015</v>
      </c>
      <c r="EK220">
        <v>22</v>
      </c>
      <c r="EL220">
        <v>23</v>
      </c>
      <c r="EM220">
        <v>24</v>
      </c>
      <c r="EN220">
        <v>-0.57600000000000084</v>
      </c>
      <c r="EO220">
        <v>22</v>
      </c>
      <c r="EP220">
        <v>-0.15999999999999942</v>
      </c>
      <c r="EQ220">
        <v>1.2800000000000002</v>
      </c>
      <c r="ER220">
        <v>20</v>
      </c>
      <c r="ES220">
        <v>20</v>
      </c>
      <c r="ET220">
        <v>18</v>
      </c>
      <c r="EU220">
        <v>-4.9440000000000008</v>
      </c>
      <c r="EV220">
        <v>22</v>
      </c>
      <c r="EW220">
        <v>-12.08</v>
      </c>
      <c r="EX220">
        <v>-1.52</v>
      </c>
      <c r="EY220">
        <v>24</v>
      </c>
      <c r="EZ220">
        <v>23</v>
      </c>
      <c r="FA220">
        <v>24</v>
      </c>
      <c r="FB220">
        <v>-1.2</v>
      </c>
      <c r="FC220">
        <v>22</v>
      </c>
      <c r="FD220">
        <v>-0.52</v>
      </c>
      <c r="FE220">
        <v>0</v>
      </c>
      <c r="FF220">
        <v>5</v>
      </c>
      <c r="FG220">
        <v>9.75</v>
      </c>
      <c r="FH220">
        <v>1</v>
      </c>
      <c r="FI220">
        <v>2.7417029776478551E-2</v>
      </c>
      <c r="FJ220">
        <v>12</v>
      </c>
      <c r="FK220">
        <v>-8.3623204862236181E-3</v>
      </c>
      <c r="FL220">
        <v>23</v>
      </c>
      <c r="FM220">
        <v>-11.027999999999997</v>
      </c>
      <c r="FN220">
        <v>3</v>
      </c>
      <c r="FO220">
        <v>5.4</v>
      </c>
      <c r="FP220">
        <v>0.72000000000000031</v>
      </c>
      <c r="FQ220">
        <v>-0.68000000000000038</v>
      </c>
      <c r="FR220">
        <v>-1</v>
      </c>
      <c r="FS220">
        <v>-2.0400000000000005</v>
      </c>
      <c r="FT220">
        <v>-6.9599999999999991</v>
      </c>
      <c r="FU220">
        <v>1.9599999999999997</v>
      </c>
      <c r="FV220">
        <v>-40.08</v>
      </c>
      <c r="FW220">
        <v>-43.12</v>
      </c>
      <c r="FX220">
        <v>1.9599999999999995</v>
      </c>
      <c r="FY220">
        <v>5.2799999999999994</v>
      </c>
      <c r="FZ220">
        <v>-4.2000000000000011</v>
      </c>
      <c r="GA220">
        <v>27</v>
      </c>
      <c r="GB220">
        <v>-3.9048000000000007</v>
      </c>
      <c r="GC220">
        <v>-2.0457600000000009</v>
      </c>
      <c r="GD220">
        <v>-45.08</v>
      </c>
      <c r="GE220">
        <v>3.9048000000000007</v>
      </c>
      <c r="GF220">
        <v>-2.5135999999999998</v>
      </c>
      <c r="GG220">
        <v>-5.0999999999999996</v>
      </c>
      <c r="GH220">
        <v>-20.800000000000004</v>
      </c>
      <c r="GI220">
        <v>-2.4799999999999995</v>
      </c>
      <c r="GJ220">
        <v>-3.1300000000000017</v>
      </c>
      <c r="GK220">
        <v>1.48</v>
      </c>
      <c r="GL220">
        <v>1.0000000000000009E-2</v>
      </c>
    </row>
    <row r="221" spans="1:194" x14ac:dyDescent="0.2">
      <c r="A221" s="39">
        <v>43765</v>
      </c>
      <c r="B221" t="s">
        <v>248</v>
      </c>
      <c r="C221" s="41" t="s">
        <v>278</v>
      </c>
      <c r="D221" t="s">
        <v>289</v>
      </c>
      <c r="E221">
        <v>10.199999999999999</v>
      </c>
      <c r="F221">
        <v>4.3</v>
      </c>
      <c r="G221">
        <v>2.6</v>
      </c>
      <c r="H221">
        <v>9.6999999999999993</v>
      </c>
      <c r="I221">
        <v>6</v>
      </c>
      <c r="J221">
        <v>41</v>
      </c>
      <c r="L221" s="1" t="s">
        <v>278</v>
      </c>
      <c r="M221">
        <v>32</v>
      </c>
      <c r="N221">
        <v>-6.638399999999999</v>
      </c>
      <c r="O221">
        <v>17</v>
      </c>
      <c r="P221">
        <v>17</v>
      </c>
      <c r="Q221">
        <v>24</v>
      </c>
      <c r="R221">
        <v>-2.1079999999999997</v>
      </c>
      <c r="S221">
        <v>10</v>
      </c>
      <c r="T221">
        <v>-1.4210854715202005E-15</v>
      </c>
      <c r="U221">
        <v>-1.04</v>
      </c>
      <c r="V221">
        <v>18</v>
      </c>
      <c r="W221">
        <v>17.5</v>
      </c>
      <c r="X221">
        <v>22</v>
      </c>
      <c r="Y221">
        <v>3.3090000000000002</v>
      </c>
      <c r="Z221">
        <v>13</v>
      </c>
      <c r="AA221">
        <v>12.54</v>
      </c>
      <c r="AB221">
        <v>1.6799999999999997</v>
      </c>
      <c r="AC221">
        <v>11</v>
      </c>
      <c r="AD221">
        <v>12.5</v>
      </c>
      <c r="AE221">
        <v>11</v>
      </c>
      <c r="AF221">
        <v>4.7729999999999997</v>
      </c>
      <c r="AG221">
        <v>14</v>
      </c>
      <c r="AH221">
        <v>21.19</v>
      </c>
      <c r="AI221">
        <v>0.88000000000000012</v>
      </c>
      <c r="AJ221">
        <v>31</v>
      </c>
      <c r="AK221">
        <v>30.5</v>
      </c>
      <c r="AL221">
        <v>31</v>
      </c>
      <c r="AM221">
        <v>-1.9360000000000004</v>
      </c>
      <c r="AN221">
        <v>30</v>
      </c>
      <c r="AO221">
        <v>-7.9600000000000009</v>
      </c>
      <c r="AP221">
        <v>-0.87000000000000011</v>
      </c>
      <c r="AQ221">
        <v>32</v>
      </c>
      <c r="AR221">
        <v>32</v>
      </c>
      <c r="AS221">
        <v>32</v>
      </c>
      <c r="AT221">
        <v>-2.4079999999999999</v>
      </c>
      <c r="AU221">
        <v>32</v>
      </c>
      <c r="AV221">
        <v>-16.080000000000002</v>
      </c>
      <c r="AW221">
        <v>-1.08</v>
      </c>
      <c r="AX221">
        <v>31</v>
      </c>
      <c r="AY221">
        <v>31.5</v>
      </c>
      <c r="AZ221">
        <v>31</v>
      </c>
      <c r="BA221">
        <v>-6.944</v>
      </c>
      <c r="BB221">
        <v>32</v>
      </c>
      <c r="BC221">
        <v>-25.04</v>
      </c>
      <c r="BD221">
        <v>-3.04</v>
      </c>
      <c r="BE221">
        <v>9</v>
      </c>
      <c r="BF221">
        <v>8.5</v>
      </c>
      <c r="BG221">
        <v>9</v>
      </c>
      <c r="BH221">
        <v>-6.9600000000000009</v>
      </c>
      <c r="BI221">
        <v>8</v>
      </c>
      <c r="BJ221">
        <v>-25.560000000000002</v>
      </c>
      <c r="BK221">
        <v>-2.3199999999999998</v>
      </c>
      <c r="BL221">
        <v>10</v>
      </c>
      <c r="BM221">
        <v>9</v>
      </c>
      <c r="BN221">
        <v>6</v>
      </c>
      <c r="BO221">
        <v>-0.47999999999999987</v>
      </c>
      <c r="BP221">
        <v>12</v>
      </c>
      <c r="BQ221">
        <v>-4.0000000000000036E-2</v>
      </c>
      <c r="BR221">
        <v>2</v>
      </c>
      <c r="BS221">
        <v>22</v>
      </c>
      <c r="BT221">
        <v>20.25</v>
      </c>
      <c r="BU221">
        <v>15</v>
      </c>
      <c r="BV221">
        <v>2.221693124170445E-2</v>
      </c>
      <c r="BW221">
        <v>19</v>
      </c>
      <c r="BX221">
        <v>3.6062082025149003E-2</v>
      </c>
      <c r="BY221">
        <v>28</v>
      </c>
      <c r="BZ221">
        <v>2.5079999999999982</v>
      </c>
      <c r="CA221">
        <v>19</v>
      </c>
      <c r="CB221">
        <v>4.08</v>
      </c>
      <c r="CC221">
        <v>-2.6400000000000006</v>
      </c>
      <c r="CD221">
        <v>-4.08</v>
      </c>
      <c r="CE221">
        <v>-0.55999999999999994</v>
      </c>
      <c r="CF221">
        <v>-42.040000000000006</v>
      </c>
      <c r="CG221">
        <v>-39.160000000000004</v>
      </c>
      <c r="CH221">
        <v>10.760000000000002</v>
      </c>
      <c r="CI221">
        <v>-1.3199999999999998</v>
      </c>
      <c r="CJ221">
        <v>-12.319999999999999</v>
      </c>
      <c r="CK221">
        <v>28</v>
      </c>
      <c r="CL221">
        <v>-7.8393999999999995</v>
      </c>
      <c r="CM221">
        <v>-3.2343800000000003</v>
      </c>
      <c r="CN221">
        <v>-49.92</v>
      </c>
      <c r="CO221">
        <v>7.8393999999999995</v>
      </c>
      <c r="CP221">
        <v>-1.5560499999999999</v>
      </c>
      <c r="CQ221">
        <v>0.42899999999999938</v>
      </c>
      <c r="CR221">
        <v>-2.8500000000000014</v>
      </c>
      <c r="CS221">
        <v>1.2010000000000005</v>
      </c>
      <c r="CT221">
        <v>12.539999999999997</v>
      </c>
      <c r="CU221">
        <v>-3.3899999999999997</v>
      </c>
      <c r="CV221">
        <v>0.63999999999999968</v>
      </c>
      <c r="CW221">
        <v>-1.5876999999999999</v>
      </c>
      <c r="CX221">
        <v>-2.3155999999999999</v>
      </c>
      <c r="CY221" t="s">
        <v>289</v>
      </c>
      <c r="CZ221">
        <v>25</v>
      </c>
      <c r="DA221">
        <v>-2.6064000000000016</v>
      </c>
      <c r="DB221">
        <v>20</v>
      </c>
      <c r="DC221">
        <v>21</v>
      </c>
      <c r="DD221">
        <v>17</v>
      </c>
      <c r="DE221">
        <v>-4.8920000000000003</v>
      </c>
      <c r="DF221">
        <v>25</v>
      </c>
      <c r="DG221">
        <v>-4.5600000000000005</v>
      </c>
      <c r="DH221">
        <v>0.12000000000000011</v>
      </c>
      <c r="DI221">
        <v>16</v>
      </c>
      <c r="DJ221">
        <v>16.5</v>
      </c>
      <c r="DK221">
        <v>26</v>
      </c>
      <c r="DL221">
        <v>-2.7960000000000003</v>
      </c>
      <c r="DM221">
        <v>7</v>
      </c>
      <c r="DN221">
        <v>-7.56</v>
      </c>
      <c r="DO221">
        <v>-1.44</v>
      </c>
      <c r="DP221">
        <v>24</v>
      </c>
      <c r="DQ221">
        <v>20</v>
      </c>
      <c r="DR221">
        <v>21</v>
      </c>
      <c r="DS221">
        <v>5.8120000000000003</v>
      </c>
      <c r="DT221">
        <v>19</v>
      </c>
      <c r="DU221">
        <v>17.760000000000002</v>
      </c>
      <c r="DV221">
        <v>0.92000000000000015</v>
      </c>
      <c r="DW221">
        <v>5</v>
      </c>
      <c r="DX221">
        <v>5.5</v>
      </c>
      <c r="DY221">
        <v>7</v>
      </c>
      <c r="DZ221">
        <v>-4.0959999999999992</v>
      </c>
      <c r="EA221">
        <v>4</v>
      </c>
      <c r="EB221">
        <v>-12.36</v>
      </c>
      <c r="EC221">
        <v>-2.12</v>
      </c>
      <c r="ED221">
        <v>29</v>
      </c>
      <c r="EE221">
        <v>26</v>
      </c>
      <c r="EF221">
        <v>24</v>
      </c>
      <c r="EG221">
        <v>2.596000000000001</v>
      </c>
      <c r="EH221">
        <v>28</v>
      </c>
      <c r="EI221">
        <v>2.4800000000000004</v>
      </c>
      <c r="EJ221">
        <v>-0.15999999999999986</v>
      </c>
      <c r="EK221">
        <v>17</v>
      </c>
      <c r="EL221">
        <v>16.5</v>
      </c>
      <c r="EM221">
        <v>15</v>
      </c>
      <c r="EN221">
        <v>-1.6079999999999994</v>
      </c>
      <c r="EO221">
        <v>18</v>
      </c>
      <c r="EP221">
        <v>-13.280000000000001</v>
      </c>
      <c r="EQ221">
        <v>0</v>
      </c>
      <c r="ER221">
        <v>27</v>
      </c>
      <c r="ES221">
        <v>26</v>
      </c>
      <c r="ET221">
        <v>27</v>
      </c>
      <c r="EU221">
        <v>-1.4560000000000002</v>
      </c>
      <c r="EV221">
        <v>25</v>
      </c>
      <c r="EW221">
        <v>-11.879999999999997</v>
      </c>
      <c r="EX221">
        <v>0.59999999999999964</v>
      </c>
      <c r="EY221">
        <v>5</v>
      </c>
      <c r="EZ221">
        <v>4.5</v>
      </c>
      <c r="FA221">
        <v>5</v>
      </c>
      <c r="FB221">
        <v>0.56000000000000016</v>
      </c>
      <c r="FC221">
        <v>4</v>
      </c>
      <c r="FD221">
        <v>3.9999999999999994E-2</v>
      </c>
      <c r="FE221">
        <v>-0.71999999999999975</v>
      </c>
      <c r="FF221">
        <v>28</v>
      </c>
      <c r="FG221">
        <v>23</v>
      </c>
      <c r="FH221">
        <v>27</v>
      </c>
      <c r="FI221">
        <v>4.1908416176484331E-3</v>
      </c>
      <c r="FJ221">
        <v>18</v>
      </c>
      <c r="FK221">
        <v>4.3046513565494213E-4</v>
      </c>
      <c r="FL221">
        <v>26</v>
      </c>
      <c r="FM221">
        <v>-1.819999999999999</v>
      </c>
      <c r="FN221">
        <v>21</v>
      </c>
      <c r="FO221">
        <v>-0.60000000000000031</v>
      </c>
      <c r="FP221">
        <v>-0.72000000000000097</v>
      </c>
      <c r="FQ221">
        <v>-1.4</v>
      </c>
      <c r="FR221">
        <v>-1.1600000000000001</v>
      </c>
      <c r="FS221">
        <v>-2.0799999999999996</v>
      </c>
      <c r="FT221">
        <v>-2.9199999999999995</v>
      </c>
      <c r="FU221">
        <v>0.28000000000000008</v>
      </c>
      <c r="FV221">
        <v>-18.360000000000014</v>
      </c>
      <c r="FW221">
        <v>-19.759999999999998</v>
      </c>
      <c r="FX221">
        <v>-10.559999999999999</v>
      </c>
      <c r="FY221">
        <v>11.32</v>
      </c>
      <c r="FZ221">
        <v>0.64</v>
      </c>
      <c r="GA221">
        <v>5</v>
      </c>
      <c r="GB221">
        <v>5.081599999999999</v>
      </c>
      <c r="GC221">
        <v>3.8939200000000005</v>
      </c>
      <c r="GD221">
        <v>-9.1999999999999993</v>
      </c>
      <c r="GE221">
        <v>-5.081599999999999</v>
      </c>
      <c r="GF221">
        <v>-0.85980000000000012</v>
      </c>
      <c r="GG221">
        <v>4.3120000000000021</v>
      </c>
      <c r="GH221">
        <v>7.8800000000000026</v>
      </c>
      <c r="GI221">
        <v>-7.6880000000000006</v>
      </c>
      <c r="GJ221">
        <v>-12.120000000000001</v>
      </c>
      <c r="GK221">
        <v>-0.76000000000000023</v>
      </c>
      <c r="GL221">
        <v>-1.3199999999999998</v>
      </c>
    </row>
    <row r="222" spans="1:194" x14ac:dyDescent="0.2">
      <c r="A222" s="39">
        <v>43765</v>
      </c>
      <c r="B222" s="22" t="s">
        <v>248</v>
      </c>
      <c r="C222" s="41" t="s">
        <v>299</v>
      </c>
      <c r="D222" s="22" t="s">
        <v>296</v>
      </c>
      <c r="E222">
        <v>32.299999999999997</v>
      </c>
      <c r="F222">
        <v>17.5</v>
      </c>
      <c r="G222">
        <v>11.9</v>
      </c>
      <c r="H222">
        <v>5.8</v>
      </c>
      <c r="I222">
        <v>-6.5</v>
      </c>
      <c r="J222">
        <v>49</v>
      </c>
      <c r="K222" t="s">
        <v>109</v>
      </c>
      <c r="L222" s="1" t="s">
        <v>299</v>
      </c>
      <c r="M222">
        <v>7</v>
      </c>
      <c r="N222">
        <v>2.6712000000000011</v>
      </c>
      <c r="O222">
        <v>28</v>
      </c>
      <c r="P222">
        <v>26</v>
      </c>
      <c r="Q222">
        <v>31</v>
      </c>
      <c r="R222">
        <v>-5.1440000000000001</v>
      </c>
      <c r="S222">
        <v>21</v>
      </c>
      <c r="T222">
        <v>-24.640000000000004</v>
      </c>
      <c r="U222">
        <v>-0.1999999999999999</v>
      </c>
      <c r="V222">
        <v>13</v>
      </c>
      <c r="W222">
        <v>13.5</v>
      </c>
      <c r="X222">
        <v>8</v>
      </c>
      <c r="Y222">
        <v>-2.7629999999999995</v>
      </c>
      <c r="Z222">
        <v>19</v>
      </c>
      <c r="AA222">
        <v>-4.7799999999999994</v>
      </c>
      <c r="AB222">
        <v>-0.24000000000000005</v>
      </c>
      <c r="AC222">
        <v>5</v>
      </c>
      <c r="AD222">
        <v>5.5</v>
      </c>
      <c r="AE222">
        <v>8</v>
      </c>
      <c r="AF222">
        <v>2.8999999999998492E-2</v>
      </c>
      <c r="AG222">
        <v>3</v>
      </c>
      <c r="AH222">
        <v>-4.45</v>
      </c>
      <c r="AI222">
        <v>-0.87999999999999967</v>
      </c>
      <c r="AJ222">
        <v>3</v>
      </c>
      <c r="AK222">
        <v>3.5</v>
      </c>
      <c r="AL222">
        <v>2</v>
      </c>
      <c r="AM222">
        <v>9.3360000000000021</v>
      </c>
      <c r="AN222">
        <v>5</v>
      </c>
      <c r="AO222">
        <v>31.28</v>
      </c>
      <c r="AP222">
        <v>2.37</v>
      </c>
      <c r="AQ222">
        <v>10</v>
      </c>
      <c r="AR222">
        <v>10</v>
      </c>
      <c r="AS222">
        <v>10</v>
      </c>
      <c r="AT222">
        <v>4.2640000000000002</v>
      </c>
      <c r="AU222">
        <v>10</v>
      </c>
      <c r="AV222">
        <v>27.04</v>
      </c>
      <c r="AW222">
        <v>0.59999999999999987</v>
      </c>
      <c r="AX222">
        <v>9</v>
      </c>
      <c r="AY222">
        <v>10.5</v>
      </c>
      <c r="AZ222">
        <v>13</v>
      </c>
      <c r="BA222">
        <v>10.040000000000001</v>
      </c>
      <c r="BB222">
        <v>8</v>
      </c>
      <c r="BC222">
        <v>61.759999999999991</v>
      </c>
      <c r="BD222">
        <v>-2.1999999999999997</v>
      </c>
      <c r="BE222">
        <v>20</v>
      </c>
      <c r="BF222">
        <v>22</v>
      </c>
      <c r="BG222">
        <v>23</v>
      </c>
      <c r="BH222">
        <v>-3.9800000000000013</v>
      </c>
      <c r="BI222">
        <v>21</v>
      </c>
      <c r="BJ222">
        <v>-18.080000000000002</v>
      </c>
      <c r="BK222">
        <v>-1.8399999999999999</v>
      </c>
      <c r="BL222">
        <v>23</v>
      </c>
      <c r="BM222">
        <v>22.5</v>
      </c>
      <c r="BN222">
        <v>20</v>
      </c>
      <c r="BO222">
        <v>4.04</v>
      </c>
      <c r="BP222">
        <v>25</v>
      </c>
      <c r="BQ222">
        <v>0.52</v>
      </c>
      <c r="BR222">
        <v>4.0000000000000036E-2</v>
      </c>
      <c r="BS222">
        <v>5</v>
      </c>
      <c r="BT222">
        <v>9</v>
      </c>
      <c r="BU222">
        <v>6</v>
      </c>
      <c r="BV222">
        <v>4.5917487142951184E-3</v>
      </c>
      <c r="BW222">
        <v>12</v>
      </c>
      <c r="BX222">
        <v>-3.4203414341906491E-3</v>
      </c>
      <c r="BY222">
        <v>9</v>
      </c>
      <c r="BZ222">
        <v>-2.5280000000000031</v>
      </c>
      <c r="CA222">
        <v>9</v>
      </c>
      <c r="CB222">
        <v>-2.64</v>
      </c>
      <c r="CC222">
        <v>-2.9200000000000004</v>
      </c>
      <c r="CD222">
        <v>2.7999999999999994</v>
      </c>
      <c r="CE222">
        <v>1.8799999999999997</v>
      </c>
      <c r="CF222">
        <v>-0.40000000000001135</v>
      </c>
      <c r="CG222">
        <v>32.159999999999989</v>
      </c>
      <c r="CH222">
        <v>-19.2</v>
      </c>
      <c r="CI222">
        <v>-4.4799999999999995</v>
      </c>
      <c r="CJ222">
        <v>-8.879999999999999</v>
      </c>
      <c r="CK222">
        <v>3</v>
      </c>
      <c r="CL222">
        <v>10.578200000000001</v>
      </c>
      <c r="CM222">
        <v>6.4175399999999998</v>
      </c>
      <c r="CN222">
        <v>51.359999999999985</v>
      </c>
      <c r="CO222">
        <v>-10.578200000000001</v>
      </c>
      <c r="CP222">
        <v>1.0566500000000001</v>
      </c>
      <c r="CQ222">
        <v>13.629000000000001</v>
      </c>
      <c r="CR222">
        <v>53.870000000000005</v>
      </c>
      <c r="CS222">
        <v>-7.907</v>
      </c>
      <c r="CT222">
        <v>-29.42</v>
      </c>
      <c r="CU222">
        <v>0.25000000000000044</v>
      </c>
      <c r="CV222">
        <v>-0.43999999999999995</v>
      </c>
      <c r="CW222">
        <v>0.8408374999999999</v>
      </c>
      <c r="CX222">
        <v>2.0863999999999998</v>
      </c>
      <c r="CY222" t="s">
        <v>296</v>
      </c>
      <c r="CZ222">
        <v>5</v>
      </c>
      <c r="DA222">
        <v>-0.98479999999999923</v>
      </c>
      <c r="DB222">
        <v>31</v>
      </c>
      <c r="DC222">
        <v>29</v>
      </c>
      <c r="DD222">
        <v>31</v>
      </c>
      <c r="DE222">
        <v>3.4079999999999999</v>
      </c>
      <c r="DF222">
        <v>27</v>
      </c>
      <c r="DG222">
        <v>26.68</v>
      </c>
      <c r="DH222">
        <v>0.44000000000000006</v>
      </c>
      <c r="DI222">
        <v>15</v>
      </c>
      <c r="DJ222">
        <v>16</v>
      </c>
      <c r="DK222">
        <v>24</v>
      </c>
      <c r="DL222">
        <v>-1.8599999999999999</v>
      </c>
      <c r="DM222">
        <v>8</v>
      </c>
      <c r="DN222">
        <v>-4.08</v>
      </c>
      <c r="DO222">
        <v>-1.2</v>
      </c>
      <c r="DP222">
        <v>4</v>
      </c>
      <c r="DQ222">
        <v>4.5</v>
      </c>
      <c r="DR222">
        <v>4</v>
      </c>
      <c r="DS222">
        <v>5.0719999999999983</v>
      </c>
      <c r="DT222">
        <v>5</v>
      </c>
      <c r="DU222">
        <v>22.159999999999997</v>
      </c>
      <c r="DV222">
        <v>1.1199999999999999</v>
      </c>
      <c r="DW222">
        <v>13</v>
      </c>
      <c r="DX222">
        <v>13.5</v>
      </c>
      <c r="DY222">
        <v>14</v>
      </c>
      <c r="DZ222">
        <v>-9.657</v>
      </c>
      <c r="EA222">
        <v>13</v>
      </c>
      <c r="EB222">
        <v>-41.14</v>
      </c>
      <c r="EC222">
        <v>-3.5799999999999996</v>
      </c>
      <c r="ED222">
        <v>24</v>
      </c>
      <c r="EE222">
        <v>13.5</v>
      </c>
      <c r="EF222">
        <v>16</v>
      </c>
      <c r="EG222">
        <v>0.89600000000000013</v>
      </c>
      <c r="EH222">
        <v>11</v>
      </c>
      <c r="EI222">
        <v>5.8000000000000016</v>
      </c>
      <c r="EJ222">
        <v>-0.6399999999999999</v>
      </c>
      <c r="EK222">
        <v>2</v>
      </c>
      <c r="EL222">
        <v>3.5</v>
      </c>
      <c r="EM222">
        <v>4</v>
      </c>
      <c r="EN222">
        <v>-1.9960000000000009</v>
      </c>
      <c r="EO222">
        <v>3</v>
      </c>
      <c r="EP222">
        <v>-24.6</v>
      </c>
      <c r="EQ222">
        <v>15.039999999999997</v>
      </c>
      <c r="ER222">
        <v>17</v>
      </c>
      <c r="ES222">
        <v>15.5</v>
      </c>
      <c r="ET222">
        <v>15</v>
      </c>
      <c r="EU222">
        <v>-2.6719999999999997</v>
      </c>
      <c r="EV222">
        <v>16</v>
      </c>
      <c r="EW222">
        <v>-8.3199999999999985</v>
      </c>
      <c r="EX222">
        <v>8.0000000000000154E-2</v>
      </c>
      <c r="EY222">
        <v>2</v>
      </c>
      <c r="EZ222">
        <v>3</v>
      </c>
      <c r="FA222">
        <v>2</v>
      </c>
      <c r="FB222">
        <v>2.5599999999999996</v>
      </c>
      <c r="FC222">
        <v>4</v>
      </c>
      <c r="FD222">
        <v>0.76</v>
      </c>
      <c r="FE222">
        <v>5.16</v>
      </c>
      <c r="FF222">
        <v>29</v>
      </c>
      <c r="FG222">
        <v>24</v>
      </c>
      <c r="FH222">
        <v>11</v>
      </c>
      <c r="FI222">
        <v>-4.2820537678745038E-2</v>
      </c>
      <c r="FJ222">
        <v>27</v>
      </c>
      <c r="FK222">
        <v>6.5839455554950761E-3</v>
      </c>
      <c r="FL222">
        <v>31</v>
      </c>
      <c r="FM222">
        <v>-16.175999999999998</v>
      </c>
      <c r="FN222">
        <v>27</v>
      </c>
      <c r="FO222">
        <v>2.96</v>
      </c>
      <c r="FP222">
        <v>-3.6399999999999992</v>
      </c>
      <c r="FQ222">
        <v>2.4799999999999995</v>
      </c>
      <c r="FR222">
        <v>1.2400000000000002</v>
      </c>
      <c r="FS222">
        <v>-0.52000000000000168</v>
      </c>
      <c r="FT222">
        <v>-1.6399999999999995</v>
      </c>
      <c r="FU222">
        <v>1.92</v>
      </c>
      <c r="FV222">
        <v>15.160000000000002</v>
      </c>
      <c r="FW222">
        <v>-2.5199999999999987</v>
      </c>
      <c r="FX222">
        <v>25</v>
      </c>
      <c r="FY222">
        <v>-4.6399999999999988</v>
      </c>
      <c r="FZ222">
        <v>-2.6799999999999997</v>
      </c>
      <c r="GA222">
        <v>23</v>
      </c>
      <c r="GB222">
        <v>-2.5327999999999995</v>
      </c>
      <c r="GC222">
        <v>-2.24316</v>
      </c>
      <c r="GD222">
        <v>-27.52</v>
      </c>
      <c r="GE222">
        <v>2.5327999999999991</v>
      </c>
      <c r="GF222">
        <v>-0.40472500000000011</v>
      </c>
      <c r="GG222">
        <v>-3.6890000000000018</v>
      </c>
      <c r="GH222">
        <v>-13.180000000000003</v>
      </c>
      <c r="GI222">
        <v>1.548</v>
      </c>
      <c r="GJ222">
        <v>22.6</v>
      </c>
      <c r="GK222">
        <v>-3.0199999999999996</v>
      </c>
      <c r="GL222">
        <v>-0.7599999999999999</v>
      </c>
    </row>
    <row r="223" spans="1:194" x14ac:dyDescent="0.2">
      <c r="A223" s="39">
        <v>43765</v>
      </c>
      <c r="B223" s="22" t="s">
        <v>248</v>
      </c>
      <c r="C223" s="41" t="s">
        <v>300</v>
      </c>
      <c r="D223" s="22" t="s">
        <v>288</v>
      </c>
      <c r="E223" s="3">
        <v>1.4</v>
      </c>
      <c r="F223" s="30">
        <v>1.7</v>
      </c>
      <c r="G223" s="3">
        <v>9.1999999999999993</v>
      </c>
      <c r="H223">
        <v>7.1</v>
      </c>
      <c r="I223">
        <v>-5</v>
      </c>
      <c r="J223">
        <v>48</v>
      </c>
      <c r="L223" s="4" t="s">
        <v>300</v>
      </c>
      <c r="M223" s="3">
        <v>5</v>
      </c>
      <c r="N223" s="3">
        <v>5.0407999999999991</v>
      </c>
      <c r="O223" s="3">
        <v>22</v>
      </c>
      <c r="P223" s="3">
        <v>21.5</v>
      </c>
      <c r="Q223" s="3">
        <v>14</v>
      </c>
      <c r="R223" s="3">
        <v>5.3080000000000016</v>
      </c>
      <c r="S223" s="3">
        <v>29</v>
      </c>
      <c r="T223" s="3">
        <v>-12.919999999999998</v>
      </c>
      <c r="U223" s="3">
        <v>1.3799999999999997</v>
      </c>
      <c r="V223" s="3">
        <v>2</v>
      </c>
      <c r="W223" s="3">
        <v>4</v>
      </c>
      <c r="X223" s="3">
        <v>4</v>
      </c>
      <c r="Y223" s="3">
        <v>3.504</v>
      </c>
      <c r="Z223" s="3">
        <v>4</v>
      </c>
      <c r="AA223">
        <v>14.52</v>
      </c>
      <c r="AB223">
        <v>0.76000000000000012</v>
      </c>
      <c r="AC223">
        <v>3</v>
      </c>
      <c r="AD223">
        <v>3.5</v>
      </c>
      <c r="AE223">
        <v>5</v>
      </c>
      <c r="AF223">
        <v>0.30799999999999877</v>
      </c>
      <c r="AG223">
        <v>2</v>
      </c>
      <c r="AH223">
        <v>22.16</v>
      </c>
      <c r="AI223">
        <v>-0.8</v>
      </c>
      <c r="AJ223">
        <v>16</v>
      </c>
      <c r="AK223">
        <v>17</v>
      </c>
      <c r="AL223">
        <v>17</v>
      </c>
      <c r="AM223">
        <v>-1.1640000000000008</v>
      </c>
      <c r="AN223">
        <v>17</v>
      </c>
      <c r="AO223">
        <v>-2.919999999999999</v>
      </c>
      <c r="AP223">
        <v>8.0000000000000071E-2</v>
      </c>
      <c r="AQ223">
        <v>20</v>
      </c>
      <c r="AR223">
        <v>19</v>
      </c>
      <c r="AS223">
        <v>18</v>
      </c>
      <c r="AT223">
        <v>2.0159999999999996</v>
      </c>
      <c r="AU223">
        <v>20</v>
      </c>
      <c r="AV223">
        <v>6.08</v>
      </c>
      <c r="AW223">
        <v>-0.36000000000000015</v>
      </c>
      <c r="AX223">
        <v>18</v>
      </c>
      <c r="AY223">
        <v>17</v>
      </c>
      <c r="AZ223">
        <v>12</v>
      </c>
      <c r="BA223">
        <v>3.2119999999999989</v>
      </c>
      <c r="BB223">
        <v>22</v>
      </c>
      <c r="BC223">
        <v>16.120000000000005</v>
      </c>
      <c r="BD223">
        <v>-0.11999999999999993</v>
      </c>
      <c r="BE223">
        <v>27</v>
      </c>
      <c r="BF223">
        <v>27</v>
      </c>
      <c r="BG223">
        <v>26</v>
      </c>
      <c r="BH223">
        <v>0.49599999999999989</v>
      </c>
      <c r="BI223">
        <v>28</v>
      </c>
      <c r="BJ223">
        <v>8.5599999999999987</v>
      </c>
      <c r="BK223">
        <v>-0.23999999999999985</v>
      </c>
      <c r="BL223">
        <v>31</v>
      </c>
      <c r="BM223">
        <v>31</v>
      </c>
      <c r="BN223">
        <v>30</v>
      </c>
      <c r="BO223">
        <v>1.56</v>
      </c>
      <c r="BP223">
        <v>32</v>
      </c>
      <c r="BQ223">
        <v>-8.0000000000000029E-2</v>
      </c>
      <c r="BR223">
        <v>-1.1199999999999999</v>
      </c>
      <c r="BS223">
        <v>16</v>
      </c>
      <c r="BT223">
        <v>14.5</v>
      </c>
      <c r="BU223">
        <v>17</v>
      </c>
      <c r="BV223">
        <v>-3.3968888077655635E-3</v>
      </c>
      <c r="BW223">
        <v>14</v>
      </c>
      <c r="BX223">
        <v>-3.3662240210221447E-2</v>
      </c>
      <c r="BY223">
        <v>3</v>
      </c>
      <c r="BZ223">
        <v>13.067999999999998</v>
      </c>
      <c r="CA223">
        <v>24</v>
      </c>
      <c r="CB223">
        <v>-5.08</v>
      </c>
      <c r="CC223">
        <v>-0.6</v>
      </c>
      <c r="CD223">
        <v>7.1599999999999993</v>
      </c>
      <c r="CE223">
        <v>-1.1199999999999999</v>
      </c>
      <c r="CF223">
        <v>55.760000000000005</v>
      </c>
      <c r="CG223">
        <v>63.199999999999989</v>
      </c>
      <c r="CH223">
        <v>-5.1199999999999992</v>
      </c>
      <c r="CI223">
        <v>-0.52000000000000013</v>
      </c>
      <c r="CJ223">
        <v>-1.8</v>
      </c>
      <c r="CK223">
        <v>25</v>
      </c>
      <c r="CL223">
        <v>-3.7712000000000026</v>
      </c>
      <c r="CM223">
        <v>-3.0666400000000014</v>
      </c>
      <c r="CN223">
        <v>68.319999999999993</v>
      </c>
      <c r="CO223">
        <v>3.7712000000000021</v>
      </c>
      <c r="CP223">
        <v>2.1335999999999995</v>
      </c>
      <c r="CQ223">
        <v>1.1599999999999975</v>
      </c>
      <c r="CR223">
        <v>25.32</v>
      </c>
      <c r="CS223">
        <v>8.8120000000000012</v>
      </c>
      <c r="CT223">
        <v>1.6000000000000014</v>
      </c>
      <c r="CU223">
        <v>-1.3199999999999998</v>
      </c>
      <c r="CV223">
        <v>2.1399999999999997</v>
      </c>
      <c r="CW223">
        <v>0.28010208333333331</v>
      </c>
      <c r="CX223">
        <v>0.73383750000000003</v>
      </c>
      <c r="CY223" t="s">
        <v>288</v>
      </c>
      <c r="CZ223">
        <v>7</v>
      </c>
      <c r="DA223">
        <v>-1.7703999999999998</v>
      </c>
      <c r="DB223">
        <v>3</v>
      </c>
      <c r="DC223">
        <v>3</v>
      </c>
      <c r="DD223">
        <v>3</v>
      </c>
      <c r="DE223">
        <v>7.0639999999999983</v>
      </c>
      <c r="DF223">
        <v>3</v>
      </c>
      <c r="DG223">
        <v>40</v>
      </c>
      <c r="DH223">
        <v>2.0000000000000018E-2</v>
      </c>
      <c r="DI223">
        <v>20</v>
      </c>
      <c r="DJ223">
        <v>17.5</v>
      </c>
      <c r="DK223">
        <v>5</v>
      </c>
      <c r="DL223">
        <v>3.2599999999999993</v>
      </c>
      <c r="DM223">
        <v>30</v>
      </c>
      <c r="DN223">
        <v>2.7600000000000011</v>
      </c>
      <c r="DO223">
        <v>0.88000000000000012</v>
      </c>
      <c r="DP223">
        <v>32</v>
      </c>
      <c r="DQ223">
        <v>32</v>
      </c>
      <c r="DR223">
        <v>32</v>
      </c>
      <c r="DS223">
        <v>-0.28800000000000042</v>
      </c>
      <c r="DT223">
        <v>32</v>
      </c>
      <c r="DU223">
        <v>-3.9466666666666663</v>
      </c>
      <c r="DV223">
        <v>0.72</v>
      </c>
      <c r="DW223">
        <v>24</v>
      </c>
      <c r="DX223">
        <v>25</v>
      </c>
      <c r="DY223">
        <v>23</v>
      </c>
      <c r="DZ223">
        <v>-5.6159999999999997</v>
      </c>
      <c r="EA223">
        <v>27</v>
      </c>
      <c r="EB223">
        <v>-12.213333333333333</v>
      </c>
      <c r="EC223">
        <v>-0.43999999999999984</v>
      </c>
      <c r="ED223">
        <v>13</v>
      </c>
      <c r="EE223">
        <v>12.5</v>
      </c>
      <c r="EF223">
        <v>12</v>
      </c>
      <c r="EG223">
        <v>-1.5306666666666664</v>
      </c>
      <c r="EH223">
        <v>13</v>
      </c>
      <c r="EI223">
        <v>-6.7866666666666644</v>
      </c>
      <c r="EJ223">
        <v>5.3333333333333233E-2</v>
      </c>
      <c r="EK223">
        <v>12</v>
      </c>
      <c r="EL223">
        <v>12</v>
      </c>
      <c r="EM223">
        <v>8</v>
      </c>
      <c r="EN223">
        <v>1.584000000000001</v>
      </c>
      <c r="EO223">
        <v>16</v>
      </c>
      <c r="EP223">
        <v>-0.15999999999999659</v>
      </c>
      <c r="EQ223">
        <v>2.2800000000000002</v>
      </c>
      <c r="ER223">
        <v>2</v>
      </c>
      <c r="ES223">
        <v>2</v>
      </c>
      <c r="ET223">
        <v>2</v>
      </c>
      <c r="EU223">
        <v>-0.90799999999999947</v>
      </c>
      <c r="EV223">
        <v>2</v>
      </c>
      <c r="EW223">
        <v>-2.7599999999999967</v>
      </c>
      <c r="EX223">
        <v>0.56000000000000016</v>
      </c>
      <c r="EY223">
        <v>20</v>
      </c>
      <c r="EZ223">
        <v>21</v>
      </c>
      <c r="FA223">
        <v>25</v>
      </c>
      <c r="FB223">
        <v>-1.5999999999999996</v>
      </c>
      <c r="FC223">
        <v>17</v>
      </c>
      <c r="FD223">
        <v>-7.9999999999999932E-2</v>
      </c>
      <c r="FE223">
        <v>-2.4</v>
      </c>
      <c r="FF223">
        <v>2</v>
      </c>
      <c r="FG223">
        <v>7.25</v>
      </c>
      <c r="FH223">
        <v>4</v>
      </c>
      <c r="FI223">
        <v>6.3573982616987323E-3</v>
      </c>
      <c r="FJ223">
        <v>13</v>
      </c>
      <c r="FK223">
        <v>4.7370009484787104E-3</v>
      </c>
      <c r="FL223">
        <v>3</v>
      </c>
      <c r="FM223">
        <v>-7.892000000000003</v>
      </c>
      <c r="FN223">
        <v>9</v>
      </c>
      <c r="FO223">
        <v>2.4799999999999995</v>
      </c>
      <c r="FP223">
        <v>3.0399999999999983</v>
      </c>
      <c r="FQ223">
        <v>5.8</v>
      </c>
      <c r="FR223">
        <v>-0.24000000000000021</v>
      </c>
      <c r="FS223">
        <v>9.1199999999999992</v>
      </c>
      <c r="FT223">
        <v>-0.23999999999999985</v>
      </c>
      <c r="FU223">
        <v>-1.48</v>
      </c>
      <c r="FV223">
        <v>23.839999999999996</v>
      </c>
      <c r="FW223">
        <v>-14.960000000000008</v>
      </c>
      <c r="FX223">
        <v>43.2</v>
      </c>
      <c r="FY223">
        <v>0.91999999999999993</v>
      </c>
      <c r="FZ223">
        <v>-5.32</v>
      </c>
      <c r="GA223">
        <v>32</v>
      </c>
      <c r="GB223">
        <v>-12.094399999999998</v>
      </c>
      <c r="GC223">
        <v>-7.1846133333333322</v>
      </c>
      <c r="GD223">
        <v>-58.160000000000011</v>
      </c>
      <c r="GE223">
        <v>12.094399999999998</v>
      </c>
      <c r="GF223">
        <v>-0.17363333333333347</v>
      </c>
      <c r="GG223">
        <v>-7.4346666666666668</v>
      </c>
      <c r="GH223">
        <v>-22.946666666666665</v>
      </c>
      <c r="GI223">
        <v>10.323999999999998</v>
      </c>
      <c r="GJ223">
        <v>42.76</v>
      </c>
      <c r="GK223">
        <v>0.89333333333333353</v>
      </c>
      <c r="GL223">
        <v>0.90000000000000013</v>
      </c>
    </row>
    <row r="224" spans="1:194" x14ac:dyDescent="0.2">
      <c r="A224" s="39">
        <v>43765</v>
      </c>
      <c r="B224" s="22" t="s">
        <v>248</v>
      </c>
      <c r="C224" s="41" t="s">
        <v>311</v>
      </c>
      <c r="D224" s="22" t="s">
        <v>303</v>
      </c>
      <c r="E224">
        <v>24.9</v>
      </c>
      <c r="F224">
        <v>5.2</v>
      </c>
      <c r="G224">
        <v>5.6</v>
      </c>
      <c r="H224">
        <f>23.8+3.1</f>
        <v>26.900000000000002</v>
      </c>
      <c r="I224">
        <v>-5</v>
      </c>
      <c r="J224">
        <v>52</v>
      </c>
      <c r="K224" t="s">
        <v>109</v>
      </c>
      <c r="L224" s="1" t="s">
        <v>311</v>
      </c>
      <c r="M224">
        <v>1</v>
      </c>
      <c r="N224">
        <v>7.2992000000000008</v>
      </c>
      <c r="O224">
        <v>22</v>
      </c>
      <c r="P224">
        <v>21.5</v>
      </c>
      <c r="Q224">
        <v>30</v>
      </c>
      <c r="R224">
        <v>-6.2640000000000002</v>
      </c>
      <c r="S224">
        <v>13</v>
      </c>
      <c r="T224">
        <v>-11.64</v>
      </c>
      <c r="U224">
        <v>-1.8800000000000001</v>
      </c>
      <c r="V224">
        <v>8</v>
      </c>
      <c r="W224">
        <v>9.5</v>
      </c>
      <c r="X224">
        <v>3</v>
      </c>
      <c r="Y224">
        <v>1.3360000000000003</v>
      </c>
      <c r="Z224">
        <v>16</v>
      </c>
      <c r="AA224">
        <v>10.719999999999997</v>
      </c>
      <c r="AB224">
        <v>-0.20000000000000004</v>
      </c>
      <c r="AC224">
        <v>2</v>
      </c>
      <c r="AD224">
        <v>2.5</v>
      </c>
      <c r="AE224">
        <v>1</v>
      </c>
      <c r="AF224">
        <v>1.5280000000000005</v>
      </c>
      <c r="AG224">
        <v>4</v>
      </c>
      <c r="AH224">
        <v>8.16</v>
      </c>
      <c r="AI224">
        <v>1.4400000000000002</v>
      </c>
      <c r="AJ224">
        <v>15</v>
      </c>
      <c r="AK224">
        <v>15</v>
      </c>
      <c r="AL224">
        <v>16</v>
      </c>
      <c r="AM224">
        <v>6.2720000000000002</v>
      </c>
      <c r="AN224">
        <v>14</v>
      </c>
      <c r="AO224">
        <v>26.24</v>
      </c>
      <c r="AP224">
        <v>2.96</v>
      </c>
      <c r="AQ224">
        <v>21</v>
      </c>
      <c r="AR224">
        <v>21</v>
      </c>
      <c r="AS224">
        <v>21</v>
      </c>
      <c r="AT224">
        <v>3.2039999999999997</v>
      </c>
      <c r="AU224">
        <v>21</v>
      </c>
      <c r="AV224">
        <v>18.96</v>
      </c>
      <c r="AW224">
        <v>1.1199999999999999</v>
      </c>
      <c r="AX224">
        <v>17</v>
      </c>
      <c r="AY224">
        <v>16.5</v>
      </c>
      <c r="AZ224">
        <v>21</v>
      </c>
      <c r="BA224">
        <v>1.2</v>
      </c>
      <c r="BB224">
        <v>12</v>
      </c>
      <c r="BC224">
        <v>18.399999999999999</v>
      </c>
      <c r="BD224">
        <v>2</v>
      </c>
      <c r="BE224">
        <v>11</v>
      </c>
      <c r="BF224">
        <v>12</v>
      </c>
      <c r="BG224">
        <v>11</v>
      </c>
      <c r="BH224">
        <v>5.0440000000000014</v>
      </c>
      <c r="BI224">
        <v>13</v>
      </c>
      <c r="BJ224">
        <v>12.959999999999999</v>
      </c>
      <c r="BK224">
        <v>-0.12000000000000011</v>
      </c>
      <c r="BL224">
        <v>22</v>
      </c>
      <c r="BM224">
        <v>20.5</v>
      </c>
      <c r="BN224">
        <v>22</v>
      </c>
      <c r="BO224">
        <v>-0.47999999999999987</v>
      </c>
      <c r="BP224">
        <v>19</v>
      </c>
      <c r="BQ224">
        <v>3.9999999999999904E-2</v>
      </c>
      <c r="BR224">
        <v>0.51999999999999991</v>
      </c>
      <c r="BS224">
        <v>20</v>
      </c>
      <c r="BT224">
        <v>17.5</v>
      </c>
      <c r="BU224">
        <v>1</v>
      </c>
      <c r="BV224">
        <v>7.7494903344480113E-3</v>
      </c>
      <c r="BW224">
        <v>24</v>
      </c>
      <c r="BX224">
        <v>-1.0054165258744795E-2</v>
      </c>
      <c r="BY224">
        <v>15</v>
      </c>
      <c r="BZ224">
        <v>1.4079999999999984</v>
      </c>
      <c r="CA224">
        <v>30</v>
      </c>
      <c r="CB224">
        <v>-0.92000000000000015</v>
      </c>
      <c r="CC224">
        <v>0.6</v>
      </c>
      <c r="CD224">
        <v>3.28</v>
      </c>
      <c r="CE224">
        <v>0.28000000000000008</v>
      </c>
      <c r="CF224">
        <v>46.080000000000005</v>
      </c>
      <c r="CG224">
        <v>44.680000000000007</v>
      </c>
      <c r="CH224">
        <v>-8.1199999999999992</v>
      </c>
      <c r="CI224">
        <v>-2.9200000000000004</v>
      </c>
      <c r="CJ224">
        <v>12.440000000000001</v>
      </c>
      <c r="CK224">
        <v>1</v>
      </c>
      <c r="CL224">
        <v>12.227200000000002</v>
      </c>
      <c r="CM224">
        <v>7.1334400000000002</v>
      </c>
      <c r="CN224">
        <v>52.800000000000004</v>
      </c>
      <c r="CO224">
        <v>-12.2272</v>
      </c>
      <c r="CP224">
        <v>2.2424000000000004</v>
      </c>
      <c r="CQ224">
        <v>11.004000000000001</v>
      </c>
      <c r="CR224">
        <v>53.36</v>
      </c>
      <c r="CS224">
        <v>-4.9279999999999999</v>
      </c>
      <c r="CT224">
        <v>-0.92000000000000348</v>
      </c>
      <c r="CU224">
        <v>5.4</v>
      </c>
      <c r="CV224">
        <v>-2.08</v>
      </c>
      <c r="CW224">
        <v>0.46405000000000007</v>
      </c>
      <c r="CX224">
        <v>0.65090000000000003</v>
      </c>
      <c r="CY224" t="s">
        <v>303</v>
      </c>
      <c r="CZ224">
        <v>13</v>
      </c>
      <c r="DA224">
        <v>3.3936000000000006</v>
      </c>
      <c r="DB224">
        <v>13</v>
      </c>
      <c r="DC224">
        <v>12</v>
      </c>
      <c r="DD224">
        <v>10</v>
      </c>
      <c r="DE224">
        <v>-2.9959999999999996</v>
      </c>
      <c r="DF224">
        <v>14</v>
      </c>
      <c r="DG224">
        <v>-4.32</v>
      </c>
      <c r="DH224">
        <v>-1.1199999999999999</v>
      </c>
      <c r="DI224">
        <v>6</v>
      </c>
      <c r="DJ224">
        <v>8.5</v>
      </c>
      <c r="DK224">
        <v>6</v>
      </c>
      <c r="DL224">
        <v>3.3760000000000003</v>
      </c>
      <c r="DM224">
        <v>11</v>
      </c>
      <c r="DN224">
        <v>-8.6</v>
      </c>
      <c r="DO224">
        <v>1.3599999999999999</v>
      </c>
      <c r="DP224">
        <v>18</v>
      </c>
      <c r="DQ224">
        <v>25</v>
      </c>
      <c r="DR224">
        <v>25</v>
      </c>
      <c r="DS224">
        <v>5.4079999999999995</v>
      </c>
      <c r="DT224">
        <v>25</v>
      </c>
      <c r="DU224">
        <v>19.600000000000001</v>
      </c>
      <c r="DV224">
        <v>-0.76</v>
      </c>
      <c r="DW224">
        <v>9</v>
      </c>
      <c r="DX224">
        <v>10</v>
      </c>
      <c r="DY224">
        <v>11</v>
      </c>
      <c r="DZ224">
        <v>-7.7560000000000002</v>
      </c>
      <c r="EA224">
        <v>9</v>
      </c>
      <c r="EB224">
        <v>-34.92</v>
      </c>
      <c r="EC224">
        <v>-1.1999999999999997</v>
      </c>
      <c r="ED224">
        <v>25</v>
      </c>
      <c r="EE224">
        <v>32</v>
      </c>
      <c r="EF224">
        <v>32</v>
      </c>
      <c r="EG224">
        <v>-1.504</v>
      </c>
      <c r="EH224">
        <v>32</v>
      </c>
      <c r="EI224">
        <v>-3.7199999999999998</v>
      </c>
      <c r="EJ224">
        <v>8.0000000000000029E-2</v>
      </c>
      <c r="EK224">
        <v>31</v>
      </c>
      <c r="EL224">
        <v>31</v>
      </c>
      <c r="EM224">
        <v>31</v>
      </c>
      <c r="EN224">
        <v>2.1719999999999997</v>
      </c>
      <c r="EO224">
        <v>31</v>
      </c>
      <c r="EP224">
        <v>10.52</v>
      </c>
      <c r="EQ224">
        <v>0.31999999999999995</v>
      </c>
      <c r="ER224">
        <v>22</v>
      </c>
      <c r="ES224">
        <v>23.5</v>
      </c>
      <c r="ET224">
        <v>26</v>
      </c>
      <c r="EU224">
        <v>3.3359999999999999</v>
      </c>
      <c r="EV224">
        <v>21</v>
      </c>
      <c r="EW224">
        <v>1.4400000000000013</v>
      </c>
      <c r="EX224">
        <v>1.0000000000000004</v>
      </c>
      <c r="EY224">
        <v>27</v>
      </c>
      <c r="EZ224">
        <v>25.5</v>
      </c>
      <c r="FA224">
        <v>22</v>
      </c>
      <c r="FB224">
        <v>-1.0400000000000003</v>
      </c>
      <c r="FC224">
        <v>29</v>
      </c>
      <c r="FD224">
        <v>-1</v>
      </c>
      <c r="FE224">
        <v>-3.5200000000000005</v>
      </c>
      <c r="FF224">
        <v>10</v>
      </c>
      <c r="FG224">
        <v>13.25</v>
      </c>
      <c r="FH224">
        <v>12</v>
      </c>
      <c r="FI224">
        <v>-2.2692274928291033E-2</v>
      </c>
      <c r="FJ224">
        <v>11</v>
      </c>
      <c r="FK224">
        <v>-6.5543210291941975E-3</v>
      </c>
      <c r="FL224">
        <v>12</v>
      </c>
      <c r="FM224">
        <v>4.1400000000000006</v>
      </c>
      <c r="FN224">
        <v>18</v>
      </c>
      <c r="FO224">
        <v>-1.1999999999999997</v>
      </c>
      <c r="FP224">
        <v>-1.3200000000000016</v>
      </c>
      <c r="FQ224">
        <v>-2.2000000000000002</v>
      </c>
      <c r="FR224">
        <v>1.56</v>
      </c>
      <c r="FS224">
        <v>-2.72</v>
      </c>
      <c r="FT224">
        <v>3.84</v>
      </c>
      <c r="FU224">
        <v>-1</v>
      </c>
      <c r="FV224">
        <v>-9.4800000000000182</v>
      </c>
      <c r="FW224">
        <v>-1.9600000000000022</v>
      </c>
      <c r="FX224">
        <v>-9.1999999999999993</v>
      </c>
      <c r="FY224">
        <v>-2.6799999999999997</v>
      </c>
      <c r="FZ224">
        <v>4.3600000000000003</v>
      </c>
      <c r="GA224">
        <v>9</v>
      </c>
      <c r="GB224">
        <v>3.0135999999999994</v>
      </c>
      <c r="GC224">
        <v>0.38551999999999964</v>
      </c>
      <c r="GD224">
        <v>7.2399999999999967</v>
      </c>
      <c r="GE224">
        <v>-3.0135999999999998</v>
      </c>
      <c r="GF224">
        <v>0.27720000000000011</v>
      </c>
      <c r="GG224">
        <v>-3.8520000000000008</v>
      </c>
      <c r="GH224">
        <v>-19.04</v>
      </c>
      <c r="GI224">
        <v>0.38000000000000078</v>
      </c>
      <c r="GJ224">
        <v>-12.92</v>
      </c>
      <c r="GK224">
        <v>-0.87999999999999923</v>
      </c>
      <c r="GL224">
        <v>0.24</v>
      </c>
    </row>
    <row r="225" spans="1:194" x14ac:dyDescent="0.2">
      <c r="A225" s="39">
        <v>43765</v>
      </c>
      <c r="B225" s="22" t="s">
        <v>248</v>
      </c>
      <c r="C225" s="41" t="s">
        <v>289</v>
      </c>
      <c r="D225" s="22" t="s">
        <v>278</v>
      </c>
      <c r="E225">
        <v>7.4</v>
      </c>
      <c r="F225">
        <v>1.6</v>
      </c>
      <c r="G225">
        <v>1.7</v>
      </c>
      <c r="H225">
        <v>15.7</v>
      </c>
      <c r="I225">
        <v>-6</v>
      </c>
      <c r="J225">
        <v>41</v>
      </c>
      <c r="L225" s="1" t="s">
        <v>289</v>
      </c>
      <c r="M225">
        <v>21</v>
      </c>
      <c r="N225">
        <v>-1.6384000000000003</v>
      </c>
      <c r="O225">
        <v>11</v>
      </c>
      <c r="P225">
        <v>11.5</v>
      </c>
      <c r="Q225">
        <v>19</v>
      </c>
      <c r="R225">
        <v>-3.7559999999999989</v>
      </c>
      <c r="S225">
        <v>4</v>
      </c>
      <c r="T225">
        <v>5.8000000000000016</v>
      </c>
      <c r="U225">
        <v>-1.56</v>
      </c>
      <c r="V225">
        <v>23</v>
      </c>
      <c r="W225">
        <v>20.5</v>
      </c>
      <c r="X225">
        <v>18</v>
      </c>
      <c r="Y225">
        <v>-1.6840000000000004</v>
      </c>
      <c r="Z225">
        <v>23</v>
      </c>
      <c r="AA225">
        <v>-19.560000000000002</v>
      </c>
      <c r="AB225">
        <v>0.68</v>
      </c>
      <c r="AC225">
        <v>18</v>
      </c>
      <c r="AD225">
        <v>18</v>
      </c>
      <c r="AE225">
        <v>21</v>
      </c>
      <c r="AF225">
        <v>-3.3640000000000017</v>
      </c>
      <c r="AG225">
        <v>15</v>
      </c>
      <c r="AH225">
        <v>-11.399999999999999</v>
      </c>
      <c r="AI225">
        <v>0</v>
      </c>
      <c r="AJ225">
        <v>18</v>
      </c>
      <c r="AK225">
        <v>18.5</v>
      </c>
      <c r="AL225">
        <v>14</v>
      </c>
      <c r="AM225">
        <v>-0.80799999999999983</v>
      </c>
      <c r="AN225">
        <v>23</v>
      </c>
      <c r="AO225">
        <v>-16.600000000000001</v>
      </c>
      <c r="AP225">
        <v>-2.3199999999999994</v>
      </c>
      <c r="AQ225">
        <v>22</v>
      </c>
      <c r="AR225">
        <v>22</v>
      </c>
      <c r="AS225">
        <v>22</v>
      </c>
      <c r="AT225">
        <v>-1.3279999999999996</v>
      </c>
      <c r="AU225">
        <v>22</v>
      </c>
      <c r="AV225">
        <v>-10.120000000000001</v>
      </c>
      <c r="AW225">
        <v>-0.44000000000000006</v>
      </c>
      <c r="AX225">
        <v>12</v>
      </c>
      <c r="AY225">
        <v>12</v>
      </c>
      <c r="AZ225">
        <v>14</v>
      </c>
      <c r="BA225">
        <v>1.4440000000000004</v>
      </c>
      <c r="BB225">
        <v>10</v>
      </c>
      <c r="BC225">
        <v>0.44000000000000339</v>
      </c>
      <c r="BD225">
        <v>-0.51999999999999957</v>
      </c>
      <c r="BE225">
        <v>7</v>
      </c>
      <c r="BF225">
        <v>6.5</v>
      </c>
      <c r="BG225">
        <v>8</v>
      </c>
      <c r="BH225">
        <v>5.5600000000000005</v>
      </c>
      <c r="BI225">
        <v>5</v>
      </c>
      <c r="BJ225">
        <v>29.72</v>
      </c>
      <c r="BK225">
        <v>2.2000000000000002</v>
      </c>
      <c r="BL225">
        <v>19</v>
      </c>
      <c r="BM225">
        <v>19.5</v>
      </c>
      <c r="BN225">
        <v>24</v>
      </c>
      <c r="BO225">
        <v>0.80000000000000016</v>
      </c>
      <c r="BP225">
        <v>15</v>
      </c>
      <c r="BQ225">
        <v>0.43999999999999984</v>
      </c>
      <c r="BR225">
        <v>-0.60000000000000031</v>
      </c>
      <c r="BS225">
        <v>3</v>
      </c>
      <c r="BT225">
        <v>7.75</v>
      </c>
      <c r="BU225">
        <v>4</v>
      </c>
      <c r="BV225">
        <v>5.9954348099916274E-2</v>
      </c>
      <c r="BW225">
        <v>8</v>
      </c>
      <c r="BX225">
        <v>-1.1966677225321751E-2</v>
      </c>
      <c r="BY225">
        <v>13</v>
      </c>
      <c r="BZ225">
        <v>-4.3080000000000025</v>
      </c>
      <c r="CA225">
        <v>6</v>
      </c>
      <c r="CB225">
        <v>-0.71999999999999975</v>
      </c>
      <c r="CC225">
        <v>0.87999999999999834</v>
      </c>
      <c r="CD225">
        <v>-2.4000000000000008</v>
      </c>
      <c r="CE225">
        <v>-0.79999999999999993</v>
      </c>
      <c r="CF225">
        <v>-21.76</v>
      </c>
      <c r="CG225">
        <v>-16.760000000000009</v>
      </c>
      <c r="CH225">
        <v>-6.919999999999999</v>
      </c>
      <c r="CI225">
        <v>1</v>
      </c>
      <c r="CJ225">
        <v>0.9199999999999996</v>
      </c>
      <c r="CK225">
        <v>13</v>
      </c>
      <c r="CL225">
        <v>3.8015999999999988</v>
      </c>
      <c r="CM225">
        <v>2.4043199999999998</v>
      </c>
      <c r="CN225">
        <v>-9.8400000000000105</v>
      </c>
      <c r="CO225">
        <v>-3.8015999999999992</v>
      </c>
      <c r="CP225">
        <v>-0.77729999999999999</v>
      </c>
      <c r="CQ225">
        <v>-5.5000000000000009</v>
      </c>
      <c r="CR225">
        <v>-38.120000000000005</v>
      </c>
      <c r="CS225">
        <v>-5.4399999999999995</v>
      </c>
      <c r="CT225">
        <v>-13.760000000000002</v>
      </c>
      <c r="CU225">
        <v>-0.55999999999999917</v>
      </c>
      <c r="CV225">
        <v>-0.88</v>
      </c>
      <c r="CW225">
        <v>-1.5876999999999999</v>
      </c>
      <c r="CX225">
        <v>-0.85980000000000012</v>
      </c>
      <c r="CY225" t="s">
        <v>278</v>
      </c>
      <c r="CZ225">
        <v>15</v>
      </c>
      <c r="DA225">
        <v>-8.1808000000000014</v>
      </c>
      <c r="DB225">
        <v>28</v>
      </c>
      <c r="DC225">
        <v>24.5</v>
      </c>
      <c r="DD225">
        <v>25</v>
      </c>
      <c r="DE225">
        <v>-0.96799999999999964</v>
      </c>
      <c r="DF225">
        <v>24</v>
      </c>
      <c r="DG225">
        <v>6.919999999999999</v>
      </c>
      <c r="DH225">
        <v>0.59999999999999987</v>
      </c>
      <c r="DI225">
        <v>28</v>
      </c>
      <c r="DJ225">
        <v>25.5</v>
      </c>
      <c r="DK225">
        <v>28</v>
      </c>
      <c r="DL225">
        <v>-0.43200000000000005</v>
      </c>
      <c r="DM225">
        <v>23</v>
      </c>
      <c r="DN225">
        <v>7.92</v>
      </c>
      <c r="DO225">
        <v>4.0000000000000036E-2</v>
      </c>
      <c r="DP225">
        <v>14</v>
      </c>
      <c r="DQ225">
        <v>8.5</v>
      </c>
      <c r="DR225">
        <v>9</v>
      </c>
      <c r="DS225">
        <v>-4.5</v>
      </c>
      <c r="DT225">
        <v>8</v>
      </c>
      <c r="DU225">
        <v>-22.24</v>
      </c>
      <c r="DV225">
        <v>-2.2399999999999993</v>
      </c>
      <c r="DW225">
        <v>17</v>
      </c>
      <c r="DX225">
        <v>16.5</v>
      </c>
      <c r="DY225">
        <v>14</v>
      </c>
      <c r="DZ225">
        <v>0.58399999999999996</v>
      </c>
      <c r="EA225">
        <v>19</v>
      </c>
      <c r="EB225">
        <v>-0.63999999999999768</v>
      </c>
      <c r="EC225">
        <v>1.24</v>
      </c>
      <c r="ED225">
        <v>15</v>
      </c>
      <c r="EE225">
        <v>7.5</v>
      </c>
      <c r="EF225">
        <v>9</v>
      </c>
      <c r="EG225">
        <v>-2.3079999999999998</v>
      </c>
      <c r="EH225">
        <v>6</v>
      </c>
      <c r="EI225">
        <v>-13.4</v>
      </c>
      <c r="EJ225">
        <v>0.11999999999999997</v>
      </c>
      <c r="EK225">
        <v>30</v>
      </c>
      <c r="EL225">
        <v>28.5</v>
      </c>
      <c r="EM225">
        <v>28</v>
      </c>
      <c r="EN225">
        <v>-4.3879999999999999</v>
      </c>
      <c r="EO225">
        <v>29</v>
      </c>
      <c r="EP225">
        <v>-21.48</v>
      </c>
      <c r="EQ225">
        <v>-1.7999999999999996</v>
      </c>
      <c r="ER225">
        <v>6</v>
      </c>
      <c r="ES225">
        <v>8</v>
      </c>
      <c r="ET225">
        <v>9</v>
      </c>
      <c r="EU225">
        <v>-3.4799999999999995</v>
      </c>
      <c r="EV225">
        <v>7</v>
      </c>
      <c r="EW225">
        <v>-22.4</v>
      </c>
      <c r="EX225">
        <v>-0.24000000000000021</v>
      </c>
      <c r="EY225">
        <v>9</v>
      </c>
      <c r="EZ225">
        <v>9.5</v>
      </c>
      <c r="FA225">
        <v>8</v>
      </c>
      <c r="FB225">
        <v>0.76000000000000012</v>
      </c>
      <c r="FC225">
        <v>11</v>
      </c>
      <c r="FD225">
        <v>0.44000000000000006</v>
      </c>
      <c r="FE225">
        <v>4.08</v>
      </c>
      <c r="FF225">
        <v>12</v>
      </c>
      <c r="FG225">
        <v>14.5</v>
      </c>
      <c r="FH225">
        <v>25</v>
      </c>
      <c r="FI225">
        <v>-9.9861140482495944E-3</v>
      </c>
      <c r="FJ225">
        <v>6</v>
      </c>
      <c r="FK225">
        <v>6.5598232409404709E-3</v>
      </c>
      <c r="FL225">
        <v>10</v>
      </c>
      <c r="FM225">
        <v>1.1999999999999034E-2</v>
      </c>
      <c r="FN225">
        <v>17</v>
      </c>
      <c r="FO225">
        <v>2</v>
      </c>
      <c r="FP225">
        <v>-1.0400000000000005</v>
      </c>
      <c r="FQ225">
        <v>2.5199999999999996</v>
      </c>
      <c r="FR225">
        <v>-1.92</v>
      </c>
      <c r="FS225">
        <v>-0.56000000000000083</v>
      </c>
      <c r="FT225">
        <v>-5.160000000000001</v>
      </c>
      <c r="FU225">
        <v>1.6800000000000002</v>
      </c>
      <c r="FV225">
        <v>-67.240000000000009</v>
      </c>
      <c r="FW225">
        <v>-69</v>
      </c>
      <c r="FX225">
        <v>15.920000000000002</v>
      </c>
      <c r="FY225">
        <v>-2.44</v>
      </c>
      <c r="FZ225">
        <v>-11.719999999999999</v>
      </c>
      <c r="GA225">
        <v>31</v>
      </c>
      <c r="GB225">
        <v>-6.780800000000001</v>
      </c>
      <c r="GC225">
        <v>-2.8769600000000008</v>
      </c>
      <c r="GD225">
        <v>-84.92</v>
      </c>
      <c r="GE225">
        <v>6.7808000000000019</v>
      </c>
      <c r="GF225">
        <v>-2.3155999999999999</v>
      </c>
      <c r="GG225">
        <v>-6.2240000000000002</v>
      </c>
      <c r="GH225">
        <v>-36.279999999999994</v>
      </c>
      <c r="GI225">
        <v>-1.3999999999999997</v>
      </c>
      <c r="GJ225">
        <v>14.84</v>
      </c>
      <c r="GK225">
        <v>-1.1199999999999997</v>
      </c>
      <c r="GL225">
        <v>0.6399999999999999</v>
      </c>
    </row>
    <row r="226" spans="1:194" x14ac:dyDescent="0.2">
      <c r="A226" s="39">
        <v>43765</v>
      </c>
      <c r="B226" s="22" t="s">
        <v>248</v>
      </c>
      <c r="C226" s="41" t="s">
        <v>297</v>
      </c>
      <c r="D226" s="22" t="s">
        <v>298</v>
      </c>
      <c r="E226">
        <v>19.899999999999999</v>
      </c>
      <c r="F226">
        <v>23.3</v>
      </c>
      <c r="G226">
        <v>9.1999999999999993</v>
      </c>
      <c r="H226">
        <v>3.7</v>
      </c>
      <c r="I226">
        <v>-7</v>
      </c>
      <c r="J226">
        <v>39.5</v>
      </c>
      <c r="L226" s="1" t="s">
        <v>297</v>
      </c>
      <c r="M226">
        <v>15</v>
      </c>
      <c r="N226">
        <v>-0.36800000000000066</v>
      </c>
      <c r="O226">
        <v>10</v>
      </c>
      <c r="P226">
        <v>9.5</v>
      </c>
      <c r="Q226">
        <v>3</v>
      </c>
      <c r="R226">
        <v>5.7119999999999997</v>
      </c>
      <c r="S226">
        <v>16</v>
      </c>
      <c r="T226">
        <v>60</v>
      </c>
      <c r="U226">
        <v>0.72000000000000008</v>
      </c>
      <c r="V226">
        <v>28</v>
      </c>
      <c r="W226">
        <v>28.5</v>
      </c>
      <c r="X226">
        <v>26</v>
      </c>
      <c r="Y226">
        <v>-5.6736000000000004</v>
      </c>
      <c r="Z226">
        <v>31</v>
      </c>
      <c r="AA226">
        <v>-11.88</v>
      </c>
      <c r="AB226">
        <v>-2.72</v>
      </c>
      <c r="AC226">
        <v>31</v>
      </c>
      <c r="AD226">
        <v>31.5</v>
      </c>
      <c r="AE226">
        <v>32</v>
      </c>
      <c r="AF226">
        <v>1.6560000000000001</v>
      </c>
      <c r="AG226">
        <v>31</v>
      </c>
      <c r="AH226">
        <v>17.159999999999997</v>
      </c>
      <c r="AI226">
        <v>1.3599999999999999</v>
      </c>
      <c r="AJ226">
        <v>7</v>
      </c>
      <c r="AK226">
        <v>8</v>
      </c>
      <c r="AL226">
        <v>4</v>
      </c>
      <c r="AM226">
        <v>3.944</v>
      </c>
      <c r="AN226">
        <v>12</v>
      </c>
      <c r="AO226">
        <v>20.68</v>
      </c>
      <c r="AP226">
        <v>0.35999999999999976</v>
      </c>
      <c r="AQ226">
        <v>3</v>
      </c>
      <c r="AR226">
        <v>3</v>
      </c>
      <c r="AS226">
        <v>3</v>
      </c>
      <c r="AT226">
        <v>0.57600000000000029</v>
      </c>
      <c r="AU226">
        <v>3</v>
      </c>
      <c r="AV226">
        <v>6.08</v>
      </c>
      <c r="AW226">
        <v>0.76000000000000034</v>
      </c>
      <c r="AX226">
        <v>13</v>
      </c>
      <c r="AY226">
        <v>12.5</v>
      </c>
      <c r="AZ226">
        <v>10</v>
      </c>
      <c r="BA226">
        <v>-3.9639999999999995</v>
      </c>
      <c r="BB226">
        <v>15</v>
      </c>
      <c r="BC226">
        <v>-13.639999999999997</v>
      </c>
      <c r="BD226">
        <v>-1.64</v>
      </c>
      <c r="BE226">
        <v>32</v>
      </c>
      <c r="BF226">
        <v>31</v>
      </c>
      <c r="BG226">
        <v>32</v>
      </c>
      <c r="BH226">
        <v>-2.7440000000000002</v>
      </c>
      <c r="BI226">
        <v>30</v>
      </c>
      <c r="BJ226">
        <v>-21.48</v>
      </c>
      <c r="BK226">
        <v>-1.08</v>
      </c>
      <c r="BL226">
        <v>27</v>
      </c>
      <c r="BM226">
        <v>27</v>
      </c>
      <c r="BN226">
        <v>27</v>
      </c>
      <c r="BO226">
        <v>2.3200000000000003</v>
      </c>
      <c r="BP226">
        <v>27</v>
      </c>
      <c r="BQ226">
        <v>0.72</v>
      </c>
      <c r="BR226">
        <v>0.15999999999999998</v>
      </c>
      <c r="BS226">
        <v>7</v>
      </c>
      <c r="BT226">
        <v>11.25</v>
      </c>
      <c r="BU226">
        <v>7</v>
      </c>
      <c r="BV226">
        <v>2.9196602007746375E-2</v>
      </c>
      <c r="BW226">
        <v>17</v>
      </c>
      <c r="BX226">
        <v>-4.4360530813069357E-3</v>
      </c>
      <c r="BY226">
        <v>18</v>
      </c>
      <c r="BZ226">
        <v>-12.839999999999998</v>
      </c>
      <c r="CA226">
        <v>3</v>
      </c>
      <c r="CB226">
        <v>-1.56</v>
      </c>
      <c r="CC226">
        <v>2.12</v>
      </c>
      <c r="CD226">
        <v>-0.11999999999999958</v>
      </c>
      <c r="CE226">
        <v>0.27999999999999992</v>
      </c>
      <c r="CF226">
        <v>39.959999999999994</v>
      </c>
      <c r="CG226">
        <v>-3.3999999999999941</v>
      </c>
      <c r="CH226">
        <v>42.68</v>
      </c>
      <c r="CI226">
        <v>2.48</v>
      </c>
      <c r="CJ226">
        <v>-1.8000000000000003</v>
      </c>
      <c r="CK226">
        <v>18</v>
      </c>
      <c r="CL226">
        <v>-0.40639999999999965</v>
      </c>
      <c r="CM226">
        <v>0.59360000000000024</v>
      </c>
      <c r="CN226">
        <v>-46.079999999999991</v>
      </c>
      <c r="CO226">
        <v>0.40639999999999998</v>
      </c>
      <c r="CP226">
        <v>0.67779999999999996</v>
      </c>
      <c r="CQ226">
        <v>6.1760000000000002</v>
      </c>
      <c r="CR226">
        <v>43.919999999999995</v>
      </c>
      <c r="CS226">
        <v>3.8399999999999324E-2</v>
      </c>
      <c r="CT226">
        <v>48.12</v>
      </c>
      <c r="CU226">
        <v>1.4</v>
      </c>
      <c r="CV226">
        <v>-2</v>
      </c>
      <c r="CW226">
        <v>0.46137499999999976</v>
      </c>
      <c r="CX226">
        <v>0.17029999999999987</v>
      </c>
      <c r="CY226" t="s">
        <v>298</v>
      </c>
      <c r="CZ226">
        <v>9</v>
      </c>
      <c r="DA226">
        <v>-0.54240000000000033</v>
      </c>
      <c r="DB226">
        <v>32</v>
      </c>
      <c r="DC226">
        <v>30.5</v>
      </c>
      <c r="DD226">
        <v>30</v>
      </c>
      <c r="DE226">
        <v>0.99199999999999977</v>
      </c>
      <c r="DF226">
        <v>31</v>
      </c>
      <c r="DG226">
        <v>-17.880000000000003</v>
      </c>
      <c r="DH226">
        <v>-0.52000000000000013</v>
      </c>
      <c r="DI226">
        <v>16</v>
      </c>
      <c r="DJ226">
        <v>16.5</v>
      </c>
      <c r="DK226">
        <v>18</v>
      </c>
      <c r="DL226">
        <v>-0.79999999999999893</v>
      </c>
      <c r="DM226">
        <v>15</v>
      </c>
      <c r="DN226">
        <v>-3.8000000000000016</v>
      </c>
      <c r="DO226">
        <v>0.3199999999999999</v>
      </c>
      <c r="DP226">
        <v>7</v>
      </c>
      <c r="DQ226">
        <v>10.5</v>
      </c>
      <c r="DR226">
        <v>8</v>
      </c>
      <c r="DS226">
        <v>-0.28000000000000247</v>
      </c>
      <c r="DT226">
        <v>13</v>
      </c>
      <c r="DU226">
        <v>-6.5500000000000007</v>
      </c>
      <c r="DV226">
        <v>0.75000000000000044</v>
      </c>
      <c r="DW226">
        <v>5</v>
      </c>
      <c r="DX226">
        <v>5.5</v>
      </c>
      <c r="DY226">
        <v>5</v>
      </c>
      <c r="DZ226">
        <v>1.6819999999999999</v>
      </c>
      <c r="EA226">
        <v>6</v>
      </c>
      <c r="EB226">
        <v>6.12</v>
      </c>
      <c r="EC226">
        <v>-8.0000000000000071E-2</v>
      </c>
      <c r="ED226">
        <v>26</v>
      </c>
      <c r="EE226">
        <v>28.5</v>
      </c>
      <c r="EF226">
        <v>28</v>
      </c>
      <c r="EG226">
        <v>3.9559999999999995</v>
      </c>
      <c r="EH226">
        <v>29</v>
      </c>
      <c r="EI226">
        <v>6.5200000000000014</v>
      </c>
      <c r="EJ226">
        <v>0</v>
      </c>
      <c r="EK226">
        <v>25</v>
      </c>
      <c r="EL226">
        <v>26</v>
      </c>
      <c r="EM226">
        <v>26</v>
      </c>
      <c r="EN226">
        <v>6.6919999999999957</v>
      </c>
      <c r="EO226">
        <v>26</v>
      </c>
      <c r="EP226">
        <v>31.639999999999997</v>
      </c>
      <c r="EQ226">
        <v>-7</v>
      </c>
      <c r="ER226">
        <v>13</v>
      </c>
      <c r="ES226">
        <v>13.5</v>
      </c>
      <c r="ET226">
        <v>17</v>
      </c>
      <c r="EU226">
        <v>-0.50800000000000112</v>
      </c>
      <c r="EV226">
        <v>10</v>
      </c>
      <c r="EW226">
        <v>-3.4800000000000013</v>
      </c>
      <c r="EX226">
        <v>0.52</v>
      </c>
      <c r="EY226">
        <v>24</v>
      </c>
      <c r="EZ226">
        <v>23</v>
      </c>
      <c r="FA226">
        <v>28</v>
      </c>
      <c r="FB226">
        <v>1.52</v>
      </c>
      <c r="FC226">
        <v>18</v>
      </c>
      <c r="FD226">
        <v>0.24000000000000005</v>
      </c>
      <c r="FE226">
        <v>4.5600000000000005</v>
      </c>
      <c r="FF226">
        <v>23</v>
      </c>
      <c r="FG226">
        <v>20</v>
      </c>
      <c r="FH226">
        <v>32</v>
      </c>
      <c r="FI226">
        <v>5.928439353199022E-2</v>
      </c>
      <c r="FJ226">
        <v>22</v>
      </c>
      <c r="FK226">
        <v>-2.1720117517807998E-2</v>
      </c>
      <c r="FL226">
        <v>11</v>
      </c>
      <c r="FM226">
        <v>5.9559999999999986</v>
      </c>
      <c r="FN226">
        <v>15</v>
      </c>
      <c r="FO226">
        <v>-1.8400000000000003</v>
      </c>
      <c r="FP226">
        <v>1.5599999999999994</v>
      </c>
      <c r="FQ226">
        <v>1.36</v>
      </c>
      <c r="FR226">
        <v>0.36000000000000015</v>
      </c>
      <c r="FS226">
        <v>2.8799999999999981</v>
      </c>
      <c r="FT226">
        <v>2.7599999999999993</v>
      </c>
      <c r="FU226">
        <v>0.51999999999999991</v>
      </c>
      <c r="FV226">
        <v>-28.079999999999995</v>
      </c>
      <c r="FW226">
        <v>0.32000000000000456</v>
      </c>
      <c r="FX226">
        <v>-25.199999999999996</v>
      </c>
      <c r="FY226">
        <v>8.0000000000000251E-2</v>
      </c>
      <c r="FZ226">
        <v>-3.28</v>
      </c>
      <c r="GA226">
        <v>19</v>
      </c>
      <c r="GB226">
        <v>-0.73440000000000127</v>
      </c>
      <c r="GC226">
        <v>0.76551999999999865</v>
      </c>
      <c r="GD226">
        <v>25.52</v>
      </c>
      <c r="GE226">
        <v>0.73440000000000116</v>
      </c>
      <c r="GF226">
        <v>0.75244999999999962</v>
      </c>
      <c r="GG226">
        <v>5.357999999999997</v>
      </c>
      <c r="GH226">
        <v>6.0900000000000007</v>
      </c>
      <c r="GI226">
        <v>0.19200000000000084</v>
      </c>
      <c r="GJ226">
        <v>-21.680000000000003</v>
      </c>
      <c r="GK226">
        <v>1.1900000000000004</v>
      </c>
      <c r="GL226">
        <v>-0.20000000000000023</v>
      </c>
    </row>
    <row r="227" spans="1:194" x14ac:dyDescent="0.2">
      <c r="A227" s="39">
        <v>43765</v>
      </c>
      <c r="B227" s="28" t="s">
        <v>248</v>
      </c>
      <c r="C227" s="41" t="s">
        <v>288</v>
      </c>
      <c r="D227" s="28" t="s">
        <v>300</v>
      </c>
      <c r="E227" s="3">
        <v>14.1</v>
      </c>
      <c r="F227" s="3">
        <v>9.5</v>
      </c>
      <c r="G227" s="30">
        <v>13.5</v>
      </c>
      <c r="H227" s="3">
        <v>16.3</v>
      </c>
      <c r="I227" s="3">
        <v>5</v>
      </c>
      <c r="J227" s="3">
        <v>48</v>
      </c>
      <c r="K227" s="3"/>
      <c r="L227" s="1" t="s">
        <v>288</v>
      </c>
      <c r="M227">
        <v>8</v>
      </c>
      <c r="N227">
        <v>2.4783999999999997</v>
      </c>
      <c r="O227">
        <v>32</v>
      </c>
      <c r="P227">
        <v>30</v>
      </c>
      <c r="Q227">
        <v>28</v>
      </c>
      <c r="R227">
        <v>-3.2039999999999993</v>
      </c>
      <c r="S227">
        <v>32</v>
      </c>
      <c r="T227">
        <v>-21.279999999999998</v>
      </c>
      <c r="U227">
        <v>-1.1600000000000001</v>
      </c>
      <c r="V227">
        <v>17</v>
      </c>
      <c r="W227">
        <v>16.5</v>
      </c>
      <c r="X227">
        <v>19</v>
      </c>
      <c r="Y227">
        <v>1.5296000000000005</v>
      </c>
      <c r="Z227">
        <v>14</v>
      </c>
      <c r="AA227">
        <v>1.3200000000000003</v>
      </c>
      <c r="AB227">
        <v>0.67999999999999994</v>
      </c>
      <c r="AC227">
        <v>8</v>
      </c>
      <c r="AD227">
        <v>7</v>
      </c>
      <c r="AE227">
        <v>6</v>
      </c>
      <c r="AF227">
        <v>1.2520000000000011</v>
      </c>
      <c r="AG227">
        <v>8</v>
      </c>
      <c r="AH227">
        <v>9.3200000000000021</v>
      </c>
      <c r="AI227">
        <v>-0.4</v>
      </c>
      <c r="AJ227">
        <v>26</v>
      </c>
      <c r="AK227">
        <v>26.5</v>
      </c>
      <c r="AL227">
        <v>27</v>
      </c>
      <c r="AM227">
        <v>-3.5879999999999987</v>
      </c>
      <c r="AN227">
        <v>26</v>
      </c>
      <c r="AO227">
        <v>-24.44</v>
      </c>
      <c r="AP227">
        <v>-1.5199999999999998</v>
      </c>
      <c r="AQ227">
        <v>9</v>
      </c>
      <c r="AR227">
        <v>9.5</v>
      </c>
      <c r="AS227">
        <v>11</v>
      </c>
      <c r="AT227">
        <v>1.5599999999999998</v>
      </c>
      <c r="AU227">
        <v>8</v>
      </c>
      <c r="AV227">
        <v>15.24</v>
      </c>
      <c r="AW227">
        <v>1</v>
      </c>
      <c r="AX227">
        <v>2</v>
      </c>
      <c r="AY227">
        <v>3.5</v>
      </c>
      <c r="AZ227">
        <v>4</v>
      </c>
      <c r="BA227">
        <v>3.8279999999999985</v>
      </c>
      <c r="BB227">
        <v>3</v>
      </c>
      <c r="BC227">
        <v>27.480000000000008</v>
      </c>
      <c r="BD227">
        <v>0.91999999999999993</v>
      </c>
      <c r="BE227">
        <v>3</v>
      </c>
      <c r="BF227">
        <v>3.5</v>
      </c>
      <c r="BG227">
        <v>4</v>
      </c>
      <c r="BH227">
        <v>1.296</v>
      </c>
      <c r="BI227">
        <v>3</v>
      </c>
      <c r="BJ227">
        <v>21.359999999999996</v>
      </c>
      <c r="BK227">
        <v>1.52</v>
      </c>
      <c r="BL227">
        <v>15</v>
      </c>
      <c r="BM227">
        <v>14.5</v>
      </c>
      <c r="BN227">
        <v>12</v>
      </c>
      <c r="BO227">
        <v>1.0400000000000003</v>
      </c>
      <c r="BP227">
        <v>17</v>
      </c>
      <c r="BQ227">
        <v>0.39999999999999991</v>
      </c>
      <c r="BR227">
        <v>2.4799999999999995</v>
      </c>
      <c r="BS227">
        <v>29</v>
      </c>
      <c r="BT227">
        <v>25</v>
      </c>
      <c r="BU227">
        <v>26</v>
      </c>
      <c r="BV227">
        <v>-3.3503086626750424E-2</v>
      </c>
      <c r="BW227">
        <v>23</v>
      </c>
      <c r="BX227">
        <v>-1.7784629696574784E-2</v>
      </c>
      <c r="BY227">
        <v>25</v>
      </c>
      <c r="BZ227">
        <v>3.9639999999999973</v>
      </c>
      <c r="CA227">
        <v>26</v>
      </c>
      <c r="CB227">
        <v>-2.4</v>
      </c>
      <c r="CC227">
        <v>-4.1999999999999984</v>
      </c>
      <c r="CD227">
        <v>1.4800000000000011</v>
      </c>
      <c r="CE227">
        <v>1.3199999999999998</v>
      </c>
      <c r="CF227">
        <v>8.4</v>
      </c>
      <c r="CG227">
        <v>25.560000000000002</v>
      </c>
      <c r="CH227">
        <v>-19.199999999999996</v>
      </c>
      <c r="CI227">
        <v>-3.72</v>
      </c>
      <c r="CJ227">
        <v>5.76</v>
      </c>
      <c r="CK227">
        <v>12</v>
      </c>
      <c r="CL227">
        <v>4.1527999999999992</v>
      </c>
      <c r="CM227">
        <v>1.4368799999999999</v>
      </c>
      <c r="CN227">
        <v>44.76</v>
      </c>
      <c r="CO227">
        <v>-4.1527999999999983</v>
      </c>
      <c r="CP227">
        <v>0.29550000000000043</v>
      </c>
      <c r="CQ227">
        <v>-0.7759999999999978</v>
      </c>
      <c r="CR227">
        <v>0.12000000000000099</v>
      </c>
      <c r="CS227">
        <v>-1.6743999999999988</v>
      </c>
      <c r="CT227">
        <v>-19.959999999999997</v>
      </c>
      <c r="CU227">
        <v>0.60000000000000009</v>
      </c>
      <c r="CV227">
        <v>-0.4800000000000002</v>
      </c>
      <c r="CW227">
        <v>0.28010208333333331</v>
      </c>
      <c r="CX227">
        <v>-0.17363333333333347</v>
      </c>
      <c r="CY227" t="s">
        <v>300</v>
      </c>
      <c r="CZ227">
        <v>21</v>
      </c>
      <c r="DA227">
        <v>0.5152000000000001</v>
      </c>
      <c r="DB227">
        <v>5</v>
      </c>
      <c r="DC227">
        <v>6</v>
      </c>
      <c r="DD227">
        <v>8</v>
      </c>
      <c r="DE227">
        <v>6.12</v>
      </c>
      <c r="DF227">
        <v>4</v>
      </c>
      <c r="DG227">
        <v>6.9600000000000009</v>
      </c>
      <c r="DH227">
        <v>0.74</v>
      </c>
      <c r="DI227">
        <v>9</v>
      </c>
      <c r="DJ227">
        <v>11.5</v>
      </c>
      <c r="DK227">
        <v>19</v>
      </c>
      <c r="DL227">
        <v>-3.0920000000000001</v>
      </c>
      <c r="DM227">
        <v>4</v>
      </c>
      <c r="DN227">
        <v>3.3200000000000003</v>
      </c>
      <c r="DO227">
        <v>-0.83999999999999986</v>
      </c>
      <c r="DP227">
        <v>23</v>
      </c>
      <c r="DQ227">
        <v>27.5</v>
      </c>
      <c r="DR227">
        <v>29</v>
      </c>
      <c r="DS227">
        <v>0.57750000000000057</v>
      </c>
      <c r="DT227">
        <v>26</v>
      </c>
      <c r="DU227">
        <v>16.649999999999995</v>
      </c>
      <c r="DV227">
        <v>-0.22499999999999987</v>
      </c>
      <c r="DW227">
        <v>13</v>
      </c>
      <c r="DX227">
        <v>13.5</v>
      </c>
      <c r="DY227">
        <v>17</v>
      </c>
      <c r="DZ227">
        <v>-1.9900000000000002</v>
      </c>
      <c r="EA227">
        <v>10</v>
      </c>
      <c r="EB227">
        <v>-12.399999999999999</v>
      </c>
      <c r="EC227">
        <v>0</v>
      </c>
      <c r="ED227">
        <v>12</v>
      </c>
      <c r="EE227">
        <v>17</v>
      </c>
      <c r="EF227">
        <v>20</v>
      </c>
      <c r="EG227">
        <v>-1.08</v>
      </c>
      <c r="EH227">
        <v>14</v>
      </c>
      <c r="EI227">
        <v>0.24999999999999911</v>
      </c>
      <c r="EJ227">
        <v>-1.1000000000000001</v>
      </c>
      <c r="EK227">
        <v>16</v>
      </c>
      <c r="EL227">
        <v>16</v>
      </c>
      <c r="EM227">
        <v>17</v>
      </c>
      <c r="EN227">
        <v>-1.3960000000000012</v>
      </c>
      <c r="EO227">
        <v>15</v>
      </c>
      <c r="EP227">
        <v>-11.959999999999997</v>
      </c>
      <c r="EQ227">
        <v>-1.9599999999999997</v>
      </c>
      <c r="ER227">
        <v>1</v>
      </c>
      <c r="ES227">
        <v>1</v>
      </c>
      <c r="ET227">
        <v>1</v>
      </c>
      <c r="EU227">
        <v>4.4599999999999991</v>
      </c>
      <c r="EV227">
        <v>1</v>
      </c>
      <c r="EW227">
        <v>10.879999999999999</v>
      </c>
      <c r="EX227">
        <v>0.19999999999999965</v>
      </c>
      <c r="EY227">
        <v>6</v>
      </c>
      <c r="EZ227">
        <v>5</v>
      </c>
      <c r="FA227">
        <v>2</v>
      </c>
      <c r="FB227">
        <v>0.36000000000000032</v>
      </c>
      <c r="FC227">
        <v>8</v>
      </c>
      <c r="FD227">
        <v>0.16</v>
      </c>
      <c r="FE227">
        <v>-5.08</v>
      </c>
      <c r="FF227">
        <v>29</v>
      </c>
      <c r="FG227">
        <v>24</v>
      </c>
      <c r="FH227">
        <v>17</v>
      </c>
      <c r="FI227">
        <v>4.6596320041308644E-3</v>
      </c>
      <c r="FJ227">
        <v>23</v>
      </c>
      <c r="FK227">
        <v>3.066171605189369E-3</v>
      </c>
      <c r="FL227">
        <v>27</v>
      </c>
      <c r="FM227">
        <v>0.27199999999999991</v>
      </c>
      <c r="FN227">
        <v>29</v>
      </c>
      <c r="FO227">
        <v>-1.1199999999999999</v>
      </c>
      <c r="FP227">
        <v>-4.0000000000001278E-2</v>
      </c>
      <c r="FQ227">
        <v>-0.15999999999999873</v>
      </c>
      <c r="FR227">
        <v>1</v>
      </c>
      <c r="FS227">
        <v>0.83999999999999919</v>
      </c>
      <c r="FT227">
        <v>2.12</v>
      </c>
      <c r="FU227">
        <v>-1.4</v>
      </c>
      <c r="FV227">
        <v>38.720000000000006</v>
      </c>
      <c r="FW227">
        <v>30.959999999999997</v>
      </c>
      <c r="FX227">
        <v>7.5199999999999987</v>
      </c>
      <c r="FY227">
        <v>-2.2400000000000002</v>
      </c>
      <c r="FZ227">
        <v>2.48</v>
      </c>
      <c r="GA227">
        <v>22</v>
      </c>
      <c r="GB227">
        <v>-2.5127999999999999</v>
      </c>
      <c r="GC227">
        <v>-1.0174600000000003</v>
      </c>
      <c r="GD227">
        <v>23.439999999999998</v>
      </c>
      <c r="GE227">
        <v>2.5127999999999999</v>
      </c>
      <c r="GF227">
        <v>0.73383750000000003</v>
      </c>
      <c r="GG227">
        <v>-2.4924999999999997</v>
      </c>
      <c r="GH227">
        <v>4.4999999999999956</v>
      </c>
      <c r="GI227">
        <v>3.028</v>
      </c>
      <c r="GJ227">
        <v>10.280000000000001</v>
      </c>
      <c r="GK227">
        <v>-1.1250000000000002</v>
      </c>
      <c r="GL227">
        <v>-9.9999999999999867E-2</v>
      </c>
    </row>
    <row r="228" spans="1:194" x14ac:dyDescent="0.2">
      <c r="A228" s="39">
        <v>43765</v>
      </c>
      <c r="B228" s="22" t="s">
        <v>248</v>
      </c>
      <c r="C228" s="41" t="s">
        <v>303</v>
      </c>
      <c r="D228" s="22" t="s">
        <v>311</v>
      </c>
      <c r="E228">
        <v>18.100000000000001</v>
      </c>
      <c r="F228">
        <v>18.8</v>
      </c>
      <c r="G228">
        <v>4.7</v>
      </c>
      <c r="H228">
        <v>11.1</v>
      </c>
      <c r="I228">
        <v>5</v>
      </c>
      <c r="J228">
        <v>52</v>
      </c>
      <c r="K228" t="s">
        <v>109</v>
      </c>
      <c r="L228" s="1" t="s">
        <v>303</v>
      </c>
      <c r="M228">
        <v>22</v>
      </c>
      <c r="N228">
        <v>-1.6623999999999994</v>
      </c>
      <c r="O228">
        <v>7</v>
      </c>
      <c r="P228">
        <v>7.5</v>
      </c>
      <c r="Q228">
        <v>12</v>
      </c>
      <c r="R228">
        <v>0.48800000000000043</v>
      </c>
      <c r="S228">
        <v>3</v>
      </c>
      <c r="T228">
        <v>28.880000000000003</v>
      </c>
      <c r="U228">
        <v>-1.3599999999999999</v>
      </c>
      <c r="V228">
        <v>22</v>
      </c>
      <c r="W228">
        <v>19.5</v>
      </c>
      <c r="X228">
        <v>17</v>
      </c>
      <c r="Y228">
        <v>-0.16899999999999976</v>
      </c>
      <c r="Z228">
        <v>22</v>
      </c>
      <c r="AA228">
        <v>-3.8999999999999995</v>
      </c>
      <c r="AB228">
        <v>0.12000000000000002</v>
      </c>
      <c r="AC228">
        <v>30</v>
      </c>
      <c r="AD228">
        <v>30.5</v>
      </c>
      <c r="AE228">
        <v>31</v>
      </c>
      <c r="AF228">
        <v>-7.0889999999999986</v>
      </c>
      <c r="AG228">
        <v>30</v>
      </c>
      <c r="AH228">
        <v>-34.1</v>
      </c>
      <c r="AI228">
        <v>-3.13</v>
      </c>
      <c r="AJ228">
        <v>24</v>
      </c>
      <c r="AK228">
        <v>23</v>
      </c>
      <c r="AL228">
        <v>22</v>
      </c>
      <c r="AM228">
        <v>-3.9679999999999991</v>
      </c>
      <c r="AN228">
        <v>24</v>
      </c>
      <c r="AO228">
        <v>-13.440000000000001</v>
      </c>
      <c r="AP228">
        <v>-2.3400000000000003</v>
      </c>
      <c r="AQ228">
        <v>25</v>
      </c>
      <c r="AR228">
        <v>25</v>
      </c>
      <c r="AS228">
        <v>25</v>
      </c>
      <c r="AT228">
        <v>0.40099999999999952</v>
      </c>
      <c r="AU228">
        <v>25</v>
      </c>
      <c r="AV228">
        <v>-12.489999999999998</v>
      </c>
      <c r="AW228">
        <v>-1.45</v>
      </c>
      <c r="AX228">
        <v>24</v>
      </c>
      <c r="AY228">
        <v>25</v>
      </c>
      <c r="AZ228">
        <v>27</v>
      </c>
      <c r="BA228">
        <v>-0.74800000000000078</v>
      </c>
      <c r="BB228">
        <v>23</v>
      </c>
      <c r="BC228">
        <v>-8.6799999999999979</v>
      </c>
      <c r="BD228">
        <v>-0.67999999999999994</v>
      </c>
      <c r="BE228">
        <v>5</v>
      </c>
      <c r="BF228">
        <v>6</v>
      </c>
      <c r="BG228">
        <v>6</v>
      </c>
      <c r="BH228">
        <v>12.760000000000002</v>
      </c>
      <c r="BI228">
        <v>6</v>
      </c>
      <c r="BJ228">
        <v>42.28</v>
      </c>
      <c r="BK228">
        <v>4.28</v>
      </c>
      <c r="BL228">
        <v>19</v>
      </c>
      <c r="BM228">
        <v>19.5</v>
      </c>
      <c r="BN228">
        <v>26</v>
      </c>
      <c r="BO228">
        <v>-1.1199999999999999</v>
      </c>
      <c r="BP228">
        <v>13</v>
      </c>
      <c r="BQ228">
        <v>-0.76</v>
      </c>
      <c r="BR228">
        <v>-1.1999999999999997</v>
      </c>
      <c r="BS228">
        <v>19</v>
      </c>
      <c r="BT228">
        <v>17.25</v>
      </c>
      <c r="BU228">
        <v>14</v>
      </c>
      <c r="BV228">
        <v>-0.12902486826144766</v>
      </c>
      <c r="BW228">
        <v>21</v>
      </c>
      <c r="BX228">
        <v>-3.0990551032092185E-2</v>
      </c>
      <c r="BY228">
        <v>32</v>
      </c>
      <c r="BZ228">
        <v>9.4799999999999986</v>
      </c>
      <c r="CA228">
        <v>2</v>
      </c>
      <c r="CB228">
        <v>-3.5200000000000005</v>
      </c>
      <c r="CC228">
        <v>-1</v>
      </c>
      <c r="CD228">
        <v>1.0800000000000005</v>
      </c>
      <c r="CE228">
        <v>0.96</v>
      </c>
      <c r="CF228">
        <v>25.360000000000003</v>
      </c>
      <c r="CG228">
        <v>-16.360000000000003</v>
      </c>
      <c r="CH228">
        <v>37.279999999999994</v>
      </c>
      <c r="CI228">
        <v>11.56</v>
      </c>
      <c r="CJ228">
        <v>-7.12</v>
      </c>
      <c r="CK228">
        <v>21</v>
      </c>
      <c r="CL228">
        <v>-1.9814000000000001</v>
      </c>
      <c r="CM228">
        <v>-7.117999999999941E-2</v>
      </c>
      <c r="CN228">
        <v>-53.64</v>
      </c>
      <c r="CO228">
        <v>1.9814000000000001</v>
      </c>
      <c r="CP228">
        <v>-4.4924999999999521E-2</v>
      </c>
      <c r="CQ228">
        <v>-10.655999999999999</v>
      </c>
      <c r="CR228">
        <v>-60.03</v>
      </c>
      <c r="CS228">
        <v>0.31900000000000067</v>
      </c>
      <c r="CT228">
        <v>24.980000000000004</v>
      </c>
      <c r="CU228">
        <v>-2.6400000000000006</v>
      </c>
      <c r="CV228">
        <v>-1.2399999999999998</v>
      </c>
      <c r="CW228">
        <v>0.46405000000000007</v>
      </c>
      <c r="CX228">
        <v>0.27720000000000011</v>
      </c>
      <c r="CY228" t="s">
        <v>311</v>
      </c>
      <c r="CZ228">
        <v>6</v>
      </c>
      <c r="DA228">
        <v>3.6311999999999984</v>
      </c>
      <c r="DB228">
        <v>27</v>
      </c>
      <c r="DC228">
        <v>24</v>
      </c>
      <c r="DD228">
        <v>18</v>
      </c>
      <c r="DE228">
        <v>-1.6440000000000008</v>
      </c>
      <c r="DF228">
        <v>30</v>
      </c>
      <c r="DG228">
        <v>-19.96</v>
      </c>
      <c r="DH228">
        <v>0.56000000000000016</v>
      </c>
      <c r="DI228">
        <v>1</v>
      </c>
      <c r="DJ228">
        <v>1</v>
      </c>
      <c r="DK228">
        <v>1</v>
      </c>
      <c r="DL228">
        <v>-1.9639999999999997</v>
      </c>
      <c r="DM228">
        <v>1</v>
      </c>
      <c r="DN228">
        <v>2.9600000000000009</v>
      </c>
      <c r="DO228">
        <v>-0.32</v>
      </c>
      <c r="DP228">
        <v>15</v>
      </c>
      <c r="DQ228">
        <v>11.5</v>
      </c>
      <c r="DR228">
        <v>11</v>
      </c>
      <c r="DS228">
        <v>6.2</v>
      </c>
      <c r="DT228">
        <v>12</v>
      </c>
      <c r="DU228">
        <v>14.960000000000003</v>
      </c>
      <c r="DV228">
        <v>2.0800000000000005</v>
      </c>
      <c r="DW228">
        <v>23</v>
      </c>
      <c r="DX228">
        <v>23</v>
      </c>
      <c r="DY228">
        <v>25</v>
      </c>
      <c r="DZ228">
        <v>3.7120000000000011</v>
      </c>
      <c r="EA228">
        <v>21</v>
      </c>
      <c r="EB228">
        <v>17.560000000000002</v>
      </c>
      <c r="EC228">
        <v>0.64</v>
      </c>
      <c r="ED228">
        <v>10</v>
      </c>
      <c r="EE228">
        <v>8.5</v>
      </c>
      <c r="EF228">
        <v>8</v>
      </c>
      <c r="EG228">
        <v>1.4360000000000006</v>
      </c>
      <c r="EH228">
        <v>9</v>
      </c>
      <c r="EI228">
        <v>2.7999999999999994</v>
      </c>
      <c r="EJ228">
        <v>-3.9999999999999994E-2</v>
      </c>
      <c r="EK228">
        <v>15</v>
      </c>
      <c r="EL228">
        <v>15.5</v>
      </c>
      <c r="EM228">
        <v>18</v>
      </c>
      <c r="EN228">
        <v>0.22800000000000153</v>
      </c>
      <c r="EO228">
        <v>13</v>
      </c>
      <c r="EP228">
        <v>2.2800000000000011</v>
      </c>
      <c r="EQ228">
        <v>8.0000000000000432E-2</v>
      </c>
      <c r="ER228">
        <v>14</v>
      </c>
      <c r="ES228">
        <v>14</v>
      </c>
      <c r="ET228">
        <v>14</v>
      </c>
      <c r="EU228">
        <v>-5.2039999999999997</v>
      </c>
      <c r="EV228">
        <v>14</v>
      </c>
      <c r="EW228">
        <v>-22.359999999999996</v>
      </c>
      <c r="EX228">
        <v>-1.0400000000000003</v>
      </c>
      <c r="EY228">
        <v>22</v>
      </c>
      <c r="EZ228">
        <v>21.5</v>
      </c>
      <c r="FA228">
        <v>19</v>
      </c>
      <c r="FB228">
        <v>-0.96000000000000019</v>
      </c>
      <c r="FC228">
        <v>24</v>
      </c>
      <c r="FD228">
        <v>-0.6399999999999999</v>
      </c>
      <c r="FE228">
        <v>-0.92000000000000015</v>
      </c>
      <c r="FF228">
        <v>27</v>
      </c>
      <c r="FG228">
        <v>22.75</v>
      </c>
      <c r="FH228">
        <v>31</v>
      </c>
      <c r="FI228">
        <v>5.1431923551284918E-2</v>
      </c>
      <c r="FJ228">
        <v>30</v>
      </c>
      <c r="FK228">
        <v>3.0480101374834589E-3</v>
      </c>
      <c r="FL228">
        <v>2</v>
      </c>
      <c r="FM228">
        <v>0.22400000000000092</v>
      </c>
      <c r="FN228">
        <v>28</v>
      </c>
      <c r="FO228">
        <v>0.51999999999999991</v>
      </c>
      <c r="FP228">
        <v>3.1199999999999997</v>
      </c>
      <c r="FQ228">
        <v>-2.6800000000000006</v>
      </c>
      <c r="FR228">
        <v>-0.52000000000000013</v>
      </c>
      <c r="FS228">
        <v>0.55999999999999805</v>
      </c>
      <c r="FT228">
        <v>1.4399999999999991</v>
      </c>
      <c r="FU228">
        <v>-0.88000000000000012</v>
      </c>
      <c r="FV228">
        <v>-4.5600000000000138</v>
      </c>
      <c r="FW228">
        <v>20</v>
      </c>
      <c r="FX228">
        <v>-19.279999999999998</v>
      </c>
      <c r="FY228">
        <v>-1.52</v>
      </c>
      <c r="FZ228">
        <v>-3.7599999999999993</v>
      </c>
      <c r="GA228">
        <v>2</v>
      </c>
      <c r="GB228">
        <v>7.2391999999999985</v>
      </c>
      <c r="GC228">
        <v>3.7590400000000006</v>
      </c>
      <c r="GD228">
        <v>39.28</v>
      </c>
      <c r="GE228">
        <v>-7.2391999999999985</v>
      </c>
      <c r="GF228">
        <v>0.65090000000000003</v>
      </c>
      <c r="GG228">
        <v>11.348000000000001</v>
      </c>
      <c r="GH228">
        <v>35.32</v>
      </c>
      <c r="GI228">
        <v>-3.6080000000000005</v>
      </c>
      <c r="GJ228">
        <v>-17</v>
      </c>
      <c r="GK228">
        <v>1.6400000000000003</v>
      </c>
      <c r="GL228">
        <v>0.24000000000000016</v>
      </c>
    </row>
    <row r="229" spans="1:194" x14ac:dyDescent="0.2">
      <c r="A229" s="39">
        <v>43765</v>
      </c>
      <c r="B229" s="22" t="s">
        <v>248</v>
      </c>
      <c r="C229" s="41" t="s">
        <v>287</v>
      </c>
      <c r="D229" s="22" t="s">
        <v>265</v>
      </c>
      <c r="E229">
        <v>12.3</v>
      </c>
      <c r="F229">
        <v>9.9</v>
      </c>
      <c r="G229">
        <v>0</v>
      </c>
      <c r="H229">
        <v>10.7</v>
      </c>
      <c r="I229">
        <v>3.5</v>
      </c>
      <c r="J229">
        <v>41</v>
      </c>
      <c r="K229" t="s">
        <v>110</v>
      </c>
      <c r="L229" s="1" t="s">
        <v>287</v>
      </c>
      <c r="M229">
        <v>9</v>
      </c>
      <c r="N229">
        <v>2.3751999999999995</v>
      </c>
      <c r="O229">
        <v>17</v>
      </c>
      <c r="P229">
        <v>17</v>
      </c>
      <c r="Q229">
        <v>17</v>
      </c>
      <c r="R229">
        <v>1.8760000000000001</v>
      </c>
      <c r="S229">
        <v>17</v>
      </c>
      <c r="T229">
        <v>-29.76</v>
      </c>
      <c r="U229">
        <v>2.6</v>
      </c>
      <c r="V229">
        <v>3</v>
      </c>
      <c r="W229">
        <v>4.5</v>
      </c>
      <c r="X229">
        <v>1</v>
      </c>
      <c r="Y229">
        <v>4.0919999999999996</v>
      </c>
      <c r="Z229">
        <v>8</v>
      </c>
      <c r="AA229">
        <v>-4.7200000000000006</v>
      </c>
      <c r="AB229">
        <v>1.8</v>
      </c>
      <c r="AC229">
        <v>9</v>
      </c>
      <c r="AD229">
        <v>10</v>
      </c>
      <c r="AE229">
        <v>9</v>
      </c>
      <c r="AF229">
        <v>1.7160000000000011</v>
      </c>
      <c r="AG229">
        <v>11</v>
      </c>
      <c r="AH229">
        <v>8.3600000000000012</v>
      </c>
      <c r="AI229">
        <v>2.3600000000000003</v>
      </c>
      <c r="AJ229">
        <v>5</v>
      </c>
      <c r="AK229">
        <v>5.5</v>
      </c>
      <c r="AL229">
        <v>10</v>
      </c>
      <c r="AM229">
        <v>-0.23200000000000004</v>
      </c>
      <c r="AN229">
        <v>1</v>
      </c>
      <c r="AO229">
        <v>13.319999999999999</v>
      </c>
      <c r="AP229">
        <v>2.2000000000000002</v>
      </c>
      <c r="AQ229">
        <v>28</v>
      </c>
      <c r="AR229">
        <v>28.5</v>
      </c>
      <c r="AS229">
        <v>30</v>
      </c>
      <c r="AT229">
        <v>-1.9839999999999995</v>
      </c>
      <c r="AU229">
        <v>27</v>
      </c>
      <c r="AV229">
        <v>-7.2</v>
      </c>
      <c r="AW229">
        <v>-1.56</v>
      </c>
      <c r="AX229">
        <v>10</v>
      </c>
      <c r="AY229">
        <v>11</v>
      </c>
      <c r="AZ229">
        <v>11</v>
      </c>
      <c r="BA229">
        <v>3.6119999999999997</v>
      </c>
      <c r="BB229">
        <v>11</v>
      </c>
      <c r="BC229">
        <v>2.9200000000000017</v>
      </c>
      <c r="BD229">
        <v>1.2000000000000004</v>
      </c>
      <c r="BE229">
        <v>26</v>
      </c>
      <c r="BF229">
        <v>26.5</v>
      </c>
      <c r="BG229">
        <v>27</v>
      </c>
      <c r="BH229">
        <v>2.2199999999999998</v>
      </c>
      <c r="BI229">
        <v>26</v>
      </c>
      <c r="BJ229">
        <v>10.199999999999999</v>
      </c>
      <c r="BK229">
        <v>-1.1600000000000001</v>
      </c>
      <c r="BL229">
        <v>4</v>
      </c>
      <c r="BM229">
        <v>7</v>
      </c>
      <c r="BN229">
        <v>11</v>
      </c>
      <c r="BO229">
        <v>1.24</v>
      </c>
      <c r="BP229">
        <v>3</v>
      </c>
      <c r="BQ229">
        <v>0.35999999999999993</v>
      </c>
      <c r="BR229">
        <v>-1.52</v>
      </c>
      <c r="BS229">
        <v>10</v>
      </c>
      <c r="BT229">
        <v>12.75</v>
      </c>
      <c r="BU229">
        <v>24</v>
      </c>
      <c r="BV229">
        <v>5.4761741282063923E-2</v>
      </c>
      <c r="BW229">
        <v>12</v>
      </c>
      <c r="BX229">
        <v>-2.2113676610795479E-2</v>
      </c>
      <c r="BY229">
        <v>7</v>
      </c>
      <c r="BZ229">
        <v>1.9639999999999957</v>
      </c>
      <c r="CA229">
        <v>8</v>
      </c>
      <c r="CB229">
        <v>0.48000000000000015</v>
      </c>
      <c r="CC229">
        <v>0.63999999999999913</v>
      </c>
      <c r="CD229">
        <v>-1.2</v>
      </c>
      <c r="CE229">
        <v>0.48000000000000009</v>
      </c>
      <c r="CF229">
        <v>6.3599999999999905</v>
      </c>
      <c r="CG229">
        <v>52.4</v>
      </c>
      <c r="CH229">
        <v>-37.239999999999995</v>
      </c>
      <c r="CI229">
        <v>-0.28000000000000003</v>
      </c>
      <c r="CJ229">
        <v>-8.52</v>
      </c>
      <c r="CK229">
        <v>24</v>
      </c>
      <c r="CL229">
        <v>-3.5928000000000004</v>
      </c>
      <c r="CM229">
        <v>-2.1649599999999998</v>
      </c>
      <c r="CN229">
        <v>89.639999999999986</v>
      </c>
      <c r="CO229">
        <v>3.5928000000000004</v>
      </c>
      <c r="CP229">
        <v>1.4129000000000003</v>
      </c>
      <c r="CQ229">
        <v>-0.49999999999999845</v>
      </c>
      <c r="CR229">
        <v>14.48</v>
      </c>
      <c r="CS229">
        <v>5.968</v>
      </c>
      <c r="CT229">
        <v>-34.480000000000004</v>
      </c>
      <c r="CU229">
        <v>1.8400000000000003</v>
      </c>
      <c r="CV229">
        <v>4.4000000000000004</v>
      </c>
      <c r="CW229">
        <v>-0.46067500000000006</v>
      </c>
      <c r="CX229">
        <v>-0.41915000000000019</v>
      </c>
      <c r="CY229" t="s">
        <v>265</v>
      </c>
      <c r="CZ229">
        <v>29</v>
      </c>
      <c r="DA229">
        <v>-2.2767999999999997</v>
      </c>
      <c r="DB229">
        <v>12</v>
      </c>
      <c r="DC229">
        <v>11.5</v>
      </c>
      <c r="DD229">
        <v>15</v>
      </c>
      <c r="DE229">
        <v>3.0631999999999993</v>
      </c>
      <c r="DF229">
        <v>8</v>
      </c>
      <c r="DG229">
        <v>1.759999999999998</v>
      </c>
      <c r="DH229">
        <v>0.40000000000000008</v>
      </c>
      <c r="DI229">
        <v>14</v>
      </c>
      <c r="DJ229">
        <v>15</v>
      </c>
      <c r="DK229">
        <v>14</v>
      </c>
      <c r="DL229">
        <v>-1.6839999999999999</v>
      </c>
      <c r="DM229">
        <v>16</v>
      </c>
      <c r="DN229">
        <v>-13.879999999999999</v>
      </c>
      <c r="DO229">
        <v>-0.36000000000000004</v>
      </c>
      <c r="DP229">
        <v>25</v>
      </c>
      <c r="DQ229">
        <v>20</v>
      </c>
      <c r="DR229">
        <v>19</v>
      </c>
      <c r="DS229">
        <v>-3.2849999999999993</v>
      </c>
      <c r="DT229">
        <v>21</v>
      </c>
      <c r="DU229">
        <v>-1.9000000000000004</v>
      </c>
      <c r="DV229">
        <v>0.15000000000000013</v>
      </c>
      <c r="DW229">
        <v>28</v>
      </c>
      <c r="DX229">
        <v>27</v>
      </c>
      <c r="DY229">
        <v>28</v>
      </c>
      <c r="DZ229">
        <v>3.4950000000000001</v>
      </c>
      <c r="EA229">
        <v>26</v>
      </c>
      <c r="EB229">
        <v>23</v>
      </c>
      <c r="EC229">
        <v>0.70000000000000018</v>
      </c>
      <c r="ED229">
        <v>20</v>
      </c>
      <c r="EE229">
        <v>19.5</v>
      </c>
      <c r="EF229">
        <v>20</v>
      </c>
      <c r="EG229">
        <v>0.95000000000000018</v>
      </c>
      <c r="EH229">
        <v>19</v>
      </c>
      <c r="EI229">
        <v>3</v>
      </c>
      <c r="EJ229">
        <v>1.35</v>
      </c>
      <c r="EK229">
        <v>21</v>
      </c>
      <c r="EL229">
        <v>21.5</v>
      </c>
      <c r="EM229">
        <v>20</v>
      </c>
      <c r="EN229">
        <v>8.8000000000000966E-2</v>
      </c>
      <c r="EO229">
        <v>23</v>
      </c>
      <c r="EP229">
        <v>2.8799999999999981</v>
      </c>
      <c r="EQ229">
        <v>0.88000000000000023</v>
      </c>
      <c r="ER229">
        <v>15</v>
      </c>
      <c r="ES229">
        <v>15</v>
      </c>
      <c r="ET229">
        <v>12</v>
      </c>
      <c r="EU229">
        <v>-2.3199999999999994</v>
      </c>
      <c r="EV229">
        <v>18</v>
      </c>
      <c r="EW229">
        <v>-2.919999999999999</v>
      </c>
      <c r="EX229">
        <v>-0.24000000000000005</v>
      </c>
      <c r="EY229">
        <v>15</v>
      </c>
      <c r="EZ229">
        <v>13</v>
      </c>
      <c r="FA229">
        <v>14</v>
      </c>
      <c r="FB229">
        <v>-1.9600000000000002</v>
      </c>
      <c r="FC229">
        <v>12</v>
      </c>
      <c r="FD229">
        <v>-3.9999999999999994E-2</v>
      </c>
      <c r="FE229">
        <v>-0.20000000000000018</v>
      </c>
      <c r="FF229">
        <v>32</v>
      </c>
      <c r="FG229">
        <v>29.25</v>
      </c>
      <c r="FH229">
        <v>28</v>
      </c>
      <c r="FI229">
        <v>-1.8124464133477809E-2</v>
      </c>
      <c r="FJ229">
        <v>29</v>
      </c>
      <c r="FK229">
        <v>2.2028165379901323E-3</v>
      </c>
      <c r="FL229">
        <v>29</v>
      </c>
      <c r="FM229">
        <v>4.4359999999999999</v>
      </c>
      <c r="FN229">
        <v>31</v>
      </c>
      <c r="FO229">
        <v>3.3600000000000003</v>
      </c>
      <c r="FP229">
        <v>3.12</v>
      </c>
      <c r="FQ229">
        <v>-0.9199999999999996</v>
      </c>
      <c r="FR229">
        <v>-0.47999999999999987</v>
      </c>
      <c r="FS229">
        <v>1.4799999999999998</v>
      </c>
      <c r="FT229">
        <v>-0.80000000000000038</v>
      </c>
      <c r="FU229">
        <v>-0.88000000000000012</v>
      </c>
      <c r="FV229">
        <v>-12.600000000000012</v>
      </c>
      <c r="FW229">
        <v>6.6799999999999953</v>
      </c>
      <c r="FX229">
        <v>-12.120000000000005</v>
      </c>
      <c r="FY229">
        <v>-7.6400000000000006</v>
      </c>
      <c r="FZ229">
        <v>0.48000000000000043</v>
      </c>
      <c r="GA229">
        <v>26</v>
      </c>
      <c r="GB229">
        <v>-3.6559999999999988</v>
      </c>
      <c r="GC229">
        <v>-1.3769599999999993</v>
      </c>
      <c r="GD229">
        <v>18.8</v>
      </c>
      <c r="GE229">
        <v>3.6559999999999988</v>
      </c>
      <c r="GF229">
        <v>-0.50219999999999987</v>
      </c>
      <c r="GG229">
        <v>1.160000000000001</v>
      </c>
      <c r="GH229">
        <v>24.1</v>
      </c>
      <c r="GI229">
        <v>1.3791999999999993</v>
      </c>
      <c r="GJ229">
        <v>-12.120000000000001</v>
      </c>
      <c r="GK229">
        <v>1.9600000000000002</v>
      </c>
      <c r="GL229">
        <v>4.0000000000000036E-2</v>
      </c>
    </row>
    <row r="230" spans="1:194" x14ac:dyDescent="0.2">
      <c r="A230" s="39">
        <v>43765</v>
      </c>
      <c r="B230" s="22" t="s">
        <v>248</v>
      </c>
      <c r="C230" s="41" t="s">
        <v>304</v>
      </c>
      <c r="D230" s="22" t="s">
        <v>272</v>
      </c>
      <c r="E230" s="14">
        <v>38</v>
      </c>
      <c r="F230">
        <v>6.2</v>
      </c>
      <c r="G230">
        <v>16.2</v>
      </c>
      <c r="H230">
        <f>3.5+1.8</f>
        <v>5.3</v>
      </c>
      <c r="I230">
        <v>-12</v>
      </c>
      <c r="J230">
        <v>48.5</v>
      </c>
      <c r="K230" t="s">
        <v>109</v>
      </c>
      <c r="L230" s="1" t="s">
        <v>304</v>
      </c>
      <c r="M230">
        <v>25</v>
      </c>
      <c r="N230">
        <v>-2.0536000000000016</v>
      </c>
      <c r="O230">
        <v>12</v>
      </c>
      <c r="P230">
        <v>14.5</v>
      </c>
      <c r="Q230">
        <v>15</v>
      </c>
      <c r="R230">
        <v>-2.7847999999999993</v>
      </c>
      <c r="S230">
        <v>14</v>
      </c>
      <c r="T230">
        <v>-25.879999999999995</v>
      </c>
      <c r="U230">
        <v>4.0000000000000077E-2</v>
      </c>
      <c r="V230">
        <v>21</v>
      </c>
      <c r="W230">
        <v>19</v>
      </c>
      <c r="X230">
        <v>21</v>
      </c>
      <c r="Y230">
        <v>-2.3479999999999999</v>
      </c>
      <c r="Z230">
        <v>17</v>
      </c>
      <c r="AA230">
        <v>-1.0400000000000005</v>
      </c>
      <c r="AB230">
        <v>-0.6</v>
      </c>
      <c r="AC230">
        <v>12</v>
      </c>
      <c r="AD230">
        <v>13</v>
      </c>
      <c r="AE230">
        <v>13</v>
      </c>
      <c r="AF230">
        <v>6.1440000000000001</v>
      </c>
      <c r="AG230">
        <v>13</v>
      </c>
      <c r="AH230">
        <v>15.040000000000003</v>
      </c>
      <c r="AI230">
        <v>3.5200000000000005</v>
      </c>
      <c r="AJ230">
        <v>4</v>
      </c>
      <c r="AK230">
        <v>4.5</v>
      </c>
      <c r="AL230">
        <v>7</v>
      </c>
      <c r="AM230">
        <v>1.5039999999999987</v>
      </c>
      <c r="AN230">
        <v>2</v>
      </c>
      <c r="AO230">
        <v>9.24</v>
      </c>
      <c r="AP230">
        <v>3</v>
      </c>
      <c r="AQ230">
        <v>8</v>
      </c>
      <c r="AR230">
        <v>8.5</v>
      </c>
      <c r="AS230">
        <v>8</v>
      </c>
      <c r="AT230">
        <v>5.86</v>
      </c>
      <c r="AU230">
        <v>9</v>
      </c>
      <c r="AV230">
        <v>33.64</v>
      </c>
      <c r="AW230">
        <v>2.96</v>
      </c>
      <c r="AX230">
        <v>5</v>
      </c>
      <c r="AY230">
        <v>5</v>
      </c>
      <c r="AZ230">
        <v>8</v>
      </c>
      <c r="BA230">
        <v>5.104000000000001</v>
      </c>
      <c r="BB230">
        <v>2</v>
      </c>
      <c r="BC230">
        <v>19.440000000000001</v>
      </c>
      <c r="BD230">
        <v>4.4800000000000004</v>
      </c>
      <c r="BE230">
        <v>12</v>
      </c>
      <c r="BF230">
        <v>12.5</v>
      </c>
      <c r="BG230">
        <v>14</v>
      </c>
      <c r="BH230">
        <v>3.8800000000000012</v>
      </c>
      <c r="BI230">
        <v>11</v>
      </c>
      <c r="BJ230">
        <v>21.999999999999993</v>
      </c>
      <c r="BK230">
        <v>3.3600000000000003</v>
      </c>
      <c r="BL230">
        <v>16</v>
      </c>
      <c r="BM230">
        <v>15.5</v>
      </c>
      <c r="BN230">
        <v>18</v>
      </c>
      <c r="BO230">
        <v>2.88</v>
      </c>
      <c r="BP230">
        <v>13</v>
      </c>
      <c r="BQ230">
        <v>0.55999999999999994</v>
      </c>
      <c r="BR230">
        <v>-4.0000000000000216E-2</v>
      </c>
      <c r="BS230">
        <v>23</v>
      </c>
      <c r="BT230">
        <v>20.5</v>
      </c>
      <c r="BU230">
        <v>32</v>
      </c>
      <c r="BV230">
        <v>4.6529296223672134E-2</v>
      </c>
      <c r="BW230">
        <v>29</v>
      </c>
      <c r="BX230">
        <v>-1.7486415337316485E-2</v>
      </c>
      <c r="BY230">
        <v>8</v>
      </c>
      <c r="BZ230">
        <v>-13.900000000000006</v>
      </c>
      <c r="CA230">
        <v>13</v>
      </c>
      <c r="CB230">
        <v>0.43999999999999967</v>
      </c>
      <c r="CC230">
        <v>5.4399999999999995</v>
      </c>
      <c r="CD230">
        <v>0.11999999999999958</v>
      </c>
      <c r="CE230">
        <v>0.48000000000000009</v>
      </c>
      <c r="CF230">
        <v>21.639999999999997</v>
      </c>
      <c r="CG230">
        <v>56.64</v>
      </c>
      <c r="CH230">
        <v>-28.479999999999997</v>
      </c>
      <c r="CI230">
        <v>8.92</v>
      </c>
      <c r="CJ230">
        <v>-15.440000000000003</v>
      </c>
      <c r="CK230">
        <v>15</v>
      </c>
      <c r="CL230">
        <v>3.0791999999999975</v>
      </c>
      <c r="CM230">
        <v>5.6332799999999992</v>
      </c>
      <c r="CN230">
        <v>85.12</v>
      </c>
      <c r="CO230">
        <v>-3.0791999999999979</v>
      </c>
      <c r="CP230">
        <v>1.6351999999999998</v>
      </c>
      <c r="CQ230">
        <v>13.507999999999999</v>
      </c>
      <c r="CR230">
        <v>57.92</v>
      </c>
      <c r="CS230">
        <v>-5.1327999999999996</v>
      </c>
      <c r="CT230">
        <v>-26.919999999999995</v>
      </c>
      <c r="CU230">
        <v>12.84</v>
      </c>
      <c r="CV230">
        <v>-0.55999999999999994</v>
      </c>
      <c r="CW230">
        <v>0.12783333333333302</v>
      </c>
      <c r="CX230">
        <v>-0.6726000000000002</v>
      </c>
      <c r="CY230" t="s">
        <v>272</v>
      </c>
      <c r="CZ230">
        <v>10</v>
      </c>
      <c r="DA230">
        <v>4.1487999999999996</v>
      </c>
      <c r="DB230">
        <v>25</v>
      </c>
      <c r="DC230">
        <v>23.5</v>
      </c>
      <c r="DD230">
        <v>29</v>
      </c>
      <c r="DE230">
        <v>0.26399999999999862</v>
      </c>
      <c r="DF230">
        <v>18</v>
      </c>
      <c r="DG230">
        <v>3.919999999999999</v>
      </c>
      <c r="DH230">
        <v>-0.36000000000000015</v>
      </c>
      <c r="DI230">
        <v>24</v>
      </c>
      <c r="DJ230">
        <v>21.5</v>
      </c>
      <c r="DK230">
        <v>19</v>
      </c>
      <c r="DL230">
        <v>4.0839999999999996</v>
      </c>
      <c r="DM230">
        <v>24</v>
      </c>
      <c r="DN230">
        <v>7.8800000000000008</v>
      </c>
      <c r="DO230">
        <v>1.48</v>
      </c>
      <c r="DP230">
        <v>1</v>
      </c>
      <c r="DQ230">
        <v>4</v>
      </c>
      <c r="DR230">
        <v>5</v>
      </c>
      <c r="DS230">
        <v>-2.2280000000000002</v>
      </c>
      <c r="DT230">
        <v>3</v>
      </c>
      <c r="DU230">
        <v>-8.1866666666666674</v>
      </c>
      <c r="DV230">
        <v>-1.8</v>
      </c>
      <c r="DW230">
        <v>17</v>
      </c>
      <c r="DX230">
        <v>16.5</v>
      </c>
      <c r="DY230">
        <v>19</v>
      </c>
      <c r="DZ230">
        <v>-2.1880000000000006</v>
      </c>
      <c r="EA230">
        <v>14</v>
      </c>
      <c r="EB230">
        <v>-12.413333333333332</v>
      </c>
      <c r="EC230">
        <v>-0.72</v>
      </c>
      <c r="ED230">
        <v>6</v>
      </c>
      <c r="EE230">
        <v>8</v>
      </c>
      <c r="EF230">
        <v>6</v>
      </c>
      <c r="EG230">
        <v>0.65733333333333377</v>
      </c>
      <c r="EH230">
        <v>10</v>
      </c>
      <c r="EI230">
        <v>6.6533333333333333</v>
      </c>
      <c r="EJ230">
        <v>-0.66666666666666674</v>
      </c>
      <c r="EK230">
        <v>2</v>
      </c>
      <c r="EL230">
        <v>3.5</v>
      </c>
      <c r="EM230">
        <v>5</v>
      </c>
      <c r="EN230">
        <v>3.383999999999999</v>
      </c>
      <c r="EO230">
        <v>2</v>
      </c>
      <c r="EP230">
        <v>26.24</v>
      </c>
      <c r="EQ230">
        <v>0.92000000000000015</v>
      </c>
      <c r="ER230">
        <v>9</v>
      </c>
      <c r="ES230">
        <v>10</v>
      </c>
      <c r="ET230">
        <v>9</v>
      </c>
      <c r="EU230">
        <v>0.36799999999999977</v>
      </c>
      <c r="EV230">
        <v>11</v>
      </c>
      <c r="EW230">
        <v>9.0800000000000018</v>
      </c>
      <c r="EX230">
        <v>-0.68</v>
      </c>
      <c r="EY230">
        <v>20</v>
      </c>
      <c r="EZ230">
        <v>21</v>
      </c>
      <c r="FA230">
        <v>18</v>
      </c>
      <c r="FB230">
        <v>2.3200000000000003</v>
      </c>
      <c r="FC230">
        <v>24</v>
      </c>
      <c r="FD230">
        <v>0.92000000000000015</v>
      </c>
      <c r="FE230">
        <v>2.6</v>
      </c>
      <c r="FF230">
        <v>22</v>
      </c>
      <c r="FG230">
        <v>18.25</v>
      </c>
      <c r="FH230">
        <v>13</v>
      </c>
      <c r="FI230">
        <v>3.243864813714914E-3</v>
      </c>
      <c r="FJ230">
        <v>15</v>
      </c>
      <c r="FK230">
        <v>-3.3227979926275651E-2</v>
      </c>
      <c r="FL230">
        <v>19</v>
      </c>
      <c r="FM230">
        <v>-5.2720000000000002</v>
      </c>
      <c r="FN230">
        <v>26</v>
      </c>
      <c r="FO230">
        <v>-3.28</v>
      </c>
      <c r="FP230">
        <v>7.999999999999971E-2</v>
      </c>
      <c r="FQ230">
        <v>3.12</v>
      </c>
      <c r="FR230">
        <v>2.88</v>
      </c>
      <c r="FS230">
        <v>6.4399999999999977</v>
      </c>
      <c r="FT230">
        <v>2.2000000000000002</v>
      </c>
      <c r="FU230">
        <v>0</v>
      </c>
      <c r="FV230">
        <v>74.239999999999995</v>
      </c>
      <c r="FW230">
        <v>24.32</v>
      </c>
      <c r="FX230">
        <v>15.520000000000005</v>
      </c>
      <c r="FY230">
        <v>8.24</v>
      </c>
      <c r="FZ230">
        <v>26.160000000000004</v>
      </c>
      <c r="GA230">
        <v>17</v>
      </c>
      <c r="GB230">
        <v>-0.19919999999999849</v>
      </c>
      <c r="GC230">
        <v>-2.0223733333333325</v>
      </c>
      <c r="GD230">
        <v>8.7999999999999954</v>
      </c>
      <c r="GE230">
        <v>0.19919999999999849</v>
      </c>
      <c r="GF230">
        <v>0.92826666666666624</v>
      </c>
      <c r="GG230">
        <v>-3.7586666666666666</v>
      </c>
      <c r="GH230">
        <v>-13.946666666666669</v>
      </c>
      <c r="GI230">
        <v>4.3479999999999981</v>
      </c>
      <c r="GJ230">
        <v>11.8</v>
      </c>
      <c r="GK230">
        <v>-3.8666666666666667</v>
      </c>
      <c r="GL230">
        <v>1.1199999999999999</v>
      </c>
    </row>
    <row r="231" spans="1:194" x14ac:dyDescent="0.2">
      <c r="A231" s="39">
        <v>43765</v>
      </c>
      <c r="B231" s="22" t="s">
        <v>248</v>
      </c>
      <c r="C231" s="41" t="s">
        <v>293</v>
      </c>
      <c r="D231" s="22" t="s">
        <v>309</v>
      </c>
      <c r="E231" s="14">
        <v>8.1999999999999993</v>
      </c>
      <c r="F231">
        <v>11.9</v>
      </c>
      <c r="G231">
        <v>8.1999999999999993</v>
      </c>
      <c r="H231">
        <v>3</v>
      </c>
      <c r="I231">
        <v>14</v>
      </c>
      <c r="J231">
        <v>44</v>
      </c>
      <c r="L231" s="1" t="s">
        <v>293</v>
      </c>
      <c r="M231">
        <v>17</v>
      </c>
      <c r="N231">
        <v>-0.83359999999999945</v>
      </c>
      <c r="O231">
        <v>31</v>
      </c>
      <c r="P231">
        <v>29</v>
      </c>
      <c r="Q231">
        <v>27</v>
      </c>
      <c r="R231">
        <v>-5.548</v>
      </c>
      <c r="S231">
        <v>31</v>
      </c>
      <c r="T231">
        <v>-24.039999999999996</v>
      </c>
      <c r="U231">
        <v>2.4400000000000004</v>
      </c>
      <c r="V231">
        <v>26</v>
      </c>
      <c r="W231">
        <v>24.5</v>
      </c>
      <c r="X231">
        <v>23</v>
      </c>
      <c r="Y231">
        <v>-0.65200000000000014</v>
      </c>
      <c r="Z231">
        <v>26</v>
      </c>
      <c r="AA231">
        <v>5.7200000000000006</v>
      </c>
      <c r="AB231">
        <v>-0.43999999999999984</v>
      </c>
      <c r="AC231">
        <v>1</v>
      </c>
      <c r="AD231">
        <v>1.5</v>
      </c>
      <c r="AE231">
        <v>2</v>
      </c>
      <c r="AF231">
        <v>-1.0240000000000005</v>
      </c>
      <c r="AG231">
        <v>1</v>
      </c>
      <c r="AH231">
        <v>0.31999999999999884</v>
      </c>
      <c r="AI231">
        <v>1.48</v>
      </c>
      <c r="AJ231">
        <v>18</v>
      </c>
      <c r="AK231">
        <v>18.5</v>
      </c>
      <c r="AL231">
        <v>18</v>
      </c>
      <c r="AM231">
        <v>3.2199999999999989</v>
      </c>
      <c r="AN231">
        <v>19</v>
      </c>
      <c r="AO231">
        <v>10.68</v>
      </c>
      <c r="AP231">
        <v>0.8</v>
      </c>
      <c r="AQ231">
        <v>5</v>
      </c>
      <c r="AR231">
        <v>5.5</v>
      </c>
      <c r="AS231">
        <v>4</v>
      </c>
      <c r="AT231">
        <v>1.8559999999999994</v>
      </c>
      <c r="AU231">
        <v>7</v>
      </c>
      <c r="AV231">
        <v>-1.1999999999999997</v>
      </c>
      <c r="AW231">
        <v>0.6</v>
      </c>
      <c r="AX231">
        <v>1</v>
      </c>
      <c r="AY231">
        <v>1</v>
      </c>
      <c r="AZ231">
        <v>1</v>
      </c>
      <c r="BA231">
        <v>-0.47200000000000131</v>
      </c>
      <c r="BB231">
        <v>1</v>
      </c>
      <c r="BC231">
        <v>-9.120000000000001</v>
      </c>
      <c r="BD231">
        <v>0.96000000000000019</v>
      </c>
      <c r="BE231">
        <v>10</v>
      </c>
      <c r="BF231">
        <v>11</v>
      </c>
      <c r="BG231">
        <v>12</v>
      </c>
      <c r="BH231">
        <v>-5.8160000000000007</v>
      </c>
      <c r="BI231">
        <v>10</v>
      </c>
      <c r="BJ231">
        <v>-23.04</v>
      </c>
      <c r="BK231">
        <v>-1.9199999999999995</v>
      </c>
      <c r="BL231">
        <v>13</v>
      </c>
      <c r="BM231">
        <v>12</v>
      </c>
      <c r="BN231">
        <v>3</v>
      </c>
      <c r="BO231">
        <v>-2.5599999999999996</v>
      </c>
      <c r="BP231">
        <v>21</v>
      </c>
      <c r="BQ231">
        <v>-0.44000000000000006</v>
      </c>
      <c r="BR231">
        <v>-6.7199999999999989</v>
      </c>
      <c r="BS231">
        <v>16</v>
      </c>
      <c r="BT231">
        <v>14.5</v>
      </c>
      <c r="BU231">
        <v>12</v>
      </c>
      <c r="BV231">
        <v>2.8946055090405275E-2</v>
      </c>
      <c r="BW231">
        <v>10</v>
      </c>
      <c r="BX231">
        <v>4.9853409515472624E-3</v>
      </c>
      <c r="BY231">
        <v>14</v>
      </c>
      <c r="BZ231">
        <v>-4.452</v>
      </c>
      <c r="CA231">
        <v>22</v>
      </c>
      <c r="CB231">
        <v>2.4400000000000004</v>
      </c>
      <c r="CC231">
        <v>-0.36000000000000087</v>
      </c>
      <c r="CD231">
        <v>-4.6399999999999997</v>
      </c>
      <c r="CE231">
        <v>-1.1199999999999999</v>
      </c>
      <c r="CF231">
        <v>-33.839999999999996</v>
      </c>
      <c r="CG231">
        <v>-7.3200000000000047</v>
      </c>
      <c r="CH231">
        <v>-21.119999999999997</v>
      </c>
      <c r="CI231">
        <v>-2.7600000000000002</v>
      </c>
      <c r="CJ231">
        <v>-2.6400000000000006</v>
      </c>
      <c r="CK231">
        <v>9</v>
      </c>
      <c r="CL231">
        <v>5.3664000000000005</v>
      </c>
      <c r="CM231">
        <v>2.5804799999999997</v>
      </c>
      <c r="CN231">
        <v>13.799999999999994</v>
      </c>
      <c r="CO231">
        <v>-5.3664000000000005</v>
      </c>
      <c r="CP231">
        <v>-1.4197000000000002</v>
      </c>
      <c r="CQ231">
        <v>4.0519999999999978</v>
      </c>
      <c r="CR231">
        <v>9.7999999999999989</v>
      </c>
      <c r="CS231">
        <v>-6.2</v>
      </c>
      <c r="CT231">
        <v>-18.319999999999993</v>
      </c>
      <c r="CU231">
        <v>0.96000000000000085</v>
      </c>
      <c r="CV231">
        <v>2.0000000000000004</v>
      </c>
      <c r="CW231">
        <v>9.2083333333333184E-2</v>
      </c>
      <c r="CX231">
        <v>1.84785</v>
      </c>
      <c r="CY231" t="s">
        <v>309</v>
      </c>
      <c r="CZ231">
        <v>31</v>
      </c>
      <c r="DA231">
        <v>-3.6628000000000016</v>
      </c>
      <c r="DB231">
        <v>22</v>
      </c>
      <c r="DC231">
        <v>21.5</v>
      </c>
      <c r="DD231">
        <v>32</v>
      </c>
      <c r="DE231">
        <v>-4.5239999999999991</v>
      </c>
      <c r="DF231">
        <v>11</v>
      </c>
      <c r="DG231">
        <v>-4.6800000000000024</v>
      </c>
      <c r="DH231">
        <v>3.9999999999999945E-2</v>
      </c>
      <c r="DI231">
        <v>16</v>
      </c>
      <c r="DJ231">
        <v>16.5</v>
      </c>
      <c r="DK231">
        <v>12</v>
      </c>
      <c r="DL231">
        <v>-2.8039999999999989</v>
      </c>
      <c r="DM231">
        <v>21</v>
      </c>
      <c r="DN231">
        <v>-5.5199999999999987</v>
      </c>
      <c r="DO231">
        <v>-0.12000000000000002</v>
      </c>
      <c r="DP231">
        <v>26</v>
      </c>
      <c r="DQ231">
        <v>29.5</v>
      </c>
      <c r="DR231">
        <v>28</v>
      </c>
      <c r="DS231">
        <v>-3.2680000000000007</v>
      </c>
      <c r="DT231">
        <v>31</v>
      </c>
      <c r="DU231">
        <v>-16.226666666666663</v>
      </c>
      <c r="DV231">
        <v>-2.2399999999999998</v>
      </c>
      <c r="DW231">
        <v>29</v>
      </c>
      <c r="DX231">
        <v>29.5</v>
      </c>
      <c r="DY231">
        <v>31</v>
      </c>
      <c r="DZ231">
        <v>0.17999999999999972</v>
      </c>
      <c r="EA231">
        <v>28</v>
      </c>
      <c r="EB231">
        <v>-0.33333333333333287</v>
      </c>
      <c r="EC231">
        <v>0.88000000000000012</v>
      </c>
      <c r="ED231">
        <v>5</v>
      </c>
      <c r="EE231">
        <v>25</v>
      </c>
      <c r="EF231">
        <v>27</v>
      </c>
      <c r="EG231">
        <v>-0.82666666666666677</v>
      </c>
      <c r="EH231">
        <v>23</v>
      </c>
      <c r="EI231">
        <v>-1.4266666666666665</v>
      </c>
      <c r="EJ231">
        <v>-1.3466666666666669</v>
      </c>
      <c r="EK231">
        <v>27</v>
      </c>
      <c r="EL231">
        <v>27</v>
      </c>
      <c r="EM231">
        <v>30</v>
      </c>
      <c r="EN231">
        <v>4.6120000000000001</v>
      </c>
      <c r="EO231">
        <v>24</v>
      </c>
      <c r="EP231">
        <v>16.119999999999997</v>
      </c>
      <c r="EQ231">
        <v>2.4</v>
      </c>
      <c r="ER231">
        <v>24</v>
      </c>
      <c r="ES231">
        <v>24</v>
      </c>
      <c r="ET231">
        <v>24</v>
      </c>
      <c r="EU231">
        <v>2.7559999999999993</v>
      </c>
      <c r="EV231">
        <v>24</v>
      </c>
      <c r="EW231">
        <v>3.1200000000000023</v>
      </c>
      <c r="EX231">
        <v>0.91999999999999993</v>
      </c>
      <c r="EY231">
        <v>30</v>
      </c>
      <c r="EZ231">
        <v>27.5</v>
      </c>
      <c r="FA231">
        <v>31</v>
      </c>
      <c r="FB231">
        <v>-1.1599999999999997</v>
      </c>
      <c r="FC231">
        <v>24</v>
      </c>
      <c r="FD231">
        <v>-0.43999999999999995</v>
      </c>
      <c r="FE231">
        <v>-2.12</v>
      </c>
      <c r="FF231">
        <v>1</v>
      </c>
      <c r="FG231">
        <v>5.25</v>
      </c>
      <c r="FH231">
        <v>2</v>
      </c>
      <c r="FI231">
        <v>4.9765878361423529E-2</v>
      </c>
      <c r="FJ231">
        <v>1</v>
      </c>
      <c r="FK231">
        <v>2.4410625011643754E-2</v>
      </c>
      <c r="FL231">
        <v>16</v>
      </c>
      <c r="FM231">
        <v>-5.6320000000000032</v>
      </c>
      <c r="FN231">
        <v>2</v>
      </c>
      <c r="FO231">
        <v>5.0400000000000009</v>
      </c>
      <c r="FP231">
        <v>0.12000000000000029</v>
      </c>
      <c r="FQ231">
        <v>-1.3199999999999996</v>
      </c>
      <c r="FR231">
        <v>0.91999999999999971</v>
      </c>
      <c r="FS231">
        <v>0.27999999999999969</v>
      </c>
      <c r="FT231">
        <v>-2.5200000000000005</v>
      </c>
      <c r="FU231">
        <v>-1.1199999999999999</v>
      </c>
      <c r="FV231">
        <v>-31.080000000000005</v>
      </c>
      <c r="FW231">
        <v>-10.88</v>
      </c>
      <c r="FX231">
        <v>-13.48</v>
      </c>
      <c r="FY231">
        <v>-3.4</v>
      </c>
      <c r="FZ231">
        <v>-3.3200000000000003</v>
      </c>
      <c r="GA231">
        <v>8</v>
      </c>
      <c r="GB231">
        <v>3.6651999999999965</v>
      </c>
      <c r="GC231">
        <v>2.6997066666666649</v>
      </c>
      <c r="GD231">
        <v>2.5999999999999996</v>
      </c>
      <c r="GE231">
        <v>-3.665199999999996</v>
      </c>
      <c r="GF231">
        <v>-1.6636833333333336</v>
      </c>
      <c r="GG231">
        <v>-3.9146666666666676</v>
      </c>
      <c r="GH231">
        <v>-17.986666666666661</v>
      </c>
      <c r="GI231">
        <v>-7.3279999999999976</v>
      </c>
      <c r="GJ231">
        <v>-10.200000000000001</v>
      </c>
      <c r="GK231">
        <v>-1.7866666666666666</v>
      </c>
      <c r="GL231">
        <v>-8.0000000000000071E-2</v>
      </c>
    </row>
    <row r="232" spans="1:194" x14ac:dyDescent="0.2">
      <c r="A232" s="39">
        <v>43765</v>
      </c>
      <c r="B232" s="22" t="s">
        <v>248</v>
      </c>
      <c r="C232" s="41" t="s">
        <v>312</v>
      </c>
      <c r="D232" s="22" t="s">
        <v>306</v>
      </c>
      <c r="E232" s="3">
        <v>23.3</v>
      </c>
      <c r="F232">
        <v>4.7</v>
      </c>
      <c r="G232">
        <v>1.1000000000000001</v>
      </c>
      <c r="H232">
        <f>5.1+4.7</f>
        <v>9.8000000000000007</v>
      </c>
      <c r="I232">
        <v>-16.5</v>
      </c>
      <c r="J232">
        <v>42</v>
      </c>
      <c r="L232" s="1" t="s">
        <v>312</v>
      </c>
      <c r="M232">
        <v>14</v>
      </c>
      <c r="N232">
        <v>0.86319999999999941</v>
      </c>
      <c r="O232">
        <v>12</v>
      </c>
      <c r="P232">
        <v>14.5</v>
      </c>
      <c r="Q232">
        <v>7</v>
      </c>
      <c r="R232">
        <v>5.9120000000000008</v>
      </c>
      <c r="S232">
        <v>22</v>
      </c>
      <c r="T232">
        <v>24.679999999999996</v>
      </c>
      <c r="U232">
        <v>0.61999999999999988</v>
      </c>
      <c r="V232">
        <v>5</v>
      </c>
      <c r="W232">
        <v>8</v>
      </c>
      <c r="X232">
        <v>13</v>
      </c>
      <c r="Y232">
        <v>-1.8659999999999997</v>
      </c>
      <c r="Z232">
        <v>3</v>
      </c>
      <c r="AA232">
        <v>17.48</v>
      </c>
      <c r="AB232">
        <v>-2.08</v>
      </c>
      <c r="AC232">
        <v>16</v>
      </c>
      <c r="AD232">
        <v>17</v>
      </c>
      <c r="AE232">
        <v>18</v>
      </c>
      <c r="AF232">
        <v>1.9299999999999975</v>
      </c>
      <c r="AG232">
        <v>16</v>
      </c>
      <c r="AH232">
        <v>-9.65</v>
      </c>
      <c r="AI232">
        <v>-1.2899999999999998</v>
      </c>
      <c r="AJ232">
        <v>23</v>
      </c>
      <c r="AK232">
        <v>22</v>
      </c>
      <c r="AL232">
        <v>26</v>
      </c>
      <c r="AM232">
        <v>8.34</v>
      </c>
      <c r="AN232">
        <v>18</v>
      </c>
      <c r="AO232">
        <v>39.32</v>
      </c>
      <c r="AP232">
        <v>0.85</v>
      </c>
      <c r="AQ232">
        <v>27</v>
      </c>
      <c r="AR232">
        <v>28</v>
      </c>
      <c r="AS232">
        <v>27</v>
      </c>
      <c r="AT232">
        <v>-1.1469999999999998</v>
      </c>
      <c r="AU232">
        <v>29</v>
      </c>
      <c r="AV232">
        <v>-5.0100000000000007</v>
      </c>
      <c r="AW232">
        <v>-1.45</v>
      </c>
      <c r="AX232">
        <v>29</v>
      </c>
      <c r="AY232">
        <v>29</v>
      </c>
      <c r="AZ232">
        <v>29</v>
      </c>
      <c r="BA232">
        <v>-5.6120000000000019</v>
      </c>
      <c r="BB232">
        <v>29</v>
      </c>
      <c r="BC232">
        <v>-31.959999999999997</v>
      </c>
      <c r="BD232">
        <v>-8.48</v>
      </c>
      <c r="BE232">
        <v>5</v>
      </c>
      <c r="BF232">
        <v>6</v>
      </c>
      <c r="BG232">
        <v>3</v>
      </c>
      <c r="BH232">
        <v>-1.4080000000000004</v>
      </c>
      <c r="BI232">
        <v>9</v>
      </c>
      <c r="BJ232">
        <v>0.31999999999999884</v>
      </c>
      <c r="BK232">
        <v>-1.8799999999999997</v>
      </c>
      <c r="BL232">
        <v>26</v>
      </c>
      <c r="BM232">
        <v>25</v>
      </c>
      <c r="BN232">
        <v>21</v>
      </c>
      <c r="BO232">
        <v>0.8</v>
      </c>
      <c r="BP232">
        <v>29</v>
      </c>
      <c r="BQ232">
        <v>0.36000000000000004</v>
      </c>
      <c r="BR232">
        <v>-1.0399999999999998</v>
      </c>
      <c r="BS232">
        <v>28</v>
      </c>
      <c r="BT232">
        <v>24.5</v>
      </c>
      <c r="BU232">
        <v>22</v>
      </c>
      <c r="BV232">
        <v>2.5572912803833937E-2</v>
      </c>
      <c r="BW232">
        <v>27</v>
      </c>
      <c r="BX232">
        <v>-3.269698447080195E-3</v>
      </c>
      <c r="BY232">
        <v>22</v>
      </c>
      <c r="BZ232">
        <v>20.055999999999997</v>
      </c>
      <c r="CA232">
        <v>27</v>
      </c>
      <c r="CB232">
        <v>-4.5600000000000005</v>
      </c>
      <c r="CC232">
        <v>-0.95999999999999941</v>
      </c>
      <c r="CD232">
        <v>4.3199999999999994</v>
      </c>
      <c r="CE232">
        <v>-0.88000000000000012</v>
      </c>
      <c r="CF232">
        <v>41.720000000000006</v>
      </c>
      <c r="CG232">
        <v>6.5599999999999969</v>
      </c>
      <c r="CH232">
        <v>47</v>
      </c>
      <c r="CI232">
        <v>0.11999999999999988</v>
      </c>
      <c r="CJ232">
        <v>-11.959999999999999</v>
      </c>
      <c r="CK232">
        <v>22</v>
      </c>
      <c r="CL232">
        <v>-3.1828000000000021</v>
      </c>
      <c r="CM232">
        <v>-0.30736000000000141</v>
      </c>
      <c r="CN232">
        <v>-40.440000000000005</v>
      </c>
      <c r="CO232">
        <v>3.1828000000000016</v>
      </c>
      <c r="CP232">
        <v>1.6780249999999999</v>
      </c>
      <c r="CQ232">
        <v>9.1229999999999976</v>
      </c>
      <c r="CR232">
        <v>24.66</v>
      </c>
      <c r="CS232">
        <v>4.0460000000000012</v>
      </c>
      <c r="CT232">
        <v>42.16</v>
      </c>
      <c r="CU232">
        <v>-3.7699999999999996</v>
      </c>
      <c r="CV232">
        <v>-1.4600000000000002</v>
      </c>
      <c r="CW232">
        <v>0.31806250000000003</v>
      </c>
      <c r="CX232">
        <v>0.37019999999999986</v>
      </c>
      <c r="CY232" t="s">
        <v>306</v>
      </c>
      <c r="CZ232">
        <v>22</v>
      </c>
      <c r="DA232">
        <v>0.5763999999999998</v>
      </c>
      <c r="DB232">
        <v>11</v>
      </c>
      <c r="DC232">
        <v>11</v>
      </c>
      <c r="DD232">
        <v>16</v>
      </c>
      <c r="DE232">
        <v>2.9450000000000007</v>
      </c>
      <c r="DF232">
        <v>6</v>
      </c>
      <c r="DG232">
        <v>8.889999999999997</v>
      </c>
      <c r="DH232">
        <v>1.1599999999999999</v>
      </c>
      <c r="DI232">
        <v>10</v>
      </c>
      <c r="DJ232">
        <v>12.5</v>
      </c>
      <c r="DK232">
        <v>16</v>
      </c>
      <c r="DL232">
        <v>-2.3409999999999989</v>
      </c>
      <c r="DM232">
        <v>9</v>
      </c>
      <c r="DN232">
        <v>1.6200000000000006</v>
      </c>
      <c r="DO232">
        <v>0.20999999999999988</v>
      </c>
      <c r="DP232">
        <v>13</v>
      </c>
      <c r="DQ232">
        <v>12</v>
      </c>
      <c r="DR232">
        <v>14</v>
      </c>
      <c r="DS232">
        <v>-0.42800000000000049</v>
      </c>
      <c r="DT232">
        <v>10</v>
      </c>
      <c r="DU232">
        <v>3.4</v>
      </c>
      <c r="DV232">
        <v>-1.3599999999999999</v>
      </c>
      <c r="DW232">
        <v>26</v>
      </c>
      <c r="DX232">
        <v>26.5</v>
      </c>
      <c r="DY232">
        <v>23</v>
      </c>
      <c r="DZ232">
        <v>2.031000000000001</v>
      </c>
      <c r="EA232">
        <v>30</v>
      </c>
      <c r="EB232">
        <v>-3.3</v>
      </c>
      <c r="EC232">
        <v>-1.3400000000000003</v>
      </c>
      <c r="ED232">
        <v>32</v>
      </c>
      <c r="EE232">
        <v>15</v>
      </c>
      <c r="EF232">
        <v>15</v>
      </c>
      <c r="EG232">
        <v>-3</v>
      </c>
      <c r="EH232">
        <v>15</v>
      </c>
      <c r="EI232">
        <v>-14.719999999999999</v>
      </c>
      <c r="EJ232">
        <v>-0.91999999999999993</v>
      </c>
      <c r="EK232">
        <v>7</v>
      </c>
      <c r="EL232">
        <v>7.5</v>
      </c>
      <c r="EM232">
        <v>7</v>
      </c>
      <c r="EN232">
        <v>-2.4280000000000004</v>
      </c>
      <c r="EO232">
        <v>8</v>
      </c>
      <c r="EP232">
        <v>-4.9200000000000017</v>
      </c>
      <c r="EQ232">
        <v>-5.8</v>
      </c>
      <c r="ER232">
        <v>10</v>
      </c>
      <c r="ES232">
        <v>10.5</v>
      </c>
      <c r="ET232">
        <v>6</v>
      </c>
      <c r="EU232">
        <v>1.2239999999999995</v>
      </c>
      <c r="EV232">
        <v>15</v>
      </c>
      <c r="EW232">
        <v>7.9600000000000026</v>
      </c>
      <c r="EX232">
        <v>1.6000000000000003</v>
      </c>
      <c r="EY232">
        <v>12</v>
      </c>
      <c r="EZ232">
        <v>12.5</v>
      </c>
      <c r="FA232">
        <v>12</v>
      </c>
      <c r="FB232">
        <v>1.1199999999999999</v>
      </c>
      <c r="FC232">
        <v>13</v>
      </c>
      <c r="FD232">
        <v>0.36</v>
      </c>
      <c r="FE232">
        <v>3.4800000000000004</v>
      </c>
      <c r="FF232">
        <v>3</v>
      </c>
      <c r="FG232">
        <v>8</v>
      </c>
      <c r="FH232">
        <v>13</v>
      </c>
      <c r="FI232">
        <v>-2.3986938232246846E-2</v>
      </c>
      <c r="FJ232">
        <v>2</v>
      </c>
      <c r="FK232">
        <v>4.5405359244135605E-3</v>
      </c>
      <c r="FL232">
        <v>9</v>
      </c>
      <c r="FM232">
        <v>10.428000000000001</v>
      </c>
      <c r="FN232">
        <v>8</v>
      </c>
      <c r="FO232">
        <v>-1.8</v>
      </c>
      <c r="FP232">
        <v>-1.6</v>
      </c>
      <c r="FQ232">
        <v>2.6800000000000006</v>
      </c>
      <c r="FR232">
        <v>-0.84000000000000019</v>
      </c>
      <c r="FS232">
        <v>0.71999999999999886</v>
      </c>
      <c r="FT232">
        <v>-0.24000000000000021</v>
      </c>
      <c r="FU232">
        <v>0.48000000000000009</v>
      </c>
      <c r="FV232">
        <v>18.199999999999989</v>
      </c>
      <c r="FW232">
        <v>1.4800000000000011</v>
      </c>
      <c r="FX232">
        <v>11.4</v>
      </c>
      <c r="FY232">
        <v>1.4400000000000002</v>
      </c>
      <c r="FZ232">
        <v>3.88</v>
      </c>
      <c r="GA232">
        <v>15</v>
      </c>
      <c r="GB232">
        <v>-2.7600000000001845E-2</v>
      </c>
      <c r="GC232">
        <v>-0.22132000000000099</v>
      </c>
      <c r="GD232">
        <v>-9.92</v>
      </c>
      <c r="GE232">
        <v>2.7600000000002067E-2</v>
      </c>
      <c r="GF232">
        <v>0.26592500000000024</v>
      </c>
      <c r="GG232">
        <v>-1.3969999999999994</v>
      </c>
      <c r="GH232">
        <v>-14.62</v>
      </c>
      <c r="GI232">
        <v>0.60400000000000187</v>
      </c>
      <c r="GJ232">
        <v>10.509999999999998</v>
      </c>
      <c r="GK232">
        <v>-2.0199999999999996</v>
      </c>
      <c r="GL232">
        <v>1.3699999999999999</v>
      </c>
    </row>
    <row r="233" spans="1:194" x14ac:dyDescent="0.2">
      <c r="A233" s="39">
        <v>43765</v>
      </c>
      <c r="B233" s="22" t="s">
        <v>248</v>
      </c>
      <c r="C233" s="41" t="s">
        <v>302</v>
      </c>
      <c r="D233" s="22" t="s">
        <v>281</v>
      </c>
      <c r="E233">
        <v>27.5</v>
      </c>
      <c r="F233">
        <v>7.3</v>
      </c>
      <c r="G233">
        <v>4.3</v>
      </c>
      <c r="H233">
        <v>3.6</v>
      </c>
      <c r="I233">
        <v>-9.5</v>
      </c>
      <c r="J233">
        <v>43</v>
      </c>
      <c r="L233" s="1" t="s">
        <v>302</v>
      </c>
      <c r="M233">
        <v>10</v>
      </c>
      <c r="N233">
        <v>2.1988000000000008</v>
      </c>
      <c r="O233">
        <v>27</v>
      </c>
      <c r="P233">
        <v>25</v>
      </c>
      <c r="Q233">
        <v>32</v>
      </c>
      <c r="R233">
        <v>-3.008</v>
      </c>
      <c r="S233">
        <v>18</v>
      </c>
      <c r="T233">
        <v>-8.84</v>
      </c>
      <c r="U233">
        <v>-0.36000000000000004</v>
      </c>
      <c r="V233">
        <v>12</v>
      </c>
      <c r="W233">
        <v>11.5</v>
      </c>
      <c r="X233">
        <v>5</v>
      </c>
      <c r="Y233">
        <v>6.1559999999999997</v>
      </c>
      <c r="Z233">
        <v>18</v>
      </c>
      <c r="AA233">
        <v>-7.839999999999999</v>
      </c>
      <c r="AB233">
        <v>3.8</v>
      </c>
      <c r="AC233">
        <v>4</v>
      </c>
      <c r="AD233">
        <v>4</v>
      </c>
      <c r="AE233">
        <v>3</v>
      </c>
      <c r="AF233">
        <v>3.8039999999999994</v>
      </c>
      <c r="AG233">
        <v>5</v>
      </c>
      <c r="AH233">
        <v>10.119999999999999</v>
      </c>
      <c r="AI233">
        <v>2.5599999999999996</v>
      </c>
      <c r="AJ233">
        <v>14</v>
      </c>
      <c r="AK233">
        <v>14</v>
      </c>
      <c r="AL233">
        <v>15</v>
      </c>
      <c r="AM233">
        <v>-0.83600000000000063</v>
      </c>
      <c r="AN233">
        <v>13</v>
      </c>
      <c r="AO233">
        <v>2.88</v>
      </c>
      <c r="AP233">
        <v>0.59999999999999987</v>
      </c>
      <c r="AQ233">
        <v>16</v>
      </c>
      <c r="AR233">
        <v>16</v>
      </c>
      <c r="AS233">
        <v>13</v>
      </c>
      <c r="AT233">
        <v>1.6840000000000004</v>
      </c>
      <c r="AU233">
        <v>19</v>
      </c>
      <c r="AV233">
        <v>5.2799999999999985</v>
      </c>
      <c r="AW233">
        <v>1.3199999999999998</v>
      </c>
      <c r="AX233">
        <v>4</v>
      </c>
      <c r="AY233">
        <v>4.5</v>
      </c>
      <c r="AZ233">
        <v>2</v>
      </c>
      <c r="BA233">
        <v>2.2000000000000002</v>
      </c>
      <c r="BB233">
        <v>7</v>
      </c>
      <c r="BC233">
        <v>-0.64000000000000057</v>
      </c>
      <c r="BD233">
        <v>18.880000000000003</v>
      </c>
      <c r="BE233">
        <v>25</v>
      </c>
      <c r="BF233">
        <v>25.5</v>
      </c>
      <c r="BG233">
        <v>28</v>
      </c>
      <c r="BH233">
        <v>-2.3519999999999994</v>
      </c>
      <c r="BI233">
        <v>23</v>
      </c>
      <c r="BJ233">
        <v>-9.9999999999999982</v>
      </c>
      <c r="BK233">
        <v>-2.3200000000000003</v>
      </c>
      <c r="BL233">
        <v>2</v>
      </c>
      <c r="BM233">
        <v>5</v>
      </c>
      <c r="BN233">
        <v>8</v>
      </c>
      <c r="BO233">
        <v>-1.64</v>
      </c>
      <c r="BP233">
        <v>2</v>
      </c>
      <c r="BQ233">
        <v>-0.83999999999999986</v>
      </c>
      <c r="BR233">
        <v>5.4</v>
      </c>
      <c r="BS233">
        <v>27</v>
      </c>
      <c r="BT233">
        <v>23.25</v>
      </c>
      <c r="BU233">
        <v>23</v>
      </c>
      <c r="BV233">
        <v>-8.9979439067244177E-2</v>
      </c>
      <c r="BW233">
        <v>26</v>
      </c>
      <c r="BX233">
        <v>-1.9611903991862328E-2</v>
      </c>
      <c r="BY233">
        <v>23</v>
      </c>
      <c r="BZ233">
        <v>-8.3800000000000026</v>
      </c>
      <c r="CA233">
        <v>21</v>
      </c>
      <c r="CB233">
        <v>-4.0000000000000216E-2</v>
      </c>
      <c r="CC233">
        <v>6.2399999999999993</v>
      </c>
      <c r="CD233">
        <v>2.7999999999999994</v>
      </c>
      <c r="CE233">
        <v>1.8400000000000005</v>
      </c>
      <c r="CF233">
        <v>16.519999999999992</v>
      </c>
      <c r="CG233">
        <v>36.04</v>
      </c>
      <c r="CH233">
        <v>-11.839999999999998</v>
      </c>
      <c r="CI233">
        <v>2.7199999999999998</v>
      </c>
      <c r="CJ233">
        <v>-10.4</v>
      </c>
      <c r="CK233">
        <v>19</v>
      </c>
      <c r="CL233">
        <v>-0.94919999999999849</v>
      </c>
      <c r="CM233">
        <v>-0.67423999999999962</v>
      </c>
      <c r="CN233">
        <v>47.879999999999995</v>
      </c>
      <c r="CO233">
        <v>0.94919999999999893</v>
      </c>
      <c r="CP233">
        <v>0.75085000000000024</v>
      </c>
      <c r="CQ233">
        <v>4.6519999999999992</v>
      </c>
      <c r="CR233">
        <v>18.279999999999998</v>
      </c>
      <c r="CS233">
        <v>3.1479999999999997</v>
      </c>
      <c r="CT233">
        <v>-16.68</v>
      </c>
      <c r="CU233">
        <v>2.1599999999999984</v>
      </c>
      <c r="CV233">
        <v>3.44</v>
      </c>
      <c r="CW233">
        <v>-1.2156791666666666</v>
      </c>
      <c r="CX233">
        <v>-2.5135999999999998</v>
      </c>
      <c r="CY233" t="s">
        <v>281</v>
      </c>
      <c r="CZ233">
        <v>11</v>
      </c>
      <c r="DA233">
        <v>0.90559999999999863</v>
      </c>
      <c r="DB233">
        <v>19</v>
      </c>
      <c r="DC233">
        <v>20</v>
      </c>
      <c r="DD233">
        <v>20</v>
      </c>
      <c r="DE233">
        <v>-2.7879999999999989</v>
      </c>
      <c r="DF233">
        <v>20</v>
      </c>
      <c r="DG233">
        <v>16.199999999999996</v>
      </c>
      <c r="DH233">
        <v>-1.6</v>
      </c>
      <c r="DI233">
        <v>25</v>
      </c>
      <c r="DJ233">
        <v>22.5</v>
      </c>
      <c r="DK233">
        <v>19</v>
      </c>
      <c r="DL233">
        <v>2.3080000000000003</v>
      </c>
      <c r="DM233">
        <v>26</v>
      </c>
      <c r="DN233">
        <v>4.8000000000000007</v>
      </c>
      <c r="DO233">
        <v>-4.0000000000000077E-2</v>
      </c>
      <c r="DP233">
        <v>10</v>
      </c>
      <c r="DQ233">
        <v>12</v>
      </c>
      <c r="DR233">
        <v>13</v>
      </c>
      <c r="DS233">
        <v>3.12</v>
      </c>
      <c r="DT233">
        <v>11</v>
      </c>
      <c r="DU233">
        <v>2.1333333333333306</v>
      </c>
      <c r="DV233">
        <v>-0.31999999999999973</v>
      </c>
      <c r="DW233">
        <v>21</v>
      </c>
      <c r="DX233">
        <v>22</v>
      </c>
      <c r="DY233">
        <v>21</v>
      </c>
      <c r="DZ233">
        <v>-1.7570000000000001</v>
      </c>
      <c r="EA233">
        <v>23</v>
      </c>
      <c r="EB233">
        <v>-4.7933333333333339</v>
      </c>
      <c r="EC233">
        <v>-0.98000000000000009</v>
      </c>
      <c r="ED233">
        <v>21</v>
      </c>
      <c r="EE233">
        <v>19.5</v>
      </c>
      <c r="EF233">
        <v>19</v>
      </c>
      <c r="EG233">
        <v>3.5773333333333328</v>
      </c>
      <c r="EH233">
        <v>20</v>
      </c>
      <c r="EI233">
        <v>6.5333333333333341</v>
      </c>
      <c r="EJ233">
        <v>1.8133333333333332</v>
      </c>
      <c r="EK233">
        <v>10</v>
      </c>
      <c r="EL233">
        <v>11.5</v>
      </c>
      <c r="EM233">
        <v>12</v>
      </c>
      <c r="EN233">
        <v>3.3159999999999989</v>
      </c>
      <c r="EO233">
        <v>11</v>
      </c>
      <c r="EP233">
        <v>-5.4800000000000013</v>
      </c>
      <c r="EQ233">
        <v>-5.68</v>
      </c>
      <c r="ER233">
        <v>4</v>
      </c>
      <c r="ES233">
        <v>4</v>
      </c>
      <c r="ET233">
        <v>5</v>
      </c>
      <c r="EU233">
        <v>-4.3479999999999999</v>
      </c>
      <c r="EV233">
        <v>3</v>
      </c>
      <c r="EW233">
        <v>-28.77</v>
      </c>
      <c r="EX233">
        <v>-3.75</v>
      </c>
      <c r="EY233">
        <v>29</v>
      </c>
      <c r="EZ233">
        <v>27</v>
      </c>
      <c r="FA233">
        <v>30</v>
      </c>
      <c r="FB233">
        <v>-0.36</v>
      </c>
      <c r="FC233">
        <v>24</v>
      </c>
      <c r="FD233">
        <v>0.6399999999999999</v>
      </c>
      <c r="FE233">
        <v>0.44000000000000022</v>
      </c>
      <c r="FF233">
        <v>9</v>
      </c>
      <c r="FG233">
        <v>12.5</v>
      </c>
      <c r="FH233">
        <v>8</v>
      </c>
      <c r="FI233">
        <v>3.0813975435656466E-2</v>
      </c>
      <c r="FJ233">
        <v>16</v>
      </c>
      <c r="FK233">
        <v>2.0100071350142478E-2</v>
      </c>
      <c r="FL233">
        <v>7</v>
      </c>
      <c r="FM233">
        <v>3.6359999999999983</v>
      </c>
      <c r="FN233">
        <v>19</v>
      </c>
      <c r="FO233">
        <v>-0.92000000000000015</v>
      </c>
      <c r="FP233">
        <v>-1.9200000000000004</v>
      </c>
      <c r="FQ233">
        <v>-0.19999999999999929</v>
      </c>
      <c r="FR233">
        <v>-0.32000000000000012</v>
      </c>
      <c r="FS233">
        <v>-1.2800000000000011</v>
      </c>
      <c r="FT233">
        <v>0.75999999999999945</v>
      </c>
      <c r="FU233">
        <v>-0.91999999999999993</v>
      </c>
      <c r="FV233">
        <v>12.920000000000005</v>
      </c>
      <c r="FW233">
        <v>-8.1599999999999966</v>
      </c>
      <c r="FX233">
        <v>20.2</v>
      </c>
      <c r="FY233">
        <v>4.76</v>
      </c>
      <c r="FZ233">
        <v>-3.88</v>
      </c>
      <c r="GA233">
        <v>12</v>
      </c>
      <c r="GB233">
        <v>1.3855999999999971</v>
      </c>
      <c r="GC233">
        <v>0.53958666666666555</v>
      </c>
      <c r="GD233">
        <v>-28.359999999999996</v>
      </c>
      <c r="GE233">
        <v>-1.3855999999999973</v>
      </c>
      <c r="GF233">
        <v>8.2241666666666588E-2</v>
      </c>
      <c r="GG233">
        <v>4.9403333333333332</v>
      </c>
      <c r="GH233">
        <v>3.8733333333333309</v>
      </c>
      <c r="GI233">
        <v>-0.47999999999999865</v>
      </c>
      <c r="GJ233">
        <v>20.999999999999996</v>
      </c>
      <c r="GK233">
        <v>-3.2366666666666664</v>
      </c>
      <c r="GL233">
        <v>-1.6400000000000001</v>
      </c>
    </row>
    <row r="234" spans="1:194" x14ac:dyDescent="0.2">
      <c r="A234" s="39">
        <v>43765</v>
      </c>
      <c r="B234" s="22" t="s">
        <v>248</v>
      </c>
      <c r="C234" s="41" t="s">
        <v>307</v>
      </c>
      <c r="D234" s="22" t="s">
        <v>285</v>
      </c>
      <c r="E234">
        <v>30.3</v>
      </c>
      <c r="F234">
        <v>6.2</v>
      </c>
      <c r="G234">
        <v>3.7</v>
      </c>
      <c r="H234">
        <f>6.9+4.5</f>
        <v>11.4</v>
      </c>
      <c r="I234">
        <v>-12.5</v>
      </c>
      <c r="J234">
        <v>47.5</v>
      </c>
      <c r="K234" t="s">
        <v>110</v>
      </c>
      <c r="L234" s="1" t="s">
        <v>307</v>
      </c>
      <c r="M234">
        <v>11</v>
      </c>
      <c r="N234">
        <v>1.7223999999999997</v>
      </c>
      <c r="O234">
        <v>8</v>
      </c>
      <c r="P234">
        <v>8.5</v>
      </c>
      <c r="Q234">
        <v>5</v>
      </c>
      <c r="R234">
        <v>3.8472000000000022</v>
      </c>
      <c r="S234">
        <v>12</v>
      </c>
      <c r="T234">
        <v>10.96</v>
      </c>
      <c r="U234">
        <v>1.8800000000000001</v>
      </c>
      <c r="V234">
        <v>16</v>
      </c>
      <c r="W234">
        <v>15</v>
      </c>
      <c r="X234">
        <v>15</v>
      </c>
      <c r="Y234">
        <v>-0.61799999999999977</v>
      </c>
      <c r="Z234">
        <v>15</v>
      </c>
      <c r="AA234">
        <v>2.52</v>
      </c>
      <c r="AB234">
        <v>-0.19999999999999993</v>
      </c>
      <c r="AC234">
        <v>5</v>
      </c>
      <c r="AD234">
        <v>5.5</v>
      </c>
      <c r="AE234">
        <v>4</v>
      </c>
      <c r="AF234">
        <v>9.2620000000000005</v>
      </c>
      <c r="AG234">
        <v>7</v>
      </c>
      <c r="AH234">
        <v>38.589999999999996</v>
      </c>
      <c r="AI234">
        <v>1.95</v>
      </c>
      <c r="AJ234">
        <v>32</v>
      </c>
      <c r="AK234">
        <v>32</v>
      </c>
      <c r="AL234">
        <v>32</v>
      </c>
      <c r="AM234">
        <v>-5.1360000000000001</v>
      </c>
      <c r="AN234">
        <v>32</v>
      </c>
      <c r="AO234">
        <v>-27.48</v>
      </c>
      <c r="AP234">
        <v>-1.55</v>
      </c>
      <c r="AQ234">
        <v>29</v>
      </c>
      <c r="AR234">
        <v>29</v>
      </c>
      <c r="AS234">
        <v>28</v>
      </c>
      <c r="AT234">
        <v>-3.7029999999999994</v>
      </c>
      <c r="AU234">
        <v>30</v>
      </c>
      <c r="AV234">
        <v>-21.89</v>
      </c>
      <c r="AW234">
        <v>-3.13</v>
      </c>
      <c r="AX234">
        <v>28</v>
      </c>
      <c r="AY234">
        <v>28</v>
      </c>
      <c r="AZ234">
        <v>28</v>
      </c>
      <c r="BA234">
        <v>-4.3800000000000008</v>
      </c>
      <c r="BB234">
        <v>28</v>
      </c>
      <c r="BC234">
        <v>-29.4</v>
      </c>
      <c r="BD234">
        <v>-3.16</v>
      </c>
      <c r="BE234">
        <v>4</v>
      </c>
      <c r="BF234">
        <v>4.5</v>
      </c>
      <c r="BG234">
        <v>5</v>
      </c>
      <c r="BH234">
        <v>-1.248</v>
      </c>
      <c r="BI234">
        <v>4</v>
      </c>
      <c r="BJ234">
        <v>-15.679999999999998</v>
      </c>
      <c r="BK234">
        <v>-0.75999999999999979</v>
      </c>
      <c r="BL234">
        <v>4</v>
      </c>
      <c r="BM234">
        <v>7</v>
      </c>
      <c r="BN234">
        <v>4</v>
      </c>
      <c r="BO234">
        <v>1.2399999999999998</v>
      </c>
      <c r="BP234">
        <v>10</v>
      </c>
      <c r="BQ234">
        <v>0.31999999999999995</v>
      </c>
      <c r="BR234">
        <v>3.04</v>
      </c>
      <c r="BS234">
        <v>32</v>
      </c>
      <c r="BT234">
        <v>29.5</v>
      </c>
      <c r="BU234">
        <v>30</v>
      </c>
      <c r="BV234">
        <v>-1.8999449690132141E-2</v>
      </c>
      <c r="BW234">
        <v>28</v>
      </c>
      <c r="BX234">
        <v>-1.246779131224739E-2</v>
      </c>
      <c r="BY234">
        <v>31</v>
      </c>
      <c r="BZ234">
        <v>5.7319999999999993</v>
      </c>
      <c r="CA234">
        <v>29</v>
      </c>
      <c r="CB234">
        <v>-2.6399999999999997</v>
      </c>
      <c r="CC234">
        <v>1.2</v>
      </c>
      <c r="CD234">
        <v>7.1054273576010023E-16</v>
      </c>
      <c r="CE234">
        <v>1.4400000000000002</v>
      </c>
      <c r="CF234">
        <v>-4.0399999999999974</v>
      </c>
      <c r="CG234">
        <v>-18.560000000000002</v>
      </c>
      <c r="CH234">
        <v>10.52</v>
      </c>
      <c r="CI234">
        <v>-0.59999999999999987</v>
      </c>
      <c r="CJ234">
        <v>4.5999999999999996</v>
      </c>
      <c r="CK234">
        <v>20</v>
      </c>
      <c r="CL234">
        <v>-1.5068000000000024</v>
      </c>
      <c r="CM234">
        <v>-1.4351200000000008</v>
      </c>
      <c r="CN234">
        <v>-29.080000000000002</v>
      </c>
      <c r="CO234">
        <v>1.5068000000000026</v>
      </c>
      <c r="CP234">
        <v>0.67082500000000045</v>
      </c>
      <c r="CQ234">
        <v>0.42300000000000093</v>
      </c>
      <c r="CR234">
        <v>-10.780000000000005</v>
      </c>
      <c r="CS234">
        <v>3.2292000000000023</v>
      </c>
      <c r="CT234">
        <v>13.48</v>
      </c>
      <c r="CU234">
        <v>-3.4899999999999998</v>
      </c>
      <c r="CV234">
        <v>1.6800000000000002</v>
      </c>
      <c r="CW234">
        <v>-0.52557500000000024</v>
      </c>
      <c r="CX234">
        <v>-2.7686500000000001</v>
      </c>
      <c r="CY234" t="s">
        <v>285</v>
      </c>
      <c r="CZ234">
        <v>1</v>
      </c>
      <c r="DA234">
        <v>1.6319999999999975</v>
      </c>
      <c r="DB234">
        <v>16</v>
      </c>
      <c r="DC234">
        <v>16.5</v>
      </c>
      <c r="DD234">
        <v>12</v>
      </c>
      <c r="DE234">
        <v>3.3010000000000006</v>
      </c>
      <c r="DF234">
        <v>21</v>
      </c>
      <c r="DG234">
        <v>31.05</v>
      </c>
      <c r="DH234">
        <v>-0.83999999999999986</v>
      </c>
      <c r="DI234">
        <v>11</v>
      </c>
      <c r="DJ234">
        <v>14</v>
      </c>
      <c r="DK234">
        <v>23</v>
      </c>
      <c r="DL234">
        <v>-1.3570000000000002</v>
      </c>
      <c r="DM234">
        <v>5</v>
      </c>
      <c r="DN234">
        <v>-6.419999999999999</v>
      </c>
      <c r="DO234">
        <v>-1.1499999999999999</v>
      </c>
      <c r="DP234">
        <v>8</v>
      </c>
      <c r="DQ234">
        <v>7</v>
      </c>
      <c r="DR234">
        <v>7</v>
      </c>
      <c r="DS234">
        <v>2.2480000000000002</v>
      </c>
      <c r="DT234">
        <v>7</v>
      </c>
      <c r="DU234">
        <v>10.48</v>
      </c>
      <c r="DV234">
        <v>-0.35999999999999976</v>
      </c>
      <c r="DW234">
        <v>1</v>
      </c>
      <c r="DX234">
        <v>1.5</v>
      </c>
      <c r="DY234">
        <v>2</v>
      </c>
      <c r="DZ234">
        <v>1.0960000000000001</v>
      </c>
      <c r="EA234">
        <v>1</v>
      </c>
      <c r="EB234">
        <v>-9.52</v>
      </c>
      <c r="EC234">
        <v>-0.56000000000000016</v>
      </c>
      <c r="ED234">
        <v>4</v>
      </c>
      <c r="EE234">
        <v>5.5</v>
      </c>
      <c r="EF234">
        <v>4</v>
      </c>
      <c r="EG234">
        <v>-1.8319999999999996</v>
      </c>
      <c r="EH234">
        <v>7</v>
      </c>
      <c r="EI234">
        <v>-4.3999999999999995</v>
      </c>
      <c r="EJ234">
        <v>-2.04</v>
      </c>
      <c r="EK234">
        <v>1</v>
      </c>
      <c r="EL234">
        <v>1.5</v>
      </c>
      <c r="EM234">
        <v>2</v>
      </c>
      <c r="EN234">
        <v>2.08</v>
      </c>
      <c r="EO234">
        <v>1</v>
      </c>
      <c r="EP234">
        <v>11.2</v>
      </c>
      <c r="EQ234">
        <v>-0.55999999999999983</v>
      </c>
      <c r="ER234">
        <v>5</v>
      </c>
      <c r="ES234">
        <v>6</v>
      </c>
      <c r="ET234">
        <v>4</v>
      </c>
      <c r="EU234">
        <v>6.8919999999999986</v>
      </c>
      <c r="EV234">
        <v>8</v>
      </c>
      <c r="EW234">
        <v>18.670000000000002</v>
      </c>
      <c r="EX234">
        <v>1.01</v>
      </c>
      <c r="EY234">
        <v>19</v>
      </c>
      <c r="EZ234">
        <v>20.5</v>
      </c>
      <c r="FA234">
        <v>19</v>
      </c>
      <c r="FB234">
        <v>1.7599999999999998</v>
      </c>
      <c r="FC234">
        <v>22</v>
      </c>
      <c r="FD234">
        <v>0.16000000000000006</v>
      </c>
      <c r="FE234">
        <v>1.08</v>
      </c>
      <c r="FF234">
        <v>26</v>
      </c>
      <c r="FG234">
        <v>22</v>
      </c>
      <c r="FH234">
        <v>5</v>
      </c>
      <c r="FI234">
        <v>-4.3532916082351545E-3</v>
      </c>
      <c r="FJ234">
        <v>31</v>
      </c>
      <c r="FK234">
        <v>1.5463369961718765E-2</v>
      </c>
      <c r="FL234">
        <v>20</v>
      </c>
      <c r="FM234">
        <v>15.796000000000001</v>
      </c>
      <c r="FN234">
        <v>32</v>
      </c>
      <c r="FO234">
        <v>-5.6</v>
      </c>
      <c r="FP234">
        <v>-3.2000000000000006</v>
      </c>
      <c r="FQ234">
        <v>2.7600000000000002</v>
      </c>
      <c r="FR234">
        <v>-0.44000000000000006</v>
      </c>
      <c r="FS234">
        <v>-1.3600000000000008</v>
      </c>
      <c r="FT234">
        <v>5.08</v>
      </c>
      <c r="FU234">
        <v>1.04</v>
      </c>
      <c r="FV234">
        <v>31.400000000000013</v>
      </c>
      <c r="FW234">
        <v>10.8</v>
      </c>
      <c r="FX234">
        <v>26.720000000000006</v>
      </c>
      <c r="FY234">
        <v>-2.5200000000000005</v>
      </c>
      <c r="FZ234">
        <v>-3.6</v>
      </c>
      <c r="GA234">
        <v>18</v>
      </c>
      <c r="GB234">
        <v>-0.31200000000000294</v>
      </c>
      <c r="GC234">
        <v>1.035199999999999</v>
      </c>
      <c r="GD234">
        <v>-15.920000000000005</v>
      </c>
      <c r="GE234">
        <v>0.31200000000000294</v>
      </c>
      <c r="GF234">
        <v>1.7174999999999996</v>
      </c>
      <c r="GG234">
        <v>1.5120000000000007</v>
      </c>
      <c r="GH234">
        <v>-3.4399999999999986</v>
      </c>
      <c r="GI234">
        <v>1.9440000000000004</v>
      </c>
      <c r="GJ234">
        <v>24.630000000000003</v>
      </c>
      <c r="GK234">
        <v>-1.95</v>
      </c>
      <c r="GL234">
        <v>-1.9899999999999998</v>
      </c>
    </row>
    <row r="235" spans="1:194" x14ac:dyDescent="0.2">
      <c r="A235" s="39">
        <v>43765</v>
      </c>
      <c r="B235" s="22" t="s">
        <v>248</v>
      </c>
      <c r="C235" s="41" t="s">
        <v>296</v>
      </c>
      <c r="D235" s="22" t="s">
        <v>299</v>
      </c>
      <c r="E235">
        <v>16.5</v>
      </c>
      <c r="F235">
        <v>19</v>
      </c>
      <c r="G235">
        <v>4.8</v>
      </c>
      <c r="H235">
        <v>14.9</v>
      </c>
      <c r="I235">
        <v>6.5</v>
      </c>
      <c r="J235">
        <v>49</v>
      </c>
      <c r="K235" t="s">
        <v>109</v>
      </c>
      <c r="L235" s="1" t="s">
        <v>296</v>
      </c>
      <c r="M235">
        <v>16</v>
      </c>
      <c r="N235">
        <v>-0.66879999999999984</v>
      </c>
      <c r="O235">
        <v>20</v>
      </c>
      <c r="P235">
        <v>21</v>
      </c>
      <c r="Q235">
        <v>16</v>
      </c>
      <c r="R235">
        <v>-2.520799999999999</v>
      </c>
      <c r="S235">
        <v>26</v>
      </c>
      <c r="T235">
        <v>-19.32</v>
      </c>
      <c r="U235">
        <v>-0.39999999999999991</v>
      </c>
      <c r="V235">
        <v>31</v>
      </c>
      <c r="W235">
        <v>31</v>
      </c>
      <c r="X235">
        <v>32</v>
      </c>
      <c r="Y235">
        <v>-3.3919999999999995</v>
      </c>
      <c r="Z235">
        <v>30</v>
      </c>
      <c r="AA235">
        <v>-1.9199999999999995</v>
      </c>
      <c r="AB235">
        <v>-1.72</v>
      </c>
      <c r="AC235">
        <v>14</v>
      </c>
      <c r="AD235">
        <v>15.5</v>
      </c>
      <c r="AE235">
        <v>10</v>
      </c>
      <c r="AF235">
        <v>3.04</v>
      </c>
      <c r="AG235">
        <v>21</v>
      </c>
      <c r="AH235">
        <v>10.6</v>
      </c>
      <c r="AI235">
        <v>1.6400000000000001</v>
      </c>
      <c r="AJ235">
        <v>13</v>
      </c>
      <c r="AK235">
        <v>13.5</v>
      </c>
      <c r="AL235">
        <v>5</v>
      </c>
      <c r="AM235">
        <v>-5.68</v>
      </c>
      <c r="AN235">
        <v>22</v>
      </c>
      <c r="AO235">
        <v>-9.7600000000000016</v>
      </c>
      <c r="AP235">
        <v>-0.88000000000000012</v>
      </c>
      <c r="AQ235">
        <v>12</v>
      </c>
      <c r="AR235">
        <v>12.5</v>
      </c>
      <c r="AS235">
        <v>14</v>
      </c>
      <c r="AT235">
        <v>-0.90400000000000025</v>
      </c>
      <c r="AU235">
        <v>11</v>
      </c>
      <c r="AV235">
        <v>-5.0399999999999991</v>
      </c>
      <c r="AW235">
        <v>-1.0399999999999998</v>
      </c>
      <c r="AX235">
        <v>22</v>
      </c>
      <c r="AY235">
        <v>21</v>
      </c>
      <c r="AZ235">
        <v>17</v>
      </c>
      <c r="BA235">
        <v>1.0120000000000009</v>
      </c>
      <c r="BB235">
        <v>25</v>
      </c>
      <c r="BC235">
        <v>8.9199999999999982</v>
      </c>
      <c r="BD235">
        <v>0.6</v>
      </c>
      <c r="BE235">
        <v>19</v>
      </c>
      <c r="BF235">
        <v>19</v>
      </c>
      <c r="BG235">
        <v>18</v>
      </c>
      <c r="BH235">
        <v>5.5999999999999869E-2</v>
      </c>
      <c r="BI235">
        <v>20</v>
      </c>
      <c r="BJ235">
        <v>-0.36000000000000087</v>
      </c>
      <c r="BK235">
        <v>0.84000000000000019</v>
      </c>
      <c r="BL235">
        <v>28</v>
      </c>
      <c r="BM235">
        <v>27.5</v>
      </c>
      <c r="BN235">
        <v>29</v>
      </c>
      <c r="BO235">
        <v>-2.88</v>
      </c>
      <c r="BP235">
        <v>26</v>
      </c>
      <c r="BQ235">
        <v>-0.8</v>
      </c>
      <c r="BR235">
        <v>2.8</v>
      </c>
      <c r="BS235">
        <v>2</v>
      </c>
      <c r="BT235">
        <v>7.5</v>
      </c>
      <c r="BU235">
        <v>3</v>
      </c>
      <c r="BV235">
        <v>8.1233809770880835E-2</v>
      </c>
      <c r="BW235">
        <v>16</v>
      </c>
      <c r="BX235">
        <v>5.0895119444456351E-3</v>
      </c>
      <c r="BY235">
        <v>10</v>
      </c>
      <c r="BZ235">
        <v>-4.5840000000000014</v>
      </c>
      <c r="CA235">
        <v>1</v>
      </c>
      <c r="CB235">
        <v>5.16</v>
      </c>
      <c r="CC235">
        <v>-1.7199999999999989</v>
      </c>
      <c r="CD235">
        <v>-4.0400000000000009</v>
      </c>
      <c r="CE235">
        <v>1.9599999999999997</v>
      </c>
      <c r="CF235">
        <v>-26.68</v>
      </c>
      <c r="CG235">
        <v>-21.040000000000003</v>
      </c>
      <c r="CH235">
        <v>-20.48</v>
      </c>
      <c r="CI235">
        <v>1.56</v>
      </c>
      <c r="CJ235">
        <v>13.280000000000001</v>
      </c>
      <c r="CK235">
        <v>10</v>
      </c>
      <c r="CL235">
        <v>5.2439999999999989</v>
      </c>
      <c r="CM235">
        <v>2.1250399999999994</v>
      </c>
      <c r="CN235">
        <v>-0.56000000000000227</v>
      </c>
      <c r="CO235">
        <v>-5.2439999999999989</v>
      </c>
      <c r="CP235">
        <v>-1.6187</v>
      </c>
      <c r="CQ235">
        <v>-3.544</v>
      </c>
      <c r="CR235">
        <v>-4.2000000000000011</v>
      </c>
      <c r="CS235">
        <v>-5.9127999999999989</v>
      </c>
      <c r="CT235">
        <v>-21.24</v>
      </c>
      <c r="CU235">
        <v>0.56000000000000039</v>
      </c>
      <c r="CV235">
        <v>-2.12</v>
      </c>
      <c r="CW235">
        <v>0.8408374999999999</v>
      </c>
      <c r="CX235">
        <v>-0.40472500000000011</v>
      </c>
      <c r="CY235" t="s">
        <v>299</v>
      </c>
      <c r="CZ235">
        <v>3</v>
      </c>
      <c r="DA235">
        <v>4.7991999999999999</v>
      </c>
      <c r="DB235">
        <v>14</v>
      </c>
      <c r="DC235">
        <v>16</v>
      </c>
      <c r="DD235">
        <v>14</v>
      </c>
      <c r="DE235">
        <v>2.2209999999999996</v>
      </c>
      <c r="DF235">
        <v>18</v>
      </c>
      <c r="DG235">
        <v>13.729999999999999</v>
      </c>
      <c r="DH235">
        <v>-0.15999999999999998</v>
      </c>
      <c r="DI235">
        <v>11</v>
      </c>
      <c r="DJ235">
        <v>14</v>
      </c>
      <c r="DK235">
        <v>3</v>
      </c>
      <c r="DL235">
        <v>5.4550000000000001</v>
      </c>
      <c r="DM235">
        <v>25</v>
      </c>
      <c r="DN235">
        <v>4.0599999999999996</v>
      </c>
      <c r="DO235">
        <v>0.17</v>
      </c>
      <c r="DP235">
        <v>10</v>
      </c>
      <c r="DQ235">
        <v>9.5</v>
      </c>
      <c r="DR235">
        <v>10</v>
      </c>
      <c r="DS235">
        <v>-1.6360000000000006</v>
      </c>
      <c r="DT235">
        <v>9</v>
      </c>
      <c r="DU235">
        <v>-14.560000000000002</v>
      </c>
      <c r="DV235">
        <v>1.0000000000000004</v>
      </c>
      <c r="DW235">
        <v>3</v>
      </c>
      <c r="DX235">
        <v>3.5</v>
      </c>
      <c r="DY235">
        <v>4</v>
      </c>
      <c r="DZ235">
        <v>4.8759999999999994</v>
      </c>
      <c r="EA235">
        <v>3</v>
      </c>
      <c r="EB235">
        <v>20.68</v>
      </c>
      <c r="EC235">
        <v>1.24</v>
      </c>
      <c r="ED235">
        <v>15</v>
      </c>
      <c r="EE235">
        <v>3.5</v>
      </c>
      <c r="EF235">
        <v>3</v>
      </c>
      <c r="EG235">
        <v>-1.5559999999999996</v>
      </c>
      <c r="EH235">
        <v>4</v>
      </c>
      <c r="EI235">
        <v>-4.8800000000000008</v>
      </c>
      <c r="EJ235">
        <v>-0.27999999999999992</v>
      </c>
      <c r="EK235">
        <v>2</v>
      </c>
      <c r="EL235">
        <v>3.5</v>
      </c>
      <c r="EM235">
        <v>3</v>
      </c>
      <c r="EN235">
        <v>3.8919999999999986</v>
      </c>
      <c r="EO235">
        <v>4</v>
      </c>
      <c r="EP235">
        <v>0.51999999999999891</v>
      </c>
      <c r="EQ235">
        <v>2.3600000000000003</v>
      </c>
      <c r="ER235">
        <v>11</v>
      </c>
      <c r="ES235">
        <v>12.5</v>
      </c>
      <c r="ET235">
        <v>8</v>
      </c>
      <c r="EU235">
        <v>2.6919999999999993</v>
      </c>
      <c r="EV235">
        <v>17</v>
      </c>
      <c r="EW235">
        <v>14.319999999999999</v>
      </c>
      <c r="EX235">
        <v>0.91999999999999993</v>
      </c>
      <c r="EY235">
        <v>12</v>
      </c>
      <c r="EZ235">
        <v>12.5</v>
      </c>
      <c r="FA235">
        <v>7</v>
      </c>
      <c r="FB235">
        <v>-0.16000000000000014</v>
      </c>
      <c r="FC235">
        <v>18</v>
      </c>
      <c r="FD235">
        <v>-0.12000000000000002</v>
      </c>
      <c r="FE235">
        <v>-2.6</v>
      </c>
      <c r="FF235">
        <v>24</v>
      </c>
      <c r="FG235">
        <v>21</v>
      </c>
      <c r="FH235">
        <v>26</v>
      </c>
      <c r="FI235">
        <v>-6.0675730733644573E-2</v>
      </c>
      <c r="FJ235">
        <v>23</v>
      </c>
      <c r="FK235">
        <v>-1.5127900761252797E-2</v>
      </c>
      <c r="FL235">
        <v>5</v>
      </c>
      <c r="FM235">
        <v>-3.7399999999999962</v>
      </c>
      <c r="FN235">
        <v>30</v>
      </c>
      <c r="FO235">
        <v>4.0000000000000036E-2</v>
      </c>
      <c r="FP235">
        <v>4.5999999999999988</v>
      </c>
      <c r="FQ235">
        <v>2.96</v>
      </c>
      <c r="FR235">
        <v>0.72</v>
      </c>
      <c r="FS235">
        <v>7.2799999999999994</v>
      </c>
      <c r="FT235">
        <v>4.24</v>
      </c>
      <c r="FU235">
        <v>-0.64</v>
      </c>
      <c r="FV235">
        <v>58.879999999999995</v>
      </c>
      <c r="FW235">
        <v>35.28</v>
      </c>
      <c r="FX235">
        <v>17.679999999999996</v>
      </c>
      <c r="FY235">
        <v>-1.48</v>
      </c>
      <c r="FZ235">
        <v>7.4</v>
      </c>
      <c r="GA235">
        <v>24</v>
      </c>
      <c r="GB235">
        <v>-2.8767999999999998</v>
      </c>
      <c r="GC235">
        <v>-2.0029599999999999</v>
      </c>
      <c r="GD235">
        <v>17.600000000000005</v>
      </c>
      <c r="GE235">
        <v>2.8768000000000002</v>
      </c>
      <c r="GF235">
        <v>2.0863999999999998</v>
      </c>
      <c r="GG235">
        <v>1.6839999999999993</v>
      </c>
      <c r="GH235">
        <v>1.2399999999999967</v>
      </c>
      <c r="GI235">
        <v>7.6760000000000002</v>
      </c>
      <c r="GJ235">
        <v>17.79</v>
      </c>
      <c r="GK235">
        <v>2.8800000000000003</v>
      </c>
      <c r="GL235">
        <v>1.0000000000000037E-2</v>
      </c>
    </row>
    <row r="236" spans="1:194" x14ac:dyDescent="0.2">
      <c r="A236" s="39">
        <v>43765</v>
      </c>
      <c r="B236" s="22" t="s">
        <v>248</v>
      </c>
      <c r="C236" s="41" t="s">
        <v>298</v>
      </c>
      <c r="D236" s="22" t="s">
        <v>297</v>
      </c>
      <c r="E236">
        <v>5.4</v>
      </c>
      <c r="F236">
        <v>8.3000000000000007</v>
      </c>
      <c r="G236">
        <v>11.3</v>
      </c>
      <c r="H236">
        <v>24.6</v>
      </c>
      <c r="I236">
        <v>7</v>
      </c>
      <c r="J236">
        <v>39.5</v>
      </c>
      <c r="L236" s="1" t="s">
        <v>298</v>
      </c>
      <c r="M236">
        <v>29</v>
      </c>
      <c r="N236">
        <v>-4.0815999999999999</v>
      </c>
      <c r="O236">
        <v>19</v>
      </c>
      <c r="P236">
        <v>20.5</v>
      </c>
      <c r="Q236">
        <v>13</v>
      </c>
      <c r="R236">
        <v>-3.2879999999999994</v>
      </c>
      <c r="S236">
        <v>28</v>
      </c>
      <c r="T236">
        <v>-10.879999999999999</v>
      </c>
      <c r="U236">
        <v>0.97999999999999987</v>
      </c>
      <c r="V236">
        <v>24</v>
      </c>
      <c r="W236">
        <v>24</v>
      </c>
      <c r="X236">
        <v>27</v>
      </c>
      <c r="Y236">
        <v>-3.5120000000000005</v>
      </c>
      <c r="Z236">
        <v>21</v>
      </c>
      <c r="AA236">
        <v>-10.72</v>
      </c>
      <c r="AB236">
        <v>-1.44</v>
      </c>
      <c r="AC236">
        <v>31</v>
      </c>
      <c r="AD236">
        <v>31</v>
      </c>
      <c r="AE236">
        <v>30</v>
      </c>
      <c r="AF236">
        <v>-4.508</v>
      </c>
      <c r="AG236">
        <v>32</v>
      </c>
      <c r="AH236">
        <v>-25.04</v>
      </c>
      <c r="AI236">
        <v>-2.2000000000000002</v>
      </c>
      <c r="AJ236">
        <v>21</v>
      </c>
      <c r="AK236">
        <v>20.5</v>
      </c>
      <c r="AL236">
        <v>21</v>
      </c>
      <c r="AM236">
        <v>-1.5120000000000011</v>
      </c>
      <c r="AN236">
        <v>20</v>
      </c>
      <c r="AO236">
        <v>-7.7200000000000006</v>
      </c>
      <c r="AP236">
        <v>-0.84000000000000008</v>
      </c>
      <c r="AQ236">
        <v>6</v>
      </c>
      <c r="AR236">
        <v>6</v>
      </c>
      <c r="AS236">
        <v>7</v>
      </c>
      <c r="AT236">
        <v>3.2119999999999997</v>
      </c>
      <c r="AU236">
        <v>5</v>
      </c>
      <c r="AV236">
        <v>22.36</v>
      </c>
      <c r="AW236">
        <v>2</v>
      </c>
      <c r="AX236">
        <v>24</v>
      </c>
      <c r="AY236">
        <v>25</v>
      </c>
      <c r="AZ236">
        <v>24</v>
      </c>
      <c r="BA236">
        <v>-3.3319999999999994</v>
      </c>
      <c r="BB236">
        <v>26</v>
      </c>
      <c r="BC236">
        <v>-10.920000000000003</v>
      </c>
      <c r="BD236">
        <v>-2.2399999999999998</v>
      </c>
      <c r="BE236">
        <v>14</v>
      </c>
      <c r="BF236">
        <v>13.5</v>
      </c>
      <c r="BG236">
        <v>13</v>
      </c>
      <c r="BH236">
        <v>-0.44000000000000022</v>
      </c>
      <c r="BI236">
        <v>14</v>
      </c>
      <c r="BJ236">
        <v>-16</v>
      </c>
      <c r="BK236">
        <v>-2.6</v>
      </c>
      <c r="BL236">
        <v>14</v>
      </c>
      <c r="BM236">
        <v>13.5</v>
      </c>
      <c r="BN236">
        <v>19</v>
      </c>
      <c r="BO236">
        <v>-3.2</v>
      </c>
      <c r="BP236">
        <v>8</v>
      </c>
      <c r="BQ236">
        <v>-1</v>
      </c>
      <c r="BR236">
        <v>-1.8400000000000003</v>
      </c>
      <c r="BS236">
        <v>8</v>
      </c>
      <c r="BT236">
        <v>12</v>
      </c>
      <c r="BU236">
        <v>2</v>
      </c>
      <c r="BV236">
        <v>5.9736888022691371E-2</v>
      </c>
      <c r="BW236">
        <v>17</v>
      </c>
      <c r="BX236">
        <v>5.3430020228438992E-2</v>
      </c>
      <c r="BY236">
        <v>12</v>
      </c>
      <c r="BZ236">
        <v>0.95999999999999663</v>
      </c>
      <c r="CA236">
        <v>17</v>
      </c>
      <c r="CB236">
        <v>4.5600000000000005</v>
      </c>
      <c r="CC236">
        <v>-7.2</v>
      </c>
      <c r="CD236">
        <v>-5.5200000000000005</v>
      </c>
      <c r="CE236">
        <v>0.56000000000000016</v>
      </c>
      <c r="CF236">
        <v>-82.160000000000011</v>
      </c>
      <c r="CG236">
        <v>-39.760000000000012</v>
      </c>
      <c r="CH236">
        <v>-26.639999999999997</v>
      </c>
      <c r="CI236">
        <v>-3.3200000000000003</v>
      </c>
      <c r="CJ236">
        <v>-12.44</v>
      </c>
      <c r="CK236">
        <v>16</v>
      </c>
      <c r="CL236">
        <v>2.7183999999999999</v>
      </c>
      <c r="CM236">
        <v>1.9340799999999996</v>
      </c>
      <c r="CN236">
        <v>-13.120000000000015</v>
      </c>
      <c r="CO236">
        <v>-2.7183999999999999</v>
      </c>
      <c r="CP236">
        <v>-2.1661999999999999</v>
      </c>
      <c r="CQ236">
        <v>-2.8080000000000016</v>
      </c>
      <c r="CR236">
        <v>-10.399999999999999</v>
      </c>
      <c r="CS236">
        <v>-6.8</v>
      </c>
      <c r="CT236">
        <v>-21.6</v>
      </c>
      <c r="CU236">
        <v>-3.64</v>
      </c>
      <c r="CV236">
        <v>-0.46000000000000008</v>
      </c>
      <c r="CW236">
        <v>0.46137499999999976</v>
      </c>
      <c r="CX236">
        <v>0.75244999999999962</v>
      </c>
      <c r="CY236" t="s">
        <v>297</v>
      </c>
      <c r="CZ236">
        <v>20</v>
      </c>
      <c r="DA236">
        <v>3.2751999999999994</v>
      </c>
      <c r="DB236">
        <v>1</v>
      </c>
      <c r="DC236">
        <v>1.5</v>
      </c>
      <c r="DD236">
        <v>2</v>
      </c>
      <c r="DE236">
        <v>-1.172800000000001</v>
      </c>
      <c r="DF236">
        <v>1</v>
      </c>
      <c r="DG236">
        <v>-12.479999999999999</v>
      </c>
      <c r="DH236">
        <v>0.32000000000000012</v>
      </c>
      <c r="DI236">
        <v>13</v>
      </c>
      <c r="DJ236">
        <v>14.5</v>
      </c>
      <c r="DK236">
        <v>11</v>
      </c>
      <c r="DL236">
        <v>2.3159999999999998</v>
      </c>
      <c r="DM236">
        <v>18</v>
      </c>
      <c r="DN236">
        <v>12.4</v>
      </c>
      <c r="DO236">
        <v>8.0000000000000071E-2</v>
      </c>
      <c r="DP236">
        <v>12</v>
      </c>
      <c r="DQ236">
        <v>13</v>
      </c>
      <c r="DR236">
        <v>11</v>
      </c>
      <c r="DS236">
        <v>-5.72</v>
      </c>
      <c r="DT236">
        <v>15</v>
      </c>
      <c r="DU236">
        <v>-17</v>
      </c>
      <c r="DV236">
        <v>-0.56000000000000016</v>
      </c>
      <c r="DW236">
        <v>26</v>
      </c>
      <c r="DX236">
        <v>26.5</v>
      </c>
      <c r="DY236">
        <v>28</v>
      </c>
      <c r="DZ236">
        <v>1.6440000000000006</v>
      </c>
      <c r="EA236">
        <v>25</v>
      </c>
      <c r="EB236">
        <v>18.440000000000005</v>
      </c>
      <c r="EC236">
        <v>1.1599999999999999</v>
      </c>
      <c r="ED236">
        <v>1</v>
      </c>
      <c r="EE236">
        <v>5</v>
      </c>
      <c r="EF236">
        <v>5</v>
      </c>
      <c r="EG236">
        <v>2.12</v>
      </c>
      <c r="EH236">
        <v>5</v>
      </c>
      <c r="EI236">
        <v>13.76</v>
      </c>
      <c r="EJ236">
        <v>1.8</v>
      </c>
      <c r="EK236">
        <v>27</v>
      </c>
      <c r="EL236">
        <v>27</v>
      </c>
      <c r="EM236">
        <v>29</v>
      </c>
      <c r="EN236">
        <v>4.4280000000000017</v>
      </c>
      <c r="EO236">
        <v>25</v>
      </c>
      <c r="EP236">
        <v>22.68</v>
      </c>
      <c r="EQ236">
        <v>2.5200000000000005</v>
      </c>
      <c r="ER236">
        <v>26</v>
      </c>
      <c r="ES236">
        <v>25.5</v>
      </c>
      <c r="ET236">
        <v>22</v>
      </c>
      <c r="EU236">
        <v>0.69999999999999962</v>
      </c>
      <c r="EV236">
        <v>29</v>
      </c>
      <c r="EW236">
        <v>-4.6000000000000014</v>
      </c>
      <c r="EX236">
        <v>-1.7763568394002506E-16</v>
      </c>
      <c r="EY236">
        <v>26</v>
      </c>
      <c r="EZ236">
        <v>25</v>
      </c>
      <c r="FA236">
        <v>21</v>
      </c>
      <c r="FB236">
        <v>-1.8</v>
      </c>
      <c r="FC236">
        <v>29</v>
      </c>
      <c r="FD236">
        <v>-0.6</v>
      </c>
      <c r="FE236">
        <v>-1.56</v>
      </c>
      <c r="FF236">
        <v>20</v>
      </c>
      <c r="FG236">
        <v>16.75</v>
      </c>
      <c r="FH236">
        <v>21</v>
      </c>
      <c r="FI236">
        <v>2.6720151429531058E-2</v>
      </c>
      <c r="FJ236">
        <v>5</v>
      </c>
      <c r="FK236">
        <v>-8.4222800222777949E-3</v>
      </c>
      <c r="FL236">
        <v>32</v>
      </c>
      <c r="FM236">
        <v>-5.8640000000000017</v>
      </c>
      <c r="FN236">
        <v>9</v>
      </c>
      <c r="FO236">
        <v>0.15999999999999998</v>
      </c>
      <c r="FP236">
        <v>4.88</v>
      </c>
      <c r="FQ236">
        <v>-3.7199999999999998</v>
      </c>
      <c r="FR236">
        <v>0.48</v>
      </c>
      <c r="FS236">
        <v>1.9999999999999987</v>
      </c>
      <c r="FT236">
        <v>1.64</v>
      </c>
      <c r="FU236">
        <v>0.12000000000000011</v>
      </c>
      <c r="FV236">
        <v>38.120000000000005</v>
      </c>
      <c r="FW236">
        <v>28.96</v>
      </c>
      <c r="FX236">
        <v>-0.75999999999999657</v>
      </c>
      <c r="FY236">
        <v>2.84</v>
      </c>
      <c r="FZ236">
        <v>7.080000000000001</v>
      </c>
      <c r="GA236">
        <v>11</v>
      </c>
      <c r="GB236">
        <v>2.1320000000000006</v>
      </c>
      <c r="GC236">
        <v>-0.16775999999999941</v>
      </c>
      <c r="GD236">
        <v>29.72</v>
      </c>
      <c r="GE236">
        <v>-2.1320000000000006</v>
      </c>
      <c r="GF236">
        <v>0.17029999999999987</v>
      </c>
      <c r="GG236">
        <v>-1.9559999999999986</v>
      </c>
      <c r="GH236">
        <v>15.200000000000005</v>
      </c>
      <c r="GI236">
        <v>1.1431999999999989</v>
      </c>
      <c r="GJ236">
        <v>-7.9999999999998295E-2</v>
      </c>
      <c r="GK236">
        <v>2.4</v>
      </c>
      <c r="GL236">
        <v>0.40000000000000019</v>
      </c>
    </row>
    <row r="237" spans="1:194" x14ac:dyDescent="0.2">
      <c r="A237" s="39">
        <v>43765</v>
      </c>
      <c r="B237" s="22" t="s">
        <v>248</v>
      </c>
      <c r="C237" s="41" t="s">
        <v>294</v>
      </c>
      <c r="D237" s="22" t="s">
        <v>276</v>
      </c>
      <c r="E237">
        <v>10.4</v>
      </c>
      <c r="F237">
        <v>5.4</v>
      </c>
      <c r="G237">
        <v>0</v>
      </c>
      <c r="H237">
        <v>15.2</v>
      </c>
      <c r="I237">
        <v>1</v>
      </c>
      <c r="J237">
        <v>39.5</v>
      </c>
      <c r="L237" s="1" t="s">
        <v>294</v>
      </c>
      <c r="M237">
        <v>19</v>
      </c>
      <c r="N237">
        <v>-1.1632000000000002</v>
      </c>
      <c r="O237">
        <v>16</v>
      </c>
      <c r="P237">
        <v>16.5</v>
      </c>
      <c r="Q237">
        <v>18</v>
      </c>
      <c r="R237">
        <v>-3.0919999999999996</v>
      </c>
      <c r="S237">
        <v>15</v>
      </c>
      <c r="T237">
        <v>-3.4799999999999995</v>
      </c>
      <c r="U237">
        <v>-1.52</v>
      </c>
      <c r="V237">
        <v>9</v>
      </c>
      <c r="W237">
        <v>10.5</v>
      </c>
      <c r="X237">
        <v>16</v>
      </c>
      <c r="Y237">
        <v>1.7290000000000003</v>
      </c>
      <c r="Z237">
        <v>5</v>
      </c>
      <c r="AA237">
        <v>6.82</v>
      </c>
      <c r="AB237">
        <v>-0.4</v>
      </c>
      <c r="AC237">
        <v>19</v>
      </c>
      <c r="AD237">
        <v>18.5</v>
      </c>
      <c r="AE237">
        <v>20</v>
      </c>
      <c r="AF237">
        <v>1.3409999999999995</v>
      </c>
      <c r="AG237">
        <v>17</v>
      </c>
      <c r="AH237">
        <v>-13.73</v>
      </c>
      <c r="AI237">
        <v>1.2</v>
      </c>
      <c r="AJ237">
        <v>30</v>
      </c>
      <c r="AK237">
        <v>30</v>
      </c>
      <c r="AL237">
        <v>29</v>
      </c>
      <c r="AM237">
        <v>-6.9760000000000009</v>
      </c>
      <c r="AN237">
        <v>31</v>
      </c>
      <c r="AO237">
        <v>-22.919999999999998</v>
      </c>
      <c r="AP237">
        <v>-2.15</v>
      </c>
      <c r="AQ237">
        <v>23</v>
      </c>
      <c r="AR237">
        <v>23.5</v>
      </c>
      <c r="AS237">
        <v>24</v>
      </c>
      <c r="AT237">
        <v>-5.6120000000000001</v>
      </c>
      <c r="AU237">
        <v>23</v>
      </c>
      <c r="AV237">
        <v>-24.44</v>
      </c>
      <c r="AW237">
        <v>-1.6400000000000001</v>
      </c>
      <c r="AX237">
        <v>20</v>
      </c>
      <c r="AY237">
        <v>20</v>
      </c>
      <c r="AZ237">
        <v>19</v>
      </c>
      <c r="BA237">
        <v>0.21599999999999858</v>
      </c>
      <c r="BB237">
        <v>21</v>
      </c>
      <c r="BC237">
        <v>-13.039999999999997</v>
      </c>
      <c r="BD237">
        <v>0.47999999999999987</v>
      </c>
      <c r="BE237">
        <v>1</v>
      </c>
      <c r="BF237">
        <v>1</v>
      </c>
      <c r="BG237">
        <v>1</v>
      </c>
      <c r="BH237">
        <v>3.5159999999999996</v>
      </c>
      <c r="BI237">
        <v>1</v>
      </c>
      <c r="BJ237">
        <v>18.440000000000001</v>
      </c>
      <c r="BK237">
        <v>2.2800000000000002</v>
      </c>
      <c r="BL237">
        <v>23</v>
      </c>
      <c r="BM237">
        <v>22.5</v>
      </c>
      <c r="BN237">
        <v>24</v>
      </c>
      <c r="BO237">
        <v>-1.72</v>
      </c>
      <c r="BP237">
        <v>21</v>
      </c>
      <c r="BQ237">
        <v>-0.88000000000000012</v>
      </c>
      <c r="BR237">
        <v>1.9600000000000002</v>
      </c>
      <c r="BS237">
        <v>6</v>
      </c>
      <c r="BT237">
        <v>10.25</v>
      </c>
      <c r="BU237">
        <v>16</v>
      </c>
      <c r="BV237">
        <v>3.7906424129798423E-2</v>
      </c>
      <c r="BW237">
        <v>4</v>
      </c>
      <c r="BX237">
        <v>-2.6866019252633168E-3</v>
      </c>
      <c r="BY237">
        <v>6</v>
      </c>
      <c r="BZ237">
        <v>-5.2960000000000012</v>
      </c>
      <c r="CA237">
        <v>15</v>
      </c>
      <c r="CB237">
        <v>1.56</v>
      </c>
      <c r="CC237">
        <v>-3.72</v>
      </c>
      <c r="CD237">
        <v>-1.6799999999999997</v>
      </c>
      <c r="CE237">
        <v>1.8800000000000001</v>
      </c>
      <c r="CF237">
        <v>-35.04</v>
      </c>
      <c r="CG237">
        <v>-48.88000000000001</v>
      </c>
      <c r="CH237">
        <v>11.680000000000001</v>
      </c>
      <c r="CI237">
        <v>-3.12</v>
      </c>
      <c r="CJ237">
        <v>5.2799999999999994</v>
      </c>
      <c r="CK237">
        <v>17</v>
      </c>
      <c r="CL237">
        <v>0.19979999999999909</v>
      </c>
      <c r="CM237">
        <v>-1.0973400000000004</v>
      </c>
      <c r="CN237">
        <v>-60.560000000000009</v>
      </c>
      <c r="CO237">
        <v>-0.19979999999999909</v>
      </c>
      <c r="CP237">
        <v>-1.4971500000000002</v>
      </c>
      <c r="CQ237">
        <v>-11.247000000000002</v>
      </c>
      <c r="CR237">
        <v>-61.09</v>
      </c>
      <c r="CS237">
        <v>-1.3629999999999993</v>
      </c>
      <c r="CT237">
        <v>3.3400000000000007</v>
      </c>
      <c r="CU237">
        <v>-0.30999999999999961</v>
      </c>
      <c r="CV237">
        <v>-1.92</v>
      </c>
      <c r="CW237">
        <v>-0.72533749999999997</v>
      </c>
      <c r="CX237">
        <v>-0.18744999999999978</v>
      </c>
      <c r="CY237" t="s">
        <v>276</v>
      </c>
      <c r="CZ237">
        <v>24</v>
      </c>
      <c r="DA237">
        <v>-2.8608000000000002</v>
      </c>
      <c r="DB237">
        <v>10</v>
      </c>
      <c r="DC237">
        <v>10.5</v>
      </c>
      <c r="DD237">
        <v>8</v>
      </c>
      <c r="DE237">
        <v>0.67600000000000038</v>
      </c>
      <c r="DF237">
        <v>13</v>
      </c>
      <c r="DG237">
        <v>10.199999999999999</v>
      </c>
      <c r="DH237">
        <v>-1.44</v>
      </c>
      <c r="DI237">
        <v>3</v>
      </c>
      <c r="DJ237">
        <v>6</v>
      </c>
      <c r="DK237">
        <v>2</v>
      </c>
      <c r="DL237">
        <v>2.5440000000000009</v>
      </c>
      <c r="DM237">
        <v>10</v>
      </c>
      <c r="DN237">
        <v>13.64</v>
      </c>
      <c r="DO237">
        <v>0.27999999999999997</v>
      </c>
      <c r="DP237">
        <v>17</v>
      </c>
      <c r="DQ237">
        <v>19</v>
      </c>
      <c r="DR237">
        <v>20</v>
      </c>
      <c r="DS237">
        <v>-3.8680000000000008</v>
      </c>
      <c r="DT237">
        <v>18</v>
      </c>
      <c r="DU237">
        <v>-3.88</v>
      </c>
      <c r="DV237">
        <v>-1.48</v>
      </c>
      <c r="DW237">
        <v>20</v>
      </c>
      <c r="DX237">
        <v>19</v>
      </c>
      <c r="DY237">
        <v>20</v>
      </c>
      <c r="DZ237">
        <v>-2.633</v>
      </c>
      <c r="EA237">
        <v>18</v>
      </c>
      <c r="EB237">
        <v>-19.059999999999999</v>
      </c>
      <c r="EC237">
        <v>0.25999999999999979</v>
      </c>
      <c r="ED237">
        <v>8</v>
      </c>
      <c r="EE237">
        <v>21</v>
      </c>
      <c r="EF237">
        <v>11</v>
      </c>
      <c r="EG237">
        <v>-0.24799999999999961</v>
      </c>
      <c r="EH237">
        <v>31</v>
      </c>
      <c r="EI237">
        <v>4.84</v>
      </c>
      <c r="EJ237">
        <v>0.4</v>
      </c>
      <c r="EK237">
        <v>20</v>
      </c>
      <c r="EL237">
        <v>19</v>
      </c>
      <c r="EM237">
        <v>19</v>
      </c>
      <c r="EN237">
        <v>-6.5240000000000009</v>
      </c>
      <c r="EO237">
        <v>19</v>
      </c>
      <c r="EP237">
        <v>-18.28</v>
      </c>
      <c r="EQ237">
        <v>-6.6</v>
      </c>
      <c r="ER237">
        <v>32</v>
      </c>
      <c r="ES237">
        <v>32</v>
      </c>
      <c r="ET237">
        <v>32</v>
      </c>
      <c r="EU237">
        <v>-2.4360000000000013</v>
      </c>
      <c r="EV237">
        <v>32</v>
      </c>
      <c r="EW237">
        <v>-12.760000000000002</v>
      </c>
      <c r="EX237">
        <v>-2.2000000000000002</v>
      </c>
      <c r="EY237">
        <v>32</v>
      </c>
      <c r="EZ237">
        <v>32</v>
      </c>
      <c r="FA237">
        <v>32</v>
      </c>
      <c r="FB237">
        <v>-1.28</v>
      </c>
      <c r="FC237">
        <v>32</v>
      </c>
      <c r="FD237">
        <v>0.16</v>
      </c>
      <c r="FE237">
        <v>2</v>
      </c>
      <c r="FF237">
        <v>7</v>
      </c>
      <c r="FG237">
        <v>12.25</v>
      </c>
      <c r="FH237">
        <v>24</v>
      </c>
      <c r="FI237">
        <v>1.6496533760181287E-2</v>
      </c>
      <c r="FJ237">
        <v>3</v>
      </c>
      <c r="FK237">
        <v>-5.9058641278462521E-3</v>
      </c>
      <c r="FL237">
        <v>17</v>
      </c>
      <c r="FM237">
        <v>1.1519999999999981</v>
      </c>
      <c r="FN237">
        <v>5</v>
      </c>
      <c r="FO237">
        <v>-1.6</v>
      </c>
      <c r="FP237">
        <v>-4.4799999999999995</v>
      </c>
      <c r="FQ237">
        <v>1.2399999999999998</v>
      </c>
      <c r="FR237">
        <v>1.2799999999999998</v>
      </c>
      <c r="FS237">
        <v>-2.5600000000000009</v>
      </c>
      <c r="FT237">
        <v>-0.6</v>
      </c>
      <c r="FU237">
        <v>-0.35999999999999988</v>
      </c>
      <c r="FV237">
        <v>-9.8399999999999981</v>
      </c>
      <c r="FW237">
        <v>-33.999999999999993</v>
      </c>
      <c r="FX237">
        <v>22.080000000000002</v>
      </c>
      <c r="FY237">
        <v>0.96000000000000019</v>
      </c>
      <c r="FZ237">
        <v>1.1200000000000003</v>
      </c>
      <c r="GA237">
        <v>30</v>
      </c>
      <c r="GB237">
        <v>-6.0808000000000018</v>
      </c>
      <c r="GC237">
        <v>-4.0191600000000012</v>
      </c>
      <c r="GD237">
        <v>-56.08</v>
      </c>
      <c r="GE237">
        <v>6.0808000000000018</v>
      </c>
      <c r="GF237">
        <v>-1.263225</v>
      </c>
      <c r="GG237">
        <v>-6.7490000000000006</v>
      </c>
      <c r="GH237">
        <v>-18.099999999999998</v>
      </c>
      <c r="GI237">
        <v>3.2200000000000015</v>
      </c>
      <c r="GJ237">
        <v>23.84</v>
      </c>
      <c r="GK237">
        <v>-3.0200000000000005</v>
      </c>
      <c r="GL237">
        <v>-1.1599999999999999</v>
      </c>
    </row>
    <row r="238" spans="1:194" x14ac:dyDescent="0.2">
      <c r="A238" s="39">
        <v>43765</v>
      </c>
      <c r="B238" s="22" t="s">
        <v>248</v>
      </c>
      <c r="C238" s="41" t="s">
        <v>309</v>
      </c>
      <c r="D238" s="22" t="s">
        <v>293</v>
      </c>
      <c r="E238">
        <v>24.3</v>
      </c>
      <c r="F238">
        <v>19.399999999999999</v>
      </c>
      <c r="G238">
        <v>3.1</v>
      </c>
      <c r="H238">
        <f>4.9+2.5</f>
        <v>7.4</v>
      </c>
      <c r="I238">
        <v>-14</v>
      </c>
      <c r="J238">
        <v>44</v>
      </c>
      <c r="L238" s="1" t="s">
        <v>309</v>
      </c>
      <c r="M238">
        <v>26</v>
      </c>
      <c r="N238">
        <v>-2.2775999999999992</v>
      </c>
      <c r="O238">
        <v>12</v>
      </c>
      <c r="P238">
        <v>14.5</v>
      </c>
      <c r="Q238">
        <v>9</v>
      </c>
      <c r="R238">
        <v>3.2359999999999984</v>
      </c>
      <c r="S238">
        <v>20</v>
      </c>
      <c r="T238">
        <v>-10.44</v>
      </c>
      <c r="U238">
        <v>1.7200000000000002</v>
      </c>
      <c r="V238">
        <v>9</v>
      </c>
      <c r="W238">
        <v>10.5</v>
      </c>
      <c r="X238">
        <v>11</v>
      </c>
      <c r="Y238">
        <v>0.65200000000000002</v>
      </c>
      <c r="Z238">
        <v>10</v>
      </c>
      <c r="AA238">
        <v>-6.6</v>
      </c>
      <c r="AB238">
        <v>0.67999999999999994</v>
      </c>
      <c r="AC238">
        <v>13</v>
      </c>
      <c r="AD238">
        <v>14.5</v>
      </c>
      <c r="AE238">
        <v>19</v>
      </c>
      <c r="AF238">
        <v>1.656000000000001</v>
      </c>
      <c r="AG238">
        <v>10</v>
      </c>
      <c r="AH238">
        <v>6.08</v>
      </c>
      <c r="AI238">
        <v>0.11999999999999993</v>
      </c>
      <c r="AJ238">
        <v>17</v>
      </c>
      <c r="AK238">
        <v>17.5</v>
      </c>
      <c r="AL238">
        <v>19</v>
      </c>
      <c r="AM238">
        <v>2.3600000000000003</v>
      </c>
      <c r="AN238">
        <v>16</v>
      </c>
      <c r="AO238">
        <v>2.5199999999999987</v>
      </c>
      <c r="AP238">
        <v>-0.24000000000000005</v>
      </c>
      <c r="AQ238">
        <v>18</v>
      </c>
      <c r="AR238">
        <v>17.5</v>
      </c>
      <c r="AS238">
        <v>20</v>
      </c>
      <c r="AT238">
        <v>-1.7600000000000002</v>
      </c>
      <c r="AU238">
        <v>15</v>
      </c>
      <c r="AV238">
        <v>-8.52</v>
      </c>
      <c r="AW238">
        <v>0.23999999999999994</v>
      </c>
      <c r="AX238">
        <v>31</v>
      </c>
      <c r="AY238">
        <v>31.5</v>
      </c>
      <c r="AZ238">
        <v>32</v>
      </c>
      <c r="BA238">
        <v>-3.903999999999999</v>
      </c>
      <c r="BB238">
        <v>31</v>
      </c>
      <c r="BC238">
        <v>-27.840000000000011</v>
      </c>
      <c r="BD238">
        <v>-1.72</v>
      </c>
      <c r="BE238">
        <v>28</v>
      </c>
      <c r="BF238">
        <v>27.5</v>
      </c>
      <c r="BG238">
        <v>24</v>
      </c>
      <c r="BH238">
        <v>-3.964</v>
      </c>
      <c r="BI238">
        <v>31</v>
      </c>
      <c r="BJ238">
        <v>-19.279999999999994</v>
      </c>
      <c r="BK238">
        <v>-1.48</v>
      </c>
      <c r="BL238">
        <v>3</v>
      </c>
      <c r="BM238">
        <v>5.5</v>
      </c>
      <c r="BN238">
        <v>5</v>
      </c>
      <c r="BO238">
        <v>2.08</v>
      </c>
      <c r="BP238">
        <v>6</v>
      </c>
      <c r="BQ238">
        <v>0.12000000000000002</v>
      </c>
      <c r="BR238">
        <v>5.0400000000000009</v>
      </c>
      <c r="BS238">
        <v>12</v>
      </c>
      <c r="BT238">
        <v>13.25</v>
      </c>
      <c r="BU238">
        <v>9</v>
      </c>
      <c r="BV238">
        <v>-1.7903872541377798E-2</v>
      </c>
      <c r="BW238">
        <v>20</v>
      </c>
      <c r="BX238">
        <v>-3.3259935942645612E-2</v>
      </c>
      <c r="BY238">
        <v>19</v>
      </c>
      <c r="BZ238">
        <v>6.1360000000000001</v>
      </c>
      <c r="CA238">
        <v>5</v>
      </c>
      <c r="CB238">
        <v>-2.12</v>
      </c>
      <c r="CC238">
        <v>-3.28</v>
      </c>
      <c r="CD238">
        <v>2.5600000000000009</v>
      </c>
      <c r="CE238">
        <v>0.1999999999999999</v>
      </c>
      <c r="CF238">
        <v>-55.64</v>
      </c>
      <c r="CG238">
        <v>-24.32</v>
      </c>
      <c r="CH238">
        <v>-16.439999999999998</v>
      </c>
      <c r="CI238">
        <v>-2.96</v>
      </c>
      <c r="CJ238">
        <v>-11.920000000000002</v>
      </c>
      <c r="CK238">
        <v>27</v>
      </c>
      <c r="CL238">
        <v>-6.1655999999999977</v>
      </c>
      <c r="CM238">
        <v>-2.7411199999999987</v>
      </c>
      <c r="CN238">
        <v>-7.8800000000000026</v>
      </c>
      <c r="CO238">
        <v>6.1655999999999977</v>
      </c>
      <c r="CP238">
        <v>0.24780000000000002</v>
      </c>
      <c r="CQ238">
        <v>2.2560000000000016</v>
      </c>
      <c r="CR238">
        <v>7.9999999999998295E-2</v>
      </c>
      <c r="CS238">
        <v>3.8879999999999986</v>
      </c>
      <c r="CT238">
        <v>-17.04</v>
      </c>
      <c r="CU238">
        <v>-1.36</v>
      </c>
      <c r="CV238">
        <v>2.4000000000000004</v>
      </c>
      <c r="CW238">
        <v>9.2083333333333184E-2</v>
      </c>
      <c r="CX238">
        <v>-1.6636833333333336</v>
      </c>
      <c r="CY238" t="s">
        <v>293</v>
      </c>
      <c r="CZ238">
        <v>2</v>
      </c>
      <c r="DA238">
        <v>3.6887999999999992</v>
      </c>
      <c r="DB238">
        <v>1</v>
      </c>
      <c r="DC238">
        <v>1.5</v>
      </c>
      <c r="DD238">
        <v>1</v>
      </c>
      <c r="DE238">
        <v>3.4919999999999995</v>
      </c>
      <c r="DF238">
        <v>2</v>
      </c>
      <c r="DG238">
        <v>35.24</v>
      </c>
      <c r="DH238">
        <v>-1.28</v>
      </c>
      <c r="DI238">
        <v>30</v>
      </c>
      <c r="DJ238">
        <v>27</v>
      </c>
      <c r="DK238">
        <v>27</v>
      </c>
      <c r="DL238">
        <v>1.7040000000000002</v>
      </c>
      <c r="DM238">
        <v>27</v>
      </c>
      <c r="DN238">
        <v>14.4</v>
      </c>
      <c r="DO238">
        <v>-0.83999999999999986</v>
      </c>
      <c r="DP238">
        <v>2</v>
      </c>
      <c r="DQ238">
        <v>1.5</v>
      </c>
      <c r="DR238">
        <v>1</v>
      </c>
      <c r="DS238">
        <v>6.1139999999999999</v>
      </c>
      <c r="DT238">
        <v>2</v>
      </c>
      <c r="DU238">
        <v>12.88</v>
      </c>
      <c r="DV238">
        <v>-0.33999999999999986</v>
      </c>
      <c r="DW238">
        <v>8</v>
      </c>
      <c r="DX238">
        <v>7</v>
      </c>
      <c r="DY238">
        <v>6</v>
      </c>
      <c r="DZ238">
        <v>-0.64400000000000013</v>
      </c>
      <c r="EA238">
        <v>8</v>
      </c>
      <c r="EB238">
        <v>-2.5999999999999988</v>
      </c>
      <c r="EC238">
        <v>-0.76</v>
      </c>
      <c r="ED238">
        <v>29</v>
      </c>
      <c r="EE238">
        <v>24</v>
      </c>
      <c r="EF238">
        <v>22</v>
      </c>
      <c r="EG238">
        <v>-0.55600000000000005</v>
      </c>
      <c r="EH238">
        <v>26</v>
      </c>
      <c r="EI238">
        <v>-3.8800000000000012</v>
      </c>
      <c r="EJ238">
        <v>-4.0000000000000077E-2</v>
      </c>
      <c r="EK238">
        <v>9</v>
      </c>
      <c r="EL238">
        <v>9</v>
      </c>
      <c r="EM238">
        <v>8</v>
      </c>
      <c r="EN238">
        <v>0.87599999999999911</v>
      </c>
      <c r="EO238">
        <v>10</v>
      </c>
      <c r="EP238">
        <v>-5.6400000000000006</v>
      </c>
      <c r="EQ238">
        <v>-1.2799999999999998</v>
      </c>
      <c r="ER238">
        <v>19</v>
      </c>
      <c r="ES238">
        <v>18.5</v>
      </c>
      <c r="ET238">
        <v>25</v>
      </c>
      <c r="EU238">
        <v>-1.9359999999999999</v>
      </c>
      <c r="EV238">
        <v>12</v>
      </c>
      <c r="EW238">
        <v>-2.6000000000000005</v>
      </c>
      <c r="EX238">
        <v>3.9999999999999945E-2</v>
      </c>
      <c r="EY238">
        <v>1</v>
      </c>
      <c r="EZ238">
        <v>1.5</v>
      </c>
      <c r="FA238">
        <v>1</v>
      </c>
      <c r="FB238">
        <v>2.9200000000000004</v>
      </c>
      <c r="FC238">
        <v>2</v>
      </c>
      <c r="FD238">
        <v>0.52</v>
      </c>
      <c r="FE238">
        <v>2.4400000000000004</v>
      </c>
      <c r="FF238">
        <v>31</v>
      </c>
      <c r="FG238">
        <v>29</v>
      </c>
      <c r="FH238">
        <v>29</v>
      </c>
      <c r="FI238">
        <v>-6.6559601691520948E-2</v>
      </c>
      <c r="FJ238">
        <v>32</v>
      </c>
      <c r="FK238">
        <v>-2.3019583879496652E-2</v>
      </c>
      <c r="FL238">
        <v>30</v>
      </c>
      <c r="FM238">
        <v>3.2919999999999989</v>
      </c>
      <c r="FN238">
        <v>25</v>
      </c>
      <c r="FO238">
        <v>-6.7199999999999989</v>
      </c>
      <c r="FP238">
        <v>-3.2</v>
      </c>
      <c r="FQ238">
        <v>6.0400000000000009</v>
      </c>
      <c r="FR238">
        <v>-0.27999999999999992</v>
      </c>
      <c r="FS238">
        <v>1.1199999999999988</v>
      </c>
      <c r="FT238">
        <v>7.6</v>
      </c>
      <c r="FU238">
        <v>0.55999999999999983</v>
      </c>
      <c r="FV238">
        <v>43.11999999999999</v>
      </c>
      <c r="FW238">
        <v>1.3200000000000045</v>
      </c>
      <c r="FX238">
        <v>51.8</v>
      </c>
      <c r="FY238">
        <v>-5.4799999999999995</v>
      </c>
      <c r="FZ238">
        <v>-4.5200000000000005</v>
      </c>
      <c r="GA238">
        <v>20</v>
      </c>
      <c r="GB238">
        <v>-1.5072000000000005</v>
      </c>
      <c r="GC238">
        <v>-1.2646400000000002</v>
      </c>
      <c r="GD238">
        <v>-50.47999999999999</v>
      </c>
      <c r="GE238">
        <v>1.5072000000000005</v>
      </c>
      <c r="GF238">
        <v>1.84785</v>
      </c>
      <c r="GG238">
        <v>4.9139999999999997</v>
      </c>
      <c r="GH238">
        <v>6.4</v>
      </c>
      <c r="GI238">
        <v>5.1959999999999997</v>
      </c>
      <c r="GJ238">
        <v>49.64</v>
      </c>
      <c r="GK238">
        <v>-1.0999999999999999</v>
      </c>
      <c r="GL238">
        <v>-2.12</v>
      </c>
    </row>
    <row r="239" spans="1:194" x14ac:dyDescent="0.2">
      <c r="A239" s="39">
        <v>43765</v>
      </c>
      <c r="B239" s="22" t="s">
        <v>248</v>
      </c>
      <c r="C239" s="40" t="s">
        <v>256</v>
      </c>
      <c r="D239" s="22" t="s">
        <v>301</v>
      </c>
      <c r="E239">
        <v>12.5</v>
      </c>
      <c r="F239">
        <v>13.8</v>
      </c>
      <c r="G239">
        <v>2.2000000000000002</v>
      </c>
      <c r="H239">
        <v>14.6</v>
      </c>
      <c r="I239">
        <v>-4.5</v>
      </c>
      <c r="J239">
        <v>41</v>
      </c>
      <c r="K239" t="s">
        <v>110</v>
      </c>
      <c r="L239" s="1" t="s">
        <v>256</v>
      </c>
      <c r="M239">
        <v>30</v>
      </c>
      <c r="N239">
        <v>-5.4263999999999992</v>
      </c>
      <c r="O239">
        <v>26</v>
      </c>
      <c r="P239">
        <v>24.5</v>
      </c>
      <c r="Q239">
        <v>25</v>
      </c>
      <c r="R239">
        <v>2.9439999999999982</v>
      </c>
      <c r="S239">
        <v>24</v>
      </c>
      <c r="T239">
        <v>10.400000000000002</v>
      </c>
      <c r="U239">
        <v>-1.56</v>
      </c>
      <c r="V239">
        <v>5</v>
      </c>
      <c r="W239">
        <v>8</v>
      </c>
      <c r="X239">
        <v>9</v>
      </c>
      <c r="Y239">
        <v>5.0039999999999996</v>
      </c>
      <c r="Z239">
        <v>7</v>
      </c>
      <c r="AA239">
        <v>35.44</v>
      </c>
      <c r="AB239">
        <v>-0.68</v>
      </c>
      <c r="AC239">
        <v>23</v>
      </c>
      <c r="AD239">
        <v>22</v>
      </c>
      <c r="AE239">
        <v>24</v>
      </c>
      <c r="AF239">
        <v>-4.4279999999999999</v>
      </c>
      <c r="AG239">
        <v>20</v>
      </c>
      <c r="AH239">
        <v>-13.279999999999998</v>
      </c>
      <c r="AI239">
        <v>-2.8</v>
      </c>
      <c r="AJ239">
        <v>27</v>
      </c>
      <c r="AK239">
        <v>27</v>
      </c>
      <c r="AL239">
        <v>25</v>
      </c>
      <c r="AM239">
        <v>-5.9920000000000018</v>
      </c>
      <c r="AN239">
        <v>29</v>
      </c>
      <c r="AO239">
        <v>-35.159999999999997</v>
      </c>
      <c r="AP239">
        <v>-3.0400000000000005</v>
      </c>
      <c r="AQ239">
        <v>13</v>
      </c>
      <c r="AR239">
        <v>14.5</v>
      </c>
      <c r="AS239">
        <v>16</v>
      </c>
      <c r="AT239">
        <v>-2.4359999999999999</v>
      </c>
      <c r="AU239">
        <v>13</v>
      </c>
      <c r="AV239">
        <v>-9.08</v>
      </c>
      <c r="AW239">
        <v>-1.52</v>
      </c>
      <c r="AX239">
        <v>19</v>
      </c>
      <c r="AY239">
        <v>19.5</v>
      </c>
      <c r="AZ239">
        <v>20</v>
      </c>
      <c r="BA239">
        <v>-5.4640000000000004</v>
      </c>
      <c r="BB239">
        <v>19</v>
      </c>
      <c r="BC239">
        <v>-10.640000000000004</v>
      </c>
      <c r="BD239">
        <v>-3.8</v>
      </c>
      <c r="BE239">
        <v>17</v>
      </c>
      <c r="BF239">
        <v>17.5</v>
      </c>
      <c r="BG239">
        <v>16</v>
      </c>
      <c r="BH239">
        <v>3.7640000000000002</v>
      </c>
      <c r="BI239">
        <v>19</v>
      </c>
      <c r="BJ239">
        <v>19.04</v>
      </c>
      <c r="BK239">
        <v>2.2800000000000002</v>
      </c>
      <c r="BL239">
        <v>17</v>
      </c>
      <c r="BM239">
        <v>16</v>
      </c>
      <c r="BN239">
        <v>15</v>
      </c>
      <c r="BO239">
        <v>0.48000000000000009</v>
      </c>
      <c r="BP239">
        <v>17</v>
      </c>
      <c r="BQ239">
        <v>0.55999999999999994</v>
      </c>
      <c r="BR239">
        <v>4.92</v>
      </c>
      <c r="BS239">
        <v>21</v>
      </c>
      <c r="BT239">
        <v>17.75</v>
      </c>
      <c r="BU239">
        <v>19</v>
      </c>
      <c r="BV239">
        <v>-9.3844976958613852E-2</v>
      </c>
      <c r="BW239">
        <v>3</v>
      </c>
      <c r="BX239">
        <v>-1.4109084910725428E-2</v>
      </c>
      <c r="BY239">
        <v>29</v>
      </c>
      <c r="BZ239">
        <v>5.0199999999999978</v>
      </c>
      <c r="CA239">
        <v>20</v>
      </c>
      <c r="CB239">
        <v>-3.4400000000000004</v>
      </c>
      <c r="CC239">
        <v>1.7599999999999967</v>
      </c>
      <c r="CD239">
        <v>4.3599999999999994</v>
      </c>
      <c r="CE239">
        <v>-1.1199999999999999</v>
      </c>
      <c r="CF239">
        <v>20.840000000000011</v>
      </c>
      <c r="CG239">
        <v>-40.159999999999997</v>
      </c>
      <c r="CH239">
        <v>66.92</v>
      </c>
      <c r="CI239">
        <v>6.76</v>
      </c>
      <c r="CJ239">
        <v>-12.68</v>
      </c>
      <c r="CK239">
        <v>31</v>
      </c>
      <c r="CL239">
        <v>-13.374399999999996</v>
      </c>
      <c r="CM239">
        <v>-6.8776799999999989</v>
      </c>
      <c r="CN239">
        <v>-107.08</v>
      </c>
      <c r="CO239">
        <v>13.374399999999998</v>
      </c>
      <c r="CP239">
        <v>-0.7613000000000002</v>
      </c>
      <c r="CQ239">
        <v>-12.856000000000002</v>
      </c>
      <c r="CR239">
        <v>-57.519999999999996</v>
      </c>
      <c r="CS239">
        <v>7.9479999999999977</v>
      </c>
      <c r="CT239">
        <v>45.84</v>
      </c>
      <c r="CU239">
        <v>-5.0799999999999992</v>
      </c>
      <c r="CV239">
        <v>-2.2400000000000002</v>
      </c>
      <c r="CW239">
        <v>-2.4981000000000004</v>
      </c>
      <c r="CX239">
        <v>-5.0018000000000002</v>
      </c>
      <c r="CY239" t="s">
        <v>301</v>
      </c>
      <c r="CZ239">
        <v>14</v>
      </c>
      <c r="DA239">
        <v>-1.8271999999999995</v>
      </c>
      <c r="DB239">
        <v>7</v>
      </c>
      <c r="DC239">
        <v>10</v>
      </c>
      <c r="DD239">
        <v>5</v>
      </c>
      <c r="DE239">
        <v>3.5479999999999983</v>
      </c>
      <c r="DF239">
        <v>15</v>
      </c>
      <c r="DG239">
        <v>-9.4000000000000021</v>
      </c>
      <c r="DH239">
        <v>1.0399999999999998</v>
      </c>
      <c r="DI239">
        <v>2</v>
      </c>
      <c r="DJ239">
        <v>3</v>
      </c>
      <c r="DK239">
        <v>4</v>
      </c>
      <c r="DL239">
        <v>-1.3599999999999999</v>
      </c>
      <c r="DM239">
        <v>2</v>
      </c>
      <c r="DN239">
        <v>-10.679999999999998</v>
      </c>
      <c r="DO239">
        <v>0.6399999999999999</v>
      </c>
      <c r="DP239">
        <v>20</v>
      </c>
      <c r="DQ239">
        <v>16.5</v>
      </c>
      <c r="DR239">
        <v>16</v>
      </c>
      <c r="DS239">
        <v>-0.91600000000000104</v>
      </c>
      <c r="DT239">
        <v>17</v>
      </c>
      <c r="DU239">
        <v>-13.159999999999997</v>
      </c>
      <c r="DV239">
        <v>1.6799999999999997</v>
      </c>
      <c r="DW239">
        <v>7</v>
      </c>
      <c r="DX239">
        <v>6.5</v>
      </c>
      <c r="DY239">
        <v>8</v>
      </c>
      <c r="DZ239">
        <v>4.9600000000000009</v>
      </c>
      <c r="EA239">
        <v>5</v>
      </c>
      <c r="EB239">
        <v>16.559999999999995</v>
      </c>
      <c r="EC239">
        <v>1.92</v>
      </c>
      <c r="ED239">
        <v>11</v>
      </c>
      <c r="EE239">
        <v>7.5</v>
      </c>
      <c r="EF239">
        <v>12</v>
      </c>
      <c r="EG239">
        <v>-0.75999999999999956</v>
      </c>
      <c r="EH239">
        <v>3</v>
      </c>
      <c r="EI239">
        <v>-3.2799999999999989</v>
      </c>
      <c r="EJ239">
        <v>-0.11999999999999993</v>
      </c>
      <c r="EK239">
        <v>18</v>
      </c>
      <c r="EL239">
        <v>18</v>
      </c>
      <c r="EM239">
        <v>22</v>
      </c>
      <c r="EN239">
        <v>3.2199999999999998</v>
      </c>
      <c r="EO239">
        <v>14</v>
      </c>
      <c r="EP239">
        <v>7.7999999999999972</v>
      </c>
      <c r="EQ239">
        <v>2.2800000000000002</v>
      </c>
      <c r="ER239">
        <v>12</v>
      </c>
      <c r="ES239">
        <v>13</v>
      </c>
      <c r="ET239">
        <v>20</v>
      </c>
      <c r="EU239">
        <v>-1.7200000000000011</v>
      </c>
      <c r="EV239">
        <v>6</v>
      </c>
      <c r="EW239">
        <v>3.9200000000000026</v>
      </c>
      <c r="EX239">
        <v>-0.55999999999999983</v>
      </c>
      <c r="EY239">
        <v>10</v>
      </c>
      <c r="EZ239">
        <v>11.5</v>
      </c>
      <c r="FA239">
        <v>16</v>
      </c>
      <c r="FB239">
        <v>-1.8800000000000001</v>
      </c>
      <c r="FC239">
        <v>7</v>
      </c>
      <c r="FD239">
        <v>-0.96</v>
      </c>
      <c r="FE239">
        <v>-1.64</v>
      </c>
      <c r="FF239">
        <v>18</v>
      </c>
      <c r="FG239">
        <v>16.25</v>
      </c>
      <c r="FH239">
        <v>18</v>
      </c>
      <c r="FI239">
        <v>3.0762896835275756E-2</v>
      </c>
      <c r="FJ239">
        <v>16</v>
      </c>
      <c r="FK239">
        <v>4.3762436481062976E-2</v>
      </c>
      <c r="FL239">
        <v>8</v>
      </c>
      <c r="FM239">
        <v>2.919999999999999</v>
      </c>
      <c r="FN239">
        <v>23</v>
      </c>
      <c r="FO239">
        <v>5.5600000000000005</v>
      </c>
      <c r="FP239">
        <v>5.2799999999999994</v>
      </c>
      <c r="FQ239">
        <v>-4.3199999999999994</v>
      </c>
      <c r="FR239">
        <v>-0.88000000000000012</v>
      </c>
      <c r="FS239">
        <v>2.3599999999999994</v>
      </c>
      <c r="FT239">
        <v>1.2000000000000006</v>
      </c>
      <c r="FU239">
        <v>-0.83999999999999986</v>
      </c>
      <c r="FV239">
        <v>-12.320000000000004</v>
      </c>
      <c r="FW239">
        <v>-5.2800000000000011</v>
      </c>
      <c r="FX239">
        <v>-8.1599999999999966</v>
      </c>
      <c r="FY239">
        <v>0.95999999999999974</v>
      </c>
      <c r="FZ239">
        <v>0.16000000000000086</v>
      </c>
      <c r="GA239">
        <v>28</v>
      </c>
      <c r="GB239">
        <v>-4.0151999999999983</v>
      </c>
      <c r="GC239">
        <v>-1.1466399999999992</v>
      </c>
      <c r="GD239">
        <v>2.8799999999999955</v>
      </c>
      <c r="GE239">
        <v>4.0151999999999983</v>
      </c>
      <c r="GF239">
        <v>5.5999999999997441E-3</v>
      </c>
      <c r="GG239">
        <v>3.2839999999999998</v>
      </c>
      <c r="GH239">
        <v>0.11999999999999966</v>
      </c>
      <c r="GI239">
        <v>2.1879999999999984</v>
      </c>
      <c r="GJ239">
        <v>-20.079999999999998</v>
      </c>
      <c r="GK239">
        <v>2.92</v>
      </c>
      <c r="GL239">
        <v>1.6799999999999997</v>
      </c>
    </row>
    <row r="240" spans="1:194" x14ac:dyDescent="0.2">
      <c r="A240" s="39">
        <v>43765</v>
      </c>
      <c r="B240" s="22" t="s">
        <v>248</v>
      </c>
      <c r="C240" s="41" t="s">
        <v>308</v>
      </c>
      <c r="D240" s="22" t="s">
        <v>295</v>
      </c>
      <c r="E240">
        <v>19</v>
      </c>
      <c r="F240">
        <v>16.3</v>
      </c>
      <c r="G240">
        <v>3.5</v>
      </c>
      <c r="H240">
        <f>3.8+1.7</f>
        <v>5.5</v>
      </c>
      <c r="I240">
        <v>-7.5</v>
      </c>
      <c r="J240">
        <v>48.5</v>
      </c>
      <c r="L240" s="1" t="s">
        <v>308</v>
      </c>
      <c r="M240">
        <v>3</v>
      </c>
      <c r="N240">
        <v>6.4984000000000011</v>
      </c>
      <c r="O240">
        <v>3</v>
      </c>
      <c r="P240">
        <v>6</v>
      </c>
      <c r="Q240">
        <v>10</v>
      </c>
      <c r="R240">
        <v>2.0159999999999996</v>
      </c>
      <c r="S240">
        <v>2</v>
      </c>
      <c r="T240">
        <v>20.12</v>
      </c>
      <c r="U240">
        <v>0.27999999999999992</v>
      </c>
      <c r="V240">
        <v>1</v>
      </c>
      <c r="W240">
        <v>1.5</v>
      </c>
      <c r="X240">
        <v>2</v>
      </c>
      <c r="Y240">
        <v>-1.2583999999999997</v>
      </c>
      <c r="Z240">
        <v>1</v>
      </c>
      <c r="AA240">
        <v>-6.7600000000000007</v>
      </c>
      <c r="AB240">
        <v>-0.36000000000000004</v>
      </c>
      <c r="AC240">
        <v>19</v>
      </c>
      <c r="AD240">
        <v>18.5</v>
      </c>
      <c r="AE240">
        <v>15</v>
      </c>
      <c r="AF240">
        <v>2.3840000000000012</v>
      </c>
      <c r="AG240">
        <v>22</v>
      </c>
      <c r="AH240">
        <v>12.88</v>
      </c>
      <c r="AI240">
        <v>-1.1600000000000001</v>
      </c>
      <c r="AJ240">
        <v>12</v>
      </c>
      <c r="AK240">
        <v>11.5</v>
      </c>
      <c r="AL240">
        <v>12</v>
      </c>
      <c r="AM240">
        <v>-3.7400000000000007</v>
      </c>
      <c r="AN240">
        <v>11</v>
      </c>
      <c r="AO240">
        <v>-8.120000000000001</v>
      </c>
      <c r="AP240">
        <v>-1.1599999999999999</v>
      </c>
      <c r="AQ240">
        <v>17</v>
      </c>
      <c r="AR240">
        <v>17</v>
      </c>
      <c r="AS240">
        <v>17</v>
      </c>
      <c r="AT240">
        <v>2.468</v>
      </c>
      <c r="AU240">
        <v>17</v>
      </c>
      <c r="AV240">
        <v>7.7199999999999989</v>
      </c>
      <c r="AW240">
        <v>0.48</v>
      </c>
      <c r="AX240">
        <v>24</v>
      </c>
      <c r="AY240">
        <v>25</v>
      </c>
      <c r="AZ240">
        <v>26</v>
      </c>
      <c r="BA240">
        <v>1.8280000000000007</v>
      </c>
      <c r="BB240">
        <v>24</v>
      </c>
      <c r="BC240">
        <v>13.479999999999995</v>
      </c>
      <c r="BD240">
        <v>0.35999999999999976</v>
      </c>
      <c r="BE240">
        <v>12</v>
      </c>
      <c r="BF240">
        <v>12.5</v>
      </c>
      <c r="BG240">
        <v>10</v>
      </c>
      <c r="BH240">
        <v>-1.1160000000000008</v>
      </c>
      <c r="BI240">
        <v>15</v>
      </c>
      <c r="BJ240">
        <v>-3.5599999999999978</v>
      </c>
      <c r="BK240">
        <v>0.16000000000000014</v>
      </c>
      <c r="BL240">
        <v>8</v>
      </c>
      <c r="BM240">
        <v>8.5</v>
      </c>
      <c r="BN240">
        <v>9</v>
      </c>
      <c r="BO240">
        <v>-0.59999999999999987</v>
      </c>
      <c r="BP240">
        <v>8</v>
      </c>
      <c r="BQ240">
        <v>-3.9999999999999994E-2</v>
      </c>
      <c r="BR240">
        <v>-1.2000000000000004</v>
      </c>
      <c r="BS240">
        <v>12</v>
      </c>
      <c r="BT240">
        <v>13.25</v>
      </c>
      <c r="BU240">
        <v>11</v>
      </c>
      <c r="BV240">
        <v>9.2253046239783906E-2</v>
      </c>
      <c r="BW240">
        <v>5</v>
      </c>
      <c r="BX240">
        <v>-1.5249652433166897E-2</v>
      </c>
      <c r="BY240">
        <v>21</v>
      </c>
      <c r="BZ240">
        <v>8.7359999999999971</v>
      </c>
      <c r="CA240">
        <v>16</v>
      </c>
      <c r="CB240">
        <v>1.3999999999999997</v>
      </c>
      <c r="CC240">
        <v>5.4399999999999977</v>
      </c>
      <c r="CD240">
        <v>1.64</v>
      </c>
      <c r="CE240">
        <v>-0.2799999999999998</v>
      </c>
      <c r="CF240">
        <v>49.359999999999992</v>
      </c>
      <c r="CG240">
        <v>28.160000000000007</v>
      </c>
      <c r="CH240">
        <v>8.7199999999999989</v>
      </c>
      <c r="CI240">
        <v>-4.04</v>
      </c>
      <c r="CJ240">
        <v>16.52</v>
      </c>
      <c r="CK240">
        <v>8</v>
      </c>
      <c r="CL240">
        <v>5.7408000000000019</v>
      </c>
      <c r="CM240">
        <v>0.92008000000000034</v>
      </c>
      <c r="CN240">
        <v>19.440000000000008</v>
      </c>
      <c r="CO240">
        <v>-5.740800000000001</v>
      </c>
      <c r="CP240">
        <v>0.83150000000000002</v>
      </c>
      <c r="CQ240">
        <v>1.1120000000000005</v>
      </c>
      <c r="CR240">
        <v>12.479999999999999</v>
      </c>
      <c r="CS240">
        <v>0.75759999999999983</v>
      </c>
      <c r="CT240">
        <v>13.36</v>
      </c>
      <c r="CU240">
        <v>-1.6800000000000002</v>
      </c>
      <c r="CV240">
        <v>-8.0000000000000127E-2</v>
      </c>
      <c r="CW240">
        <v>1.2281333333333331</v>
      </c>
      <c r="CX240">
        <v>-0.93223333333333325</v>
      </c>
      <c r="CY240" t="s">
        <v>295</v>
      </c>
      <c r="CZ240">
        <v>27</v>
      </c>
      <c r="DA240">
        <v>9.1039999999999992</v>
      </c>
      <c r="DB240">
        <v>30</v>
      </c>
      <c r="DC240">
        <v>28</v>
      </c>
      <c r="DD240">
        <v>28</v>
      </c>
      <c r="DE240">
        <v>1.8079999999999994</v>
      </c>
      <c r="DF240">
        <v>28</v>
      </c>
      <c r="DG240">
        <v>1.3600000000000008</v>
      </c>
      <c r="DH240">
        <v>-0.20000000000000009</v>
      </c>
      <c r="DI240">
        <v>28</v>
      </c>
      <c r="DJ240">
        <v>25.5</v>
      </c>
      <c r="DK240">
        <v>30</v>
      </c>
      <c r="DL240">
        <v>1.8439999999999999</v>
      </c>
      <c r="DM240">
        <v>21</v>
      </c>
      <c r="DN240">
        <v>8.6399999999999988</v>
      </c>
      <c r="DO240">
        <v>0.27999999999999997</v>
      </c>
      <c r="DP240">
        <v>22</v>
      </c>
      <c r="DQ240">
        <v>18.5</v>
      </c>
      <c r="DR240">
        <v>21</v>
      </c>
      <c r="DS240">
        <v>1.2400000000000007</v>
      </c>
      <c r="DT240">
        <v>16</v>
      </c>
      <c r="DU240">
        <v>9.9199999999999982</v>
      </c>
      <c r="DV240">
        <v>-4.0000000000000036E-2</v>
      </c>
      <c r="DW240">
        <v>9</v>
      </c>
      <c r="DX240">
        <v>10</v>
      </c>
      <c r="DY240">
        <v>9</v>
      </c>
      <c r="DZ240">
        <v>9.2520000000000007</v>
      </c>
      <c r="EA240">
        <v>11</v>
      </c>
      <c r="EB240">
        <v>39.679999999999993</v>
      </c>
      <c r="EC240">
        <v>-0.51999999999999991</v>
      </c>
      <c r="ED240">
        <v>17</v>
      </c>
      <c r="EE240">
        <v>26.5</v>
      </c>
      <c r="EF240">
        <v>29</v>
      </c>
      <c r="EG240">
        <v>6.3999999999999974E-2</v>
      </c>
      <c r="EH240">
        <v>24</v>
      </c>
      <c r="EI240">
        <v>4.4400000000000013</v>
      </c>
      <c r="EJ240">
        <v>-3.9999999999999945E-2</v>
      </c>
      <c r="EK240">
        <v>10</v>
      </c>
      <c r="EL240">
        <v>11.5</v>
      </c>
      <c r="EM240">
        <v>14</v>
      </c>
      <c r="EN240">
        <v>0.4880000000000006</v>
      </c>
      <c r="EO240">
        <v>9</v>
      </c>
      <c r="EP240">
        <v>-10.320000000000002</v>
      </c>
      <c r="EQ240">
        <v>-1</v>
      </c>
      <c r="ER240">
        <v>29</v>
      </c>
      <c r="ES240">
        <v>26.5</v>
      </c>
      <c r="ET240">
        <v>30</v>
      </c>
      <c r="EU240">
        <v>0.87599999999999978</v>
      </c>
      <c r="EV240">
        <v>23</v>
      </c>
      <c r="EW240">
        <v>-9.5599999999999987</v>
      </c>
      <c r="EX240">
        <v>-0.59999999999999987</v>
      </c>
      <c r="EY240">
        <v>17</v>
      </c>
      <c r="EZ240">
        <v>14.5</v>
      </c>
      <c r="FA240">
        <v>14</v>
      </c>
      <c r="FB240">
        <v>2.92</v>
      </c>
      <c r="FC240">
        <v>15</v>
      </c>
      <c r="FD240">
        <v>-3.9999999999999994E-2</v>
      </c>
      <c r="FE240">
        <v>2.5199999999999996</v>
      </c>
      <c r="FF240">
        <v>19</v>
      </c>
      <c r="FG240">
        <v>16.5</v>
      </c>
      <c r="FH240">
        <v>10</v>
      </c>
      <c r="FI240">
        <v>-0.10455144616674801</v>
      </c>
      <c r="FJ240">
        <v>20</v>
      </c>
      <c r="FK240">
        <v>-5.5735340818474963E-2</v>
      </c>
      <c r="FL240">
        <v>25</v>
      </c>
      <c r="FM240">
        <v>9.5039999999999996</v>
      </c>
      <c r="FN240">
        <v>11</v>
      </c>
      <c r="FO240">
        <v>-8.32</v>
      </c>
      <c r="FP240">
        <v>-1.2000000000000015</v>
      </c>
      <c r="FQ240">
        <v>4.5999999999999996</v>
      </c>
      <c r="FR240">
        <v>-0.24000000000000005</v>
      </c>
      <c r="FS240">
        <v>0.43999999999999917</v>
      </c>
      <c r="FT240">
        <v>9.8000000000000007</v>
      </c>
      <c r="FU240">
        <v>1.8800000000000001</v>
      </c>
      <c r="FV240">
        <v>51.48</v>
      </c>
      <c r="FW240">
        <v>48.2</v>
      </c>
      <c r="FX240">
        <v>8.6400000000000041</v>
      </c>
      <c r="FY240">
        <v>-3.9199999999999995</v>
      </c>
      <c r="FZ240">
        <v>-1.4399999999999995</v>
      </c>
      <c r="GA240">
        <v>4</v>
      </c>
      <c r="GB240">
        <v>5.452</v>
      </c>
      <c r="GC240">
        <v>2.281200000000001</v>
      </c>
      <c r="GD240">
        <v>39.56</v>
      </c>
      <c r="GE240">
        <v>-5.452</v>
      </c>
      <c r="GF240">
        <v>3.3884999999999996</v>
      </c>
      <c r="GG240">
        <v>10.556000000000001</v>
      </c>
      <c r="GH240">
        <v>54.039999999999992</v>
      </c>
      <c r="GI240">
        <v>3.6519999999999992</v>
      </c>
      <c r="GJ240">
        <v>10</v>
      </c>
      <c r="GK240">
        <v>-1.1999999999999997</v>
      </c>
      <c r="GL240">
        <v>7.9999999999999877E-2</v>
      </c>
    </row>
    <row r="241" spans="1:194" x14ac:dyDescent="0.2">
      <c r="A241" s="39">
        <v>43765</v>
      </c>
      <c r="B241" s="22" t="s">
        <v>248</v>
      </c>
      <c r="C241" s="41" t="s">
        <v>284</v>
      </c>
      <c r="D241" s="23" t="s">
        <v>310</v>
      </c>
      <c r="E241">
        <v>45.8</v>
      </c>
      <c r="F241">
        <v>10.3</v>
      </c>
      <c r="G241">
        <v>0</v>
      </c>
      <c r="H241">
        <v>6.2</v>
      </c>
      <c r="I241">
        <v>2</v>
      </c>
      <c r="J241">
        <v>45.5</v>
      </c>
      <c r="L241" s="1" t="s">
        <v>284</v>
      </c>
      <c r="M241">
        <v>2</v>
      </c>
      <c r="N241">
        <v>6.8551999999999991</v>
      </c>
      <c r="O241">
        <v>24</v>
      </c>
      <c r="P241">
        <v>22.5</v>
      </c>
      <c r="Q241">
        <v>20</v>
      </c>
      <c r="R241">
        <v>-5.8600000000000012</v>
      </c>
      <c r="S241">
        <v>25</v>
      </c>
      <c r="T241">
        <v>-17.000000000000004</v>
      </c>
      <c r="U241">
        <v>-2.3199999999999998</v>
      </c>
      <c r="V241">
        <v>20</v>
      </c>
      <c r="W241">
        <v>18.5</v>
      </c>
      <c r="X241">
        <v>12</v>
      </c>
      <c r="Y241">
        <v>0.60799999999999987</v>
      </c>
      <c r="Z241">
        <v>25</v>
      </c>
      <c r="AA241">
        <v>7.919999999999999</v>
      </c>
      <c r="AB241">
        <v>-0.44000000000000006</v>
      </c>
      <c r="AC241">
        <v>24</v>
      </c>
      <c r="AD241">
        <v>22.5</v>
      </c>
      <c r="AE241">
        <v>26</v>
      </c>
      <c r="AF241">
        <v>11.795999999999998</v>
      </c>
      <c r="AG241">
        <v>19</v>
      </c>
      <c r="AH241">
        <v>48.48</v>
      </c>
      <c r="AI241">
        <v>2.4</v>
      </c>
      <c r="AJ241">
        <v>2</v>
      </c>
      <c r="AK241">
        <v>3</v>
      </c>
      <c r="AL241">
        <v>3</v>
      </c>
      <c r="AM241">
        <v>12.664</v>
      </c>
      <c r="AN241">
        <v>3</v>
      </c>
      <c r="AO241">
        <v>52.6</v>
      </c>
      <c r="AP241">
        <v>3.3199999999999994</v>
      </c>
      <c r="AQ241">
        <v>4</v>
      </c>
      <c r="AR241">
        <v>4.5</v>
      </c>
      <c r="AS241">
        <v>5</v>
      </c>
      <c r="AT241">
        <v>-1.6599999999999995</v>
      </c>
      <c r="AU241">
        <v>4</v>
      </c>
      <c r="AV241">
        <v>-10.6</v>
      </c>
      <c r="AW241">
        <v>0.32000000000000012</v>
      </c>
      <c r="AX241">
        <v>6</v>
      </c>
      <c r="AY241">
        <v>5.5</v>
      </c>
      <c r="AZ241">
        <v>6</v>
      </c>
      <c r="BA241">
        <v>6.363999999999999</v>
      </c>
      <c r="BB241">
        <v>5</v>
      </c>
      <c r="BC241">
        <v>33.799999999999997</v>
      </c>
      <c r="BD241">
        <v>-4.04</v>
      </c>
      <c r="BE241">
        <v>20</v>
      </c>
      <c r="BF241">
        <v>22</v>
      </c>
      <c r="BG241">
        <v>22</v>
      </c>
      <c r="BH241">
        <v>0.63599999999999979</v>
      </c>
      <c r="BI241">
        <v>22</v>
      </c>
      <c r="BJ241">
        <v>3.4400000000000004</v>
      </c>
      <c r="BK241">
        <v>0.36</v>
      </c>
      <c r="BL241">
        <v>18</v>
      </c>
      <c r="BM241">
        <v>17.5</v>
      </c>
      <c r="BN241">
        <v>16</v>
      </c>
      <c r="BO241">
        <v>2.96</v>
      </c>
      <c r="BP241">
        <v>19</v>
      </c>
      <c r="BQ241">
        <v>0.51999999999999991</v>
      </c>
      <c r="BR241">
        <v>-2.7600000000000007</v>
      </c>
      <c r="BS241">
        <v>14</v>
      </c>
      <c r="BT241">
        <v>14</v>
      </c>
      <c r="BU241">
        <v>29</v>
      </c>
      <c r="BV241">
        <v>2.8462332955277735E-2</v>
      </c>
      <c r="BW241">
        <v>22</v>
      </c>
      <c r="BX241">
        <v>2.1739908498920164E-2</v>
      </c>
      <c r="BY241">
        <v>1</v>
      </c>
      <c r="BZ241">
        <v>7.2119999999999989</v>
      </c>
      <c r="CA241">
        <v>4</v>
      </c>
      <c r="CB241">
        <v>0.4799999999999997</v>
      </c>
      <c r="CC241">
        <v>5.76</v>
      </c>
      <c r="CD241">
        <v>9.2799999999999994</v>
      </c>
      <c r="CE241">
        <v>0.19999999999999982</v>
      </c>
      <c r="CF241">
        <v>67.47999999999999</v>
      </c>
      <c r="CG241">
        <v>76.47999999999999</v>
      </c>
      <c r="CH241">
        <v>-10.919999999999998</v>
      </c>
      <c r="CI241">
        <v>2.2400000000000002</v>
      </c>
      <c r="CJ241">
        <v>-0.31999999999999995</v>
      </c>
      <c r="CK241">
        <v>2</v>
      </c>
      <c r="CL241">
        <v>12.107199999999999</v>
      </c>
      <c r="CM241">
        <v>8.6842400000000008</v>
      </c>
      <c r="CN241">
        <v>87.399999999999991</v>
      </c>
      <c r="CO241">
        <v>-12.107200000000001</v>
      </c>
      <c r="CP241">
        <v>3.4998999999999993</v>
      </c>
      <c r="CQ241">
        <v>22.799999999999997</v>
      </c>
      <c r="CR241">
        <v>90.48</v>
      </c>
      <c r="CS241">
        <v>-5.2520000000000016</v>
      </c>
      <c r="CT241">
        <v>-9.0800000000000054</v>
      </c>
      <c r="CU241">
        <v>6.3999999999999995</v>
      </c>
      <c r="CV241">
        <v>-2.76</v>
      </c>
      <c r="CW241">
        <v>1.7466499999999998</v>
      </c>
      <c r="CX241">
        <v>4.1190499999999997</v>
      </c>
      <c r="CY241" t="s">
        <v>310</v>
      </c>
      <c r="CZ241">
        <v>11</v>
      </c>
      <c r="DA241">
        <v>-0.26200000000000079</v>
      </c>
      <c r="DB241">
        <v>7</v>
      </c>
      <c r="DC241">
        <v>10</v>
      </c>
      <c r="DD241">
        <v>13</v>
      </c>
      <c r="DE241">
        <v>-3.3679999999999999</v>
      </c>
      <c r="DF241">
        <v>7</v>
      </c>
      <c r="DG241">
        <v>-16.04</v>
      </c>
      <c r="DH241">
        <v>0.72</v>
      </c>
      <c r="DI241">
        <v>23</v>
      </c>
      <c r="DJ241">
        <v>19.5</v>
      </c>
      <c r="DK241">
        <v>22</v>
      </c>
      <c r="DL241">
        <v>3.2280000000000002</v>
      </c>
      <c r="DM241">
        <v>17</v>
      </c>
      <c r="DN241">
        <v>-8.84</v>
      </c>
      <c r="DO241">
        <v>1.08</v>
      </c>
      <c r="DP241">
        <v>3</v>
      </c>
      <c r="DQ241">
        <v>1.5</v>
      </c>
      <c r="DR241">
        <v>2</v>
      </c>
      <c r="DS241">
        <v>-5.9520000000000008</v>
      </c>
      <c r="DT241">
        <v>1</v>
      </c>
      <c r="DU241">
        <v>-24.359999999999996</v>
      </c>
      <c r="DV241">
        <v>-1.8399999999999994</v>
      </c>
      <c r="DW241">
        <v>11</v>
      </c>
      <c r="DX241">
        <v>13</v>
      </c>
      <c r="DY241">
        <v>14</v>
      </c>
      <c r="DZ241">
        <v>-2.7519999999999998</v>
      </c>
      <c r="EA241">
        <v>12</v>
      </c>
      <c r="EB241">
        <v>-14.439999999999998</v>
      </c>
      <c r="EC241">
        <v>-1.8799999999999997</v>
      </c>
      <c r="ED241">
        <v>28</v>
      </c>
      <c r="EE241">
        <v>30</v>
      </c>
      <c r="EF241">
        <v>30</v>
      </c>
      <c r="EG241">
        <v>1.2600000000000005</v>
      </c>
      <c r="EH241">
        <v>30</v>
      </c>
      <c r="EI241">
        <v>9.0400000000000009</v>
      </c>
      <c r="EJ241">
        <v>0</v>
      </c>
      <c r="EK241">
        <v>6</v>
      </c>
      <c r="EL241">
        <v>5.5</v>
      </c>
      <c r="EM241">
        <v>6</v>
      </c>
      <c r="EN241">
        <v>-2.8359999999999994</v>
      </c>
      <c r="EO241">
        <v>5</v>
      </c>
      <c r="EP241">
        <v>-1.1600000000000008</v>
      </c>
      <c r="EQ241">
        <v>0.80000000000000038</v>
      </c>
      <c r="ER241">
        <v>6</v>
      </c>
      <c r="ES241">
        <v>8</v>
      </c>
      <c r="ET241">
        <v>7</v>
      </c>
      <c r="EU241">
        <v>2.2800000000000002</v>
      </c>
      <c r="EV241">
        <v>9</v>
      </c>
      <c r="EW241">
        <v>11.52</v>
      </c>
      <c r="EX241">
        <v>1.48</v>
      </c>
      <c r="EY241">
        <v>3</v>
      </c>
      <c r="EZ241">
        <v>3.5</v>
      </c>
      <c r="FA241">
        <v>6</v>
      </c>
      <c r="FB241">
        <v>0.56000000000000028</v>
      </c>
      <c r="FC241">
        <v>1</v>
      </c>
      <c r="FD241">
        <v>-0.19999999999999996</v>
      </c>
      <c r="FE241">
        <v>3.96</v>
      </c>
      <c r="FF241">
        <v>15</v>
      </c>
      <c r="FG241">
        <v>15.75</v>
      </c>
      <c r="FH241">
        <v>16</v>
      </c>
      <c r="FI241">
        <v>-3.4823897882496159E-2</v>
      </c>
      <c r="FJ241">
        <v>21</v>
      </c>
      <c r="FK241">
        <v>-1.6006916114496356E-2</v>
      </c>
      <c r="FL241">
        <v>13</v>
      </c>
      <c r="FM241">
        <v>-3.3200000000000047</v>
      </c>
      <c r="FN241">
        <v>13</v>
      </c>
      <c r="FO241">
        <v>-3.08</v>
      </c>
      <c r="FP241">
        <v>0.92000000000000026</v>
      </c>
      <c r="FQ241">
        <v>-3.2800000000000002</v>
      </c>
      <c r="FR241">
        <v>0.96000000000000019</v>
      </c>
      <c r="FS241">
        <v>-1.7200000000000002</v>
      </c>
      <c r="FT241">
        <v>-2.72</v>
      </c>
      <c r="FU241">
        <v>-0.83999999999999986</v>
      </c>
      <c r="FV241">
        <v>-15.080000000000007</v>
      </c>
      <c r="FW241">
        <v>7.6400000000000032</v>
      </c>
      <c r="FX241">
        <v>-25.839999999999996</v>
      </c>
      <c r="FY241">
        <v>-0.44000000000000006</v>
      </c>
      <c r="FZ241">
        <v>3.56</v>
      </c>
      <c r="GA241">
        <v>16</v>
      </c>
      <c r="GB241">
        <v>-0.12200000000000122</v>
      </c>
      <c r="GC241">
        <v>-1.0152000000000001</v>
      </c>
      <c r="GD241">
        <v>33.479999999999997</v>
      </c>
      <c r="GE241">
        <v>0.12200000000000111</v>
      </c>
      <c r="GF241">
        <v>-0.62575000000000003</v>
      </c>
      <c r="GG241">
        <v>-7.444</v>
      </c>
      <c r="GH241">
        <v>-29.759999999999998</v>
      </c>
      <c r="GI241">
        <v>-0.13999999999999968</v>
      </c>
      <c r="GJ241">
        <v>-24.88</v>
      </c>
      <c r="GK241">
        <v>-2.2399999999999989</v>
      </c>
      <c r="GL241">
        <v>1.8</v>
      </c>
    </row>
    <row r="242" spans="1:194" x14ac:dyDescent="0.2">
      <c r="A242" s="39">
        <v>43765</v>
      </c>
      <c r="B242" s="22" t="s">
        <v>248</v>
      </c>
      <c r="C242" s="41" t="s">
        <v>310</v>
      </c>
      <c r="D242" s="22" t="s">
        <v>284</v>
      </c>
      <c r="E242">
        <v>2.9</v>
      </c>
      <c r="F242">
        <v>9.1</v>
      </c>
      <c r="G242">
        <v>10.8</v>
      </c>
      <c r="H242">
        <f>19.8+7.3</f>
        <v>27.1</v>
      </c>
      <c r="I242">
        <v>-2</v>
      </c>
      <c r="J242">
        <v>45.5</v>
      </c>
      <c r="L242" s="1" t="s">
        <v>310</v>
      </c>
      <c r="M242">
        <v>23</v>
      </c>
      <c r="N242">
        <v>-2.0020000000000002</v>
      </c>
      <c r="O242">
        <v>1</v>
      </c>
      <c r="P242">
        <v>1.5</v>
      </c>
      <c r="Q242">
        <v>2</v>
      </c>
      <c r="R242">
        <v>-4.1639999999999997</v>
      </c>
      <c r="S242">
        <v>1</v>
      </c>
      <c r="T242">
        <v>4.6000000000000014</v>
      </c>
      <c r="U242">
        <v>-1.8800000000000001</v>
      </c>
      <c r="V242">
        <v>29</v>
      </c>
      <c r="W242">
        <v>29</v>
      </c>
      <c r="X242">
        <v>29</v>
      </c>
      <c r="Y242">
        <v>-4.04</v>
      </c>
      <c r="Z242">
        <v>29</v>
      </c>
      <c r="AA242">
        <v>-21.959999999999997</v>
      </c>
      <c r="AB242">
        <v>-3.9999999999999994E-2</v>
      </c>
      <c r="AC242">
        <v>28</v>
      </c>
      <c r="AD242">
        <v>27.5</v>
      </c>
      <c r="AE242">
        <v>28</v>
      </c>
      <c r="AF242">
        <v>0.96799999999999975</v>
      </c>
      <c r="AG242">
        <v>27</v>
      </c>
      <c r="AH242">
        <v>1.2800000000000011</v>
      </c>
      <c r="AI242">
        <v>-1.4</v>
      </c>
      <c r="AJ242">
        <v>28</v>
      </c>
      <c r="AK242">
        <v>27.5</v>
      </c>
      <c r="AL242">
        <v>28</v>
      </c>
      <c r="AM242">
        <v>1.0039999999999993</v>
      </c>
      <c r="AN242">
        <v>27</v>
      </c>
      <c r="AO242">
        <v>6.3600000000000012</v>
      </c>
      <c r="AP242">
        <v>-8.0000000000000071E-2</v>
      </c>
      <c r="AQ242">
        <v>15</v>
      </c>
      <c r="AR242">
        <v>15</v>
      </c>
      <c r="AS242">
        <v>12</v>
      </c>
      <c r="AT242">
        <v>-1.2959999999999998</v>
      </c>
      <c r="AU242">
        <v>18</v>
      </c>
      <c r="AV242">
        <v>-10.080000000000002</v>
      </c>
      <c r="AW242">
        <v>-0.52000000000000013</v>
      </c>
      <c r="AX242">
        <v>20</v>
      </c>
      <c r="AY242">
        <v>20</v>
      </c>
      <c r="AZ242">
        <v>22</v>
      </c>
      <c r="BA242">
        <v>-0.15599999999999986</v>
      </c>
      <c r="BB242">
        <v>18</v>
      </c>
      <c r="BC242">
        <v>5.2399999999999993</v>
      </c>
      <c r="BD242">
        <v>1.4000000000000004</v>
      </c>
      <c r="BE242">
        <v>14</v>
      </c>
      <c r="BF242">
        <v>13.5</v>
      </c>
      <c r="BG242">
        <v>15</v>
      </c>
      <c r="BH242">
        <v>0.42800000000000049</v>
      </c>
      <c r="BI242">
        <v>12</v>
      </c>
      <c r="BJ242">
        <v>22.68</v>
      </c>
      <c r="BK242">
        <v>1.2</v>
      </c>
      <c r="BL242">
        <v>29</v>
      </c>
      <c r="BM242">
        <v>29</v>
      </c>
      <c r="BN242">
        <v>28</v>
      </c>
      <c r="BO242">
        <v>-4.08</v>
      </c>
      <c r="BP242">
        <v>30</v>
      </c>
      <c r="BQ242">
        <v>-0.68</v>
      </c>
      <c r="BR242">
        <v>-3.4799999999999995</v>
      </c>
      <c r="BS242">
        <v>25</v>
      </c>
      <c r="BT242">
        <v>21</v>
      </c>
      <c r="BU242">
        <v>27</v>
      </c>
      <c r="BV242">
        <v>5.8830122368742519E-3</v>
      </c>
      <c r="BW242">
        <v>2</v>
      </c>
      <c r="BX242">
        <v>5.5526763606842756E-2</v>
      </c>
      <c r="BY242">
        <v>30</v>
      </c>
      <c r="BZ242">
        <v>3.1960000000000006</v>
      </c>
      <c r="CA242">
        <v>25</v>
      </c>
      <c r="CB242">
        <v>4.3600000000000003</v>
      </c>
      <c r="CC242">
        <v>0.88000000000000111</v>
      </c>
      <c r="CD242">
        <v>-6.24</v>
      </c>
      <c r="CE242">
        <v>-1.9599999999999997</v>
      </c>
      <c r="CF242">
        <v>-14.960000000000003</v>
      </c>
      <c r="CG242">
        <v>1.5199999999999989</v>
      </c>
      <c r="CH242">
        <v>-18.599999999999998</v>
      </c>
      <c r="CI242">
        <v>-2.96</v>
      </c>
      <c r="CJ242">
        <v>5.08</v>
      </c>
      <c r="CK242">
        <v>7</v>
      </c>
      <c r="CL242">
        <v>6.202</v>
      </c>
      <c r="CM242">
        <v>3.9224000000000001</v>
      </c>
      <c r="CN242">
        <v>20.119999999999997</v>
      </c>
      <c r="CO242">
        <v>-6.202</v>
      </c>
      <c r="CP242">
        <v>-1.6477499999999998</v>
      </c>
      <c r="CQ242">
        <v>0.67599999999999927</v>
      </c>
      <c r="CR242">
        <v>-2.4399999999999995</v>
      </c>
      <c r="CS242">
        <v>-8.2040000000000006</v>
      </c>
      <c r="CT242">
        <v>-17.359999999999996</v>
      </c>
      <c r="CU242">
        <v>-0.8</v>
      </c>
      <c r="CV242">
        <v>-1.9200000000000002</v>
      </c>
      <c r="CW242">
        <v>1.7466499999999998</v>
      </c>
      <c r="CX242">
        <v>-0.62575000000000003</v>
      </c>
      <c r="CY242" t="s">
        <v>284</v>
      </c>
      <c r="CZ242">
        <v>4</v>
      </c>
      <c r="DA242">
        <v>9.8824000000000005</v>
      </c>
      <c r="DB242">
        <v>25</v>
      </c>
      <c r="DC242">
        <v>23.5</v>
      </c>
      <c r="DD242">
        <v>24</v>
      </c>
      <c r="DE242">
        <v>-2.3110000000000008</v>
      </c>
      <c r="DF242">
        <v>23</v>
      </c>
      <c r="DG242">
        <v>-26.75</v>
      </c>
      <c r="DH242">
        <v>1.35</v>
      </c>
      <c r="DI242">
        <v>31</v>
      </c>
      <c r="DJ242">
        <v>31</v>
      </c>
      <c r="DK242">
        <v>31</v>
      </c>
      <c r="DL242">
        <v>-1.4950000000000001</v>
      </c>
      <c r="DM242">
        <v>31</v>
      </c>
      <c r="DN242">
        <v>-4.3999999999999995</v>
      </c>
      <c r="DO242">
        <v>-0.64999999999999991</v>
      </c>
      <c r="DP242">
        <v>9</v>
      </c>
      <c r="DQ242">
        <v>6</v>
      </c>
      <c r="DR242">
        <v>6</v>
      </c>
      <c r="DS242">
        <v>6.5920000000000014</v>
      </c>
      <c r="DT242">
        <v>6</v>
      </c>
      <c r="DU242">
        <v>19.32</v>
      </c>
      <c r="DV242">
        <v>1.8800000000000001</v>
      </c>
      <c r="DW242">
        <v>1</v>
      </c>
      <c r="DX242">
        <v>1.5</v>
      </c>
      <c r="DY242">
        <v>1</v>
      </c>
      <c r="DZ242">
        <v>6.8079999999999998</v>
      </c>
      <c r="EA242">
        <v>2</v>
      </c>
      <c r="EB242">
        <v>24.080000000000002</v>
      </c>
      <c r="EC242">
        <v>-0.24000000000000005</v>
      </c>
      <c r="ED242">
        <v>8</v>
      </c>
      <c r="EE242">
        <v>12.5</v>
      </c>
      <c r="EF242">
        <v>17</v>
      </c>
      <c r="EG242">
        <v>7.19999999999998E-2</v>
      </c>
      <c r="EH242">
        <v>8</v>
      </c>
      <c r="EI242">
        <v>-4.5199999999999996</v>
      </c>
      <c r="EJ242">
        <v>0.52</v>
      </c>
      <c r="EK242">
        <v>2</v>
      </c>
      <c r="EL242">
        <v>3.5</v>
      </c>
      <c r="EM242">
        <v>1</v>
      </c>
      <c r="EN242">
        <v>7.2279999999999998</v>
      </c>
      <c r="EO242">
        <v>6</v>
      </c>
      <c r="EP242">
        <v>31.879999999999995</v>
      </c>
      <c r="EQ242">
        <v>3.9200000000000004</v>
      </c>
      <c r="ER242">
        <v>21</v>
      </c>
      <c r="ES242">
        <v>20.5</v>
      </c>
      <c r="ET242">
        <v>15</v>
      </c>
      <c r="EU242">
        <v>9.0839999999999996</v>
      </c>
      <c r="EV242">
        <v>26</v>
      </c>
      <c r="EW242">
        <v>35.44</v>
      </c>
      <c r="EX242">
        <v>3.2800000000000002</v>
      </c>
      <c r="EY242">
        <v>16</v>
      </c>
      <c r="EZ242">
        <v>14</v>
      </c>
      <c r="FA242">
        <v>13</v>
      </c>
      <c r="FB242">
        <v>4.3199999999999994</v>
      </c>
      <c r="FC242">
        <v>15</v>
      </c>
      <c r="FD242">
        <v>0.36</v>
      </c>
      <c r="FE242">
        <v>0.31999999999999995</v>
      </c>
      <c r="FF242">
        <v>10</v>
      </c>
      <c r="FG242">
        <v>13.25</v>
      </c>
      <c r="FH242">
        <v>9</v>
      </c>
      <c r="FI242">
        <v>-2.0926775614072923E-2</v>
      </c>
      <c r="FJ242">
        <v>26</v>
      </c>
      <c r="FK242">
        <v>-1.8393524376987026E-2</v>
      </c>
      <c r="FL242">
        <v>6</v>
      </c>
      <c r="FM242">
        <v>17.839999999999996</v>
      </c>
      <c r="FN242">
        <v>12</v>
      </c>
      <c r="FO242">
        <v>-2.7600000000000007</v>
      </c>
      <c r="FP242">
        <v>5.2799999999999994</v>
      </c>
      <c r="FQ242">
        <v>-3.9199999999999995</v>
      </c>
      <c r="FR242">
        <v>0.24</v>
      </c>
      <c r="FS242">
        <v>2.3599999999999981</v>
      </c>
      <c r="FT242">
        <v>11.559999999999999</v>
      </c>
      <c r="FU242">
        <v>-1</v>
      </c>
      <c r="FV242">
        <v>37.520000000000003</v>
      </c>
      <c r="FW242">
        <v>74.240000000000009</v>
      </c>
      <c r="FX242">
        <v>-33.04</v>
      </c>
      <c r="FY242">
        <v>-0.15999999999999978</v>
      </c>
      <c r="FZ242">
        <v>-3.5199999999999996</v>
      </c>
      <c r="GA242">
        <v>1</v>
      </c>
      <c r="GB242">
        <v>13.688400000000001</v>
      </c>
      <c r="GC242">
        <v>8.3906799999999997</v>
      </c>
      <c r="GD242">
        <v>107.28</v>
      </c>
      <c r="GE242">
        <v>-13.688400000000001</v>
      </c>
      <c r="GF242">
        <v>4.1190499999999997</v>
      </c>
      <c r="GG242">
        <v>13.472000000000001</v>
      </c>
      <c r="GH242">
        <v>38.88000000000001</v>
      </c>
      <c r="GI242">
        <v>-3.8060000000000009</v>
      </c>
      <c r="GJ242">
        <v>-31.15</v>
      </c>
      <c r="GK242">
        <v>5.44</v>
      </c>
      <c r="GL242">
        <v>0.70000000000000018</v>
      </c>
    </row>
    <row r="243" spans="1:194" x14ac:dyDescent="0.2">
      <c r="A243" s="39">
        <v>43765</v>
      </c>
      <c r="B243" s="22" t="s">
        <v>248</v>
      </c>
      <c r="C243" s="41" t="s">
        <v>306</v>
      </c>
      <c r="D243" s="22" t="s">
        <v>312</v>
      </c>
      <c r="E243">
        <v>7.9</v>
      </c>
      <c r="F243" s="14">
        <v>6.4</v>
      </c>
      <c r="G243">
        <v>2.5</v>
      </c>
      <c r="H243">
        <v>5.5</v>
      </c>
      <c r="I243">
        <v>16.5</v>
      </c>
      <c r="J243">
        <v>42</v>
      </c>
      <c r="L243" s="1" t="s">
        <v>306</v>
      </c>
      <c r="M243">
        <v>27</v>
      </c>
      <c r="N243">
        <v>-3.4840000000000004</v>
      </c>
      <c r="O243">
        <v>9</v>
      </c>
      <c r="P243">
        <v>9</v>
      </c>
      <c r="Q243">
        <v>11</v>
      </c>
      <c r="R243">
        <v>-8.8879999999999999</v>
      </c>
      <c r="S243">
        <v>7</v>
      </c>
      <c r="T243">
        <v>-19.96</v>
      </c>
      <c r="U243">
        <v>-2.2000000000000002</v>
      </c>
      <c r="V243">
        <v>19</v>
      </c>
      <c r="W243">
        <v>18</v>
      </c>
      <c r="X243">
        <v>25</v>
      </c>
      <c r="Y243">
        <v>2.1060000000000003</v>
      </c>
      <c r="Z243">
        <v>11</v>
      </c>
      <c r="AA243">
        <v>-0.24000000000000057</v>
      </c>
      <c r="AB243">
        <v>1.8800000000000001</v>
      </c>
      <c r="AC243">
        <v>29</v>
      </c>
      <c r="AD243">
        <v>29</v>
      </c>
      <c r="AE243">
        <v>29</v>
      </c>
      <c r="AF243">
        <v>-3.1539999999999995</v>
      </c>
      <c r="AG243">
        <v>29</v>
      </c>
      <c r="AH243">
        <v>-18.21</v>
      </c>
      <c r="AI243">
        <v>-1.77</v>
      </c>
      <c r="AJ243">
        <v>28</v>
      </c>
      <c r="AK243">
        <v>27.5</v>
      </c>
      <c r="AL243">
        <v>30</v>
      </c>
      <c r="AM243">
        <v>-2.2199999999999998</v>
      </c>
      <c r="AN243">
        <v>25</v>
      </c>
      <c r="AO243">
        <v>-15.319999999999999</v>
      </c>
      <c r="AP243">
        <v>-1.39</v>
      </c>
      <c r="AQ243">
        <v>30</v>
      </c>
      <c r="AR243">
        <v>29.5</v>
      </c>
      <c r="AS243">
        <v>31</v>
      </c>
      <c r="AT243">
        <v>-0.25900000000000001</v>
      </c>
      <c r="AU243">
        <v>28</v>
      </c>
      <c r="AV243">
        <v>-4.2099999999999991</v>
      </c>
      <c r="AW243">
        <v>-9.9999999999998753E-3</v>
      </c>
      <c r="AX243">
        <v>30</v>
      </c>
      <c r="AY243">
        <v>30</v>
      </c>
      <c r="AZ243">
        <v>30</v>
      </c>
      <c r="BA243">
        <v>-1.8239999999999994</v>
      </c>
      <c r="BB243">
        <v>30</v>
      </c>
      <c r="BC243">
        <v>-14.079999999999998</v>
      </c>
      <c r="BD243">
        <v>-5.16</v>
      </c>
      <c r="BE243">
        <v>31</v>
      </c>
      <c r="BF243">
        <v>30</v>
      </c>
      <c r="BG243">
        <v>31</v>
      </c>
      <c r="BH243">
        <v>-1.4480000000000002</v>
      </c>
      <c r="BI243">
        <v>29</v>
      </c>
      <c r="BJ243">
        <v>-6.4800000000000013</v>
      </c>
      <c r="BK243">
        <v>0</v>
      </c>
      <c r="BL243">
        <v>1</v>
      </c>
      <c r="BM243">
        <v>1</v>
      </c>
      <c r="BN243">
        <v>1</v>
      </c>
      <c r="BO243">
        <v>-3.7600000000000002</v>
      </c>
      <c r="BP243">
        <v>1</v>
      </c>
      <c r="BQ243">
        <v>-0.51999999999999991</v>
      </c>
      <c r="BR243">
        <v>-1.8</v>
      </c>
      <c r="BS243">
        <v>1</v>
      </c>
      <c r="BT243">
        <v>5.25</v>
      </c>
      <c r="BU243">
        <v>9</v>
      </c>
      <c r="BV243">
        <v>-2.0538882432292117E-2</v>
      </c>
      <c r="BW243">
        <v>1</v>
      </c>
      <c r="BX243">
        <v>2.6175491257688942E-2</v>
      </c>
      <c r="BY243">
        <v>2</v>
      </c>
      <c r="BZ243">
        <v>-1.6400000000000006</v>
      </c>
      <c r="CA243">
        <v>9</v>
      </c>
      <c r="CB243">
        <v>3.4400000000000004</v>
      </c>
      <c r="CC243">
        <v>-5.12</v>
      </c>
      <c r="CD243">
        <v>-7.5200000000000014</v>
      </c>
      <c r="CE243">
        <v>-1.92</v>
      </c>
      <c r="CF243">
        <v>-45</v>
      </c>
      <c r="CG243">
        <v>-34.68</v>
      </c>
      <c r="CH243">
        <v>-19.48</v>
      </c>
      <c r="CI243">
        <v>7.6399999999999988</v>
      </c>
      <c r="CJ243">
        <v>1.52</v>
      </c>
      <c r="CK243">
        <v>14</v>
      </c>
      <c r="CL243">
        <v>3.2979999999999996</v>
      </c>
      <c r="CM243">
        <v>1.2779999999999996</v>
      </c>
      <c r="CN243">
        <v>-15.2</v>
      </c>
      <c r="CO243">
        <v>-3.2979999999999996</v>
      </c>
      <c r="CP243">
        <v>-2.6383750000000004</v>
      </c>
      <c r="CQ243">
        <v>-5.6329999999999991</v>
      </c>
      <c r="CR243">
        <v>-37.74</v>
      </c>
      <c r="CS243">
        <v>-6.782</v>
      </c>
      <c r="CT243">
        <v>-20.200000000000003</v>
      </c>
      <c r="CU243">
        <v>-3.17</v>
      </c>
      <c r="CV243">
        <v>-0.32000000000000006</v>
      </c>
      <c r="CW243">
        <v>0.31806250000000003</v>
      </c>
      <c r="CX243">
        <v>0.26592500000000024</v>
      </c>
      <c r="CY243" t="s">
        <v>312</v>
      </c>
      <c r="CZ243">
        <v>7</v>
      </c>
      <c r="DA243">
        <v>1.6936</v>
      </c>
      <c r="DB243">
        <v>22</v>
      </c>
      <c r="DC243">
        <v>21.5</v>
      </c>
      <c r="DD243">
        <v>22</v>
      </c>
      <c r="DE243">
        <v>-6.543000000000001</v>
      </c>
      <c r="DF243">
        <v>21</v>
      </c>
      <c r="DG243">
        <v>-14.35</v>
      </c>
      <c r="DH243">
        <v>-0.26000000000000006</v>
      </c>
      <c r="DI243">
        <v>8</v>
      </c>
      <c r="DJ243">
        <v>11</v>
      </c>
      <c r="DK243">
        <v>9</v>
      </c>
      <c r="DL243">
        <v>2.6829999999999998</v>
      </c>
      <c r="DM243">
        <v>13</v>
      </c>
      <c r="DN243">
        <v>-2.419999999999999</v>
      </c>
      <c r="DO243">
        <v>0.20999999999999996</v>
      </c>
      <c r="DP243">
        <v>6</v>
      </c>
      <c r="DQ243">
        <v>14.5</v>
      </c>
      <c r="DR243">
        <v>15</v>
      </c>
      <c r="DS243">
        <v>-3.4279999999999995</v>
      </c>
      <c r="DT243">
        <v>14</v>
      </c>
      <c r="DU243">
        <v>-14.2</v>
      </c>
      <c r="DV243">
        <v>-1.2399999999999998</v>
      </c>
      <c r="DW243">
        <v>4</v>
      </c>
      <c r="DX243">
        <v>5</v>
      </c>
      <c r="DY243">
        <v>3</v>
      </c>
      <c r="DZ243">
        <v>3.4959999999999996</v>
      </c>
      <c r="EA243">
        <v>7</v>
      </c>
      <c r="EB243">
        <v>-1.9999999999999987</v>
      </c>
      <c r="EC243">
        <v>1.5599999999999998</v>
      </c>
      <c r="ED243">
        <v>3</v>
      </c>
      <c r="EE243">
        <v>1</v>
      </c>
      <c r="EF243">
        <v>1</v>
      </c>
      <c r="EG243">
        <v>5.3319999999999999</v>
      </c>
      <c r="EH243">
        <v>1</v>
      </c>
      <c r="EI243">
        <v>18.68</v>
      </c>
      <c r="EJ243">
        <v>2.3600000000000003</v>
      </c>
      <c r="EK243">
        <v>13</v>
      </c>
      <c r="EL243">
        <v>12.5</v>
      </c>
      <c r="EM243">
        <v>13</v>
      </c>
      <c r="EN243">
        <v>-2.7320000000000007</v>
      </c>
      <c r="EO243">
        <v>12</v>
      </c>
      <c r="EP243">
        <v>-15.719999999999999</v>
      </c>
      <c r="EQ243">
        <v>0.44000000000000022</v>
      </c>
      <c r="ER243">
        <v>18</v>
      </c>
      <c r="ES243">
        <v>16</v>
      </c>
      <c r="ET243">
        <v>20</v>
      </c>
      <c r="EU243">
        <v>0.2879999999999997</v>
      </c>
      <c r="EV243">
        <v>12</v>
      </c>
      <c r="EW243">
        <v>8.16</v>
      </c>
      <c r="EX243">
        <v>3.3200000000000003</v>
      </c>
      <c r="EY243">
        <v>11</v>
      </c>
      <c r="EZ243">
        <v>12</v>
      </c>
      <c r="FA243">
        <v>11</v>
      </c>
      <c r="FB243">
        <v>-0.55999999999999994</v>
      </c>
      <c r="FC243">
        <v>13</v>
      </c>
      <c r="FD243">
        <v>3.9999999999999994E-2</v>
      </c>
      <c r="FE243">
        <v>-4.5200000000000005</v>
      </c>
      <c r="FF243">
        <v>7</v>
      </c>
      <c r="FG243">
        <v>12.25</v>
      </c>
      <c r="FH243">
        <v>19</v>
      </c>
      <c r="FI243">
        <v>1.8834216370345824E-2</v>
      </c>
      <c r="FJ243">
        <v>13</v>
      </c>
      <c r="FK243">
        <v>4.111114625563024E-3</v>
      </c>
      <c r="FL243">
        <v>1</v>
      </c>
      <c r="FM243">
        <v>-5.2439999999999971</v>
      </c>
      <c r="FN243">
        <v>16</v>
      </c>
      <c r="FO243">
        <v>-1.0399999999999998</v>
      </c>
      <c r="FP243">
        <v>4.1999999999999984</v>
      </c>
      <c r="FQ243">
        <v>-2.7199999999999989</v>
      </c>
      <c r="FR243">
        <v>-0.36</v>
      </c>
      <c r="FS243">
        <v>1.6799999999999984</v>
      </c>
      <c r="FT243">
        <v>-2.6399999999999997</v>
      </c>
      <c r="FU243">
        <v>-2.8000000000000003</v>
      </c>
      <c r="FV243">
        <v>-8</v>
      </c>
      <c r="FW243">
        <v>14.039999999999992</v>
      </c>
      <c r="FX243">
        <v>-15.320000000000002</v>
      </c>
      <c r="FY243">
        <v>-4.5200000000000005</v>
      </c>
      <c r="FZ243">
        <v>-2.2000000000000002</v>
      </c>
      <c r="GA243">
        <v>3</v>
      </c>
      <c r="GB243">
        <v>5.5536000000000012</v>
      </c>
      <c r="GC243">
        <v>3.4063200000000005</v>
      </c>
      <c r="GD243">
        <v>29.359999999999992</v>
      </c>
      <c r="GE243">
        <v>-5.5536000000000012</v>
      </c>
      <c r="GF243">
        <v>0.37019999999999986</v>
      </c>
      <c r="GG243">
        <v>5.4</v>
      </c>
      <c r="GH243">
        <v>2.4800000000000004</v>
      </c>
      <c r="GI243">
        <v>-3.8600000000000012</v>
      </c>
      <c r="GJ243">
        <v>-16.77</v>
      </c>
      <c r="GK243">
        <v>6.0000000000000009</v>
      </c>
      <c r="GL243">
        <v>-5.00000000000001E-2</v>
      </c>
    </row>
    <row r="244" spans="1:194" x14ac:dyDescent="0.2">
      <c r="A244" s="39">
        <v>43772</v>
      </c>
      <c r="B244" s="22" t="s">
        <v>246</v>
      </c>
      <c r="C244" s="41" t="s">
        <v>285</v>
      </c>
      <c r="D244" s="22" t="s">
        <v>256</v>
      </c>
      <c r="E244">
        <v>7.8</v>
      </c>
      <c r="F244">
        <v>3.6</v>
      </c>
      <c r="G244">
        <v>15.8</v>
      </c>
      <c r="H244">
        <v>3.8</v>
      </c>
      <c r="I244">
        <v>10.5</v>
      </c>
      <c r="J244">
        <v>43.5</v>
      </c>
      <c r="L244" s="1" t="s">
        <v>285</v>
      </c>
      <c r="M244">
        <v>25</v>
      </c>
      <c r="N244">
        <v>-2.7752000000000008</v>
      </c>
      <c r="O244">
        <v>24</v>
      </c>
      <c r="P244">
        <v>22.5</v>
      </c>
      <c r="Q244">
        <v>22</v>
      </c>
      <c r="R244">
        <v>4.67</v>
      </c>
      <c r="S244">
        <v>23</v>
      </c>
      <c r="T244">
        <v>-4.4000000000000012</v>
      </c>
      <c r="U244">
        <v>1.2600000000000002</v>
      </c>
      <c r="V244">
        <v>29</v>
      </c>
      <c r="W244">
        <v>29</v>
      </c>
      <c r="X244">
        <v>30</v>
      </c>
      <c r="Y244">
        <v>0.3373999999999997</v>
      </c>
      <c r="Z244">
        <v>28</v>
      </c>
      <c r="AA244">
        <v>3.25</v>
      </c>
      <c r="AB244">
        <v>-0.8899999999999999</v>
      </c>
      <c r="AC244">
        <v>27</v>
      </c>
      <c r="AD244">
        <v>26.5</v>
      </c>
      <c r="AE244">
        <v>27</v>
      </c>
      <c r="AF244">
        <v>-7.4520000000000008</v>
      </c>
      <c r="AG244">
        <v>26</v>
      </c>
      <c r="AH244">
        <v>-33.200000000000003</v>
      </c>
      <c r="AI244">
        <v>-2</v>
      </c>
      <c r="AJ244">
        <v>7</v>
      </c>
      <c r="AK244">
        <v>8</v>
      </c>
      <c r="AL244">
        <v>6</v>
      </c>
      <c r="AM244">
        <v>-2.7839999999999998</v>
      </c>
      <c r="AN244">
        <v>10</v>
      </c>
      <c r="AO244">
        <v>-7.8800000000000008</v>
      </c>
      <c r="AP244">
        <v>0.4</v>
      </c>
      <c r="AQ244">
        <v>11</v>
      </c>
      <c r="AR244">
        <v>10.5</v>
      </c>
      <c r="AS244">
        <v>9</v>
      </c>
      <c r="AT244">
        <v>-1.5520000000000003</v>
      </c>
      <c r="AU244">
        <v>12</v>
      </c>
      <c r="AV244">
        <v>-11.04</v>
      </c>
      <c r="AW244">
        <v>-0.40000000000000008</v>
      </c>
      <c r="AX244">
        <v>16</v>
      </c>
      <c r="AY244">
        <v>16</v>
      </c>
      <c r="AZ244">
        <v>18</v>
      </c>
      <c r="BA244">
        <v>-0.66400000000000003</v>
      </c>
      <c r="BB244">
        <v>14</v>
      </c>
      <c r="BC244">
        <v>-3.6799999999999984</v>
      </c>
      <c r="BD244">
        <v>-3.2800000000000011</v>
      </c>
      <c r="BE244">
        <v>24</v>
      </c>
      <c r="BF244">
        <v>23.5</v>
      </c>
      <c r="BG244">
        <v>29</v>
      </c>
      <c r="BH244">
        <v>-1.5400000000000005</v>
      </c>
      <c r="BI244">
        <v>18</v>
      </c>
      <c r="BJ244">
        <v>-5.0000000000000018</v>
      </c>
      <c r="BK244">
        <v>-1.92</v>
      </c>
      <c r="BL244">
        <v>21</v>
      </c>
      <c r="BM244">
        <v>20</v>
      </c>
      <c r="BN244">
        <v>17</v>
      </c>
      <c r="BO244">
        <v>0.72000000000000008</v>
      </c>
      <c r="BP244">
        <v>23</v>
      </c>
      <c r="BQ244">
        <v>0.83999999999999986</v>
      </c>
      <c r="BR244">
        <v>-5.04</v>
      </c>
      <c r="BS244">
        <v>9</v>
      </c>
      <c r="BT244">
        <v>12.25</v>
      </c>
      <c r="BU244">
        <v>20</v>
      </c>
      <c r="BV244">
        <v>-5.8818242040862376E-2</v>
      </c>
      <c r="BW244">
        <v>7</v>
      </c>
      <c r="BX244">
        <v>4.7430882321975124E-3</v>
      </c>
      <c r="BY244">
        <v>4</v>
      </c>
      <c r="BZ244">
        <v>-4.9480000000000004</v>
      </c>
      <c r="CA244">
        <v>18</v>
      </c>
      <c r="CB244">
        <v>0.67999999999999994</v>
      </c>
      <c r="CC244">
        <v>-1.3599999999999981</v>
      </c>
      <c r="CD244">
        <v>-0.88000000000000078</v>
      </c>
      <c r="CE244">
        <v>-2.6</v>
      </c>
      <c r="CF244">
        <v>-17.120000000000005</v>
      </c>
      <c r="CG244">
        <v>-31.080000000000005</v>
      </c>
      <c r="CH244">
        <v>-1.4399999999999977</v>
      </c>
      <c r="CI244">
        <v>3.5200000000000005</v>
      </c>
      <c r="CJ244">
        <v>11.88</v>
      </c>
      <c r="CK244">
        <v>29</v>
      </c>
      <c r="CL244">
        <v>-7.7826000000000004</v>
      </c>
      <c r="CM244">
        <v>-5.7243399999999998</v>
      </c>
      <c r="CN244">
        <v>-29.640000000000008</v>
      </c>
      <c r="CO244">
        <v>7.7826000000000004</v>
      </c>
      <c r="CP244">
        <v>-1.2969750000000002</v>
      </c>
      <c r="CQ244">
        <v>-11.788</v>
      </c>
      <c r="CR244">
        <v>-52.120000000000005</v>
      </c>
      <c r="CS244">
        <v>5.0073999999999996</v>
      </c>
      <c r="CT244">
        <v>-1.1500000000000012</v>
      </c>
      <c r="CU244">
        <v>-3.92</v>
      </c>
      <c r="CV244">
        <v>0.37000000000000033</v>
      </c>
      <c r="CW244">
        <v>-1.5024875</v>
      </c>
      <c r="CX244">
        <v>1.5286500000000005</v>
      </c>
      <c r="CY244" t="s">
        <v>256</v>
      </c>
      <c r="CZ244">
        <v>22</v>
      </c>
      <c r="DA244">
        <v>-7.652000000000001</v>
      </c>
      <c r="DB244">
        <v>14</v>
      </c>
      <c r="DC244">
        <v>16</v>
      </c>
      <c r="DD244">
        <v>22</v>
      </c>
      <c r="DE244">
        <v>-4.8950000000000014</v>
      </c>
      <c r="DF244">
        <v>10</v>
      </c>
      <c r="DG244">
        <v>6.65</v>
      </c>
      <c r="DH244">
        <v>-2.2400000000000002</v>
      </c>
      <c r="DI244">
        <v>32</v>
      </c>
      <c r="DJ244">
        <v>32</v>
      </c>
      <c r="DK244">
        <v>32</v>
      </c>
      <c r="DL244">
        <v>-2.8940000000000006</v>
      </c>
      <c r="DM244">
        <v>32</v>
      </c>
      <c r="DN244">
        <v>-6.81</v>
      </c>
      <c r="DO244">
        <v>-0.62</v>
      </c>
      <c r="DP244">
        <v>28</v>
      </c>
      <c r="DQ244">
        <v>26.5</v>
      </c>
      <c r="DR244">
        <v>23</v>
      </c>
      <c r="DS244">
        <v>-6.9080000000000013</v>
      </c>
      <c r="DT244">
        <v>30</v>
      </c>
      <c r="DU244">
        <v>-36.56</v>
      </c>
      <c r="DV244">
        <v>-2.2000000000000002</v>
      </c>
      <c r="DW244">
        <v>31</v>
      </c>
      <c r="DX244">
        <v>30.5</v>
      </c>
      <c r="DY244">
        <v>32</v>
      </c>
      <c r="DZ244">
        <v>-3.5720000000000001</v>
      </c>
      <c r="EA244">
        <v>29</v>
      </c>
      <c r="EB244">
        <v>-18.919999999999998</v>
      </c>
      <c r="EC244">
        <v>-0.7200000000000002</v>
      </c>
      <c r="ED244">
        <v>7</v>
      </c>
      <c r="EE244">
        <v>14</v>
      </c>
      <c r="EF244">
        <v>12</v>
      </c>
      <c r="EG244">
        <v>0.19999999999999973</v>
      </c>
      <c r="EH244">
        <v>16</v>
      </c>
      <c r="EI244">
        <v>0.47999999999999898</v>
      </c>
      <c r="EJ244">
        <v>-1.52</v>
      </c>
      <c r="EK244">
        <v>27</v>
      </c>
      <c r="EL244">
        <v>27</v>
      </c>
      <c r="EM244">
        <v>26</v>
      </c>
      <c r="EN244">
        <v>-11.528</v>
      </c>
      <c r="EO244">
        <v>28</v>
      </c>
      <c r="EP244">
        <v>-56.48</v>
      </c>
      <c r="EQ244">
        <v>-4.5600000000000005</v>
      </c>
      <c r="ER244">
        <v>22</v>
      </c>
      <c r="ES244">
        <v>23.5</v>
      </c>
      <c r="ET244">
        <v>19</v>
      </c>
      <c r="EU244">
        <v>-5.2279999999999998</v>
      </c>
      <c r="EV244">
        <v>28</v>
      </c>
      <c r="EW244">
        <v>-25.879999999999995</v>
      </c>
      <c r="EX244">
        <v>-1.6</v>
      </c>
      <c r="EY244">
        <v>18</v>
      </c>
      <c r="EZ244">
        <v>20</v>
      </c>
      <c r="FA244">
        <v>22</v>
      </c>
      <c r="FB244">
        <v>-5.32</v>
      </c>
      <c r="FC244">
        <v>18</v>
      </c>
      <c r="FD244">
        <v>-1.44</v>
      </c>
      <c r="FE244">
        <v>-3.56</v>
      </c>
      <c r="FF244">
        <v>13</v>
      </c>
      <c r="FG244">
        <v>14.75</v>
      </c>
      <c r="FH244">
        <v>23</v>
      </c>
      <c r="FI244">
        <v>5.882043592723242E-2</v>
      </c>
      <c r="FJ244">
        <v>8</v>
      </c>
      <c r="FK244">
        <v>7.723412502438616E-2</v>
      </c>
      <c r="FL244">
        <v>24</v>
      </c>
      <c r="FM244">
        <v>0.42400000000000232</v>
      </c>
      <c r="FN244">
        <v>4</v>
      </c>
      <c r="FO244">
        <v>4.32</v>
      </c>
      <c r="FP244">
        <v>-8.0400000000000009</v>
      </c>
      <c r="FQ244">
        <v>-2</v>
      </c>
      <c r="FR244">
        <v>-1.52</v>
      </c>
      <c r="FS244">
        <v>-9.8000000000000007</v>
      </c>
      <c r="FT244">
        <v>-10.360000000000001</v>
      </c>
      <c r="FU244">
        <v>-0.51999999999999991</v>
      </c>
      <c r="FV244">
        <v>-97.11999999999999</v>
      </c>
      <c r="FW244">
        <v>-95.12</v>
      </c>
      <c r="FX244">
        <v>3.0400000000000005</v>
      </c>
      <c r="FY244">
        <v>1.0800000000000005</v>
      </c>
      <c r="FZ244">
        <v>-6.12</v>
      </c>
      <c r="GA244">
        <v>20</v>
      </c>
      <c r="GB244">
        <v>0.1370000000000009</v>
      </c>
      <c r="GC244">
        <v>-0.73749999999999982</v>
      </c>
      <c r="GD244">
        <v>-98.160000000000011</v>
      </c>
      <c r="GE244">
        <v>-0.13700000000000045</v>
      </c>
      <c r="GF244">
        <v>-4.5336250000000007</v>
      </c>
      <c r="GG244">
        <v>-10.280000000000001</v>
      </c>
      <c r="GH244">
        <v>-55.000000000000007</v>
      </c>
      <c r="GI244">
        <v>-7.7890000000000015</v>
      </c>
      <c r="GJ244">
        <v>-0.15999999999999925</v>
      </c>
      <c r="GK244">
        <v>-6.0400000000000009</v>
      </c>
      <c r="GL244">
        <v>-2.8600000000000003</v>
      </c>
    </row>
    <row r="245" spans="1:194" x14ac:dyDescent="0.2">
      <c r="A245" s="39">
        <v>43772</v>
      </c>
      <c r="B245" s="22" t="s">
        <v>246</v>
      </c>
      <c r="C245" s="41" t="s">
        <v>305</v>
      </c>
      <c r="D245" s="22" t="s">
        <v>302</v>
      </c>
      <c r="E245">
        <v>7.8</v>
      </c>
      <c r="F245">
        <v>3.5</v>
      </c>
      <c r="G245">
        <v>0</v>
      </c>
      <c r="H245">
        <f>13.7+4.1+3.5</f>
        <v>21.299999999999997</v>
      </c>
      <c r="I245">
        <v>3</v>
      </c>
      <c r="J245">
        <v>44.5</v>
      </c>
      <c r="L245" s="1" t="s">
        <v>305</v>
      </c>
      <c r="M245">
        <v>1</v>
      </c>
      <c r="N245">
        <v>7.6088000000000022</v>
      </c>
      <c r="O245">
        <v>4</v>
      </c>
      <c r="P245">
        <v>6.5</v>
      </c>
      <c r="Q245">
        <v>4</v>
      </c>
      <c r="R245">
        <v>-1.8440000000000005</v>
      </c>
      <c r="S245">
        <v>9</v>
      </c>
      <c r="T245">
        <v>-3.6</v>
      </c>
      <c r="U245">
        <v>-1.2</v>
      </c>
      <c r="V245">
        <v>5</v>
      </c>
      <c r="W245">
        <v>8</v>
      </c>
      <c r="X245">
        <v>14</v>
      </c>
      <c r="Y245">
        <v>-2.3856000000000011</v>
      </c>
      <c r="Z245">
        <v>2</v>
      </c>
      <c r="AA245">
        <v>6.2800000000000011</v>
      </c>
      <c r="AB245">
        <v>-2.2000000000000002</v>
      </c>
      <c r="AC245">
        <v>26</v>
      </c>
      <c r="AD245">
        <v>25</v>
      </c>
      <c r="AE245">
        <v>22</v>
      </c>
      <c r="AF245">
        <v>-3.8666666666666658</v>
      </c>
      <c r="AG245">
        <v>28</v>
      </c>
      <c r="AH245">
        <v>-21.2</v>
      </c>
      <c r="AI245">
        <v>-1.5999999999999999</v>
      </c>
      <c r="AJ245">
        <v>25</v>
      </c>
      <c r="AK245">
        <v>26</v>
      </c>
      <c r="AL245">
        <v>24</v>
      </c>
      <c r="AM245">
        <v>0.55333333333333368</v>
      </c>
      <c r="AN245">
        <v>28</v>
      </c>
      <c r="AO245">
        <v>-1.0666666666666675</v>
      </c>
      <c r="AP245">
        <v>-3.2666666666666662</v>
      </c>
      <c r="AQ245">
        <v>31</v>
      </c>
      <c r="AR245">
        <v>30</v>
      </c>
      <c r="AS245">
        <v>29</v>
      </c>
      <c r="AT245">
        <v>-2.5333333333333337</v>
      </c>
      <c r="AU245">
        <v>31</v>
      </c>
      <c r="AV245">
        <v>-7.3333333333333321</v>
      </c>
      <c r="AW245">
        <v>-2.1333333333333333</v>
      </c>
      <c r="AX245">
        <v>10</v>
      </c>
      <c r="AY245">
        <v>11</v>
      </c>
      <c r="AZ245">
        <v>5</v>
      </c>
      <c r="BA245">
        <v>5.4999999999999956</v>
      </c>
      <c r="BB245">
        <v>17</v>
      </c>
      <c r="BC245">
        <v>13.000000000000002</v>
      </c>
      <c r="BD245">
        <v>1.0666666666666667</v>
      </c>
      <c r="BE245">
        <v>2</v>
      </c>
      <c r="BF245">
        <v>2</v>
      </c>
      <c r="BG245">
        <v>2</v>
      </c>
      <c r="BH245">
        <v>5.8479999999999981</v>
      </c>
      <c r="BI245">
        <v>2</v>
      </c>
      <c r="BJ245">
        <v>28</v>
      </c>
      <c r="BK245">
        <v>5.56</v>
      </c>
      <c r="BL245">
        <v>8</v>
      </c>
      <c r="BM245">
        <v>8.5</v>
      </c>
      <c r="BN245">
        <v>2</v>
      </c>
      <c r="BO245">
        <v>3.72</v>
      </c>
      <c r="BP245">
        <v>15</v>
      </c>
      <c r="BQ245">
        <v>0.24000000000000013</v>
      </c>
      <c r="BR245">
        <v>0.80000000000000038</v>
      </c>
      <c r="BS245">
        <v>31</v>
      </c>
      <c r="BT245">
        <v>29.25</v>
      </c>
      <c r="BU245">
        <v>27</v>
      </c>
      <c r="BV245">
        <v>-2.9471632578081476E-2</v>
      </c>
      <c r="BW245">
        <v>31</v>
      </c>
      <c r="BX245">
        <v>-2.9897145400756163E-3</v>
      </c>
      <c r="BY245">
        <v>27</v>
      </c>
      <c r="BZ245">
        <v>5.8520000000000039</v>
      </c>
      <c r="CA245">
        <v>32</v>
      </c>
      <c r="CB245">
        <v>-3.5200000000000005</v>
      </c>
      <c r="CC245">
        <v>4.5999999999999996</v>
      </c>
      <c r="CD245">
        <v>5.0400000000000009</v>
      </c>
      <c r="CE245">
        <v>2.7199999999999993</v>
      </c>
      <c r="CF245">
        <v>16.120000000000005</v>
      </c>
      <c r="CG245">
        <v>-46.680000000000007</v>
      </c>
      <c r="CH245">
        <v>8.4</v>
      </c>
      <c r="CI245">
        <v>-8.76</v>
      </c>
      <c r="CJ245">
        <v>63.160000000000004</v>
      </c>
      <c r="CK245">
        <v>1</v>
      </c>
      <c r="CL245">
        <v>11.838400000000004</v>
      </c>
      <c r="CM245">
        <v>3.6368266666666673</v>
      </c>
      <c r="CN245">
        <v>-55.080000000000005</v>
      </c>
      <c r="CO245">
        <v>-11.838400000000004</v>
      </c>
      <c r="CP245">
        <v>0.88756666666666661</v>
      </c>
      <c r="CQ245">
        <v>-5.8466666666666658</v>
      </c>
      <c r="CR245">
        <v>-29.599999999999998</v>
      </c>
      <c r="CS245">
        <v>-4.2296000000000014</v>
      </c>
      <c r="CT245">
        <v>2.680000000000001</v>
      </c>
      <c r="CU245">
        <v>-1.4400000000000004</v>
      </c>
      <c r="CV245">
        <v>-3.4000000000000004</v>
      </c>
      <c r="CW245">
        <v>-0.99959999999999982</v>
      </c>
      <c r="CX245">
        <v>0.11270000000000036</v>
      </c>
      <c r="CY245" t="s">
        <v>302</v>
      </c>
      <c r="CZ245">
        <v>28</v>
      </c>
      <c r="DA245">
        <v>-5.1511999999999993</v>
      </c>
      <c r="DB245">
        <v>20</v>
      </c>
      <c r="DC245">
        <v>21</v>
      </c>
      <c r="DD245">
        <v>26</v>
      </c>
      <c r="DE245">
        <v>-5.7839999999999989</v>
      </c>
      <c r="DF245">
        <v>16</v>
      </c>
      <c r="DG245">
        <v>4.2799999999999994</v>
      </c>
      <c r="DH245">
        <v>-1.5599999999999998</v>
      </c>
      <c r="DI245">
        <v>19</v>
      </c>
      <c r="DJ245">
        <v>17</v>
      </c>
      <c r="DK245">
        <v>15</v>
      </c>
      <c r="DL245">
        <v>1.5200000000000002</v>
      </c>
      <c r="DM245">
        <v>19</v>
      </c>
      <c r="DN245">
        <v>-3.8800000000000003</v>
      </c>
      <c r="DO245">
        <v>1.6800000000000002</v>
      </c>
      <c r="DP245">
        <v>31</v>
      </c>
      <c r="DQ245">
        <v>29</v>
      </c>
      <c r="DR245">
        <v>30</v>
      </c>
      <c r="DS245">
        <v>0.19599999999999901</v>
      </c>
      <c r="DT245">
        <v>28</v>
      </c>
      <c r="DU245">
        <v>0.27999999999999686</v>
      </c>
      <c r="DV245">
        <v>0.55999999999999961</v>
      </c>
      <c r="DW245">
        <v>24</v>
      </c>
      <c r="DX245">
        <v>25</v>
      </c>
      <c r="DY245">
        <v>26</v>
      </c>
      <c r="DZ245">
        <v>-1.6719999999999999</v>
      </c>
      <c r="EA245">
        <v>24</v>
      </c>
      <c r="EB245">
        <v>-1.5200000000000002</v>
      </c>
      <c r="EC245">
        <v>2.3199999999999994</v>
      </c>
      <c r="ED245">
        <v>23</v>
      </c>
      <c r="EE245">
        <v>21</v>
      </c>
      <c r="EF245">
        <v>25</v>
      </c>
      <c r="EG245">
        <v>-1.488</v>
      </c>
      <c r="EH245">
        <v>17</v>
      </c>
      <c r="EI245">
        <v>-9.68</v>
      </c>
      <c r="EJ245">
        <v>1.3199999999999998</v>
      </c>
      <c r="EK245">
        <v>22</v>
      </c>
      <c r="EL245">
        <v>23</v>
      </c>
      <c r="EM245">
        <v>24</v>
      </c>
      <c r="EN245">
        <v>-0.74000000000000055</v>
      </c>
      <c r="EO245">
        <v>22</v>
      </c>
      <c r="EP245">
        <v>-4.5999999999999996</v>
      </c>
      <c r="EQ245">
        <v>2.0800000000000005</v>
      </c>
      <c r="ER245">
        <v>20</v>
      </c>
      <c r="ES245">
        <v>20</v>
      </c>
      <c r="ET245">
        <v>18</v>
      </c>
      <c r="EU245">
        <v>-2.8759999999999994</v>
      </c>
      <c r="EV245">
        <v>22</v>
      </c>
      <c r="EW245">
        <v>-6.9600000000000026</v>
      </c>
      <c r="EX245">
        <v>-1.4799999999999998</v>
      </c>
      <c r="EY245">
        <v>24</v>
      </c>
      <c r="EZ245">
        <v>23</v>
      </c>
      <c r="FA245">
        <v>24</v>
      </c>
      <c r="FB245">
        <v>-1.64</v>
      </c>
      <c r="FC245">
        <v>22</v>
      </c>
      <c r="FD245">
        <v>-0.48</v>
      </c>
      <c r="FE245">
        <v>-1.8400000000000003</v>
      </c>
      <c r="FF245">
        <v>5</v>
      </c>
      <c r="FG245">
        <v>9.75</v>
      </c>
      <c r="FH245">
        <v>1</v>
      </c>
      <c r="FI245">
        <v>7.322773101870142E-2</v>
      </c>
      <c r="FJ245">
        <v>12</v>
      </c>
      <c r="FK245">
        <v>-2.7425137223959645E-3</v>
      </c>
      <c r="FL245">
        <v>23</v>
      </c>
      <c r="FM245">
        <v>-7.903999999999999</v>
      </c>
      <c r="FN245">
        <v>3</v>
      </c>
      <c r="FO245">
        <v>9.4400000000000013</v>
      </c>
      <c r="FP245">
        <v>2.319999999999999</v>
      </c>
      <c r="FQ245">
        <v>-1.9200000000000004</v>
      </c>
      <c r="FR245">
        <v>-0.88000000000000012</v>
      </c>
      <c r="FS245">
        <v>-0.72000000000000031</v>
      </c>
      <c r="FT245">
        <v>-6.9599999999999991</v>
      </c>
      <c r="FU245">
        <v>0.2</v>
      </c>
      <c r="FV245">
        <v>-21.839999999999996</v>
      </c>
      <c r="FW245">
        <v>-31.8</v>
      </c>
      <c r="FX245">
        <v>4.0399999999999974</v>
      </c>
      <c r="FY245">
        <v>7.56</v>
      </c>
      <c r="FZ245">
        <v>-1.6399999999999995</v>
      </c>
      <c r="GA245">
        <v>22</v>
      </c>
      <c r="GB245">
        <v>-0.88720000000000065</v>
      </c>
      <c r="GC245">
        <v>-6.6240000000000521E-2</v>
      </c>
      <c r="GD245">
        <v>-35.839999999999996</v>
      </c>
      <c r="GE245">
        <v>0.88720000000000088</v>
      </c>
      <c r="GF245">
        <v>-2.1118999999999999</v>
      </c>
      <c r="GG245">
        <v>-2.9640000000000009</v>
      </c>
      <c r="GH245">
        <v>-10.920000000000003</v>
      </c>
      <c r="GI245">
        <v>-4.2639999999999985</v>
      </c>
      <c r="GJ245">
        <v>0.39999999999999902</v>
      </c>
      <c r="GK245">
        <v>2.7199999999999998</v>
      </c>
      <c r="GL245">
        <v>0.12000000000000033</v>
      </c>
    </row>
    <row r="246" spans="1:194" x14ac:dyDescent="0.2">
      <c r="A246" s="39">
        <v>43772</v>
      </c>
      <c r="B246" s="22" t="s">
        <v>246</v>
      </c>
      <c r="C246" s="41" t="s">
        <v>276</v>
      </c>
      <c r="D246" s="22" t="s">
        <v>306</v>
      </c>
      <c r="E246">
        <v>11.6</v>
      </c>
      <c r="F246">
        <v>9.3000000000000007</v>
      </c>
      <c r="G246">
        <v>4.2</v>
      </c>
      <c r="H246">
        <v>3.4</v>
      </c>
      <c r="I246">
        <v>-10.5</v>
      </c>
      <c r="J246">
        <v>37</v>
      </c>
      <c r="L246" s="1" t="s">
        <v>276</v>
      </c>
      <c r="M246">
        <v>9</v>
      </c>
      <c r="N246">
        <v>2.2383999999999999</v>
      </c>
      <c r="O246">
        <v>15</v>
      </c>
      <c r="P246">
        <v>16</v>
      </c>
      <c r="Q246">
        <v>21</v>
      </c>
      <c r="R246">
        <v>-3.0160000000000005</v>
      </c>
      <c r="S246">
        <v>11</v>
      </c>
      <c r="T246">
        <v>-2</v>
      </c>
      <c r="U246">
        <v>-1.6800000000000002</v>
      </c>
      <c r="V246">
        <v>15</v>
      </c>
      <c r="W246">
        <v>14.5</v>
      </c>
      <c r="X246">
        <v>20</v>
      </c>
      <c r="Y246">
        <v>-0.67599999999999949</v>
      </c>
      <c r="Z246">
        <v>9</v>
      </c>
      <c r="AA246">
        <v>1.2799999999999998</v>
      </c>
      <c r="AB246">
        <v>-0.8</v>
      </c>
      <c r="AC246">
        <v>21</v>
      </c>
      <c r="AD246">
        <v>19.5</v>
      </c>
      <c r="AE246">
        <v>14</v>
      </c>
      <c r="AF246">
        <v>-3.1920000000000011</v>
      </c>
      <c r="AG246">
        <v>25</v>
      </c>
      <c r="AH246">
        <v>-6.1600000000000019</v>
      </c>
      <c r="AI246">
        <v>0</v>
      </c>
      <c r="AJ246">
        <v>9</v>
      </c>
      <c r="AK246">
        <v>8.5</v>
      </c>
      <c r="AL246">
        <v>9</v>
      </c>
      <c r="AM246">
        <v>1.3680000000000005</v>
      </c>
      <c r="AN246">
        <v>8</v>
      </c>
      <c r="AO246">
        <v>-7.599999999999997</v>
      </c>
      <c r="AP246">
        <v>0.44000000000000011</v>
      </c>
      <c r="AQ246">
        <v>13</v>
      </c>
      <c r="AR246">
        <v>14.5</v>
      </c>
      <c r="AS246">
        <v>15</v>
      </c>
      <c r="AT246">
        <v>-0.46799999999999997</v>
      </c>
      <c r="AU246">
        <v>14</v>
      </c>
      <c r="AV246">
        <v>-0.80000000000000038</v>
      </c>
      <c r="AW246">
        <v>-0.4</v>
      </c>
      <c r="AX246">
        <v>23</v>
      </c>
      <c r="AY246">
        <v>22.5</v>
      </c>
      <c r="AZ246">
        <v>25</v>
      </c>
      <c r="BA246">
        <v>-0.48399999999999926</v>
      </c>
      <c r="BB246">
        <v>20</v>
      </c>
      <c r="BC246">
        <v>-3.6399999999999979</v>
      </c>
      <c r="BD246">
        <v>1.4800000000000002</v>
      </c>
      <c r="BE246">
        <v>29</v>
      </c>
      <c r="BF246">
        <v>28.5</v>
      </c>
      <c r="BG246">
        <v>30</v>
      </c>
      <c r="BH246">
        <v>-2.6759999999999997</v>
      </c>
      <c r="BI246">
        <v>27</v>
      </c>
      <c r="BJ246">
        <v>-13.16</v>
      </c>
      <c r="BK246">
        <v>-1.56</v>
      </c>
      <c r="BL246">
        <v>25</v>
      </c>
      <c r="BM246">
        <v>23</v>
      </c>
      <c r="BN246">
        <v>23</v>
      </c>
      <c r="BO246">
        <v>-2.04</v>
      </c>
      <c r="BP246">
        <v>23</v>
      </c>
      <c r="BQ246">
        <v>-0.72</v>
      </c>
      <c r="BR246">
        <v>-1.2799999999999998</v>
      </c>
      <c r="BS246">
        <v>24</v>
      </c>
      <c r="BT246">
        <v>20.75</v>
      </c>
      <c r="BU246">
        <v>25</v>
      </c>
      <c r="BV246">
        <v>-2.7702843592410785E-2</v>
      </c>
      <c r="BW246">
        <v>25</v>
      </c>
      <c r="BX246">
        <v>1.4178125094536198E-2</v>
      </c>
      <c r="BY246">
        <v>5</v>
      </c>
      <c r="BZ246">
        <v>-24.352</v>
      </c>
      <c r="CA246">
        <v>28</v>
      </c>
      <c r="CB246">
        <v>-0.79999999999999982</v>
      </c>
      <c r="CC246">
        <v>-2.319999999999999</v>
      </c>
      <c r="CD246">
        <v>-0.96000000000000052</v>
      </c>
      <c r="CE246">
        <v>0.48000000000000009</v>
      </c>
      <c r="CF246">
        <v>-28.320000000000004</v>
      </c>
      <c r="CG246">
        <v>-32.64</v>
      </c>
      <c r="CH246">
        <v>-3.6799999999999984</v>
      </c>
      <c r="CI246">
        <v>-5.0399999999999991</v>
      </c>
      <c r="CJ246">
        <v>13.040000000000001</v>
      </c>
      <c r="CK246">
        <v>8</v>
      </c>
      <c r="CL246">
        <v>5.9303999999999997</v>
      </c>
      <c r="CM246">
        <v>1.3000799999999999</v>
      </c>
      <c r="CN246">
        <v>-28.96</v>
      </c>
      <c r="CO246">
        <v>-5.9304000000000006</v>
      </c>
      <c r="CP246">
        <v>-1.0577000000000001</v>
      </c>
      <c r="CQ246">
        <v>-2.2920000000000007</v>
      </c>
      <c r="CR246">
        <v>-14.559999999999999</v>
      </c>
      <c r="CS246">
        <v>-3.6920000000000002</v>
      </c>
      <c r="CT246">
        <v>-0.7200000000000002</v>
      </c>
      <c r="CU246">
        <v>-1.52</v>
      </c>
      <c r="CV246">
        <v>-2.4800000000000004</v>
      </c>
      <c r="CW246">
        <v>-0.84267499999999973</v>
      </c>
      <c r="CX246">
        <v>-1.1100499999999998</v>
      </c>
      <c r="CY246" t="s">
        <v>306</v>
      </c>
      <c r="CZ246">
        <v>22</v>
      </c>
      <c r="DA246">
        <v>-3.2203999999999993</v>
      </c>
      <c r="DB246">
        <v>11</v>
      </c>
      <c r="DC246">
        <v>11</v>
      </c>
      <c r="DD246">
        <v>16</v>
      </c>
      <c r="DE246">
        <v>3.6760000000000006</v>
      </c>
      <c r="DF246">
        <v>6</v>
      </c>
      <c r="DG246">
        <v>7.76</v>
      </c>
      <c r="DH246">
        <v>1.6400000000000001</v>
      </c>
      <c r="DI246">
        <v>10</v>
      </c>
      <c r="DJ246">
        <v>12.5</v>
      </c>
      <c r="DK246">
        <v>16</v>
      </c>
      <c r="DL246">
        <v>-0.63599999999999945</v>
      </c>
      <c r="DM246">
        <v>9</v>
      </c>
      <c r="DN246">
        <v>10.36</v>
      </c>
      <c r="DO246">
        <v>1.04</v>
      </c>
      <c r="DP246">
        <v>13</v>
      </c>
      <c r="DQ246">
        <v>12</v>
      </c>
      <c r="DR246">
        <v>14</v>
      </c>
      <c r="DS246">
        <v>0.28400000000000036</v>
      </c>
      <c r="DT246">
        <v>10</v>
      </c>
      <c r="DU246">
        <v>15.2</v>
      </c>
      <c r="DV246">
        <v>-1.2000000000000004</v>
      </c>
      <c r="DW246">
        <v>26</v>
      </c>
      <c r="DX246">
        <v>26.5</v>
      </c>
      <c r="DY246">
        <v>23</v>
      </c>
      <c r="DZ246">
        <v>-4.8140000000000009</v>
      </c>
      <c r="EA246">
        <v>30</v>
      </c>
      <c r="EB246">
        <v>-17.419999999999998</v>
      </c>
      <c r="EC246">
        <v>-2.21</v>
      </c>
      <c r="ED246">
        <v>32</v>
      </c>
      <c r="EE246">
        <v>15</v>
      </c>
      <c r="EF246">
        <v>15</v>
      </c>
      <c r="EG246">
        <v>-3.0479999999999996</v>
      </c>
      <c r="EH246">
        <v>15</v>
      </c>
      <c r="EI246">
        <v>-17</v>
      </c>
      <c r="EJ246">
        <v>-0.83999999999999986</v>
      </c>
      <c r="EK246">
        <v>7</v>
      </c>
      <c r="EL246">
        <v>7.5</v>
      </c>
      <c r="EM246">
        <v>7</v>
      </c>
      <c r="EN246">
        <v>-1.423999999999999</v>
      </c>
      <c r="EO246">
        <v>8</v>
      </c>
      <c r="EP246">
        <v>12.32</v>
      </c>
      <c r="EQ246">
        <v>-4.96</v>
      </c>
      <c r="ER246">
        <v>10</v>
      </c>
      <c r="ES246">
        <v>10.5</v>
      </c>
      <c r="ET246">
        <v>6</v>
      </c>
      <c r="EU246">
        <v>0.51600000000000068</v>
      </c>
      <c r="EV246">
        <v>15</v>
      </c>
      <c r="EW246">
        <v>5.2800000000000011</v>
      </c>
      <c r="EX246">
        <v>1.6800000000000002</v>
      </c>
      <c r="EY246">
        <v>12</v>
      </c>
      <c r="EZ246">
        <v>12.5</v>
      </c>
      <c r="FA246">
        <v>12</v>
      </c>
      <c r="FB246">
        <v>2.64</v>
      </c>
      <c r="FC246">
        <v>13</v>
      </c>
      <c r="FD246">
        <v>0.64000000000000012</v>
      </c>
      <c r="FE246">
        <v>1.7200000000000002</v>
      </c>
      <c r="FF246">
        <v>3</v>
      </c>
      <c r="FG246">
        <v>8</v>
      </c>
      <c r="FH246">
        <v>13</v>
      </c>
      <c r="FI246">
        <v>-1.4308428241602745E-2</v>
      </c>
      <c r="FJ246">
        <v>2</v>
      </c>
      <c r="FK246">
        <v>4.1108550784361318E-3</v>
      </c>
      <c r="FL246">
        <v>9</v>
      </c>
      <c r="FM246">
        <v>9.4160000000000004</v>
      </c>
      <c r="FN246">
        <v>8</v>
      </c>
      <c r="FO246">
        <v>-0.23999999999999985</v>
      </c>
      <c r="FP246">
        <v>-1.2</v>
      </c>
      <c r="FQ246">
        <v>4.16</v>
      </c>
      <c r="FR246">
        <v>-0.52</v>
      </c>
      <c r="FS246">
        <v>2.4399999999999991</v>
      </c>
      <c r="FT246">
        <v>-2.9200000000000004</v>
      </c>
      <c r="FU246">
        <v>-0.8</v>
      </c>
      <c r="FV246">
        <v>19.439999999999998</v>
      </c>
      <c r="FW246">
        <v>-1.6400000000000035</v>
      </c>
      <c r="FX246">
        <v>16.080000000000005</v>
      </c>
      <c r="FY246">
        <v>-0.43999999999999984</v>
      </c>
      <c r="FZ246">
        <v>5.44</v>
      </c>
      <c r="GA246">
        <v>27</v>
      </c>
      <c r="GB246">
        <v>-6.2604000000000006</v>
      </c>
      <c r="GC246">
        <v>-3.5764800000000001</v>
      </c>
      <c r="GD246">
        <v>-17.72000000000001</v>
      </c>
      <c r="GE246">
        <v>6.2604000000000006</v>
      </c>
      <c r="GF246">
        <v>-0.5752999999999997</v>
      </c>
      <c r="GG246">
        <v>-7.5779999999999994</v>
      </c>
      <c r="GH246">
        <v>-19.22</v>
      </c>
      <c r="GI246">
        <v>3.0400000000000009</v>
      </c>
      <c r="GJ246">
        <v>18.119999999999997</v>
      </c>
      <c r="GK246">
        <v>-2.57</v>
      </c>
      <c r="GL246">
        <v>2.68</v>
      </c>
    </row>
    <row r="247" spans="1:194" x14ac:dyDescent="0.2">
      <c r="A247" s="39">
        <v>43772</v>
      </c>
      <c r="B247" s="22" t="s">
        <v>246</v>
      </c>
      <c r="C247" s="41" t="s">
        <v>301</v>
      </c>
      <c r="D247" s="22" t="s">
        <v>310</v>
      </c>
      <c r="E247">
        <v>20.100000000000001</v>
      </c>
      <c r="F247">
        <v>16.399999999999999</v>
      </c>
      <c r="G247">
        <v>0</v>
      </c>
      <c r="H247">
        <v>7</v>
      </c>
      <c r="I247">
        <v>-3.5</v>
      </c>
      <c r="J247">
        <v>43</v>
      </c>
      <c r="L247" s="1" t="s">
        <v>301</v>
      </c>
      <c r="M247">
        <v>32</v>
      </c>
      <c r="N247">
        <v>-8.0239999999999991</v>
      </c>
      <c r="O247">
        <v>2</v>
      </c>
      <c r="P247">
        <v>3</v>
      </c>
      <c r="Q247">
        <v>1</v>
      </c>
      <c r="R247">
        <v>19.591200000000001</v>
      </c>
      <c r="S247">
        <v>5</v>
      </c>
      <c r="T247">
        <v>53.720000000000006</v>
      </c>
      <c r="U247">
        <v>2.2799999999999998</v>
      </c>
      <c r="V247">
        <v>32</v>
      </c>
      <c r="W247">
        <v>31.5</v>
      </c>
      <c r="X247">
        <v>31</v>
      </c>
      <c r="Y247">
        <v>-2.34</v>
      </c>
      <c r="Z247">
        <v>32</v>
      </c>
      <c r="AA247">
        <v>1.3999999999999992</v>
      </c>
      <c r="AB247">
        <v>-1.52</v>
      </c>
      <c r="AC247">
        <v>7</v>
      </c>
      <c r="AD247">
        <v>6.5</v>
      </c>
      <c r="AE247">
        <v>7</v>
      </c>
      <c r="AF247">
        <v>-1.3160000000000007</v>
      </c>
      <c r="AG247">
        <v>6</v>
      </c>
      <c r="AH247">
        <v>3.6399999999999979</v>
      </c>
      <c r="AI247">
        <v>0.31999999999999995</v>
      </c>
      <c r="AJ247">
        <v>21</v>
      </c>
      <c r="AK247">
        <v>20.5</v>
      </c>
      <c r="AL247">
        <v>20</v>
      </c>
      <c r="AM247">
        <v>0.10399999999999957</v>
      </c>
      <c r="AN247">
        <v>21</v>
      </c>
      <c r="AO247">
        <v>-7.0399999999999991</v>
      </c>
      <c r="AP247">
        <v>1.04</v>
      </c>
      <c r="AQ247">
        <v>23</v>
      </c>
      <c r="AR247">
        <v>23.5</v>
      </c>
      <c r="AS247">
        <v>23</v>
      </c>
      <c r="AT247">
        <v>-3.3439999999999999</v>
      </c>
      <c r="AU247">
        <v>24</v>
      </c>
      <c r="AV247">
        <v>-16.920000000000002</v>
      </c>
      <c r="AW247">
        <v>0.15999999999999998</v>
      </c>
      <c r="AX247">
        <v>24</v>
      </c>
      <c r="AY247">
        <v>25</v>
      </c>
      <c r="AZ247">
        <v>23</v>
      </c>
      <c r="BA247">
        <v>-6.7480000000000002</v>
      </c>
      <c r="BB247">
        <v>27</v>
      </c>
      <c r="BC247">
        <v>-31.48</v>
      </c>
      <c r="BD247">
        <v>-2.08</v>
      </c>
      <c r="BE247">
        <v>20</v>
      </c>
      <c r="BF247">
        <v>22</v>
      </c>
      <c r="BG247">
        <v>20</v>
      </c>
      <c r="BH247">
        <v>-7.652000000000001</v>
      </c>
      <c r="BI247">
        <v>24</v>
      </c>
      <c r="BJ247">
        <v>-24.520000000000003</v>
      </c>
      <c r="BK247">
        <v>-2.56</v>
      </c>
      <c r="BL247">
        <v>32</v>
      </c>
      <c r="BM247">
        <v>31.5</v>
      </c>
      <c r="BN247">
        <v>32</v>
      </c>
      <c r="BO247">
        <v>1.4799999999999998</v>
      </c>
      <c r="BP247">
        <v>31</v>
      </c>
      <c r="BQ247">
        <v>0.96000000000000019</v>
      </c>
      <c r="BR247">
        <v>5.6</v>
      </c>
      <c r="BS247">
        <v>4</v>
      </c>
      <c r="BT247">
        <v>8.5</v>
      </c>
      <c r="BU247">
        <v>4</v>
      </c>
      <c r="BV247">
        <v>-4.5831716221445086E-2</v>
      </c>
      <c r="BW247">
        <v>6</v>
      </c>
      <c r="BX247">
        <v>2.0147274473730589E-2</v>
      </c>
      <c r="BY247">
        <v>17</v>
      </c>
      <c r="BZ247">
        <v>-5.492</v>
      </c>
      <c r="CA247">
        <v>7</v>
      </c>
      <c r="CB247">
        <v>-0.36000000000000032</v>
      </c>
      <c r="CC247">
        <v>3.3200000000000003</v>
      </c>
      <c r="CD247">
        <v>3.5199999999999996</v>
      </c>
      <c r="CE247">
        <v>1.0799999999999998</v>
      </c>
      <c r="CF247">
        <v>1.3199999999999874</v>
      </c>
      <c r="CG247">
        <v>-49.519999999999996</v>
      </c>
      <c r="CH247">
        <v>55.359999999999992</v>
      </c>
      <c r="CI247">
        <v>4.3600000000000003</v>
      </c>
      <c r="CJ247">
        <v>-8.879999999999999</v>
      </c>
      <c r="CK247">
        <v>32</v>
      </c>
      <c r="CL247">
        <v>-25.275200000000002</v>
      </c>
      <c r="CM247">
        <v>-12.672000000000001</v>
      </c>
      <c r="CN247">
        <v>-104.88</v>
      </c>
      <c r="CO247">
        <v>25.275199999999998</v>
      </c>
      <c r="CP247">
        <v>-0.18760000000000007</v>
      </c>
      <c r="CQ247">
        <v>-4.5560000000000009</v>
      </c>
      <c r="CR247">
        <v>-20.320000000000004</v>
      </c>
      <c r="CS247">
        <v>17.251200000000001</v>
      </c>
      <c r="CT247">
        <v>55.120000000000005</v>
      </c>
      <c r="CU247">
        <v>-1.0400000000000003</v>
      </c>
      <c r="CV247">
        <v>0.75999999999999979</v>
      </c>
      <c r="CW247">
        <v>-5.1324999999999926E-2</v>
      </c>
      <c r="CX247">
        <v>0.29580000000000012</v>
      </c>
      <c r="CY247" t="s">
        <v>310</v>
      </c>
      <c r="CZ247">
        <v>11</v>
      </c>
      <c r="DA247">
        <v>1.0044000000000017</v>
      </c>
      <c r="DB247">
        <v>7</v>
      </c>
      <c r="DC247">
        <v>10</v>
      </c>
      <c r="DD247">
        <v>13</v>
      </c>
      <c r="DE247">
        <v>-2.2719999999999998</v>
      </c>
      <c r="DF247">
        <v>7</v>
      </c>
      <c r="DG247">
        <v>-5.6800000000000015</v>
      </c>
      <c r="DH247">
        <v>0.60000000000000009</v>
      </c>
      <c r="DI247">
        <v>23</v>
      </c>
      <c r="DJ247">
        <v>19.5</v>
      </c>
      <c r="DK247">
        <v>22</v>
      </c>
      <c r="DL247">
        <v>2.48</v>
      </c>
      <c r="DM247">
        <v>17</v>
      </c>
      <c r="DN247">
        <v>-5.36</v>
      </c>
      <c r="DO247">
        <v>1.52</v>
      </c>
      <c r="DP247">
        <v>3</v>
      </c>
      <c r="DQ247">
        <v>1.5</v>
      </c>
      <c r="DR247">
        <v>2</v>
      </c>
      <c r="DS247">
        <v>0.63599999999999923</v>
      </c>
      <c r="DT247">
        <v>1</v>
      </c>
      <c r="DU247">
        <v>3.0000000000000013</v>
      </c>
      <c r="DV247">
        <v>-0.88000000000000012</v>
      </c>
      <c r="DW247">
        <v>11</v>
      </c>
      <c r="DX247">
        <v>13</v>
      </c>
      <c r="DY247">
        <v>14</v>
      </c>
      <c r="DZ247">
        <v>-6.9360000000000017</v>
      </c>
      <c r="EA247">
        <v>12</v>
      </c>
      <c r="EB247">
        <v>-32.559999999999995</v>
      </c>
      <c r="EC247">
        <v>-2.0400000000000005</v>
      </c>
      <c r="ED247">
        <v>28</v>
      </c>
      <c r="EE247">
        <v>30</v>
      </c>
      <c r="EF247">
        <v>30</v>
      </c>
      <c r="EG247">
        <v>0.74800000000000044</v>
      </c>
      <c r="EH247">
        <v>30</v>
      </c>
      <c r="EI247">
        <v>9.0400000000000009</v>
      </c>
      <c r="EJ247">
        <v>0.31999999999999995</v>
      </c>
      <c r="EK247">
        <v>6</v>
      </c>
      <c r="EL247">
        <v>5.5</v>
      </c>
      <c r="EM247">
        <v>6</v>
      </c>
      <c r="EN247">
        <v>-0.95600000000000063</v>
      </c>
      <c r="EO247">
        <v>5</v>
      </c>
      <c r="EP247">
        <v>8.0400000000000009</v>
      </c>
      <c r="EQ247">
        <v>1.0800000000000005</v>
      </c>
      <c r="ER247">
        <v>6</v>
      </c>
      <c r="ES247">
        <v>8</v>
      </c>
      <c r="ET247">
        <v>7</v>
      </c>
      <c r="EU247">
        <v>0.59199999999999997</v>
      </c>
      <c r="EV247">
        <v>9</v>
      </c>
      <c r="EW247">
        <v>7.839999999999999</v>
      </c>
      <c r="EX247">
        <v>1.2799999999999998</v>
      </c>
      <c r="EY247">
        <v>3</v>
      </c>
      <c r="EZ247">
        <v>3.5</v>
      </c>
      <c r="FA247">
        <v>6</v>
      </c>
      <c r="FB247">
        <v>0.55999999999999983</v>
      </c>
      <c r="FC247">
        <v>1</v>
      </c>
      <c r="FD247">
        <v>-8.0000000000000029E-2</v>
      </c>
      <c r="FE247">
        <v>2.48</v>
      </c>
      <c r="FF247">
        <v>15</v>
      </c>
      <c r="FG247">
        <v>15.75</v>
      </c>
      <c r="FH247">
        <v>16</v>
      </c>
      <c r="FI247">
        <v>1.4311507272322077E-2</v>
      </c>
      <c r="FJ247">
        <v>21</v>
      </c>
      <c r="FK247">
        <v>-9.4933580643614627E-3</v>
      </c>
      <c r="FL247">
        <v>13</v>
      </c>
      <c r="FM247">
        <v>-2.6120000000000045</v>
      </c>
      <c r="FN247">
        <v>13</v>
      </c>
      <c r="FO247">
        <v>-1.4</v>
      </c>
      <c r="FP247">
        <v>2.2800000000000011</v>
      </c>
      <c r="FQ247">
        <v>-0.52000000000000024</v>
      </c>
      <c r="FR247">
        <v>2.2000000000000002</v>
      </c>
      <c r="FS247">
        <v>4</v>
      </c>
      <c r="FT247">
        <v>-3.8800000000000012</v>
      </c>
      <c r="FU247">
        <v>-0.83999999999999986</v>
      </c>
      <c r="FV247">
        <v>11.360000000000003</v>
      </c>
      <c r="FW247">
        <v>14.6</v>
      </c>
      <c r="FX247">
        <v>-14.479999999999999</v>
      </c>
      <c r="FY247">
        <v>-0.59999999999999987</v>
      </c>
      <c r="FZ247">
        <v>11.84</v>
      </c>
      <c r="GA247">
        <v>18</v>
      </c>
      <c r="GB247">
        <v>0.79640000000000155</v>
      </c>
      <c r="GC247">
        <v>-0.89512000000000014</v>
      </c>
      <c r="GD247">
        <v>29.08</v>
      </c>
      <c r="GE247">
        <v>-0.79640000000000155</v>
      </c>
      <c r="GF247">
        <v>-0.39844999999999997</v>
      </c>
      <c r="GG247">
        <v>-5.5520000000000023</v>
      </c>
      <c r="GH247">
        <v>-20.519999999999996</v>
      </c>
      <c r="GI247">
        <v>0.20800000000000018</v>
      </c>
      <c r="GJ247">
        <v>-11.040000000000003</v>
      </c>
      <c r="GK247">
        <v>-1.3200000000000012</v>
      </c>
      <c r="GL247">
        <v>2.12</v>
      </c>
    </row>
    <row r="248" spans="1:194" x14ac:dyDescent="0.2">
      <c r="A248" s="39">
        <v>43772</v>
      </c>
      <c r="B248" s="22" t="s">
        <v>246</v>
      </c>
      <c r="C248" s="41" t="s">
        <v>265</v>
      </c>
      <c r="D248" s="22" t="s">
        <v>294</v>
      </c>
      <c r="E248">
        <v>1.6</v>
      </c>
      <c r="F248">
        <v>9.9</v>
      </c>
      <c r="G248">
        <v>1.5</v>
      </c>
      <c r="H248">
        <v>0</v>
      </c>
      <c r="I248">
        <v>5</v>
      </c>
      <c r="J248">
        <v>41</v>
      </c>
      <c r="L248" s="1" t="s">
        <v>265</v>
      </c>
      <c r="M248">
        <v>29</v>
      </c>
      <c r="N248">
        <v>-5.4992000000000019</v>
      </c>
      <c r="O248">
        <v>20</v>
      </c>
      <c r="P248">
        <v>21</v>
      </c>
      <c r="Q248">
        <v>23</v>
      </c>
      <c r="R248">
        <v>0.51399999999999935</v>
      </c>
      <c r="S248">
        <v>19</v>
      </c>
      <c r="T248">
        <v>-1.5599999999999994</v>
      </c>
      <c r="U248">
        <v>-0.54</v>
      </c>
      <c r="V248">
        <v>13</v>
      </c>
      <c r="W248">
        <v>13.5</v>
      </c>
      <c r="X248">
        <v>7</v>
      </c>
      <c r="Y248">
        <v>1.6070000000000004</v>
      </c>
      <c r="Z248">
        <v>20</v>
      </c>
      <c r="AA248">
        <v>-9.6699999999999982</v>
      </c>
      <c r="AB248">
        <v>3.71</v>
      </c>
      <c r="AC248">
        <v>16</v>
      </c>
      <c r="AD248">
        <v>17</v>
      </c>
      <c r="AE248">
        <v>16</v>
      </c>
      <c r="AF248">
        <v>2.4959999999999996</v>
      </c>
      <c r="AG248">
        <v>18</v>
      </c>
      <c r="AH248">
        <v>1.9199999999999975</v>
      </c>
      <c r="AI248">
        <v>1.3599999999999999</v>
      </c>
      <c r="AJ248">
        <v>11</v>
      </c>
      <c r="AK248">
        <v>11</v>
      </c>
      <c r="AL248">
        <v>13</v>
      </c>
      <c r="AM248">
        <v>-3.3519999999999994</v>
      </c>
      <c r="AN248">
        <v>9</v>
      </c>
      <c r="AO248">
        <v>7.2399999999999993</v>
      </c>
      <c r="AP248">
        <v>-0.8</v>
      </c>
      <c r="AQ248">
        <v>26</v>
      </c>
      <c r="AR248">
        <v>26</v>
      </c>
      <c r="AS248">
        <v>26</v>
      </c>
      <c r="AT248">
        <v>-2.2879999999999998</v>
      </c>
      <c r="AU248">
        <v>26</v>
      </c>
      <c r="AV248">
        <v>-11.84</v>
      </c>
      <c r="AW248">
        <v>-1.2</v>
      </c>
      <c r="AX248">
        <v>8</v>
      </c>
      <c r="AY248">
        <v>9</v>
      </c>
      <c r="AZ248">
        <v>9</v>
      </c>
      <c r="BA248">
        <v>1.9799999999999991</v>
      </c>
      <c r="BB248">
        <v>9</v>
      </c>
      <c r="BC248">
        <v>16.600000000000001</v>
      </c>
      <c r="BD248">
        <v>2.4799999999999995</v>
      </c>
      <c r="BE248">
        <v>29</v>
      </c>
      <c r="BF248">
        <v>28.5</v>
      </c>
      <c r="BG248">
        <v>25</v>
      </c>
      <c r="BH248">
        <v>-5.304000000000002</v>
      </c>
      <c r="BI248">
        <v>32</v>
      </c>
      <c r="BJ248">
        <v>-25.240000000000002</v>
      </c>
      <c r="BK248">
        <v>-1.44</v>
      </c>
      <c r="BL248">
        <v>30</v>
      </c>
      <c r="BM248">
        <v>29.5</v>
      </c>
      <c r="BN248">
        <v>31</v>
      </c>
      <c r="BO248">
        <v>-0.95999999999999974</v>
      </c>
      <c r="BP248">
        <v>28</v>
      </c>
      <c r="BQ248">
        <v>-0.15999999999999998</v>
      </c>
      <c r="BR248">
        <v>1.92</v>
      </c>
      <c r="BS248">
        <v>18</v>
      </c>
      <c r="BT248">
        <v>15.5</v>
      </c>
      <c r="BU248">
        <v>20</v>
      </c>
      <c r="BV248">
        <v>7.7630743629281684E-3</v>
      </c>
      <c r="BW248">
        <v>11</v>
      </c>
      <c r="BX248">
        <v>1.9757048563729838E-3</v>
      </c>
      <c r="BY248">
        <v>20</v>
      </c>
      <c r="BZ248">
        <v>-3.4000000000000012</v>
      </c>
      <c r="CA248">
        <v>11</v>
      </c>
      <c r="CB248">
        <v>-1.1199999999999997</v>
      </c>
      <c r="CC248">
        <v>-0.16000000000000086</v>
      </c>
      <c r="CD248">
        <v>-2.88</v>
      </c>
      <c r="CE248">
        <v>0.83999999999999986</v>
      </c>
      <c r="CF248">
        <v>-55.640000000000008</v>
      </c>
      <c r="CG248">
        <v>-36.519999999999996</v>
      </c>
      <c r="CH248">
        <v>-11.199999999999998</v>
      </c>
      <c r="CI248">
        <v>-2.0800000000000005</v>
      </c>
      <c r="CJ248">
        <v>-5.84</v>
      </c>
      <c r="CK248">
        <v>28</v>
      </c>
      <c r="CL248">
        <v>-7.6202000000000014</v>
      </c>
      <c r="CM248">
        <v>-3.8499400000000006</v>
      </c>
      <c r="CN248">
        <v>-25.32</v>
      </c>
      <c r="CO248">
        <v>7.6202000000000014</v>
      </c>
      <c r="CP248">
        <v>-1.5982750000000003</v>
      </c>
      <c r="CQ248">
        <v>-3.1439999999999997</v>
      </c>
      <c r="CR248">
        <v>-2.6800000000000033</v>
      </c>
      <c r="CS248">
        <v>2.1209999999999996</v>
      </c>
      <c r="CT248">
        <v>-11.229999999999997</v>
      </c>
      <c r="CU248">
        <v>-2.08</v>
      </c>
      <c r="CV248">
        <v>3.17</v>
      </c>
      <c r="CW248">
        <v>-0.82331249999999989</v>
      </c>
      <c r="CX248">
        <v>-1.5564749999999998</v>
      </c>
      <c r="CY248" t="s">
        <v>294</v>
      </c>
      <c r="CZ248">
        <v>30</v>
      </c>
      <c r="DA248">
        <v>1.1888000000000016</v>
      </c>
      <c r="DB248">
        <v>18</v>
      </c>
      <c r="DC248">
        <v>19.5</v>
      </c>
      <c r="DD248">
        <v>7</v>
      </c>
      <c r="DE248">
        <v>-1.6840000000000011</v>
      </c>
      <c r="DF248">
        <v>32</v>
      </c>
      <c r="DG248">
        <v>-23.119999999999997</v>
      </c>
      <c r="DH248">
        <v>1.28</v>
      </c>
      <c r="DI248">
        <v>5</v>
      </c>
      <c r="DJ248">
        <v>8</v>
      </c>
      <c r="DK248">
        <v>13</v>
      </c>
      <c r="DL248">
        <v>-3.2160000000000002</v>
      </c>
      <c r="DM248">
        <v>3</v>
      </c>
      <c r="DN248">
        <v>2.8</v>
      </c>
      <c r="DO248">
        <v>-1.36</v>
      </c>
      <c r="DP248">
        <v>30</v>
      </c>
      <c r="DQ248">
        <v>24</v>
      </c>
      <c r="DR248">
        <v>24</v>
      </c>
      <c r="DS248">
        <v>0.19400000000000048</v>
      </c>
      <c r="DT248">
        <v>24</v>
      </c>
      <c r="DU248">
        <v>1.1199999999999988</v>
      </c>
      <c r="DV248">
        <v>0.65999999999999992</v>
      </c>
      <c r="DW248">
        <v>31</v>
      </c>
      <c r="DX248">
        <v>30.5</v>
      </c>
      <c r="DY248">
        <v>30</v>
      </c>
      <c r="DZ248">
        <v>3.5919999999999987</v>
      </c>
      <c r="EA248">
        <v>31</v>
      </c>
      <c r="EB248">
        <v>9.44</v>
      </c>
      <c r="EC248">
        <v>0.3999999999999998</v>
      </c>
      <c r="ED248">
        <v>29</v>
      </c>
      <c r="EE248">
        <v>20</v>
      </c>
      <c r="EF248">
        <v>18</v>
      </c>
      <c r="EG248">
        <v>0.22800000000000029</v>
      </c>
      <c r="EH248">
        <v>22</v>
      </c>
      <c r="EI248">
        <v>-3.3200000000000003</v>
      </c>
      <c r="EJ248">
        <v>-0.32</v>
      </c>
      <c r="EK248">
        <v>32</v>
      </c>
      <c r="EL248">
        <v>32</v>
      </c>
      <c r="EM248">
        <v>32</v>
      </c>
      <c r="EN248">
        <v>-5.968</v>
      </c>
      <c r="EO248">
        <v>32</v>
      </c>
      <c r="EP248">
        <v>-27.68</v>
      </c>
      <c r="EQ248">
        <v>-2.52</v>
      </c>
      <c r="ER248">
        <v>8</v>
      </c>
      <c r="ES248">
        <v>8.5</v>
      </c>
      <c r="ET248">
        <v>12</v>
      </c>
      <c r="EU248">
        <v>5.600000000000023E-2</v>
      </c>
      <c r="EV248">
        <v>5</v>
      </c>
      <c r="EW248">
        <v>-2.6400000000000006</v>
      </c>
      <c r="EX248">
        <v>3.9999999999999855E-2</v>
      </c>
      <c r="EY248">
        <v>31</v>
      </c>
      <c r="EZ248">
        <v>28.5</v>
      </c>
      <c r="FA248">
        <v>26</v>
      </c>
      <c r="FB248">
        <v>-1.08</v>
      </c>
      <c r="FC248">
        <v>31</v>
      </c>
      <c r="FD248">
        <v>0.4</v>
      </c>
      <c r="FE248">
        <v>-0.12000000000000011</v>
      </c>
      <c r="FF248">
        <v>4</v>
      </c>
      <c r="FG248">
        <v>8.75</v>
      </c>
      <c r="FH248">
        <v>3</v>
      </c>
      <c r="FI248">
        <v>3.2704413136276547E-2</v>
      </c>
      <c r="FJ248">
        <v>4</v>
      </c>
      <c r="FK248">
        <v>2.4607405123617577E-2</v>
      </c>
      <c r="FL248">
        <v>14</v>
      </c>
      <c r="FM248">
        <v>4.0839999999999987</v>
      </c>
      <c r="FN248">
        <v>14</v>
      </c>
      <c r="FO248">
        <v>2.8800000000000003</v>
      </c>
      <c r="FP248">
        <v>0.36000000000000087</v>
      </c>
      <c r="FQ248">
        <v>-1.0799999999999996</v>
      </c>
      <c r="FR248">
        <v>0.2</v>
      </c>
      <c r="FS248">
        <v>1.1200000000000003</v>
      </c>
      <c r="FT248">
        <v>1.9600000000000002</v>
      </c>
      <c r="FU248">
        <v>-0.72</v>
      </c>
      <c r="FV248">
        <v>-13.2</v>
      </c>
      <c r="FW248">
        <v>-10.999999999999995</v>
      </c>
      <c r="FX248">
        <v>-21.92</v>
      </c>
      <c r="FY248">
        <v>8.4</v>
      </c>
      <c r="FZ248">
        <v>11.320000000000002</v>
      </c>
      <c r="GA248">
        <v>5</v>
      </c>
      <c r="GB248">
        <v>6.0888000000000027</v>
      </c>
      <c r="GC248">
        <v>3.5017600000000009</v>
      </c>
      <c r="GD248">
        <v>10.920000000000007</v>
      </c>
      <c r="GE248">
        <v>-6.0888000000000027</v>
      </c>
      <c r="GF248">
        <v>-9.0150000000000036E-2</v>
      </c>
      <c r="GG248">
        <v>4.0139999999999993</v>
      </c>
      <c r="GH248">
        <v>7.2399999999999984</v>
      </c>
      <c r="GI248">
        <v>-4.9000000000000012</v>
      </c>
      <c r="GJ248">
        <v>-20.319999999999997</v>
      </c>
      <c r="GK248">
        <v>0.77999999999999936</v>
      </c>
      <c r="GL248">
        <v>-8.0000000000000071E-2</v>
      </c>
    </row>
    <row r="249" spans="1:194" x14ac:dyDescent="0.2">
      <c r="A249" s="39">
        <v>43772</v>
      </c>
      <c r="B249" s="22" t="s">
        <v>246</v>
      </c>
      <c r="C249" s="41" t="s">
        <v>281</v>
      </c>
      <c r="D249" s="22" t="s">
        <v>278</v>
      </c>
      <c r="E249">
        <v>13.2</v>
      </c>
      <c r="F249">
        <v>17.100000000000001</v>
      </c>
      <c r="G249">
        <v>9.6</v>
      </c>
      <c r="H249">
        <v>8.6999999999999993</v>
      </c>
      <c r="I249">
        <v>-4</v>
      </c>
      <c r="J249">
        <v>39</v>
      </c>
      <c r="K249" t="s">
        <v>110</v>
      </c>
      <c r="L249" s="1" t="s">
        <v>281</v>
      </c>
      <c r="M249">
        <v>12</v>
      </c>
      <c r="N249">
        <v>1.7999999999999994</v>
      </c>
      <c r="O249">
        <v>5</v>
      </c>
      <c r="P249">
        <v>7</v>
      </c>
      <c r="Q249">
        <v>8</v>
      </c>
      <c r="R249">
        <v>7.6759999999999993</v>
      </c>
      <c r="S249">
        <v>6</v>
      </c>
      <c r="T249">
        <v>41.519999999999996</v>
      </c>
      <c r="U249">
        <v>-0.12000000000000002</v>
      </c>
      <c r="V249">
        <v>4</v>
      </c>
      <c r="W249">
        <v>6</v>
      </c>
      <c r="X249">
        <v>6</v>
      </c>
      <c r="Y249">
        <v>0.36560000000000026</v>
      </c>
      <c r="Z249">
        <v>6</v>
      </c>
      <c r="AA249">
        <v>-6.9600000000000009</v>
      </c>
      <c r="AB249">
        <v>0.31999999999999995</v>
      </c>
      <c r="AC249">
        <v>25</v>
      </c>
      <c r="AD249">
        <v>24.5</v>
      </c>
      <c r="AE249">
        <v>25</v>
      </c>
      <c r="AF249">
        <v>-1.0640000000000001</v>
      </c>
      <c r="AG249">
        <v>24</v>
      </c>
      <c r="AH249">
        <v>3.3599999999999994</v>
      </c>
      <c r="AI249">
        <v>0.28000000000000008</v>
      </c>
      <c r="AJ249">
        <v>1</v>
      </c>
      <c r="AK249">
        <v>2.5</v>
      </c>
      <c r="AL249">
        <v>1</v>
      </c>
      <c r="AM249">
        <v>5.3439999999999994</v>
      </c>
      <c r="AN249">
        <v>4</v>
      </c>
      <c r="AO249">
        <v>32.239999999999995</v>
      </c>
      <c r="AP249">
        <v>1.5599999999999998</v>
      </c>
      <c r="AQ249">
        <v>18</v>
      </c>
      <c r="AR249">
        <v>17.5</v>
      </c>
      <c r="AS249">
        <v>19</v>
      </c>
      <c r="AT249">
        <v>-0.9760000000000002</v>
      </c>
      <c r="AU249">
        <v>16</v>
      </c>
      <c r="AV249">
        <v>-3.8400000000000007</v>
      </c>
      <c r="AW249">
        <v>-0.31999999999999995</v>
      </c>
      <c r="AX249">
        <v>15</v>
      </c>
      <c r="AY249">
        <v>15.5</v>
      </c>
      <c r="AZ249">
        <v>15</v>
      </c>
      <c r="BA249">
        <v>3.5400000000000005</v>
      </c>
      <c r="BB249">
        <v>16</v>
      </c>
      <c r="BC249">
        <v>29.000000000000007</v>
      </c>
      <c r="BD249">
        <v>0.35999999999999976</v>
      </c>
      <c r="BE249">
        <v>23</v>
      </c>
      <c r="BF249">
        <v>23</v>
      </c>
      <c r="BG249">
        <v>21</v>
      </c>
      <c r="BH249">
        <v>2.1599999999999993</v>
      </c>
      <c r="BI249">
        <v>25</v>
      </c>
      <c r="BJ249">
        <v>0.7999999999999986</v>
      </c>
      <c r="BK249">
        <v>-1.0000000000000002</v>
      </c>
      <c r="BL249">
        <v>4</v>
      </c>
      <c r="BM249">
        <v>7</v>
      </c>
      <c r="BN249">
        <v>7</v>
      </c>
      <c r="BO249">
        <v>0.95999999999999974</v>
      </c>
      <c r="BP249">
        <v>7</v>
      </c>
      <c r="BQ249">
        <v>-0.11999999999999988</v>
      </c>
      <c r="BR249">
        <v>-1.1599999999999999</v>
      </c>
      <c r="BS249">
        <v>30</v>
      </c>
      <c r="BT249">
        <v>29</v>
      </c>
      <c r="BU249">
        <v>31</v>
      </c>
      <c r="BV249">
        <v>-3.312043740286718E-2</v>
      </c>
      <c r="BW249">
        <v>30</v>
      </c>
      <c r="BX249">
        <v>-6.7575523219360152E-3</v>
      </c>
      <c r="BY249">
        <v>24</v>
      </c>
      <c r="BZ249">
        <v>3.0360000000000014</v>
      </c>
      <c r="CA249">
        <v>31</v>
      </c>
      <c r="CB249">
        <v>-1.9199999999999995</v>
      </c>
      <c r="CC249">
        <v>1.1200000000000003</v>
      </c>
      <c r="CD249">
        <v>6</v>
      </c>
      <c r="CE249">
        <v>-1.7599999999999998</v>
      </c>
      <c r="CF249">
        <v>46.800000000000004</v>
      </c>
      <c r="CG249">
        <v>19.2</v>
      </c>
      <c r="CH249">
        <v>32.160000000000004</v>
      </c>
      <c r="CI249">
        <v>-4.8800000000000008</v>
      </c>
      <c r="CJ249">
        <v>0.32000000000000028</v>
      </c>
      <c r="CK249">
        <v>26</v>
      </c>
      <c r="CL249">
        <v>-6.2416</v>
      </c>
      <c r="CM249">
        <v>-2.5680000000000001</v>
      </c>
      <c r="CN249">
        <v>-12.960000000000004</v>
      </c>
      <c r="CO249">
        <v>6.2416</v>
      </c>
      <c r="CP249">
        <v>2.0331999999999999</v>
      </c>
      <c r="CQ249">
        <v>3.3039999999999994</v>
      </c>
      <c r="CR249">
        <v>31.759999999999994</v>
      </c>
      <c r="CS249">
        <v>8.041599999999999</v>
      </c>
      <c r="CT249">
        <v>34.559999999999995</v>
      </c>
      <c r="CU249">
        <v>0.5199999999999998</v>
      </c>
      <c r="CV249">
        <v>0.19999999999999993</v>
      </c>
      <c r="CW249">
        <v>-0.6213166666666663</v>
      </c>
      <c r="CX249">
        <v>0.62826666666666708</v>
      </c>
      <c r="CY249" t="s">
        <v>278</v>
      </c>
      <c r="CZ249">
        <v>15</v>
      </c>
      <c r="DA249">
        <v>-7.2151999999999985</v>
      </c>
      <c r="DB249">
        <v>28</v>
      </c>
      <c r="DC249">
        <v>24.5</v>
      </c>
      <c r="DD249">
        <v>25</v>
      </c>
      <c r="DE249">
        <v>1.9600000000000002</v>
      </c>
      <c r="DF249">
        <v>24</v>
      </c>
      <c r="DG249">
        <v>11.999999999999998</v>
      </c>
      <c r="DH249">
        <v>1.6</v>
      </c>
      <c r="DI249">
        <v>28</v>
      </c>
      <c r="DJ249">
        <v>25.5</v>
      </c>
      <c r="DK249">
        <v>28</v>
      </c>
      <c r="DL249">
        <v>0.18000000000000008</v>
      </c>
      <c r="DM249">
        <v>23</v>
      </c>
      <c r="DN249">
        <v>7.1599999999999993</v>
      </c>
      <c r="DO249">
        <v>0.40000000000000008</v>
      </c>
      <c r="DP249">
        <v>14</v>
      </c>
      <c r="DQ249">
        <v>8.5</v>
      </c>
      <c r="DR249">
        <v>9</v>
      </c>
      <c r="DS249">
        <v>-3.4759999999999991</v>
      </c>
      <c r="DT249">
        <v>8</v>
      </c>
      <c r="DU249">
        <v>-12</v>
      </c>
      <c r="DV249">
        <v>-1.8799999999999997</v>
      </c>
      <c r="DW249">
        <v>17</v>
      </c>
      <c r="DX249">
        <v>16.5</v>
      </c>
      <c r="DY249">
        <v>14</v>
      </c>
      <c r="DZ249">
        <v>-3.5920000000000001</v>
      </c>
      <c r="EA249">
        <v>19</v>
      </c>
      <c r="EB249">
        <v>-16.04</v>
      </c>
      <c r="EC249">
        <v>0.11999999999999975</v>
      </c>
      <c r="ED249">
        <v>15</v>
      </c>
      <c r="EE249">
        <v>7.5</v>
      </c>
      <c r="EF249">
        <v>9</v>
      </c>
      <c r="EG249">
        <v>-1.9759999999999998</v>
      </c>
      <c r="EH249">
        <v>6</v>
      </c>
      <c r="EI249">
        <v>-6.8</v>
      </c>
      <c r="EJ249">
        <v>0.15999999999999992</v>
      </c>
      <c r="EK249">
        <v>30</v>
      </c>
      <c r="EL249">
        <v>28.5</v>
      </c>
      <c r="EM249">
        <v>28</v>
      </c>
      <c r="EN249">
        <v>-7.4</v>
      </c>
      <c r="EO249">
        <v>29</v>
      </c>
      <c r="EP249">
        <v>-30.8</v>
      </c>
      <c r="EQ249">
        <v>-2.0399999999999996</v>
      </c>
      <c r="ER249">
        <v>6</v>
      </c>
      <c r="ES249">
        <v>8</v>
      </c>
      <c r="ET249">
        <v>9</v>
      </c>
      <c r="EU249">
        <v>-2.2879999999999998</v>
      </c>
      <c r="EV249">
        <v>7</v>
      </c>
      <c r="EW249">
        <v>-11.679999999999998</v>
      </c>
      <c r="EX249">
        <v>7.999999999999971E-2</v>
      </c>
      <c r="EY249">
        <v>9</v>
      </c>
      <c r="EZ249">
        <v>9.5</v>
      </c>
      <c r="FA249">
        <v>8</v>
      </c>
      <c r="FB249">
        <v>1.44</v>
      </c>
      <c r="FC249">
        <v>11</v>
      </c>
      <c r="FD249">
        <v>0.44000000000000006</v>
      </c>
      <c r="FE249">
        <v>1.8399999999999999</v>
      </c>
      <c r="FF249">
        <v>12</v>
      </c>
      <c r="FG249">
        <v>14.5</v>
      </c>
      <c r="FH249">
        <v>25</v>
      </c>
      <c r="FI249">
        <v>-6.532277197427239E-3</v>
      </c>
      <c r="FJ249">
        <v>6</v>
      </c>
      <c r="FK249">
        <v>2.701052365360207E-2</v>
      </c>
      <c r="FL249">
        <v>10</v>
      </c>
      <c r="FM249">
        <v>6.3399999999999963</v>
      </c>
      <c r="FN249">
        <v>17</v>
      </c>
      <c r="FO249">
        <v>2.4800000000000004</v>
      </c>
      <c r="FP249">
        <v>-0.35999999999999943</v>
      </c>
      <c r="FQ249">
        <v>2.2399999999999998</v>
      </c>
      <c r="FR249">
        <v>-1.08</v>
      </c>
      <c r="FS249">
        <v>1.4799999999999998</v>
      </c>
      <c r="FT249">
        <v>-5.92</v>
      </c>
      <c r="FU249">
        <v>1.52</v>
      </c>
      <c r="FV249">
        <v>-36.040000000000006</v>
      </c>
      <c r="FW249">
        <v>-47.760000000000005</v>
      </c>
      <c r="FX249">
        <v>18.639999999999997</v>
      </c>
      <c r="FY249">
        <v>-3</v>
      </c>
      <c r="FZ249">
        <v>-3.9200000000000004</v>
      </c>
      <c r="GA249">
        <v>31</v>
      </c>
      <c r="GB249">
        <v>-9.3551999999999982</v>
      </c>
      <c r="GC249">
        <v>-4.7794400000000001</v>
      </c>
      <c r="GD249">
        <v>-66.400000000000006</v>
      </c>
      <c r="GE249">
        <v>9.3551999999999982</v>
      </c>
      <c r="GF249">
        <v>-1.8708999999999996</v>
      </c>
      <c r="GG249">
        <v>-9.0439999999999987</v>
      </c>
      <c r="GH249">
        <v>-34.839999999999996</v>
      </c>
      <c r="GI249">
        <v>2.14</v>
      </c>
      <c r="GJ249">
        <v>19.159999999999997</v>
      </c>
      <c r="GK249">
        <v>-1.5200000000000005</v>
      </c>
      <c r="GL249">
        <v>2</v>
      </c>
    </row>
    <row r="250" spans="1:194" x14ac:dyDescent="0.2">
      <c r="A250" s="39">
        <v>43772</v>
      </c>
      <c r="B250" s="22" t="s">
        <v>246</v>
      </c>
      <c r="C250" s="41" t="s">
        <v>291</v>
      </c>
      <c r="D250" s="22" t="s">
        <v>296</v>
      </c>
      <c r="E250">
        <v>18</v>
      </c>
      <c r="F250">
        <v>11.3</v>
      </c>
      <c r="G250">
        <v>8.5</v>
      </c>
      <c r="H250">
        <f>13.8+11.2</f>
        <v>25</v>
      </c>
      <c r="I250">
        <v>-6.5</v>
      </c>
      <c r="J250">
        <v>48.5</v>
      </c>
      <c r="K250" t="s">
        <v>109</v>
      </c>
      <c r="L250" s="1" t="s">
        <v>291</v>
      </c>
      <c r="M250">
        <v>10</v>
      </c>
      <c r="N250">
        <v>2.0679999999999996</v>
      </c>
      <c r="O250">
        <v>5</v>
      </c>
      <c r="P250">
        <v>7</v>
      </c>
      <c r="Q250">
        <v>6</v>
      </c>
      <c r="R250">
        <v>5.2219999999999995</v>
      </c>
      <c r="S250">
        <v>8</v>
      </c>
      <c r="T250">
        <v>31.28</v>
      </c>
      <c r="U250">
        <v>0.22000000000000011</v>
      </c>
      <c r="V250">
        <v>27</v>
      </c>
      <c r="W250">
        <v>27.5</v>
      </c>
      <c r="X250">
        <v>28</v>
      </c>
      <c r="Y250">
        <v>-3.0609999999999999</v>
      </c>
      <c r="Z250">
        <v>27</v>
      </c>
      <c r="AA250">
        <v>-3.16</v>
      </c>
      <c r="AB250">
        <v>-1.1199999999999999</v>
      </c>
      <c r="AC250">
        <v>10</v>
      </c>
      <c r="AD250">
        <v>12</v>
      </c>
      <c r="AE250">
        <v>12</v>
      </c>
      <c r="AF250">
        <v>5.4749999999999996</v>
      </c>
      <c r="AG250">
        <v>12</v>
      </c>
      <c r="AH250">
        <v>36.387500000000003</v>
      </c>
      <c r="AI250">
        <v>8.7500000000000133E-2</v>
      </c>
      <c r="AJ250">
        <v>10</v>
      </c>
      <c r="AK250">
        <v>9</v>
      </c>
      <c r="AL250">
        <v>11</v>
      </c>
      <c r="AM250">
        <v>-1.0809999999999995</v>
      </c>
      <c r="AN250">
        <v>7</v>
      </c>
      <c r="AO250">
        <v>-5.87</v>
      </c>
      <c r="AP250">
        <v>0.40999999999999981</v>
      </c>
      <c r="AQ250">
        <v>1</v>
      </c>
      <c r="AR250">
        <v>1</v>
      </c>
      <c r="AS250">
        <v>1</v>
      </c>
      <c r="AT250">
        <v>1.3840000000000001</v>
      </c>
      <c r="AU250">
        <v>1</v>
      </c>
      <c r="AV250">
        <v>14.2</v>
      </c>
      <c r="AW250">
        <v>2.5200000000000005</v>
      </c>
      <c r="AX250">
        <v>2</v>
      </c>
      <c r="AY250">
        <v>3.5</v>
      </c>
      <c r="AZ250">
        <v>3</v>
      </c>
      <c r="BA250">
        <v>-1.2239999999999989</v>
      </c>
      <c r="BB250">
        <v>4</v>
      </c>
      <c r="BC250">
        <v>13.12</v>
      </c>
      <c r="BD250">
        <v>-3.3600000000000008</v>
      </c>
      <c r="BE250">
        <v>8</v>
      </c>
      <c r="BF250">
        <v>7</v>
      </c>
      <c r="BG250">
        <v>7</v>
      </c>
      <c r="BH250">
        <v>3.7399999999999993</v>
      </c>
      <c r="BI250">
        <v>7</v>
      </c>
      <c r="BJ250">
        <v>15.8</v>
      </c>
      <c r="BK250">
        <v>1.52</v>
      </c>
      <c r="BL250">
        <v>11</v>
      </c>
      <c r="BM250">
        <v>9.5</v>
      </c>
      <c r="BN250">
        <v>14</v>
      </c>
      <c r="BO250">
        <v>2.8</v>
      </c>
      <c r="BP250">
        <v>5</v>
      </c>
      <c r="BQ250">
        <v>0.87999999999999967</v>
      </c>
      <c r="BR250">
        <v>0.5600000000000005</v>
      </c>
      <c r="BS250">
        <v>26</v>
      </c>
      <c r="BT250">
        <v>22.25</v>
      </c>
      <c r="BU250">
        <v>18</v>
      </c>
      <c r="BV250">
        <v>5.0204316853718955E-2</v>
      </c>
      <c r="BW250">
        <v>32</v>
      </c>
      <c r="BX250">
        <v>-2.5271908380889385E-2</v>
      </c>
      <c r="BY250">
        <v>16</v>
      </c>
      <c r="BZ250">
        <v>11.395999999999997</v>
      </c>
      <c r="CA250">
        <v>23</v>
      </c>
      <c r="CB250">
        <v>-2.72</v>
      </c>
      <c r="CC250">
        <v>3.3599999999999981</v>
      </c>
      <c r="CD250">
        <v>2.9999999999999996</v>
      </c>
      <c r="CE250">
        <v>-0.51999999999999991</v>
      </c>
      <c r="CF250">
        <v>71.16</v>
      </c>
      <c r="CG250">
        <v>37.88000000000001</v>
      </c>
      <c r="CH250">
        <v>26.480000000000008</v>
      </c>
      <c r="CI250">
        <v>1.7199999999999995</v>
      </c>
      <c r="CJ250">
        <v>5.08</v>
      </c>
      <c r="CK250">
        <v>18</v>
      </c>
      <c r="CL250">
        <v>-9.2999999999999972E-2</v>
      </c>
      <c r="CM250">
        <v>1.2366999999999999</v>
      </c>
      <c r="CN250">
        <v>11.400000000000002</v>
      </c>
      <c r="CO250">
        <v>9.2999999999999972E-2</v>
      </c>
      <c r="CP250">
        <v>2.0683750000000001</v>
      </c>
      <c r="CQ250">
        <v>5.7780000000000005</v>
      </c>
      <c r="CR250">
        <v>44.717500000000001</v>
      </c>
      <c r="CS250">
        <v>2.1609999999999996</v>
      </c>
      <c r="CT250">
        <v>28.12</v>
      </c>
      <c r="CU250">
        <v>4.5375000000000005</v>
      </c>
      <c r="CV250">
        <v>-0.8999999999999998</v>
      </c>
      <c r="CW250">
        <v>-0.77348750000000011</v>
      </c>
      <c r="CX250">
        <v>-0.89929999999999999</v>
      </c>
      <c r="CY250" t="s">
        <v>296</v>
      </c>
      <c r="CZ250">
        <v>5</v>
      </c>
      <c r="DA250">
        <v>-0.12639999999999904</v>
      </c>
      <c r="DB250">
        <v>31</v>
      </c>
      <c r="DC250">
        <v>29</v>
      </c>
      <c r="DD250">
        <v>31</v>
      </c>
      <c r="DE250">
        <v>0.73699999999999954</v>
      </c>
      <c r="DF250">
        <v>27</v>
      </c>
      <c r="DG250">
        <v>9.25</v>
      </c>
      <c r="DH250">
        <v>0.76000000000000012</v>
      </c>
      <c r="DI250">
        <v>15</v>
      </c>
      <c r="DJ250">
        <v>16</v>
      </c>
      <c r="DK250">
        <v>24</v>
      </c>
      <c r="DL250">
        <v>-1.8140000000000001</v>
      </c>
      <c r="DM250">
        <v>8</v>
      </c>
      <c r="DN250">
        <v>-5.5699999999999994</v>
      </c>
      <c r="DO250">
        <v>-1.4600000000000002</v>
      </c>
      <c r="DP250">
        <v>4</v>
      </c>
      <c r="DQ250">
        <v>4.5</v>
      </c>
      <c r="DR250">
        <v>4</v>
      </c>
      <c r="DS250">
        <v>3.5239999999999996</v>
      </c>
      <c r="DT250">
        <v>5</v>
      </c>
      <c r="DU250">
        <v>11.560000000000002</v>
      </c>
      <c r="DV250">
        <v>0.43999999999999984</v>
      </c>
      <c r="DW250">
        <v>13</v>
      </c>
      <c r="DX250">
        <v>13.5</v>
      </c>
      <c r="DY250">
        <v>14</v>
      </c>
      <c r="DZ250">
        <v>-5.878000000000001</v>
      </c>
      <c r="EA250">
        <v>13</v>
      </c>
      <c r="EB250">
        <v>-22.54</v>
      </c>
      <c r="EC250">
        <v>-2.0100000000000002</v>
      </c>
      <c r="ED250">
        <v>24</v>
      </c>
      <c r="EE250">
        <v>13.5</v>
      </c>
      <c r="EF250">
        <v>16</v>
      </c>
      <c r="EG250">
        <v>1.8640000000000003</v>
      </c>
      <c r="EH250">
        <v>11</v>
      </c>
      <c r="EI250">
        <v>7.08</v>
      </c>
      <c r="EJ250">
        <v>-0.76</v>
      </c>
      <c r="EK250">
        <v>2</v>
      </c>
      <c r="EL250">
        <v>3.5</v>
      </c>
      <c r="EM250">
        <v>4</v>
      </c>
      <c r="EN250">
        <v>3.5640000000000001</v>
      </c>
      <c r="EO250">
        <v>3</v>
      </c>
      <c r="EP250">
        <v>5.3999999999999968</v>
      </c>
      <c r="EQ250">
        <v>17.159999999999997</v>
      </c>
      <c r="ER250">
        <v>17</v>
      </c>
      <c r="ES250">
        <v>15.5</v>
      </c>
      <c r="ET250">
        <v>15</v>
      </c>
      <c r="EU250">
        <v>-3.8480000000000003</v>
      </c>
      <c r="EV250">
        <v>16</v>
      </c>
      <c r="EW250">
        <v>-14.079999999999998</v>
      </c>
      <c r="EX250">
        <v>-1.1199999999999999</v>
      </c>
      <c r="EY250">
        <v>2</v>
      </c>
      <c r="EZ250">
        <v>3</v>
      </c>
      <c r="FA250">
        <v>2</v>
      </c>
      <c r="FB250">
        <v>0.36000000000000015</v>
      </c>
      <c r="FC250">
        <v>4</v>
      </c>
      <c r="FD250">
        <v>-0.11999999999999997</v>
      </c>
      <c r="FE250">
        <v>5.4799999999999995</v>
      </c>
      <c r="FF250">
        <v>29</v>
      </c>
      <c r="FG250">
        <v>24</v>
      </c>
      <c r="FH250">
        <v>11</v>
      </c>
      <c r="FI250">
        <v>-8.7501011985524846E-2</v>
      </c>
      <c r="FJ250">
        <v>27</v>
      </c>
      <c r="FK250">
        <v>6.3520324490133288E-3</v>
      </c>
      <c r="FL250">
        <v>31</v>
      </c>
      <c r="FM250">
        <v>-11.528</v>
      </c>
      <c r="FN250">
        <v>27</v>
      </c>
      <c r="FO250">
        <v>4.4400000000000004</v>
      </c>
      <c r="FP250">
        <v>-2.5199999999999996</v>
      </c>
      <c r="FQ250">
        <v>1.7199999999999995</v>
      </c>
      <c r="FR250">
        <v>1.6799999999999997</v>
      </c>
      <c r="FS250">
        <v>0.4</v>
      </c>
      <c r="FT250">
        <v>-0.47999999999999987</v>
      </c>
      <c r="FU250">
        <v>3.04</v>
      </c>
      <c r="FV250">
        <v>-2.1599999999999908</v>
      </c>
      <c r="FW250">
        <v>-7.2800000000000065</v>
      </c>
      <c r="FX250">
        <v>11.16</v>
      </c>
      <c r="FY250">
        <v>-6.5200000000000005</v>
      </c>
      <c r="FZ250">
        <v>0.4799999999999997</v>
      </c>
      <c r="GA250">
        <v>17</v>
      </c>
      <c r="GB250">
        <v>0.95060000000000144</v>
      </c>
      <c r="GC250">
        <v>-0.35437999999999992</v>
      </c>
      <c r="GD250">
        <v>-18.440000000000005</v>
      </c>
      <c r="GE250">
        <v>-0.95060000000000133</v>
      </c>
      <c r="GF250">
        <v>-0.64767500000000011</v>
      </c>
      <c r="GG250">
        <v>-0.4900000000000011</v>
      </c>
      <c r="GH250">
        <v>-3.8999999999999968</v>
      </c>
      <c r="GI250">
        <v>-1.0770000000000004</v>
      </c>
      <c r="GJ250">
        <v>3.6800000000000006</v>
      </c>
      <c r="GK250">
        <v>-3.45</v>
      </c>
      <c r="GL250">
        <v>-0.70000000000000007</v>
      </c>
    </row>
    <row r="251" spans="1:194" x14ac:dyDescent="0.2">
      <c r="A251" s="39">
        <v>43772</v>
      </c>
      <c r="B251" t="s">
        <v>246</v>
      </c>
      <c r="C251" s="41" t="s">
        <v>278</v>
      </c>
      <c r="D251" t="s">
        <v>281</v>
      </c>
      <c r="E251">
        <v>17.3</v>
      </c>
      <c r="F251">
        <v>0</v>
      </c>
      <c r="G251">
        <v>0</v>
      </c>
      <c r="H251">
        <v>25.4</v>
      </c>
      <c r="I251">
        <v>4</v>
      </c>
      <c r="J251">
        <v>39</v>
      </c>
      <c r="K251" t="s">
        <v>110</v>
      </c>
      <c r="L251" s="1" t="s">
        <v>278</v>
      </c>
      <c r="M251">
        <v>30</v>
      </c>
      <c r="N251">
        <v>-5.6088000000000013</v>
      </c>
      <c r="O251">
        <v>17</v>
      </c>
      <c r="P251">
        <v>17</v>
      </c>
      <c r="Q251">
        <v>24</v>
      </c>
      <c r="R251">
        <v>-3.616000000000001</v>
      </c>
      <c r="S251">
        <v>10</v>
      </c>
      <c r="T251">
        <v>1.7599999999999993</v>
      </c>
      <c r="U251">
        <v>-1.52</v>
      </c>
      <c r="V251">
        <v>18</v>
      </c>
      <c r="W251">
        <v>17.5</v>
      </c>
      <c r="X251">
        <v>22</v>
      </c>
      <c r="Y251">
        <v>2.556</v>
      </c>
      <c r="Z251">
        <v>13</v>
      </c>
      <c r="AA251">
        <v>9.48</v>
      </c>
      <c r="AB251">
        <v>1.08</v>
      </c>
      <c r="AC251">
        <v>11</v>
      </c>
      <c r="AD251">
        <v>12.5</v>
      </c>
      <c r="AE251">
        <v>11</v>
      </c>
      <c r="AF251">
        <v>3.5239999999999996</v>
      </c>
      <c r="AG251">
        <v>14</v>
      </c>
      <c r="AH251">
        <v>18.759999999999998</v>
      </c>
      <c r="AI251">
        <v>0.68</v>
      </c>
      <c r="AJ251">
        <v>31</v>
      </c>
      <c r="AK251">
        <v>30.5</v>
      </c>
      <c r="AL251">
        <v>31</v>
      </c>
      <c r="AM251">
        <v>-0.85199999999999998</v>
      </c>
      <c r="AN251">
        <v>30</v>
      </c>
      <c r="AO251">
        <v>-4.6400000000000023</v>
      </c>
      <c r="AP251">
        <v>-0.68</v>
      </c>
      <c r="AQ251">
        <v>32</v>
      </c>
      <c r="AR251">
        <v>32</v>
      </c>
      <c r="AS251">
        <v>32</v>
      </c>
      <c r="AT251">
        <v>-2.8279999999999998</v>
      </c>
      <c r="AU251">
        <v>32</v>
      </c>
      <c r="AV251">
        <v>-11.720000000000002</v>
      </c>
      <c r="AW251">
        <v>-1</v>
      </c>
      <c r="AX251">
        <v>31</v>
      </c>
      <c r="AY251">
        <v>31.5</v>
      </c>
      <c r="AZ251">
        <v>31</v>
      </c>
      <c r="BA251">
        <v>-6.444</v>
      </c>
      <c r="BB251">
        <v>32</v>
      </c>
      <c r="BC251">
        <v>-24.04</v>
      </c>
      <c r="BD251">
        <v>-2.7199999999999998</v>
      </c>
      <c r="BE251">
        <v>9</v>
      </c>
      <c r="BF251">
        <v>8.5</v>
      </c>
      <c r="BG251">
        <v>9</v>
      </c>
      <c r="BH251">
        <v>-4.0440000000000014</v>
      </c>
      <c r="BI251">
        <v>8</v>
      </c>
      <c r="BJ251">
        <v>-18.439999999999998</v>
      </c>
      <c r="BK251">
        <v>-0.48</v>
      </c>
      <c r="BL251">
        <v>10</v>
      </c>
      <c r="BM251">
        <v>9</v>
      </c>
      <c r="BN251">
        <v>6</v>
      </c>
      <c r="BO251">
        <v>-0.55999999999999994</v>
      </c>
      <c r="BP251">
        <v>12</v>
      </c>
      <c r="BQ251">
        <v>-0.11999999999999997</v>
      </c>
      <c r="BR251">
        <v>2.4800000000000004</v>
      </c>
      <c r="BS251">
        <v>22</v>
      </c>
      <c r="BT251">
        <v>20.25</v>
      </c>
      <c r="BU251">
        <v>15</v>
      </c>
      <c r="BV251">
        <v>2.918042563169443E-3</v>
      </c>
      <c r="BW251">
        <v>19</v>
      </c>
      <c r="BX251">
        <v>1.2308372957031254E-2</v>
      </c>
      <c r="BY251">
        <v>28</v>
      </c>
      <c r="BZ251">
        <v>-0.48799999999999955</v>
      </c>
      <c r="CA251">
        <v>19</v>
      </c>
      <c r="CB251">
        <v>1.8399999999999999</v>
      </c>
      <c r="CC251">
        <v>-4.6399999999999988</v>
      </c>
      <c r="CD251">
        <v>-3.1199999999999997</v>
      </c>
      <c r="CE251">
        <v>-1.1199999999999999</v>
      </c>
      <c r="CF251">
        <v>-39.56</v>
      </c>
      <c r="CG251">
        <v>-35.120000000000005</v>
      </c>
      <c r="CH251">
        <v>9.879999999999999</v>
      </c>
      <c r="CI251">
        <v>-3.4799999999999995</v>
      </c>
      <c r="CJ251">
        <v>-10.84</v>
      </c>
      <c r="CK251">
        <v>24</v>
      </c>
      <c r="CL251">
        <v>-4.5488</v>
      </c>
      <c r="CM251">
        <v>-1.4317599999999999</v>
      </c>
      <c r="CN251">
        <v>-45</v>
      </c>
      <c r="CO251">
        <v>4.5488</v>
      </c>
      <c r="CP251">
        <v>-1.4286000000000005</v>
      </c>
      <c r="CQ251">
        <v>-0.15600000000000014</v>
      </c>
      <c r="CR251">
        <v>2.3999999999999932</v>
      </c>
      <c r="CS251">
        <v>-1.0600000000000009</v>
      </c>
      <c r="CT251">
        <v>11.24</v>
      </c>
      <c r="CU251">
        <v>-1.48</v>
      </c>
      <c r="CV251">
        <v>-0.43999999999999995</v>
      </c>
      <c r="CW251">
        <v>-0.6213166666666663</v>
      </c>
      <c r="CX251">
        <v>-1.8708999999999996</v>
      </c>
      <c r="CY251" t="s">
        <v>281</v>
      </c>
      <c r="CZ251">
        <v>11</v>
      </c>
      <c r="DA251">
        <v>2.5848000000000004</v>
      </c>
      <c r="DB251">
        <v>19</v>
      </c>
      <c r="DC251">
        <v>20</v>
      </c>
      <c r="DD251">
        <v>20</v>
      </c>
      <c r="DE251">
        <v>-2.7999999999999404E-2</v>
      </c>
      <c r="DF251">
        <v>20</v>
      </c>
      <c r="DG251">
        <v>17.639999999999997</v>
      </c>
      <c r="DH251">
        <v>-1.6</v>
      </c>
      <c r="DI251">
        <v>25</v>
      </c>
      <c r="DJ251">
        <v>22.5</v>
      </c>
      <c r="DK251">
        <v>19</v>
      </c>
      <c r="DL251">
        <v>1.0960000000000005</v>
      </c>
      <c r="DM251">
        <v>26</v>
      </c>
      <c r="DN251">
        <v>3.5199999999999996</v>
      </c>
      <c r="DO251">
        <v>-0.32</v>
      </c>
      <c r="DP251">
        <v>10</v>
      </c>
      <c r="DQ251">
        <v>12</v>
      </c>
      <c r="DR251">
        <v>13</v>
      </c>
      <c r="DS251">
        <v>0.11600000000000091</v>
      </c>
      <c r="DT251">
        <v>11</v>
      </c>
      <c r="DU251">
        <v>-7.6133333333333297</v>
      </c>
      <c r="DV251">
        <v>9.3333333333333351E-2</v>
      </c>
      <c r="DW251">
        <v>21</v>
      </c>
      <c r="DX251">
        <v>22</v>
      </c>
      <c r="DY251">
        <v>21</v>
      </c>
      <c r="DZ251">
        <v>-1.6019999999999996</v>
      </c>
      <c r="EA251">
        <v>23</v>
      </c>
      <c r="EB251">
        <v>-1.5266666666666679</v>
      </c>
      <c r="EC251">
        <v>-0.69000000000000006</v>
      </c>
      <c r="ED251">
        <v>21</v>
      </c>
      <c r="EE251">
        <v>19.5</v>
      </c>
      <c r="EF251">
        <v>19</v>
      </c>
      <c r="EG251">
        <v>1.4933333333333332</v>
      </c>
      <c r="EH251">
        <v>20</v>
      </c>
      <c r="EI251">
        <v>-3.6</v>
      </c>
      <c r="EJ251">
        <v>0.54666666666666663</v>
      </c>
      <c r="EK251">
        <v>10</v>
      </c>
      <c r="EL251">
        <v>11.5</v>
      </c>
      <c r="EM251">
        <v>12</v>
      </c>
      <c r="EN251">
        <v>3.2439999999999998</v>
      </c>
      <c r="EO251">
        <v>11</v>
      </c>
      <c r="EP251">
        <v>-0.60000000000000142</v>
      </c>
      <c r="EQ251">
        <v>-5.5600000000000005</v>
      </c>
      <c r="ER251">
        <v>4</v>
      </c>
      <c r="ES251">
        <v>4</v>
      </c>
      <c r="ET251">
        <v>5</v>
      </c>
      <c r="EU251">
        <v>2.0859999999999999</v>
      </c>
      <c r="EV251">
        <v>3</v>
      </c>
      <c r="EW251">
        <v>4.5300000000000011</v>
      </c>
      <c r="EX251">
        <v>-1.77</v>
      </c>
      <c r="EY251">
        <v>29</v>
      </c>
      <c r="EZ251">
        <v>27</v>
      </c>
      <c r="FA251">
        <v>30</v>
      </c>
      <c r="FB251">
        <v>-0.72</v>
      </c>
      <c r="FC251">
        <v>24</v>
      </c>
      <c r="FD251">
        <v>0.20000000000000009</v>
      </c>
      <c r="FE251">
        <v>-1.9199999999999995</v>
      </c>
      <c r="FF251">
        <v>9</v>
      </c>
      <c r="FG251">
        <v>12.5</v>
      </c>
      <c r="FH251">
        <v>8</v>
      </c>
      <c r="FI251">
        <v>1.5885996202414092E-2</v>
      </c>
      <c r="FJ251">
        <v>16</v>
      </c>
      <c r="FK251">
        <v>2.0890214540285675E-2</v>
      </c>
      <c r="FL251">
        <v>7</v>
      </c>
      <c r="FM251">
        <v>8.0520000000000014</v>
      </c>
      <c r="FN251">
        <v>19</v>
      </c>
      <c r="FO251">
        <v>-1.1599999999999999</v>
      </c>
      <c r="FP251">
        <v>-0.8</v>
      </c>
      <c r="FQ251">
        <v>-2.0800000000000005</v>
      </c>
      <c r="FR251">
        <v>-0.12000000000000011</v>
      </c>
      <c r="FS251">
        <v>-2.0399999999999978</v>
      </c>
      <c r="FT251">
        <v>3.3199999999999994</v>
      </c>
      <c r="FU251">
        <v>-0.91999999999999993</v>
      </c>
      <c r="FV251">
        <v>32.160000000000004</v>
      </c>
      <c r="FW251">
        <v>9.7199999999999989</v>
      </c>
      <c r="FX251">
        <v>20.680000000000003</v>
      </c>
      <c r="FY251">
        <v>4.4000000000000004</v>
      </c>
      <c r="FZ251">
        <v>-2.6399999999999997</v>
      </c>
      <c r="GA251">
        <v>14</v>
      </c>
      <c r="GB251">
        <v>1.5167999999999995</v>
      </c>
      <c r="GC251">
        <v>0.40162666666666647</v>
      </c>
      <c r="GD251">
        <v>-10.960000000000004</v>
      </c>
      <c r="GE251">
        <v>-1.5167999999999993</v>
      </c>
      <c r="GF251">
        <v>0.62826666666666708</v>
      </c>
      <c r="GG251">
        <v>7.3333333333345241E-3</v>
      </c>
      <c r="GH251">
        <v>-12.739999999999997</v>
      </c>
      <c r="GI251">
        <v>1.0680000000000012</v>
      </c>
      <c r="GJ251">
        <v>21.159999999999997</v>
      </c>
      <c r="GK251">
        <v>-1.82</v>
      </c>
      <c r="GL251">
        <v>-1.9200000000000002</v>
      </c>
    </row>
    <row r="252" spans="1:194" x14ac:dyDescent="0.2">
      <c r="A252" s="39">
        <v>43772</v>
      </c>
      <c r="B252" s="22" t="s">
        <v>246</v>
      </c>
      <c r="C252" s="41" t="s">
        <v>299</v>
      </c>
      <c r="D252" s="22" t="s">
        <v>303</v>
      </c>
      <c r="E252">
        <v>26.2</v>
      </c>
      <c r="F252" s="14">
        <v>29.6</v>
      </c>
      <c r="G252">
        <v>5.9</v>
      </c>
      <c r="H252">
        <f>8.6+2.3+1.3</f>
        <v>12.2</v>
      </c>
      <c r="I252">
        <v>2.5</v>
      </c>
      <c r="J252">
        <v>51.5</v>
      </c>
      <c r="L252" s="1" t="s">
        <v>299</v>
      </c>
      <c r="M252">
        <v>5</v>
      </c>
      <c r="N252">
        <v>4.1111999999999984</v>
      </c>
      <c r="O252">
        <v>28</v>
      </c>
      <c r="P252">
        <v>26</v>
      </c>
      <c r="Q252">
        <v>31</v>
      </c>
      <c r="R252">
        <v>-3.9120000000000004</v>
      </c>
      <c r="S252">
        <v>21</v>
      </c>
      <c r="T252">
        <v>-15.400000000000002</v>
      </c>
      <c r="U252">
        <v>0.56000000000000016</v>
      </c>
      <c r="V252">
        <v>13</v>
      </c>
      <c r="W252">
        <v>13.5</v>
      </c>
      <c r="X252">
        <v>8</v>
      </c>
      <c r="Y252">
        <v>-1.9439999999999997</v>
      </c>
      <c r="Z252">
        <v>19</v>
      </c>
      <c r="AA252">
        <v>6.15</v>
      </c>
      <c r="AB252">
        <v>-0.47000000000000003</v>
      </c>
      <c r="AC252">
        <v>5</v>
      </c>
      <c r="AD252">
        <v>5.5</v>
      </c>
      <c r="AE252">
        <v>8</v>
      </c>
      <c r="AF252">
        <v>3.1799999999999988</v>
      </c>
      <c r="AG252">
        <v>3</v>
      </c>
      <c r="AH252">
        <v>10.870000000000001</v>
      </c>
      <c r="AI252">
        <v>-0.56999999999999995</v>
      </c>
      <c r="AJ252">
        <v>3</v>
      </c>
      <c r="AK252">
        <v>3.5</v>
      </c>
      <c r="AL252">
        <v>2</v>
      </c>
      <c r="AM252">
        <v>10.635000000000002</v>
      </c>
      <c r="AN252">
        <v>5</v>
      </c>
      <c r="AO252">
        <v>37.129999999999995</v>
      </c>
      <c r="AP252">
        <v>2.33</v>
      </c>
      <c r="AQ252">
        <v>10</v>
      </c>
      <c r="AR252">
        <v>10</v>
      </c>
      <c r="AS252">
        <v>10</v>
      </c>
      <c r="AT252">
        <v>3.8519999999999994</v>
      </c>
      <c r="AU252">
        <v>10</v>
      </c>
      <c r="AV252">
        <v>23.720000000000002</v>
      </c>
      <c r="AW252">
        <v>0.56000000000000005</v>
      </c>
      <c r="AX252">
        <v>9</v>
      </c>
      <c r="AY252">
        <v>10.5</v>
      </c>
      <c r="AZ252">
        <v>13</v>
      </c>
      <c r="BA252">
        <v>7.016</v>
      </c>
      <c r="BB252">
        <v>8</v>
      </c>
      <c r="BC252">
        <v>45.92</v>
      </c>
      <c r="BD252">
        <v>-2.2800000000000007</v>
      </c>
      <c r="BE252">
        <v>20</v>
      </c>
      <c r="BF252">
        <v>22</v>
      </c>
      <c r="BG252">
        <v>23</v>
      </c>
      <c r="BH252">
        <v>-2.4560000000000013</v>
      </c>
      <c r="BI252">
        <v>21</v>
      </c>
      <c r="BJ252">
        <v>-5.1599999999999993</v>
      </c>
      <c r="BK252">
        <v>-0.47999999999999982</v>
      </c>
      <c r="BL252">
        <v>23</v>
      </c>
      <c r="BM252">
        <v>22.5</v>
      </c>
      <c r="BN252">
        <v>20</v>
      </c>
      <c r="BO252">
        <v>3.6</v>
      </c>
      <c r="BP252">
        <v>25</v>
      </c>
      <c r="BQ252">
        <v>0.47999999999999987</v>
      </c>
      <c r="BR252">
        <v>-2.12</v>
      </c>
      <c r="BS252">
        <v>5</v>
      </c>
      <c r="BT252">
        <v>9</v>
      </c>
      <c r="BU252">
        <v>6</v>
      </c>
      <c r="BV252">
        <v>2.8759616369712516E-2</v>
      </c>
      <c r="BW252">
        <v>12</v>
      </c>
      <c r="BX252">
        <v>1.0972093802472802E-2</v>
      </c>
      <c r="BY252">
        <v>9</v>
      </c>
      <c r="BZ252">
        <v>7.5119999999999987</v>
      </c>
      <c r="CA252">
        <v>9</v>
      </c>
      <c r="CB252">
        <v>-0.96000000000000019</v>
      </c>
      <c r="CC252">
        <v>0.32000000000000173</v>
      </c>
      <c r="CD252">
        <v>3.28</v>
      </c>
      <c r="CE252">
        <v>0.48000000000000009</v>
      </c>
      <c r="CF252">
        <v>45.240000000000009</v>
      </c>
      <c r="CG252">
        <v>62.160000000000004</v>
      </c>
      <c r="CH252">
        <v>-9.64</v>
      </c>
      <c r="CI252">
        <v>-0.40000000000000008</v>
      </c>
      <c r="CJ252">
        <v>-6.8800000000000008</v>
      </c>
      <c r="CK252">
        <v>3</v>
      </c>
      <c r="CL252">
        <v>9.9671999999999983</v>
      </c>
      <c r="CM252">
        <v>6.7924399999999991</v>
      </c>
      <c r="CN252">
        <v>71.800000000000011</v>
      </c>
      <c r="CO252">
        <v>-9.9671999999999983</v>
      </c>
      <c r="CP252">
        <v>2.1332749999999994</v>
      </c>
      <c r="CQ252">
        <v>17.667000000000002</v>
      </c>
      <c r="CR252">
        <v>71.72</v>
      </c>
      <c r="CS252">
        <v>-5.8559999999999999</v>
      </c>
      <c r="CT252">
        <v>-9.2500000000000018</v>
      </c>
      <c r="CU252">
        <v>1.8400000000000005</v>
      </c>
      <c r="CV252">
        <v>9.0000000000000135E-2</v>
      </c>
      <c r="CW252">
        <v>1.6730499999999997</v>
      </c>
      <c r="CX252">
        <v>2.1371999999999995</v>
      </c>
      <c r="CY252" t="s">
        <v>303</v>
      </c>
      <c r="CZ252">
        <v>13</v>
      </c>
      <c r="DA252">
        <v>6.2551999999999994</v>
      </c>
      <c r="DB252">
        <v>13</v>
      </c>
      <c r="DC252">
        <v>12</v>
      </c>
      <c r="DD252">
        <v>10</v>
      </c>
      <c r="DE252">
        <v>-5.9399999999999995</v>
      </c>
      <c r="DF252">
        <v>14</v>
      </c>
      <c r="DG252">
        <v>-16.72</v>
      </c>
      <c r="DH252">
        <v>-1.6</v>
      </c>
      <c r="DI252">
        <v>6</v>
      </c>
      <c r="DJ252">
        <v>8.5</v>
      </c>
      <c r="DK252">
        <v>6</v>
      </c>
      <c r="DL252">
        <v>3.5799999999999996</v>
      </c>
      <c r="DM252">
        <v>11</v>
      </c>
      <c r="DN252">
        <v>-10.479999999999999</v>
      </c>
      <c r="DO252">
        <v>1.64</v>
      </c>
      <c r="DP252">
        <v>18</v>
      </c>
      <c r="DQ252">
        <v>25</v>
      </c>
      <c r="DR252">
        <v>25</v>
      </c>
      <c r="DS252">
        <v>6.6199999999999992</v>
      </c>
      <c r="DT252">
        <v>25</v>
      </c>
      <c r="DU252">
        <v>31.28</v>
      </c>
      <c r="DV252">
        <v>0.20000000000000018</v>
      </c>
      <c r="DW252">
        <v>9</v>
      </c>
      <c r="DX252">
        <v>10</v>
      </c>
      <c r="DY252">
        <v>11</v>
      </c>
      <c r="DZ252">
        <v>-0.92400000000000004</v>
      </c>
      <c r="EA252">
        <v>9</v>
      </c>
      <c r="EB252">
        <v>-4.92</v>
      </c>
      <c r="EC252">
        <v>0.32000000000000012</v>
      </c>
      <c r="ED252">
        <v>25</v>
      </c>
      <c r="EE252">
        <v>32</v>
      </c>
      <c r="EF252">
        <v>32</v>
      </c>
      <c r="EG252">
        <v>-1.907999999999999</v>
      </c>
      <c r="EH252">
        <v>32</v>
      </c>
      <c r="EI252">
        <v>-5.2000000000000011</v>
      </c>
      <c r="EJ252">
        <v>0.64</v>
      </c>
      <c r="EK252">
        <v>31</v>
      </c>
      <c r="EL252">
        <v>31</v>
      </c>
      <c r="EM252">
        <v>31</v>
      </c>
      <c r="EN252">
        <v>-0.79600000000000004</v>
      </c>
      <c r="EO252">
        <v>31</v>
      </c>
      <c r="EP252">
        <v>-0.75999999999999945</v>
      </c>
      <c r="EQ252">
        <v>0.16000000000000014</v>
      </c>
      <c r="ER252">
        <v>22</v>
      </c>
      <c r="ES252">
        <v>23.5</v>
      </c>
      <c r="ET252">
        <v>26</v>
      </c>
      <c r="EU252">
        <v>4.548</v>
      </c>
      <c r="EV252">
        <v>21</v>
      </c>
      <c r="EW252">
        <v>9.0800000000000018</v>
      </c>
      <c r="EX252">
        <v>2.16</v>
      </c>
      <c r="EY252">
        <v>27</v>
      </c>
      <c r="EZ252">
        <v>25.5</v>
      </c>
      <c r="FA252">
        <v>22</v>
      </c>
      <c r="FB252">
        <v>-2.56</v>
      </c>
      <c r="FC252">
        <v>29</v>
      </c>
      <c r="FD252">
        <v>-1.08</v>
      </c>
      <c r="FE252">
        <v>-3.2400000000000007</v>
      </c>
      <c r="FF252">
        <v>10</v>
      </c>
      <c r="FG252">
        <v>13.25</v>
      </c>
      <c r="FH252">
        <v>12</v>
      </c>
      <c r="FI252">
        <v>-2.123157984726597E-2</v>
      </c>
      <c r="FJ252">
        <v>11</v>
      </c>
      <c r="FK252">
        <v>-1.2894092188901538E-2</v>
      </c>
      <c r="FL252">
        <v>12</v>
      </c>
      <c r="FM252">
        <v>5.5399999999999974</v>
      </c>
      <c r="FN252">
        <v>18</v>
      </c>
      <c r="FO252">
        <v>-1.2799999999999998</v>
      </c>
      <c r="FP252">
        <v>1.4799999999999998</v>
      </c>
      <c r="FQ252">
        <v>-4.2</v>
      </c>
      <c r="FR252">
        <v>0.8</v>
      </c>
      <c r="FS252">
        <v>-2.7200000000000015</v>
      </c>
      <c r="FT252">
        <v>2.96</v>
      </c>
      <c r="FU252">
        <v>-0.99999999999999978</v>
      </c>
      <c r="FV252">
        <v>13.880000000000006</v>
      </c>
      <c r="FW252">
        <v>40.679999999999993</v>
      </c>
      <c r="FX252">
        <v>-24.6</v>
      </c>
      <c r="FY252">
        <v>-1.24</v>
      </c>
      <c r="FZ252">
        <v>-0.95999999999999908</v>
      </c>
      <c r="GA252">
        <v>3</v>
      </c>
      <c r="GB252">
        <v>8.6151999999999997</v>
      </c>
      <c r="GC252">
        <v>4.0982399999999997</v>
      </c>
      <c r="GD252">
        <v>65.28</v>
      </c>
      <c r="GE252">
        <v>-8.6151999999999997</v>
      </c>
      <c r="GF252">
        <v>1.2088999999999999</v>
      </c>
      <c r="GG252">
        <v>3.7879999999999998</v>
      </c>
      <c r="GH252">
        <v>21.159999999999997</v>
      </c>
      <c r="GI252">
        <v>-2.36</v>
      </c>
      <c r="GJ252">
        <v>-27.199999999999996</v>
      </c>
      <c r="GK252">
        <v>3.3200000000000003</v>
      </c>
      <c r="GL252">
        <v>3.9999999999999813E-2</v>
      </c>
    </row>
    <row r="253" spans="1:194" x14ac:dyDescent="0.2">
      <c r="A253" s="39">
        <v>43772</v>
      </c>
      <c r="B253" s="22" t="s">
        <v>246</v>
      </c>
      <c r="C253" s="41" t="s">
        <v>300</v>
      </c>
      <c r="D253" s="22" t="s">
        <v>287</v>
      </c>
      <c r="E253">
        <v>11.1</v>
      </c>
      <c r="F253">
        <v>7.4</v>
      </c>
      <c r="G253">
        <v>4.0999999999999996</v>
      </c>
      <c r="H253">
        <v>5.7</v>
      </c>
      <c r="I253">
        <v>-4</v>
      </c>
      <c r="J253">
        <v>50</v>
      </c>
      <c r="K253" t="s">
        <v>110</v>
      </c>
      <c r="L253" s="1" t="s">
        <v>300</v>
      </c>
      <c r="M253">
        <v>2</v>
      </c>
      <c r="N253">
        <v>5.4895999999999985</v>
      </c>
      <c r="O253">
        <v>22</v>
      </c>
      <c r="P253">
        <v>21.5</v>
      </c>
      <c r="Q253">
        <v>14</v>
      </c>
      <c r="R253">
        <v>9.8920000000000012</v>
      </c>
      <c r="S253">
        <v>29</v>
      </c>
      <c r="T253">
        <v>-8.4</v>
      </c>
      <c r="U253">
        <v>3.12</v>
      </c>
      <c r="V253">
        <v>2</v>
      </c>
      <c r="W253">
        <v>4</v>
      </c>
      <c r="X253">
        <v>4</v>
      </c>
      <c r="Y253">
        <v>4.1880000000000006</v>
      </c>
      <c r="Z253">
        <v>4</v>
      </c>
      <c r="AA253">
        <v>9.4000000000000021</v>
      </c>
      <c r="AB253">
        <v>0.72</v>
      </c>
      <c r="AC253">
        <v>3</v>
      </c>
      <c r="AD253">
        <v>3.5</v>
      </c>
      <c r="AE253">
        <v>5</v>
      </c>
      <c r="AF253">
        <v>-1.7759999999999998</v>
      </c>
      <c r="AG253">
        <v>2</v>
      </c>
      <c r="AH253">
        <v>8.5599999999999987</v>
      </c>
      <c r="AI253">
        <v>-1.2399999999999998</v>
      </c>
      <c r="AJ253">
        <v>16</v>
      </c>
      <c r="AK253">
        <v>17</v>
      </c>
      <c r="AL253">
        <v>17</v>
      </c>
      <c r="AM253">
        <v>-4.847999999999999</v>
      </c>
      <c r="AN253">
        <v>17</v>
      </c>
      <c r="AO253">
        <v>-17.28</v>
      </c>
      <c r="AP253">
        <v>-0.8</v>
      </c>
      <c r="AQ253">
        <v>20</v>
      </c>
      <c r="AR253">
        <v>19</v>
      </c>
      <c r="AS253">
        <v>18</v>
      </c>
      <c r="AT253">
        <v>3.2240000000000002</v>
      </c>
      <c r="AU253">
        <v>20</v>
      </c>
      <c r="AV253">
        <v>12.280000000000001</v>
      </c>
      <c r="AW253">
        <v>-0.11999999999999993</v>
      </c>
      <c r="AX253">
        <v>18</v>
      </c>
      <c r="AY253">
        <v>17</v>
      </c>
      <c r="AZ253">
        <v>12</v>
      </c>
      <c r="BA253">
        <v>3.1719999999999984</v>
      </c>
      <c r="BB253">
        <v>22</v>
      </c>
      <c r="BC253">
        <v>14.12</v>
      </c>
      <c r="BD253">
        <v>0.5199999999999998</v>
      </c>
      <c r="BE253">
        <v>27</v>
      </c>
      <c r="BF253">
        <v>27</v>
      </c>
      <c r="BG253">
        <v>26</v>
      </c>
      <c r="BH253">
        <v>-0.10000000000000106</v>
      </c>
      <c r="BI253">
        <v>28</v>
      </c>
      <c r="BJ253">
        <v>6.5599999999999978</v>
      </c>
      <c r="BK253">
        <v>-0.48000000000000009</v>
      </c>
      <c r="BL253">
        <v>31</v>
      </c>
      <c r="BM253">
        <v>31</v>
      </c>
      <c r="BN253">
        <v>30</v>
      </c>
      <c r="BO253">
        <v>1.2400000000000004</v>
      </c>
      <c r="BP253">
        <v>32</v>
      </c>
      <c r="BQ253">
        <v>-0.36</v>
      </c>
      <c r="BR253">
        <v>-1.2</v>
      </c>
      <c r="BS253">
        <v>16</v>
      </c>
      <c r="BT253">
        <v>14.5</v>
      </c>
      <c r="BU253">
        <v>17</v>
      </c>
      <c r="BV253">
        <v>-2.2978140316701735E-2</v>
      </c>
      <c r="BW253">
        <v>14</v>
      </c>
      <c r="BX253">
        <v>-1.9656028919711754E-2</v>
      </c>
      <c r="BY253">
        <v>3</v>
      </c>
      <c r="BZ253">
        <v>13.559999999999999</v>
      </c>
      <c r="CA253">
        <v>24</v>
      </c>
      <c r="CB253">
        <v>-5.0000000000000009</v>
      </c>
      <c r="CC253">
        <v>-7.9999999999998295E-2</v>
      </c>
      <c r="CD253">
        <v>6.3199999999999994</v>
      </c>
      <c r="CE253">
        <v>-0.27999999999999997</v>
      </c>
      <c r="CF253">
        <v>53.879999999999995</v>
      </c>
      <c r="CG253">
        <v>61.52</v>
      </c>
      <c r="CH253">
        <v>-3.5200000000000018</v>
      </c>
      <c r="CI253">
        <v>-3</v>
      </c>
      <c r="CJ253">
        <v>-1.1200000000000003</v>
      </c>
      <c r="CK253">
        <v>30</v>
      </c>
      <c r="CL253">
        <v>-8.5904000000000025</v>
      </c>
      <c r="CM253">
        <v>-6.6420800000000009</v>
      </c>
      <c r="CN253">
        <v>65.040000000000006</v>
      </c>
      <c r="CO253">
        <v>8.5904000000000025</v>
      </c>
      <c r="CP253">
        <v>2.1637000000000004</v>
      </c>
      <c r="CQ253">
        <v>-3.3999999999999986</v>
      </c>
      <c r="CR253">
        <v>3.5599999999999987</v>
      </c>
      <c r="CS253">
        <v>14.080000000000002</v>
      </c>
      <c r="CT253">
        <v>1.0000000000000018</v>
      </c>
      <c r="CU253">
        <v>-2.64</v>
      </c>
      <c r="CV253">
        <v>3.84</v>
      </c>
      <c r="CW253">
        <v>0.30745625000000021</v>
      </c>
      <c r="CX253">
        <v>1.0215625000000004</v>
      </c>
      <c r="CY253" t="s">
        <v>287</v>
      </c>
      <c r="CZ253">
        <v>26</v>
      </c>
      <c r="DA253">
        <v>-1.7331999999999996</v>
      </c>
      <c r="DB253">
        <v>7</v>
      </c>
      <c r="DC253">
        <v>10</v>
      </c>
      <c r="DD253">
        <v>11</v>
      </c>
      <c r="DE253">
        <v>8.3719999999999999</v>
      </c>
      <c r="DF253">
        <v>9</v>
      </c>
      <c r="DG253">
        <v>27.839999999999996</v>
      </c>
      <c r="DH253">
        <v>0.48000000000000009</v>
      </c>
      <c r="DI253">
        <v>21</v>
      </c>
      <c r="DJ253">
        <v>18.5</v>
      </c>
      <c r="DK253">
        <v>9</v>
      </c>
      <c r="DL253">
        <v>-1.236</v>
      </c>
      <c r="DM253">
        <v>28</v>
      </c>
      <c r="DN253">
        <v>10.16</v>
      </c>
      <c r="DO253">
        <v>-1.8799999999999997</v>
      </c>
      <c r="DP253">
        <v>28</v>
      </c>
      <c r="DQ253">
        <v>26.5</v>
      </c>
      <c r="DR253">
        <v>26</v>
      </c>
      <c r="DS253">
        <v>-4.8639999999999999</v>
      </c>
      <c r="DT253">
        <v>27</v>
      </c>
      <c r="DU253">
        <v>-21.159999999999997</v>
      </c>
      <c r="DV253">
        <v>-1.9599999999999997</v>
      </c>
      <c r="DW253">
        <v>21</v>
      </c>
      <c r="DX253">
        <v>22</v>
      </c>
      <c r="DY253">
        <v>22</v>
      </c>
      <c r="DZ253">
        <v>-2.4279999999999999</v>
      </c>
      <c r="EA253">
        <v>22</v>
      </c>
      <c r="EB253">
        <v>-6.6000000000000014</v>
      </c>
      <c r="EC253">
        <v>-1.7200000000000002</v>
      </c>
      <c r="ED253">
        <v>18</v>
      </c>
      <c r="EE253">
        <v>20.5</v>
      </c>
      <c r="EF253">
        <v>23</v>
      </c>
      <c r="EG253">
        <v>-0.11999999999999958</v>
      </c>
      <c r="EH253">
        <v>18</v>
      </c>
      <c r="EI253">
        <v>1.7600000000000002</v>
      </c>
      <c r="EJ253">
        <v>-0.40000000000000019</v>
      </c>
      <c r="EK253">
        <v>22</v>
      </c>
      <c r="EL253">
        <v>23</v>
      </c>
      <c r="EM253">
        <v>25</v>
      </c>
      <c r="EN253">
        <v>1.3680000000000008</v>
      </c>
      <c r="EO253">
        <v>21</v>
      </c>
      <c r="EP253">
        <v>6.080000000000001</v>
      </c>
      <c r="EQ253">
        <v>-2.4799999999999995</v>
      </c>
      <c r="ER253">
        <v>30</v>
      </c>
      <c r="ES253">
        <v>27.5</v>
      </c>
      <c r="ET253">
        <v>28</v>
      </c>
      <c r="EU253">
        <v>-2.4039999999999999</v>
      </c>
      <c r="EV253">
        <v>27</v>
      </c>
      <c r="EW253">
        <v>-4.839999999999999</v>
      </c>
      <c r="EX253">
        <v>-1.8</v>
      </c>
      <c r="EY253">
        <v>3</v>
      </c>
      <c r="EZ253">
        <v>3.5</v>
      </c>
      <c r="FA253">
        <v>4</v>
      </c>
      <c r="FB253">
        <v>1.1599999999999997</v>
      </c>
      <c r="FC253">
        <v>3</v>
      </c>
      <c r="FD253">
        <v>0.92000000000000015</v>
      </c>
      <c r="FE253">
        <v>-1.5999999999999999</v>
      </c>
      <c r="FF253">
        <v>25</v>
      </c>
      <c r="FG253">
        <v>21.5</v>
      </c>
      <c r="FH253">
        <v>20</v>
      </c>
      <c r="FI253">
        <v>-1.6180654778187108E-2</v>
      </c>
      <c r="FJ253">
        <v>25</v>
      </c>
      <c r="FK253">
        <v>1.0760578244582613E-2</v>
      </c>
      <c r="FL253">
        <v>18</v>
      </c>
      <c r="FM253">
        <v>-3.3840000000000003</v>
      </c>
      <c r="FN253">
        <v>23</v>
      </c>
      <c r="FO253">
        <v>0.12000000000000029</v>
      </c>
      <c r="FP253">
        <v>-6</v>
      </c>
      <c r="FQ253">
        <v>5.4</v>
      </c>
      <c r="FR253">
        <v>0.1999999999999999</v>
      </c>
      <c r="FS253">
        <v>-0.16000000000000086</v>
      </c>
      <c r="FT253">
        <v>-0.52000000000000024</v>
      </c>
      <c r="FU253">
        <v>0.48000000000000009</v>
      </c>
      <c r="FV253">
        <v>36.04</v>
      </c>
      <c r="FW253">
        <v>-3.960000000000008</v>
      </c>
      <c r="FX253">
        <v>39.24</v>
      </c>
      <c r="FY253">
        <v>0.91999999999999993</v>
      </c>
      <c r="FZ253">
        <v>-0.16000000000000014</v>
      </c>
      <c r="GA253">
        <v>30</v>
      </c>
      <c r="GB253">
        <v>-8.8691999999999993</v>
      </c>
      <c r="GC253">
        <v>-5.8778399999999991</v>
      </c>
      <c r="GD253">
        <v>-43.20000000000001</v>
      </c>
      <c r="GE253">
        <v>8.8691999999999993</v>
      </c>
      <c r="GF253">
        <v>-0.40665000000000001</v>
      </c>
      <c r="GG253">
        <v>-7.411999999999999</v>
      </c>
      <c r="GH253">
        <v>-25.999999999999996</v>
      </c>
      <c r="GI253">
        <v>7.1360000000000001</v>
      </c>
      <c r="GJ253">
        <v>38</v>
      </c>
      <c r="GK253">
        <v>-5.88</v>
      </c>
      <c r="GL253">
        <v>-1.3999999999999995</v>
      </c>
    </row>
    <row r="254" spans="1:194" x14ac:dyDescent="0.2">
      <c r="A254" s="39">
        <v>43772</v>
      </c>
      <c r="B254" s="22" t="s">
        <v>246</v>
      </c>
      <c r="C254" s="41" t="s">
        <v>311</v>
      </c>
      <c r="D254" s="22" t="s">
        <v>297</v>
      </c>
      <c r="E254">
        <v>19.399999999999999</v>
      </c>
      <c r="F254">
        <v>9.1999999999999993</v>
      </c>
      <c r="G254">
        <v>1.8</v>
      </c>
      <c r="H254">
        <v>12.6</v>
      </c>
      <c r="I254">
        <v>1</v>
      </c>
      <c r="J254">
        <v>46</v>
      </c>
      <c r="K254" t="s">
        <v>109</v>
      </c>
      <c r="L254" s="1" t="s">
        <v>311</v>
      </c>
      <c r="M254">
        <v>4</v>
      </c>
      <c r="N254">
        <v>4.6983999999999995</v>
      </c>
      <c r="O254">
        <v>22</v>
      </c>
      <c r="P254">
        <v>21.5</v>
      </c>
      <c r="Q254">
        <v>30</v>
      </c>
      <c r="R254">
        <v>-5.048</v>
      </c>
      <c r="S254">
        <v>13</v>
      </c>
      <c r="T254">
        <v>7.3199999999999985</v>
      </c>
      <c r="U254">
        <v>-1.56</v>
      </c>
      <c r="V254">
        <v>8</v>
      </c>
      <c r="W254">
        <v>9.5</v>
      </c>
      <c r="X254">
        <v>3</v>
      </c>
      <c r="Y254">
        <v>0.87200000000000055</v>
      </c>
      <c r="Z254">
        <v>16</v>
      </c>
      <c r="AA254">
        <v>10.919999999999998</v>
      </c>
      <c r="AB254">
        <v>-0.48000000000000009</v>
      </c>
      <c r="AC254">
        <v>2</v>
      </c>
      <c r="AD254">
        <v>2.5</v>
      </c>
      <c r="AE254">
        <v>1</v>
      </c>
      <c r="AF254">
        <v>2.5960000000000001</v>
      </c>
      <c r="AG254">
        <v>4</v>
      </c>
      <c r="AH254">
        <v>5.2799999999999994</v>
      </c>
      <c r="AI254">
        <v>2.72</v>
      </c>
      <c r="AJ254">
        <v>15</v>
      </c>
      <c r="AK254">
        <v>15</v>
      </c>
      <c r="AL254">
        <v>16</v>
      </c>
      <c r="AM254">
        <v>4.3720000000000017</v>
      </c>
      <c r="AN254">
        <v>14</v>
      </c>
      <c r="AO254">
        <v>17.399999999999999</v>
      </c>
      <c r="AP254">
        <v>2.2000000000000002</v>
      </c>
      <c r="AQ254">
        <v>21</v>
      </c>
      <c r="AR254">
        <v>21</v>
      </c>
      <c r="AS254">
        <v>21</v>
      </c>
      <c r="AT254">
        <v>1.8679999999999999</v>
      </c>
      <c r="AU254">
        <v>21</v>
      </c>
      <c r="AV254">
        <v>11</v>
      </c>
      <c r="AW254">
        <v>0.1999999999999999</v>
      </c>
      <c r="AX254">
        <v>17</v>
      </c>
      <c r="AY254">
        <v>16.5</v>
      </c>
      <c r="AZ254">
        <v>21</v>
      </c>
      <c r="BA254">
        <v>-1.28</v>
      </c>
      <c r="BB254">
        <v>12</v>
      </c>
      <c r="BC254">
        <v>-3.1999999999999984</v>
      </c>
      <c r="BD254">
        <v>0.8</v>
      </c>
      <c r="BE254">
        <v>11</v>
      </c>
      <c r="BF254">
        <v>12</v>
      </c>
      <c r="BG254">
        <v>11</v>
      </c>
      <c r="BH254">
        <v>3.3720000000000008</v>
      </c>
      <c r="BI254">
        <v>13</v>
      </c>
      <c r="BJ254">
        <v>8.52</v>
      </c>
      <c r="BK254">
        <v>-0.27999999999999992</v>
      </c>
      <c r="BL254">
        <v>22</v>
      </c>
      <c r="BM254">
        <v>20.5</v>
      </c>
      <c r="BN254">
        <v>22</v>
      </c>
      <c r="BO254">
        <v>0.67999999999999994</v>
      </c>
      <c r="BP254">
        <v>19</v>
      </c>
      <c r="BQ254">
        <v>0.27999999999999992</v>
      </c>
      <c r="BR254">
        <v>-1.3999999999999997</v>
      </c>
      <c r="BS254">
        <v>20</v>
      </c>
      <c r="BT254">
        <v>17.5</v>
      </c>
      <c r="BU254">
        <v>1</v>
      </c>
      <c r="BV254">
        <v>-9.1439768124593479E-3</v>
      </c>
      <c r="BW254">
        <v>24</v>
      </c>
      <c r="BX254">
        <v>-5.3759730560500622E-3</v>
      </c>
      <c r="BY254">
        <v>15</v>
      </c>
      <c r="BZ254">
        <v>-0.36799999999999927</v>
      </c>
      <c r="CA254">
        <v>30</v>
      </c>
      <c r="CB254">
        <v>-0.92000000000000015</v>
      </c>
      <c r="CC254">
        <v>3.8000000000000016</v>
      </c>
      <c r="CD254">
        <v>1.3599999999999994</v>
      </c>
      <c r="CE254">
        <v>0.28000000000000008</v>
      </c>
      <c r="CF254">
        <v>39</v>
      </c>
      <c r="CG254">
        <v>13.959999999999997</v>
      </c>
      <c r="CH254">
        <v>9.879999999999999</v>
      </c>
      <c r="CI254">
        <v>-3.2800000000000002</v>
      </c>
      <c r="CJ254">
        <v>18.440000000000005</v>
      </c>
      <c r="CK254">
        <v>5</v>
      </c>
      <c r="CL254">
        <v>8.8743999999999996</v>
      </c>
      <c r="CM254">
        <v>5.4692799999999995</v>
      </c>
      <c r="CN254">
        <v>4.0799999999999983</v>
      </c>
      <c r="CO254">
        <v>-8.8743999999999978</v>
      </c>
      <c r="CP254">
        <v>1.6763000000000003</v>
      </c>
      <c r="CQ254">
        <v>8.8360000000000021</v>
      </c>
      <c r="CR254">
        <v>33.68</v>
      </c>
      <c r="CS254">
        <v>-4.1759999999999993</v>
      </c>
      <c r="CT254">
        <v>18.239999999999995</v>
      </c>
      <c r="CU254">
        <v>4.84</v>
      </c>
      <c r="CV254">
        <v>-2.04</v>
      </c>
      <c r="CW254">
        <v>0.33815000000000017</v>
      </c>
      <c r="CX254">
        <v>0.51790000000000036</v>
      </c>
      <c r="CY254" t="s">
        <v>297</v>
      </c>
      <c r="CZ254">
        <v>20</v>
      </c>
      <c r="DA254">
        <v>3.5640000000000001</v>
      </c>
      <c r="DB254">
        <v>1</v>
      </c>
      <c r="DC254">
        <v>1.5</v>
      </c>
      <c r="DD254">
        <v>2</v>
      </c>
      <c r="DE254">
        <v>-2.0808000000000004</v>
      </c>
      <c r="DF254">
        <v>1</v>
      </c>
      <c r="DG254">
        <v>-13.52</v>
      </c>
      <c r="DH254">
        <v>0</v>
      </c>
      <c r="DI254">
        <v>13</v>
      </c>
      <c r="DJ254">
        <v>14.5</v>
      </c>
      <c r="DK254">
        <v>11</v>
      </c>
      <c r="DL254">
        <v>2.0400000000000005</v>
      </c>
      <c r="DM254">
        <v>18</v>
      </c>
      <c r="DN254">
        <v>10.4</v>
      </c>
      <c r="DO254">
        <v>0.4</v>
      </c>
      <c r="DP254">
        <v>12</v>
      </c>
      <c r="DQ254">
        <v>13</v>
      </c>
      <c r="DR254">
        <v>11</v>
      </c>
      <c r="DS254">
        <v>-6.5760000000000005</v>
      </c>
      <c r="DT254">
        <v>15</v>
      </c>
      <c r="DU254">
        <v>-23.080000000000002</v>
      </c>
      <c r="DV254">
        <v>-0.87999999999999989</v>
      </c>
      <c r="DW254">
        <v>26</v>
      </c>
      <c r="DX254">
        <v>26.5</v>
      </c>
      <c r="DY254">
        <v>28</v>
      </c>
      <c r="DZ254">
        <v>0.74400000000000033</v>
      </c>
      <c r="EA254">
        <v>25</v>
      </c>
      <c r="EB254">
        <v>8.9199999999999982</v>
      </c>
      <c r="EC254">
        <v>0.64</v>
      </c>
      <c r="ED254">
        <v>1</v>
      </c>
      <c r="EE254">
        <v>5</v>
      </c>
      <c r="EF254">
        <v>5</v>
      </c>
      <c r="EG254">
        <v>3.4279999999999999</v>
      </c>
      <c r="EH254">
        <v>5</v>
      </c>
      <c r="EI254">
        <v>20.439999999999998</v>
      </c>
      <c r="EJ254">
        <v>1.1599999999999999</v>
      </c>
      <c r="EK254">
        <v>27</v>
      </c>
      <c r="EL254">
        <v>27</v>
      </c>
      <c r="EM254">
        <v>29</v>
      </c>
      <c r="EN254">
        <v>2.2200000000000002</v>
      </c>
      <c r="EO254">
        <v>25</v>
      </c>
      <c r="EP254">
        <v>9.7999999999999989</v>
      </c>
      <c r="EQ254">
        <v>0.64000000000000024</v>
      </c>
      <c r="ER254">
        <v>26</v>
      </c>
      <c r="ES254">
        <v>25.5</v>
      </c>
      <c r="ET254">
        <v>22</v>
      </c>
      <c r="EU254">
        <v>2.2679999999999998</v>
      </c>
      <c r="EV254">
        <v>29</v>
      </c>
      <c r="EW254">
        <v>-3.3200000000000003</v>
      </c>
      <c r="EX254">
        <v>-1.6800000000000004</v>
      </c>
      <c r="EY254">
        <v>26</v>
      </c>
      <c r="EZ254">
        <v>25</v>
      </c>
      <c r="FA254">
        <v>21</v>
      </c>
      <c r="FB254">
        <v>-2.1199999999999997</v>
      </c>
      <c r="FC254">
        <v>29</v>
      </c>
      <c r="FD254">
        <v>-0.76</v>
      </c>
      <c r="FE254">
        <v>-0.43999999999999967</v>
      </c>
      <c r="FF254">
        <v>20</v>
      </c>
      <c r="FG254">
        <v>16.75</v>
      </c>
      <c r="FH254">
        <v>21</v>
      </c>
      <c r="FI254">
        <v>3.4689955699712102E-2</v>
      </c>
      <c r="FJ254">
        <v>5</v>
      </c>
      <c r="FK254">
        <v>-6.0570354333695673E-3</v>
      </c>
      <c r="FL254">
        <v>32</v>
      </c>
      <c r="FM254">
        <v>-3.8760000000000003</v>
      </c>
      <c r="FN254">
        <v>9</v>
      </c>
      <c r="FO254">
        <v>-1.0799999999999996</v>
      </c>
      <c r="FP254">
        <v>0.96000000000000019</v>
      </c>
      <c r="FQ254">
        <v>-3.8400000000000007</v>
      </c>
      <c r="FR254">
        <v>7.9999999999999932E-2</v>
      </c>
      <c r="FS254">
        <v>-2.72</v>
      </c>
      <c r="FT254">
        <v>1.4000000000000004</v>
      </c>
      <c r="FU254">
        <v>0.60000000000000009</v>
      </c>
      <c r="FV254">
        <v>15.879999999999995</v>
      </c>
      <c r="FW254">
        <v>11.879999999999995</v>
      </c>
      <c r="FX254">
        <v>-4.599999999999997</v>
      </c>
      <c r="FY254">
        <v>4.4799999999999995</v>
      </c>
      <c r="FZ254">
        <v>4.1199999999999992</v>
      </c>
      <c r="GA254">
        <v>8</v>
      </c>
      <c r="GB254">
        <v>3.6047999999999996</v>
      </c>
      <c r="GC254">
        <v>0.70599999999999985</v>
      </c>
      <c r="GD254">
        <v>16.479999999999993</v>
      </c>
      <c r="GE254">
        <v>-3.6048</v>
      </c>
      <c r="GF254">
        <v>0.15839999999999999</v>
      </c>
      <c r="GG254">
        <v>-2.4039999999999999</v>
      </c>
      <c r="GH254">
        <v>6.279999999999994</v>
      </c>
      <c r="GI254">
        <v>-4.0799999999999947E-2</v>
      </c>
      <c r="GJ254">
        <v>-3.1199999999999992</v>
      </c>
      <c r="GK254">
        <v>-0.76000000000000034</v>
      </c>
      <c r="GL254">
        <v>0.4</v>
      </c>
    </row>
    <row r="255" spans="1:194" x14ac:dyDescent="0.2">
      <c r="A255" s="39">
        <v>43772</v>
      </c>
      <c r="B255" s="28" t="s">
        <v>246</v>
      </c>
      <c r="C255" s="41" t="s">
        <v>289</v>
      </c>
      <c r="D255" s="28" t="s">
        <v>309</v>
      </c>
      <c r="E255" s="3">
        <v>18.600000000000001</v>
      </c>
      <c r="F255" s="3">
        <v>13</v>
      </c>
      <c r="G255" s="3">
        <v>10.199999999999999</v>
      </c>
      <c r="H255" s="3">
        <f>11.2+3.6+2.1</f>
        <v>16.899999999999999</v>
      </c>
      <c r="I255" s="3">
        <v>1</v>
      </c>
      <c r="J255" s="3">
        <v>39.5</v>
      </c>
      <c r="K255" s="3" t="s">
        <v>110</v>
      </c>
      <c r="L255" s="1" t="s">
        <v>289</v>
      </c>
      <c r="M255">
        <v>18</v>
      </c>
      <c r="N255">
        <v>-0.36960000000000015</v>
      </c>
      <c r="O255">
        <v>11</v>
      </c>
      <c r="P255">
        <v>11.5</v>
      </c>
      <c r="Q255">
        <v>19</v>
      </c>
      <c r="R255">
        <v>-3.1039999999999996</v>
      </c>
      <c r="S255">
        <v>4</v>
      </c>
      <c r="T255">
        <v>12.440000000000001</v>
      </c>
      <c r="U255">
        <v>-2.12</v>
      </c>
      <c r="V255">
        <v>23</v>
      </c>
      <c r="W255">
        <v>20.5</v>
      </c>
      <c r="X255">
        <v>18</v>
      </c>
      <c r="Y255">
        <v>-1.7599999999999998</v>
      </c>
      <c r="Z255">
        <v>23</v>
      </c>
      <c r="AA255">
        <v>-9.9199999999999982</v>
      </c>
      <c r="AB255">
        <v>0.1999999999999999</v>
      </c>
      <c r="AC255">
        <v>18</v>
      </c>
      <c r="AD255">
        <v>18</v>
      </c>
      <c r="AE255">
        <v>21</v>
      </c>
      <c r="AF255">
        <v>-1.2919999999999996</v>
      </c>
      <c r="AG255">
        <v>15</v>
      </c>
      <c r="AH255">
        <v>-0.28000000000000258</v>
      </c>
      <c r="AI255">
        <v>4.0000000000000216E-2</v>
      </c>
      <c r="AJ255">
        <v>18</v>
      </c>
      <c r="AK255">
        <v>18.5</v>
      </c>
      <c r="AL255">
        <v>14</v>
      </c>
      <c r="AM255">
        <v>1.2560000000000007</v>
      </c>
      <c r="AN255">
        <v>23</v>
      </c>
      <c r="AO255">
        <v>-8.0400000000000009</v>
      </c>
      <c r="AP255">
        <v>-1.8</v>
      </c>
      <c r="AQ255">
        <v>22</v>
      </c>
      <c r="AR255">
        <v>22</v>
      </c>
      <c r="AS255">
        <v>22</v>
      </c>
      <c r="AT255">
        <v>-0.64400000000000013</v>
      </c>
      <c r="AU255">
        <v>22</v>
      </c>
      <c r="AV255">
        <v>-10</v>
      </c>
      <c r="AW255">
        <v>0</v>
      </c>
      <c r="AX255">
        <v>12</v>
      </c>
      <c r="AY255">
        <v>12</v>
      </c>
      <c r="AZ255">
        <v>14</v>
      </c>
      <c r="BA255">
        <v>1.3279999999999998</v>
      </c>
      <c r="BB255">
        <v>10</v>
      </c>
      <c r="BC255">
        <v>1.2800000000000011</v>
      </c>
      <c r="BD255">
        <v>-0.80000000000000038</v>
      </c>
      <c r="BE255">
        <v>7</v>
      </c>
      <c r="BF255">
        <v>6.5</v>
      </c>
      <c r="BG255">
        <v>8</v>
      </c>
      <c r="BH255">
        <v>4.2439999999999998</v>
      </c>
      <c r="BI255">
        <v>5</v>
      </c>
      <c r="BJ255">
        <v>14.839999999999998</v>
      </c>
      <c r="BK255">
        <v>1</v>
      </c>
      <c r="BL255">
        <v>19</v>
      </c>
      <c r="BM255">
        <v>19.5</v>
      </c>
      <c r="BN255">
        <v>24</v>
      </c>
      <c r="BO255">
        <v>0.67999999999999994</v>
      </c>
      <c r="BP255">
        <v>15</v>
      </c>
      <c r="BQ255">
        <v>0.55999999999999994</v>
      </c>
      <c r="BR255">
        <v>1.8800000000000003</v>
      </c>
      <c r="BS255">
        <v>3</v>
      </c>
      <c r="BT255">
        <v>7.75</v>
      </c>
      <c r="BU255">
        <v>4</v>
      </c>
      <c r="BV255">
        <v>8.230597285490307E-2</v>
      </c>
      <c r="BW255">
        <v>8</v>
      </c>
      <c r="BX255">
        <v>-1.688074856093446E-2</v>
      </c>
      <c r="BY255">
        <v>13</v>
      </c>
      <c r="BZ255">
        <v>3.9639999999999986</v>
      </c>
      <c r="CA255">
        <v>6</v>
      </c>
      <c r="CB255">
        <v>-0.72000000000000008</v>
      </c>
      <c r="CC255">
        <v>2.680000000000001</v>
      </c>
      <c r="CD255">
        <v>0.4</v>
      </c>
      <c r="CE255">
        <v>8.0000000000000071E-2</v>
      </c>
      <c r="CF255">
        <v>-3.6799999999999953</v>
      </c>
      <c r="CG255">
        <v>-21.439999999999998</v>
      </c>
      <c r="CH255">
        <v>9.9999999999999964</v>
      </c>
      <c r="CI255">
        <v>5.5600000000000005</v>
      </c>
      <c r="CJ255">
        <v>2.2000000000000002</v>
      </c>
      <c r="CK255">
        <v>9</v>
      </c>
      <c r="CL255">
        <v>4.4943999999999988</v>
      </c>
      <c r="CM255">
        <v>3.0708799999999998</v>
      </c>
      <c r="CN255">
        <v>-31.439999999999994</v>
      </c>
      <c r="CO255">
        <v>-4.4943999999999988</v>
      </c>
      <c r="CP255">
        <v>-0.12369999999999989</v>
      </c>
      <c r="CQ255">
        <v>-0.67999999999999905</v>
      </c>
      <c r="CR255">
        <v>-18.320000000000004</v>
      </c>
      <c r="CS255">
        <v>-4.863999999999999</v>
      </c>
      <c r="CT255">
        <v>2.5200000000000031</v>
      </c>
      <c r="CU255">
        <v>-0.75999999999999979</v>
      </c>
      <c r="CV255">
        <v>-1.9200000000000002</v>
      </c>
      <c r="CW255">
        <v>-1.1319416666666666</v>
      </c>
      <c r="CX255">
        <v>-0.97729999999999984</v>
      </c>
      <c r="CY255" t="s">
        <v>309</v>
      </c>
      <c r="CZ255">
        <v>31</v>
      </c>
      <c r="DA255">
        <v>-3.9739999999999993</v>
      </c>
      <c r="DB255">
        <v>22</v>
      </c>
      <c r="DC255">
        <v>21.5</v>
      </c>
      <c r="DD255">
        <v>32</v>
      </c>
      <c r="DE255">
        <v>-2.6239999999999997</v>
      </c>
      <c r="DF255">
        <v>11</v>
      </c>
      <c r="DG255">
        <v>-0.71999999999999886</v>
      </c>
      <c r="DH255">
        <v>-0.23999999999999994</v>
      </c>
      <c r="DI255">
        <v>16</v>
      </c>
      <c r="DJ255">
        <v>16.5</v>
      </c>
      <c r="DK255">
        <v>12</v>
      </c>
      <c r="DL255">
        <v>-2.4079999999999995</v>
      </c>
      <c r="DM255">
        <v>21</v>
      </c>
      <c r="DN255">
        <v>-8.2000000000000011</v>
      </c>
      <c r="DO255">
        <v>0.12000000000000011</v>
      </c>
      <c r="DP255">
        <v>26</v>
      </c>
      <c r="DQ255">
        <v>29.5</v>
      </c>
      <c r="DR255">
        <v>28</v>
      </c>
      <c r="DS255">
        <v>-0.99199999999999977</v>
      </c>
      <c r="DT255">
        <v>31</v>
      </c>
      <c r="DU255">
        <v>-8.3333333333333339</v>
      </c>
      <c r="DV255">
        <v>-1.5066666666666666</v>
      </c>
      <c r="DW255">
        <v>29</v>
      </c>
      <c r="DX255">
        <v>29.5</v>
      </c>
      <c r="DY255">
        <v>31</v>
      </c>
      <c r="DZ255">
        <v>-1.0600000000000009</v>
      </c>
      <c r="EA255">
        <v>28</v>
      </c>
      <c r="EB255">
        <v>1.2933333333333337</v>
      </c>
      <c r="EC255">
        <v>0.6399999999999999</v>
      </c>
      <c r="ED255">
        <v>5</v>
      </c>
      <c r="EE255">
        <v>25</v>
      </c>
      <c r="EF255">
        <v>27</v>
      </c>
      <c r="EG255">
        <v>5.3333333333331016E-3</v>
      </c>
      <c r="EH255">
        <v>23</v>
      </c>
      <c r="EI255">
        <v>-3.1599999999999993</v>
      </c>
      <c r="EJ255">
        <v>-0.61333333333333351</v>
      </c>
      <c r="EK255">
        <v>27</v>
      </c>
      <c r="EL255">
        <v>27</v>
      </c>
      <c r="EM255">
        <v>30</v>
      </c>
      <c r="EN255">
        <v>3.871999999999999</v>
      </c>
      <c r="EO255">
        <v>24</v>
      </c>
      <c r="EP255">
        <v>-2.4799999999999982</v>
      </c>
      <c r="EQ255">
        <v>1.7600000000000002</v>
      </c>
      <c r="ER255">
        <v>24</v>
      </c>
      <c r="ES255">
        <v>24</v>
      </c>
      <c r="ET255">
        <v>24</v>
      </c>
      <c r="EU255">
        <v>2.2399999999999993</v>
      </c>
      <c r="EV255">
        <v>24</v>
      </c>
      <c r="EW255">
        <v>-3.2</v>
      </c>
      <c r="EX255">
        <v>0.36</v>
      </c>
      <c r="EY255">
        <v>30</v>
      </c>
      <c r="EZ255">
        <v>27.5</v>
      </c>
      <c r="FA255">
        <v>31</v>
      </c>
      <c r="FB255">
        <v>-1.4800000000000002</v>
      </c>
      <c r="FC255">
        <v>24</v>
      </c>
      <c r="FD255">
        <v>-0.15999999999999992</v>
      </c>
      <c r="FE255">
        <v>-1.44</v>
      </c>
      <c r="FF255">
        <v>1</v>
      </c>
      <c r="FG255">
        <v>5.25</v>
      </c>
      <c r="FH255">
        <v>2</v>
      </c>
      <c r="FI255">
        <v>8.9486215052522758E-2</v>
      </c>
      <c r="FJ255">
        <v>1</v>
      </c>
      <c r="FK255">
        <v>4.8317468704985933E-2</v>
      </c>
      <c r="FL255">
        <v>16</v>
      </c>
      <c r="FM255">
        <v>-3.1200000000000032</v>
      </c>
      <c r="FN255">
        <v>2</v>
      </c>
      <c r="FO255">
        <v>6.6800000000000015</v>
      </c>
      <c r="FP255">
        <v>-0.35999999999999943</v>
      </c>
      <c r="FQ255">
        <v>-1.7600000000000002</v>
      </c>
      <c r="FR255">
        <v>-0.12000000000000011</v>
      </c>
      <c r="FS255">
        <v>-3.9999999999999147E-2</v>
      </c>
      <c r="FT255">
        <v>-2.2400000000000002</v>
      </c>
      <c r="FU255">
        <v>-1.2399999999999998</v>
      </c>
      <c r="FV255">
        <v>-36.000000000000014</v>
      </c>
      <c r="FW255">
        <v>-23.360000000000003</v>
      </c>
      <c r="FX255">
        <v>-11.520000000000001</v>
      </c>
      <c r="FY255">
        <v>3.12</v>
      </c>
      <c r="FZ255">
        <v>-4.24</v>
      </c>
      <c r="GA255">
        <v>16</v>
      </c>
      <c r="GB255">
        <v>1.0579999999999998</v>
      </c>
      <c r="GC255">
        <v>1.759866666666666</v>
      </c>
      <c r="GD255">
        <v>-11.840000000000002</v>
      </c>
      <c r="GE255">
        <v>-1.0579999999999998</v>
      </c>
      <c r="GF255">
        <v>-1.2865833333333332</v>
      </c>
      <c r="GG255">
        <v>-2.0466666666666673</v>
      </c>
      <c r="GH255">
        <v>-10.199999999999999</v>
      </c>
      <c r="GI255">
        <v>-5.0319999999999991</v>
      </c>
      <c r="GJ255">
        <v>-8.92</v>
      </c>
      <c r="GK255">
        <v>-1.1200000000000001</v>
      </c>
      <c r="GL255">
        <v>-0.11999999999999983</v>
      </c>
    </row>
    <row r="256" spans="1:194" x14ac:dyDescent="0.2">
      <c r="A256" s="39">
        <v>43772</v>
      </c>
      <c r="B256" s="22" t="s">
        <v>246</v>
      </c>
      <c r="C256" s="41" t="s">
        <v>297</v>
      </c>
      <c r="D256" s="22" t="s">
        <v>311</v>
      </c>
      <c r="E256">
        <v>7.2</v>
      </c>
      <c r="F256">
        <v>5.2</v>
      </c>
      <c r="G256">
        <v>13</v>
      </c>
      <c r="H256">
        <v>9.5</v>
      </c>
      <c r="I256">
        <v>-1</v>
      </c>
      <c r="J256">
        <v>46</v>
      </c>
      <c r="K256" t="s">
        <v>109</v>
      </c>
      <c r="L256" s="4" t="s">
        <v>297</v>
      </c>
      <c r="M256" s="3">
        <v>13</v>
      </c>
      <c r="N256" s="3">
        <v>1.6976000000000013</v>
      </c>
      <c r="O256" s="3">
        <v>10</v>
      </c>
      <c r="P256" s="3">
        <v>9.5</v>
      </c>
      <c r="Q256" s="3">
        <v>3</v>
      </c>
      <c r="R256" s="3">
        <v>5.5540000000000003</v>
      </c>
      <c r="S256" s="3">
        <v>16</v>
      </c>
      <c r="T256" s="3">
        <v>58.279999999999994</v>
      </c>
      <c r="U256" s="3">
        <v>0.9</v>
      </c>
      <c r="V256" s="3">
        <v>28</v>
      </c>
      <c r="W256" s="3">
        <v>28.5</v>
      </c>
      <c r="X256" s="3">
        <v>26</v>
      </c>
      <c r="Y256" s="3">
        <v>-4.3425999999999991</v>
      </c>
      <c r="Z256" s="3">
        <v>31</v>
      </c>
      <c r="AA256">
        <v>-9.2700000000000014</v>
      </c>
      <c r="AB256">
        <v>-2.4899999999999998</v>
      </c>
      <c r="AC256">
        <v>31</v>
      </c>
      <c r="AD256">
        <v>31.5</v>
      </c>
      <c r="AE256">
        <v>32</v>
      </c>
      <c r="AF256">
        <v>3.0359999999999996</v>
      </c>
      <c r="AG256">
        <v>31</v>
      </c>
      <c r="AH256">
        <v>21.32</v>
      </c>
      <c r="AI256">
        <v>1.8000000000000003</v>
      </c>
      <c r="AJ256">
        <v>7</v>
      </c>
      <c r="AK256">
        <v>8</v>
      </c>
      <c r="AL256">
        <v>4</v>
      </c>
      <c r="AM256">
        <v>4.9959999999999996</v>
      </c>
      <c r="AN256">
        <v>12</v>
      </c>
      <c r="AO256">
        <v>25.000000000000004</v>
      </c>
      <c r="AP256">
        <v>1.2399999999999998</v>
      </c>
      <c r="AQ256">
        <v>3</v>
      </c>
      <c r="AR256">
        <v>3</v>
      </c>
      <c r="AS256">
        <v>3</v>
      </c>
      <c r="AT256">
        <v>0.64400000000000013</v>
      </c>
      <c r="AU256">
        <v>3</v>
      </c>
      <c r="AV256">
        <v>0.48000000000000043</v>
      </c>
      <c r="AW256">
        <v>0.44000000000000011</v>
      </c>
      <c r="AX256">
        <v>13</v>
      </c>
      <c r="AY256">
        <v>12.5</v>
      </c>
      <c r="AZ256">
        <v>10</v>
      </c>
      <c r="BA256">
        <v>1.8520000000000003</v>
      </c>
      <c r="BB256">
        <v>15</v>
      </c>
      <c r="BC256">
        <v>4.9200000000000017</v>
      </c>
      <c r="BD256">
        <v>-1.3199999999999998</v>
      </c>
      <c r="BE256">
        <v>32</v>
      </c>
      <c r="BF256">
        <v>31</v>
      </c>
      <c r="BG256">
        <v>32</v>
      </c>
      <c r="BH256">
        <v>-3.7359999999999998</v>
      </c>
      <c r="BI256">
        <v>30</v>
      </c>
      <c r="BJ256">
        <v>-24.160000000000004</v>
      </c>
      <c r="BK256">
        <v>-1.56</v>
      </c>
      <c r="BL256">
        <v>27</v>
      </c>
      <c r="BM256">
        <v>27</v>
      </c>
      <c r="BN256">
        <v>27</v>
      </c>
      <c r="BO256">
        <v>2.4</v>
      </c>
      <c r="BP256">
        <v>27</v>
      </c>
      <c r="BQ256">
        <v>0.72</v>
      </c>
      <c r="BR256">
        <v>-1.0799999999999996</v>
      </c>
      <c r="BS256">
        <v>7</v>
      </c>
      <c r="BT256">
        <v>11.25</v>
      </c>
      <c r="BU256">
        <v>7</v>
      </c>
      <c r="BV256">
        <v>5.2463964242660165E-2</v>
      </c>
      <c r="BW256">
        <v>17</v>
      </c>
      <c r="BX256">
        <v>2.3827813112807295E-3</v>
      </c>
      <c r="BY256">
        <v>18</v>
      </c>
      <c r="BZ256">
        <v>-13.884</v>
      </c>
      <c r="CA256">
        <v>3</v>
      </c>
      <c r="CB256">
        <v>-0.43999999999999967</v>
      </c>
      <c r="CC256">
        <v>6.2799999999999985</v>
      </c>
      <c r="CD256">
        <v>0.63999999999999946</v>
      </c>
      <c r="CE256">
        <v>-0.44000000000000006</v>
      </c>
      <c r="CF256">
        <v>59.919999999999995</v>
      </c>
      <c r="CG256">
        <v>10.640000000000009</v>
      </c>
      <c r="CH256">
        <v>44.239999999999995</v>
      </c>
      <c r="CI256">
        <v>0.95999999999999963</v>
      </c>
      <c r="CJ256">
        <v>4.08</v>
      </c>
      <c r="CK256">
        <v>15</v>
      </c>
      <c r="CL256">
        <v>0.48620000000000019</v>
      </c>
      <c r="CM256">
        <v>0.72181999999999968</v>
      </c>
      <c r="CN256">
        <v>-33.599999999999987</v>
      </c>
      <c r="CO256">
        <v>-0.48620000000000019</v>
      </c>
      <c r="CP256">
        <v>1.2811250000000003</v>
      </c>
      <c r="CQ256">
        <v>8.6760000000000002</v>
      </c>
      <c r="CR256">
        <v>46.800000000000011</v>
      </c>
      <c r="CS256">
        <v>1.2114000000000011</v>
      </c>
      <c r="CT256">
        <v>49.009999999999991</v>
      </c>
      <c r="CU256">
        <v>1.92</v>
      </c>
      <c r="CV256">
        <v>-1.5899999999999999</v>
      </c>
      <c r="CW256">
        <v>0.33815000000000017</v>
      </c>
      <c r="CX256">
        <v>0.15839999999999999</v>
      </c>
      <c r="CY256" t="s">
        <v>311</v>
      </c>
      <c r="CZ256">
        <v>6</v>
      </c>
      <c r="DA256">
        <v>4.975200000000001</v>
      </c>
      <c r="DB256">
        <v>27</v>
      </c>
      <c r="DC256">
        <v>24</v>
      </c>
      <c r="DD256">
        <v>18</v>
      </c>
      <c r="DE256">
        <v>-3.0120000000000005</v>
      </c>
      <c r="DF256">
        <v>30</v>
      </c>
      <c r="DG256">
        <v>-26.119999999999997</v>
      </c>
      <c r="DH256">
        <v>0.4</v>
      </c>
      <c r="DI256">
        <v>1</v>
      </c>
      <c r="DJ256">
        <v>1</v>
      </c>
      <c r="DK256">
        <v>1</v>
      </c>
      <c r="DL256">
        <v>-1.4440000000000002</v>
      </c>
      <c r="DM256">
        <v>1</v>
      </c>
      <c r="DN256">
        <v>-1.0000000000000004</v>
      </c>
      <c r="DO256">
        <v>0.16000000000000006</v>
      </c>
      <c r="DP256">
        <v>15</v>
      </c>
      <c r="DQ256">
        <v>11.5</v>
      </c>
      <c r="DR256">
        <v>11</v>
      </c>
      <c r="DS256">
        <v>1.4039999999999999</v>
      </c>
      <c r="DT256">
        <v>12</v>
      </c>
      <c r="DU256">
        <v>-3.2000000000000042</v>
      </c>
      <c r="DV256">
        <v>0.31999999999999973</v>
      </c>
      <c r="DW256">
        <v>23</v>
      </c>
      <c r="DX256">
        <v>23</v>
      </c>
      <c r="DY256">
        <v>25</v>
      </c>
      <c r="DZ256">
        <v>5.8280000000000012</v>
      </c>
      <c r="EA256">
        <v>21</v>
      </c>
      <c r="EB256">
        <v>27</v>
      </c>
      <c r="EC256">
        <v>0.47999999999999987</v>
      </c>
      <c r="ED256">
        <v>10</v>
      </c>
      <c r="EE256">
        <v>8.5</v>
      </c>
      <c r="EF256">
        <v>8</v>
      </c>
      <c r="EG256">
        <v>1.3960000000000006</v>
      </c>
      <c r="EH256">
        <v>9</v>
      </c>
      <c r="EI256">
        <v>8.2399999999999984</v>
      </c>
      <c r="EJ256">
        <v>-0.44000000000000022</v>
      </c>
      <c r="EK256">
        <v>15</v>
      </c>
      <c r="EL256">
        <v>15.5</v>
      </c>
      <c r="EM256">
        <v>18</v>
      </c>
      <c r="EN256">
        <v>1.156000000000001</v>
      </c>
      <c r="EO256">
        <v>13</v>
      </c>
      <c r="EP256">
        <v>10.36</v>
      </c>
      <c r="EQ256">
        <v>3.5527136788005011E-16</v>
      </c>
      <c r="ER256">
        <v>14</v>
      </c>
      <c r="ES256">
        <v>14</v>
      </c>
      <c r="ET256">
        <v>14</v>
      </c>
      <c r="EU256">
        <v>-4.6039999999999992</v>
      </c>
      <c r="EV256">
        <v>14</v>
      </c>
      <c r="EW256">
        <v>-22.159999999999997</v>
      </c>
      <c r="EX256">
        <v>-0.16000000000000014</v>
      </c>
      <c r="EY256">
        <v>22</v>
      </c>
      <c r="EZ256">
        <v>21.5</v>
      </c>
      <c r="FA256">
        <v>19</v>
      </c>
      <c r="FB256">
        <v>-0.3999999999999998</v>
      </c>
      <c r="FC256">
        <v>24</v>
      </c>
      <c r="FD256">
        <v>-0.7599999999999999</v>
      </c>
      <c r="FE256">
        <v>-0.92000000000000015</v>
      </c>
      <c r="FF256">
        <v>27</v>
      </c>
      <c r="FG256">
        <v>22.75</v>
      </c>
      <c r="FH256">
        <v>31</v>
      </c>
      <c r="FI256">
        <v>3.9547142809869262E-3</v>
      </c>
      <c r="FJ256">
        <v>30</v>
      </c>
      <c r="FK256">
        <v>-1.8775390776615147E-2</v>
      </c>
      <c r="FL256">
        <v>2</v>
      </c>
      <c r="FM256">
        <v>-1.3640000000000043</v>
      </c>
      <c r="FN256">
        <v>28</v>
      </c>
      <c r="FO256">
        <v>-1.3999999999999997</v>
      </c>
      <c r="FP256">
        <v>1.3200000000000003</v>
      </c>
      <c r="FQ256">
        <v>-3.28</v>
      </c>
      <c r="FR256">
        <v>-0.52000000000000013</v>
      </c>
      <c r="FS256">
        <v>-3.6</v>
      </c>
      <c r="FT256">
        <v>1.9200000000000004</v>
      </c>
      <c r="FU256">
        <v>-0.96</v>
      </c>
      <c r="FV256">
        <v>-16.720000000000006</v>
      </c>
      <c r="FW256">
        <v>22.880000000000006</v>
      </c>
      <c r="FX256">
        <v>-27.32</v>
      </c>
      <c r="FY256">
        <v>-6.8800000000000008</v>
      </c>
      <c r="FZ256">
        <v>-5.4</v>
      </c>
      <c r="GA256">
        <v>2</v>
      </c>
      <c r="GB256">
        <v>9.4312000000000022</v>
      </c>
      <c r="GC256">
        <v>4.0278400000000012</v>
      </c>
      <c r="GD256">
        <v>50.2</v>
      </c>
      <c r="GE256">
        <v>-9.4312000000000005</v>
      </c>
      <c r="GF256">
        <v>0.51790000000000036</v>
      </c>
      <c r="GG256">
        <v>8.6280000000000019</v>
      </c>
      <c r="GH256">
        <v>32.039999999999992</v>
      </c>
      <c r="GI256">
        <v>-4.4560000000000004</v>
      </c>
      <c r="GJ256">
        <v>-27.119999999999997</v>
      </c>
      <c r="GK256">
        <v>0.19999999999999923</v>
      </c>
      <c r="GL256">
        <v>0.56000000000000005</v>
      </c>
    </row>
    <row r="257" spans="1:194" x14ac:dyDescent="0.2">
      <c r="A257" s="39">
        <v>43772</v>
      </c>
      <c r="B257" s="28" t="s">
        <v>246</v>
      </c>
      <c r="C257" s="41" t="s">
        <v>288</v>
      </c>
      <c r="D257" s="28" t="s">
        <v>312</v>
      </c>
      <c r="E257" s="3">
        <v>29.5</v>
      </c>
      <c r="F257" s="3">
        <v>13.3</v>
      </c>
      <c r="G257" s="3">
        <v>1.5</v>
      </c>
      <c r="H257" s="3">
        <v>14.4</v>
      </c>
      <c r="I257" s="3">
        <v>5.5</v>
      </c>
      <c r="J257" s="3">
        <v>46</v>
      </c>
      <c r="K257" s="3"/>
      <c r="L257" s="1" t="s">
        <v>288</v>
      </c>
      <c r="M257">
        <v>16</v>
      </c>
      <c r="N257">
        <v>0.60000000000000175</v>
      </c>
      <c r="O257">
        <v>32</v>
      </c>
      <c r="P257">
        <v>30</v>
      </c>
      <c r="Q257">
        <v>28</v>
      </c>
      <c r="R257">
        <v>-6.5919999999999987</v>
      </c>
      <c r="S257">
        <v>32</v>
      </c>
      <c r="T257">
        <v>-27.04</v>
      </c>
      <c r="U257">
        <v>-1.2</v>
      </c>
      <c r="V257">
        <v>17</v>
      </c>
      <c r="W257">
        <v>16.5</v>
      </c>
      <c r="X257">
        <v>19</v>
      </c>
      <c r="Y257">
        <v>0.61600000000000033</v>
      </c>
      <c r="Z257">
        <v>14</v>
      </c>
      <c r="AA257">
        <v>-5.9700000000000006</v>
      </c>
      <c r="AB257">
        <v>0.05</v>
      </c>
      <c r="AC257">
        <v>8</v>
      </c>
      <c r="AD257">
        <v>7</v>
      </c>
      <c r="AE257">
        <v>6</v>
      </c>
      <c r="AF257">
        <v>2.4239999999999995</v>
      </c>
      <c r="AG257">
        <v>8</v>
      </c>
      <c r="AH257">
        <v>4.0699999999999985</v>
      </c>
      <c r="AI257">
        <v>7.0000000000000104E-2</v>
      </c>
      <c r="AJ257">
        <v>26</v>
      </c>
      <c r="AK257">
        <v>26.5</v>
      </c>
      <c r="AL257">
        <v>27</v>
      </c>
      <c r="AM257">
        <v>-3.8289999999999993</v>
      </c>
      <c r="AN257">
        <v>26</v>
      </c>
      <c r="AO257">
        <v>-17.75</v>
      </c>
      <c r="AP257">
        <v>-3.0000000000000072E-2</v>
      </c>
      <c r="AQ257">
        <v>9</v>
      </c>
      <c r="AR257">
        <v>9.5</v>
      </c>
      <c r="AS257">
        <v>11</v>
      </c>
      <c r="AT257">
        <v>1.3279999999999998</v>
      </c>
      <c r="AU257">
        <v>8</v>
      </c>
      <c r="AV257">
        <v>11.559999999999999</v>
      </c>
      <c r="AW257">
        <v>1.1199999999999999</v>
      </c>
      <c r="AX257">
        <v>2</v>
      </c>
      <c r="AY257">
        <v>3.5</v>
      </c>
      <c r="AZ257">
        <v>4</v>
      </c>
      <c r="BA257">
        <v>3.9</v>
      </c>
      <c r="BB257">
        <v>3</v>
      </c>
      <c r="BC257">
        <v>19.399999999999999</v>
      </c>
      <c r="BD257">
        <v>1.8399999999999994</v>
      </c>
      <c r="BE257">
        <v>3</v>
      </c>
      <c r="BF257">
        <v>3.5</v>
      </c>
      <c r="BG257">
        <v>4</v>
      </c>
      <c r="BH257">
        <v>-1.1399999999999999</v>
      </c>
      <c r="BI257">
        <v>3</v>
      </c>
      <c r="BJ257">
        <v>11.68</v>
      </c>
      <c r="BK257">
        <v>0.64000000000000024</v>
      </c>
      <c r="BL257">
        <v>15</v>
      </c>
      <c r="BM257">
        <v>14.5</v>
      </c>
      <c r="BN257">
        <v>12</v>
      </c>
      <c r="BO257">
        <v>-8.0000000000000432E-2</v>
      </c>
      <c r="BP257">
        <v>17</v>
      </c>
      <c r="BQ257">
        <v>0.28000000000000003</v>
      </c>
      <c r="BR257">
        <v>3.08</v>
      </c>
      <c r="BS257">
        <v>29</v>
      </c>
      <c r="BT257">
        <v>25</v>
      </c>
      <c r="BU257">
        <v>26</v>
      </c>
      <c r="BV257">
        <v>-4.3275666234810696E-2</v>
      </c>
      <c r="BW257">
        <v>23</v>
      </c>
      <c r="BX257">
        <v>-1.4420400380535653E-2</v>
      </c>
      <c r="BY257">
        <v>25</v>
      </c>
      <c r="BZ257">
        <v>-5.7760000000000016</v>
      </c>
      <c r="CA257">
        <v>26</v>
      </c>
      <c r="CB257">
        <v>-0.95999999999999963</v>
      </c>
      <c r="CC257">
        <v>-5.4799999999999995</v>
      </c>
      <c r="CD257">
        <v>-0.32000000000000028</v>
      </c>
      <c r="CE257">
        <v>1.3199999999999998</v>
      </c>
      <c r="CF257">
        <v>-27.559999999999992</v>
      </c>
      <c r="CG257">
        <v>6.4000000000000057</v>
      </c>
      <c r="CH257">
        <v>-33.92</v>
      </c>
      <c r="CI257">
        <v>-5.08</v>
      </c>
      <c r="CJ257">
        <v>5.0400000000000009</v>
      </c>
      <c r="CK257">
        <v>7</v>
      </c>
      <c r="CL257">
        <v>6.5759999999999996</v>
      </c>
      <c r="CM257">
        <v>2.8645999999999994</v>
      </c>
      <c r="CN257">
        <v>40.320000000000007</v>
      </c>
      <c r="CO257">
        <v>-6.5759999999999996</v>
      </c>
      <c r="CP257">
        <v>-0.83412499999999967</v>
      </c>
      <c r="CQ257">
        <v>-7.6999999999999957E-2</v>
      </c>
      <c r="CR257">
        <v>-2.1200000000000028</v>
      </c>
      <c r="CS257">
        <v>-5.9759999999999982</v>
      </c>
      <c r="CT257">
        <v>-33.01</v>
      </c>
      <c r="CU257">
        <v>1.8000000000000003</v>
      </c>
      <c r="CV257">
        <v>-1.1499999999999999</v>
      </c>
      <c r="CW257">
        <v>3.4750000000000336E-2</v>
      </c>
      <c r="CX257">
        <v>-0.71259999999999957</v>
      </c>
      <c r="CY257" t="s">
        <v>312</v>
      </c>
      <c r="CZ257">
        <v>7</v>
      </c>
      <c r="DA257">
        <v>1.8528000000000007</v>
      </c>
      <c r="DB257">
        <v>22</v>
      </c>
      <c r="DC257">
        <v>21.5</v>
      </c>
      <c r="DD257">
        <v>22</v>
      </c>
      <c r="DE257">
        <v>-4.5399999999999991</v>
      </c>
      <c r="DF257">
        <v>21</v>
      </c>
      <c r="DG257">
        <v>-5.6</v>
      </c>
      <c r="DH257">
        <v>0.20000000000000009</v>
      </c>
      <c r="DI257">
        <v>8</v>
      </c>
      <c r="DJ257">
        <v>11</v>
      </c>
      <c r="DK257">
        <v>9</v>
      </c>
      <c r="DL257">
        <v>1.0560000000000005</v>
      </c>
      <c r="DM257">
        <v>13</v>
      </c>
      <c r="DN257">
        <v>-5.4800000000000013</v>
      </c>
      <c r="DO257">
        <v>-0.36000000000000004</v>
      </c>
      <c r="DP257">
        <v>6</v>
      </c>
      <c r="DQ257">
        <v>14.5</v>
      </c>
      <c r="DR257">
        <v>15</v>
      </c>
      <c r="DS257">
        <v>-3.5560000000000009</v>
      </c>
      <c r="DT257">
        <v>14</v>
      </c>
      <c r="DU257">
        <v>-14.120000000000001</v>
      </c>
      <c r="DV257">
        <v>-0.48000000000000009</v>
      </c>
      <c r="DW257">
        <v>4</v>
      </c>
      <c r="DX257">
        <v>5</v>
      </c>
      <c r="DY257">
        <v>3</v>
      </c>
      <c r="DZ257">
        <v>5.0559999999999992</v>
      </c>
      <c r="EA257">
        <v>7</v>
      </c>
      <c r="EB257">
        <v>6</v>
      </c>
      <c r="EC257">
        <v>1.8400000000000003</v>
      </c>
      <c r="ED257">
        <v>3</v>
      </c>
      <c r="EE257">
        <v>1</v>
      </c>
      <c r="EF257">
        <v>1</v>
      </c>
      <c r="EG257">
        <v>4.2640000000000002</v>
      </c>
      <c r="EH257">
        <v>1</v>
      </c>
      <c r="EI257">
        <v>16.639999999999997</v>
      </c>
      <c r="EJ257">
        <v>2.12</v>
      </c>
      <c r="EK257">
        <v>13</v>
      </c>
      <c r="EL257">
        <v>12.5</v>
      </c>
      <c r="EM257">
        <v>13</v>
      </c>
      <c r="EN257">
        <v>-4.2519999999999989</v>
      </c>
      <c r="EO257">
        <v>12</v>
      </c>
      <c r="EP257">
        <v>-20.12</v>
      </c>
      <c r="EQ257">
        <v>-0.47999999999999987</v>
      </c>
      <c r="ER257">
        <v>18</v>
      </c>
      <c r="ES257">
        <v>16</v>
      </c>
      <c r="ET257">
        <v>20</v>
      </c>
      <c r="EU257">
        <v>0.12400000000000108</v>
      </c>
      <c r="EV257">
        <v>12</v>
      </c>
      <c r="EW257">
        <v>5.9599999999999982</v>
      </c>
      <c r="EX257">
        <v>2.4000000000000004</v>
      </c>
      <c r="EY257">
        <v>11</v>
      </c>
      <c r="EZ257">
        <v>12</v>
      </c>
      <c r="FA257">
        <v>11</v>
      </c>
      <c r="FB257">
        <v>2</v>
      </c>
      <c r="FC257">
        <v>13</v>
      </c>
      <c r="FD257">
        <v>0.55999999999999994</v>
      </c>
      <c r="FE257">
        <v>-3.2</v>
      </c>
      <c r="FF257">
        <v>7</v>
      </c>
      <c r="FG257">
        <v>12.25</v>
      </c>
      <c r="FH257">
        <v>19</v>
      </c>
      <c r="FI257">
        <v>1.6317244017244749E-2</v>
      </c>
      <c r="FJ257">
        <v>13</v>
      </c>
      <c r="FK257">
        <v>-6.6993142915921424E-3</v>
      </c>
      <c r="FL257">
        <v>1</v>
      </c>
      <c r="FM257">
        <v>-13.960000000000003</v>
      </c>
      <c r="FN257">
        <v>16</v>
      </c>
      <c r="FO257">
        <v>-1.9199999999999995</v>
      </c>
      <c r="FP257">
        <v>3.7199999999999998</v>
      </c>
      <c r="FQ257">
        <v>-1.8799999999999997</v>
      </c>
      <c r="FR257">
        <v>-0.88000000000000012</v>
      </c>
      <c r="FS257">
        <v>1.2</v>
      </c>
      <c r="FT257">
        <v>-0.47999999999999987</v>
      </c>
      <c r="FU257">
        <v>-1.9599999999999997</v>
      </c>
      <c r="FV257">
        <v>3.5600000000000023</v>
      </c>
      <c r="FW257">
        <v>22.999999999999993</v>
      </c>
      <c r="FX257">
        <v>-11.2</v>
      </c>
      <c r="FY257">
        <v>-4.24</v>
      </c>
      <c r="FZ257">
        <v>-3.9999999999999991</v>
      </c>
      <c r="GA257">
        <v>6</v>
      </c>
      <c r="GB257">
        <v>5.3367999999999984</v>
      </c>
      <c r="GC257">
        <v>3.2901599999999993</v>
      </c>
      <c r="GD257">
        <v>34.199999999999989</v>
      </c>
      <c r="GE257">
        <v>-5.3367999999999993</v>
      </c>
      <c r="GF257">
        <v>0.78210000000000024</v>
      </c>
      <c r="GG257">
        <v>5.7639999999999985</v>
      </c>
      <c r="GH257">
        <v>8.519999999999996</v>
      </c>
      <c r="GI257">
        <v>-3.4839999999999987</v>
      </c>
      <c r="GJ257">
        <v>-11.080000000000002</v>
      </c>
      <c r="GK257">
        <v>5.8800000000000008</v>
      </c>
      <c r="GL257">
        <v>-0.15999999999999995</v>
      </c>
    </row>
    <row r="258" spans="1:194" x14ac:dyDescent="0.2">
      <c r="A258" s="39">
        <v>43772</v>
      </c>
      <c r="B258" s="22" t="s">
        <v>246</v>
      </c>
      <c r="C258" s="41" t="s">
        <v>303</v>
      </c>
      <c r="D258" s="22" t="s">
        <v>299</v>
      </c>
      <c r="E258">
        <v>7.8</v>
      </c>
      <c r="F258">
        <v>17.399999999999999</v>
      </c>
      <c r="G258">
        <v>5.4</v>
      </c>
      <c r="H258">
        <f>7.3+7.2+2.7</f>
        <v>17.2</v>
      </c>
      <c r="I258">
        <v>-2.5</v>
      </c>
      <c r="J258">
        <v>51.5</v>
      </c>
      <c r="L258" s="4" t="s">
        <v>303</v>
      </c>
      <c r="M258" s="3">
        <v>22</v>
      </c>
      <c r="N258" s="3">
        <v>-1.8191999999999982</v>
      </c>
      <c r="O258" s="3">
        <v>7</v>
      </c>
      <c r="P258" s="3">
        <v>7.5</v>
      </c>
      <c r="Q258" s="3">
        <v>12</v>
      </c>
      <c r="R258" s="3">
        <v>2.1959999999999997</v>
      </c>
      <c r="S258" s="3">
        <v>3</v>
      </c>
      <c r="T258" s="3">
        <v>37.96</v>
      </c>
      <c r="U258" s="3">
        <v>-1.48</v>
      </c>
      <c r="V258" s="3">
        <v>22</v>
      </c>
      <c r="W258" s="3">
        <v>19.5</v>
      </c>
      <c r="X258" s="3">
        <v>17</v>
      </c>
      <c r="Y258" s="3">
        <v>-7.7000000000000138E-2</v>
      </c>
      <c r="Z258" s="3">
        <v>22</v>
      </c>
      <c r="AA258">
        <v>-7.9800000000000013</v>
      </c>
      <c r="AB258">
        <v>0.79</v>
      </c>
      <c r="AC258">
        <v>30</v>
      </c>
      <c r="AD258">
        <v>30.5</v>
      </c>
      <c r="AE258">
        <v>31</v>
      </c>
      <c r="AF258">
        <v>-5.8639999999999999</v>
      </c>
      <c r="AG258">
        <v>30</v>
      </c>
      <c r="AH258">
        <v>-27.96</v>
      </c>
      <c r="AI258">
        <v>-2.86</v>
      </c>
      <c r="AJ258">
        <v>24</v>
      </c>
      <c r="AK258">
        <v>23</v>
      </c>
      <c r="AL258">
        <v>22</v>
      </c>
      <c r="AM258">
        <v>-2.4729999999999999</v>
      </c>
      <c r="AN258">
        <v>24</v>
      </c>
      <c r="AO258">
        <v>-15.690000000000001</v>
      </c>
      <c r="AP258">
        <v>-1.85</v>
      </c>
      <c r="AQ258">
        <v>25</v>
      </c>
      <c r="AR258">
        <v>25</v>
      </c>
      <c r="AS258">
        <v>25</v>
      </c>
      <c r="AT258">
        <v>0.36200000000000021</v>
      </c>
      <c r="AU258">
        <v>25</v>
      </c>
      <c r="AV258">
        <v>-9.4</v>
      </c>
      <c r="AW258">
        <v>-0.75</v>
      </c>
      <c r="AX258">
        <v>24</v>
      </c>
      <c r="AY258">
        <v>25</v>
      </c>
      <c r="AZ258">
        <v>27</v>
      </c>
      <c r="BA258">
        <v>-1.4840000000000009</v>
      </c>
      <c r="BB258">
        <v>23</v>
      </c>
      <c r="BC258">
        <v>-11.640000000000002</v>
      </c>
      <c r="BD258">
        <v>-1.2800000000000005</v>
      </c>
      <c r="BE258">
        <v>5</v>
      </c>
      <c r="BF258">
        <v>6</v>
      </c>
      <c r="BG258">
        <v>6</v>
      </c>
      <c r="BH258">
        <v>8.2639999999999993</v>
      </c>
      <c r="BI258">
        <v>6</v>
      </c>
      <c r="BJ258">
        <v>21.919999999999998</v>
      </c>
      <c r="BK258">
        <v>2.0000000000000004</v>
      </c>
      <c r="BL258">
        <v>19</v>
      </c>
      <c r="BM258">
        <v>19.5</v>
      </c>
      <c r="BN258">
        <v>26</v>
      </c>
      <c r="BO258">
        <v>-1.0000000000000004</v>
      </c>
      <c r="BP258">
        <v>13</v>
      </c>
      <c r="BQ258">
        <v>-0.76</v>
      </c>
      <c r="BR258">
        <v>-1.2799999999999998</v>
      </c>
      <c r="BS258">
        <v>19</v>
      </c>
      <c r="BT258">
        <v>17.25</v>
      </c>
      <c r="BU258">
        <v>14</v>
      </c>
      <c r="BV258">
        <v>-7.2629886826685919E-2</v>
      </c>
      <c r="BW258">
        <v>21</v>
      </c>
      <c r="BX258">
        <v>-3.0891204484768741E-2</v>
      </c>
      <c r="BY258">
        <v>32</v>
      </c>
      <c r="BZ258">
        <v>9.5279999999999969</v>
      </c>
      <c r="CA258">
        <v>2</v>
      </c>
      <c r="CB258">
        <v>-3.2400000000000007</v>
      </c>
      <c r="CC258">
        <v>0.60000000000000142</v>
      </c>
      <c r="CD258">
        <v>1.5599999999999994</v>
      </c>
      <c r="CE258">
        <v>0.40000000000000008</v>
      </c>
      <c r="CF258">
        <v>35.440000000000012</v>
      </c>
      <c r="CG258">
        <v>-9.4799999999999951</v>
      </c>
      <c r="CH258">
        <v>38.64</v>
      </c>
      <c r="CI258">
        <v>14.919999999999998</v>
      </c>
      <c r="CJ258">
        <v>-8.64</v>
      </c>
      <c r="CK258">
        <v>22</v>
      </c>
      <c r="CL258">
        <v>-3.9381999999999984</v>
      </c>
      <c r="CM258">
        <v>-1.3655399999999998</v>
      </c>
      <c r="CN258">
        <v>-48.12</v>
      </c>
      <c r="CO258">
        <v>3.9381999999999979</v>
      </c>
      <c r="CP258">
        <v>-5.1399999999999946E-2</v>
      </c>
      <c r="CQ258">
        <v>-7.9749999999999996</v>
      </c>
      <c r="CR258">
        <v>-53.050000000000004</v>
      </c>
      <c r="CS258">
        <v>2.1189999999999998</v>
      </c>
      <c r="CT258">
        <v>29.98</v>
      </c>
      <c r="CU258">
        <v>-3.4599999999999995</v>
      </c>
      <c r="CV258">
        <v>-0.69</v>
      </c>
      <c r="CW258">
        <v>1.6730499999999997</v>
      </c>
      <c r="CX258">
        <v>1.2088999999999999</v>
      </c>
      <c r="CY258" t="s">
        <v>299</v>
      </c>
      <c r="CZ258">
        <v>3</v>
      </c>
      <c r="DA258">
        <v>4.4336000000000011</v>
      </c>
      <c r="DB258">
        <v>14</v>
      </c>
      <c r="DC258">
        <v>16</v>
      </c>
      <c r="DD258">
        <v>14</v>
      </c>
      <c r="DE258">
        <v>2.4319999999999991</v>
      </c>
      <c r="DF258">
        <v>18</v>
      </c>
      <c r="DG258">
        <v>17.32</v>
      </c>
      <c r="DH258">
        <v>-0.91999999999999993</v>
      </c>
      <c r="DI258">
        <v>11</v>
      </c>
      <c r="DJ258">
        <v>14</v>
      </c>
      <c r="DK258">
        <v>3</v>
      </c>
      <c r="DL258">
        <v>6.1159999999999997</v>
      </c>
      <c r="DM258">
        <v>25</v>
      </c>
      <c r="DN258">
        <v>5.1199999999999992</v>
      </c>
      <c r="DO258">
        <v>0.8</v>
      </c>
      <c r="DP258">
        <v>10</v>
      </c>
      <c r="DQ258">
        <v>9.5</v>
      </c>
      <c r="DR258">
        <v>10</v>
      </c>
      <c r="DS258">
        <v>-3.0880000000000001</v>
      </c>
      <c r="DT258">
        <v>9</v>
      </c>
      <c r="DU258">
        <v>-15.760000000000002</v>
      </c>
      <c r="DV258">
        <v>7.999999999999971E-2</v>
      </c>
      <c r="DW258">
        <v>3</v>
      </c>
      <c r="DX258">
        <v>3.5</v>
      </c>
      <c r="DY258">
        <v>4</v>
      </c>
      <c r="DZ258">
        <v>5.9639999999999995</v>
      </c>
      <c r="EA258">
        <v>3</v>
      </c>
      <c r="EB258">
        <v>20.759999999999998</v>
      </c>
      <c r="EC258">
        <v>1.4</v>
      </c>
      <c r="ED258">
        <v>15</v>
      </c>
      <c r="EE258">
        <v>3.5</v>
      </c>
      <c r="EF258">
        <v>3</v>
      </c>
      <c r="EG258">
        <v>-2.2759999999999998</v>
      </c>
      <c r="EH258">
        <v>4</v>
      </c>
      <c r="EI258">
        <v>-6.2000000000000011</v>
      </c>
      <c r="EJ258">
        <v>-4.0000000000000036E-2</v>
      </c>
      <c r="EK258">
        <v>2</v>
      </c>
      <c r="EL258">
        <v>3.5</v>
      </c>
      <c r="EM258">
        <v>3</v>
      </c>
      <c r="EN258">
        <v>3.2640000000000002</v>
      </c>
      <c r="EO258">
        <v>4</v>
      </c>
      <c r="EP258">
        <v>8.24</v>
      </c>
      <c r="EQ258">
        <v>0.80000000000000038</v>
      </c>
      <c r="ER258">
        <v>11</v>
      </c>
      <c r="ES258">
        <v>12.5</v>
      </c>
      <c r="ET258">
        <v>8</v>
      </c>
      <c r="EU258">
        <v>3.3160000000000003</v>
      </c>
      <c r="EV258">
        <v>17</v>
      </c>
      <c r="EW258">
        <v>17.04</v>
      </c>
      <c r="EX258">
        <v>0.27999999999999992</v>
      </c>
      <c r="EY258">
        <v>12</v>
      </c>
      <c r="EZ258">
        <v>12.5</v>
      </c>
      <c r="FA258">
        <v>7</v>
      </c>
      <c r="FB258">
        <v>0.2</v>
      </c>
      <c r="FC258">
        <v>18</v>
      </c>
      <c r="FD258">
        <v>8.0000000000000071E-2</v>
      </c>
      <c r="FE258">
        <v>-0.96000000000000019</v>
      </c>
      <c r="FF258">
        <v>24</v>
      </c>
      <c r="FG258">
        <v>21</v>
      </c>
      <c r="FH258">
        <v>26</v>
      </c>
      <c r="FI258">
        <v>-4.8465809089449693E-3</v>
      </c>
      <c r="FJ258">
        <v>23</v>
      </c>
      <c r="FK258">
        <v>-2.3910628779315567E-2</v>
      </c>
      <c r="FL258">
        <v>5</v>
      </c>
      <c r="FM258">
        <v>-2.9920000000000044</v>
      </c>
      <c r="FN258">
        <v>30</v>
      </c>
      <c r="FO258">
        <v>-2.12</v>
      </c>
      <c r="FP258">
        <v>3.2</v>
      </c>
      <c r="FQ258">
        <v>3.080000000000001</v>
      </c>
      <c r="FR258">
        <v>0.64</v>
      </c>
      <c r="FS258">
        <v>5.8799999999999981</v>
      </c>
      <c r="FT258">
        <v>5.8400000000000007</v>
      </c>
      <c r="FU258">
        <v>-0.36</v>
      </c>
      <c r="FV258">
        <v>57.919999999999995</v>
      </c>
      <c r="FW258">
        <v>30.240000000000002</v>
      </c>
      <c r="FX258">
        <v>22.32</v>
      </c>
      <c r="FY258">
        <v>1.3599999999999999</v>
      </c>
      <c r="FZ258">
        <v>4.0000000000000009</v>
      </c>
      <c r="GA258">
        <v>26</v>
      </c>
      <c r="GB258">
        <v>-4.1143999999999981</v>
      </c>
      <c r="GC258">
        <v>-2.6040799999999988</v>
      </c>
      <c r="GD258">
        <v>7.9200000000000017</v>
      </c>
      <c r="GE258">
        <v>4.1143999999999972</v>
      </c>
      <c r="GF258">
        <v>2.1371999999999995</v>
      </c>
      <c r="GG258">
        <v>0.59999999999999964</v>
      </c>
      <c r="GH258">
        <v>-1.2000000000000046</v>
      </c>
      <c r="GI258">
        <v>8.5479999999999983</v>
      </c>
      <c r="GJ258">
        <v>22.439999999999998</v>
      </c>
      <c r="GK258">
        <v>1.7199999999999993</v>
      </c>
      <c r="GL258">
        <v>-0.11999999999999988</v>
      </c>
    </row>
    <row r="259" spans="1:194" x14ac:dyDescent="0.2">
      <c r="A259" s="39">
        <v>43772</v>
      </c>
      <c r="B259" s="22" t="s">
        <v>246</v>
      </c>
      <c r="C259" s="41" t="s">
        <v>287</v>
      </c>
      <c r="D259" s="22" t="s">
        <v>300</v>
      </c>
      <c r="E259">
        <v>7</v>
      </c>
      <c r="F259">
        <v>17.3</v>
      </c>
      <c r="G259">
        <v>0</v>
      </c>
      <c r="H259">
        <v>15.4</v>
      </c>
      <c r="I259" s="3">
        <v>4</v>
      </c>
      <c r="J259" s="3">
        <v>50</v>
      </c>
      <c r="K259" t="s">
        <v>110</v>
      </c>
      <c r="L259" s="1" t="s">
        <v>287</v>
      </c>
      <c r="M259">
        <v>15</v>
      </c>
      <c r="N259">
        <v>1.5479999999999998</v>
      </c>
      <c r="O259">
        <v>17</v>
      </c>
      <c r="P259">
        <v>17</v>
      </c>
      <c r="Q259">
        <v>17</v>
      </c>
      <c r="R259">
        <v>0.35999999999999943</v>
      </c>
      <c r="S259">
        <v>17</v>
      </c>
      <c r="T259">
        <v>-37.519999999999996</v>
      </c>
      <c r="U259">
        <v>2</v>
      </c>
      <c r="V259">
        <v>3</v>
      </c>
      <c r="W259">
        <v>4.5</v>
      </c>
      <c r="X259">
        <v>1</v>
      </c>
      <c r="Y259">
        <v>5.6229999999999993</v>
      </c>
      <c r="Z259">
        <v>8</v>
      </c>
      <c r="AA259">
        <v>-0.85</v>
      </c>
      <c r="AB259">
        <v>1.5399999999999998</v>
      </c>
      <c r="AC259">
        <v>9</v>
      </c>
      <c r="AD259">
        <v>10</v>
      </c>
      <c r="AE259">
        <v>9</v>
      </c>
      <c r="AF259">
        <v>-4.9119999999999999</v>
      </c>
      <c r="AG259">
        <v>11</v>
      </c>
      <c r="AH259">
        <v>-20.43</v>
      </c>
      <c r="AI259">
        <v>0.95</v>
      </c>
      <c r="AJ259">
        <v>5</v>
      </c>
      <c r="AK259">
        <v>5.5</v>
      </c>
      <c r="AL259">
        <v>10</v>
      </c>
      <c r="AM259">
        <v>2.2039999999999997</v>
      </c>
      <c r="AN259">
        <v>1</v>
      </c>
      <c r="AO259">
        <v>22.42</v>
      </c>
      <c r="AP259">
        <v>2.2999999999999998</v>
      </c>
      <c r="AQ259">
        <v>28</v>
      </c>
      <c r="AR259">
        <v>28.5</v>
      </c>
      <c r="AS259">
        <v>30</v>
      </c>
      <c r="AT259">
        <v>-1.5580000000000003</v>
      </c>
      <c r="AU259">
        <v>27</v>
      </c>
      <c r="AV259">
        <v>-5.08</v>
      </c>
      <c r="AW259">
        <v>-1.8299999999999996</v>
      </c>
      <c r="AX259">
        <v>10</v>
      </c>
      <c r="AY259">
        <v>11</v>
      </c>
      <c r="AZ259">
        <v>11</v>
      </c>
      <c r="BA259">
        <v>4.32</v>
      </c>
      <c r="BB259">
        <v>11</v>
      </c>
      <c r="BC259">
        <v>19.600000000000001</v>
      </c>
      <c r="BD259">
        <v>1.28</v>
      </c>
      <c r="BE259">
        <v>26</v>
      </c>
      <c r="BF259">
        <v>26.5</v>
      </c>
      <c r="BG259">
        <v>27</v>
      </c>
      <c r="BH259">
        <v>2.0279999999999996</v>
      </c>
      <c r="BI259">
        <v>26</v>
      </c>
      <c r="BJ259">
        <v>11.080000000000002</v>
      </c>
      <c r="BK259">
        <v>-0.72</v>
      </c>
      <c r="BL259">
        <v>4</v>
      </c>
      <c r="BM259">
        <v>7</v>
      </c>
      <c r="BN259">
        <v>11</v>
      </c>
      <c r="BO259">
        <v>0.43999999999999984</v>
      </c>
      <c r="BP259">
        <v>3</v>
      </c>
      <c r="BQ259">
        <v>8.0000000000000029E-2</v>
      </c>
      <c r="BR259">
        <v>0.12000000000000029</v>
      </c>
      <c r="BS259">
        <v>10</v>
      </c>
      <c r="BT259">
        <v>12.75</v>
      </c>
      <c r="BU259">
        <v>24</v>
      </c>
      <c r="BV259">
        <v>8.5172136087458775E-3</v>
      </c>
      <c r="BW259">
        <v>12</v>
      </c>
      <c r="BX259">
        <v>-4.7836355183798508E-2</v>
      </c>
      <c r="BY259">
        <v>7</v>
      </c>
      <c r="BZ259">
        <v>-5.0839999999999979</v>
      </c>
      <c r="CA259">
        <v>8</v>
      </c>
      <c r="CB259">
        <v>-1.5999999999999999</v>
      </c>
      <c r="CC259">
        <v>-5.9199999999999973</v>
      </c>
      <c r="CD259">
        <v>-8.0000000000000432E-2</v>
      </c>
      <c r="CE259">
        <v>0.32000000000000006</v>
      </c>
      <c r="CF259">
        <v>-17.160000000000004</v>
      </c>
      <c r="CG259">
        <v>39.72</v>
      </c>
      <c r="CH259">
        <v>-41.080000000000005</v>
      </c>
      <c r="CI259">
        <v>-1.44</v>
      </c>
      <c r="CJ259">
        <v>-14.36</v>
      </c>
      <c r="CK259">
        <v>23</v>
      </c>
      <c r="CL259">
        <v>-4.4349999999999987</v>
      </c>
      <c r="CM259">
        <v>-3.1294999999999997</v>
      </c>
      <c r="CN259">
        <v>80.800000000000011</v>
      </c>
      <c r="CO259">
        <v>4.4349999999999987</v>
      </c>
      <c r="CP259">
        <v>0.71662499999999962</v>
      </c>
      <c r="CQ259">
        <v>-4.266</v>
      </c>
      <c r="CR259">
        <v>-3.0899999999999981</v>
      </c>
      <c r="CS259">
        <v>5.9829999999999988</v>
      </c>
      <c r="CT259">
        <v>-38.369999999999997</v>
      </c>
      <c r="CU259">
        <v>0.7000000000000004</v>
      </c>
      <c r="CV259">
        <v>3.54</v>
      </c>
      <c r="CW259">
        <v>0.30745625000000021</v>
      </c>
      <c r="CX259">
        <v>-0.40665000000000001</v>
      </c>
      <c r="CY259" t="s">
        <v>300</v>
      </c>
      <c r="CZ259">
        <v>21</v>
      </c>
      <c r="DA259">
        <v>0.752000000000001</v>
      </c>
      <c r="DB259">
        <v>5</v>
      </c>
      <c r="DC259">
        <v>6</v>
      </c>
      <c r="DD259">
        <v>8</v>
      </c>
      <c r="DE259">
        <v>2.6360000000000001</v>
      </c>
      <c r="DF259">
        <v>4</v>
      </c>
      <c r="DG259">
        <v>-1.0800000000000012</v>
      </c>
      <c r="DH259">
        <v>0.64</v>
      </c>
      <c r="DI259">
        <v>9</v>
      </c>
      <c r="DJ259">
        <v>11.5</v>
      </c>
      <c r="DK259">
        <v>19</v>
      </c>
      <c r="DL259">
        <v>-3.2920000000000003</v>
      </c>
      <c r="DM259">
        <v>4</v>
      </c>
      <c r="DN259">
        <v>2.1599999999999993</v>
      </c>
      <c r="DO259">
        <v>-1.56</v>
      </c>
      <c r="DP259">
        <v>23</v>
      </c>
      <c r="DQ259">
        <v>27.5</v>
      </c>
      <c r="DR259">
        <v>29</v>
      </c>
      <c r="DS259">
        <v>3.9675000000000002</v>
      </c>
      <c r="DT259">
        <v>26</v>
      </c>
      <c r="DU259">
        <v>30.85</v>
      </c>
      <c r="DV259">
        <v>2.2750000000000004</v>
      </c>
      <c r="DW259">
        <v>13</v>
      </c>
      <c r="DX259">
        <v>13.5</v>
      </c>
      <c r="DY259">
        <v>17</v>
      </c>
      <c r="DZ259">
        <v>-0.97500000000000075</v>
      </c>
      <c r="EA259">
        <v>10</v>
      </c>
      <c r="EB259">
        <v>-1.8999999999999968</v>
      </c>
      <c r="EC259">
        <v>0.70000000000000007</v>
      </c>
      <c r="ED259">
        <v>12</v>
      </c>
      <c r="EE259">
        <v>17</v>
      </c>
      <c r="EF259">
        <v>20</v>
      </c>
      <c r="EG259">
        <v>1.2400000000000007</v>
      </c>
      <c r="EH259">
        <v>14</v>
      </c>
      <c r="EI259">
        <v>8.6999999999999993</v>
      </c>
      <c r="EJ259">
        <v>-1.1000000000000001</v>
      </c>
      <c r="EK259">
        <v>16</v>
      </c>
      <c r="EL259">
        <v>16</v>
      </c>
      <c r="EM259">
        <v>17</v>
      </c>
      <c r="EN259">
        <v>3.2600000000000007</v>
      </c>
      <c r="EO259">
        <v>15</v>
      </c>
      <c r="EP259">
        <v>8.5999999999999979</v>
      </c>
      <c r="EQ259">
        <v>-0.23999999999999985</v>
      </c>
      <c r="ER259">
        <v>1</v>
      </c>
      <c r="ES259">
        <v>1</v>
      </c>
      <c r="ET259">
        <v>1</v>
      </c>
      <c r="EU259">
        <v>3.8440000000000012</v>
      </c>
      <c r="EV259">
        <v>1</v>
      </c>
      <c r="EW259">
        <v>4.24</v>
      </c>
      <c r="EX259">
        <v>0.2</v>
      </c>
      <c r="EY259">
        <v>6</v>
      </c>
      <c r="EZ259">
        <v>5</v>
      </c>
      <c r="FA259">
        <v>2</v>
      </c>
      <c r="FB259">
        <v>0</v>
      </c>
      <c r="FC259">
        <v>8</v>
      </c>
      <c r="FD259">
        <v>0.2</v>
      </c>
      <c r="FE259">
        <v>-5.0000000000000009</v>
      </c>
      <c r="FF259">
        <v>29</v>
      </c>
      <c r="FG259">
        <v>24</v>
      </c>
      <c r="FH259">
        <v>17</v>
      </c>
      <c r="FI259">
        <v>-3.241910566433133E-2</v>
      </c>
      <c r="FJ259">
        <v>23</v>
      </c>
      <c r="FK259">
        <v>-5.0046623695844828E-3</v>
      </c>
      <c r="FL259">
        <v>27</v>
      </c>
      <c r="FM259">
        <v>-7.3000000000000025</v>
      </c>
      <c r="FN259">
        <v>29</v>
      </c>
      <c r="FO259">
        <v>-1.2</v>
      </c>
      <c r="FP259">
        <v>0.16000000000000156</v>
      </c>
      <c r="FQ259">
        <v>-2.1599999999999993</v>
      </c>
      <c r="FR259">
        <v>0.51999999999999991</v>
      </c>
      <c r="FS259">
        <v>-1.8399999999999976</v>
      </c>
      <c r="FT259">
        <v>1.4800000000000004</v>
      </c>
      <c r="FU259">
        <v>-1.9600000000000002</v>
      </c>
      <c r="FV259">
        <v>22.519999999999992</v>
      </c>
      <c r="FW259">
        <v>23.48</v>
      </c>
      <c r="FX259">
        <v>2.4799999999999995</v>
      </c>
      <c r="FY259">
        <v>-2.4800000000000004</v>
      </c>
      <c r="FZ259">
        <v>-0.95999999999999974</v>
      </c>
      <c r="GA259">
        <v>15</v>
      </c>
      <c r="GB259">
        <v>1.4080000000000013</v>
      </c>
      <c r="GC259">
        <v>2.0937000000000001</v>
      </c>
      <c r="GD259">
        <v>21</v>
      </c>
      <c r="GE259">
        <v>-1.4080000000000013</v>
      </c>
      <c r="GF259">
        <v>1.0215625000000004</v>
      </c>
      <c r="GG259">
        <v>4.2324999999999999</v>
      </c>
      <c r="GH259">
        <v>37.650000000000006</v>
      </c>
      <c r="GI259">
        <v>-0.65600000000000014</v>
      </c>
      <c r="GJ259">
        <v>1.0799999999999981</v>
      </c>
      <c r="GK259">
        <v>2.0750000000000006</v>
      </c>
      <c r="GL259">
        <v>-0.92</v>
      </c>
    </row>
    <row r="260" spans="1:194" x14ac:dyDescent="0.2">
      <c r="A260" s="39">
        <v>43772</v>
      </c>
      <c r="B260" s="22" t="s">
        <v>246</v>
      </c>
      <c r="C260" s="41" t="s">
        <v>293</v>
      </c>
      <c r="D260" s="22" t="s">
        <v>298</v>
      </c>
      <c r="E260" s="14">
        <v>24.2</v>
      </c>
      <c r="F260">
        <v>15.7</v>
      </c>
      <c r="G260">
        <v>6.3</v>
      </c>
      <c r="H260">
        <v>15.5</v>
      </c>
      <c r="I260">
        <v>3.5</v>
      </c>
      <c r="J260">
        <v>42.5</v>
      </c>
      <c r="L260" s="1" t="s">
        <v>293</v>
      </c>
      <c r="M260">
        <v>11</v>
      </c>
      <c r="N260">
        <v>1.9520000000000004</v>
      </c>
      <c r="O260">
        <v>31</v>
      </c>
      <c r="P260">
        <v>29</v>
      </c>
      <c r="Q260">
        <v>27</v>
      </c>
      <c r="R260">
        <v>-7.2759999999999989</v>
      </c>
      <c r="S260">
        <v>31</v>
      </c>
      <c r="T260">
        <v>-34.44</v>
      </c>
      <c r="U260">
        <v>1.92</v>
      </c>
      <c r="V260">
        <v>26</v>
      </c>
      <c r="W260">
        <v>24.5</v>
      </c>
      <c r="X260">
        <v>23</v>
      </c>
      <c r="Y260">
        <v>-1.9239999999999999</v>
      </c>
      <c r="Z260">
        <v>26</v>
      </c>
      <c r="AA260">
        <v>6.68</v>
      </c>
      <c r="AB260">
        <v>-0.87999999999999989</v>
      </c>
      <c r="AC260">
        <v>1</v>
      </c>
      <c r="AD260">
        <v>1.5</v>
      </c>
      <c r="AE260">
        <v>2</v>
      </c>
      <c r="AF260">
        <v>0.39599999999999869</v>
      </c>
      <c r="AG260">
        <v>1</v>
      </c>
      <c r="AH260">
        <v>1.6799999999999997</v>
      </c>
      <c r="AI260">
        <v>0.92000000000000015</v>
      </c>
      <c r="AJ260">
        <v>18</v>
      </c>
      <c r="AK260">
        <v>18.5</v>
      </c>
      <c r="AL260">
        <v>18</v>
      </c>
      <c r="AM260">
        <v>4.9080000000000004</v>
      </c>
      <c r="AN260">
        <v>19</v>
      </c>
      <c r="AO260">
        <v>9.16</v>
      </c>
      <c r="AP260">
        <v>1.28</v>
      </c>
      <c r="AQ260">
        <v>5</v>
      </c>
      <c r="AR260">
        <v>5.5</v>
      </c>
      <c r="AS260">
        <v>4</v>
      </c>
      <c r="AT260">
        <v>1.5400000000000003</v>
      </c>
      <c r="AU260">
        <v>7</v>
      </c>
      <c r="AV260">
        <v>3.2400000000000007</v>
      </c>
      <c r="AW260">
        <v>0.36000000000000004</v>
      </c>
      <c r="AX260">
        <v>1</v>
      </c>
      <c r="AY260">
        <v>1</v>
      </c>
      <c r="AZ260">
        <v>1</v>
      </c>
      <c r="BA260">
        <v>5.5999999999999162E-2</v>
      </c>
      <c r="BB260">
        <v>1</v>
      </c>
      <c r="BC260">
        <v>1.3599999999999994</v>
      </c>
      <c r="BD260">
        <v>0.44000000000000006</v>
      </c>
      <c r="BE260">
        <v>10</v>
      </c>
      <c r="BF260">
        <v>11</v>
      </c>
      <c r="BG260">
        <v>12</v>
      </c>
      <c r="BH260">
        <v>-2.6719999999999997</v>
      </c>
      <c r="BI260">
        <v>10</v>
      </c>
      <c r="BJ260">
        <v>-4.4000000000000012</v>
      </c>
      <c r="BK260">
        <v>-1.6</v>
      </c>
      <c r="BL260">
        <v>13</v>
      </c>
      <c r="BM260">
        <v>12</v>
      </c>
      <c r="BN260">
        <v>3</v>
      </c>
      <c r="BO260">
        <v>-3.4799999999999995</v>
      </c>
      <c r="BP260">
        <v>21</v>
      </c>
      <c r="BQ260">
        <v>-0.99999999999999978</v>
      </c>
      <c r="BR260">
        <v>-7.4399999999999995</v>
      </c>
      <c r="BS260">
        <v>16</v>
      </c>
      <c r="BT260">
        <v>14.5</v>
      </c>
      <c r="BU260">
        <v>12</v>
      </c>
      <c r="BV260">
        <v>-2.6449883368263864E-2</v>
      </c>
      <c r="BW260">
        <v>10</v>
      </c>
      <c r="BX260">
        <v>9.7003088577328721E-3</v>
      </c>
      <c r="BY260">
        <v>14</v>
      </c>
      <c r="BZ260">
        <v>1.5080000000000027</v>
      </c>
      <c r="CA260">
        <v>22</v>
      </c>
      <c r="CB260">
        <v>1.9200000000000004</v>
      </c>
      <c r="CC260">
        <v>-3.4000000000000012</v>
      </c>
      <c r="CD260">
        <v>-1.48</v>
      </c>
      <c r="CE260">
        <v>-1.2399999999999998</v>
      </c>
      <c r="CF260">
        <v>-30</v>
      </c>
      <c r="CG260">
        <v>8.7200000000000042</v>
      </c>
      <c r="CH260">
        <v>-29.919999999999998</v>
      </c>
      <c r="CI260">
        <v>-4.24</v>
      </c>
      <c r="CJ260">
        <v>-4.5599999999999996</v>
      </c>
      <c r="CK260">
        <v>2</v>
      </c>
      <c r="CL260">
        <v>11.151999999999999</v>
      </c>
      <c r="CM260">
        <v>5.8247999999999998</v>
      </c>
      <c r="CN260">
        <v>38.64</v>
      </c>
      <c r="CO260">
        <v>-11.151999999999999</v>
      </c>
      <c r="CP260">
        <v>-0.81949999999999967</v>
      </c>
      <c r="CQ260">
        <v>6.8439999999999994</v>
      </c>
      <c r="CR260">
        <v>14.08</v>
      </c>
      <c r="CS260">
        <v>-9.1999999999999993</v>
      </c>
      <c r="CT260">
        <v>-27.759999999999998</v>
      </c>
      <c r="CU260">
        <v>0.96</v>
      </c>
      <c r="CV260">
        <v>1.04</v>
      </c>
      <c r="CW260">
        <v>1.8949375000000002</v>
      </c>
      <c r="CX260">
        <v>2.6902000000000004</v>
      </c>
      <c r="CY260" t="s">
        <v>298</v>
      </c>
      <c r="CZ260">
        <v>9</v>
      </c>
      <c r="DA260">
        <v>0.44840000000000052</v>
      </c>
      <c r="DB260">
        <v>32</v>
      </c>
      <c r="DC260">
        <v>30.5</v>
      </c>
      <c r="DD260">
        <v>30</v>
      </c>
      <c r="DE260">
        <v>1.6</v>
      </c>
      <c r="DF260">
        <v>31</v>
      </c>
      <c r="DG260">
        <v>-14.520000000000001</v>
      </c>
      <c r="DH260">
        <v>-0.15999999999999986</v>
      </c>
      <c r="DI260">
        <v>16</v>
      </c>
      <c r="DJ260">
        <v>16.5</v>
      </c>
      <c r="DK260">
        <v>18</v>
      </c>
      <c r="DL260">
        <v>-1.6959999999999993</v>
      </c>
      <c r="DM260">
        <v>15</v>
      </c>
      <c r="DN260">
        <v>-9.6</v>
      </c>
      <c r="DO260">
        <v>0.15999999999999998</v>
      </c>
      <c r="DP260">
        <v>7</v>
      </c>
      <c r="DQ260">
        <v>10.5</v>
      </c>
      <c r="DR260">
        <v>8</v>
      </c>
      <c r="DS260">
        <v>2.3350000000000004</v>
      </c>
      <c r="DT260">
        <v>13</v>
      </c>
      <c r="DU260">
        <v>-2.5999999999999979</v>
      </c>
      <c r="DV260">
        <v>1.4</v>
      </c>
      <c r="DW260">
        <v>5</v>
      </c>
      <c r="DX260">
        <v>5.5</v>
      </c>
      <c r="DY260">
        <v>5</v>
      </c>
      <c r="DZ260">
        <v>1.4539999999999991</v>
      </c>
      <c r="EA260">
        <v>6</v>
      </c>
      <c r="EB260">
        <v>5.2199999999999989</v>
      </c>
      <c r="EC260">
        <v>-0.61000000000000021</v>
      </c>
      <c r="ED260">
        <v>26</v>
      </c>
      <c r="EE260">
        <v>28.5</v>
      </c>
      <c r="EF260">
        <v>28</v>
      </c>
      <c r="EG260">
        <v>2.2600000000000002</v>
      </c>
      <c r="EH260">
        <v>29</v>
      </c>
      <c r="EI260">
        <v>6.1599999999999993</v>
      </c>
      <c r="EJ260">
        <v>4.0000000000000077E-2</v>
      </c>
      <c r="EK260">
        <v>25</v>
      </c>
      <c r="EL260">
        <v>26</v>
      </c>
      <c r="EM260">
        <v>26</v>
      </c>
      <c r="EN260">
        <v>2.7640000000000007</v>
      </c>
      <c r="EO260">
        <v>26</v>
      </c>
      <c r="EP260">
        <v>14.6</v>
      </c>
      <c r="EQ260">
        <v>-2.9600000000000004</v>
      </c>
      <c r="ER260">
        <v>13</v>
      </c>
      <c r="ES260">
        <v>13.5</v>
      </c>
      <c r="ET260">
        <v>17</v>
      </c>
      <c r="EU260">
        <v>0.87600000000000056</v>
      </c>
      <c r="EV260">
        <v>10</v>
      </c>
      <c r="EW260">
        <v>5.08</v>
      </c>
      <c r="EX260">
        <v>1.2</v>
      </c>
      <c r="EY260">
        <v>24</v>
      </c>
      <c r="EZ260">
        <v>23</v>
      </c>
      <c r="FA260">
        <v>28</v>
      </c>
      <c r="FB260">
        <v>1.52</v>
      </c>
      <c r="FC260">
        <v>18</v>
      </c>
      <c r="FD260">
        <v>0.2</v>
      </c>
      <c r="FE260">
        <v>6.44</v>
      </c>
      <c r="FF260">
        <v>23</v>
      </c>
      <c r="FG260">
        <v>20</v>
      </c>
      <c r="FH260">
        <v>32</v>
      </c>
      <c r="FI260">
        <v>2.7206080711737562E-2</v>
      </c>
      <c r="FJ260">
        <v>22</v>
      </c>
      <c r="FK260">
        <v>-1.8796208233225968E-2</v>
      </c>
      <c r="FL260">
        <v>11</v>
      </c>
      <c r="FM260">
        <v>8.708000000000002</v>
      </c>
      <c r="FN260">
        <v>15</v>
      </c>
      <c r="FO260">
        <v>-3.7199999999999998</v>
      </c>
      <c r="FP260">
        <v>1.920000000000001</v>
      </c>
      <c r="FQ260">
        <v>1.5200000000000002</v>
      </c>
      <c r="FR260">
        <v>0.51999999999999991</v>
      </c>
      <c r="FS260">
        <v>3.2000000000000015</v>
      </c>
      <c r="FT260">
        <v>2.9199999999999995</v>
      </c>
      <c r="FU260">
        <v>1.2</v>
      </c>
      <c r="FV260">
        <v>-24.240000000000009</v>
      </c>
      <c r="FW260">
        <v>6.1600000000000019</v>
      </c>
      <c r="FX260">
        <v>-25.879999999999995</v>
      </c>
      <c r="FY260">
        <v>-0.11999999999999984</v>
      </c>
      <c r="FZ260">
        <v>-4.3999999999999995</v>
      </c>
      <c r="GA260">
        <v>19</v>
      </c>
      <c r="GB260">
        <v>0.54439999999999977</v>
      </c>
      <c r="GC260">
        <v>1.5226799999999998</v>
      </c>
      <c r="GD260">
        <v>32.04</v>
      </c>
      <c r="GE260">
        <v>-0.54439999999999977</v>
      </c>
      <c r="GF260">
        <v>1.0996750000000002</v>
      </c>
      <c r="GG260">
        <v>6.0489999999999995</v>
      </c>
      <c r="GH260">
        <v>8.7800000000000011</v>
      </c>
      <c r="GI260">
        <v>-9.5999999999999197E-2</v>
      </c>
      <c r="GJ260">
        <v>-24.12</v>
      </c>
      <c r="GK260">
        <v>2.0299999999999998</v>
      </c>
      <c r="GL260">
        <v>0</v>
      </c>
    </row>
    <row r="261" spans="1:194" x14ac:dyDescent="0.2">
      <c r="A261" s="39">
        <v>43772</v>
      </c>
      <c r="B261" s="22" t="s">
        <v>246</v>
      </c>
      <c r="C261" s="41" t="s">
        <v>312</v>
      </c>
      <c r="D261" s="22" t="s">
        <v>288</v>
      </c>
      <c r="E261" s="3">
        <v>2.6</v>
      </c>
      <c r="F261">
        <v>8.8000000000000007</v>
      </c>
      <c r="G261">
        <v>7.4</v>
      </c>
      <c r="H261">
        <v>18.600000000000001</v>
      </c>
      <c r="I261">
        <v>-5.5</v>
      </c>
      <c r="J261">
        <v>46</v>
      </c>
      <c r="L261" s="1" t="s">
        <v>312</v>
      </c>
      <c r="M261">
        <v>8</v>
      </c>
      <c r="N261">
        <v>2.9352000000000009</v>
      </c>
      <c r="O261">
        <v>12</v>
      </c>
      <c r="P261">
        <v>14.5</v>
      </c>
      <c r="Q261">
        <v>7</v>
      </c>
      <c r="R261">
        <v>4.0359999999999996</v>
      </c>
      <c r="S261">
        <v>22</v>
      </c>
      <c r="T261">
        <v>17.399999999999999</v>
      </c>
      <c r="U261">
        <v>3.9999999999999855E-2</v>
      </c>
      <c r="V261">
        <v>5</v>
      </c>
      <c r="W261">
        <v>8</v>
      </c>
      <c r="X261">
        <v>13</v>
      </c>
      <c r="Y261">
        <v>-1.2569999999999997</v>
      </c>
      <c r="Z261">
        <v>3</v>
      </c>
      <c r="AA261">
        <v>13.11</v>
      </c>
      <c r="AB261">
        <v>-1.34</v>
      </c>
      <c r="AC261">
        <v>16</v>
      </c>
      <c r="AD261">
        <v>17</v>
      </c>
      <c r="AE261">
        <v>18</v>
      </c>
      <c r="AF261">
        <v>5.1079999999999988</v>
      </c>
      <c r="AG261">
        <v>16</v>
      </c>
      <c r="AH261">
        <v>12.410000000000002</v>
      </c>
      <c r="AI261">
        <v>-0.25</v>
      </c>
      <c r="AJ261">
        <v>23</v>
      </c>
      <c r="AK261">
        <v>22</v>
      </c>
      <c r="AL261">
        <v>26</v>
      </c>
      <c r="AM261">
        <v>9.1840000000000011</v>
      </c>
      <c r="AN261">
        <v>18</v>
      </c>
      <c r="AO261">
        <v>45.46</v>
      </c>
      <c r="AP261">
        <v>0.98000000000000009</v>
      </c>
      <c r="AQ261">
        <v>27</v>
      </c>
      <c r="AR261">
        <v>28</v>
      </c>
      <c r="AS261">
        <v>27</v>
      </c>
      <c r="AT261">
        <v>-0.43799999999999972</v>
      </c>
      <c r="AU261">
        <v>29</v>
      </c>
      <c r="AV261">
        <v>-0.72000000000000031</v>
      </c>
      <c r="AW261">
        <v>-0.58999999999999986</v>
      </c>
      <c r="AX261">
        <v>29</v>
      </c>
      <c r="AY261">
        <v>29</v>
      </c>
      <c r="AZ261">
        <v>29</v>
      </c>
      <c r="BA261">
        <v>-4.9119999999999999</v>
      </c>
      <c r="BB261">
        <v>29</v>
      </c>
      <c r="BC261">
        <v>-27.76</v>
      </c>
      <c r="BD261">
        <v>-8.1999999999999993</v>
      </c>
      <c r="BE261">
        <v>5</v>
      </c>
      <c r="BF261">
        <v>6</v>
      </c>
      <c r="BG261">
        <v>3</v>
      </c>
      <c r="BH261">
        <v>-1.7120000000000004</v>
      </c>
      <c r="BI261">
        <v>9</v>
      </c>
      <c r="BJ261">
        <v>-7.240000000000002</v>
      </c>
      <c r="BK261">
        <v>-1.52</v>
      </c>
      <c r="BL261">
        <v>26</v>
      </c>
      <c r="BM261">
        <v>25</v>
      </c>
      <c r="BN261">
        <v>21</v>
      </c>
      <c r="BO261">
        <v>1.6</v>
      </c>
      <c r="BP261">
        <v>29</v>
      </c>
      <c r="BQ261">
        <v>0.64</v>
      </c>
      <c r="BR261">
        <v>-1.9199999999999995</v>
      </c>
      <c r="BS261">
        <v>28</v>
      </c>
      <c r="BT261">
        <v>24.5</v>
      </c>
      <c r="BU261">
        <v>22</v>
      </c>
      <c r="BV261">
        <v>3.5876719008731559E-2</v>
      </c>
      <c r="BW261">
        <v>27</v>
      </c>
      <c r="BX261">
        <v>7.1404949056232099E-3</v>
      </c>
      <c r="BY261">
        <v>22</v>
      </c>
      <c r="BZ261">
        <v>19.591999999999999</v>
      </c>
      <c r="CA261">
        <v>27</v>
      </c>
      <c r="CB261">
        <v>-3.2</v>
      </c>
      <c r="CC261">
        <v>-0.43999999999999773</v>
      </c>
      <c r="CD261">
        <v>3.4799999999999995</v>
      </c>
      <c r="CE261">
        <v>-1.1599999999999999</v>
      </c>
      <c r="CF261">
        <v>57.320000000000007</v>
      </c>
      <c r="CG261">
        <v>40.160000000000011</v>
      </c>
      <c r="CH261">
        <v>32.68</v>
      </c>
      <c r="CI261">
        <v>-1.44</v>
      </c>
      <c r="CJ261">
        <v>-14.079999999999998</v>
      </c>
      <c r="CK261">
        <v>16</v>
      </c>
      <c r="CL261">
        <v>0.156200000000001</v>
      </c>
      <c r="CM261">
        <v>1.6259400000000004</v>
      </c>
      <c r="CN261">
        <v>7.4800000000000111</v>
      </c>
      <c r="CO261">
        <v>-0.156200000000001</v>
      </c>
      <c r="CP261">
        <v>2.4320250000000003</v>
      </c>
      <c r="CQ261">
        <v>13.853999999999999</v>
      </c>
      <c r="CR261">
        <v>57.150000000000006</v>
      </c>
      <c r="CS261">
        <v>2.7789999999999999</v>
      </c>
      <c r="CT261">
        <v>30.509999999999998</v>
      </c>
      <c r="CU261">
        <v>-1.38</v>
      </c>
      <c r="CV261">
        <v>-1.3000000000000003</v>
      </c>
      <c r="CW261">
        <v>3.4750000000000336E-2</v>
      </c>
      <c r="CX261">
        <v>0.78210000000000024</v>
      </c>
      <c r="CY261" t="s">
        <v>288</v>
      </c>
      <c r="CZ261">
        <v>7</v>
      </c>
      <c r="DA261">
        <v>-1.0728000000000002</v>
      </c>
      <c r="DB261">
        <v>3</v>
      </c>
      <c r="DC261">
        <v>3</v>
      </c>
      <c r="DD261">
        <v>3</v>
      </c>
      <c r="DE261">
        <v>7.0400000000000009</v>
      </c>
      <c r="DF261">
        <v>3</v>
      </c>
      <c r="DG261">
        <v>30.359999999999996</v>
      </c>
      <c r="DH261">
        <v>-7.9999999999999891E-2</v>
      </c>
      <c r="DI261">
        <v>20</v>
      </c>
      <c r="DJ261">
        <v>17.5</v>
      </c>
      <c r="DK261">
        <v>5</v>
      </c>
      <c r="DL261">
        <v>2.6320000000000001</v>
      </c>
      <c r="DM261">
        <v>30</v>
      </c>
      <c r="DN261">
        <v>-2.84</v>
      </c>
      <c r="DO261">
        <v>0.52</v>
      </c>
      <c r="DP261">
        <v>32</v>
      </c>
      <c r="DQ261">
        <v>32</v>
      </c>
      <c r="DR261">
        <v>32</v>
      </c>
      <c r="DS261">
        <v>-3.6</v>
      </c>
      <c r="DT261">
        <v>32</v>
      </c>
      <c r="DU261">
        <v>-28.52</v>
      </c>
      <c r="DV261">
        <v>-0.59999999999999987</v>
      </c>
      <c r="DW261">
        <v>24</v>
      </c>
      <c r="DX261">
        <v>25</v>
      </c>
      <c r="DY261">
        <v>23</v>
      </c>
      <c r="DZ261">
        <v>-6.2999999999999989</v>
      </c>
      <c r="EA261">
        <v>27</v>
      </c>
      <c r="EB261">
        <v>-17.240000000000002</v>
      </c>
      <c r="EC261">
        <v>-1.0399999999999998</v>
      </c>
      <c r="ED261">
        <v>13</v>
      </c>
      <c r="EE261">
        <v>12.5</v>
      </c>
      <c r="EF261">
        <v>12</v>
      </c>
      <c r="EG261">
        <v>-1.5119999999999993</v>
      </c>
      <c r="EH261">
        <v>13</v>
      </c>
      <c r="EI261">
        <v>-6.8800000000000008</v>
      </c>
      <c r="EJ261">
        <v>0.40000000000000008</v>
      </c>
      <c r="EK261">
        <v>12</v>
      </c>
      <c r="EL261">
        <v>12</v>
      </c>
      <c r="EM261">
        <v>8</v>
      </c>
      <c r="EN261">
        <v>3.6280000000000001</v>
      </c>
      <c r="EO261">
        <v>16</v>
      </c>
      <c r="EP261">
        <v>4.2799999999999994</v>
      </c>
      <c r="EQ261">
        <v>2.3600000000000003</v>
      </c>
      <c r="ER261">
        <v>2</v>
      </c>
      <c r="ES261">
        <v>2</v>
      </c>
      <c r="ET261">
        <v>2</v>
      </c>
      <c r="EU261">
        <v>-2.1280000000000001</v>
      </c>
      <c r="EV261">
        <v>2</v>
      </c>
      <c r="EW261">
        <v>-6.08</v>
      </c>
      <c r="EX261">
        <v>-0.67999999999999994</v>
      </c>
      <c r="EY261">
        <v>20</v>
      </c>
      <c r="EZ261">
        <v>21</v>
      </c>
      <c r="FA261">
        <v>25</v>
      </c>
      <c r="FB261">
        <v>-0.75999999999999979</v>
      </c>
      <c r="FC261">
        <v>17</v>
      </c>
      <c r="FD261">
        <v>7.9999999999999988E-2</v>
      </c>
      <c r="FE261">
        <v>-0.95999999999999963</v>
      </c>
      <c r="FF261">
        <v>2</v>
      </c>
      <c r="FG261">
        <v>7.25</v>
      </c>
      <c r="FH261">
        <v>4</v>
      </c>
      <c r="FI261">
        <v>2.6954343508280632E-3</v>
      </c>
      <c r="FJ261">
        <v>13</v>
      </c>
      <c r="FK261">
        <v>1.7999252690423632E-2</v>
      </c>
      <c r="FL261">
        <v>3</v>
      </c>
      <c r="FM261">
        <v>-14.972000000000003</v>
      </c>
      <c r="FN261">
        <v>9</v>
      </c>
      <c r="FO261">
        <v>3.08</v>
      </c>
      <c r="FP261">
        <v>-0.67999999999999972</v>
      </c>
      <c r="FQ261">
        <v>5.76</v>
      </c>
      <c r="FR261">
        <v>0.92000000000000015</v>
      </c>
      <c r="FS261">
        <v>6.6799999999999979</v>
      </c>
      <c r="FT261">
        <v>-1.2</v>
      </c>
      <c r="FU261">
        <v>-0.72</v>
      </c>
      <c r="FV261">
        <v>1.4400000000000091</v>
      </c>
      <c r="FW261">
        <v>-32.720000000000006</v>
      </c>
      <c r="FX261">
        <v>31.24</v>
      </c>
      <c r="FY261">
        <v>-1.2</v>
      </c>
      <c r="FZ261">
        <v>4.12</v>
      </c>
      <c r="GA261">
        <v>32</v>
      </c>
      <c r="GB261">
        <v>-10.744800000000001</v>
      </c>
      <c r="GC261">
        <v>-7.7585600000000001</v>
      </c>
      <c r="GD261">
        <v>-63.960000000000008</v>
      </c>
      <c r="GE261">
        <v>10.744800000000001</v>
      </c>
      <c r="GF261">
        <v>-0.71259999999999957</v>
      </c>
      <c r="GG261">
        <v>-11.411999999999997</v>
      </c>
      <c r="GH261">
        <v>-52.640000000000008</v>
      </c>
      <c r="GI261">
        <v>9.6720000000000006</v>
      </c>
      <c r="GJ261">
        <v>27.519999999999996</v>
      </c>
      <c r="GK261">
        <v>-1.9199999999999995</v>
      </c>
      <c r="GL261">
        <v>0.44000000000000011</v>
      </c>
    </row>
    <row r="262" spans="1:194" x14ac:dyDescent="0.2">
      <c r="A262" s="39">
        <v>43772</v>
      </c>
      <c r="B262" s="22" t="s">
        <v>246</v>
      </c>
      <c r="C262" s="41" t="s">
        <v>302</v>
      </c>
      <c r="D262" s="22" t="s">
        <v>305</v>
      </c>
      <c r="E262">
        <v>17.899999999999999</v>
      </c>
      <c r="F262">
        <v>24.1</v>
      </c>
      <c r="G262">
        <v>3.3</v>
      </c>
      <c r="H262">
        <v>6.8</v>
      </c>
      <c r="I262">
        <v>-3</v>
      </c>
      <c r="J262">
        <v>44.5</v>
      </c>
      <c r="L262" s="1" t="s">
        <v>302</v>
      </c>
      <c r="M262">
        <v>14</v>
      </c>
      <c r="N262">
        <v>1.5708000000000004</v>
      </c>
      <c r="O262">
        <v>27</v>
      </c>
      <c r="P262">
        <v>25</v>
      </c>
      <c r="Q262">
        <v>32</v>
      </c>
      <c r="R262">
        <v>-2.6680000000000001</v>
      </c>
      <c r="S262">
        <v>18</v>
      </c>
      <c r="T262">
        <v>-4.3599999999999994</v>
      </c>
      <c r="U262">
        <v>-0.43999999999999995</v>
      </c>
      <c r="V262">
        <v>12</v>
      </c>
      <c r="W262">
        <v>11.5</v>
      </c>
      <c r="X262">
        <v>5</v>
      </c>
      <c r="Y262">
        <v>5.16</v>
      </c>
      <c r="Z262">
        <v>18</v>
      </c>
      <c r="AA262">
        <v>-20.76</v>
      </c>
      <c r="AB262">
        <v>4.04</v>
      </c>
      <c r="AC262">
        <v>4</v>
      </c>
      <c r="AD262">
        <v>4</v>
      </c>
      <c r="AE262">
        <v>3</v>
      </c>
      <c r="AF262">
        <v>5.2959999999999994</v>
      </c>
      <c r="AG262">
        <v>5</v>
      </c>
      <c r="AH262">
        <v>12.120000000000003</v>
      </c>
      <c r="AI262">
        <v>3.56</v>
      </c>
      <c r="AJ262">
        <v>14</v>
      </c>
      <c r="AK262">
        <v>14</v>
      </c>
      <c r="AL262">
        <v>15</v>
      </c>
      <c r="AM262">
        <v>-0.69600000000000029</v>
      </c>
      <c r="AN262">
        <v>13</v>
      </c>
      <c r="AO262">
        <v>-0.51999999999999891</v>
      </c>
      <c r="AP262">
        <v>0.3999999999999998</v>
      </c>
      <c r="AQ262">
        <v>16</v>
      </c>
      <c r="AR262">
        <v>16</v>
      </c>
      <c r="AS262">
        <v>13</v>
      </c>
      <c r="AT262">
        <v>0.19999999999999959</v>
      </c>
      <c r="AU262">
        <v>19</v>
      </c>
      <c r="AV262">
        <v>5.3600000000000012</v>
      </c>
      <c r="AW262">
        <v>1.6</v>
      </c>
      <c r="AX262">
        <v>4</v>
      </c>
      <c r="AY262">
        <v>4.5</v>
      </c>
      <c r="AZ262">
        <v>2</v>
      </c>
      <c r="BA262">
        <v>2.1800000000000006</v>
      </c>
      <c r="BB262">
        <v>7</v>
      </c>
      <c r="BC262">
        <v>-10.840000000000002</v>
      </c>
      <c r="BD262">
        <v>18.920000000000002</v>
      </c>
      <c r="BE262">
        <v>25</v>
      </c>
      <c r="BF262">
        <v>25.5</v>
      </c>
      <c r="BG262">
        <v>28</v>
      </c>
      <c r="BH262">
        <v>-3.8439999999999999</v>
      </c>
      <c r="BI262">
        <v>23</v>
      </c>
      <c r="BJ262">
        <v>-17.400000000000002</v>
      </c>
      <c r="BK262">
        <v>-2.16</v>
      </c>
      <c r="BL262">
        <v>2</v>
      </c>
      <c r="BM262">
        <v>5</v>
      </c>
      <c r="BN262">
        <v>8</v>
      </c>
      <c r="BO262">
        <v>-0.91999999999999993</v>
      </c>
      <c r="BP262">
        <v>2</v>
      </c>
      <c r="BQ262">
        <v>-0.4</v>
      </c>
      <c r="BR262">
        <v>9.4400000000000013</v>
      </c>
      <c r="BS262">
        <v>27</v>
      </c>
      <c r="BT262">
        <v>23.25</v>
      </c>
      <c r="BU262">
        <v>23</v>
      </c>
      <c r="BV262">
        <v>-3.0481742380379317E-2</v>
      </c>
      <c r="BW262">
        <v>26</v>
      </c>
      <c r="BX262">
        <v>-2.5887151161410847E-2</v>
      </c>
      <c r="BY262">
        <v>23</v>
      </c>
      <c r="BZ262">
        <v>-13.527999999999997</v>
      </c>
      <c r="CA262">
        <v>21</v>
      </c>
      <c r="CB262">
        <v>-1.8400000000000003</v>
      </c>
      <c r="CC262">
        <v>7.0399999999999991</v>
      </c>
      <c r="CD262">
        <v>1.72</v>
      </c>
      <c r="CE262">
        <v>3.5200000000000005</v>
      </c>
      <c r="CF262">
        <v>1.4799999999999955</v>
      </c>
      <c r="CG262">
        <v>34.240000000000009</v>
      </c>
      <c r="CH262">
        <v>-20.399999999999999</v>
      </c>
      <c r="CI262">
        <v>1.0799999999999998</v>
      </c>
      <c r="CJ262">
        <v>-13.439999999999998</v>
      </c>
      <c r="CK262">
        <v>20</v>
      </c>
      <c r="CL262">
        <v>-0.9211999999999998</v>
      </c>
      <c r="CM262">
        <v>-0.7406400000000003</v>
      </c>
      <c r="CN262">
        <v>54.640000000000008</v>
      </c>
      <c r="CO262">
        <v>0.92119999999999957</v>
      </c>
      <c r="CP262">
        <v>0.51234999999999986</v>
      </c>
      <c r="CQ262">
        <v>4.799999999999998</v>
      </c>
      <c r="CR262">
        <v>16.960000000000004</v>
      </c>
      <c r="CS262">
        <v>2.492</v>
      </c>
      <c r="CT262">
        <v>-25.12</v>
      </c>
      <c r="CU262">
        <v>3.4000000000000004</v>
      </c>
      <c r="CV262">
        <v>3.6</v>
      </c>
      <c r="CW262">
        <v>-0.99959999999999982</v>
      </c>
      <c r="CX262">
        <v>-2.1118999999999999</v>
      </c>
      <c r="CY262" t="s">
        <v>305</v>
      </c>
      <c r="CZ262">
        <v>32</v>
      </c>
      <c r="DA262">
        <v>-1.0943999999999996</v>
      </c>
      <c r="DB262">
        <v>4</v>
      </c>
      <c r="DC262">
        <v>5.5</v>
      </c>
      <c r="DD262">
        <v>6</v>
      </c>
      <c r="DE262">
        <v>-3.3079999999999985</v>
      </c>
      <c r="DF262">
        <v>5</v>
      </c>
      <c r="DG262">
        <v>-15.52</v>
      </c>
      <c r="DH262">
        <v>-0.96000000000000019</v>
      </c>
      <c r="DI262">
        <v>27</v>
      </c>
      <c r="DJ262">
        <v>24.5</v>
      </c>
      <c r="DK262">
        <v>29</v>
      </c>
      <c r="DL262">
        <v>0.31200000000000028</v>
      </c>
      <c r="DM262">
        <v>20</v>
      </c>
      <c r="DN262">
        <v>1.5599999999999994</v>
      </c>
      <c r="DO262">
        <v>-0.8</v>
      </c>
      <c r="DP262">
        <v>20</v>
      </c>
      <c r="DQ262">
        <v>25</v>
      </c>
      <c r="DR262">
        <v>27</v>
      </c>
      <c r="DS262">
        <v>-1.2599999999999987</v>
      </c>
      <c r="DT262">
        <v>23</v>
      </c>
      <c r="DU262">
        <v>-11.319999999999997</v>
      </c>
      <c r="DV262">
        <v>-1.7763568394002506E-16</v>
      </c>
      <c r="DW262">
        <v>16</v>
      </c>
      <c r="DX262">
        <v>16</v>
      </c>
      <c r="DY262">
        <v>12</v>
      </c>
      <c r="DZ262">
        <v>4.9019999999999992</v>
      </c>
      <c r="EA262">
        <v>20</v>
      </c>
      <c r="EB262">
        <v>28.78</v>
      </c>
      <c r="EC262">
        <v>3.75</v>
      </c>
      <c r="ED262">
        <v>22</v>
      </c>
      <c r="EE262">
        <v>29</v>
      </c>
      <c r="EF262">
        <v>31</v>
      </c>
      <c r="EG262">
        <v>-7.9999999999999807E-2</v>
      </c>
      <c r="EH262">
        <v>27</v>
      </c>
      <c r="EI262">
        <v>0.92000000000000026</v>
      </c>
      <c r="EJ262">
        <v>0.35999999999999988</v>
      </c>
      <c r="EK262">
        <v>26</v>
      </c>
      <c r="EL262">
        <v>26.5</v>
      </c>
      <c r="EM262">
        <v>23</v>
      </c>
      <c r="EN262">
        <v>2.8760000000000021</v>
      </c>
      <c r="EO262">
        <v>30</v>
      </c>
      <c r="EP262">
        <v>18.52</v>
      </c>
      <c r="EQ262">
        <v>-2.72</v>
      </c>
      <c r="ER262">
        <v>31</v>
      </c>
      <c r="ES262">
        <v>30.5</v>
      </c>
      <c r="ET262">
        <v>30</v>
      </c>
      <c r="EU262">
        <v>0.43000000000000044</v>
      </c>
      <c r="EV262">
        <v>31</v>
      </c>
      <c r="EW262">
        <v>5.6499999999999995</v>
      </c>
      <c r="EX262">
        <v>0.11000000000000006</v>
      </c>
      <c r="EY262">
        <v>23</v>
      </c>
      <c r="EZ262">
        <v>22.5</v>
      </c>
      <c r="FA262">
        <v>27</v>
      </c>
      <c r="FB262">
        <v>1</v>
      </c>
      <c r="FC262">
        <v>18</v>
      </c>
      <c r="FD262">
        <v>0.36000000000000004</v>
      </c>
      <c r="FE262">
        <v>-3.5200000000000005</v>
      </c>
      <c r="FF262">
        <v>5</v>
      </c>
      <c r="FG262">
        <v>9.75</v>
      </c>
      <c r="FH262">
        <v>15</v>
      </c>
      <c r="FI262">
        <v>-3.8834537496163349E-2</v>
      </c>
      <c r="FJ262">
        <v>8</v>
      </c>
      <c r="FK262">
        <v>-2.1449092569761196E-2</v>
      </c>
      <c r="FL262">
        <v>15</v>
      </c>
      <c r="FM262">
        <v>-12.651999999999997</v>
      </c>
      <c r="FN262">
        <v>1</v>
      </c>
      <c r="FO262">
        <v>0.80000000000000038</v>
      </c>
      <c r="FP262">
        <v>2.2799999999999998</v>
      </c>
      <c r="FQ262">
        <v>-4.24</v>
      </c>
      <c r="FR262">
        <v>-1.04</v>
      </c>
      <c r="FS262">
        <v>-3.8799999999999981</v>
      </c>
      <c r="FT262">
        <v>1.0799999999999994</v>
      </c>
      <c r="FU262">
        <v>-0.92000000000000015</v>
      </c>
      <c r="FV262">
        <v>5.5600000000000023</v>
      </c>
      <c r="FW262">
        <v>20.440000000000005</v>
      </c>
      <c r="FX262">
        <v>-14.839999999999998</v>
      </c>
      <c r="FY262">
        <v>0.36000000000000021</v>
      </c>
      <c r="FZ262">
        <v>-0.4</v>
      </c>
      <c r="GA262">
        <v>12</v>
      </c>
      <c r="GB262">
        <v>1.9015999999999984</v>
      </c>
      <c r="GC262">
        <v>2.0775199999999994</v>
      </c>
      <c r="GD262">
        <v>35.28</v>
      </c>
      <c r="GE262">
        <v>-1.9015999999999986</v>
      </c>
      <c r="GF262">
        <v>0.11270000000000036</v>
      </c>
      <c r="GG262">
        <v>3.5620000000000007</v>
      </c>
      <c r="GH262">
        <v>18.380000000000006</v>
      </c>
      <c r="GI262">
        <v>-2.9959999999999982</v>
      </c>
      <c r="GJ262">
        <v>-13.96</v>
      </c>
      <c r="GK262">
        <v>4.22</v>
      </c>
      <c r="GL262">
        <v>-1.7600000000000002</v>
      </c>
    </row>
    <row r="263" spans="1:194" x14ac:dyDescent="0.2">
      <c r="A263" s="39">
        <v>43772</v>
      </c>
      <c r="B263" s="22" t="s">
        <v>246</v>
      </c>
      <c r="C263" s="41" t="s">
        <v>296</v>
      </c>
      <c r="D263" s="22" t="s">
        <v>291</v>
      </c>
      <c r="E263">
        <v>11.8</v>
      </c>
      <c r="F263">
        <v>8.8000000000000007</v>
      </c>
      <c r="G263">
        <v>5.2</v>
      </c>
      <c r="H263">
        <v>14.7</v>
      </c>
      <c r="I263">
        <v>6.5</v>
      </c>
      <c r="J263">
        <v>48.5</v>
      </c>
      <c r="K263" t="s">
        <v>109</v>
      </c>
      <c r="L263" s="1" t="s">
        <v>296</v>
      </c>
      <c r="M263">
        <v>20</v>
      </c>
      <c r="N263">
        <v>-1.3399999999999992</v>
      </c>
      <c r="O263">
        <v>20</v>
      </c>
      <c r="P263">
        <v>21</v>
      </c>
      <c r="Q263">
        <v>16</v>
      </c>
      <c r="R263">
        <v>0</v>
      </c>
      <c r="S263">
        <v>26</v>
      </c>
      <c r="T263">
        <v>-20.68</v>
      </c>
      <c r="U263">
        <v>-0.20000000000000009</v>
      </c>
      <c r="V263">
        <v>31</v>
      </c>
      <c r="W263">
        <v>31</v>
      </c>
      <c r="X263">
        <v>32</v>
      </c>
      <c r="Y263">
        <v>-5.5759999999999996</v>
      </c>
      <c r="Z263">
        <v>30</v>
      </c>
      <c r="AA263">
        <v>-9.6000000000000014</v>
      </c>
      <c r="AB263">
        <v>-2.08</v>
      </c>
      <c r="AC263">
        <v>14</v>
      </c>
      <c r="AD263">
        <v>15.5</v>
      </c>
      <c r="AE263">
        <v>10</v>
      </c>
      <c r="AF263">
        <v>1.5439999999999992</v>
      </c>
      <c r="AG263">
        <v>21</v>
      </c>
      <c r="AH263">
        <v>8.120000000000001</v>
      </c>
      <c r="AI263">
        <v>1.9199999999999995</v>
      </c>
      <c r="AJ263">
        <v>13</v>
      </c>
      <c r="AK263">
        <v>13.5</v>
      </c>
      <c r="AL263">
        <v>5</v>
      </c>
      <c r="AM263">
        <v>-2.795999999999998</v>
      </c>
      <c r="AN263">
        <v>22</v>
      </c>
      <c r="AO263">
        <v>-15.560000000000002</v>
      </c>
      <c r="AP263">
        <v>-0.79999999999999971</v>
      </c>
      <c r="AQ263">
        <v>12</v>
      </c>
      <c r="AR263">
        <v>12.5</v>
      </c>
      <c r="AS263">
        <v>14</v>
      </c>
      <c r="AT263">
        <v>0.68399999999999994</v>
      </c>
      <c r="AU263">
        <v>11</v>
      </c>
      <c r="AV263">
        <v>2.12</v>
      </c>
      <c r="AW263">
        <v>-0.91999999999999993</v>
      </c>
      <c r="AX263">
        <v>22</v>
      </c>
      <c r="AY263">
        <v>21</v>
      </c>
      <c r="AZ263">
        <v>17</v>
      </c>
      <c r="BA263">
        <v>3.7079999999999984</v>
      </c>
      <c r="BB263">
        <v>25</v>
      </c>
      <c r="BC263">
        <v>15.079999999999995</v>
      </c>
      <c r="BD263">
        <v>1.4799999999999998</v>
      </c>
      <c r="BE263">
        <v>19</v>
      </c>
      <c r="BF263">
        <v>19</v>
      </c>
      <c r="BG263">
        <v>18</v>
      </c>
      <c r="BH263">
        <v>-0.72799999999999943</v>
      </c>
      <c r="BI263">
        <v>20</v>
      </c>
      <c r="BJ263">
        <v>-10.600000000000001</v>
      </c>
      <c r="BK263">
        <v>1.6400000000000001</v>
      </c>
      <c r="BL263">
        <v>28</v>
      </c>
      <c r="BM263">
        <v>27.5</v>
      </c>
      <c r="BN263">
        <v>29</v>
      </c>
      <c r="BO263">
        <v>-3.8</v>
      </c>
      <c r="BP263">
        <v>26</v>
      </c>
      <c r="BQ263">
        <v>-1.2</v>
      </c>
      <c r="BR263">
        <v>4.4400000000000004</v>
      </c>
      <c r="BS263">
        <v>2</v>
      </c>
      <c r="BT263">
        <v>7.5</v>
      </c>
      <c r="BU263">
        <v>3</v>
      </c>
      <c r="BV263">
        <v>4.639523895036575E-2</v>
      </c>
      <c r="BW263">
        <v>16</v>
      </c>
      <c r="BX263">
        <v>4.4179332375002961E-3</v>
      </c>
      <c r="BY263">
        <v>10</v>
      </c>
      <c r="BZ263">
        <v>-3.0000000000000027</v>
      </c>
      <c r="CA263">
        <v>1</v>
      </c>
      <c r="CB263">
        <v>5.4799999999999995</v>
      </c>
      <c r="CC263">
        <v>-1.3599999999999994</v>
      </c>
      <c r="CD263">
        <v>-4.6399999999999997</v>
      </c>
      <c r="CE263">
        <v>2.8</v>
      </c>
      <c r="CF263">
        <v>-53.839999999999989</v>
      </c>
      <c r="CG263">
        <v>-28.919999999999998</v>
      </c>
      <c r="CH263">
        <v>-32.92</v>
      </c>
      <c r="CI263">
        <v>-0.6</v>
      </c>
      <c r="CJ263">
        <v>8.6</v>
      </c>
      <c r="CK263">
        <v>10</v>
      </c>
      <c r="CL263">
        <v>4.2360000000000007</v>
      </c>
      <c r="CM263">
        <v>2.2608000000000006</v>
      </c>
      <c r="CN263">
        <v>4.0000000000000036</v>
      </c>
      <c r="CO263">
        <v>-4.2360000000000007</v>
      </c>
      <c r="CP263">
        <v>-1.5014999999999996</v>
      </c>
      <c r="CQ263">
        <v>-0.56799999999999895</v>
      </c>
      <c r="CR263">
        <v>-5.3200000000000012</v>
      </c>
      <c r="CS263">
        <v>-5.5759999999999996</v>
      </c>
      <c r="CT263">
        <v>-30.28</v>
      </c>
      <c r="CU263">
        <v>1.8399999999999999</v>
      </c>
      <c r="CV263">
        <v>-2.2800000000000002</v>
      </c>
      <c r="CW263">
        <v>-0.77348750000000011</v>
      </c>
      <c r="CX263">
        <v>-0.64767500000000011</v>
      </c>
      <c r="CY263" t="s">
        <v>291</v>
      </c>
      <c r="CZ263">
        <v>19</v>
      </c>
      <c r="DA263">
        <v>-5.1655999999999995</v>
      </c>
      <c r="DB263">
        <v>6</v>
      </c>
      <c r="DC263">
        <v>8</v>
      </c>
      <c r="DD263">
        <v>4</v>
      </c>
      <c r="DE263">
        <v>0.65920000000000056</v>
      </c>
      <c r="DF263">
        <v>12</v>
      </c>
      <c r="DG263">
        <v>-0.87999999999999834</v>
      </c>
      <c r="DH263">
        <v>-0.91999999999999993</v>
      </c>
      <c r="DI263">
        <v>22</v>
      </c>
      <c r="DJ263">
        <v>19</v>
      </c>
      <c r="DK263">
        <v>24</v>
      </c>
      <c r="DL263">
        <v>-2.8159999999999998</v>
      </c>
      <c r="DM263">
        <v>14</v>
      </c>
      <c r="DN263">
        <v>-12.360000000000001</v>
      </c>
      <c r="DO263">
        <v>0.28000000000000003</v>
      </c>
      <c r="DP263">
        <v>26</v>
      </c>
      <c r="DQ263">
        <v>29.5</v>
      </c>
      <c r="DR263">
        <v>30</v>
      </c>
      <c r="DS263">
        <v>-5.0880000000000001</v>
      </c>
      <c r="DT263">
        <v>29</v>
      </c>
      <c r="DU263">
        <v>-12.56</v>
      </c>
      <c r="DV263">
        <v>-1.6800000000000002</v>
      </c>
      <c r="DW263">
        <v>15</v>
      </c>
      <c r="DX263">
        <v>14</v>
      </c>
      <c r="DY263">
        <v>13</v>
      </c>
      <c r="DZ263">
        <v>2.6680000000000001</v>
      </c>
      <c r="EA263">
        <v>15</v>
      </c>
      <c r="EB263">
        <v>7.8799999999999981</v>
      </c>
      <c r="EC263">
        <v>0.43999999999999995</v>
      </c>
      <c r="ED263">
        <v>19</v>
      </c>
      <c r="EE263">
        <v>10.5</v>
      </c>
      <c r="EF263">
        <v>9</v>
      </c>
      <c r="EG263">
        <v>-0.99199999999999999</v>
      </c>
      <c r="EH263">
        <v>12</v>
      </c>
      <c r="EI263">
        <v>-5.6</v>
      </c>
      <c r="EJ263">
        <v>-3.9999999999999994E-2</v>
      </c>
      <c r="EK263">
        <v>8</v>
      </c>
      <c r="EL263">
        <v>8.5</v>
      </c>
      <c r="EM263">
        <v>10</v>
      </c>
      <c r="EN263">
        <v>-5.1999999999999602E-2</v>
      </c>
      <c r="EO263">
        <v>7</v>
      </c>
      <c r="EP263">
        <v>5.08</v>
      </c>
      <c r="EQ263">
        <v>-1.0799999999999996</v>
      </c>
      <c r="ER263">
        <v>27</v>
      </c>
      <c r="ES263">
        <v>26</v>
      </c>
      <c r="ET263">
        <v>22</v>
      </c>
      <c r="EU263">
        <v>0.62000000000000033</v>
      </c>
      <c r="EV263">
        <v>30</v>
      </c>
      <c r="EW263">
        <v>10.319999999999999</v>
      </c>
      <c r="EX263">
        <v>0.52000000000000024</v>
      </c>
      <c r="EY263">
        <v>7</v>
      </c>
      <c r="EZ263">
        <v>7</v>
      </c>
      <c r="FA263">
        <v>10</v>
      </c>
      <c r="FB263">
        <v>2.92</v>
      </c>
      <c r="FC263">
        <v>4</v>
      </c>
      <c r="FD263">
        <v>1</v>
      </c>
      <c r="FE263">
        <v>-2.72</v>
      </c>
      <c r="FF263">
        <v>15</v>
      </c>
      <c r="FG263">
        <v>15.75</v>
      </c>
      <c r="FH263">
        <v>7</v>
      </c>
      <c r="FI263">
        <v>-1.9316011211576466E-2</v>
      </c>
      <c r="FJ263">
        <v>7</v>
      </c>
      <c r="FK263">
        <v>2.0049431907943848E-2</v>
      </c>
      <c r="FL263">
        <v>28</v>
      </c>
      <c r="FM263">
        <v>12.255999999999997</v>
      </c>
      <c r="FN263">
        <v>21</v>
      </c>
      <c r="FO263">
        <v>0.5600000000000005</v>
      </c>
      <c r="FP263">
        <v>-1.4800000000000011</v>
      </c>
      <c r="FQ263">
        <v>-1.2799999999999998</v>
      </c>
      <c r="FR263">
        <v>0.76</v>
      </c>
      <c r="FS263">
        <v>-1.4000000000000015</v>
      </c>
      <c r="FT263">
        <v>-1.3599999999999994</v>
      </c>
      <c r="FU263">
        <v>-1.56</v>
      </c>
      <c r="FV263">
        <v>-22.24</v>
      </c>
      <c r="FW263">
        <v>-15.959999999999997</v>
      </c>
      <c r="FX263">
        <v>-11.84</v>
      </c>
      <c r="FY263">
        <v>2</v>
      </c>
      <c r="FZ263">
        <v>3.5599999999999996</v>
      </c>
      <c r="GA263">
        <v>24</v>
      </c>
      <c r="GB263">
        <v>-3.0087999999999999</v>
      </c>
      <c r="GC263">
        <v>-0.51312000000000002</v>
      </c>
      <c r="GD263">
        <v>-4.1199999999999974</v>
      </c>
      <c r="GE263">
        <v>3.0088000000000004</v>
      </c>
      <c r="GF263">
        <v>-0.89929999999999999</v>
      </c>
      <c r="GG263">
        <v>-3.4119999999999999</v>
      </c>
      <c r="GH263">
        <v>-10.280000000000001</v>
      </c>
      <c r="GI263">
        <v>-2.1567999999999992</v>
      </c>
      <c r="GJ263">
        <v>-13.24</v>
      </c>
      <c r="GK263">
        <v>-0.76</v>
      </c>
      <c r="GL263">
        <v>-0.6399999999999999</v>
      </c>
    </row>
    <row r="264" spans="1:194" x14ac:dyDescent="0.2">
      <c r="A264" s="39">
        <v>43772</v>
      </c>
      <c r="B264" s="22" t="s">
        <v>246</v>
      </c>
      <c r="C264" s="41" t="s">
        <v>298</v>
      </c>
      <c r="D264" s="22" t="s">
        <v>293</v>
      </c>
      <c r="E264">
        <v>22.3</v>
      </c>
      <c r="F264">
        <v>5.3</v>
      </c>
      <c r="G264">
        <v>3.9</v>
      </c>
      <c r="H264">
        <v>11</v>
      </c>
      <c r="I264">
        <v>-3.5</v>
      </c>
      <c r="J264">
        <v>42.5</v>
      </c>
      <c r="L264" s="1" t="s">
        <v>298</v>
      </c>
      <c r="M264">
        <v>28</v>
      </c>
      <c r="N264">
        <v>-5.0680000000000023</v>
      </c>
      <c r="O264">
        <v>19</v>
      </c>
      <c r="P264">
        <v>20.5</v>
      </c>
      <c r="Q264">
        <v>13</v>
      </c>
      <c r="R264">
        <v>-4.0760000000000005</v>
      </c>
      <c r="S264">
        <v>28</v>
      </c>
      <c r="T264">
        <v>-13.8</v>
      </c>
      <c r="U264">
        <v>1.44</v>
      </c>
      <c r="V264">
        <v>24</v>
      </c>
      <c r="W264">
        <v>24</v>
      </c>
      <c r="X264">
        <v>27</v>
      </c>
      <c r="Y264">
        <v>-3.3759999999999999</v>
      </c>
      <c r="Z264">
        <v>21</v>
      </c>
      <c r="AA264">
        <v>-11.12</v>
      </c>
      <c r="AB264">
        <v>-1.2400000000000002</v>
      </c>
      <c r="AC264">
        <v>31</v>
      </c>
      <c r="AD264">
        <v>31</v>
      </c>
      <c r="AE264">
        <v>30</v>
      </c>
      <c r="AF264">
        <v>-3.3400000000000007</v>
      </c>
      <c r="AG264">
        <v>32</v>
      </c>
      <c r="AH264">
        <v>-19.920000000000002</v>
      </c>
      <c r="AI264">
        <v>-1.2799999999999998</v>
      </c>
      <c r="AJ264">
        <v>21</v>
      </c>
      <c r="AK264">
        <v>20.5</v>
      </c>
      <c r="AL264">
        <v>21</v>
      </c>
      <c r="AM264">
        <v>-1.5239999999999996</v>
      </c>
      <c r="AN264">
        <v>20</v>
      </c>
      <c r="AO264">
        <v>-1.8399999999999992</v>
      </c>
      <c r="AP264">
        <v>-0.59999999999999987</v>
      </c>
      <c r="AQ264">
        <v>6</v>
      </c>
      <c r="AR264">
        <v>6</v>
      </c>
      <c r="AS264">
        <v>7</v>
      </c>
      <c r="AT264">
        <v>3.024</v>
      </c>
      <c r="AU264">
        <v>5</v>
      </c>
      <c r="AV264">
        <v>19.919999999999998</v>
      </c>
      <c r="AW264">
        <v>2.16</v>
      </c>
      <c r="AX264">
        <v>24</v>
      </c>
      <c r="AY264">
        <v>25</v>
      </c>
      <c r="AZ264">
        <v>24</v>
      </c>
      <c r="BA264">
        <v>-1.4439999999999995</v>
      </c>
      <c r="BB264">
        <v>26</v>
      </c>
      <c r="BC264">
        <v>1.1599999999999979</v>
      </c>
      <c r="BD264">
        <v>-0.96</v>
      </c>
      <c r="BE264">
        <v>14</v>
      </c>
      <c r="BF264">
        <v>13.5</v>
      </c>
      <c r="BG264">
        <v>13</v>
      </c>
      <c r="BH264">
        <v>-0.2000000000000007</v>
      </c>
      <c r="BI264">
        <v>14</v>
      </c>
      <c r="BJ264">
        <v>-12.320000000000002</v>
      </c>
      <c r="BK264">
        <v>-1.6799999999999997</v>
      </c>
      <c r="BL264">
        <v>14</v>
      </c>
      <c r="BM264">
        <v>13.5</v>
      </c>
      <c r="BN264">
        <v>19</v>
      </c>
      <c r="BO264">
        <v>-3.0799999999999996</v>
      </c>
      <c r="BP264">
        <v>8</v>
      </c>
      <c r="BQ264">
        <v>-0.76</v>
      </c>
      <c r="BR264">
        <v>-3.7199999999999998</v>
      </c>
      <c r="BS264">
        <v>8</v>
      </c>
      <c r="BT264">
        <v>12</v>
      </c>
      <c r="BU264">
        <v>2</v>
      </c>
      <c r="BV264">
        <v>8.1819623587972817E-2</v>
      </c>
      <c r="BW264">
        <v>17</v>
      </c>
      <c r="BX264">
        <v>3.9080413848829793E-2</v>
      </c>
      <c r="BY264">
        <v>12</v>
      </c>
      <c r="BZ264">
        <v>-2.2719999999999998</v>
      </c>
      <c r="CA264">
        <v>17</v>
      </c>
      <c r="CB264">
        <v>6.44</v>
      </c>
      <c r="CC264">
        <v>-4.7600000000000007</v>
      </c>
      <c r="CD264">
        <v>-6.44</v>
      </c>
      <c r="CE264">
        <v>-0.51999999999999991</v>
      </c>
      <c r="CF264">
        <v>-66.84</v>
      </c>
      <c r="CG264">
        <v>-23.799999999999994</v>
      </c>
      <c r="CH264">
        <v>-26.439999999999998</v>
      </c>
      <c r="CI264">
        <v>-1.8400000000000003</v>
      </c>
      <c r="CJ264">
        <v>-14.76</v>
      </c>
      <c r="CK264">
        <v>14</v>
      </c>
      <c r="CL264">
        <v>2.3839999999999981</v>
      </c>
      <c r="CM264">
        <v>2.3043999999999993</v>
      </c>
      <c r="CN264">
        <v>2.6400000000000041</v>
      </c>
      <c r="CO264">
        <v>-2.3839999999999977</v>
      </c>
      <c r="CP264">
        <v>-2.2050000000000005</v>
      </c>
      <c r="CQ264">
        <v>-1.8400000000000007</v>
      </c>
      <c r="CR264">
        <v>-1.8400000000000034</v>
      </c>
      <c r="CS264">
        <v>-7.452</v>
      </c>
      <c r="CT264">
        <v>-24.92</v>
      </c>
      <c r="CU264">
        <v>-1.3999999999999992</v>
      </c>
      <c r="CV264">
        <v>0.19999999999999973</v>
      </c>
      <c r="CW264">
        <v>1.8949375000000002</v>
      </c>
      <c r="CX264">
        <v>1.0996750000000002</v>
      </c>
      <c r="CY264" t="s">
        <v>293</v>
      </c>
      <c r="CZ264">
        <v>2</v>
      </c>
      <c r="DA264">
        <v>4.9576000000000011</v>
      </c>
      <c r="DB264">
        <v>1</v>
      </c>
      <c r="DC264">
        <v>1.5</v>
      </c>
      <c r="DD264">
        <v>1</v>
      </c>
      <c r="DE264">
        <v>4.82</v>
      </c>
      <c r="DF264">
        <v>2</v>
      </c>
      <c r="DG264">
        <v>30.080000000000002</v>
      </c>
      <c r="DH264">
        <v>-0.32000000000000006</v>
      </c>
      <c r="DI264">
        <v>30</v>
      </c>
      <c r="DJ264">
        <v>27</v>
      </c>
      <c r="DK264">
        <v>27</v>
      </c>
      <c r="DL264">
        <v>-1.8</v>
      </c>
      <c r="DM264">
        <v>27</v>
      </c>
      <c r="DN264">
        <v>1.4399999999999991</v>
      </c>
      <c r="DO264">
        <v>-1.2</v>
      </c>
      <c r="DP264">
        <v>2</v>
      </c>
      <c r="DQ264">
        <v>1.5</v>
      </c>
      <c r="DR264">
        <v>1</v>
      </c>
      <c r="DS264">
        <v>10.212</v>
      </c>
      <c r="DT264">
        <v>2</v>
      </c>
      <c r="DU264">
        <v>31.559999999999995</v>
      </c>
      <c r="DV264">
        <v>0.91999999999999993</v>
      </c>
      <c r="DW264">
        <v>8</v>
      </c>
      <c r="DX264">
        <v>7</v>
      </c>
      <c r="DY264">
        <v>6</v>
      </c>
      <c r="DZ264">
        <v>0.29999999999999921</v>
      </c>
      <c r="EA264">
        <v>8</v>
      </c>
      <c r="EB264">
        <v>-1.8</v>
      </c>
      <c r="EC264">
        <v>-0.24000000000000013</v>
      </c>
      <c r="ED264">
        <v>29</v>
      </c>
      <c r="EE264">
        <v>24</v>
      </c>
      <c r="EF264">
        <v>22</v>
      </c>
      <c r="EG264">
        <v>-0.48799999999999971</v>
      </c>
      <c r="EH264">
        <v>26</v>
      </c>
      <c r="EI264">
        <v>-2.7999999999999994</v>
      </c>
      <c r="EJ264">
        <v>-0.12000000000000006</v>
      </c>
      <c r="EK264">
        <v>9</v>
      </c>
      <c r="EL264">
        <v>9</v>
      </c>
      <c r="EM264">
        <v>8</v>
      </c>
      <c r="EN264">
        <v>4.2919999999999998</v>
      </c>
      <c r="EO264">
        <v>10</v>
      </c>
      <c r="EP264">
        <v>-0.67999999999999972</v>
      </c>
      <c r="EQ264">
        <v>8.0000000000000071E-2</v>
      </c>
      <c r="ER264">
        <v>19</v>
      </c>
      <c r="ES264">
        <v>18.5</v>
      </c>
      <c r="ET264">
        <v>25</v>
      </c>
      <c r="EU264">
        <v>-1.2799999999999998</v>
      </c>
      <c r="EV264">
        <v>12</v>
      </c>
      <c r="EW264">
        <v>2.3999999999999986</v>
      </c>
      <c r="EX264">
        <v>1</v>
      </c>
      <c r="EY264">
        <v>1</v>
      </c>
      <c r="EZ264">
        <v>1.5</v>
      </c>
      <c r="FA264">
        <v>1</v>
      </c>
      <c r="FB264">
        <v>4.8</v>
      </c>
      <c r="FC264">
        <v>2</v>
      </c>
      <c r="FD264">
        <v>1.1599999999999997</v>
      </c>
      <c r="FE264">
        <v>1.9200000000000004</v>
      </c>
      <c r="FF264">
        <v>31</v>
      </c>
      <c r="FG264">
        <v>29</v>
      </c>
      <c r="FH264">
        <v>29</v>
      </c>
      <c r="FI264">
        <v>-4.3242412407643552E-2</v>
      </c>
      <c r="FJ264">
        <v>32</v>
      </c>
      <c r="FK264">
        <v>-3.118140422194653E-2</v>
      </c>
      <c r="FL264">
        <v>30</v>
      </c>
      <c r="FM264">
        <v>7.4679999999999991</v>
      </c>
      <c r="FN264">
        <v>25</v>
      </c>
      <c r="FO264">
        <v>-7.4399999999999995</v>
      </c>
      <c r="FP264">
        <v>0.75999999999999945</v>
      </c>
      <c r="FQ264">
        <v>4.84</v>
      </c>
      <c r="FR264">
        <v>0.15999999999999998</v>
      </c>
      <c r="FS264">
        <v>4.6399999999999988</v>
      </c>
      <c r="FT264">
        <v>7.4</v>
      </c>
      <c r="FU264">
        <v>0.60000000000000009</v>
      </c>
      <c r="FV264">
        <v>64.080000000000013</v>
      </c>
      <c r="FW264">
        <v>35.039999999999992</v>
      </c>
      <c r="FX264">
        <v>33.32</v>
      </c>
      <c r="FY264">
        <v>-4.08</v>
      </c>
      <c r="FZ264">
        <v>-0.19999999999999979</v>
      </c>
      <c r="GA264">
        <v>11</v>
      </c>
      <c r="GB264">
        <v>1.9376000000000009</v>
      </c>
      <c r="GC264">
        <v>1.2303199999999999</v>
      </c>
      <c r="GD264">
        <v>1.7199999999999918</v>
      </c>
      <c r="GE264">
        <v>-1.9376000000000007</v>
      </c>
      <c r="GF264">
        <v>2.6902000000000004</v>
      </c>
      <c r="GG264">
        <v>10.023999999999999</v>
      </c>
      <c r="GH264">
        <v>26.959999999999994</v>
      </c>
      <c r="GI264">
        <v>3.0200000000000005</v>
      </c>
      <c r="GJ264">
        <v>31.52</v>
      </c>
      <c r="GK264">
        <v>1.5599999999999996</v>
      </c>
      <c r="GL264">
        <v>-1.52</v>
      </c>
    </row>
    <row r="265" spans="1:194" x14ac:dyDescent="0.2">
      <c r="A265" s="39">
        <v>43772</v>
      </c>
      <c r="B265" s="22" t="s">
        <v>246</v>
      </c>
      <c r="C265" s="41" t="s">
        <v>294</v>
      </c>
      <c r="D265" s="22" t="s">
        <v>265</v>
      </c>
      <c r="E265">
        <v>7.6</v>
      </c>
      <c r="F265">
        <v>5.0999999999999996</v>
      </c>
      <c r="G265">
        <v>1.5</v>
      </c>
      <c r="H265">
        <f>28.3+7.9</f>
        <v>36.200000000000003</v>
      </c>
      <c r="I265">
        <v>-5</v>
      </c>
      <c r="J265">
        <v>41</v>
      </c>
      <c r="L265" s="1" t="s">
        <v>294</v>
      </c>
      <c r="M265">
        <v>17</v>
      </c>
      <c r="N265">
        <v>-4.0400000000000699E-2</v>
      </c>
      <c r="O265">
        <v>16</v>
      </c>
      <c r="P265">
        <v>16.5</v>
      </c>
      <c r="Q265">
        <v>18</v>
      </c>
      <c r="R265">
        <v>-0.58400000000000107</v>
      </c>
      <c r="S265">
        <v>15</v>
      </c>
      <c r="T265">
        <v>5</v>
      </c>
      <c r="U265">
        <v>-1.5599999999999998</v>
      </c>
      <c r="V265">
        <v>9</v>
      </c>
      <c r="W265">
        <v>10.5</v>
      </c>
      <c r="X265">
        <v>16</v>
      </c>
      <c r="Y265">
        <v>6.2439999999999998</v>
      </c>
      <c r="Z265">
        <v>5</v>
      </c>
      <c r="AA265">
        <v>18.149999999999999</v>
      </c>
      <c r="AB265">
        <v>0.25</v>
      </c>
      <c r="AC265">
        <v>19</v>
      </c>
      <c r="AD265">
        <v>18.5</v>
      </c>
      <c r="AE265">
        <v>20</v>
      </c>
      <c r="AF265">
        <v>-0.7600000000000009</v>
      </c>
      <c r="AG265">
        <v>17</v>
      </c>
      <c r="AH265">
        <v>-12.45</v>
      </c>
      <c r="AI265">
        <v>0.27000000000000013</v>
      </c>
      <c r="AJ265">
        <v>30</v>
      </c>
      <c r="AK265">
        <v>30</v>
      </c>
      <c r="AL265">
        <v>29</v>
      </c>
      <c r="AM265">
        <v>-7.036999999999999</v>
      </c>
      <c r="AN265">
        <v>31</v>
      </c>
      <c r="AO265">
        <v>-25.99</v>
      </c>
      <c r="AP265">
        <v>-2.5499999999999998</v>
      </c>
      <c r="AQ265">
        <v>23</v>
      </c>
      <c r="AR265">
        <v>23.5</v>
      </c>
      <c r="AS265">
        <v>24</v>
      </c>
      <c r="AT265">
        <v>-5.6520000000000001</v>
      </c>
      <c r="AU265">
        <v>23</v>
      </c>
      <c r="AV265">
        <v>-27.079999999999995</v>
      </c>
      <c r="AW265">
        <v>-2.1999999999999997</v>
      </c>
      <c r="AX265">
        <v>20</v>
      </c>
      <c r="AY265">
        <v>20</v>
      </c>
      <c r="AZ265">
        <v>19</v>
      </c>
      <c r="BA265">
        <v>-2.1280000000000001</v>
      </c>
      <c r="BB265">
        <v>21</v>
      </c>
      <c r="BC265">
        <v>-19.68</v>
      </c>
      <c r="BD265">
        <v>-1.08</v>
      </c>
      <c r="BE265">
        <v>1</v>
      </c>
      <c r="BF265">
        <v>1</v>
      </c>
      <c r="BG265">
        <v>1</v>
      </c>
      <c r="BH265">
        <v>6.5479999999999992</v>
      </c>
      <c r="BI265">
        <v>1</v>
      </c>
      <c r="BJ265">
        <v>24.88</v>
      </c>
      <c r="BK265">
        <v>3.6000000000000005</v>
      </c>
      <c r="BL265">
        <v>23</v>
      </c>
      <c r="BM265">
        <v>22.5</v>
      </c>
      <c r="BN265">
        <v>24</v>
      </c>
      <c r="BO265">
        <v>-1.9599999999999997</v>
      </c>
      <c r="BP265">
        <v>21</v>
      </c>
      <c r="BQ265">
        <v>-1.1200000000000001</v>
      </c>
      <c r="BR265">
        <v>2.8800000000000003</v>
      </c>
      <c r="BS265">
        <v>6</v>
      </c>
      <c r="BT265">
        <v>10.25</v>
      </c>
      <c r="BU265">
        <v>16</v>
      </c>
      <c r="BV265">
        <v>3.5532068397901531E-2</v>
      </c>
      <c r="BW265">
        <v>4</v>
      </c>
      <c r="BX265">
        <v>-9.7883016348527512E-3</v>
      </c>
      <c r="BY265">
        <v>6</v>
      </c>
      <c r="BZ265">
        <v>-4.6199999999999974</v>
      </c>
      <c r="CA265">
        <v>15</v>
      </c>
      <c r="CB265">
        <v>-0.12000000000000011</v>
      </c>
      <c r="CC265">
        <v>-0.48000000000000115</v>
      </c>
      <c r="CD265">
        <v>1.9599999999999991</v>
      </c>
      <c r="CE265">
        <v>1.8</v>
      </c>
      <c r="CF265">
        <v>-4.4000000000000004</v>
      </c>
      <c r="CG265">
        <v>-39.959999999999994</v>
      </c>
      <c r="CH265">
        <v>32.279999999999994</v>
      </c>
      <c r="CI265">
        <v>-2</v>
      </c>
      <c r="CJ265">
        <v>5.2799999999999994</v>
      </c>
      <c r="CK265">
        <v>25</v>
      </c>
      <c r="CL265">
        <v>-5.7003999999999992</v>
      </c>
      <c r="CM265">
        <v>-4.2182799999999991</v>
      </c>
      <c r="CN265">
        <v>-72.239999999999981</v>
      </c>
      <c r="CO265">
        <v>5.7003999999999992</v>
      </c>
      <c r="CP265">
        <v>-0.40517500000000028</v>
      </c>
      <c r="CQ265">
        <v>-13.449</v>
      </c>
      <c r="CR265">
        <v>-65.52</v>
      </c>
      <c r="CS265">
        <v>5.6599999999999984</v>
      </c>
      <c r="CT265">
        <v>23.15</v>
      </c>
      <c r="CU265">
        <v>-0.87999999999999901</v>
      </c>
      <c r="CV265">
        <v>-1.3099999999999998</v>
      </c>
      <c r="CW265">
        <v>-0.82331249999999989</v>
      </c>
      <c r="CX265">
        <v>-9.0150000000000036E-2</v>
      </c>
      <c r="CY265" t="s">
        <v>265</v>
      </c>
      <c r="CZ265">
        <v>29</v>
      </c>
      <c r="DA265">
        <v>-4.4999999999999973</v>
      </c>
      <c r="DB265">
        <v>12</v>
      </c>
      <c r="DC265">
        <v>11.5</v>
      </c>
      <c r="DD265">
        <v>15</v>
      </c>
      <c r="DE265">
        <v>2.727199999999999</v>
      </c>
      <c r="DF265">
        <v>8</v>
      </c>
      <c r="DG265">
        <v>4.5999999999999996</v>
      </c>
      <c r="DH265">
        <v>-7.9999999999999988E-2</v>
      </c>
      <c r="DI265">
        <v>14</v>
      </c>
      <c r="DJ265">
        <v>15</v>
      </c>
      <c r="DK265">
        <v>14</v>
      </c>
      <c r="DL265">
        <v>-3.7600000000000002</v>
      </c>
      <c r="DM265">
        <v>16</v>
      </c>
      <c r="DN265">
        <v>-15.76</v>
      </c>
      <c r="DO265">
        <v>-0.55999999999999983</v>
      </c>
      <c r="DP265">
        <v>25</v>
      </c>
      <c r="DQ265">
        <v>20</v>
      </c>
      <c r="DR265">
        <v>19</v>
      </c>
      <c r="DS265">
        <v>-5.3099999999999987</v>
      </c>
      <c r="DT265">
        <v>21</v>
      </c>
      <c r="DU265">
        <v>-12.25</v>
      </c>
      <c r="DV265">
        <v>-0.34999999999999987</v>
      </c>
      <c r="DW265">
        <v>28</v>
      </c>
      <c r="DX265">
        <v>27</v>
      </c>
      <c r="DY265">
        <v>28</v>
      </c>
      <c r="DZ265">
        <v>-0.43500000000000094</v>
      </c>
      <c r="EA265">
        <v>26</v>
      </c>
      <c r="EB265">
        <v>6.5500000000000025</v>
      </c>
      <c r="EC265">
        <v>0.89999999999999991</v>
      </c>
      <c r="ED265">
        <v>20</v>
      </c>
      <c r="EE265">
        <v>19.5</v>
      </c>
      <c r="EF265">
        <v>20</v>
      </c>
      <c r="EG265">
        <v>0.27</v>
      </c>
      <c r="EH265">
        <v>19</v>
      </c>
      <c r="EI265">
        <v>-0.29999999999999982</v>
      </c>
      <c r="EJ265">
        <v>0.45</v>
      </c>
      <c r="EK265">
        <v>21</v>
      </c>
      <c r="EL265">
        <v>21.5</v>
      </c>
      <c r="EM265">
        <v>20</v>
      </c>
      <c r="EN265">
        <v>-4.5519999999999996</v>
      </c>
      <c r="EO265">
        <v>23</v>
      </c>
      <c r="EP265">
        <v>-15.52</v>
      </c>
      <c r="EQ265">
        <v>0.4</v>
      </c>
      <c r="ER265">
        <v>15</v>
      </c>
      <c r="ES265">
        <v>15</v>
      </c>
      <c r="ET265">
        <v>12</v>
      </c>
      <c r="EU265">
        <v>0.19600000000000062</v>
      </c>
      <c r="EV265">
        <v>18</v>
      </c>
      <c r="EW265">
        <v>5.3599999999999994</v>
      </c>
      <c r="EX265">
        <v>7.9999999999999891E-2</v>
      </c>
      <c r="EY265">
        <v>15</v>
      </c>
      <c r="EZ265">
        <v>13</v>
      </c>
      <c r="FA265">
        <v>14</v>
      </c>
      <c r="FB265">
        <v>-1.64</v>
      </c>
      <c r="FC265">
        <v>12</v>
      </c>
      <c r="FD265">
        <v>0</v>
      </c>
      <c r="FE265">
        <v>-1.1199999999999997</v>
      </c>
      <c r="FF265">
        <v>32</v>
      </c>
      <c r="FG265">
        <v>29.25</v>
      </c>
      <c r="FH265">
        <v>28</v>
      </c>
      <c r="FI265">
        <v>-3.8113487894282129E-2</v>
      </c>
      <c r="FJ265">
        <v>29</v>
      </c>
      <c r="FK265">
        <v>1.5648822183262391E-2</v>
      </c>
      <c r="FL265">
        <v>29</v>
      </c>
      <c r="FM265">
        <v>6.591999999999997</v>
      </c>
      <c r="FN265">
        <v>31</v>
      </c>
      <c r="FO265">
        <v>1.92</v>
      </c>
      <c r="FP265">
        <v>1.8399999999999999</v>
      </c>
      <c r="FQ265">
        <v>-0.4799999999999997</v>
      </c>
      <c r="FR265">
        <v>-0.27999999999999997</v>
      </c>
      <c r="FS265">
        <v>1.3200000000000003</v>
      </c>
      <c r="FT265">
        <v>-2.6399999999999992</v>
      </c>
      <c r="FU265">
        <v>-0.87999999999999989</v>
      </c>
      <c r="FV265">
        <v>-41.240000000000009</v>
      </c>
      <c r="FW265">
        <v>-28.600000000000005</v>
      </c>
      <c r="FX265">
        <v>-10</v>
      </c>
      <c r="FY265">
        <v>-5.6800000000000006</v>
      </c>
      <c r="FZ265">
        <v>3.04</v>
      </c>
      <c r="GA265">
        <v>25</v>
      </c>
      <c r="GB265">
        <v>-3.4671999999999961</v>
      </c>
      <c r="GC265">
        <v>-1.4393999999999987</v>
      </c>
      <c r="GD265">
        <v>-18.600000000000005</v>
      </c>
      <c r="GE265">
        <v>3.4671999999999961</v>
      </c>
      <c r="GF265">
        <v>-1.5564749999999998</v>
      </c>
      <c r="GG265">
        <v>-5.4749999999999996</v>
      </c>
      <c r="GH265">
        <v>-5.9999999999999973</v>
      </c>
      <c r="GI265">
        <v>-1.0328000000000013</v>
      </c>
      <c r="GJ265">
        <v>-11.16</v>
      </c>
      <c r="GK265">
        <v>1.0799999999999998</v>
      </c>
      <c r="GL265">
        <v>-0.63999999999999979</v>
      </c>
    </row>
    <row r="266" spans="1:194" x14ac:dyDescent="0.2">
      <c r="A266" s="39">
        <v>43772</v>
      </c>
      <c r="B266" s="22" t="s">
        <v>246</v>
      </c>
      <c r="C266" s="41" t="s">
        <v>309</v>
      </c>
      <c r="D266" s="22" t="s">
        <v>289</v>
      </c>
      <c r="E266">
        <v>4.5999999999999996</v>
      </c>
      <c r="F266">
        <v>10.9</v>
      </c>
      <c r="G266">
        <v>1.5</v>
      </c>
      <c r="H266">
        <v>14</v>
      </c>
      <c r="I266">
        <v>-1</v>
      </c>
      <c r="J266">
        <v>39.5</v>
      </c>
      <c r="K266" t="s">
        <v>110</v>
      </c>
      <c r="L266" s="1" t="s">
        <v>309</v>
      </c>
      <c r="M266">
        <v>26</v>
      </c>
      <c r="N266">
        <v>-3.5368000000000008</v>
      </c>
      <c r="O266">
        <v>12</v>
      </c>
      <c r="P266">
        <v>14.5</v>
      </c>
      <c r="Q266">
        <v>9</v>
      </c>
      <c r="R266">
        <v>5.9439999999999991</v>
      </c>
      <c r="S266">
        <v>20</v>
      </c>
      <c r="T266">
        <v>-10.120000000000001</v>
      </c>
      <c r="U266">
        <v>2.44</v>
      </c>
      <c r="V266">
        <v>9</v>
      </c>
      <c r="W266">
        <v>10.5</v>
      </c>
      <c r="X266">
        <v>11</v>
      </c>
      <c r="Y266">
        <v>1.8719999999999999</v>
      </c>
      <c r="Z266">
        <v>10</v>
      </c>
      <c r="AA266">
        <v>6.9599999999999991</v>
      </c>
      <c r="AB266">
        <v>0.87999999999999989</v>
      </c>
      <c r="AC266">
        <v>13</v>
      </c>
      <c r="AD266">
        <v>14.5</v>
      </c>
      <c r="AE266">
        <v>19</v>
      </c>
      <c r="AF266">
        <v>-3.6680000000000001</v>
      </c>
      <c r="AG266">
        <v>10</v>
      </c>
      <c r="AH266">
        <v>-12.160000000000002</v>
      </c>
      <c r="AI266">
        <v>-1.2</v>
      </c>
      <c r="AJ266">
        <v>17</v>
      </c>
      <c r="AK266">
        <v>17.5</v>
      </c>
      <c r="AL266">
        <v>19</v>
      </c>
      <c r="AM266">
        <v>1.7279999999999991</v>
      </c>
      <c r="AN266">
        <v>16</v>
      </c>
      <c r="AO266">
        <v>2.9600000000000009</v>
      </c>
      <c r="AP266">
        <v>-0.11999999999999984</v>
      </c>
      <c r="AQ266">
        <v>18</v>
      </c>
      <c r="AR266">
        <v>17.5</v>
      </c>
      <c r="AS266">
        <v>20</v>
      </c>
      <c r="AT266">
        <v>-2.9279999999999999</v>
      </c>
      <c r="AU266">
        <v>15</v>
      </c>
      <c r="AV266">
        <v>-10.6</v>
      </c>
      <c r="AW266">
        <v>-0.28000000000000008</v>
      </c>
      <c r="AX266">
        <v>31</v>
      </c>
      <c r="AY266">
        <v>31.5</v>
      </c>
      <c r="AZ266">
        <v>32</v>
      </c>
      <c r="BA266">
        <v>-8.3559999999999999</v>
      </c>
      <c r="BB266">
        <v>31</v>
      </c>
      <c r="BC266">
        <v>-45.559999999999995</v>
      </c>
      <c r="BD266">
        <v>-3.1999999999999997</v>
      </c>
      <c r="BE266">
        <v>28</v>
      </c>
      <c r="BF266">
        <v>27.5</v>
      </c>
      <c r="BG266">
        <v>24</v>
      </c>
      <c r="BH266">
        <v>-1.464</v>
      </c>
      <c r="BI266">
        <v>31</v>
      </c>
      <c r="BJ266">
        <v>-14.64</v>
      </c>
      <c r="BK266">
        <v>-1.2799999999999998</v>
      </c>
      <c r="BL266">
        <v>3</v>
      </c>
      <c r="BM266">
        <v>5.5</v>
      </c>
      <c r="BN266">
        <v>5</v>
      </c>
      <c r="BO266">
        <v>1.8400000000000003</v>
      </c>
      <c r="BP266">
        <v>6</v>
      </c>
      <c r="BQ266">
        <v>8.0000000000000071E-2</v>
      </c>
      <c r="BR266">
        <v>6.6800000000000015</v>
      </c>
      <c r="BS266">
        <v>12</v>
      </c>
      <c r="BT266">
        <v>13.25</v>
      </c>
      <c r="BU266">
        <v>9</v>
      </c>
      <c r="BV266">
        <v>-6.1436483155306362E-3</v>
      </c>
      <c r="BW266">
        <v>20</v>
      </c>
      <c r="BX266">
        <v>-2.6677649240851725E-2</v>
      </c>
      <c r="BY266">
        <v>19</v>
      </c>
      <c r="BZ266">
        <v>15.98</v>
      </c>
      <c r="CA266">
        <v>5</v>
      </c>
      <c r="CB266">
        <v>-1.44</v>
      </c>
      <c r="CC266">
        <v>-3.6</v>
      </c>
      <c r="CD266">
        <v>1.7600000000000002</v>
      </c>
      <c r="CE266">
        <v>1.0399999999999998</v>
      </c>
      <c r="CF266">
        <v>-66.52000000000001</v>
      </c>
      <c r="CG266">
        <v>-42.999999999999993</v>
      </c>
      <c r="CH266">
        <v>-4.5999999999999996</v>
      </c>
      <c r="CI266">
        <v>-5.88</v>
      </c>
      <c r="CJ266">
        <v>-13.040000000000001</v>
      </c>
      <c r="CK266">
        <v>31</v>
      </c>
      <c r="CL266">
        <v>-11.3528</v>
      </c>
      <c r="CM266">
        <v>-5.8817599999999999</v>
      </c>
      <c r="CN266">
        <v>-38.399999999999991</v>
      </c>
      <c r="CO266">
        <v>11.3528</v>
      </c>
      <c r="CP266">
        <v>-2.6600000000000401E-2</v>
      </c>
      <c r="CQ266">
        <v>-4.8680000000000012</v>
      </c>
      <c r="CR266">
        <v>-19.8</v>
      </c>
      <c r="CS266">
        <v>7.8159999999999989</v>
      </c>
      <c r="CT266">
        <v>-3.1600000000000019</v>
      </c>
      <c r="CU266">
        <v>-2.88</v>
      </c>
      <c r="CV266">
        <v>3.32</v>
      </c>
      <c r="CW266">
        <v>-1.1319416666666666</v>
      </c>
      <c r="CX266">
        <v>-1.2865833333333332</v>
      </c>
      <c r="CY266" t="s">
        <v>289</v>
      </c>
      <c r="CZ266">
        <v>25</v>
      </c>
      <c r="DA266">
        <v>-2.9023999999999992</v>
      </c>
      <c r="DB266">
        <v>20</v>
      </c>
      <c r="DC266">
        <v>21</v>
      </c>
      <c r="DD266">
        <v>17</v>
      </c>
      <c r="DE266">
        <v>-4.5039999999999996</v>
      </c>
      <c r="DF266">
        <v>25</v>
      </c>
      <c r="DG266">
        <v>-25.920000000000005</v>
      </c>
      <c r="DH266">
        <v>1.5200000000000002</v>
      </c>
      <c r="DI266">
        <v>16</v>
      </c>
      <c r="DJ266">
        <v>16.5</v>
      </c>
      <c r="DK266">
        <v>26</v>
      </c>
      <c r="DL266">
        <v>-2.5280000000000009</v>
      </c>
      <c r="DM266">
        <v>7</v>
      </c>
      <c r="DN266">
        <v>4.2399999999999993</v>
      </c>
      <c r="DO266">
        <v>-1.52</v>
      </c>
      <c r="DP266">
        <v>24</v>
      </c>
      <c r="DQ266">
        <v>20</v>
      </c>
      <c r="DR266">
        <v>21</v>
      </c>
      <c r="DS266">
        <v>1.6320000000000003</v>
      </c>
      <c r="DT266">
        <v>19</v>
      </c>
      <c r="DU266">
        <v>9.8000000000000007</v>
      </c>
      <c r="DV266">
        <v>0.20000000000000018</v>
      </c>
      <c r="DW266">
        <v>5</v>
      </c>
      <c r="DX266">
        <v>5.5</v>
      </c>
      <c r="DY266">
        <v>7</v>
      </c>
      <c r="DZ266">
        <v>-2.8319999999999999</v>
      </c>
      <c r="EA266">
        <v>4</v>
      </c>
      <c r="EB266">
        <v>-2.7200000000000015</v>
      </c>
      <c r="EC266">
        <v>-1.6</v>
      </c>
      <c r="ED266">
        <v>29</v>
      </c>
      <c r="EE266">
        <v>26</v>
      </c>
      <c r="EF266">
        <v>24</v>
      </c>
      <c r="EG266">
        <v>2.4440000000000008</v>
      </c>
      <c r="EH266">
        <v>28</v>
      </c>
      <c r="EI266">
        <v>-2.5200000000000005</v>
      </c>
      <c r="EJ266">
        <v>-0.24000000000000005</v>
      </c>
      <c r="EK266">
        <v>17</v>
      </c>
      <c r="EL266">
        <v>16.5</v>
      </c>
      <c r="EM266">
        <v>15</v>
      </c>
      <c r="EN266">
        <v>-3.0599999999999996</v>
      </c>
      <c r="EO266">
        <v>18</v>
      </c>
      <c r="EP266">
        <v>-13</v>
      </c>
      <c r="EQ266">
        <v>-0.47999999999999987</v>
      </c>
      <c r="ER266">
        <v>27</v>
      </c>
      <c r="ES266">
        <v>26</v>
      </c>
      <c r="ET266">
        <v>27</v>
      </c>
      <c r="EU266">
        <v>-0.20800000000000018</v>
      </c>
      <c r="EV266">
        <v>25</v>
      </c>
      <c r="EW266">
        <v>-1.7999999999999978</v>
      </c>
      <c r="EX266">
        <v>1.1999999999999997</v>
      </c>
      <c r="EY266">
        <v>5</v>
      </c>
      <c r="EZ266">
        <v>4.5</v>
      </c>
      <c r="FA266">
        <v>5</v>
      </c>
      <c r="FB266">
        <v>1.0799999999999998</v>
      </c>
      <c r="FC266">
        <v>4</v>
      </c>
      <c r="FD266">
        <v>0.28000000000000003</v>
      </c>
      <c r="FE266">
        <v>-0.72000000000000008</v>
      </c>
      <c r="FF266">
        <v>28</v>
      </c>
      <c r="FG266">
        <v>23</v>
      </c>
      <c r="FH266">
        <v>27</v>
      </c>
      <c r="FI266">
        <v>3.1757923867217937E-2</v>
      </c>
      <c r="FJ266">
        <v>18</v>
      </c>
      <c r="FK266">
        <v>1.8996538660106241E-2</v>
      </c>
      <c r="FL266">
        <v>26</v>
      </c>
      <c r="FM266">
        <v>-1.7040000000000006</v>
      </c>
      <c r="FN266">
        <v>21</v>
      </c>
      <c r="FO266">
        <v>1.8800000000000003</v>
      </c>
      <c r="FP266">
        <v>1.4799999999999998</v>
      </c>
      <c r="FQ266">
        <v>-2.6399999999999992</v>
      </c>
      <c r="FR266">
        <v>-0.88000000000000012</v>
      </c>
      <c r="FS266">
        <v>-0.32000000000000173</v>
      </c>
      <c r="FT266">
        <v>-4.2799999999999994</v>
      </c>
      <c r="FU266">
        <v>1.1199999999999999</v>
      </c>
      <c r="FV266">
        <v>-20.839999999999996</v>
      </c>
      <c r="FW266">
        <v>-11.160000000000007</v>
      </c>
      <c r="FX266">
        <v>-20.28</v>
      </c>
      <c r="FY266">
        <v>10.36</v>
      </c>
      <c r="FZ266">
        <v>0.24000000000000049</v>
      </c>
      <c r="GA266">
        <v>7</v>
      </c>
      <c r="GB266">
        <v>4.1296000000000017</v>
      </c>
      <c r="GC266">
        <v>3.1427200000000006</v>
      </c>
      <c r="GD266">
        <v>9.1199999999999939</v>
      </c>
      <c r="GE266">
        <v>-4.1296000000000008</v>
      </c>
      <c r="GF266">
        <v>-0.97729999999999984</v>
      </c>
      <c r="GG266">
        <v>1.2440000000000013</v>
      </c>
      <c r="GH266">
        <v>4.5599999999999987</v>
      </c>
      <c r="GI266">
        <v>-7.032</v>
      </c>
      <c r="GJ266">
        <v>-21.680000000000007</v>
      </c>
      <c r="GK266">
        <v>-0.44000000000000017</v>
      </c>
      <c r="GL266">
        <v>0</v>
      </c>
    </row>
    <row r="267" spans="1:194" x14ac:dyDescent="0.2">
      <c r="A267" s="39">
        <v>43772</v>
      </c>
      <c r="B267" s="22" t="s">
        <v>246</v>
      </c>
      <c r="C267" s="40" t="s">
        <v>256</v>
      </c>
      <c r="D267" s="22" t="s">
        <v>285</v>
      </c>
      <c r="E267">
        <v>27.2</v>
      </c>
      <c r="F267">
        <v>8</v>
      </c>
      <c r="G267">
        <v>9.1</v>
      </c>
      <c r="H267">
        <f>19.9+6.9</f>
        <v>26.799999999999997</v>
      </c>
      <c r="I267">
        <v>-10.5</v>
      </c>
      <c r="J267">
        <v>43.5</v>
      </c>
      <c r="L267" s="1" t="s">
        <v>256</v>
      </c>
      <c r="M267">
        <v>27</v>
      </c>
      <c r="N267">
        <v>-3.5944000000000003</v>
      </c>
      <c r="O267">
        <v>26</v>
      </c>
      <c r="P267">
        <v>24.5</v>
      </c>
      <c r="Q267">
        <v>25</v>
      </c>
      <c r="R267">
        <v>-2.2000000000000015</v>
      </c>
      <c r="S267">
        <v>24</v>
      </c>
      <c r="T267">
        <v>-10.919999999999998</v>
      </c>
      <c r="U267">
        <v>-1.28</v>
      </c>
      <c r="V267">
        <v>5</v>
      </c>
      <c r="W267">
        <v>8</v>
      </c>
      <c r="X267">
        <v>9</v>
      </c>
      <c r="Y267">
        <v>5.4799999999999995</v>
      </c>
      <c r="Z267">
        <v>7</v>
      </c>
      <c r="AA267">
        <v>33.480000000000004</v>
      </c>
      <c r="AB267">
        <v>-0.20000000000000009</v>
      </c>
      <c r="AC267">
        <v>23</v>
      </c>
      <c r="AD267">
        <v>22</v>
      </c>
      <c r="AE267">
        <v>24</v>
      </c>
      <c r="AF267">
        <v>-2.7040000000000006</v>
      </c>
      <c r="AG267">
        <v>20</v>
      </c>
      <c r="AH267">
        <v>-13.999999999999996</v>
      </c>
      <c r="AI267">
        <v>-2.4</v>
      </c>
      <c r="AJ267">
        <v>27</v>
      </c>
      <c r="AK267">
        <v>27</v>
      </c>
      <c r="AL267">
        <v>25</v>
      </c>
      <c r="AM267">
        <v>-4.8760000000000003</v>
      </c>
      <c r="AN267">
        <v>29</v>
      </c>
      <c r="AO267">
        <v>-25.4</v>
      </c>
      <c r="AP267">
        <v>-1.7599999999999993</v>
      </c>
      <c r="AQ267">
        <v>13</v>
      </c>
      <c r="AR267">
        <v>14.5</v>
      </c>
      <c r="AS267">
        <v>16</v>
      </c>
      <c r="AT267">
        <v>-1.7920000000000003</v>
      </c>
      <c r="AU267">
        <v>13</v>
      </c>
      <c r="AV267">
        <v>-13.919999999999998</v>
      </c>
      <c r="AW267">
        <v>-1.4</v>
      </c>
      <c r="AX267">
        <v>19</v>
      </c>
      <c r="AY267">
        <v>19.5</v>
      </c>
      <c r="AZ267">
        <v>20</v>
      </c>
      <c r="BA267">
        <v>-3.5520000000000009</v>
      </c>
      <c r="BB267">
        <v>19</v>
      </c>
      <c r="BC267">
        <v>-15.919999999999998</v>
      </c>
      <c r="BD267">
        <v>-2.44</v>
      </c>
      <c r="BE267">
        <v>17</v>
      </c>
      <c r="BF267">
        <v>17.5</v>
      </c>
      <c r="BG267">
        <v>16</v>
      </c>
      <c r="BH267">
        <v>4.8680000000000003</v>
      </c>
      <c r="BI267">
        <v>19</v>
      </c>
      <c r="BJ267">
        <v>18.88</v>
      </c>
      <c r="BK267">
        <v>2.44</v>
      </c>
      <c r="BL267">
        <v>17</v>
      </c>
      <c r="BM267">
        <v>16</v>
      </c>
      <c r="BN267">
        <v>15</v>
      </c>
      <c r="BO267">
        <v>-0.11999999999999993</v>
      </c>
      <c r="BP267">
        <v>17</v>
      </c>
      <c r="BQ267">
        <v>0.28000000000000008</v>
      </c>
      <c r="BR267">
        <v>4.32</v>
      </c>
      <c r="BS267">
        <v>21</v>
      </c>
      <c r="BT267">
        <v>17.75</v>
      </c>
      <c r="BU267">
        <v>19</v>
      </c>
      <c r="BV267">
        <v>-8.3247670432860382E-2</v>
      </c>
      <c r="BW267">
        <v>3</v>
      </c>
      <c r="BX267">
        <v>-1.3131046048901173E-2</v>
      </c>
      <c r="BY267">
        <v>29</v>
      </c>
      <c r="BZ267">
        <v>-3.447999999999996</v>
      </c>
      <c r="CA267">
        <v>20</v>
      </c>
      <c r="CB267">
        <v>-3.56</v>
      </c>
      <c r="CC267">
        <v>1.3599999999999994</v>
      </c>
      <c r="CD267">
        <v>3.44</v>
      </c>
      <c r="CE267">
        <v>-1.4</v>
      </c>
      <c r="CF267">
        <v>-17.399999999999999</v>
      </c>
      <c r="CG267">
        <v>-56.36</v>
      </c>
      <c r="CH267">
        <v>40.320000000000007</v>
      </c>
      <c r="CI267">
        <v>8.6</v>
      </c>
      <c r="CJ267">
        <v>-9.9599999999999991</v>
      </c>
      <c r="CK267">
        <v>27</v>
      </c>
      <c r="CL267">
        <v>-6.8743999999999978</v>
      </c>
      <c r="CM267">
        <v>-3.2596799999999995</v>
      </c>
      <c r="CN267">
        <v>-96.68</v>
      </c>
      <c r="CO267">
        <v>6.8743999999999978</v>
      </c>
      <c r="CP267">
        <v>-0.61730000000000029</v>
      </c>
      <c r="CQ267">
        <v>-9.3720000000000017</v>
      </c>
      <c r="CR267">
        <v>-53.319999999999993</v>
      </c>
      <c r="CS267">
        <v>3.279999999999998</v>
      </c>
      <c r="CT267">
        <v>22.560000000000006</v>
      </c>
      <c r="CU267">
        <v>-3.1199999999999988</v>
      </c>
      <c r="CV267">
        <v>-1.4800000000000002</v>
      </c>
      <c r="CW267">
        <v>-1.5024875</v>
      </c>
      <c r="CX267">
        <v>-4.5336250000000007</v>
      </c>
      <c r="CY267" t="s">
        <v>285</v>
      </c>
      <c r="CZ267">
        <v>1</v>
      </c>
      <c r="DA267">
        <v>1.6920000000000002</v>
      </c>
      <c r="DB267">
        <v>16</v>
      </c>
      <c r="DC267">
        <v>16.5</v>
      </c>
      <c r="DD267">
        <v>12</v>
      </c>
      <c r="DE267">
        <v>5.9272000000000018</v>
      </c>
      <c r="DF267">
        <v>21</v>
      </c>
      <c r="DG267">
        <v>28.120000000000005</v>
      </c>
      <c r="DH267">
        <v>0.52000000000000013</v>
      </c>
      <c r="DI267">
        <v>11</v>
      </c>
      <c r="DJ267">
        <v>14</v>
      </c>
      <c r="DK267">
        <v>23</v>
      </c>
      <c r="DL267">
        <v>-1.56</v>
      </c>
      <c r="DM267">
        <v>5</v>
      </c>
      <c r="DN267">
        <v>-4.68</v>
      </c>
      <c r="DO267">
        <v>-1.2399999999999998</v>
      </c>
      <c r="DP267">
        <v>8</v>
      </c>
      <c r="DQ267">
        <v>7</v>
      </c>
      <c r="DR267">
        <v>7</v>
      </c>
      <c r="DS267">
        <v>3.9000000000000012</v>
      </c>
      <c r="DT267">
        <v>7</v>
      </c>
      <c r="DU267">
        <v>11.919999999999998</v>
      </c>
      <c r="DV267">
        <v>0.79999999999999982</v>
      </c>
      <c r="DW267">
        <v>1</v>
      </c>
      <c r="DX267">
        <v>1.5</v>
      </c>
      <c r="DY267">
        <v>2</v>
      </c>
      <c r="DZ267">
        <v>-1.2839999999999998</v>
      </c>
      <c r="EA267">
        <v>1</v>
      </c>
      <c r="EB267">
        <v>-10.96</v>
      </c>
      <c r="EC267">
        <v>-1.3599999999999999</v>
      </c>
      <c r="ED267">
        <v>4</v>
      </c>
      <c r="EE267">
        <v>5.5</v>
      </c>
      <c r="EF267">
        <v>4</v>
      </c>
      <c r="EG267">
        <v>-1.5840000000000001</v>
      </c>
      <c r="EH267">
        <v>7</v>
      </c>
      <c r="EI267">
        <v>-4.7200000000000006</v>
      </c>
      <c r="EJ267">
        <v>-1.3200000000000003</v>
      </c>
      <c r="EK267">
        <v>1</v>
      </c>
      <c r="EL267">
        <v>1.5</v>
      </c>
      <c r="EM267">
        <v>2</v>
      </c>
      <c r="EN267">
        <v>1.4239999999999999</v>
      </c>
      <c r="EO267">
        <v>1</v>
      </c>
      <c r="EP267">
        <v>13.439999999999998</v>
      </c>
      <c r="EQ267">
        <v>-7.999999999999971E-2</v>
      </c>
      <c r="ER267">
        <v>5</v>
      </c>
      <c r="ES267">
        <v>6</v>
      </c>
      <c r="ET267">
        <v>4</v>
      </c>
      <c r="EU267">
        <v>3.8179999999999992</v>
      </c>
      <c r="EV267">
        <v>8</v>
      </c>
      <c r="EW267">
        <v>13.330000000000002</v>
      </c>
      <c r="EX267">
        <v>0.59000000000000008</v>
      </c>
      <c r="EY267">
        <v>19</v>
      </c>
      <c r="EZ267">
        <v>20.5</v>
      </c>
      <c r="FA267">
        <v>19</v>
      </c>
      <c r="FB267">
        <v>1.3200000000000003</v>
      </c>
      <c r="FC267">
        <v>22</v>
      </c>
      <c r="FD267">
        <v>0.15999999999999998</v>
      </c>
      <c r="FE267">
        <v>0.67999999999999994</v>
      </c>
      <c r="FF267">
        <v>26</v>
      </c>
      <c r="FG267">
        <v>22</v>
      </c>
      <c r="FH267">
        <v>5</v>
      </c>
      <c r="FI267">
        <v>-2.5121957842891375E-2</v>
      </c>
      <c r="FJ267">
        <v>31</v>
      </c>
      <c r="FK267">
        <v>6.0801317715168416E-3</v>
      </c>
      <c r="FL267">
        <v>20</v>
      </c>
      <c r="FM267">
        <v>11.687999999999995</v>
      </c>
      <c r="FN267">
        <v>32</v>
      </c>
      <c r="FO267">
        <v>-5.04</v>
      </c>
      <c r="FP267">
        <v>-1.2400000000000007</v>
      </c>
      <c r="FQ267">
        <v>1.9599999999999995</v>
      </c>
      <c r="FR267">
        <v>-1.2000000000000002</v>
      </c>
      <c r="FS267">
        <v>-0.95999999999999941</v>
      </c>
      <c r="FT267">
        <v>4.68</v>
      </c>
      <c r="FU267">
        <v>1.3199999999999998</v>
      </c>
      <c r="FV267">
        <v>34.56</v>
      </c>
      <c r="FW267">
        <v>18.880000000000006</v>
      </c>
      <c r="FX267">
        <v>24.48</v>
      </c>
      <c r="FY267">
        <v>-4.2</v>
      </c>
      <c r="FZ267">
        <v>-4.5999999999999996</v>
      </c>
      <c r="GA267">
        <v>23</v>
      </c>
      <c r="GB267">
        <v>-2.6752000000000016</v>
      </c>
      <c r="GC267">
        <v>-0.87520000000000087</v>
      </c>
      <c r="GD267">
        <v>-5.5999999999999943</v>
      </c>
      <c r="GE267">
        <v>2.675200000000002</v>
      </c>
      <c r="GF267">
        <v>1.5286500000000005</v>
      </c>
      <c r="GG267">
        <v>1.0320000000000014</v>
      </c>
      <c r="GH267">
        <v>-3.7600000000000033</v>
      </c>
      <c r="GI267">
        <v>4.3672000000000022</v>
      </c>
      <c r="GJ267">
        <v>23.440000000000005</v>
      </c>
      <c r="GK267">
        <v>-1.2900000000000003</v>
      </c>
      <c r="GL267">
        <v>-0.71999999999999964</v>
      </c>
    </row>
    <row r="268" spans="1:194" x14ac:dyDescent="0.2">
      <c r="A268" s="39">
        <v>43772</v>
      </c>
      <c r="B268" s="22" t="s">
        <v>246</v>
      </c>
      <c r="C268" s="41" t="s">
        <v>308</v>
      </c>
      <c r="D268" s="22" t="s">
        <v>284</v>
      </c>
      <c r="E268">
        <v>43.2</v>
      </c>
      <c r="F268">
        <v>30</v>
      </c>
      <c r="G268">
        <v>3.8</v>
      </c>
      <c r="H268">
        <v>23.7</v>
      </c>
      <c r="I268">
        <v>-4</v>
      </c>
      <c r="J268">
        <v>50.5</v>
      </c>
      <c r="K268" t="s">
        <v>109</v>
      </c>
      <c r="L268" s="1" t="s">
        <v>308</v>
      </c>
      <c r="M268">
        <v>19</v>
      </c>
      <c r="N268">
        <v>-0.90880000000000083</v>
      </c>
      <c r="O268">
        <v>3</v>
      </c>
      <c r="P268">
        <v>6</v>
      </c>
      <c r="Q268">
        <v>10</v>
      </c>
      <c r="R268">
        <v>2.6800000000000006</v>
      </c>
      <c r="S268">
        <v>2</v>
      </c>
      <c r="T268">
        <v>25.28</v>
      </c>
      <c r="U268">
        <v>0.4</v>
      </c>
      <c r="V268">
        <v>1</v>
      </c>
      <c r="W268">
        <v>1.5</v>
      </c>
      <c r="X268">
        <v>2</v>
      </c>
      <c r="Y268">
        <v>-2.7504</v>
      </c>
      <c r="Z268">
        <v>1</v>
      </c>
      <c r="AA268">
        <v>-4.5999999999999996</v>
      </c>
      <c r="AB268">
        <v>-0.96</v>
      </c>
      <c r="AC268">
        <v>19</v>
      </c>
      <c r="AD268">
        <v>18.5</v>
      </c>
      <c r="AE268">
        <v>15</v>
      </c>
      <c r="AF268">
        <v>-1.1479999999999997</v>
      </c>
      <c r="AG268">
        <v>22</v>
      </c>
      <c r="AH268">
        <v>-2.079999999999997</v>
      </c>
      <c r="AI268">
        <v>-2.56</v>
      </c>
      <c r="AJ268">
        <v>12</v>
      </c>
      <c r="AK268">
        <v>11.5</v>
      </c>
      <c r="AL268">
        <v>12</v>
      </c>
      <c r="AM268">
        <v>-4.3160000000000007</v>
      </c>
      <c r="AN268">
        <v>11</v>
      </c>
      <c r="AO268">
        <v>-25.119999999999997</v>
      </c>
      <c r="AP268">
        <v>-1.5599999999999996</v>
      </c>
      <c r="AQ268">
        <v>17</v>
      </c>
      <c r="AR268">
        <v>17</v>
      </c>
      <c r="AS268">
        <v>17</v>
      </c>
      <c r="AT268">
        <v>2.4559999999999995</v>
      </c>
      <c r="AU268">
        <v>17</v>
      </c>
      <c r="AV268">
        <v>8.1999999999999993</v>
      </c>
      <c r="AW268">
        <v>0.39999999999999991</v>
      </c>
      <c r="AX268">
        <v>24</v>
      </c>
      <c r="AY268">
        <v>25</v>
      </c>
      <c r="AZ268">
        <v>26</v>
      </c>
      <c r="BA268">
        <v>-1.856000000000001</v>
      </c>
      <c r="BB268">
        <v>24</v>
      </c>
      <c r="BC268">
        <v>4.6400000000000006</v>
      </c>
      <c r="BD268">
        <v>-1.1200000000000001</v>
      </c>
      <c r="BE268">
        <v>12</v>
      </c>
      <c r="BF268">
        <v>12.5</v>
      </c>
      <c r="BG268">
        <v>10</v>
      </c>
      <c r="BH268">
        <v>-4.38</v>
      </c>
      <c r="BI268">
        <v>15</v>
      </c>
      <c r="BJ268">
        <v>-13.8</v>
      </c>
      <c r="BK268">
        <v>-1.1599999999999999</v>
      </c>
      <c r="BL268">
        <v>8</v>
      </c>
      <c r="BM268">
        <v>8.5</v>
      </c>
      <c r="BN268">
        <v>9</v>
      </c>
      <c r="BO268">
        <v>0.32000000000000028</v>
      </c>
      <c r="BP268">
        <v>8</v>
      </c>
      <c r="BQ268">
        <v>0.2</v>
      </c>
      <c r="BR268">
        <v>-3.9999999999999855E-2</v>
      </c>
      <c r="BS268">
        <v>12</v>
      </c>
      <c r="BT268">
        <v>13.25</v>
      </c>
      <c r="BU268">
        <v>11</v>
      </c>
      <c r="BV268">
        <v>0.15288668773701455</v>
      </c>
      <c r="BW268">
        <v>5</v>
      </c>
      <c r="BX268">
        <v>8.6727803065072221E-3</v>
      </c>
      <c r="BY268">
        <v>21</v>
      </c>
      <c r="BZ268">
        <v>7.3760000000000003</v>
      </c>
      <c r="CA268">
        <v>16</v>
      </c>
      <c r="CB268">
        <v>0.87999999999999989</v>
      </c>
      <c r="CC268">
        <v>8.000000000000114E-2</v>
      </c>
      <c r="CD268">
        <v>-0.64000000000000057</v>
      </c>
      <c r="CE268">
        <v>-0.55999999999999994</v>
      </c>
      <c r="CF268">
        <v>-8.3200000000000038</v>
      </c>
      <c r="CG268">
        <v>-27.720000000000006</v>
      </c>
      <c r="CH268">
        <v>14.960000000000003</v>
      </c>
      <c r="CI268">
        <v>-1.4800000000000002</v>
      </c>
      <c r="CJ268">
        <v>5.92</v>
      </c>
      <c r="CK268">
        <v>19</v>
      </c>
      <c r="CL268">
        <v>-0.83840000000000137</v>
      </c>
      <c r="CM268">
        <v>-1.6241600000000005</v>
      </c>
      <c r="CN268">
        <v>-42.680000000000007</v>
      </c>
      <c r="CO268">
        <v>0.83840000000000148</v>
      </c>
      <c r="CP268">
        <v>-1.0059</v>
      </c>
      <c r="CQ268">
        <v>-3.0080000000000009</v>
      </c>
      <c r="CR268">
        <v>-18.999999999999996</v>
      </c>
      <c r="CS268">
        <v>-7.0399999999999352E-2</v>
      </c>
      <c r="CT268">
        <v>20.68</v>
      </c>
      <c r="CU268">
        <v>-4.879999999999999</v>
      </c>
      <c r="CV268">
        <v>-0.55999999999999994</v>
      </c>
      <c r="CW268">
        <v>2.2484083333333338</v>
      </c>
      <c r="CX268">
        <v>2.9466666666666613E-2</v>
      </c>
      <c r="CY268" t="s">
        <v>284</v>
      </c>
      <c r="CZ268">
        <v>4</v>
      </c>
      <c r="DA268">
        <v>9.3496000000000006</v>
      </c>
      <c r="DB268">
        <v>25</v>
      </c>
      <c r="DC268">
        <v>23.5</v>
      </c>
      <c r="DD268">
        <v>24</v>
      </c>
      <c r="DE268">
        <v>-2.9207999999999998</v>
      </c>
      <c r="DF268">
        <v>23</v>
      </c>
      <c r="DG268">
        <v>-22.759999999999998</v>
      </c>
      <c r="DH268">
        <v>0.83999999999999986</v>
      </c>
      <c r="DI268">
        <v>31</v>
      </c>
      <c r="DJ268">
        <v>31</v>
      </c>
      <c r="DK268">
        <v>31</v>
      </c>
      <c r="DL268">
        <v>-2.2959999999999994</v>
      </c>
      <c r="DM268">
        <v>31</v>
      </c>
      <c r="DN268">
        <v>-7.8799999999999981</v>
      </c>
      <c r="DO268">
        <v>-0.59999999999999987</v>
      </c>
      <c r="DP268">
        <v>9</v>
      </c>
      <c r="DQ268">
        <v>6</v>
      </c>
      <c r="DR268">
        <v>6</v>
      </c>
      <c r="DS268">
        <v>9.4520000000000017</v>
      </c>
      <c r="DT268">
        <v>6</v>
      </c>
      <c r="DU268">
        <v>24.880000000000003</v>
      </c>
      <c r="DV268">
        <v>4.08</v>
      </c>
      <c r="DW268">
        <v>1</v>
      </c>
      <c r="DX268">
        <v>1.5</v>
      </c>
      <c r="DY268">
        <v>1</v>
      </c>
      <c r="DZ268">
        <v>10.112</v>
      </c>
      <c r="EA268">
        <v>2</v>
      </c>
      <c r="EB268">
        <v>33.799999999999997</v>
      </c>
      <c r="EC268">
        <v>1.1999999999999997</v>
      </c>
      <c r="ED268">
        <v>8</v>
      </c>
      <c r="EE268">
        <v>12.5</v>
      </c>
      <c r="EF268">
        <v>17</v>
      </c>
      <c r="EG268">
        <v>-7.2000000000000244E-2</v>
      </c>
      <c r="EH268">
        <v>8</v>
      </c>
      <c r="EI268">
        <v>-4.24</v>
      </c>
      <c r="EJ268">
        <v>0.11999999999999993</v>
      </c>
      <c r="EK268">
        <v>2</v>
      </c>
      <c r="EL268">
        <v>3.5</v>
      </c>
      <c r="EM268">
        <v>1</v>
      </c>
      <c r="EN268">
        <v>9.668000000000001</v>
      </c>
      <c r="EO268">
        <v>6</v>
      </c>
      <c r="EP268">
        <v>26.28</v>
      </c>
      <c r="EQ268">
        <v>5.24</v>
      </c>
      <c r="ER268">
        <v>21</v>
      </c>
      <c r="ES268">
        <v>20.5</v>
      </c>
      <c r="ET268">
        <v>15</v>
      </c>
      <c r="EU268">
        <v>8.7539999999999996</v>
      </c>
      <c r="EV268">
        <v>26</v>
      </c>
      <c r="EW268">
        <v>22.490000000000002</v>
      </c>
      <c r="EX268">
        <v>3.5099999999999993</v>
      </c>
      <c r="EY268">
        <v>16</v>
      </c>
      <c r="EZ268">
        <v>14</v>
      </c>
      <c r="FA268">
        <v>13</v>
      </c>
      <c r="FB268">
        <v>3.3600000000000003</v>
      </c>
      <c r="FC268">
        <v>15</v>
      </c>
      <c r="FD268">
        <v>0.52</v>
      </c>
      <c r="FE268">
        <v>0.20000000000000018</v>
      </c>
      <c r="FF268">
        <v>10</v>
      </c>
      <c r="FG268">
        <v>13.25</v>
      </c>
      <c r="FH268">
        <v>9</v>
      </c>
      <c r="FI268">
        <v>-4.6855978736132495E-2</v>
      </c>
      <c r="FJ268">
        <v>26</v>
      </c>
      <c r="FK268">
        <v>-2.017832115926951E-2</v>
      </c>
      <c r="FL268">
        <v>6</v>
      </c>
      <c r="FM268">
        <v>10.819999999999997</v>
      </c>
      <c r="FN268">
        <v>12</v>
      </c>
      <c r="FO268">
        <v>-2</v>
      </c>
      <c r="FP268">
        <v>7.4</v>
      </c>
      <c r="FQ268">
        <v>-4.5999999999999996</v>
      </c>
      <c r="FR268">
        <v>-0.36000000000000004</v>
      </c>
      <c r="FS268">
        <v>2.9200000000000017</v>
      </c>
      <c r="FT268">
        <v>10.760000000000002</v>
      </c>
      <c r="FU268">
        <v>0.12000000000000002</v>
      </c>
      <c r="FV268">
        <v>39.760000000000005</v>
      </c>
      <c r="FW268">
        <v>72.320000000000007</v>
      </c>
      <c r="FX268">
        <v>-31.24</v>
      </c>
      <c r="FY268">
        <v>7.999999999999971E-2</v>
      </c>
      <c r="FZ268">
        <v>-1.4000000000000001</v>
      </c>
      <c r="GA268">
        <v>1</v>
      </c>
      <c r="GB268">
        <v>14.5664</v>
      </c>
      <c r="GC268">
        <v>10.127520000000001</v>
      </c>
      <c r="GD268">
        <v>103.56</v>
      </c>
      <c r="GE268">
        <v>-14.5664</v>
      </c>
      <c r="GF268">
        <v>4.4673500000000006</v>
      </c>
      <c r="GG268">
        <v>19.492000000000001</v>
      </c>
      <c r="GH268">
        <v>54.44</v>
      </c>
      <c r="GI268">
        <v>-5.2167999999999992</v>
      </c>
      <c r="GJ268">
        <v>-30.639999999999997</v>
      </c>
      <c r="GK268">
        <v>8.9099999999999984</v>
      </c>
      <c r="GL268">
        <v>0.24</v>
      </c>
    </row>
    <row r="269" spans="1:194" x14ac:dyDescent="0.2">
      <c r="A269" s="39">
        <v>43772</v>
      </c>
      <c r="B269" s="22" t="s">
        <v>246</v>
      </c>
      <c r="C269" s="41" t="s">
        <v>284</v>
      </c>
      <c r="D269" s="22" t="s">
        <v>308</v>
      </c>
      <c r="E269">
        <v>39</v>
      </c>
      <c r="F269">
        <v>13.9</v>
      </c>
      <c r="G269">
        <v>14.2</v>
      </c>
      <c r="H269">
        <v>4.3</v>
      </c>
      <c r="I269">
        <v>4</v>
      </c>
      <c r="J269">
        <v>50.5</v>
      </c>
      <c r="K269" t="s">
        <v>109</v>
      </c>
      <c r="L269" s="1" t="s">
        <v>284</v>
      </c>
      <c r="M269">
        <v>3</v>
      </c>
      <c r="N269">
        <v>5.1863999999999999</v>
      </c>
      <c r="O269">
        <v>24</v>
      </c>
      <c r="P269">
        <v>22.5</v>
      </c>
      <c r="Q269">
        <v>20</v>
      </c>
      <c r="R269">
        <v>-5.4540000000000006</v>
      </c>
      <c r="S269">
        <v>25</v>
      </c>
      <c r="T269">
        <v>-11.4</v>
      </c>
      <c r="U269">
        <v>-2.1800000000000002</v>
      </c>
      <c r="V269">
        <v>20</v>
      </c>
      <c r="W269">
        <v>18.5</v>
      </c>
      <c r="X269">
        <v>12</v>
      </c>
      <c r="Y269">
        <v>0.92700000000000016</v>
      </c>
      <c r="Z269">
        <v>25</v>
      </c>
      <c r="AA269">
        <v>-3.9099999999999993</v>
      </c>
      <c r="AB269">
        <v>-0.6100000000000001</v>
      </c>
      <c r="AC269">
        <v>24</v>
      </c>
      <c r="AD269">
        <v>22.5</v>
      </c>
      <c r="AE269">
        <v>26</v>
      </c>
      <c r="AF269">
        <v>11.1</v>
      </c>
      <c r="AG269">
        <v>19</v>
      </c>
      <c r="AH269">
        <v>47.239999999999995</v>
      </c>
      <c r="AI269">
        <v>1.0000000000000002</v>
      </c>
      <c r="AJ269">
        <v>2</v>
      </c>
      <c r="AK269">
        <v>3</v>
      </c>
      <c r="AL269">
        <v>3</v>
      </c>
      <c r="AM269">
        <v>13.496</v>
      </c>
      <c r="AN269">
        <v>3</v>
      </c>
      <c r="AO269">
        <v>53.919999999999995</v>
      </c>
      <c r="AP269">
        <v>3.6400000000000006</v>
      </c>
      <c r="AQ269">
        <v>4</v>
      </c>
      <c r="AR269">
        <v>4.5</v>
      </c>
      <c r="AS269">
        <v>5</v>
      </c>
      <c r="AT269">
        <v>0.15199999999999977</v>
      </c>
      <c r="AU269">
        <v>4</v>
      </c>
      <c r="AV269">
        <v>-6.9200000000000017</v>
      </c>
      <c r="AW269">
        <v>1.2400000000000002</v>
      </c>
      <c r="AX269">
        <v>6</v>
      </c>
      <c r="AY269">
        <v>5.5</v>
      </c>
      <c r="AZ269">
        <v>6</v>
      </c>
      <c r="BA269">
        <v>7.5319999999999991</v>
      </c>
      <c r="BB269">
        <v>5</v>
      </c>
      <c r="BC269">
        <v>29.320000000000004</v>
      </c>
      <c r="BD269">
        <v>0.96000000000000019</v>
      </c>
      <c r="BE269">
        <v>20</v>
      </c>
      <c r="BF269">
        <v>22</v>
      </c>
      <c r="BG269">
        <v>22</v>
      </c>
      <c r="BH269">
        <v>-3.2400000000000007</v>
      </c>
      <c r="BI269">
        <v>22</v>
      </c>
      <c r="BJ269">
        <v>-21.72</v>
      </c>
      <c r="BK269">
        <v>-1.4000000000000001</v>
      </c>
      <c r="BL269">
        <v>18</v>
      </c>
      <c r="BM269">
        <v>17.5</v>
      </c>
      <c r="BN269">
        <v>16</v>
      </c>
      <c r="BO269">
        <v>2.7600000000000002</v>
      </c>
      <c r="BP269">
        <v>19</v>
      </c>
      <c r="BQ269">
        <v>-3.9999999999999994E-2</v>
      </c>
      <c r="BR269">
        <v>-2</v>
      </c>
      <c r="BS269">
        <v>14</v>
      </c>
      <c r="BT269">
        <v>14</v>
      </c>
      <c r="BU269">
        <v>29</v>
      </c>
      <c r="BV269">
        <v>-4.6269555265333231E-2</v>
      </c>
      <c r="BW269">
        <v>22</v>
      </c>
      <c r="BX269">
        <v>1.6179984640325853E-2</v>
      </c>
      <c r="BY269">
        <v>1</v>
      </c>
      <c r="BZ269">
        <v>-14.491999999999999</v>
      </c>
      <c r="CA269">
        <v>4</v>
      </c>
      <c r="CB269">
        <v>0.20000000000000018</v>
      </c>
      <c r="CC269">
        <v>5.7200000000000015</v>
      </c>
      <c r="CD269">
        <v>11.599999999999998</v>
      </c>
      <c r="CE269">
        <v>0.28000000000000008</v>
      </c>
      <c r="CF269">
        <v>36.559999999999988</v>
      </c>
      <c r="CG269">
        <v>50.559999999999988</v>
      </c>
      <c r="CH269">
        <v>-10.639999999999997</v>
      </c>
      <c r="CI269">
        <v>-0.56000000000000005</v>
      </c>
      <c r="CJ269">
        <v>-2.7999999999999994</v>
      </c>
      <c r="CK269">
        <v>4</v>
      </c>
      <c r="CL269">
        <v>9.7134</v>
      </c>
      <c r="CM269">
        <v>7.6023800000000001</v>
      </c>
      <c r="CN269">
        <v>61.199999999999989</v>
      </c>
      <c r="CO269">
        <v>-9.7134</v>
      </c>
      <c r="CP269">
        <v>3.1159250000000003</v>
      </c>
      <c r="CQ269">
        <v>24.748000000000001</v>
      </c>
      <c r="CR269">
        <v>94.24</v>
      </c>
      <c r="CS269">
        <v>-4.5270000000000001</v>
      </c>
      <c r="CT269">
        <v>-15.309999999999999</v>
      </c>
      <c r="CU269">
        <v>4.4800000000000004</v>
      </c>
      <c r="CV269">
        <v>-2.79</v>
      </c>
      <c r="CW269">
        <v>2.2484083333333338</v>
      </c>
      <c r="CX269">
        <v>4.4673500000000006</v>
      </c>
      <c r="CY269" t="s">
        <v>308</v>
      </c>
      <c r="CZ269">
        <v>17</v>
      </c>
      <c r="DA269">
        <v>2.0224000000000011</v>
      </c>
      <c r="DB269">
        <v>24</v>
      </c>
      <c r="DC269">
        <v>22</v>
      </c>
      <c r="DD269">
        <v>18</v>
      </c>
      <c r="DE269">
        <v>2.9719999999999991</v>
      </c>
      <c r="DF269">
        <v>26</v>
      </c>
      <c r="DG269">
        <v>1.9600000000000009</v>
      </c>
      <c r="DH269">
        <v>2.04</v>
      </c>
      <c r="DI269">
        <v>25</v>
      </c>
      <c r="DJ269">
        <v>22.5</v>
      </c>
      <c r="DK269">
        <v>16</v>
      </c>
      <c r="DL269">
        <v>-3</v>
      </c>
      <c r="DM269">
        <v>29</v>
      </c>
      <c r="DN269">
        <v>1.8800000000000003</v>
      </c>
      <c r="DO269">
        <v>-1.6799999999999997</v>
      </c>
      <c r="DP269">
        <v>5</v>
      </c>
      <c r="DQ269">
        <v>3.5</v>
      </c>
      <c r="DR269">
        <v>3</v>
      </c>
      <c r="DS269">
        <v>3.9839999999999991</v>
      </c>
      <c r="DT269">
        <v>4</v>
      </c>
      <c r="DU269">
        <v>18.386666666666667</v>
      </c>
      <c r="DV269">
        <v>0.89333333333333331</v>
      </c>
      <c r="DW269">
        <v>19</v>
      </c>
      <c r="DX269">
        <v>17.5</v>
      </c>
      <c r="DY269">
        <v>18</v>
      </c>
      <c r="DZ269">
        <v>-4.7040000000000006</v>
      </c>
      <c r="EA269">
        <v>17</v>
      </c>
      <c r="EB269">
        <v>-23.386666666666663</v>
      </c>
      <c r="EC269">
        <v>-1.6800000000000004</v>
      </c>
      <c r="ED269">
        <v>13</v>
      </c>
      <c r="EE269">
        <v>13.5</v>
      </c>
      <c r="EF269">
        <v>6</v>
      </c>
      <c r="EG269">
        <v>-0.50266666666666693</v>
      </c>
      <c r="EH269">
        <v>21</v>
      </c>
      <c r="EI269">
        <v>-2.9200000000000004</v>
      </c>
      <c r="EJ269">
        <v>2.6666666666666571E-2</v>
      </c>
      <c r="EK269">
        <v>18</v>
      </c>
      <c r="EL269">
        <v>18</v>
      </c>
      <c r="EM269">
        <v>16</v>
      </c>
      <c r="EN269">
        <v>-0.33999999999999986</v>
      </c>
      <c r="EO269">
        <v>20</v>
      </c>
      <c r="EP269">
        <v>6.6</v>
      </c>
      <c r="EQ269">
        <v>0.68000000000000038</v>
      </c>
      <c r="ER269">
        <v>15</v>
      </c>
      <c r="ES269">
        <v>15</v>
      </c>
      <c r="ET269">
        <v>11</v>
      </c>
      <c r="EU269">
        <v>0.86400000000000077</v>
      </c>
      <c r="EV269">
        <v>19</v>
      </c>
      <c r="EW269">
        <v>12.64</v>
      </c>
      <c r="EX269">
        <v>0.4</v>
      </c>
      <c r="EY269">
        <v>12</v>
      </c>
      <c r="EZ269">
        <v>12.5</v>
      </c>
      <c r="FA269">
        <v>17</v>
      </c>
      <c r="FB269">
        <v>-1.4000000000000001</v>
      </c>
      <c r="FC269">
        <v>8</v>
      </c>
      <c r="FD269">
        <v>0.59999999999999987</v>
      </c>
      <c r="FE269">
        <v>8.0000000000000071E-2</v>
      </c>
      <c r="FF269">
        <v>21</v>
      </c>
      <c r="FG269">
        <v>17.25</v>
      </c>
      <c r="FH269">
        <v>30</v>
      </c>
      <c r="FI269">
        <v>-2.7923767022392455E-2</v>
      </c>
      <c r="FJ269">
        <v>28</v>
      </c>
      <c r="FK269">
        <v>-1.7540682526739008E-2</v>
      </c>
      <c r="FL269">
        <v>4</v>
      </c>
      <c r="FM269">
        <v>8.6480000000000015</v>
      </c>
      <c r="FN269">
        <v>7</v>
      </c>
      <c r="FO269">
        <v>-3.9999999999999855E-2</v>
      </c>
      <c r="FP269">
        <v>1.2</v>
      </c>
      <c r="FQ269">
        <v>-1.6400000000000006</v>
      </c>
      <c r="FR269">
        <v>0.43999999999999995</v>
      </c>
      <c r="FS269">
        <v>-0.63999999999999768</v>
      </c>
      <c r="FT269">
        <v>-1.0400000000000005</v>
      </c>
      <c r="FU269">
        <v>1.1200000000000003</v>
      </c>
      <c r="FV269">
        <v>40.96</v>
      </c>
      <c r="FW269">
        <v>22.28</v>
      </c>
      <c r="FX269">
        <v>1.0399999999999978</v>
      </c>
      <c r="FY269">
        <v>4.8</v>
      </c>
      <c r="FZ269">
        <v>12.84</v>
      </c>
      <c r="GA269">
        <v>10</v>
      </c>
      <c r="GB269">
        <v>2.050400000000002</v>
      </c>
      <c r="GC269">
        <v>0.34674666666666715</v>
      </c>
      <c r="GD269">
        <v>21.240000000000002</v>
      </c>
      <c r="GE269">
        <v>-2.050400000000002</v>
      </c>
      <c r="GF269">
        <v>2.9466666666666613E-2</v>
      </c>
      <c r="GG269">
        <v>-1.2226666666666683</v>
      </c>
      <c r="GH269">
        <v>-7.9199999999999964</v>
      </c>
      <c r="GI269">
        <v>-2.8000000000000913E-2</v>
      </c>
      <c r="GJ269">
        <v>3.8400000000000012</v>
      </c>
      <c r="GK269">
        <v>-0.36000000000000043</v>
      </c>
      <c r="GL269">
        <v>0.36000000000000032</v>
      </c>
    </row>
    <row r="270" spans="1:194" x14ac:dyDescent="0.2">
      <c r="A270" s="39">
        <v>43772</v>
      </c>
      <c r="B270" s="22" t="s">
        <v>246</v>
      </c>
      <c r="C270" s="41" t="s">
        <v>310</v>
      </c>
      <c r="D270" s="22" t="s">
        <v>301</v>
      </c>
      <c r="E270">
        <v>8.8000000000000007</v>
      </c>
      <c r="F270">
        <v>12.1</v>
      </c>
      <c r="G270">
        <v>10.5</v>
      </c>
      <c r="H270">
        <v>4.8</v>
      </c>
      <c r="I270">
        <v>3.5</v>
      </c>
      <c r="J270">
        <v>43</v>
      </c>
      <c r="L270" s="1" t="s">
        <v>310</v>
      </c>
      <c r="M270">
        <v>23</v>
      </c>
      <c r="N270">
        <v>-1.9316000000000009</v>
      </c>
      <c r="O270">
        <v>1</v>
      </c>
      <c r="P270">
        <v>1.5</v>
      </c>
      <c r="Q270">
        <v>2</v>
      </c>
      <c r="R270">
        <v>-5.5487999999999991</v>
      </c>
      <c r="S270">
        <v>1</v>
      </c>
      <c r="T270">
        <v>2.0799999999999996</v>
      </c>
      <c r="U270">
        <v>-2.3200000000000003</v>
      </c>
      <c r="V270">
        <v>29</v>
      </c>
      <c r="W270">
        <v>29</v>
      </c>
      <c r="X270">
        <v>29</v>
      </c>
      <c r="Y270">
        <v>-3.1680000000000001</v>
      </c>
      <c r="Z270">
        <v>29</v>
      </c>
      <c r="AA270">
        <v>-21.24</v>
      </c>
      <c r="AB270">
        <v>0.39999999999999997</v>
      </c>
      <c r="AC270">
        <v>28</v>
      </c>
      <c r="AD270">
        <v>27.5</v>
      </c>
      <c r="AE270">
        <v>28</v>
      </c>
      <c r="AF270">
        <v>-3.0080000000000013</v>
      </c>
      <c r="AG270">
        <v>27</v>
      </c>
      <c r="AH270">
        <v>-16.04</v>
      </c>
      <c r="AI270">
        <v>-1.6800000000000002</v>
      </c>
      <c r="AJ270">
        <v>28</v>
      </c>
      <c r="AK270">
        <v>27.5</v>
      </c>
      <c r="AL270">
        <v>28</v>
      </c>
      <c r="AM270">
        <v>-1.7080000000000015</v>
      </c>
      <c r="AN270">
        <v>27</v>
      </c>
      <c r="AO270">
        <v>-9.5999999999999979</v>
      </c>
      <c r="AP270">
        <v>-0.8</v>
      </c>
      <c r="AQ270">
        <v>15</v>
      </c>
      <c r="AR270">
        <v>15</v>
      </c>
      <c r="AS270">
        <v>12</v>
      </c>
      <c r="AT270">
        <v>1.4960000000000002</v>
      </c>
      <c r="AU270">
        <v>18</v>
      </c>
      <c r="AV270">
        <v>0.56000000000000016</v>
      </c>
      <c r="AW270">
        <v>-0.24000000000000005</v>
      </c>
      <c r="AX270">
        <v>20</v>
      </c>
      <c r="AY270">
        <v>20</v>
      </c>
      <c r="AZ270">
        <v>22</v>
      </c>
      <c r="BA270">
        <v>-1.5400000000000009</v>
      </c>
      <c r="BB270">
        <v>18</v>
      </c>
      <c r="BC270">
        <v>-3.3999999999999986</v>
      </c>
      <c r="BD270">
        <v>0.96</v>
      </c>
      <c r="BE270">
        <v>14</v>
      </c>
      <c r="BF270">
        <v>13.5</v>
      </c>
      <c r="BG270">
        <v>15</v>
      </c>
      <c r="BH270">
        <v>1.6760000000000013</v>
      </c>
      <c r="BI270">
        <v>12</v>
      </c>
      <c r="BJ270">
        <v>26.68</v>
      </c>
      <c r="BK270">
        <v>0.55999999999999983</v>
      </c>
      <c r="BL270">
        <v>29</v>
      </c>
      <c r="BM270">
        <v>29</v>
      </c>
      <c r="BN270">
        <v>28</v>
      </c>
      <c r="BO270">
        <v>-3.8800000000000003</v>
      </c>
      <c r="BP270">
        <v>30</v>
      </c>
      <c r="BQ270">
        <v>-0.87999999999999989</v>
      </c>
      <c r="BR270">
        <v>-1.8</v>
      </c>
      <c r="BS270">
        <v>25</v>
      </c>
      <c r="BT270">
        <v>21</v>
      </c>
      <c r="BU270">
        <v>27</v>
      </c>
      <c r="BV270">
        <v>-1.6236540238399933E-3</v>
      </c>
      <c r="BW270">
        <v>2</v>
      </c>
      <c r="BX270">
        <v>3.1665901132557586E-2</v>
      </c>
      <c r="BY270">
        <v>30</v>
      </c>
      <c r="BZ270">
        <v>0.1880000000000038</v>
      </c>
      <c r="CA270">
        <v>25</v>
      </c>
      <c r="CB270">
        <v>2.88</v>
      </c>
      <c r="CC270">
        <v>-3.9599999999999995</v>
      </c>
      <c r="CD270">
        <v>-6.2800000000000011</v>
      </c>
      <c r="CE270">
        <v>-1.9600000000000002</v>
      </c>
      <c r="CF270">
        <v>-45.92</v>
      </c>
      <c r="CG270">
        <v>-19.839999999999996</v>
      </c>
      <c r="CH270">
        <v>-21.04</v>
      </c>
      <c r="CI270">
        <v>-2.9200000000000004</v>
      </c>
      <c r="CJ270">
        <v>-2.1200000000000006</v>
      </c>
      <c r="CK270">
        <v>6</v>
      </c>
      <c r="CL270">
        <v>6.7851999999999979</v>
      </c>
      <c r="CM270">
        <v>3.663279999999999</v>
      </c>
      <c r="CN270">
        <v>1.2000000000000028</v>
      </c>
      <c r="CO270">
        <v>-6.7851999999999979</v>
      </c>
      <c r="CP270">
        <v>-2.0090499999999998</v>
      </c>
      <c r="CQ270">
        <v>-3.2200000000000024</v>
      </c>
      <c r="CR270">
        <v>-25.08</v>
      </c>
      <c r="CS270">
        <v>-8.7167999999999992</v>
      </c>
      <c r="CT270">
        <v>-19.16</v>
      </c>
      <c r="CU270">
        <v>-2.160000000000001</v>
      </c>
      <c r="CV270">
        <v>-1.9200000000000004</v>
      </c>
      <c r="CW270">
        <v>-5.1324999999999926E-2</v>
      </c>
      <c r="CX270">
        <v>-0.39844999999999997</v>
      </c>
      <c r="CY270" t="s">
        <v>301</v>
      </c>
      <c r="CZ270">
        <v>14</v>
      </c>
      <c r="DA270">
        <v>-0.12559999999999896</v>
      </c>
      <c r="DB270">
        <v>7</v>
      </c>
      <c r="DC270">
        <v>10</v>
      </c>
      <c r="DD270">
        <v>5</v>
      </c>
      <c r="DE270">
        <v>7.3279999999999985</v>
      </c>
      <c r="DF270">
        <v>15</v>
      </c>
      <c r="DG270">
        <v>-6.5600000000000041</v>
      </c>
      <c r="DH270">
        <v>0.96</v>
      </c>
      <c r="DI270">
        <v>2</v>
      </c>
      <c r="DJ270">
        <v>3</v>
      </c>
      <c r="DK270">
        <v>4</v>
      </c>
      <c r="DL270">
        <v>0.10400000000000045</v>
      </c>
      <c r="DM270">
        <v>2</v>
      </c>
      <c r="DN270">
        <v>-2.88</v>
      </c>
      <c r="DO270">
        <v>0.91999999999999993</v>
      </c>
      <c r="DP270">
        <v>20</v>
      </c>
      <c r="DQ270">
        <v>16.5</v>
      </c>
      <c r="DR270">
        <v>16</v>
      </c>
      <c r="DS270">
        <v>-3.5199999999999987</v>
      </c>
      <c r="DT270">
        <v>17</v>
      </c>
      <c r="DU270">
        <v>-16.839999999999996</v>
      </c>
      <c r="DV270">
        <v>1.2000000000000004</v>
      </c>
      <c r="DW270">
        <v>7</v>
      </c>
      <c r="DX270">
        <v>6.5</v>
      </c>
      <c r="DY270">
        <v>8</v>
      </c>
      <c r="DZ270">
        <v>3.3</v>
      </c>
      <c r="EA270">
        <v>5</v>
      </c>
      <c r="EB270">
        <v>17.839999999999996</v>
      </c>
      <c r="EC270">
        <v>0.8</v>
      </c>
      <c r="ED270">
        <v>11</v>
      </c>
      <c r="EE270">
        <v>7.5</v>
      </c>
      <c r="EF270">
        <v>12</v>
      </c>
      <c r="EG270">
        <v>-0.15199999999999952</v>
      </c>
      <c r="EH270">
        <v>3</v>
      </c>
      <c r="EI270">
        <v>8.2399999999999984</v>
      </c>
      <c r="EJ270">
        <v>-0.20000000000000004</v>
      </c>
      <c r="EK270">
        <v>18</v>
      </c>
      <c r="EL270">
        <v>18</v>
      </c>
      <c r="EM270">
        <v>22</v>
      </c>
      <c r="EN270">
        <v>2.3959999999999999</v>
      </c>
      <c r="EO270">
        <v>14</v>
      </c>
      <c r="EP270">
        <v>13.16</v>
      </c>
      <c r="EQ270">
        <v>1.0000000000000004</v>
      </c>
      <c r="ER270">
        <v>12</v>
      </c>
      <c r="ES270">
        <v>13</v>
      </c>
      <c r="ET270">
        <v>20</v>
      </c>
      <c r="EU270">
        <v>-2.0080000000000009</v>
      </c>
      <c r="EV270">
        <v>6</v>
      </c>
      <c r="EW270">
        <v>-1.3599999999999981</v>
      </c>
      <c r="EX270">
        <v>-0.44000000000000022</v>
      </c>
      <c r="EY270">
        <v>10</v>
      </c>
      <c r="EZ270">
        <v>11.5</v>
      </c>
      <c r="FA270">
        <v>16</v>
      </c>
      <c r="FB270">
        <v>-2.56</v>
      </c>
      <c r="FC270">
        <v>7</v>
      </c>
      <c r="FD270">
        <v>-0.44000000000000006</v>
      </c>
      <c r="FE270">
        <v>-0.36000000000000032</v>
      </c>
      <c r="FF270">
        <v>18</v>
      </c>
      <c r="FG270">
        <v>16.25</v>
      </c>
      <c r="FH270">
        <v>18</v>
      </c>
      <c r="FI270">
        <v>1.9395181383897266E-2</v>
      </c>
      <c r="FJ270">
        <v>16</v>
      </c>
      <c r="FK270">
        <v>2.558335648383343E-2</v>
      </c>
      <c r="FL270">
        <v>8</v>
      </c>
      <c r="FM270">
        <v>5.3239999999999998</v>
      </c>
      <c r="FN270">
        <v>23</v>
      </c>
      <c r="FO270">
        <v>5.6</v>
      </c>
      <c r="FP270">
        <v>4.4400000000000004</v>
      </c>
      <c r="FQ270">
        <v>-4.4800000000000004</v>
      </c>
      <c r="FR270">
        <v>-0.84000000000000008</v>
      </c>
      <c r="FS270">
        <v>0.5999999999999972</v>
      </c>
      <c r="FT270">
        <v>3.7599999999999993</v>
      </c>
      <c r="FU270">
        <v>-0.83999999999999986</v>
      </c>
      <c r="FV270">
        <v>31.320000000000004</v>
      </c>
      <c r="FW270">
        <v>25.95999999999999</v>
      </c>
      <c r="FX270">
        <v>2.6000000000000028</v>
      </c>
      <c r="FY270">
        <v>2.4799999999999995</v>
      </c>
      <c r="FZ270">
        <v>0.28000000000000042</v>
      </c>
      <c r="GA270">
        <v>29</v>
      </c>
      <c r="GB270">
        <v>-7.5575999999999972</v>
      </c>
      <c r="GC270">
        <v>-4.2171199999999986</v>
      </c>
      <c r="GD270">
        <v>23.359999999999989</v>
      </c>
      <c r="GE270">
        <v>7.5575999999999972</v>
      </c>
      <c r="GF270">
        <v>0.29580000000000012</v>
      </c>
      <c r="GG270">
        <v>-0.37199999999999839</v>
      </c>
      <c r="GH270">
        <v>9.2399999999999984</v>
      </c>
      <c r="GI270">
        <v>7.4319999999999986</v>
      </c>
      <c r="GJ270">
        <v>-9.4400000000000048</v>
      </c>
      <c r="GK270">
        <v>1.3600000000000003</v>
      </c>
      <c r="GL270">
        <v>1.88</v>
      </c>
    </row>
    <row r="271" spans="1:194" x14ac:dyDescent="0.2">
      <c r="A271" s="39">
        <v>43772</v>
      </c>
      <c r="B271" s="22" t="s">
        <v>246</v>
      </c>
      <c r="C271" s="41" t="s">
        <v>306</v>
      </c>
      <c r="D271" s="22" t="s">
        <v>276</v>
      </c>
      <c r="E271">
        <v>7.9</v>
      </c>
      <c r="F271">
        <v>8.1999999999999993</v>
      </c>
      <c r="G271">
        <v>2.2000000000000002</v>
      </c>
      <c r="H271">
        <v>2.6</v>
      </c>
      <c r="I271">
        <v>10.5</v>
      </c>
      <c r="J271">
        <v>37</v>
      </c>
      <c r="L271" s="1" t="s">
        <v>306</v>
      </c>
      <c r="M271">
        <v>31</v>
      </c>
      <c r="N271">
        <v>-7.031200000000001</v>
      </c>
      <c r="O271">
        <v>9</v>
      </c>
      <c r="P271">
        <v>9</v>
      </c>
      <c r="Q271">
        <v>11</v>
      </c>
      <c r="R271">
        <v>-5.8080000000000007</v>
      </c>
      <c r="S271">
        <v>7</v>
      </c>
      <c r="T271">
        <v>-10.88</v>
      </c>
      <c r="U271">
        <v>-2.2000000000000002</v>
      </c>
      <c r="V271">
        <v>19</v>
      </c>
      <c r="W271">
        <v>18</v>
      </c>
      <c r="X271">
        <v>25</v>
      </c>
      <c r="Y271">
        <v>0.34800000000000003</v>
      </c>
      <c r="Z271">
        <v>11</v>
      </c>
      <c r="AA271">
        <v>-1.4</v>
      </c>
      <c r="AB271">
        <v>1.4</v>
      </c>
      <c r="AC271">
        <v>29</v>
      </c>
      <c r="AD271">
        <v>29</v>
      </c>
      <c r="AE271">
        <v>29</v>
      </c>
      <c r="AF271">
        <v>-3.8320000000000007</v>
      </c>
      <c r="AG271">
        <v>29</v>
      </c>
      <c r="AH271">
        <v>-16.919999999999998</v>
      </c>
      <c r="AI271">
        <v>-1.7600000000000002</v>
      </c>
      <c r="AJ271">
        <v>28</v>
      </c>
      <c r="AK271">
        <v>27.5</v>
      </c>
      <c r="AL271">
        <v>30</v>
      </c>
      <c r="AM271">
        <v>-5.5759999999999987</v>
      </c>
      <c r="AN271">
        <v>25</v>
      </c>
      <c r="AO271">
        <v>-21.6</v>
      </c>
      <c r="AP271">
        <v>-2.7199999999999998</v>
      </c>
      <c r="AQ271">
        <v>30</v>
      </c>
      <c r="AR271">
        <v>29.5</v>
      </c>
      <c r="AS271">
        <v>31</v>
      </c>
      <c r="AT271">
        <v>-3.0840000000000005</v>
      </c>
      <c r="AU271">
        <v>28</v>
      </c>
      <c r="AV271">
        <v>-15.48</v>
      </c>
      <c r="AW271">
        <v>-0.8</v>
      </c>
      <c r="AX271">
        <v>30</v>
      </c>
      <c r="AY271">
        <v>30</v>
      </c>
      <c r="AZ271">
        <v>30</v>
      </c>
      <c r="BA271">
        <v>-7.7160000000000011</v>
      </c>
      <c r="BB271">
        <v>30</v>
      </c>
      <c r="BC271">
        <v>-32.6</v>
      </c>
      <c r="BD271">
        <v>-7.76</v>
      </c>
      <c r="BE271">
        <v>31</v>
      </c>
      <c r="BF271">
        <v>30</v>
      </c>
      <c r="BG271">
        <v>31</v>
      </c>
      <c r="BH271">
        <v>-2.1279999999999997</v>
      </c>
      <c r="BI271">
        <v>29</v>
      </c>
      <c r="BJ271">
        <v>-9.8800000000000008</v>
      </c>
      <c r="BK271">
        <v>-1.52</v>
      </c>
      <c r="BL271">
        <v>1</v>
      </c>
      <c r="BM271">
        <v>1</v>
      </c>
      <c r="BN271">
        <v>1</v>
      </c>
      <c r="BO271">
        <v>-3.0399999999999996</v>
      </c>
      <c r="BP271">
        <v>1</v>
      </c>
      <c r="BQ271">
        <v>-0.36000000000000004</v>
      </c>
      <c r="BR271">
        <v>-0.23999999999999985</v>
      </c>
      <c r="BS271">
        <v>1</v>
      </c>
      <c r="BT271">
        <v>5.25</v>
      </c>
      <c r="BU271">
        <v>9</v>
      </c>
      <c r="BV271">
        <v>-3.3600295669370173E-2</v>
      </c>
      <c r="BW271">
        <v>1</v>
      </c>
      <c r="BX271">
        <v>3.5505563290478603E-2</v>
      </c>
      <c r="BY271">
        <v>2</v>
      </c>
      <c r="BZ271">
        <v>-11.656000000000001</v>
      </c>
      <c r="CA271">
        <v>9</v>
      </c>
      <c r="CB271">
        <v>1.7200000000000002</v>
      </c>
      <c r="CC271">
        <v>-9.84</v>
      </c>
      <c r="CD271">
        <v>-8.1199999999999992</v>
      </c>
      <c r="CE271">
        <v>-1.64</v>
      </c>
      <c r="CF271">
        <v>-74.559999999999988</v>
      </c>
      <c r="CG271">
        <v>-71.28</v>
      </c>
      <c r="CH271">
        <v>-11.559999999999999</v>
      </c>
      <c r="CI271">
        <v>8.36</v>
      </c>
      <c r="CJ271">
        <v>-8.0000000000000071E-2</v>
      </c>
      <c r="CK271">
        <v>21</v>
      </c>
      <c r="CL271">
        <v>-1.5712000000000004</v>
      </c>
      <c r="CM271">
        <v>-1.6002399999999994</v>
      </c>
      <c r="CN271">
        <v>-59.72</v>
      </c>
      <c r="CO271">
        <v>1.5712000000000002</v>
      </c>
      <c r="CP271">
        <v>-3.7688999999999999</v>
      </c>
      <c r="CQ271">
        <v>-12.492000000000001</v>
      </c>
      <c r="CR271">
        <v>-54</v>
      </c>
      <c r="CS271">
        <v>-5.4600000000000009</v>
      </c>
      <c r="CT271">
        <v>-12.280000000000001</v>
      </c>
      <c r="CU271">
        <v>-6.8000000000000007</v>
      </c>
      <c r="CV271">
        <v>-0.80000000000000027</v>
      </c>
      <c r="CW271">
        <v>-0.84267499999999973</v>
      </c>
      <c r="CX271">
        <v>-0.5752999999999997</v>
      </c>
      <c r="CY271" t="s">
        <v>276</v>
      </c>
      <c r="CZ271">
        <v>24</v>
      </c>
      <c r="DA271">
        <v>-3.2943999999999996</v>
      </c>
      <c r="DB271">
        <v>10</v>
      </c>
      <c r="DC271">
        <v>10.5</v>
      </c>
      <c r="DD271">
        <v>8</v>
      </c>
      <c r="DE271">
        <v>1.0160000000000013</v>
      </c>
      <c r="DF271">
        <v>13</v>
      </c>
      <c r="DG271">
        <v>10.76</v>
      </c>
      <c r="DH271">
        <v>-1.0399999999999998</v>
      </c>
      <c r="DI271">
        <v>3</v>
      </c>
      <c r="DJ271">
        <v>6</v>
      </c>
      <c r="DK271">
        <v>2</v>
      </c>
      <c r="DL271">
        <v>2.0600000000000009</v>
      </c>
      <c r="DM271">
        <v>10</v>
      </c>
      <c r="DN271">
        <v>12.440000000000001</v>
      </c>
      <c r="DO271">
        <v>0.52</v>
      </c>
      <c r="DP271">
        <v>17</v>
      </c>
      <c r="DQ271">
        <v>19</v>
      </c>
      <c r="DR271">
        <v>20</v>
      </c>
      <c r="DS271">
        <v>-4.4799999999999995</v>
      </c>
      <c r="DT271">
        <v>18</v>
      </c>
      <c r="DU271">
        <v>-6.56</v>
      </c>
      <c r="DV271">
        <v>-1.2400000000000002</v>
      </c>
      <c r="DW271">
        <v>20</v>
      </c>
      <c r="DX271">
        <v>19</v>
      </c>
      <c r="DY271">
        <v>20</v>
      </c>
      <c r="DZ271">
        <v>-3.4000000000000516E-2</v>
      </c>
      <c r="EA271">
        <v>18</v>
      </c>
      <c r="EB271">
        <v>-1.5400000000000005</v>
      </c>
      <c r="EC271">
        <v>1.43</v>
      </c>
      <c r="ED271">
        <v>8</v>
      </c>
      <c r="EE271">
        <v>21</v>
      </c>
      <c r="EF271">
        <v>11</v>
      </c>
      <c r="EG271">
        <v>-0.33199999999999957</v>
      </c>
      <c r="EH271">
        <v>31</v>
      </c>
      <c r="EI271">
        <v>2.7599999999999993</v>
      </c>
      <c r="EJ271">
        <v>0</v>
      </c>
      <c r="EK271">
        <v>20</v>
      </c>
      <c r="EL271">
        <v>19</v>
      </c>
      <c r="EM271">
        <v>19</v>
      </c>
      <c r="EN271">
        <v>-4.0759999999999987</v>
      </c>
      <c r="EO271">
        <v>19</v>
      </c>
      <c r="EP271">
        <v>-5.8</v>
      </c>
      <c r="EQ271">
        <v>-4.8000000000000007</v>
      </c>
      <c r="ER271">
        <v>32</v>
      </c>
      <c r="ES271">
        <v>32</v>
      </c>
      <c r="ET271">
        <v>32</v>
      </c>
      <c r="EU271">
        <v>-3.0960000000000001</v>
      </c>
      <c r="EV271">
        <v>32</v>
      </c>
      <c r="EW271">
        <v>-15.039999999999997</v>
      </c>
      <c r="EX271">
        <v>-2.2000000000000002</v>
      </c>
      <c r="EY271">
        <v>32</v>
      </c>
      <c r="EZ271">
        <v>32</v>
      </c>
      <c r="FA271">
        <v>32</v>
      </c>
      <c r="FB271">
        <v>-0.72</v>
      </c>
      <c r="FC271">
        <v>32</v>
      </c>
      <c r="FD271">
        <v>0.39999999999999997</v>
      </c>
      <c r="FE271">
        <v>-0.79999999999999982</v>
      </c>
      <c r="FF271">
        <v>7</v>
      </c>
      <c r="FG271">
        <v>12.25</v>
      </c>
      <c r="FH271">
        <v>24</v>
      </c>
      <c r="FI271">
        <v>2.8091401786934346E-2</v>
      </c>
      <c r="FJ271">
        <v>3</v>
      </c>
      <c r="FK271">
        <v>-1.9331248122945969E-3</v>
      </c>
      <c r="FL271">
        <v>17</v>
      </c>
      <c r="FM271">
        <v>0.66000000000000081</v>
      </c>
      <c r="FN271">
        <v>5</v>
      </c>
      <c r="FO271">
        <v>-1.2799999999999998</v>
      </c>
      <c r="FP271">
        <v>-2.7600000000000002</v>
      </c>
      <c r="FQ271">
        <v>0.72000000000000031</v>
      </c>
      <c r="FR271">
        <v>1.72</v>
      </c>
      <c r="FS271">
        <v>-0.4799999999999997</v>
      </c>
      <c r="FT271">
        <v>-1.7199999999999995</v>
      </c>
      <c r="FU271">
        <v>-0.43999999999999995</v>
      </c>
      <c r="FV271">
        <v>-1.4</v>
      </c>
      <c r="FW271">
        <v>-26.160000000000004</v>
      </c>
      <c r="FX271">
        <v>19.880000000000003</v>
      </c>
      <c r="FY271">
        <v>-0.59999999999999987</v>
      </c>
      <c r="FZ271">
        <v>5.4799999999999995</v>
      </c>
      <c r="GA271">
        <v>28</v>
      </c>
      <c r="GB271">
        <v>-6.3704000000000018</v>
      </c>
      <c r="GC271">
        <v>-3.7852800000000011</v>
      </c>
      <c r="GD271">
        <v>-46.040000000000006</v>
      </c>
      <c r="GE271">
        <v>6.3704000000000018</v>
      </c>
      <c r="GF271">
        <v>-1.1100499999999998</v>
      </c>
      <c r="GG271">
        <v>-4.8460000000000001</v>
      </c>
      <c r="GH271">
        <v>-5.34</v>
      </c>
      <c r="GI271">
        <v>3.0760000000000023</v>
      </c>
      <c r="GJ271">
        <v>23.200000000000003</v>
      </c>
      <c r="GK271">
        <v>-2.0100000000000007</v>
      </c>
      <c r="GL271">
        <v>-0.5199999999999998</v>
      </c>
    </row>
    <row r="272" spans="1:194" x14ac:dyDescent="0.2">
      <c r="A272" s="39">
        <v>43779</v>
      </c>
      <c r="B272" s="22" t="s">
        <v>244</v>
      </c>
      <c r="C272" s="41" t="s">
        <v>285</v>
      </c>
      <c r="D272" s="22" t="s">
        <v>284</v>
      </c>
      <c r="E272">
        <v>15.1</v>
      </c>
      <c r="F272">
        <v>40.799999999999997</v>
      </c>
      <c r="G272">
        <v>10.8</v>
      </c>
      <c r="H272">
        <v>4</v>
      </c>
      <c r="I272">
        <v>5.5</v>
      </c>
      <c r="J272">
        <v>51</v>
      </c>
      <c r="K272" t="s">
        <v>109</v>
      </c>
      <c r="L272" s="1" t="s">
        <v>285</v>
      </c>
      <c r="M272">
        <v>18</v>
      </c>
      <c r="N272">
        <v>-0.39280000000000043</v>
      </c>
      <c r="O272">
        <v>24</v>
      </c>
      <c r="P272">
        <v>22.5</v>
      </c>
      <c r="Q272">
        <v>22</v>
      </c>
      <c r="R272">
        <v>7.3549999999999986</v>
      </c>
      <c r="S272">
        <v>23</v>
      </c>
      <c r="T272">
        <v>2.8099999999999996</v>
      </c>
      <c r="U272">
        <v>0.73</v>
      </c>
      <c r="V272">
        <v>29</v>
      </c>
      <c r="W272">
        <v>29</v>
      </c>
      <c r="X272">
        <v>30</v>
      </c>
      <c r="Y272">
        <v>0.45400000000000029</v>
      </c>
      <c r="Z272">
        <v>28</v>
      </c>
      <c r="AA272">
        <v>-5.2000000000000011</v>
      </c>
      <c r="AB272">
        <v>-0.59000000000000008</v>
      </c>
      <c r="AC272">
        <v>27</v>
      </c>
      <c r="AD272">
        <v>26.5</v>
      </c>
      <c r="AE272">
        <v>27</v>
      </c>
      <c r="AF272">
        <v>-7.1480000000000006</v>
      </c>
      <c r="AG272">
        <v>26</v>
      </c>
      <c r="AH272">
        <v>-32.4</v>
      </c>
      <c r="AI272">
        <v>-1.8399999999999999</v>
      </c>
      <c r="AJ272">
        <v>7</v>
      </c>
      <c r="AK272">
        <v>8</v>
      </c>
      <c r="AL272">
        <v>6</v>
      </c>
      <c r="AM272">
        <v>-2.8240000000000007</v>
      </c>
      <c r="AN272">
        <v>10</v>
      </c>
      <c r="AO272">
        <v>-8.3999999999999986</v>
      </c>
      <c r="AP272">
        <v>4.0000000000000036E-2</v>
      </c>
      <c r="AQ272">
        <v>11</v>
      </c>
      <c r="AR272">
        <v>10.5</v>
      </c>
      <c r="AS272">
        <v>9</v>
      </c>
      <c r="AT272">
        <v>0.53599999999999981</v>
      </c>
      <c r="AU272">
        <v>12</v>
      </c>
      <c r="AV272">
        <v>2.2400000000000007</v>
      </c>
      <c r="AW272">
        <v>-0.68</v>
      </c>
      <c r="AX272">
        <v>16</v>
      </c>
      <c r="AY272">
        <v>16</v>
      </c>
      <c r="AZ272">
        <v>18</v>
      </c>
      <c r="BA272">
        <v>-0.67600000000000016</v>
      </c>
      <c r="BB272">
        <v>14</v>
      </c>
      <c r="BC272">
        <v>-3.0000000000000013</v>
      </c>
      <c r="BD272">
        <v>-2.92</v>
      </c>
      <c r="BE272">
        <v>24</v>
      </c>
      <c r="BF272">
        <v>23.5</v>
      </c>
      <c r="BG272">
        <v>29</v>
      </c>
      <c r="BH272">
        <v>-2.16</v>
      </c>
      <c r="BI272">
        <v>18</v>
      </c>
      <c r="BJ272">
        <v>-2</v>
      </c>
      <c r="BK272">
        <v>-1.8</v>
      </c>
      <c r="BL272">
        <v>21</v>
      </c>
      <c r="BM272">
        <v>20</v>
      </c>
      <c r="BN272">
        <v>17</v>
      </c>
      <c r="BO272">
        <v>0.64</v>
      </c>
      <c r="BP272">
        <v>23</v>
      </c>
      <c r="BQ272">
        <v>0.55999999999999994</v>
      </c>
      <c r="BR272">
        <v>-6.2799999999999994</v>
      </c>
      <c r="BS272">
        <v>9</v>
      </c>
      <c r="BT272">
        <v>12.25</v>
      </c>
      <c r="BU272">
        <v>20</v>
      </c>
      <c r="BV272">
        <v>-8.762492788711268E-2</v>
      </c>
      <c r="BW272">
        <v>7</v>
      </c>
      <c r="BX272">
        <v>-1.7538886644204603E-2</v>
      </c>
      <c r="BY272">
        <v>4</v>
      </c>
      <c r="BZ272">
        <v>-8.5879999999999992</v>
      </c>
      <c r="CA272">
        <v>18</v>
      </c>
      <c r="CB272">
        <v>-2.04</v>
      </c>
      <c r="CC272">
        <v>-2.6799999999999984</v>
      </c>
      <c r="CD272">
        <v>2.2799999999999994</v>
      </c>
      <c r="CE272">
        <v>-3.2399999999999998</v>
      </c>
      <c r="CF272">
        <v>2.2000000000000002</v>
      </c>
      <c r="CG272">
        <v>-9.5200000000000049</v>
      </c>
      <c r="CH272">
        <v>-4.8399999999999981</v>
      </c>
      <c r="CI272">
        <v>2.04</v>
      </c>
      <c r="CJ272">
        <v>14.52</v>
      </c>
      <c r="CK272">
        <v>31</v>
      </c>
      <c r="CL272">
        <v>-8.2017999999999986</v>
      </c>
      <c r="CM272">
        <v>-6.3022600000000004</v>
      </c>
      <c r="CN272">
        <v>-4.6800000000000068</v>
      </c>
      <c r="CO272">
        <v>8.2018000000000004</v>
      </c>
      <c r="CP272">
        <v>-0.44247500000000034</v>
      </c>
      <c r="CQ272">
        <v>-9.4360000000000017</v>
      </c>
      <c r="CR272">
        <v>-38.559999999999995</v>
      </c>
      <c r="CS272">
        <v>7.8089999999999993</v>
      </c>
      <c r="CT272">
        <v>-2.3900000000000015</v>
      </c>
      <c r="CU272">
        <v>-4.28</v>
      </c>
      <c r="CV272">
        <v>0.1399999999999999</v>
      </c>
      <c r="CW272">
        <v>2.7249625000000006</v>
      </c>
      <c r="CX272">
        <v>2.3819000000000004</v>
      </c>
      <c r="CY272" t="s">
        <v>284</v>
      </c>
      <c r="CZ272">
        <v>4</v>
      </c>
      <c r="DA272">
        <v>8.1640000000000015</v>
      </c>
      <c r="DB272">
        <v>25</v>
      </c>
      <c r="DC272">
        <v>23.5</v>
      </c>
      <c r="DD272">
        <v>24</v>
      </c>
      <c r="DE272">
        <v>-9.1847999999999992</v>
      </c>
      <c r="DF272">
        <v>23</v>
      </c>
      <c r="DG272">
        <v>-26.529999999999994</v>
      </c>
      <c r="DH272">
        <v>-0.40999999999999986</v>
      </c>
      <c r="DI272">
        <v>31</v>
      </c>
      <c r="DJ272">
        <v>31</v>
      </c>
      <c r="DK272">
        <v>31</v>
      </c>
      <c r="DL272">
        <v>-3.129</v>
      </c>
      <c r="DM272">
        <v>31</v>
      </c>
      <c r="DN272">
        <v>-10.64</v>
      </c>
      <c r="DO272">
        <v>-0.7</v>
      </c>
      <c r="DP272">
        <v>9</v>
      </c>
      <c r="DQ272">
        <v>6</v>
      </c>
      <c r="DR272">
        <v>6</v>
      </c>
      <c r="DS272">
        <v>7.4800000000000022</v>
      </c>
      <c r="DT272">
        <v>6</v>
      </c>
      <c r="DU272">
        <v>20.840000000000003</v>
      </c>
      <c r="DV272">
        <v>2.88</v>
      </c>
      <c r="DW272">
        <v>1</v>
      </c>
      <c r="DX272">
        <v>1.5</v>
      </c>
      <c r="DY272">
        <v>1</v>
      </c>
      <c r="DZ272">
        <v>12.076000000000001</v>
      </c>
      <c r="EA272">
        <v>2</v>
      </c>
      <c r="EB272">
        <v>29.76</v>
      </c>
      <c r="EC272">
        <v>0.23999999999999994</v>
      </c>
      <c r="ED272">
        <v>8</v>
      </c>
      <c r="EE272">
        <v>12.5</v>
      </c>
      <c r="EF272">
        <v>17</v>
      </c>
      <c r="EG272">
        <v>0.46799999999999997</v>
      </c>
      <c r="EH272">
        <v>8</v>
      </c>
      <c r="EI272">
        <v>0.43999999999999889</v>
      </c>
      <c r="EJ272">
        <v>-0.47999999999999987</v>
      </c>
      <c r="EK272">
        <v>2</v>
      </c>
      <c r="EL272">
        <v>3.5</v>
      </c>
      <c r="EM272">
        <v>1</v>
      </c>
      <c r="EN272">
        <v>5.3320000000000007</v>
      </c>
      <c r="EO272">
        <v>6</v>
      </c>
      <c r="EP272">
        <v>14.12</v>
      </c>
      <c r="EQ272">
        <v>2.7199999999999998</v>
      </c>
      <c r="ER272">
        <v>21</v>
      </c>
      <c r="ES272">
        <v>20.5</v>
      </c>
      <c r="ET272">
        <v>15</v>
      </c>
      <c r="EU272">
        <v>5.7900000000000009</v>
      </c>
      <c r="EV272">
        <v>26</v>
      </c>
      <c r="EW272">
        <v>12.75</v>
      </c>
      <c r="EX272">
        <v>2.2499999999999996</v>
      </c>
      <c r="EY272">
        <v>16</v>
      </c>
      <c r="EZ272">
        <v>14</v>
      </c>
      <c r="FA272">
        <v>13</v>
      </c>
      <c r="FB272">
        <v>2.88</v>
      </c>
      <c r="FC272">
        <v>15</v>
      </c>
      <c r="FD272">
        <v>0.36000000000000004</v>
      </c>
      <c r="FE272">
        <v>3.4400000000000004</v>
      </c>
      <c r="FF272">
        <v>10</v>
      </c>
      <c r="FG272">
        <v>13.25</v>
      </c>
      <c r="FH272">
        <v>9</v>
      </c>
      <c r="FI272">
        <v>-3.0167122108181364E-2</v>
      </c>
      <c r="FJ272">
        <v>26</v>
      </c>
      <c r="FK272">
        <v>-2.0434255764417812E-2</v>
      </c>
      <c r="FL272">
        <v>6</v>
      </c>
      <c r="FM272">
        <v>5.1759999999999993</v>
      </c>
      <c r="FN272">
        <v>12</v>
      </c>
      <c r="FO272">
        <v>-3.8800000000000003</v>
      </c>
      <c r="FP272">
        <v>2.9600000000000009</v>
      </c>
      <c r="FQ272">
        <v>-2.04</v>
      </c>
      <c r="FR272">
        <v>-1.0400000000000003</v>
      </c>
      <c r="FS272">
        <v>0.31999999999999884</v>
      </c>
      <c r="FT272">
        <v>8.7200000000000006</v>
      </c>
      <c r="FU272">
        <v>-0.44000000000000006</v>
      </c>
      <c r="FV272">
        <v>-7.999999999999545E-2</v>
      </c>
      <c r="FW272">
        <v>35.480000000000004</v>
      </c>
      <c r="FX272">
        <v>-34.119999999999997</v>
      </c>
      <c r="FY272">
        <v>1.3599999999999999</v>
      </c>
      <c r="FZ272">
        <v>-2.8</v>
      </c>
      <c r="GA272">
        <v>1</v>
      </c>
      <c r="GB272">
        <v>20.477800000000002</v>
      </c>
      <c r="GC272">
        <v>12.952500000000001</v>
      </c>
      <c r="GD272">
        <v>69.599999999999994</v>
      </c>
      <c r="GE272">
        <v>-20.477800000000002</v>
      </c>
      <c r="GF272">
        <v>3.0680250000000009</v>
      </c>
      <c r="GG272">
        <v>20.024000000000004</v>
      </c>
      <c r="GH272">
        <v>51.040000000000006</v>
      </c>
      <c r="GI272">
        <v>-12.313799999999999</v>
      </c>
      <c r="GJ272">
        <v>-37.169999999999995</v>
      </c>
      <c r="GK272">
        <v>4.8899999999999988</v>
      </c>
      <c r="GL272">
        <v>-1.1099999999999999</v>
      </c>
    </row>
    <row r="273" spans="1:194" x14ac:dyDescent="0.2">
      <c r="A273" s="39">
        <v>43779</v>
      </c>
      <c r="B273" s="22" t="s">
        <v>244</v>
      </c>
      <c r="C273" s="41" t="s">
        <v>295</v>
      </c>
      <c r="D273" s="22" t="s">
        <v>307</v>
      </c>
      <c r="E273">
        <v>10.9</v>
      </c>
      <c r="F273">
        <v>7.7</v>
      </c>
      <c r="G273">
        <v>6.3</v>
      </c>
      <c r="H273">
        <v>11.7</v>
      </c>
      <c r="I273">
        <v>14</v>
      </c>
      <c r="J273">
        <v>51.5</v>
      </c>
      <c r="K273" t="s">
        <v>109</v>
      </c>
      <c r="L273" s="1" t="s">
        <v>295</v>
      </c>
      <c r="M273">
        <v>9</v>
      </c>
      <c r="N273">
        <v>3.0727999999999982</v>
      </c>
      <c r="O273">
        <v>29</v>
      </c>
      <c r="P273">
        <v>28</v>
      </c>
      <c r="Q273">
        <v>29</v>
      </c>
      <c r="R273">
        <v>0.38299999999999945</v>
      </c>
      <c r="S273">
        <v>27</v>
      </c>
      <c r="T273">
        <v>-11.389999999999999</v>
      </c>
      <c r="U273">
        <v>0.53</v>
      </c>
      <c r="V273">
        <v>11</v>
      </c>
      <c r="W273">
        <v>11</v>
      </c>
      <c r="X273">
        <v>10</v>
      </c>
      <c r="Y273">
        <v>1.6819999999999993</v>
      </c>
      <c r="Z273">
        <v>12</v>
      </c>
      <c r="AA273">
        <v>5.36</v>
      </c>
      <c r="AB273">
        <v>-0.35000000000000009</v>
      </c>
      <c r="AC273">
        <v>15</v>
      </c>
      <c r="AD273">
        <v>16</v>
      </c>
      <c r="AE273">
        <v>23</v>
      </c>
      <c r="AF273">
        <v>-0.17999999999999972</v>
      </c>
      <c r="AG273">
        <v>9</v>
      </c>
      <c r="AH273">
        <v>17.64</v>
      </c>
      <c r="AI273">
        <v>0.52000000000000013</v>
      </c>
      <c r="AJ273">
        <v>6</v>
      </c>
      <c r="AK273">
        <v>7</v>
      </c>
      <c r="AL273">
        <v>8</v>
      </c>
      <c r="AM273">
        <v>0.11200000000000063</v>
      </c>
      <c r="AN273">
        <v>6</v>
      </c>
      <c r="AO273">
        <v>-1.2399999999999991</v>
      </c>
      <c r="AP273">
        <v>0.12000000000000011</v>
      </c>
      <c r="AQ273">
        <v>6</v>
      </c>
      <c r="AR273">
        <v>6</v>
      </c>
      <c r="AS273">
        <v>6</v>
      </c>
      <c r="AT273">
        <v>1.9120000000000004</v>
      </c>
      <c r="AU273">
        <v>6</v>
      </c>
      <c r="AV273">
        <v>0.84000000000000052</v>
      </c>
      <c r="AW273">
        <v>1.2400000000000002</v>
      </c>
      <c r="AX273">
        <v>7</v>
      </c>
      <c r="AY273">
        <v>6.5</v>
      </c>
      <c r="AZ273">
        <v>7</v>
      </c>
      <c r="BA273">
        <v>-1.8399999999999994</v>
      </c>
      <c r="BB273">
        <v>6</v>
      </c>
      <c r="BC273">
        <v>-16.400000000000002</v>
      </c>
      <c r="BD273">
        <v>-1.28</v>
      </c>
      <c r="BE273">
        <v>16</v>
      </c>
      <c r="BF273">
        <v>17</v>
      </c>
      <c r="BG273">
        <v>17</v>
      </c>
      <c r="BH273">
        <v>4.7799999999999994</v>
      </c>
      <c r="BI273">
        <v>17</v>
      </c>
      <c r="BJ273">
        <v>5.76</v>
      </c>
      <c r="BK273">
        <v>-3.9999999999999855E-2</v>
      </c>
      <c r="BL273">
        <v>4</v>
      </c>
      <c r="BM273">
        <v>7</v>
      </c>
      <c r="BN273">
        <v>10</v>
      </c>
      <c r="BO273">
        <v>1.48</v>
      </c>
      <c r="BP273">
        <v>4</v>
      </c>
      <c r="BQ273">
        <v>0.72</v>
      </c>
      <c r="BR273">
        <v>-4.08</v>
      </c>
      <c r="BS273">
        <v>14</v>
      </c>
      <c r="BT273">
        <v>14</v>
      </c>
      <c r="BU273">
        <v>7</v>
      </c>
      <c r="BV273">
        <v>4.0686899449590121E-2</v>
      </c>
      <c r="BW273">
        <v>9</v>
      </c>
      <c r="BX273">
        <v>8.5774395740100817E-3</v>
      </c>
      <c r="BY273">
        <v>26</v>
      </c>
      <c r="BZ273">
        <v>6.3079999999999981</v>
      </c>
      <c r="CA273">
        <v>14</v>
      </c>
      <c r="CB273">
        <v>1.6400000000000001</v>
      </c>
      <c r="CC273">
        <v>1.2399999999999991</v>
      </c>
      <c r="CD273">
        <v>2.7599999999999993</v>
      </c>
      <c r="CE273">
        <v>-1.48</v>
      </c>
      <c r="CF273">
        <v>21.280000000000008</v>
      </c>
      <c r="CG273">
        <v>31.920000000000005</v>
      </c>
      <c r="CH273">
        <v>-3.2399999999999975</v>
      </c>
      <c r="CI273">
        <v>0.31999999999999995</v>
      </c>
      <c r="CJ273">
        <v>-7.7199999999999989</v>
      </c>
      <c r="CK273">
        <v>17</v>
      </c>
      <c r="CL273">
        <v>1.0077999999999994</v>
      </c>
      <c r="CM273">
        <v>0.90686000000000067</v>
      </c>
      <c r="CN273">
        <v>35.160000000000004</v>
      </c>
      <c r="CO273">
        <v>-1.0077999999999996</v>
      </c>
      <c r="CP273">
        <v>1.6552249999999997</v>
      </c>
      <c r="CQ273">
        <v>1.8440000000000012</v>
      </c>
      <c r="CR273">
        <v>17.240000000000002</v>
      </c>
      <c r="CS273">
        <v>2.0649999999999986</v>
      </c>
      <c r="CT273">
        <v>-6.0299999999999985</v>
      </c>
      <c r="CU273">
        <v>1.8400000000000005</v>
      </c>
      <c r="CV273">
        <v>0.17999999999999994</v>
      </c>
      <c r="CW273">
        <v>-0.55761249999999962</v>
      </c>
      <c r="CX273">
        <v>1.233225</v>
      </c>
      <c r="CY273" t="s">
        <v>307</v>
      </c>
      <c r="CZ273">
        <v>18</v>
      </c>
      <c r="DA273">
        <v>-6.0775999999999994</v>
      </c>
      <c r="DB273">
        <v>29</v>
      </c>
      <c r="DC273">
        <v>27.5</v>
      </c>
      <c r="DD273">
        <v>26</v>
      </c>
      <c r="DE273">
        <v>-6.0499999999999989</v>
      </c>
      <c r="DF273">
        <v>29</v>
      </c>
      <c r="DG273">
        <v>-18.8</v>
      </c>
      <c r="DH273">
        <v>-0.24999999999999978</v>
      </c>
      <c r="DI273">
        <v>7</v>
      </c>
      <c r="DJ273">
        <v>10</v>
      </c>
      <c r="DK273">
        <v>8</v>
      </c>
      <c r="DL273">
        <v>1.6600000000000001</v>
      </c>
      <c r="DM273">
        <v>12</v>
      </c>
      <c r="DN273">
        <v>13.7</v>
      </c>
      <c r="DO273">
        <v>0.8</v>
      </c>
      <c r="DP273">
        <v>15</v>
      </c>
      <c r="DQ273">
        <v>19</v>
      </c>
      <c r="DR273">
        <v>18</v>
      </c>
      <c r="DS273">
        <v>-6.2840000000000007</v>
      </c>
      <c r="DT273">
        <v>20</v>
      </c>
      <c r="DU273">
        <v>-30.679999999999996</v>
      </c>
      <c r="DV273">
        <v>-0.44000000000000022</v>
      </c>
      <c r="DW273">
        <v>29</v>
      </c>
      <c r="DX273">
        <v>29.5</v>
      </c>
      <c r="DY273">
        <v>27</v>
      </c>
      <c r="DZ273">
        <v>1.8119999999999998</v>
      </c>
      <c r="EA273">
        <v>32</v>
      </c>
      <c r="EB273">
        <v>3.72</v>
      </c>
      <c r="EC273">
        <v>1.1600000000000001</v>
      </c>
      <c r="ED273">
        <v>27</v>
      </c>
      <c r="EE273">
        <v>25</v>
      </c>
      <c r="EF273">
        <v>25</v>
      </c>
      <c r="EG273">
        <v>-3.4720000000000004</v>
      </c>
      <c r="EH273">
        <v>25</v>
      </c>
      <c r="EI273">
        <v>-17</v>
      </c>
      <c r="EJ273">
        <v>-0.48</v>
      </c>
      <c r="EK273">
        <v>24</v>
      </c>
      <c r="EL273">
        <v>23.5</v>
      </c>
      <c r="EM273">
        <v>20</v>
      </c>
      <c r="EN273">
        <v>-3.4959999999999996</v>
      </c>
      <c r="EO273">
        <v>27</v>
      </c>
      <c r="EP273">
        <v>-16.96</v>
      </c>
      <c r="EQ273">
        <v>0.31999999999999995</v>
      </c>
      <c r="ER273">
        <v>3</v>
      </c>
      <c r="ES273">
        <v>3.5</v>
      </c>
      <c r="ET273">
        <v>3</v>
      </c>
      <c r="EU273">
        <v>-1.0159999999999996</v>
      </c>
      <c r="EV273">
        <v>4</v>
      </c>
      <c r="EW273">
        <v>-2.160000000000001</v>
      </c>
      <c r="EX273">
        <v>-0.59999999999999987</v>
      </c>
      <c r="EY273">
        <v>8</v>
      </c>
      <c r="EZ273">
        <v>8.5</v>
      </c>
      <c r="FA273">
        <v>9</v>
      </c>
      <c r="FB273">
        <v>0.6399999999999999</v>
      </c>
      <c r="FC273">
        <v>8</v>
      </c>
      <c r="FD273">
        <v>-3.9999999999999994E-2</v>
      </c>
      <c r="FE273">
        <v>0.6399999999999999</v>
      </c>
      <c r="FF273">
        <v>17</v>
      </c>
      <c r="FG273">
        <v>16</v>
      </c>
      <c r="FH273">
        <v>6</v>
      </c>
      <c r="FI273">
        <v>2.8169295768126757E-2</v>
      </c>
      <c r="FJ273">
        <v>18</v>
      </c>
      <c r="FK273">
        <v>2.7441354763366082E-3</v>
      </c>
      <c r="FL273">
        <v>21</v>
      </c>
      <c r="FM273">
        <v>-3.0640000000000014</v>
      </c>
      <c r="FN273">
        <v>19</v>
      </c>
      <c r="FO273">
        <v>-0.48000000000000009</v>
      </c>
      <c r="FP273">
        <v>-0.80000000000000138</v>
      </c>
      <c r="FQ273">
        <v>-3.2400000000000007</v>
      </c>
      <c r="FR273">
        <v>-2.36</v>
      </c>
      <c r="FS273">
        <v>-5.9600000000000009</v>
      </c>
      <c r="FT273">
        <v>-5.76</v>
      </c>
      <c r="FU273">
        <v>0.83999999999999986</v>
      </c>
      <c r="FV273">
        <v>-94.88</v>
      </c>
      <c r="FW273">
        <v>-64.84</v>
      </c>
      <c r="FX273">
        <v>-22.560000000000002</v>
      </c>
      <c r="FY273">
        <v>5.76</v>
      </c>
      <c r="FZ273">
        <v>-13.24</v>
      </c>
      <c r="GA273">
        <v>20</v>
      </c>
      <c r="GB273">
        <v>-1.6876000000000007</v>
      </c>
      <c r="GC273">
        <v>-0.81252000000000058</v>
      </c>
      <c r="GD273">
        <v>-42.28</v>
      </c>
      <c r="GE273">
        <v>1.6876000000000007</v>
      </c>
      <c r="GF273">
        <v>-2.3484499999999993</v>
      </c>
      <c r="GG273">
        <v>-7.9440000000000017</v>
      </c>
      <c r="GH273">
        <v>-43.959999999999994</v>
      </c>
      <c r="GI273">
        <v>-4.3899999999999988</v>
      </c>
      <c r="GJ273">
        <v>-5.1000000000000014</v>
      </c>
      <c r="GK273">
        <v>-0.35999999999999988</v>
      </c>
      <c r="GL273">
        <v>0.55000000000000027</v>
      </c>
    </row>
    <row r="274" spans="1:194" x14ac:dyDescent="0.2">
      <c r="A274" s="39">
        <v>43779</v>
      </c>
      <c r="B274" s="22" t="s">
        <v>244</v>
      </c>
      <c r="C274" s="41" t="s">
        <v>305</v>
      </c>
      <c r="D274" s="22" t="s">
        <v>272</v>
      </c>
      <c r="E274">
        <v>18</v>
      </c>
      <c r="F274">
        <v>3.2</v>
      </c>
      <c r="G274">
        <v>0</v>
      </c>
      <c r="H274">
        <f>23.3+11.8+4</f>
        <v>39.1</v>
      </c>
      <c r="I274">
        <v>-10.5</v>
      </c>
      <c r="J274">
        <v>44</v>
      </c>
      <c r="L274" s="1" t="s">
        <v>305</v>
      </c>
      <c r="M274">
        <v>2</v>
      </c>
      <c r="N274">
        <v>6.1575999999999995</v>
      </c>
      <c r="O274">
        <v>4</v>
      </c>
      <c r="P274">
        <v>6.5</v>
      </c>
      <c r="Q274">
        <v>4</v>
      </c>
      <c r="R274">
        <v>-0.8120000000000005</v>
      </c>
      <c r="S274">
        <v>9</v>
      </c>
      <c r="T274">
        <v>-8.2000000000000028</v>
      </c>
      <c r="U274">
        <v>-1.0000000000000002</v>
      </c>
      <c r="V274">
        <v>5</v>
      </c>
      <c r="W274">
        <v>8</v>
      </c>
      <c r="X274">
        <v>14</v>
      </c>
      <c r="Y274">
        <v>-1.1880000000000006</v>
      </c>
      <c r="Z274">
        <v>2</v>
      </c>
      <c r="AA274">
        <v>4.4399999999999986</v>
      </c>
      <c r="AB274">
        <v>-1.52</v>
      </c>
      <c r="AC274">
        <v>26</v>
      </c>
      <c r="AD274">
        <v>25</v>
      </c>
      <c r="AE274">
        <v>22</v>
      </c>
      <c r="AF274">
        <v>-0.31333333333333346</v>
      </c>
      <c r="AG274">
        <v>28</v>
      </c>
      <c r="AH274">
        <v>-10.866666666666667</v>
      </c>
      <c r="AI274">
        <v>-1.7333333333333334</v>
      </c>
      <c r="AJ274">
        <v>25</v>
      </c>
      <c r="AK274">
        <v>26</v>
      </c>
      <c r="AL274">
        <v>24</v>
      </c>
      <c r="AM274">
        <v>-2.3666666666666667</v>
      </c>
      <c r="AN274">
        <v>28</v>
      </c>
      <c r="AO274">
        <v>-13.266666666666666</v>
      </c>
      <c r="AP274">
        <v>-2.3333333333333335</v>
      </c>
      <c r="AQ274">
        <v>31</v>
      </c>
      <c r="AR274">
        <v>30</v>
      </c>
      <c r="AS274">
        <v>29</v>
      </c>
      <c r="AT274">
        <v>-5.4133333333333331</v>
      </c>
      <c r="AU274">
        <v>31</v>
      </c>
      <c r="AV274">
        <v>-25.533333333333331</v>
      </c>
      <c r="AW274">
        <v>-3.1999999999999997</v>
      </c>
      <c r="AX274">
        <v>10</v>
      </c>
      <c r="AY274">
        <v>11</v>
      </c>
      <c r="AZ274">
        <v>5</v>
      </c>
      <c r="BA274">
        <v>-0.47333333333333449</v>
      </c>
      <c r="BB274">
        <v>17</v>
      </c>
      <c r="BC274">
        <v>-12.73333333333334</v>
      </c>
      <c r="BD274">
        <v>0.19999999999999987</v>
      </c>
      <c r="BE274">
        <v>2</v>
      </c>
      <c r="BF274">
        <v>2</v>
      </c>
      <c r="BG274">
        <v>2</v>
      </c>
      <c r="BH274">
        <v>7.0319999999999983</v>
      </c>
      <c r="BI274">
        <v>2</v>
      </c>
      <c r="BJ274">
        <v>33.120000000000005</v>
      </c>
      <c r="BK274">
        <v>4.5600000000000005</v>
      </c>
      <c r="BL274">
        <v>8</v>
      </c>
      <c r="BM274">
        <v>8.5</v>
      </c>
      <c r="BN274">
        <v>2</v>
      </c>
      <c r="BO274">
        <v>3.0000000000000004</v>
      </c>
      <c r="BP274">
        <v>15</v>
      </c>
      <c r="BQ274">
        <v>7.9999999999999988E-2</v>
      </c>
      <c r="BR274">
        <v>4.4400000000000004</v>
      </c>
      <c r="BS274">
        <v>31</v>
      </c>
      <c r="BT274">
        <v>29.25</v>
      </c>
      <c r="BU274">
        <v>27</v>
      </c>
      <c r="BV274">
        <v>-1.6755866736370795E-2</v>
      </c>
      <c r="BW274">
        <v>31</v>
      </c>
      <c r="BX274">
        <v>-1.864633314740724E-3</v>
      </c>
      <c r="BY274">
        <v>27</v>
      </c>
      <c r="BZ274">
        <v>17.432000000000002</v>
      </c>
      <c r="CA274">
        <v>32</v>
      </c>
      <c r="CB274">
        <v>-3.839999999999999</v>
      </c>
      <c r="CC274">
        <v>1.4210854715202005E-15</v>
      </c>
      <c r="CD274">
        <v>4.88</v>
      </c>
      <c r="CE274">
        <v>3.7600000000000002</v>
      </c>
      <c r="CF274">
        <v>-14.160000000000014</v>
      </c>
      <c r="CG274">
        <v>-57.359999999999992</v>
      </c>
      <c r="CH274">
        <v>1.2799999999999983</v>
      </c>
      <c r="CI274">
        <v>-9</v>
      </c>
      <c r="CJ274">
        <v>50.92</v>
      </c>
      <c r="CK274">
        <v>4</v>
      </c>
      <c r="CL274">
        <v>8.1576000000000004</v>
      </c>
      <c r="CM274">
        <v>2.0192533333333333</v>
      </c>
      <c r="CN274">
        <v>-58.639999999999993</v>
      </c>
      <c r="CO274">
        <v>-8.1576000000000004</v>
      </c>
      <c r="CP274">
        <v>0.76203333333333301</v>
      </c>
      <c r="CQ274">
        <v>-8.0933333333333337</v>
      </c>
      <c r="CR274">
        <v>-49.666666666666664</v>
      </c>
      <c r="CS274">
        <v>-2.0000000000000009</v>
      </c>
      <c r="CT274">
        <v>-3.7600000000000042</v>
      </c>
      <c r="CU274">
        <v>-2.7066666666666652</v>
      </c>
      <c r="CV274">
        <v>-2.5200000000000005</v>
      </c>
      <c r="CW274">
        <v>-0.49357499999999987</v>
      </c>
      <c r="CX274">
        <v>-2.0768249999999999</v>
      </c>
      <c r="CY274" t="s">
        <v>272</v>
      </c>
      <c r="CZ274">
        <v>10</v>
      </c>
      <c r="DA274">
        <v>6.0583999999999989</v>
      </c>
      <c r="DB274">
        <v>25</v>
      </c>
      <c r="DC274">
        <v>23.5</v>
      </c>
      <c r="DD274">
        <v>29</v>
      </c>
      <c r="DE274">
        <v>-2.1559999999999988</v>
      </c>
      <c r="DF274">
        <v>18</v>
      </c>
      <c r="DG274">
        <v>2.0299999999999985</v>
      </c>
      <c r="DH274">
        <v>-1.1299999999999999</v>
      </c>
      <c r="DI274">
        <v>24</v>
      </c>
      <c r="DJ274">
        <v>21.5</v>
      </c>
      <c r="DK274">
        <v>19</v>
      </c>
      <c r="DL274">
        <v>1.6830000000000005</v>
      </c>
      <c r="DM274">
        <v>24</v>
      </c>
      <c r="DN274">
        <v>12.72</v>
      </c>
      <c r="DO274">
        <v>0.7</v>
      </c>
      <c r="DP274">
        <v>1</v>
      </c>
      <c r="DQ274">
        <v>4</v>
      </c>
      <c r="DR274">
        <v>5</v>
      </c>
      <c r="DS274">
        <v>5.0386666666666651</v>
      </c>
      <c r="DT274">
        <v>3</v>
      </c>
      <c r="DU274">
        <v>34.679999999999993</v>
      </c>
      <c r="DV274">
        <v>-0.37333333333333341</v>
      </c>
      <c r="DW274">
        <v>17</v>
      </c>
      <c r="DX274">
        <v>16.5</v>
      </c>
      <c r="DY274">
        <v>19</v>
      </c>
      <c r="DZ274">
        <v>-4.3066666666666666</v>
      </c>
      <c r="EA274">
        <v>14</v>
      </c>
      <c r="EB274">
        <v>-19.880000000000003</v>
      </c>
      <c r="EC274">
        <v>-2.0533333333333332</v>
      </c>
      <c r="ED274">
        <v>6</v>
      </c>
      <c r="EE274">
        <v>8</v>
      </c>
      <c r="EF274">
        <v>6</v>
      </c>
      <c r="EG274">
        <v>2.2239999999999993</v>
      </c>
      <c r="EH274">
        <v>10</v>
      </c>
      <c r="EI274">
        <v>14.12</v>
      </c>
      <c r="EJ274">
        <v>1.1199999999999999</v>
      </c>
      <c r="EK274">
        <v>2</v>
      </c>
      <c r="EL274">
        <v>3.5</v>
      </c>
      <c r="EM274">
        <v>5</v>
      </c>
      <c r="EN274">
        <v>8.2679999999999989</v>
      </c>
      <c r="EO274">
        <v>2</v>
      </c>
      <c r="EP274">
        <v>54.279999999999994</v>
      </c>
      <c r="EQ274">
        <v>0.55999999999999983</v>
      </c>
      <c r="ER274">
        <v>9</v>
      </c>
      <c r="ES274">
        <v>10</v>
      </c>
      <c r="ET274">
        <v>9</v>
      </c>
      <c r="EU274">
        <v>-0.78399999999999914</v>
      </c>
      <c r="EV274">
        <v>11</v>
      </c>
      <c r="EW274">
        <v>-2.6400000000000028</v>
      </c>
      <c r="EX274">
        <v>-1.6</v>
      </c>
      <c r="EY274">
        <v>20</v>
      </c>
      <c r="EZ274">
        <v>21</v>
      </c>
      <c r="FA274">
        <v>18</v>
      </c>
      <c r="FB274">
        <v>0.96000000000000019</v>
      </c>
      <c r="FC274">
        <v>24</v>
      </c>
      <c r="FD274">
        <v>0.23999999999999994</v>
      </c>
      <c r="FE274">
        <v>1.08</v>
      </c>
      <c r="FF274">
        <v>22</v>
      </c>
      <c r="FG274">
        <v>18.25</v>
      </c>
      <c r="FH274">
        <v>13</v>
      </c>
      <c r="FI274">
        <v>-3.0530006037428246E-2</v>
      </c>
      <c r="FJ274">
        <v>15</v>
      </c>
      <c r="FK274">
        <v>-2.7245205774960625E-2</v>
      </c>
      <c r="FL274">
        <v>19</v>
      </c>
      <c r="FM274">
        <v>-5.923999999999995</v>
      </c>
      <c r="FN274">
        <v>26</v>
      </c>
      <c r="FO274">
        <v>-3.96</v>
      </c>
      <c r="FP274">
        <v>-0.72000000000000031</v>
      </c>
      <c r="FQ274">
        <v>2.12</v>
      </c>
      <c r="FR274">
        <v>0.4</v>
      </c>
      <c r="FS274">
        <v>2.0400000000000005</v>
      </c>
      <c r="FT274">
        <v>3.2399999999999998</v>
      </c>
      <c r="FU274">
        <v>0.4799999999999997</v>
      </c>
      <c r="FV274">
        <v>88.879999999999981</v>
      </c>
      <c r="FW274">
        <v>40.360000000000007</v>
      </c>
      <c r="FX274">
        <v>22.68</v>
      </c>
      <c r="FY274">
        <v>4.5999999999999996</v>
      </c>
      <c r="FZ274">
        <v>21.240000000000002</v>
      </c>
      <c r="GA274">
        <v>3</v>
      </c>
      <c r="GB274">
        <v>6.531399999999997</v>
      </c>
      <c r="GC274">
        <v>1.8825799999999981</v>
      </c>
      <c r="GD274">
        <v>17.680000000000007</v>
      </c>
      <c r="GE274">
        <v>-6.531399999999997</v>
      </c>
      <c r="GF274">
        <v>1.0896750000000002</v>
      </c>
      <c r="GG274">
        <v>2.9559999999999977</v>
      </c>
      <c r="GH274">
        <v>28.919999999999987</v>
      </c>
      <c r="GI274">
        <v>-0.47299999999999831</v>
      </c>
      <c r="GJ274">
        <v>14.75</v>
      </c>
      <c r="GK274">
        <v>-2.9066666666666672</v>
      </c>
      <c r="GL274">
        <v>-0.42999999999999994</v>
      </c>
    </row>
    <row r="275" spans="1:194" x14ac:dyDescent="0.2">
      <c r="A275" s="39">
        <v>43779</v>
      </c>
      <c r="B275" s="22" t="s">
        <v>244</v>
      </c>
      <c r="C275" s="41" t="s">
        <v>276</v>
      </c>
      <c r="D275" s="22" t="s">
        <v>281</v>
      </c>
      <c r="E275">
        <v>12.7</v>
      </c>
      <c r="F275">
        <v>11.4</v>
      </c>
      <c r="G275">
        <v>3.9</v>
      </c>
      <c r="H275">
        <v>9.5</v>
      </c>
      <c r="I275">
        <v>3</v>
      </c>
      <c r="J275">
        <v>42</v>
      </c>
      <c r="K275" t="s">
        <v>110</v>
      </c>
      <c r="L275" s="1" t="s">
        <v>276</v>
      </c>
      <c r="M275">
        <v>8</v>
      </c>
      <c r="N275">
        <v>3.1328000000000014</v>
      </c>
      <c r="O275">
        <v>15</v>
      </c>
      <c r="P275">
        <v>16</v>
      </c>
      <c r="Q275">
        <v>21</v>
      </c>
      <c r="R275">
        <v>-5.484</v>
      </c>
      <c r="S275">
        <v>11</v>
      </c>
      <c r="T275">
        <v>-25.24</v>
      </c>
      <c r="U275">
        <v>4.0000000000000036E-2</v>
      </c>
      <c r="V275">
        <v>15</v>
      </c>
      <c r="W275">
        <v>14.5</v>
      </c>
      <c r="X275">
        <v>20</v>
      </c>
      <c r="Y275">
        <v>-2.7400000000000007</v>
      </c>
      <c r="Z275">
        <v>9</v>
      </c>
      <c r="AA275">
        <v>0.28000000000000114</v>
      </c>
      <c r="AB275">
        <v>-1.4400000000000002</v>
      </c>
      <c r="AC275">
        <v>21</v>
      </c>
      <c r="AD275">
        <v>19.5</v>
      </c>
      <c r="AE275">
        <v>14</v>
      </c>
      <c r="AF275">
        <v>-2.5439999999999996</v>
      </c>
      <c r="AG275">
        <v>25</v>
      </c>
      <c r="AH275">
        <v>0.23999999999999916</v>
      </c>
      <c r="AI275">
        <v>0.32000000000000028</v>
      </c>
      <c r="AJ275">
        <v>9</v>
      </c>
      <c r="AK275">
        <v>8.5</v>
      </c>
      <c r="AL275">
        <v>9</v>
      </c>
      <c r="AM275">
        <v>0.53200000000000003</v>
      </c>
      <c r="AN275">
        <v>8</v>
      </c>
      <c r="AO275">
        <v>-8.1999999999999993</v>
      </c>
      <c r="AP275">
        <v>4.0000000000000126E-2</v>
      </c>
      <c r="AQ275">
        <v>13</v>
      </c>
      <c r="AR275">
        <v>14.5</v>
      </c>
      <c r="AS275">
        <v>15</v>
      </c>
      <c r="AT275">
        <v>0.63200000000000023</v>
      </c>
      <c r="AU275">
        <v>14</v>
      </c>
      <c r="AV275">
        <v>7.92</v>
      </c>
      <c r="AW275">
        <v>-0.52</v>
      </c>
      <c r="AX275">
        <v>23</v>
      </c>
      <c r="AY275">
        <v>22.5</v>
      </c>
      <c r="AZ275">
        <v>25</v>
      </c>
      <c r="BA275">
        <v>-1.7720000000000002</v>
      </c>
      <c r="BB275">
        <v>20</v>
      </c>
      <c r="BC275">
        <v>-10.520000000000001</v>
      </c>
      <c r="BD275">
        <v>0</v>
      </c>
      <c r="BE275">
        <v>29</v>
      </c>
      <c r="BF275">
        <v>28.5</v>
      </c>
      <c r="BG275">
        <v>30</v>
      </c>
      <c r="BH275">
        <v>-2.2440000000000002</v>
      </c>
      <c r="BI275">
        <v>27</v>
      </c>
      <c r="BJ275">
        <v>-11.319999999999999</v>
      </c>
      <c r="BK275">
        <v>-0.56000000000000005</v>
      </c>
      <c r="BL275">
        <v>25</v>
      </c>
      <c r="BM275">
        <v>23</v>
      </c>
      <c r="BN275">
        <v>23</v>
      </c>
      <c r="BO275">
        <v>-2.76</v>
      </c>
      <c r="BP275">
        <v>23</v>
      </c>
      <c r="BQ275">
        <v>-0.96</v>
      </c>
      <c r="BR275">
        <v>-2.0000000000000004</v>
      </c>
      <c r="BS275">
        <v>24</v>
      </c>
      <c r="BT275">
        <v>20.75</v>
      </c>
      <c r="BU275">
        <v>25</v>
      </c>
      <c r="BV275">
        <v>-1.2758798067550514E-2</v>
      </c>
      <c r="BW275">
        <v>25</v>
      </c>
      <c r="BX275">
        <v>-3.6485535119917438E-3</v>
      </c>
      <c r="BY275">
        <v>5</v>
      </c>
      <c r="BZ275">
        <v>-22.643999999999998</v>
      </c>
      <c r="CA275">
        <v>28</v>
      </c>
      <c r="CB275">
        <v>-1.6800000000000002</v>
      </c>
      <c r="CC275">
        <v>-3.12</v>
      </c>
      <c r="CD275">
        <v>-3.3600000000000003</v>
      </c>
      <c r="CE275">
        <v>1.08</v>
      </c>
      <c r="CF275">
        <v>-39.08</v>
      </c>
      <c r="CG275">
        <v>-24</v>
      </c>
      <c r="CH275">
        <v>-28.159999999999997</v>
      </c>
      <c r="CI275">
        <v>-3.0800000000000005</v>
      </c>
      <c r="CJ275">
        <v>16.16</v>
      </c>
      <c r="CK275">
        <v>2</v>
      </c>
      <c r="CL275">
        <v>11.356800000000002</v>
      </c>
      <c r="CM275">
        <v>4.0137600000000004</v>
      </c>
      <c r="CN275">
        <v>4.1599999999999966</v>
      </c>
      <c r="CO275">
        <v>-11.356800000000002</v>
      </c>
      <c r="CP275">
        <v>-1.4343999999999997</v>
      </c>
      <c r="CQ275">
        <v>-1.3799999999999994</v>
      </c>
      <c r="CR275">
        <v>-4.0000000000000036E-2</v>
      </c>
      <c r="CS275">
        <v>-8.2240000000000002</v>
      </c>
      <c r="CT275">
        <v>-24.959999999999997</v>
      </c>
      <c r="CU275">
        <v>-0.71999999999999964</v>
      </c>
      <c r="CV275">
        <v>-1.4000000000000001</v>
      </c>
      <c r="CW275">
        <v>0.26013749999999985</v>
      </c>
      <c r="CX275">
        <v>0.41299999999999976</v>
      </c>
      <c r="CY275" t="s">
        <v>281</v>
      </c>
      <c r="CZ275">
        <v>11</v>
      </c>
      <c r="DA275">
        <v>2.4471999999999983</v>
      </c>
      <c r="DB275">
        <v>19</v>
      </c>
      <c r="DC275">
        <v>20</v>
      </c>
      <c r="DD275">
        <v>20</v>
      </c>
      <c r="DE275">
        <v>5.2000000000000671E-2</v>
      </c>
      <c r="DF275">
        <v>20</v>
      </c>
      <c r="DG275">
        <v>17.759999999999998</v>
      </c>
      <c r="DH275">
        <v>-0.88000000000000012</v>
      </c>
      <c r="DI275">
        <v>25</v>
      </c>
      <c r="DJ275">
        <v>22.5</v>
      </c>
      <c r="DK275">
        <v>19</v>
      </c>
      <c r="DL275">
        <v>2.1840000000000002</v>
      </c>
      <c r="DM275">
        <v>26</v>
      </c>
      <c r="DN275">
        <v>2.7999999999999985</v>
      </c>
      <c r="DO275">
        <v>-3.9999999999999904E-2</v>
      </c>
      <c r="DP275">
        <v>10</v>
      </c>
      <c r="DQ275">
        <v>12</v>
      </c>
      <c r="DR275">
        <v>13</v>
      </c>
      <c r="DS275">
        <v>-1.6319999999999992</v>
      </c>
      <c r="DT275">
        <v>11</v>
      </c>
      <c r="DU275">
        <v>-14.079999999999998</v>
      </c>
      <c r="DV275">
        <v>-0.48000000000000009</v>
      </c>
      <c r="DW275">
        <v>21</v>
      </c>
      <c r="DX275">
        <v>22</v>
      </c>
      <c r="DY275">
        <v>21</v>
      </c>
      <c r="DZ275">
        <v>-4.1310000000000002</v>
      </c>
      <c r="EA275">
        <v>23</v>
      </c>
      <c r="EB275">
        <v>-0.56999999999999962</v>
      </c>
      <c r="EC275">
        <v>-0.76</v>
      </c>
      <c r="ED275">
        <v>21</v>
      </c>
      <c r="EE275">
        <v>19.5</v>
      </c>
      <c r="EF275">
        <v>19</v>
      </c>
      <c r="EG275">
        <v>0.86799999999999944</v>
      </c>
      <c r="EH275">
        <v>20</v>
      </c>
      <c r="EI275">
        <v>-6.4799999999999995</v>
      </c>
      <c r="EJ275">
        <v>0.52000000000000013</v>
      </c>
      <c r="EK275">
        <v>10</v>
      </c>
      <c r="EL275">
        <v>11.5</v>
      </c>
      <c r="EM275">
        <v>12</v>
      </c>
      <c r="EN275">
        <v>-2.3919999999999986</v>
      </c>
      <c r="EO275">
        <v>11</v>
      </c>
      <c r="EP275">
        <v>-7.7600000000000033</v>
      </c>
      <c r="EQ275">
        <v>-6.56</v>
      </c>
      <c r="ER275">
        <v>4</v>
      </c>
      <c r="ES275">
        <v>4</v>
      </c>
      <c r="ET275">
        <v>5</v>
      </c>
      <c r="EU275">
        <v>1.7500000000000004</v>
      </c>
      <c r="EV275">
        <v>3</v>
      </c>
      <c r="EW275">
        <v>7.9499999999999975</v>
      </c>
      <c r="EX275">
        <v>-1.4700000000000002</v>
      </c>
      <c r="EY275">
        <v>29</v>
      </c>
      <c r="EZ275">
        <v>27</v>
      </c>
      <c r="FA275">
        <v>30</v>
      </c>
      <c r="FB275">
        <v>-0.68</v>
      </c>
      <c r="FC275">
        <v>24</v>
      </c>
      <c r="FD275">
        <v>0.48000000000000009</v>
      </c>
      <c r="FE275">
        <v>0.76</v>
      </c>
      <c r="FF275">
        <v>9</v>
      </c>
      <c r="FG275">
        <v>12.5</v>
      </c>
      <c r="FH275">
        <v>8</v>
      </c>
      <c r="FI275">
        <v>2.5066245895236643E-2</v>
      </c>
      <c r="FJ275">
        <v>16</v>
      </c>
      <c r="FK275">
        <v>-2.1488701380310655E-3</v>
      </c>
      <c r="FL275">
        <v>7</v>
      </c>
      <c r="FM275">
        <v>5.6</v>
      </c>
      <c r="FN275">
        <v>19</v>
      </c>
      <c r="FO275">
        <v>-3.2800000000000002</v>
      </c>
      <c r="FP275">
        <v>-0.84000000000000052</v>
      </c>
      <c r="FQ275">
        <v>-1.6799999999999997</v>
      </c>
      <c r="FR275">
        <v>0.79999999999999993</v>
      </c>
      <c r="FS275">
        <v>-1</v>
      </c>
      <c r="FT275">
        <v>1.6799999999999997</v>
      </c>
      <c r="FU275">
        <v>0.24000000000000013</v>
      </c>
      <c r="FV275">
        <v>28.639999999999997</v>
      </c>
      <c r="FW275">
        <v>1.6799999999999955</v>
      </c>
      <c r="FX275">
        <v>20.439999999999998</v>
      </c>
      <c r="FY275">
        <v>5.32</v>
      </c>
      <c r="FZ275">
        <v>1.2000000000000002</v>
      </c>
      <c r="GA275">
        <v>15</v>
      </c>
      <c r="GB275">
        <v>0.21119999999999761</v>
      </c>
      <c r="GC275">
        <v>-1.2575600000000007</v>
      </c>
      <c r="GD275">
        <v>-18.760000000000002</v>
      </c>
      <c r="GE275">
        <v>-0.21119999999999761</v>
      </c>
      <c r="GF275">
        <v>0.10727499999999997</v>
      </c>
      <c r="GG275">
        <v>-4.8950000000000005</v>
      </c>
      <c r="GH275">
        <v>-21.13</v>
      </c>
      <c r="GI275">
        <v>2.2360000000000007</v>
      </c>
      <c r="GJ275">
        <v>20.559999999999995</v>
      </c>
      <c r="GK275">
        <v>-2.1900000000000004</v>
      </c>
      <c r="GL275">
        <v>-0.92</v>
      </c>
    </row>
    <row r="276" spans="1:194" x14ac:dyDescent="0.2">
      <c r="A276" s="39">
        <v>43779</v>
      </c>
      <c r="B276" s="22" t="s">
        <v>244</v>
      </c>
      <c r="C276" s="41" t="s">
        <v>301</v>
      </c>
      <c r="D276" s="22" t="s">
        <v>300</v>
      </c>
      <c r="E276">
        <v>24</v>
      </c>
      <c r="F276">
        <v>13.5</v>
      </c>
      <c r="G276">
        <v>3.1</v>
      </c>
      <c r="H276">
        <v>17.8</v>
      </c>
      <c r="I276">
        <v>5</v>
      </c>
      <c r="J276">
        <v>49</v>
      </c>
      <c r="L276" s="1" t="s">
        <v>301</v>
      </c>
      <c r="M276">
        <v>30</v>
      </c>
      <c r="N276">
        <v>-5.0303999999999984</v>
      </c>
      <c r="O276">
        <v>2</v>
      </c>
      <c r="P276">
        <v>3</v>
      </c>
      <c r="Q276">
        <v>1</v>
      </c>
      <c r="R276">
        <v>17.347199999999997</v>
      </c>
      <c r="S276">
        <v>5</v>
      </c>
      <c r="T276">
        <v>42.8</v>
      </c>
      <c r="U276">
        <v>2.0799999999999996</v>
      </c>
      <c r="V276">
        <v>32</v>
      </c>
      <c r="W276">
        <v>31.5</v>
      </c>
      <c r="X276">
        <v>31</v>
      </c>
      <c r="Y276">
        <v>-2.633</v>
      </c>
      <c r="Z276">
        <v>32</v>
      </c>
      <c r="AA276">
        <v>-0.94999999999999862</v>
      </c>
      <c r="AB276">
        <v>-1.1499999999999999</v>
      </c>
      <c r="AC276">
        <v>7</v>
      </c>
      <c r="AD276">
        <v>6.5</v>
      </c>
      <c r="AE276">
        <v>7</v>
      </c>
      <c r="AF276">
        <v>0.28599999999999992</v>
      </c>
      <c r="AG276">
        <v>6</v>
      </c>
      <c r="AH276">
        <v>7.089999999999999</v>
      </c>
      <c r="AI276">
        <v>1.08</v>
      </c>
      <c r="AJ276">
        <v>21</v>
      </c>
      <c r="AK276">
        <v>20.5</v>
      </c>
      <c r="AL276">
        <v>20</v>
      </c>
      <c r="AM276">
        <v>1.6580000000000013</v>
      </c>
      <c r="AN276">
        <v>21</v>
      </c>
      <c r="AO276">
        <v>-4.3400000000000016</v>
      </c>
      <c r="AP276">
        <v>1.1700000000000002</v>
      </c>
      <c r="AQ276">
        <v>23</v>
      </c>
      <c r="AR276">
        <v>23.5</v>
      </c>
      <c r="AS276">
        <v>23</v>
      </c>
      <c r="AT276">
        <v>-3.7719999999999998</v>
      </c>
      <c r="AU276">
        <v>24</v>
      </c>
      <c r="AV276">
        <v>-21.04</v>
      </c>
      <c r="AW276">
        <v>0.4</v>
      </c>
      <c r="AX276">
        <v>24</v>
      </c>
      <c r="AY276">
        <v>25</v>
      </c>
      <c r="AZ276">
        <v>23</v>
      </c>
      <c r="BA276">
        <v>-4.7720000000000002</v>
      </c>
      <c r="BB276">
        <v>27</v>
      </c>
      <c r="BC276">
        <v>-27.720000000000006</v>
      </c>
      <c r="BD276">
        <v>-1.3200000000000003</v>
      </c>
      <c r="BE276">
        <v>20</v>
      </c>
      <c r="BF276">
        <v>22</v>
      </c>
      <c r="BG276">
        <v>20</v>
      </c>
      <c r="BH276">
        <v>-5.3440000000000012</v>
      </c>
      <c r="BI276">
        <v>24</v>
      </c>
      <c r="BJ276">
        <v>-7.8</v>
      </c>
      <c r="BK276">
        <v>-1.2</v>
      </c>
      <c r="BL276">
        <v>32</v>
      </c>
      <c r="BM276">
        <v>31.5</v>
      </c>
      <c r="BN276">
        <v>32</v>
      </c>
      <c r="BO276">
        <v>-0.99999999999999967</v>
      </c>
      <c r="BP276">
        <v>31</v>
      </c>
      <c r="BQ276">
        <v>7.9999999999999988E-2</v>
      </c>
      <c r="BR276">
        <v>1.9999999999999996</v>
      </c>
      <c r="BS276">
        <v>4</v>
      </c>
      <c r="BT276">
        <v>8.5</v>
      </c>
      <c r="BU276">
        <v>4</v>
      </c>
      <c r="BV276">
        <v>7.7824173438987175E-3</v>
      </c>
      <c r="BW276">
        <v>6</v>
      </c>
      <c r="BX276">
        <v>1.2815883339807243E-2</v>
      </c>
      <c r="BY276">
        <v>17</v>
      </c>
      <c r="BZ276">
        <v>-4.5439999999999996</v>
      </c>
      <c r="CA276">
        <v>7</v>
      </c>
      <c r="CB276">
        <v>-0.16000000000000014</v>
      </c>
      <c r="CC276">
        <v>3.1599999999999993</v>
      </c>
      <c r="CD276">
        <v>2.36</v>
      </c>
      <c r="CE276">
        <v>1.1599999999999999</v>
      </c>
      <c r="CF276">
        <v>5.9600000000000026</v>
      </c>
      <c r="CG276">
        <v>-28.28</v>
      </c>
      <c r="CH276">
        <v>42.480000000000004</v>
      </c>
      <c r="CI276">
        <v>3.6</v>
      </c>
      <c r="CJ276">
        <v>-11.84</v>
      </c>
      <c r="CK276">
        <v>32</v>
      </c>
      <c r="CL276">
        <v>-19.744599999999995</v>
      </c>
      <c r="CM276">
        <v>-9.79758</v>
      </c>
      <c r="CN276">
        <v>-70.760000000000005</v>
      </c>
      <c r="CO276">
        <v>19.744599999999998</v>
      </c>
      <c r="CP276">
        <v>0.18897499999999973</v>
      </c>
      <c r="CQ276">
        <v>-1.8279999999999985</v>
      </c>
      <c r="CR276">
        <v>-18.290000000000003</v>
      </c>
      <c r="CS276">
        <v>14.714199999999998</v>
      </c>
      <c r="CT276">
        <v>41.85</v>
      </c>
      <c r="CU276">
        <v>1.45</v>
      </c>
      <c r="CV276">
        <v>0.92999999999999972</v>
      </c>
      <c r="CW276">
        <v>1.2423781250000006</v>
      </c>
      <c r="CX276">
        <v>1.7532000000000005</v>
      </c>
      <c r="CY276" t="s">
        <v>300</v>
      </c>
      <c r="CZ276">
        <v>21</v>
      </c>
      <c r="DA276">
        <v>-0.91279999999999895</v>
      </c>
      <c r="DB276">
        <v>5</v>
      </c>
      <c r="DC276">
        <v>6</v>
      </c>
      <c r="DD276">
        <v>8</v>
      </c>
      <c r="DE276">
        <v>1.3640000000000003</v>
      </c>
      <c r="DF276">
        <v>4</v>
      </c>
      <c r="DG276">
        <v>5.2</v>
      </c>
      <c r="DH276">
        <v>-0.27999999999999997</v>
      </c>
      <c r="DI276">
        <v>9</v>
      </c>
      <c r="DJ276">
        <v>11.5</v>
      </c>
      <c r="DK276">
        <v>19</v>
      </c>
      <c r="DL276">
        <v>-1.4559999999999991</v>
      </c>
      <c r="DM276">
        <v>4</v>
      </c>
      <c r="DN276">
        <v>5.72</v>
      </c>
      <c r="DO276">
        <v>-1.0799999999999998</v>
      </c>
      <c r="DP276">
        <v>23</v>
      </c>
      <c r="DQ276">
        <v>27.5</v>
      </c>
      <c r="DR276">
        <v>29</v>
      </c>
      <c r="DS276">
        <v>1.4712500000000026</v>
      </c>
      <c r="DT276">
        <v>26</v>
      </c>
      <c r="DU276">
        <v>24.512500000000003</v>
      </c>
      <c r="DV276">
        <v>0.70000000000000018</v>
      </c>
      <c r="DW276">
        <v>13</v>
      </c>
      <c r="DX276">
        <v>13.5</v>
      </c>
      <c r="DY276">
        <v>17</v>
      </c>
      <c r="DZ276">
        <v>5.4999999999999716E-2</v>
      </c>
      <c r="EA276">
        <v>10</v>
      </c>
      <c r="EB276">
        <v>6.6500000000000039</v>
      </c>
      <c r="EC276">
        <v>0.10000000000000009</v>
      </c>
      <c r="ED276">
        <v>12</v>
      </c>
      <c r="EE276">
        <v>17</v>
      </c>
      <c r="EF276">
        <v>20</v>
      </c>
      <c r="EG276">
        <v>-0.70499999999999963</v>
      </c>
      <c r="EH276">
        <v>14</v>
      </c>
      <c r="EI276">
        <v>1.1500000000000012</v>
      </c>
      <c r="EJ276">
        <v>-1.7000000000000002</v>
      </c>
      <c r="EK276">
        <v>16</v>
      </c>
      <c r="EL276">
        <v>16</v>
      </c>
      <c r="EM276">
        <v>17</v>
      </c>
      <c r="EN276">
        <v>1.5000000000000007</v>
      </c>
      <c r="EO276">
        <v>15</v>
      </c>
      <c r="EP276">
        <v>6.9999999999999982</v>
      </c>
      <c r="EQ276">
        <v>-1.7600000000000002</v>
      </c>
      <c r="ER276">
        <v>1</v>
      </c>
      <c r="ES276">
        <v>1</v>
      </c>
      <c r="ET276">
        <v>1</v>
      </c>
      <c r="EU276">
        <v>4.3960000000000008</v>
      </c>
      <c r="EV276">
        <v>1</v>
      </c>
      <c r="EW276">
        <v>11.84</v>
      </c>
      <c r="EX276">
        <v>0.76000000000000012</v>
      </c>
      <c r="EY276">
        <v>6</v>
      </c>
      <c r="EZ276">
        <v>5</v>
      </c>
      <c r="FA276">
        <v>2</v>
      </c>
      <c r="FB276">
        <v>1.64</v>
      </c>
      <c r="FC276">
        <v>8</v>
      </c>
      <c r="FD276">
        <v>0.72</v>
      </c>
      <c r="FE276">
        <v>-3.3200000000000003</v>
      </c>
      <c r="FF276">
        <v>29</v>
      </c>
      <c r="FG276">
        <v>24</v>
      </c>
      <c r="FH276">
        <v>17</v>
      </c>
      <c r="FI276">
        <v>-5.3560739412721971E-2</v>
      </c>
      <c r="FJ276">
        <v>23</v>
      </c>
      <c r="FK276">
        <v>8.5568622260432832E-3</v>
      </c>
      <c r="FL276">
        <v>27</v>
      </c>
      <c r="FM276">
        <v>-3.2719999999999998</v>
      </c>
      <c r="FN276">
        <v>29</v>
      </c>
      <c r="FO276">
        <v>-0.4</v>
      </c>
      <c r="FP276">
        <v>-2</v>
      </c>
      <c r="FQ276">
        <v>1.2799999999999998</v>
      </c>
      <c r="FR276">
        <v>0.76</v>
      </c>
      <c r="FS276">
        <v>0.4</v>
      </c>
      <c r="FT276">
        <v>1.2800000000000005</v>
      </c>
      <c r="FU276">
        <v>-1.4</v>
      </c>
      <c r="FV276">
        <v>50.4</v>
      </c>
      <c r="FW276">
        <v>31.160000000000004</v>
      </c>
      <c r="FX276">
        <v>16.119999999999997</v>
      </c>
      <c r="FY276">
        <v>0.48000000000000026</v>
      </c>
      <c r="FZ276">
        <v>2.6399999999999997</v>
      </c>
      <c r="GA276">
        <v>18</v>
      </c>
      <c r="GB276">
        <v>-0.8208000000000002</v>
      </c>
      <c r="GC276">
        <v>0.90689000000000031</v>
      </c>
      <c r="GD276">
        <v>15.040000000000006</v>
      </c>
      <c r="GE276">
        <v>0.8208000000000002</v>
      </c>
      <c r="GF276">
        <v>0.73155625000000069</v>
      </c>
      <c r="GG276">
        <v>0.8212500000000027</v>
      </c>
      <c r="GH276">
        <v>32.312500000000007</v>
      </c>
      <c r="GI276">
        <v>-9.1999999999998749E-2</v>
      </c>
      <c r="GJ276">
        <v>10.92</v>
      </c>
      <c r="GK276">
        <v>-0.13999999999999979</v>
      </c>
      <c r="GL276">
        <v>-1.3599999999999999</v>
      </c>
    </row>
    <row r="277" spans="1:194" x14ac:dyDescent="0.2">
      <c r="A277" s="39">
        <v>43779</v>
      </c>
      <c r="B277" s="22" t="s">
        <v>244</v>
      </c>
      <c r="C277" s="41" t="s">
        <v>265</v>
      </c>
      <c r="D277" s="22" t="s">
        <v>299</v>
      </c>
      <c r="E277">
        <v>14.6</v>
      </c>
      <c r="F277">
        <v>13.8</v>
      </c>
      <c r="G277">
        <v>1.7</v>
      </c>
      <c r="H277">
        <v>8.8000000000000007</v>
      </c>
      <c r="I277">
        <v>-6</v>
      </c>
      <c r="J277">
        <v>38</v>
      </c>
      <c r="L277" s="1" t="s">
        <v>265</v>
      </c>
      <c r="M277">
        <v>29</v>
      </c>
      <c r="N277">
        <v>-4.5792000000000002</v>
      </c>
      <c r="O277">
        <v>20</v>
      </c>
      <c r="P277">
        <v>21</v>
      </c>
      <c r="Q277">
        <v>23</v>
      </c>
      <c r="R277">
        <v>-2.7529999999999997</v>
      </c>
      <c r="S277">
        <v>19</v>
      </c>
      <c r="T277">
        <v>-10.029999999999998</v>
      </c>
      <c r="U277">
        <v>-1.19</v>
      </c>
      <c r="V277">
        <v>13</v>
      </c>
      <c r="W277">
        <v>13.5</v>
      </c>
      <c r="X277">
        <v>7</v>
      </c>
      <c r="Y277">
        <v>0.26199999999999929</v>
      </c>
      <c r="Z277">
        <v>20</v>
      </c>
      <c r="AA277">
        <v>-15.160000000000002</v>
      </c>
      <c r="AB277">
        <v>3.25</v>
      </c>
      <c r="AC277">
        <v>16</v>
      </c>
      <c r="AD277">
        <v>17</v>
      </c>
      <c r="AE277">
        <v>16</v>
      </c>
      <c r="AF277">
        <v>2.8759999999999999</v>
      </c>
      <c r="AG277">
        <v>18</v>
      </c>
      <c r="AH277">
        <v>7.3200000000000021</v>
      </c>
      <c r="AI277">
        <v>1.6800000000000002</v>
      </c>
      <c r="AJ277">
        <v>11</v>
      </c>
      <c r="AK277">
        <v>11</v>
      </c>
      <c r="AL277">
        <v>13</v>
      </c>
      <c r="AM277">
        <v>-3.0359999999999996</v>
      </c>
      <c r="AN277">
        <v>9</v>
      </c>
      <c r="AO277">
        <v>-1.8800000000000012</v>
      </c>
      <c r="AP277">
        <v>-0.31999999999999984</v>
      </c>
      <c r="AQ277">
        <v>26</v>
      </c>
      <c r="AR277">
        <v>26</v>
      </c>
      <c r="AS277">
        <v>26</v>
      </c>
      <c r="AT277">
        <v>-1.0119999999999998</v>
      </c>
      <c r="AU277">
        <v>26</v>
      </c>
      <c r="AV277">
        <v>-6.08</v>
      </c>
      <c r="AW277">
        <v>-0.6</v>
      </c>
      <c r="AX277">
        <v>8</v>
      </c>
      <c r="AY277">
        <v>9</v>
      </c>
      <c r="AZ277">
        <v>9</v>
      </c>
      <c r="BA277">
        <v>5.6719999999999988</v>
      </c>
      <c r="BB277">
        <v>9</v>
      </c>
      <c r="BC277">
        <v>29.520000000000003</v>
      </c>
      <c r="BD277">
        <v>4.5600000000000005</v>
      </c>
      <c r="BE277">
        <v>29</v>
      </c>
      <c r="BF277">
        <v>28.5</v>
      </c>
      <c r="BG277">
        <v>25</v>
      </c>
      <c r="BH277">
        <v>-4.9320000000000004</v>
      </c>
      <c r="BI277">
        <v>32</v>
      </c>
      <c r="BJ277">
        <v>-22.640000000000004</v>
      </c>
      <c r="BK277">
        <v>-1.32</v>
      </c>
      <c r="BL277">
        <v>30</v>
      </c>
      <c r="BM277">
        <v>29.5</v>
      </c>
      <c r="BN277">
        <v>31</v>
      </c>
      <c r="BO277">
        <v>-2.2799999999999998</v>
      </c>
      <c r="BP277">
        <v>28</v>
      </c>
      <c r="BQ277">
        <v>-0.52000000000000013</v>
      </c>
      <c r="BR277">
        <v>-0.27999999999999997</v>
      </c>
      <c r="BS277">
        <v>18</v>
      </c>
      <c r="BT277">
        <v>15.5</v>
      </c>
      <c r="BU277">
        <v>20</v>
      </c>
      <c r="BV277">
        <v>1.560854732544995E-2</v>
      </c>
      <c r="BW277">
        <v>11</v>
      </c>
      <c r="BX277">
        <v>2.6367696093076133E-2</v>
      </c>
      <c r="BY277">
        <v>20</v>
      </c>
      <c r="BZ277">
        <v>-7.8320000000000025</v>
      </c>
      <c r="CA277">
        <v>11</v>
      </c>
      <c r="CB277">
        <v>0.55999999999999994</v>
      </c>
      <c r="CC277">
        <v>-3.5199999999999987</v>
      </c>
      <c r="CD277">
        <v>-4.5200000000000005</v>
      </c>
      <c r="CE277">
        <v>0.83999999999999986</v>
      </c>
      <c r="CF277">
        <v>-66.11999999999999</v>
      </c>
      <c r="CG277">
        <v>-33.4</v>
      </c>
      <c r="CH277">
        <v>-23.96</v>
      </c>
      <c r="CI277">
        <v>-5.68</v>
      </c>
      <c r="CJ277">
        <v>-3.08</v>
      </c>
      <c r="CK277">
        <v>18</v>
      </c>
      <c r="CL277">
        <v>-2.0881999999999996</v>
      </c>
      <c r="CM277">
        <v>-0.8911399999999996</v>
      </c>
      <c r="CN277">
        <v>-9.4399999999999977</v>
      </c>
      <c r="CO277">
        <v>2.0881999999999996</v>
      </c>
      <c r="CP277">
        <v>-1.931775</v>
      </c>
      <c r="CQ277">
        <v>-1.1719999999999995</v>
      </c>
      <c r="CR277">
        <v>-0.63999999999999879</v>
      </c>
      <c r="CS277">
        <v>-2.4910000000000005</v>
      </c>
      <c r="CT277">
        <v>-25.189999999999998</v>
      </c>
      <c r="CU277">
        <v>-0.55999999999999972</v>
      </c>
      <c r="CV277">
        <v>2.06</v>
      </c>
      <c r="CW277">
        <v>0.70042500000000019</v>
      </c>
      <c r="CX277">
        <v>-0.83259999999999956</v>
      </c>
      <c r="CY277" t="s">
        <v>299</v>
      </c>
      <c r="CZ277">
        <v>3</v>
      </c>
      <c r="DA277">
        <v>5.4871999999999996</v>
      </c>
      <c r="DB277">
        <v>14</v>
      </c>
      <c r="DC277">
        <v>16</v>
      </c>
      <c r="DD277">
        <v>14</v>
      </c>
      <c r="DE277">
        <v>0.49240000000000067</v>
      </c>
      <c r="DF277">
        <v>18</v>
      </c>
      <c r="DG277">
        <v>14.959999999999999</v>
      </c>
      <c r="DH277">
        <v>-1.52</v>
      </c>
      <c r="DI277">
        <v>11</v>
      </c>
      <c r="DJ277">
        <v>14</v>
      </c>
      <c r="DK277">
        <v>3</v>
      </c>
      <c r="DL277">
        <v>3.7120000000000006</v>
      </c>
      <c r="DM277">
        <v>25</v>
      </c>
      <c r="DN277">
        <v>8.84</v>
      </c>
      <c r="DO277">
        <v>-0.36</v>
      </c>
      <c r="DP277">
        <v>10</v>
      </c>
      <c r="DQ277">
        <v>9.5</v>
      </c>
      <c r="DR277">
        <v>10</v>
      </c>
      <c r="DS277">
        <v>-6.8000000000000865E-2</v>
      </c>
      <c r="DT277">
        <v>9</v>
      </c>
      <c r="DU277">
        <v>1.2000000000000028</v>
      </c>
      <c r="DV277">
        <v>0.8</v>
      </c>
      <c r="DW277">
        <v>3</v>
      </c>
      <c r="DX277">
        <v>3.5</v>
      </c>
      <c r="DY277">
        <v>4</v>
      </c>
      <c r="DZ277">
        <v>6.8599999999999994</v>
      </c>
      <c r="EA277">
        <v>3</v>
      </c>
      <c r="EB277">
        <v>18.64</v>
      </c>
      <c r="EC277">
        <v>0.96000000000000019</v>
      </c>
      <c r="ED277">
        <v>15</v>
      </c>
      <c r="EE277">
        <v>3.5</v>
      </c>
      <c r="EF277">
        <v>3</v>
      </c>
      <c r="EG277">
        <v>-0.65600000000000003</v>
      </c>
      <c r="EH277">
        <v>4</v>
      </c>
      <c r="EI277">
        <v>-0.2</v>
      </c>
      <c r="EJ277">
        <v>-0.4</v>
      </c>
      <c r="EK277">
        <v>2</v>
      </c>
      <c r="EL277">
        <v>3.5</v>
      </c>
      <c r="EM277">
        <v>3</v>
      </c>
      <c r="EN277">
        <v>5.1720000000000006</v>
      </c>
      <c r="EO277">
        <v>4</v>
      </c>
      <c r="EP277">
        <v>5.3199999999999985</v>
      </c>
      <c r="EQ277">
        <v>0.64000000000000024</v>
      </c>
      <c r="ER277">
        <v>11</v>
      </c>
      <c r="ES277">
        <v>12.5</v>
      </c>
      <c r="ET277">
        <v>8</v>
      </c>
      <c r="EU277">
        <v>3.2</v>
      </c>
      <c r="EV277">
        <v>17</v>
      </c>
      <c r="EW277">
        <v>9.16</v>
      </c>
      <c r="EX277">
        <v>-0.23999999999999985</v>
      </c>
      <c r="EY277">
        <v>12</v>
      </c>
      <c r="EZ277">
        <v>12.5</v>
      </c>
      <c r="FA277">
        <v>7</v>
      </c>
      <c r="FB277">
        <v>-1.1599999999999997</v>
      </c>
      <c r="FC277">
        <v>18</v>
      </c>
      <c r="FD277">
        <v>-0.48</v>
      </c>
      <c r="FE277">
        <v>-0.8</v>
      </c>
      <c r="FF277">
        <v>24</v>
      </c>
      <c r="FG277">
        <v>21</v>
      </c>
      <c r="FH277">
        <v>26</v>
      </c>
      <c r="FI277">
        <v>-1.3540330282671997E-2</v>
      </c>
      <c r="FJ277">
        <v>23</v>
      </c>
      <c r="FK277">
        <v>-7.9522555368686833E-3</v>
      </c>
      <c r="FL277">
        <v>5</v>
      </c>
      <c r="FM277">
        <v>3.7479999999999962</v>
      </c>
      <c r="FN277">
        <v>30</v>
      </c>
      <c r="FO277">
        <v>-2.3199999999999994</v>
      </c>
      <c r="FP277">
        <v>0.3999999999999993</v>
      </c>
      <c r="FQ277">
        <v>3.7599999999999993</v>
      </c>
      <c r="FR277">
        <v>0.16000000000000009</v>
      </c>
      <c r="FS277">
        <v>4.0000000000000018</v>
      </c>
      <c r="FT277">
        <v>5.32</v>
      </c>
      <c r="FU277">
        <v>-1.2</v>
      </c>
      <c r="FV277">
        <v>51.360000000000014</v>
      </c>
      <c r="FW277">
        <v>25.680000000000007</v>
      </c>
      <c r="FX277">
        <v>25.119999999999997</v>
      </c>
      <c r="FY277">
        <v>3.84</v>
      </c>
      <c r="FZ277">
        <v>-3.28</v>
      </c>
      <c r="GA277">
        <v>11</v>
      </c>
      <c r="GB277">
        <v>1.2827999999999982</v>
      </c>
      <c r="GC277">
        <v>0.86243999999999943</v>
      </c>
      <c r="GD277">
        <v>0.56000000000000938</v>
      </c>
      <c r="GE277">
        <v>-1.2827999999999982</v>
      </c>
      <c r="GF277">
        <v>2.2334499999999999</v>
      </c>
      <c r="GG277">
        <v>6.1359999999999992</v>
      </c>
      <c r="GH277">
        <v>19.640000000000004</v>
      </c>
      <c r="GI277">
        <v>4.2044000000000015</v>
      </c>
      <c r="GJ277">
        <v>23.799999999999997</v>
      </c>
      <c r="GK277">
        <v>1.1200000000000006</v>
      </c>
      <c r="GL277">
        <v>-1.88</v>
      </c>
    </row>
    <row r="278" spans="1:194" x14ac:dyDescent="0.2">
      <c r="A278" s="39">
        <v>43779</v>
      </c>
      <c r="B278" s="28" t="s">
        <v>244</v>
      </c>
      <c r="C278" s="17" t="s">
        <v>272</v>
      </c>
      <c r="D278" s="28" t="s">
        <v>305</v>
      </c>
      <c r="E278" s="3">
        <v>12.2</v>
      </c>
      <c r="F278" s="3">
        <v>6.6</v>
      </c>
      <c r="G278" s="3">
        <v>1.9</v>
      </c>
      <c r="H278" s="3">
        <v>11.3</v>
      </c>
      <c r="I278" s="3">
        <v>10.5</v>
      </c>
      <c r="J278" s="3">
        <v>44</v>
      </c>
      <c r="K278" s="3"/>
      <c r="L278" s="1" t="s">
        <v>272</v>
      </c>
      <c r="M278">
        <v>17</v>
      </c>
      <c r="N278">
        <v>-0.16720000000000113</v>
      </c>
      <c r="O278">
        <v>29</v>
      </c>
      <c r="P278">
        <v>28</v>
      </c>
      <c r="Q278">
        <v>26</v>
      </c>
      <c r="R278">
        <v>-2.0640000000000001</v>
      </c>
      <c r="S278">
        <v>30</v>
      </c>
      <c r="T278">
        <v>-5.839999999999999</v>
      </c>
      <c r="U278">
        <v>-1.1599999999999999</v>
      </c>
      <c r="V278">
        <v>24</v>
      </c>
      <c r="W278">
        <v>24</v>
      </c>
      <c r="X278">
        <v>24</v>
      </c>
      <c r="Y278">
        <v>-2.2168000000000001</v>
      </c>
      <c r="Z278">
        <v>24</v>
      </c>
      <c r="AA278">
        <v>-9.76</v>
      </c>
      <c r="AB278">
        <v>0.31999999999999995</v>
      </c>
      <c r="AC278">
        <v>22</v>
      </c>
      <c r="AD278">
        <v>20</v>
      </c>
      <c r="AE278">
        <v>17</v>
      </c>
      <c r="AF278">
        <v>-1.6</v>
      </c>
      <c r="AG278">
        <v>23</v>
      </c>
      <c r="AH278">
        <v>-6.3599999999999994</v>
      </c>
      <c r="AI278">
        <v>1.6799999999999997</v>
      </c>
      <c r="AJ278">
        <v>20</v>
      </c>
      <c r="AK278">
        <v>19</v>
      </c>
      <c r="AL278">
        <v>23</v>
      </c>
      <c r="AM278">
        <v>-8.000000000000184E-3</v>
      </c>
      <c r="AN278">
        <v>15</v>
      </c>
      <c r="AO278">
        <v>7.4399999999999995</v>
      </c>
      <c r="AP278">
        <v>1.1599999999999997</v>
      </c>
      <c r="AQ278">
        <v>2</v>
      </c>
      <c r="AR278">
        <v>2</v>
      </c>
      <c r="AS278">
        <v>2</v>
      </c>
      <c r="AT278">
        <v>5.1959999999999997</v>
      </c>
      <c r="AU278">
        <v>2</v>
      </c>
      <c r="AV278">
        <v>28.640000000000004</v>
      </c>
      <c r="AW278">
        <v>2.6000000000000005</v>
      </c>
      <c r="AX278">
        <v>14</v>
      </c>
      <c r="AY278">
        <v>14.5</v>
      </c>
      <c r="AZ278">
        <v>16</v>
      </c>
      <c r="BA278">
        <v>3.7159999999999997</v>
      </c>
      <c r="BB278">
        <v>13</v>
      </c>
      <c r="BC278">
        <v>21.96</v>
      </c>
      <c r="BD278">
        <v>2.5199999999999996</v>
      </c>
      <c r="BE278">
        <v>17</v>
      </c>
      <c r="BF278">
        <v>17.5</v>
      </c>
      <c r="BG278">
        <v>19</v>
      </c>
      <c r="BH278">
        <v>-2.6360000000000001</v>
      </c>
      <c r="BI278">
        <v>16</v>
      </c>
      <c r="BJ278">
        <v>-9.9599999999999991</v>
      </c>
      <c r="BK278">
        <v>8.0000000000000071E-2</v>
      </c>
      <c r="BL278">
        <v>12</v>
      </c>
      <c r="BM278">
        <v>11.5</v>
      </c>
      <c r="BN278">
        <v>12</v>
      </c>
      <c r="BO278">
        <v>-0.43999999999999984</v>
      </c>
      <c r="BP278">
        <v>11</v>
      </c>
      <c r="BQ278">
        <v>-0.36000000000000004</v>
      </c>
      <c r="BR278">
        <v>-3.96</v>
      </c>
      <c r="BS278">
        <v>10</v>
      </c>
      <c r="BT278">
        <v>12.75</v>
      </c>
      <c r="BU278">
        <v>13</v>
      </c>
      <c r="BV278">
        <v>-3.6277966185013416E-2</v>
      </c>
      <c r="BW278">
        <v>15</v>
      </c>
      <c r="BX278">
        <v>-8.0484146466201587E-3</v>
      </c>
      <c r="BY278">
        <v>11</v>
      </c>
      <c r="BZ278">
        <v>-4.484</v>
      </c>
      <c r="CA278">
        <v>12</v>
      </c>
      <c r="CB278">
        <v>1.08</v>
      </c>
      <c r="CC278">
        <v>2.4799999999999995</v>
      </c>
      <c r="CD278">
        <v>-4.24</v>
      </c>
      <c r="CE278">
        <v>8.8817841970012528E-17</v>
      </c>
      <c r="CF278">
        <v>-10.039999999999997</v>
      </c>
      <c r="CG278">
        <v>5.5200000000000049</v>
      </c>
      <c r="CH278">
        <v>-18.04</v>
      </c>
      <c r="CI278">
        <v>2.04</v>
      </c>
      <c r="CJ278">
        <v>0.44000000000000022</v>
      </c>
      <c r="CK278">
        <v>11</v>
      </c>
      <c r="CL278">
        <v>4.113599999999999</v>
      </c>
      <c r="CM278">
        <v>2.2973599999999998</v>
      </c>
      <c r="CN278">
        <v>23.560000000000002</v>
      </c>
      <c r="CO278">
        <v>-4.113599999999999</v>
      </c>
      <c r="CP278">
        <v>-0.49200000000000027</v>
      </c>
      <c r="CQ278">
        <v>3.5879999999999992</v>
      </c>
      <c r="CR278">
        <v>29.720000000000006</v>
      </c>
      <c r="CS278">
        <v>-4.2808000000000002</v>
      </c>
      <c r="CT278">
        <v>-15.599999999999998</v>
      </c>
      <c r="CU278">
        <v>5.52</v>
      </c>
      <c r="CV278">
        <v>-0.84</v>
      </c>
      <c r="CW278">
        <v>-0.49357499999999987</v>
      </c>
      <c r="CX278">
        <v>1.0896750000000002</v>
      </c>
      <c r="CY278" t="s">
        <v>305</v>
      </c>
      <c r="CZ278">
        <v>32</v>
      </c>
      <c r="DA278">
        <v>-5.0191999999999997</v>
      </c>
      <c r="DB278">
        <v>4</v>
      </c>
      <c r="DC278">
        <v>5.5</v>
      </c>
      <c r="DD278">
        <v>6</v>
      </c>
      <c r="DE278">
        <v>-5.0199999999999978</v>
      </c>
      <c r="DF278">
        <v>5</v>
      </c>
      <c r="DG278">
        <v>-14.120000000000001</v>
      </c>
      <c r="DH278">
        <v>-0.88000000000000012</v>
      </c>
      <c r="DI278">
        <v>27</v>
      </c>
      <c r="DJ278">
        <v>24.5</v>
      </c>
      <c r="DK278">
        <v>29</v>
      </c>
      <c r="DL278">
        <v>-0.70639999999999992</v>
      </c>
      <c r="DM278">
        <v>20</v>
      </c>
      <c r="DN278">
        <v>-3.5599999999999996</v>
      </c>
      <c r="DO278">
        <v>-0.51999999999999991</v>
      </c>
      <c r="DP278">
        <v>20</v>
      </c>
      <c r="DQ278">
        <v>25</v>
      </c>
      <c r="DR278">
        <v>27</v>
      </c>
      <c r="DS278">
        <v>-2.4639999999999995</v>
      </c>
      <c r="DT278">
        <v>23</v>
      </c>
      <c r="DU278">
        <v>-12.760000000000002</v>
      </c>
      <c r="DV278">
        <v>-1.28</v>
      </c>
      <c r="DW278">
        <v>16</v>
      </c>
      <c r="DX278">
        <v>16</v>
      </c>
      <c r="DY278">
        <v>12</v>
      </c>
      <c r="DZ278">
        <v>-0.48699999999999954</v>
      </c>
      <c r="EA278">
        <v>20</v>
      </c>
      <c r="EB278">
        <v>7.0000000000000284E-2</v>
      </c>
      <c r="EC278">
        <v>2.4000000000000004</v>
      </c>
      <c r="ED278">
        <v>22</v>
      </c>
      <c r="EE278">
        <v>29</v>
      </c>
      <c r="EF278">
        <v>31</v>
      </c>
      <c r="EG278">
        <v>-1.8959999999999995</v>
      </c>
      <c r="EH278">
        <v>27</v>
      </c>
      <c r="EI278">
        <v>-8.1999999999999993</v>
      </c>
      <c r="EJ278">
        <v>-0.12000000000000002</v>
      </c>
      <c r="EK278">
        <v>26</v>
      </c>
      <c r="EL278">
        <v>26.5</v>
      </c>
      <c r="EM278">
        <v>23</v>
      </c>
      <c r="EN278">
        <v>-1.1000000000000003</v>
      </c>
      <c r="EO278">
        <v>30</v>
      </c>
      <c r="EP278">
        <v>-10.040000000000003</v>
      </c>
      <c r="EQ278">
        <v>-3.9999999999999991</v>
      </c>
      <c r="ER278">
        <v>31</v>
      </c>
      <c r="ES278">
        <v>30.5</v>
      </c>
      <c r="ET278">
        <v>30</v>
      </c>
      <c r="EU278">
        <v>-1.4220000000000002</v>
      </c>
      <c r="EV278">
        <v>31</v>
      </c>
      <c r="EW278">
        <v>-7.2899999999999991</v>
      </c>
      <c r="EX278">
        <v>-0.3500000000000002</v>
      </c>
      <c r="EY278">
        <v>23</v>
      </c>
      <c r="EZ278">
        <v>22.5</v>
      </c>
      <c r="FA278">
        <v>27</v>
      </c>
      <c r="FB278">
        <v>0.4</v>
      </c>
      <c r="FC278">
        <v>18</v>
      </c>
      <c r="FD278">
        <v>0.27999999999999997</v>
      </c>
      <c r="FE278">
        <v>-3.839999999999999</v>
      </c>
      <c r="FF278">
        <v>5</v>
      </c>
      <c r="FG278">
        <v>9.75</v>
      </c>
      <c r="FH278">
        <v>15</v>
      </c>
      <c r="FI278">
        <v>1.1435172095658752E-2</v>
      </c>
      <c r="FJ278">
        <v>8</v>
      </c>
      <c r="FK278">
        <v>-9.8586575028799753E-3</v>
      </c>
      <c r="FL278">
        <v>15</v>
      </c>
      <c r="FM278">
        <v>-10.872</v>
      </c>
      <c r="FN278">
        <v>1</v>
      </c>
      <c r="FO278">
        <v>4.4400000000000004</v>
      </c>
      <c r="FP278">
        <v>-0.27999999999999969</v>
      </c>
      <c r="FQ278">
        <v>-2.88</v>
      </c>
      <c r="FR278">
        <v>-0.6</v>
      </c>
      <c r="FS278">
        <v>-4.32</v>
      </c>
      <c r="FT278">
        <v>-4.08</v>
      </c>
      <c r="FU278">
        <v>-0.92000000000000015</v>
      </c>
      <c r="FV278">
        <v>-45.320000000000007</v>
      </c>
      <c r="FW278">
        <v>-30.280000000000008</v>
      </c>
      <c r="FX278">
        <v>-19.52</v>
      </c>
      <c r="FY278">
        <v>1.6</v>
      </c>
      <c r="FZ278">
        <v>2.88</v>
      </c>
      <c r="GA278">
        <v>14</v>
      </c>
      <c r="GB278">
        <v>0.70719999999999805</v>
      </c>
      <c r="GC278">
        <v>0.60555999999999965</v>
      </c>
      <c r="GD278">
        <v>-10.760000000000009</v>
      </c>
      <c r="GE278">
        <v>-0.7071999999999985</v>
      </c>
      <c r="GF278">
        <v>-2.0768249999999999</v>
      </c>
      <c r="GG278">
        <v>-4.8469999999999986</v>
      </c>
      <c r="GH278">
        <v>-20.89</v>
      </c>
      <c r="GI278">
        <v>-5.7263999999999982</v>
      </c>
      <c r="GJ278">
        <v>-17.68</v>
      </c>
      <c r="GK278">
        <v>0.65</v>
      </c>
      <c r="GL278">
        <v>-1.4</v>
      </c>
    </row>
    <row r="279" spans="1:194" x14ac:dyDescent="0.2">
      <c r="A279" s="39">
        <v>43779</v>
      </c>
      <c r="B279" s="22" t="s">
        <v>244</v>
      </c>
      <c r="C279" s="41" t="s">
        <v>281</v>
      </c>
      <c r="D279" s="22" t="s">
        <v>276</v>
      </c>
      <c r="E279">
        <v>10.7</v>
      </c>
      <c r="F279">
        <v>24.7</v>
      </c>
      <c r="G279">
        <v>7.7</v>
      </c>
      <c r="H279">
        <v>4.8</v>
      </c>
      <c r="I279">
        <v>-3</v>
      </c>
      <c r="J279">
        <v>42</v>
      </c>
      <c r="K279" t="s">
        <v>110</v>
      </c>
      <c r="L279" s="1" t="s">
        <v>281</v>
      </c>
      <c r="M279">
        <v>15</v>
      </c>
      <c r="N279">
        <v>0.23960000000000009</v>
      </c>
      <c r="O279">
        <v>5</v>
      </c>
      <c r="P279">
        <v>7</v>
      </c>
      <c r="Q279">
        <v>8</v>
      </c>
      <c r="R279">
        <v>2.984</v>
      </c>
      <c r="S279">
        <v>6</v>
      </c>
      <c r="T279">
        <v>32.480000000000004</v>
      </c>
      <c r="U279">
        <v>7.9999999999999807E-2</v>
      </c>
      <c r="V279">
        <v>4</v>
      </c>
      <c r="W279">
        <v>6</v>
      </c>
      <c r="X279">
        <v>6</v>
      </c>
      <c r="Y279">
        <v>0.39200000000000018</v>
      </c>
      <c r="Z279">
        <v>6</v>
      </c>
      <c r="AA279">
        <v>-8.56</v>
      </c>
      <c r="AB279">
        <v>1.36</v>
      </c>
      <c r="AC279">
        <v>25</v>
      </c>
      <c r="AD279">
        <v>24.5</v>
      </c>
      <c r="AE279">
        <v>25</v>
      </c>
      <c r="AF279">
        <v>-0.18400000000000069</v>
      </c>
      <c r="AG279">
        <v>24</v>
      </c>
      <c r="AH279">
        <v>4.8800000000000008</v>
      </c>
      <c r="AI279">
        <v>1.7200000000000002</v>
      </c>
      <c r="AJ279">
        <v>1</v>
      </c>
      <c r="AK279">
        <v>2.5</v>
      </c>
      <c r="AL279">
        <v>1</v>
      </c>
      <c r="AM279">
        <v>5.395999999999999</v>
      </c>
      <c r="AN279">
        <v>4</v>
      </c>
      <c r="AO279">
        <v>27.119999999999997</v>
      </c>
      <c r="AP279">
        <v>2.2000000000000002</v>
      </c>
      <c r="AQ279">
        <v>18</v>
      </c>
      <c r="AR279">
        <v>17.5</v>
      </c>
      <c r="AS279">
        <v>19</v>
      </c>
      <c r="AT279">
        <v>-0.24799999999999986</v>
      </c>
      <c r="AU279">
        <v>16</v>
      </c>
      <c r="AV279">
        <v>-4.8400000000000007</v>
      </c>
      <c r="AW279">
        <v>0.12000000000000002</v>
      </c>
      <c r="AX279">
        <v>15</v>
      </c>
      <c r="AY279">
        <v>15.5</v>
      </c>
      <c r="AZ279">
        <v>15</v>
      </c>
      <c r="BA279">
        <v>0.25200000000000067</v>
      </c>
      <c r="BB279">
        <v>16</v>
      </c>
      <c r="BC279">
        <v>1.319999999999999</v>
      </c>
      <c r="BD279">
        <v>-0.51999999999999991</v>
      </c>
      <c r="BE279">
        <v>23</v>
      </c>
      <c r="BF279">
        <v>23</v>
      </c>
      <c r="BG279">
        <v>21</v>
      </c>
      <c r="BH279">
        <v>-1.6480000000000004</v>
      </c>
      <c r="BI279">
        <v>25</v>
      </c>
      <c r="BJ279">
        <v>-15.36</v>
      </c>
      <c r="BK279">
        <v>-1.8</v>
      </c>
      <c r="BL279">
        <v>4</v>
      </c>
      <c r="BM279">
        <v>7</v>
      </c>
      <c r="BN279">
        <v>7</v>
      </c>
      <c r="BO279">
        <v>0.52000000000000013</v>
      </c>
      <c r="BP279">
        <v>7</v>
      </c>
      <c r="BQ279">
        <v>-3.9999999999999945E-2</v>
      </c>
      <c r="BR279">
        <v>-3.2800000000000002</v>
      </c>
      <c r="BS279">
        <v>30</v>
      </c>
      <c r="BT279">
        <v>29</v>
      </c>
      <c r="BU279">
        <v>31</v>
      </c>
      <c r="BV279">
        <v>-2.3078384150267493E-2</v>
      </c>
      <c r="BW279">
        <v>30</v>
      </c>
      <c r="BX279">
        <v>-4.2080969707410723E-3</v>
      </c>
      <c r="BY279">
        <v>24</v>
      </c>
      <c r="BZ279">
        <v>-1.5639999999999972</v>
      </c>
      <c r="CA279">
        <v>31</v>
      </c>
      <c r="CB279">
        <v>0.76</v>
      </c>
      <c r="CC279">
        <v>0.75999999999999945</v>
      </c>
      <c r="CD279">
        <v>0.28000000000000008</v>
      </c>
      <c r="CE279">
        <v>-2.04</v>
      </c>
      <c r="CF279">
        <v>15.4</v>
      </c>
      <c r="CG279">
        <v>2.960000000000008</v>
      </c>
      <c r="CH279">
        <v>20.36</v>
      </c>
      <c r="CI279">
        <v>-3.7999999999999994</v>
      </c>
      <c r="CJ279">
        <v>-4.12</v>
      </c>
      <c r="CK279">
        <v>22</v>
      </c>
      <c r="CL279">
        <v>-3.1364000000000001</v>
      </c>
      <c r="CM279">
        <v>-0.97688000000000064</v>
      </c>
      <c r="CN279">
        <v>-17.399999999999991</v>
      </c>
      <c r="CO279">
        <v>3.1364000000000001</v>
      </c>
      <c r="CP279">
        <v>0.93144999999999989</v>
      </c>
      <c r="CQ279">
        <v>4.9639999999999977</v>
      </c>
      <c r="CR279">
        <v>27.16</v>
      </c>
      <c r="CS279">
        <v>3.3760000000000003</v>
      </c>
      <c r="CT279">
        <v>23.92</v>
      </c>
      <c r="CU279">
        <v>2.2400000000000002</v>
      </c>
      <c r="CV279">
        <v>1.44</v>
      </c>
      <c r="CW279">
        <v>0.26013749999999985</v>
      </c>
      <c r="CX279">
        <v>0.10727499999999997</v>
      </c>
      <c r="CY279" t="s">
        <v>276</v>
      </c>
      <c r="CZ279">
        <v>24</v>
      </c>
      <c r="DA279">
        <v>-0.18799999999999989</v>
      </c>
      <c r="DB279">
        <v>10</v>
      </c>
      <c r="DC279">
        <v>10.5</v>
      </c>
      <c r="DD279">
        <v>8</v>
      </c>
      <c r="DE279">
        <v>2.2000000000000006</v>
      </c>
      <c r="DF279">
        <v>13</v>
      </c>
      <c r="DG279">
        <v>13.280000000000001</v>
      </c>
      <c r="DH279">
        <v>-0.28000000000000008</v>
      </c>
      <c r="DI279">
        <v>3</v>
      </c>
      <c r="DJ279">
        <v>6</v>
      </c>
      <c r="DK279">
        <v>2</v>
      </c>
      <c r="DL279">
        <v>3.6839999999999997</v>
      </c>
      <c r="DM279">
        <v>10</v>
      </c>
      <c r="DN279">
        <v>19.279999999999998</v>
      </c>
      <c r="DO279">
        <v>0.91999999999999993</v>
      </c>
      <c r="DP279">
        <v>17</v>
      </c>
      <c r="DQ279">
        <v>19</v>
      </c>
      <c r="DR279">
        <v>20</v>
      </c>
      <c r="DS279">
        <v>-1.7400000000000013</v>
      </c>
      <c r="DT279">
        <v>18</v>
      </c>
      <c r="DU279">
        <v>0.91999999999999882</v>
      </c>
      <c r="DV279">
        <v>0.15999999999999998</v>
      </c>
      <c r="DW279">
        <v>20</v>
      </c>
      <c r="DX279">
        <v>19</v>
      </c>
      <c r="DY279">
        <v>20</v>
      </c>
      <c r="DZ279">
        <v>3.0519999999999996</v>
      </c>
      <c r="EA279">
        <v>18</v>
      </c>
      <c r="EB279">
        <v>5.32</v>
      </c>
      <c r="EC279">
        <v>0.99999999999999967</v>
      </c>
      <c r="ED279">
        <v>8</v>
      </c>
      <c r="EE279">
        <v>21</v>
      </c>
      <c r="EF279">
        <v>11</v>
      </c>
      <c r="EG279">
        <v>0.25200000000000011</v>
      </c>
      <c r="EH279">
        <v>31</v>
      </c>
      <c r="EI279">
        <v>1.7199999999999995</v>
      </c>
      <c r="EJ279">
        <v>-1.3200000000000003</v>
      </c>
      <c r="EK279">
        <v>20</v>
      </c>
      <c r="EL279">
        <v>19</v>
      </c>
      <c r="EM279">
        <v>19</v>
      </c>
      <c r="EN279">
        <v>-3.0880000000000001</v>
      </c>
      <c r="EO279">
        <v>19</v>
      </c>
      <c r="EP279">
        <v>-10.08</v>
      </c>
      <c r="EQ279">
        <v>-1.0000000000000004</v>
      </c>
      <c r="ER279">
        <v>32</v>
      </c>
      <c r="ES279">
        <v>32</v>
      </c>
      <c r="ET279">
        <v>32</v>
      </c>
      <c r="EU279">
        <v>-3.3960000000000008</v>
      </c>
      <c r="EV279">
        <v>32</v>
      </c>
      <c r="EW279">
        <v>-13.639999999999997</v>
      </c>
      <c r="EX279">
        <v>-2.2399999999999998</v>
      </c>
      <c r="EY279">
        <v>32</v>
      </c>
      <c r="EZ279">
        <v>32</v>
      </c>
      <c r="FA279">
        <v>32</v>
      </c>
      <c r="FB279">
        <v>-0.55999999999999994</v>
      </c>
      <c r="FC279">
        <v>32</v>
      </c>
      <c r="FD279">
        <v>0.31999999999999995</v>
      </c>
      <c r="FE279">
        <v>-1.6800000000000002</v>
      </c>
      <c r="FF279">
        <v>7</v>
      </c>
      <c r="FG279">
        <v>12.25</v>
      </c>
      <c r="FH279">
        <v>24</v>
      </c>
      <c r="FI279">
        <v>-2.9424667121040306E-3</v>
      </c>
      <c r="FJ279">
        <v>3</v>
      </c>
      <c r="FK279">
        <v>-4.4215036144920981E-3</v>
      </c>
      <c r="FL279">
        <v>17</v>
      </c>
      <c r="FM279">
        <v>-0.92000000000000171</v>
      </c>
      <c r="FN279">
        <v>5</v>
      </c>
      <c r="FO279">
        <v>-2.0000000000000004</v>
      </c>
      <c r="FP279">
        <v>-2.7600000000000007</v>
      </c>
      <c r="FQ279">
        <v>2.6000000000000005</v>
      </c>
      <c r="FR279">
        <v>1.44</v>
      </c>
      <c r="FS279">
        <v>1.0399999999999991</v>
      </c>
      <c r="FT279">
        <v>1.3200000000000003</v>
      </c>
      <c r="FU279">
        <v>-0.6399999999999999</v>
      </c>
      <c r="FV279">
        <v>27.240000000000002</v>
      </c>
      <c r="FW279">
        <v>-4</v>
      </c>
      <c r="FX279">
        <v>30.919999999999998</v>
      </c>
      <c r="FY279">
        <v>-1.8399999999999999</v>
      </c>
      <c r="FZ279">
        <v>2.1599999999999997</v>
      </c>
      <c r="GA279">
        <v>26</v>
      </c>
      <c r="GB279">
        <v>-6.0720000000000001</v>
      </c>
      <c r="GC279">
        <v>-3.3460000000000005</v>
      </c>
      <c r="GD279">
        <v>-34.92</v>
      </c>
      <c r="GE279">
        <v>6.0720000000000001</v>
      </c>
      <c r="GF279">
        <v>0.41299999999999976</v>
      </c>
      <c r="GG279">
        <v>1.5639999999999983</v>
      </c>
      <c r="GH279">
        <v>7.9599999999999991</v>
      </c>
      <c r="GI279">
        <v>5.8840000000000003</v>
      </c>
      <c r="GJ279">
        <v>32.56</v>
      </c>
      <c r="GK279">
        <v>-2.4000000000000004</v>
      </c>
      <c r="GL279">
        <v>0.6399999999999999</v>
      </c>
    </row>
    <row r="280" spans="1:194" x14ac:dyDescent="0.2">
      <c r="A280" s="39">
        <v>43779</v>
      </c>
      <c r="B280" s="22" t="s">
        <v>244</v>
      </c>
      <c r="C280" s="41" t="s">
        <v>291</v>
      </c>
      <c r="D280" s="22" t="s">
        <v>312</v>
      </c>
      <c r="E280">
        <v>34.700000000000003</v>
      </c>
      <c r="F280">
        <v>17.600000000000001</v>
      </c>
      <c r="G280">
        <v>25.6</v>
      </c>
      <c r="H280">
        <f>6.5+3.7</f>
        <v>10.199999999999999</v>
      </c>
      <c r="I280">
        <v>-3.5</v>
      </c>
      <c r="J280">
        <v>48.5</v>
      </c>
      <c r="L280" s="1" t="s">
        <v>291</v>
      </c>
      <c r="M280">
        <v>4</v>
      </c>
      <c r="N280">
        <v>4.9191999999999991</v>
      </c>
      <c r="O280">
        <v>5</v>
      </c>
      <c r="P280">
        <v>7</v>
      </c>
      <c r="Q280">
        <v>6</v>
      </c>
      <c r="R280">
        <v>3.032</v>
      </c>
      <c r="S280">
        <v>8</v>
      </c>
      <c r="T280">
        <v>25.160000000000004</v>
      </c>
      <c r="U280">
        <v>-0.19999999999999982</v>
      </c>
      <c r="V280">
        <v>27</v>
      </c>
      <c r="W280">
        <v>27.5</v>
      </c>
      <c r="X280">
        <v>28</v>
      </c>
      <c r="Y280">
        <v>-3.149</v>
      </c>
      <c r="Z280">
        <v>27</v>
      </c>
      <c r="AA280">
        <v>-4.07</v>
      </c>
      <c r="AB280">
        <v>-1.03</v>
      </c>
      <c r="AC280">
        <v>10</v>
      </c>
      <c r="AD280">
        <v>12</v>
      </c>
      <c r="AE280">
        <v>12</v>
      </c>
      <c r="AF280">
        <v>11.442500000000001</v>
      </c>
      <c r="AG280">
        <v>12</v>
      </c>
      <c r="AH280">
        <v>60.012500000000003</v>
      </c>
      <c r="AI280">
        <v>2.3500000000000005</v>
      </c>
      <c r="AJ280">
        <v>10</v>
      </c>
      <c r="AK280">
        <v>9</v>
      </c>
      <c r="AL280">
        <v>11</v>
      </c>
      <c r="AM280">
        <v>-0.43399999999999822</v>
      </c>
      <c r="AN280">
        <v>7</v>
      </c>
      <c r="AO280">
        <v>0.57999999999999829</v>
      </c>
      <c r="AP280">
        <v>1.53</v>
      </c>
      <c r="AQ280">
        <v>1</v>
      </c>
      <c r="AR280">
        <v>1</v>
      </c>
      <c r="AS280">
        <v>1</v>
      </c>
      <c r="AT280">
        <v>4.6479999999999997</v>
      </c>
      <c r="AU280">
        <v>1</v>
      </c>
      <c r="AV280">
        <v>23.679999999999996</v>
      </c>
      <c r="AW280">
        <v>2.6</v>
      </c>
      <c r="AX280">
        <v>2</v>
      </c>
      <c r="AY280">
        <v>3.5</v>
      </c>
      <c r="AZ280">
        <v>3</v>
      </c>
      <c r="BA280">
        <v>3.1280000000000001</v>
      </c>
      <c r="BB280">
        <v>4</v>
      </c>
      <c r="BC280">
        <v>31.04</v>
      </c>
      <c r="BD280">
        <v>-1.4400000000000006</v>
      </c>
      <c r="BE280">
        <v>8</v>
      </c>
      <c r="BF280">
        <v>7</v>
      </c>
      <c r="BG280">
        <v>7</v>
      </c>
      <c r="BH280">
        <v>3.0439999999999987</v>
      </c>
      <c r="BI280">
        <v>7</v>
      </c>
      <c r="BJ280">
        <v>7.8399999999999981</v>
      </c>
      <c r="BK280">
        <v>1.4</v>
      </c>
      <c r="BL280">
        <v>11</v>
      </c>
      <c r="BM280">
        <v>9.5</v>
      </c>
      <c r="BN280">
        <v>14</v>
      </c>
      <c r="BO280">
        <v>2.16</v>
      </c>
      <c r="BP280">
        <v>5</v>
      </c>
      <c r="BQ280">
        <v>0.76</v>
      </c>
      <c r="BR280">
        <v>-0.23999999999999969</v>
      </c>
      <c r="BS280">
        <v>26</v>
      </c>
      <c r="BT280">
        <v>22.25</v>
      </c>
      <c r="BU280">
        <v>18</v>
      </c>
      <c r="BV280">
        <v>5.560643233842881E-2</v>
      </c>
      <c r="BW280">
        <v>32</v>
      </c>
      <c r="BX280">
        <v>-3.7083501232900842E-2</v>
      </c>
      <c r="BY280">
        <v>16</v>
      </c>
      <c r="BZ280">
        <v>7.3119999999999958</v>
      </c>
      <c r="CA280">
        <v>23</v>
      </c>
      <c r="CB280">
        <v>-4</v>
      </c>
      <c r="CC280">
        <v>5.9999999999999982</v>
      </c>
      <c r="CD280">
        <v>4.0399999999999991</v>
      </c>
      <c r="CE280">
        <v>3.9999999999999994E-2</v>
      </c>
      <c r="CF280">
        <v>85.4</v>
      </c>
      <c r="CG280">
        <v>60.639999999999986</v>
      </c>
      <c r="CH280">
        <v>15.76</v>
      </c>
      <c r="CI280">
        <v>3.88</v>
      </c>
      <c r="CJ280">
        <v>5.12</v>
      </c>
      <c r="CK280">
        <v>10</v>
      </c>
      <c r="CL280">
        <v>5.0361999999999991</v>
      </c>
      <c r="CM280">
        <v>4.7824400000000011</v>
      </c>
      <c r="CN280">
        <v>44.879999999999988</v>
      </c>
      <c r="CO280">
        <v>-5.0361999999999991</v>
      </c>
      <c r="CP280">
        <v>3.2078375000000006</v>
      </c>
      <c r="CQ280">
        <v>15.656500000000003</v>
      </c>
      <c r="CR280">
        <v>84.272499999999994</v>
      </c>
      <c r="CS280">
        <v>-0.11699999999999999</v>
      </c>
      <c r="CT280">
        <v>21.090000000000003</v>
      </c>
      <c r="CU280">
        <v>7.8800000000000008</v>
      </c>
      <c r="CV280">
        <v>-1.2299999999999998</v>
      </c>
      <c r="CW280">
        <v>0.55797499999999989</v>
      </c>
      <c r="CX280">
        <v>-0.26125000000000037</v>
      </c>
      <c r="CY280" t="s">
        <v>312</v>
      </c>
      <c r="CZ280">
        <v>7</v>
      </c>
      <c r="DA280">
        <v>1.4576000000000007</v>
      </c>
      <c r="DB280">
        <v>22</v>
      </c>
      <c r="DC280">
        <v>21.5</v>
      </c>
      <c r="DD280">
        <v>22</v>
      </c>
      <c r="DE280">
        <v>-0.13999999999999951</v>
      </c>
      <c r="DF280">
        <v>21</v>
      </c>
      <c r="DG280">
        <v>10.8</v>
      </c>
      <c r="DH280">
        <v>-0.27999999999999997</v>
      </c>
      <c r="DI280">
        <v>8</v>
      </c>
      <c r="DJ280">
        <v>11</v>
      </c>
      <c r="DK280">
        <v>9</v>
      </c>
      <c r="DL280">
        <v>0.66399999999999992</v>
      </c>
      <c r="DM280">
        <v>13</v>
      </c>
      <c r="DN280">
        <v>-4.5600000000000005</v>
      </c>
      <c r="DO280">
        <v>-0.20000000000000009</v>
      </c>
      <c r="DP280">
        <v>6</v>
      </c>
      <c r="DQ280">
        <v>14.5</v>
      </c>
      <c r="DR280">
        <v>15</v>
      </c>
      <c r="DS280">
        <v>-1.1399999999999992</v>
      </c>
      <c r="DT280">
        <v>14</v>
      </c>
      <c r="DU280">
        <v>-6.3999999999999968</v>
      </c>
      <c r="DV280">
        <v>-7.9999999999999544E-2</v>
      </c>
      <c r="DW280">
        <v>4</v>
      </c>
      <c r="DX280">
        <v>5</v>
      </c>
      <c r="DY280">
        <v>3</v>
      </c>
      <c r="DZ280">
        <v>5.1039999999999992</v>
      </c>
      <c r="EA280">
        <v>7</v>
      </c>
      <c r="EB280">
        <v>9.32</v>
      </c>
      <c r="EC280">
        <v>2.2399999999999993</v>
      </c>
      <c r="ED280">
        <v>3</v>
      </c>
      <c r="EE280">
        <v>1</v>
      </c>
      <c r="EF280">
        <v>1</v>
      </c>
      <c r="EG280">
        <v>3.008</v>
      </c>
      <c r="EH280">
        <v>1</v>
      </c>
      <c r="EI280">
        <v>11.040000000000001</v>
      </c>
      <c r="EJ280">
        <v>1.44</v>
      </c>
      <c r="EK280">
        <v>13</v>
      </c>
      <c r="EL280">
        <v>12.5</v>
      </c>
      <c r="EM280">
        <v>13</v>
      </c>
      <c r="EN280">
        <v>-2.6760000000000002</v>
      </c>
      <c r="EO280">
        <v>12</v>
      </c>
      <c r="EP280">
        <v>-10.760000000000002</v>
      </c>
      <c r="EQ280">
        <v>0.32000000000000028</v>
      </c>
      <c r="ER280">
        <v>18</v>
      </c>
      <c r="ES280">
        <v>16</v>
      </c>
      <c r="ET280">
        <v>20</v>
      </c>
      <c r="EU280">
        <v>-0.29599999999999999</v>
      </c>
      <c r="EV280">
        <v>12</v>
      </c>
      <c r="EW280">
        <v>2.240000000000002</v>
      </c>
      <c r="EX280">
        <v>2.08</v>
      </c>
      <c r="EY280">
        <v>11</v>
      </c>
      <c r="EZ280">
        <v>12</v>
      </c>
      <c r="FA280">
        <v>11</v>
      </c>
      <c r="FB280">
        <v>2.36</v>
      </c>
      <c r="FC280">
        <v>13</v>
      </c>
      <c r="FD280">
        <v>0.3199999999999999</v>
      </c>
      <c r="FE280">
        <v>-5.44</v>
      </c>
      <c r="FF280">
        <v>7</v>
      </c>
      <c r="FG280">
        <v>12.25</v>
      </c>
      <c r="FH280">
        <v>19</v>
      </c>
      <c r="FI280">
        <v>1.9234712710372647E-2</v>
      </c>
      <c r="FJ280">
        <v>13</v>
      </c>
      <c r="FK280">
        <v>9.0903818360350171E-3</v>
      </c>
      <c r="FL280">
        <v>1</v>
      </c>
      <c r="FM280">
        <v>-17.284000000000002</v>
      </c>
      <c r="FN280">
        <v>16</v>
      </c>
      <c r="FO280">
        <v>-0.31999999999999973</v>
      </c>
      <c r="FP280">
        <v>2.919999999999999</v>
      </c>
      <c r="FQ280">
        <v>-2.4399999999999995</v>
      </c>
      <c r="FR280">
        <v>-1.8</v>
      </c>
      <c r="FS280">
        <v>-0.56000000000000227</v>
      </c>
      <c r="FT280">
        <v>1.3999999999999997</v>
      </c>
      <c r="FU280">
        <v>-1.6799999999999997</v>
      </c>
      <c r="FV280">
        <v>24.32</v>
      </c>
      <c r="FW280">
        <v>24.919999999999998</v>
      </c>
      <c r="FX280">
        <v>6.3199999999999985</v>
      </c>
      <c r="FY280">
        <v>-2.4</v>
      </c>
      <c r="FZ280">
        <v>-4.5200000000000005</v>
      </c>
      <c r="GA280">
        <v>13</v>
      </c>
      <c r="GB280">
        <v>0.93360000000000021</v>
      </c>
      <c r="GC280">
        <v>1.3647199999999999</v>
      </c>
      <c r="GD280">
        <v>18.600000000000001</v>
      </c>
      <c r="GE280">
        <v>-0.93360000000000021</v>
      </c>
      <c r="GF280">
        <v>1.3772000000000002</v>
      </c>
      <c r="GG280">
        <v>6.9719999999999995</v>
      </c>
      <c r="GH280">
        <v>13.960000000000004</v>
      </c>
      <c r="GI280">
        <v>0.52400000000000047</v>
      </c>
      <c r="GJ280">
        <v>6.24</v>
      </c>
      <c r="GK280">
        <v>5.68</v>
      </c>
      <c r="GL280">
        <v>-0.48000000000000009</v>
      </c>
    </row>
    <row r="281" spans="1:194" x14ac:dyDescent="0.2">
      <c r="A281" s="39">
        <v>43779</v>
      </c>
      <c r="B281" s="22" t="s">
        <v>244</v>
      </c>
      <c r="C281" s="41" t="s">
        <v>299</v>
      </c>
      <c r="D281" s="22" t="s">
        <v>265</v>
      </c>
      <c r="E281">
        <v>14.7</v>
      </c>
      <c r="F281">
        <v>12.7</v>
      </c>
      <c r="G281">
        <v>6.9</v>
      </c>
      <c r="H281">
        <f>7.7+3.9</f>
        <v>11.6</v>
      </c>
      <c r="I281">
        <v>6</v>
      </c>
      <c r="J281">
        <v>38</v>
      </c>
      <c r="L281" s="4" t="s">
        <v>299</v>
      </c>
      <c r="M281" s="3">
        <v>6</v>
      </c>
      <c r="N281" s="3">
        <v>3.8008000000000011</v>
      </c>
      <c r="O281" s="3">
        <v>28</v>
      </c>
      <c r="P281" s="3">
        <v>26</v>
      </c>
      <c r="Q281" s="3">
        <v>31</v>
      </c>
      <c r="R281" s="3">
        <v>-6.9600000000000009</v>
      </c>
      <c r="S281" s="3">
        <v>21</v>
      </c>
      <c r="T281" s="3">
        <v>-39.6</v>
      </c>
      <c r="U281" s="3">
        <v>1.24</v>
      </c>
      <c r="V281" s="3">
        <v>13</v>
      </c>
      <c r="W281" s="3">
        <v>13.5</v>
      </c>
      <c r="X281" s="3">
        <v>8</v>
      </c>
      <c r="Y281" s="3">
        <v>-1.0280000000000005</v>
      </c>
      <c r="Z281" s="3">
        <v>19</v>
      </c>
      <c r="AA281">
        <v>3.9299999999999997</v>
      </c>
      <c r="AB281">
        <v>-0.20999999999999996</v>
      </c>
      <c r="AC281">
        <v>5</v>
      </c>
      <c r="AD281">
        <v>5.5</v>
      </c>
      <c r="AE281">
        <v>8</v>
      </c>
      <c r="AF281">
        <v>-0.10700000000000039</v>
      </c>
      <c r="AG281">
        <v>3</v>
      </c>
      <c r="AH281">
        <v>-3.9999999999997725E-2</v>
      </c>
      <c r="AI281">
        <v>-1.0599999999999998</v>
      </c>
      <c r="AJ281">
        <v>3</v>
      </c>
      <c r="AK281">
        <v>3.5</v>
      </c>
      <c r="AL281">
        <v>2</v>
      </c>
      <c r="AM281">
        <v>9.6490000000000009</v>
      </c>
      <c r="AN281">
        <v>5</v>
      </c>
      <c r="AO281">
        <v>27.189999999999998</v>
      </c>
      <c r="AP281">
        <v>1.92</v>
      </c>
      <c r="AQ281">
        <v>10</v>
      </c>
      <c r="AR281">
        <v>10</v>
      </c>
      <c r="AS281">
        <v>10</v>
      </c>
      <c r="AT281">
        <v>4.8</v>
      </c>
      <c r="AU281">
        <v>10</v>
      </c>
      <c r="AV281">
        <v>24.9</v>
      </c>
      <c r="AW281">
        <v>1.85</v>
      </c>
      <c r="AX281">
        <v>9</v>
      </c>
      <c r="AY281">
        <v>10.5</v>
      </c>
      <c r="AZ281">
        <v>13</v>
      </c>
      <c r="BA281">
        <v>3.6999999999999993</v>
      </c>
      <c r="BB281">
        <v>8</v>
      </c>
      <c r="BC281">
        <v>38.760000000000005</v>
      </c>
      <c r="BD281">
        <v>-1.3200000000000007</v>
      </c>
      <c r="BE281">
        <v>20</v>
      </c>
      <c r="BF281">
        <v>22</v>
      </c>
      <c r="BG281">
        <v>23</v>
      </c>
      <c r="BH281">
        <v>-5.4000000000000012</v>
      </c>
      <c r="BI281">
        <v>21</v>
      </c>
      <c r="BJ281">
        <v>-12.200000000000001</v>
      </c>
      <c r="BK281">
        <v>-0.55999999999999983</v>
      </c>
      <c r="BL281">
        <v>23</v>
      </c>
      <c r="BM281">
        <v>22.5</v>
      </c>
      <c r="BN281">
        <v>20</v>
      </c>
      <c r="BO281">
        <v>1.1200000000000001</v>
      </c>
      <c r="BP281">
        <v>25</v>
      </c>
      <c r="BQ281">
        <v>-8.0000000000000071E-2</v>
      </c>
      <c r="BR281">
        <v>-2.3199999999999994</v>
      </c>
      <c r="BS281">
        <v>5</v>
      </c>
      <c r="BT281">
        <v>9</v>
      </c>
      <c r="BU281">
        <v>6</v>
      </c>
      <c r="BV281">
        <v>5.0837549520596839E-2</v>
      </c>
      <c r="BW281">
        <v>12</v>
      </c>
      <c r="BX281">
        <v>-4.9129936961431891E-4</v>
      </c>
      <c r="BY281">
        <v>9</v>
      </c>
      <c r="BZ281">
        <v>0.81999999999999884</v>
      </c>
      <c r="CA281">
        <v>9</v>
      </c>
      <c r="CB281">
        <v>-0.8</v>
      </c>
      <c r="CC281">
        <v>0.92000000000000026</v>
      </c>
      <c r="CD281">
        <v>-1.0400000000000005</v>
      </c>
      <c r="CE281">
        <v>0.12</v>
      </c>
      <c r="CF281">
        <v>5.3199999999999932</v>
      </c>
      <c r="CG281">
        <v>48.199999999999989</v>
      </c>
      <c r="CH281">
        <v>-36.239999999999995</v>
      </c>
      <c r="CI281">
        <v>-1.2</v>
      </c>
      <c r="CJ281">
        <v>-5.4399999999999995</v>
      </c>
      <c r="CK281">
        <v>1</v>
      </c>
      <c r="CL281">
        <v>11.788800000000002</v>
      </c>
      <c r="CM281">
        <v>6.5425599999999999</v>
      </c>
      <c r="CN281">
        <v>84.439999999999984</v>
      </c>
      <c r="CO281">
        <v>-11.788800000000002</v>
      </c>
      <c r="CP281">
        <v>0.73434999999999984</v>
      </c>
      <c r="CQ281">
        <v>14.341999999999999</v>
      </c>
      <c r="CR281">
        <v>52.05</v>
      </c>
      <c r="CS281">
        <v>-7.9880000000000013</v>
      </c>
      <c r="CT281">
        <v>-35.67</v>
      </c>
      <c r="CU281">
        <v>2.1500000000000004</v>
      </c>
      <c r="CV281">
        <v>1.03</v>
      </c>
      <c r="CW281">
        <v>0.70042500000000019</v>
      </c>
      <c r="CX281">
        <v>2.2334499999999999</v>
      </c>
      <c r="CY281" t="s">
        <v>265</v>
      </c>
      <c r="CZ281">
        <v>29</v>
      </c>
      <c r="DA281">
        <v>-2.399999999999999</v>
      </c>
      <c r="DB281">
        <v>12</v>
      </c>
      <c r="DC281">
        <v>11.5</v>
      </c>
      <c r="DD281">
        <v>15</v>
      </c>
      <c r="DE281">
        <v>4.5432000000000006</v>
      </c>
      <c r="DF281">
        <v>8</v>
      </c>
      <c r="DG281">
        <v>17.2</v>
      </c>
      <c r="DH281">
        <v>-0.47999999999999987</v>
      </c>
      <c r="DI281">
        <v>14</v>
      </c>
      <c r="DJ281">
        <v>15</v>
      </c>
      <c r="DK281">
        <v>14</v>
      </c>
      <c r="DL281">
        <v>-4.1840000000000002</v>
      </c>
      <c r="DM281">
        <v>16</v>
      </c>
      <c r="DN281">
        <v>-10.559999999999999</v>
      </c>
      <c r="DO281">
        <v>-1.1199999999999999</v>
      </c>
      <c r="DP281">
        <v>25</v>
      </c>
      <c r="DQ281">
        <v>20</v>
      </c>
      <c r="DR281">
        <v>19</v>
      </c>
      <c r="DS281">
        <v>-2.2349999999999981</v>
      </c>
      <c r="DT281">
        <v>21</v>
      </c>
      <c r="DU281">
        <v>-9.9999999999999964</v>
      </c>
      <c r="DV281">
        <v>0.75000000000000022</v>
      </c>
      <c r="DW281">
        <v>28</v>
      </c>
      <c r="DX281">
        <v>27</v>
      </c>
      <c r="DY281">
        <v>28</v>
      </c>
      <c r="DZ281">
        <v>-2.7800000000000002</v>
      </c>
      <c r="EA281">
        <v>26</v>
      </c>
      <c r="EB281">
        <v>0.30000000000000338</v>
      </c>
      <c r="EC281">
        <v>4.9999999999999933E-2</v>
      </c>
      <c r="ED281">
        <v>20</v>
      </c>
      <c r="EE281">
        <v>19.5</v>
      </c>
      <c r="EF281">
        <v>20</v>
      </c>
      <c r="EG281">
        <v>-1.2649999999999997</v>
      </c>
      <c r="EH281">
        <v>19</v>
      </c>
      <c r="EI281">
        <v>-8.9</v>
      </c>
      <c r="EJ281">
        <v>0.64999999999999991</v>
      </c>
      <c r="EK281">
        <v>21</v>
      </c>
      <c r="EL281">
        <v>21.5</v>
      </c>
      <c r="EM281">
        <v>20</v>
      </c>
      <c r="EN281">
        <v>-3.6920000000000002</v>
      </c>
      <c r="EO281">
        <v>23</v>
      </c>
      <c r="EP281">
        <v>-18.119999999999997</v>
      </c>
      <c r="EQ281">
        <v>0.51999999999999991</v>
      </c>
      <c r="ER281">
        <v>15</v>
      </c>
      <c r="ES281">
        <v>15</v>
      </c>
      <c r="ET281">
        <v>12</v>
      </c>
      <c r="EU281">
        <v>1.9</v>
      </c>
      <c r="EV281">
        <v>18</v>
      </c>
      <c r="EW281">
        <v>12</v>
      </c>
      <c r="EX281">
        <v>0.80000000000000038</v>
      </c>
      <c r="EY281">
        <v>15</v>
      </c>
      <c r="EZ281">
        <v>13</v>
      </c>
      <c r="FA281">
        <v>14</v>
      </c>
      <c r="FB281">
        <v>-0.24000000000000038</v>
      </c>
      <c r="FC281">
        <v>12</v>
      </c>
      <c r="FD281">
        <v>0.27999999999999997</v>
      </c>
      <c r="FE281">
        <v>0.55999999999999994</v>
      </c>
      <c r="FF281">
        <v>32</v>
      </c>
      <c r="FG281">
        <v>29.25</v>
      </c>
      <c r="FH281">
        <v>28</v>
      </c>
      <c r="FI281">
        <v>-4.4517409564758165E-2</v>
      </c>
      <c r="FJ281">
        <v>29</v>
      </c>
      <c r="FK281">
        <v>-9.4807369723878369E-3</v>
      </c>
      <c r="FL281">
        <v>29</v>
      </c>
      <c r="FM281">
        <v>1.7319999999999993</v>
      </c>
      <c r="FN281">
        <v>31</v>
      </c>
      <c r="FO281">
        <v>-0.27999999999999997</v>
      </c>
      <c r="FP281">
        <v>1.0799999999999996</v>
      </c>
      <c r="FQ281">
        <v>3.0800000000000005</v>
      </c>
      <c r="FR281">
        <v>0.87999999999999989</v>
      </c>
      <c r="FS281">
        <v>4.3599999999999977</v>
      </c>
      <c r="FT281">
        <v>0.43999999999999984</v>
      </c>
      <c r="FU281">
        <v>-1.0799999999999998</v>
      </c>
      <c r="FV281">
        <v>-24.199999999999989</v>
      </c>
      <c r="FW281">
        <v>-35.32</v>
      </c>
      <c r="FX281">
        <v>9.32</v>
      </c>
      <c r="FY281">
        <v>-2.3199999999999998</v>
      </c>
      <c r="FZ281">
        <v>4.1199999999999992</v>
      </c>
      <c r="GA281">
        <v>23</v>
      </c>
      <c r="GB281">
        <v>-2.759199999999999</v>
      </c>
      <c r="GC281">
        <v>-1.5355999999999994</v>
      </c>
      <c r="GD281">
        <v>-44.64</v>
      </c>
      <c r="GE281">
        <v>2.7591999999999994</v>
      </c>
      <c r="GF281">
        <v>-0.83259999999999956</v>
      </c>
      <c r="GG281">
        <v>-6.2799999999999985</v>
      </c>
      <c r="GH281">
        <v>-18.599999999999994</v>
      </c>
      <c r="GI281">
        <v>0.35920000000000041</v>
      </c>
      <c r="GJ281">
        <v>6.6400000000000006</v>
      </c>
      <c r="GK281">
        <v>2.2500000000000004</v>
      </c>
      <c r="GL281">
        <v>-1.5999999999999996</v>
      </c>
    </row>
    <row r="282" spans="1:194" x14ac:dyDescent="0.2">
      <c r="A282" s="39">
        <v>43779</v>
      </c>
      <c r="B282" s="22" t="s">
        <v>244</v>
      </c>
      <c r="C282" s="41" t="s">
        <v>300</v>
      </c>
      <c r="D282" s="22" t="s">
        <v>301</v>
      </c>
      <c r="E282">
        <v>21.8</v>
      </c>
      <c r="F282">
        <v>5.7</v>
      </c>
      <c r="G282">
        <v>4.3</v>
      </c>
      <c r="H282">
        <v>7.9</v>
      </c>
      <c r="I282">
        <v>-5</v>
      </c>
      <c r="J282">
        <v>49</v>
      </c>
      <c r="L282" s="1" t="s">
        <v>300</v>
      </c>
      <c r="M282">
        <v>7</v>
      </c>
      <c r="N282">
        <v>3.7248000000000006</v>
      </c>
      <c r="O282">
        <v>22</v>
      </c>
      <c r="P282">
        <v>21.5</v>
      </c>
      <c r="Q282">
        <v>14</v>
      </c>
      <c r="R282">
        <v>5.5004000000000008</v>
      </c>
      <c r="S282">
        <v>29</v>
      </c>
      <c r="T282">
        <v>-15.48</v>
      </c>
      <c r="U282">
        <v>2.7199999999999998</v>
      </c>
      <c r="V282">
        <v>2</v>
      </c>
      <c r="W282">
        <v>4</v>
      </c>
      <c r="X282">
        <v>4</v>
      </c>
      <c r="Y282">
        <v>6.0119999999999996</v>
      </c>
      <c r="Z282">
        <v>4</v>
      </c>
      <c r="AA282">
        <v>8.120000000000001</v>
      </c>
      <c r="AB282">
        <v>1.32</v>
      </c>
      <c r="AC282">
        <v>3</v>
      </c>
      <c r="AD282">
        <v>3.5</v>
      </c>
      <c r="AE282">
        <v>5</v>
      </c>
      <c r="AF282">
        <v>-3.524</v>
      </c>
      <c r="AG282">
        <v>2</v>
      </c>
      <c r="AH282">
        <v>-7.3199999999999976</v>
      </c>
      <c r="AI282">
        <v>-1.6</v>
      </c>
      <c r="AJ282">
        <v>16</v>
      </c>
      <c r="AK282">
        <v>17</v>
      </c>
      <c r="AL282">
        <v>17</v>
      </c>
      <c r="AM282">
        <v>-3.1479999999999997</v>
      </c>
      <c r="AN282">
        <v>17</v>
      </c>
      <c r="AO282">
        <v>-13.52</v>
      </c>
      <c r="AP282">
        <v>-0.56000000000000005</v>
      </c>
      <c r="AQ282">
        <v>20</v>
      </c>
      <c r="AR282">
        <v>19</v>
      </c>
      <c r="AS282">
        <v>18</v>
      </c>
      <c r="AT282">
        <v>1.5960000000000001</v>
      </c>
      <c r="AU282">
        <v>20</v>
      </c>
      <c r="AV282">
        <v>9.48</v>
      </c>
      <c r="AW282">
        <v>-3.9999999999999945E-2</v>
      </c>
      <c r="AX282">
        <v>18</v>
      </c>
      <c r="AY282">
        <v>17</v>
      </c>
      <c r="AZ282">
        <v>12</v>
      </c>
      <c r="BA282">
        <v>0.80399999999999849</v>
      </c>
      <c r="BB282">
        <v>22</v>
      </c>
      <c r="BC282">
        <v>8.8400000000000034</v>
      </c>
      <c r="BD282">
        <v>0.35999999999999976</v>
      </c>
      <c r="BE282">
        <v>27</v>
      </c>
      <c r="BF282">
        <v>27</v>
      </c>
      <c r="BG282">
        <v>26</v>
      </c>
      <c r="BH282">
        <v>-2.492</v>
      </c>
      <c r="BI282">
        <v>28</v>
      </c>
      <c r="BJ282">
        <v>-0.15999999999999942</v>
      </c>
      <c r="BK282">
        <v>-1.48</v>
      </c>
      <c r="BL282">
        <v>31</v>
      </c>
      <c r="BM282">
        <v>31</v>
      </c>
      <c r="BN282">
        <v>30</v>
      </c>
      <c r="BO282">
        <v>1.1200000000000001</v>
      </c>
      <c r="BP282">
        <v>32</v>
      </c>
      <c r="BQ282">
        <v>-0.24</v>
      </c>
      <c r="BR282">
        <v>-0.4</v>
      </c>
      <c r="BS282">
        <v>16</v>
      </c>
      <c r="BT282">
        <v>14.5</v>
      </c>
      <c r="BU282">
        <v>17</v>
      </c>
      <c r="BV282">
        <v>-3.6591674581538815E-2</v>
      </c>
      <c r="BW282">
        <v>14</v>
      </c>
      <c r="BX282">
        <v>-7.2249624499932264E-3</v>
      </c>
      <c r="BY282">
        <v>3</v>
      </c>
      <c r="BZ282">
        <v>14.747999999999999</v>
      </c>
      <c r="CA282">
        <v>24</v>
      </c>
      <c r="CB282">
        <v>-3.3200000000000003</v>
      </c>
      <c r="CC282">
        <v>-3.5599999999999996</v>
      </c>
      <c r="CD282">
        <v>4.28</v>
      </c>
      <c r="CE282">
        <v>-0.27999999999999997</v>
      </c>
      <c r="CF282">
        <v>13.240000000000009</v>
      </c>
      <c r="CG282">
        <v>28.72</v>
      </c>
      <c r="CH282">
        <v>-10.48</v>
      </c>
      <c r="CI282">
        <v>-3.0799999999999996</v>
      </c>
      <c r="CJ282">
        <v>-1.92</v>
      </c>
      <c r="CK282">
        <v>29</v>
      </c>
      <c r="CL282">
        <v>-7.7875999999999994</v>
      </c>
      <c r="CM282">
        <v>-6.5248399999999993</v>
      </c>
      <c r="CN282">
        <v>39.200000000000003</v>
      </c>
      <c r="CO282">
        <v>7.7875999999999994</v>
      </c>
      <c r="CP282">
        <v>1.0986500000000001</v>
      </c>
      <c r="CQ282">
        <v>-5.0759999999999996</v>
      </c>
      <c r="CR282">
        <v>-11.359999999999996</v>
      </c>
      <c r="CS282">
        <v>11.5124</v>
      </c>
      <c r="CT282">
        <v>-7.3599999999999994</v>
      </c>
      <c r="CU282">
        <v>-3.68</v>
      </c>
      <c r="CV282">
        <v>4.04</v>
      </c>
      <c r="CW282">
        <v>1.2423781250000006</v>
      </c>
      <c r="CX282">
        <v>0.73155625000000069</v>
      </c>
      <c r="CY282" t="s">
        <v>301</v>
      </c>
      <c r="CZ282">
        <v>14</v>
      </c>
      <c r="DA282">
        <v>0.46159999999999923</v>
      </c>
      <c r="DB282">
        <v>7</v>
      </c>
      <c r="DC282">
        <v>10</v>
      </c>
      <c r="DD282">
        <v>5</v>
      </c>
      <c r="DE282">
        <v>7.9680000000000009</v>
      </c>
      <c r="DF282">
        <v>15</v>
      </c>
      <c r="DG282">
        <v>13.36</v>
      </c>
      <c r="DH282">
        <v>-1.56</v>
      </c>
      <c r="DI282">
        <v>2</v>
      </c>
      <c r="DJ282">
        <v>3</v>
      </c>
      <c r="DK282">
        <v>4</v>
      </c>
      <c r="DL282">
        <v>-1.0279999999999994</v>
      </c>
      <c r="DM282">
        <v>2</v>
      </c>
      <c r="DN282">
        <v>5.6400000000000006</v>
      </c>
      <c r="DO282">
        <v>8.8817841970012528E-17</v>
      </c>
      <c r="DP282">
        <v>20</v>
      </c>
      <c r="DQ282">
        <v>16.5</v>
      </c>
      <c r="DR282">
        <v>16</v>
      </c>
      <c r="DS282">
        <v>1.4640000000000009</v>
      </c>
      <c r="DT282">
        <v>17</v>
      </c>
      <c r="DU282">
        <v>4.4400000000000004</v>
      </c>
      <c r="DV282">
        <v>2.3199999999999994</v>
      </c>
      <c r="DW282">
        <v>7</v>
      </c>
      <c r="DX282">
        <v>6.5</v>
      </c>
      <c r="DY282">
        <v>8</v>
      </c>
      <c r="DZ282">
        <v>6.9240000000000013</v>
      </c>
      <c r="EA282">
        <v>5</v>
      </c>
      <c r="EB282">
        <v>31.68</v>
      </c>
      <c r="EC282">
        <v>1.28</v>
      </c>
      <c r="ED282">
        <v>11</v>
      </c>
      <c r="EE282">
        <v>7.5</v>
      </c>
      <c r="EF282">
        <v>12</v>
      </c>
      <c r="EG282">
        <v>-0.70800000000000018</v>
      </c>
      <c r="EH282">
        <v>3</v>
      </c>
      <c r="EI282">
        <v>3.9599999999999995</v>
      </c>
      <c r="EJ282">
        <v>-0.12000000000000002</v>
      </c>
      <c r="EK282">
        <v>18</v>
      </c>
      <c r="EL282">
        <v>18</v>
      </c>
      <c r="EM282">
        <v>22</v>
      </c>
      <c r="EN282">
        <v>2.2560000000000002</v>
      </c>
      <c r="EO282">
        <v>14</v>
      </c>
      <c r="EP282">
        <v>14.559999999999997</v>
      </c>
      <c r="EQ282">
        <v>1.1599999999999997</v>
      </c>
      <c r="ER282">
        <v>12</v>
      </c>
      <c r="ES282">
        <v>13</v>
      </c>
      <c r="ET282">
        <v>20</v>
      </c>
      <c r="EU282">
        <v>0.14399999999999996</v>
      </c>
      <c r="EV282">
        <v>6</v>
      </c>
      <c r="EW282">
        <v>7.0400000000000009</v>
      </c>
      <c r="EX282">
        <v>-0.36000000000000015</v>
      </c>
      <c r="EY282">
        <v>10</v>
      </c>
      <c r="EZ282">
        <v>11.5</v>
      </c>
      <c r="FA282">
        <v>16</v>
      </c>
      <c r="FB282">
        <v>-1.2000000000000002</v>
      </c>
      <c r="FC282">
        <v>7</v>
      </c>
      <c r="FD282">
        <v>-0.48</v>
      </c>
      <c r="FE282">
        <v>-0.16000000000000014</v>
      </c>
      <c r="FF282">
        <v>18</v>
      </c>
      <c r="FG282">
        <v>16.25</v>
      </c>
      <c r="FH282">
        <v>18</v>
      </c>
      <c r="FI282">
        <v>-2.6091785233425126E-2</v>
      </c>
      <c r="FJ282">
        <v>16</v>
      </c>
      <c r="FK282">
        <v>5.60386769240377E-3</v>
      </c>
      <c r="FL282">
        <v>8</v>
      </c>
      <c r="FM282">
        <v>-5.38</v>
      </c>
      <c r="FN282">
        <v>23</v>
      </c>
      <c r="FO282">
        <v>1.9999999999999996</v>
      </c>
      <c r="FP282">
        <v>1.9999999999999993</v>
      </c>
      <c r="FQ282">
        <v>0.19999999999999929</v>
      </c>
      <c r="FR282">
        <v>-0.96</v>
      </c>
      <c r="FS282">
        <v>1.4</v>
      </c>
      <c r="FT282">
        <v>8.4</v>
      </c>
      <c r="FU282">
        <v>-0.55999999999999994</v>
      </c>
      <c r="FV282">
        <v>66.64</v>
      </c>
      <c r="FW282">
        <v>32.44</v>
      </c>
      <c r="FX282">
        <v>31.320000000000004</v>
      </c>
      <c r="FY282">
        <v>2</v>
      </c>
      <c r="FZ282">
        <v>0.87999999999999967</v>
      </c>
      <c r="GA282">
        <v>30</v>
      </c>
      <c r="GB282">
        <v>-6.4784000000000024</v>
      </c>
      <c r="GC282">
        <v>-1.8128800000000003</v>
      </c>
      <c r="GD282">
        <v>1.1199999999999939</v>
      </c>
      <c r="GE282">
        <v>6.4784000000000024</v>
      </c>
      <c r="GF282">
        <v>1.7532000000000005</v>
      </c>
      <c r="GG282">
        <v>7.6800000000000015</v>
      </c>
      <c r="GH282">
        <v>40.08</v>
      </c>
      <c r="GI282">
        <v>6.9400000000000013</v>
      </c>
      <c r="GJ282">
        <v>19</v>
      </c>
      <c r="GK282">
        <v>3.1199999999999992</v>
      </c>
      <c r="GL282">
        <v>-1.56</v>
      </c>
    </row>
    <row r="283" spans="1:194" x14ac:dyDescent="0.2">
      <c r="A283" s="39">
        <v>43779</v>
      </c>
      <c r="B283" s="28" t="s">
        <v>244</v>
      </c>
      <c r="C283" s="41" t="s">
        <v>289</v>
      </c>
      <c r="D283" s="28" t="s">
        <v>293</v>
      </c>
      <c r="E283" s="3"/>
      <c r="F283" s="3">
        <v>5.0999999999999996</v>
      </c>
      <c r="G283" s="3">
        <v>1.9</v>
      </c>
      <c r="H283" s="3">
        <f>13.4+10.6</f>
        <v>24</v>
      </c>
      <c r="I283">
        <v>-11</v>
      </c>
      <c r="J283">
        <v>44.5</v>
      </c>
      <c r="K283" t="s">
        <v>110</v>
      </c>
      <c r="L283" s="1" t="s">
        <v>289</v>
      </c>
      <c r="M283">
        <v>19</v>
      </c>
      <c r="N283">
        <v>-0.84320000000000017</v>
      </c>
      <c r="O283">
        <v>11</v>
      </c>
      <c r="P283">
        <v>11.5</v>
      </c>
      <c r="Q283">
        <v>19</v>
      </c>
      <c r="R283">
        <v>-1.4316</v>
      </c>
      <c r="S283">
        <v>4</v>
      </c>
      <c r="T283">
        <v>21.56</v>
      </c>
      <c r="U283">
        <v>-2.2400000000000002</v>
      </c>
      <c r="V283">
        <v>23</v>
      </c>
      <c r="W283">
        <v>20.5</v>
      </c>
      <c r="X283">
        <v>18</v>
      </c>
      <c r="Y283">
        <v>-0.64799999999999991</v>
      </c>
      <c r="Z283">
        <v>23</v>
      </c>
      <c r="AA283">
        <v>-7.839999999999999</v>
      </c>
      <c r="AB283">
        <v>0.88000000000000012</v>
      </c>
      <c r="AC283">
        <v>18</v>
      </c>
      <c r="AD283">
        <v>18</v>
      </c>
      <c r="AE283">
        <v>21</v>
      </c>
      <c r="AF283">
        <v>-0.94000000000000006</v>
      </c>
      <c r="AG283">
        <v>15</v>
      </c>
      <c r="AH283">
        <v>-0.31999999999999884</v>
      </c>
      <c r="AI283">
        <v>0.28000000000000025</v>
      </c>
      <c r="AJ283">
        <v>18</v>
      </c>
      <c r="AK283">
        <v>18.5</v>
      </c>
      <c r="AL283">
        <v>14</v>
      </c>
      <c r="AM283">
        <v>-0.11999999999999922</v>
      </c>
      <c r="AN283">
        <v>23</v>
      </c>
      <c r="AO283">
        <v>-8.6399999999999988</v>
      </c>
      <c r="AP283">
        <v>-2.2799999999999998</v>
      </c>
      <c r="AQ283">
        <v>22</v>
      </c>
      <c r="AR283">
        <v>22</v>
      </c>
      <c r="AS283">
        <v>22</v>
      </c>
      <c r="AT283">
        <v>-1.7</v>
      </c>
      <c r="AU283">
        <v>22</v>
      </c>
      <c r="AV283">
        <v>-11.36</v>
      </c>
      <c r="AW283">
        <v>-0.8</v>
      </c>
      <c r="AX283">
        <v>12</v>
      </c>
      <c r="AY283">
        <v>12</v>
      </c>
      <c r="AZ283">
        <v>14</v>
      </c>
      <c r="BA283">
        <v>-0.9399999999999995</v>
      </c>
      <c r="BB283">
        <v>10</v>
      </c>
      <c r="BC283">
        <v>3.3999999999999972</v>
      </c>
      <c r="BD283">
        <v>-0.56000000000000016</v>
      </c>
      <c r="BE283">
        <v>7</v>
      </c>
      <c r="BF283">
        <v>6.5</v>
      </c>
      <c r="BG283">
        <v>8</v>
      </c>
      <c r="BH283">
        <v>4.7679999999999998</v>
      </c>
      <c r="BI283">
        <v>5</v>
      </c>
      <c r="BJ283">
        <v>18.880000000000003</v>
      </c>
      <c r="BK283">
        <v>1.0800000000000003</v>
      </c>
      <c r="BL283">
        <v>19</v>
      </c>
      <c r="BM283">
        <v>19.5</v>
      </c>
      <c r="BN283">
        <v>24</v>
      </c>
      <c r="BO283">
        <v>0.83999999999999986</v>
      </c>
      <c r="BP283">
        <v>15</v>
      </c>
      <c r="BQ283">
        <v>0.32000000000000012</v>
      </c>
      <c r="BR283">
        <v>0.87999999999999989</v>
      </c>
      <c r="BS283">
        <v>3</v>
      </c>
      <c r="BT283">
        <v>7.75</v>
      </c>
      <c r="BU283">
        <v>4</v>
      </c>
      <c r="BV283">
        <v>0.10009669115890515</v>
      </c>
      <c r="BW283">
        <v>8</v>
      </c>
      <c r="BX283">
        <v>3.9521205152000526E-4</v>
      </c>
      <c r="BY283">
        <v>13</v>
      </c>
      <c r="BZ283">
        <v>7.4960000000000022</v>
      </c>
      <c r="CA283">
        <v>6</v>
      </c>
      <c r="CB283">
        <v>-0.59999999999999964</v>
      </c>
      <c r="CC283">
        <v>3</v>
      </c>
      <c r="CD283">
        <v>0.6400000000000009</v>
      </c>
      <c r="CE283">
        <v>-0.6399999999999999</v>
      </c>
      <c r="CF283">
        <v>7.880000000000007</v>
      </c>
      <c r="CG283">
        <v>-18.080000000000002</v>
      </c>
      <c r="CH283">
        <v>21.840000000000003</v>
      </c>
      <c r="CI283">
        <v>5.76</v>
      </c>
      <c r="CJ283">
        <v>-1.6400000000000006</v>
      </c>
      <c r="CK283">
        <v>15</v>
      </c>
      <c r="CL283">
        <v>1.2363999999999997</v>
      </c>
      <c r="CM283">
        <v>1.2727600000000001</v>
      </c>
      <c r="CN283">
        <v>-39.92</v>
      </c>
      <c r="CO283">
        <v>-1.2363999999999999</v>
      </c>
      <c r="CP283">
        <v>-9.3499999999998584E-3</v>
      </c>
      <c r="CQ283">
        <v>-2.7599999999999989</v>
      </c>
      <c r="CR283">
        <v>-20.319999999999997</v>
      </c>
      <c r="CS283">
        <v>-2.0796000000000001</v>
      </c>
      <c r="CT283">
        <v>13.719999999999999</v>
      </c>
      <c r="CU283">
        <v>-1.7199999999999995</v>
      </c>
      <c r="CV283">
        <v>-1.36</v>
      </c>
      <c r="CW283">
        <v>0.24352499999999999</v>
      </c>
      <c r="CX283">
        <v>-0.95724999999999993</v>
      </c>
      <c r="CY283" t="s">
        <v>293</v>
      </c>
      <c r="CZ283">
        <v>2</v>
      </c>
      <c r="DA283">
        <v>1.024799999999999</v>
      </c>
      <c r="DB283">
        <v>1</v>
      </c>
      <c r="DC283">
        <v>1.5</v>
      </c>
      <c r="DD283">
        <v>1</v>
      </c>
      <c r="DE283">
        <v>1.9520000000000006</v>
      </c>
      <c r="DF283">
        <v>2</v>
      </c>
      <c r="DG283">
        <v>22.56</v>
      </c>
      <c r="DH283">
        <v>-0.23999999999999994</v>
      </c>
      <c r="DI283">
        <v>30</v>
      </c>
      <c r="DJ283">
        <v>27</v>
      </c>
      <c r="DK283">
        <v>27</v>
      </c>
      <c r="DL283">
        <v>0.30560000000000009</v>
      </c>
      <c r="DM283">
        <v>27</v>
      </c>
      <c r="DN283">
        <v>1.8800000000000003</v>
      </c>
      <c r="DO283">
        <v>0.32</v>
      </c>
      <c r="DP283">
        <v>2</v>
      </c>
      <c r="DQ283">
        <v>1.5</v>
      </c>
      <c r="DR283">
        <v>1</v>
      </c>
      <c r="DS283">
        <v>7.6639999999999997</v>
      </c>
      <c r="DT283">
        <v>2</v>
      </c>
      <c r="DU283">
        <v>19.72</v>
      </c>
      <c r="DV283">
        <v>1.04</v>
      </c>
      <c r="DW283">
        <v>8</v>
      </c>
      <c r="DX283">
        <v>7</v>
      </c>
      <c r="DY283">
        <v>6</v>
      </c>
      <c r="DZ283">
        <v>-1.2160000000000006</v>
      </c>
      <c r="EA283">
        <v>8</v>
      </c>
      <c r="EB283">
        <v>-6.9999999999999982</v>
      </c>
      <c r="EC283">
        <v>0.24000000000000013</v>
      </c>
      <c r="ED283">
        <v>29</v>
      </c>
      <c r="EE283">
        <v>24</v>
      </c>
      <c r="EF283">
        <v>22</v>
      </c>
      <c r="EG283">
        <v>-1.9360000000000004</v>
      </c>
      <c r="EH283">
        <v>26</v>
      </c>
      <c r="EI283">
        <v>-10.08</v>
      </c>
      <c r="EJ283">
        <v>-0.24000000000000013</v>
      </c>
      <c r="EK283">
        <v>9</v>
      </c>
      <c r="EL283">
        <v>9</v>
      </c>
      <c r="EM283">
        <v>8</v>
      </c>
      <c r="EN283">
        <v>4.1479999999999988</v>
      </c>
      <c r="EO283">
        <v>10</v>
      </c>
      <c r="EP283">
        <v>9.4800000000000022</v>
      </c>
      <c r="EQ283">
        <v>2.7600000000000002</v>
      </c>
      <c r="ER283">
        <v>19</v>
      </c>
      <c r="ES283">
        <v>18.5</v>
      </c>
      <c r="ET283">
        <v>25</v>
      </c>
      <c r="EU283">
        <v>1.2400000000000007</v>
      </c>
      <c r="EV283">
        <v>12</v>
      </c>
      <c r="EW283">
        <v>11.440000000000001</v>
      </c>
      <c r="EX283">
        <v>2.6000000000000005</v>
      </c>
      <c r="EY283">
        <v>1</v>
      </c>
      <c r="EZ283">
        <v>1.5</v>
      </c>
      <c r="FA283">
        <v>1</v>
      </c>
      <c r="FB283">
        <v>2.52</v>
      </c>
      <c r="FC283">
        <v>2</v>
      </c>
      <c r="FD283">
        <v>0.84000000000000008</v>
      </c>
      <c r="FE283">
        <v>0.76000000000000012</v>
      </c>
      <c r="FF283">
        <v>31</v>
      </c>
      <c r="FG283">
        <v>29</v>
      </c>
      <c r="FH283">
        <v>29</v>
      </c>
      <c r="FI283">
        <v>-5.8930359512332262E-2</v>
      </c>
      <c r="FJ283">
        <v>32</v>
      </c>
      <c r="FK283">
        <v>-3.4165538160251439E-2</v>
      </c>
      <c r="FL283">
        <v>30</v>
      </c>
      <c r="FM283">
        <v>-1.2479999999999962</v>
      </c>
      <c r="FN283">
        <v>25</v>
      </c>
      <c r="FO283">
        <v>-3.3200000000000003</v>
      </c>
      <c r="FP283">
        <v>3.2399999999999993</v>
      </c>
      <c r="FQ283">
        <v>2.4</v>
      </c>
      <c r="FR283">
        <v>-1.1999999999999997</v>
      </c>
      <c r="FS283">
        <v>3.080000000000001</v>
      </c>
      <c r="FT283">
        <v>3.0000000000000004</v>
      </c>
      <c r="FU283">
        <v>7.9999999999999891E-2</v>
      </c>
      <c r="FV283">
        <v>37.760000000000005</v>
      </c>
      <c r="FW283">
        <v>18.8</v>
      </c>
      <c r="FX283">
        <v>27.320000000000004</v>
      </c>
      <c r="FY283">
        <v>-5.0400000000000009</v>
      </c>
      <c r="FZ283">
        <v>-3.3200000000000003</v>
      </c>
      <c r="GA283">
        <v>19</v>
      </c>
      <c r="GB283">
        <v>-1.2328000000000017</v>
      </c>
      <c r="GC283">
        <v>0.22655999999999921</v>
      </c>
      <c r="GD283">
        <v>-8.5200000000000031</v>
      </c>
      <c r="GE283">
        <v>1.2328000000000019</v>
      </c>
      <c r="GF283">
        <v>1.4442999999999999</v>
      </c>
      <c r="GG283">
        <v>4.5119999999999987</v>
      </c>
      <c r="GH283">
        <v>2.6400000000000006</v>
      </c>
      <c r="GI283">
        <v>2.2576000000000009</v>
      </c>
      <c r="GJ283">
        <v>24.439999999999998</v>
      </c>
      <c r="GK283">
        <v>3.6400000000000006</v>
      </c>
      <c r="GL283">
        <v>8.0000000000000071E-2</v>
      </c>
    </row>
    <row r="284" spans="1:194" x14ac:dyDescent="0.2">
      <c r="A284" s="39">
        <v>43779</v>
      </c>
      <c r="B284" s="22" t="s">
        <v>244</v>
      </c>
      <c r="C284" s="41" t="s">
        <v>288</v>
      </c>
      <c r="D284" s="22" t="s">
        <v>310</v>
      </c>
      <c r="E284">
        <v>36</v>
      </c>
      <c r="F284">
        <v>13.3</v>
      </c>
      <c r="G284">
        <v>10.1</v>
      </c>
      <c r="H284">
        <v>22.2</v>
      </c>
      <c r="I284">
        <v>-5</v>
      </c>
      <c r="J284">
        <v>49</v>
      </c>
      <c r="L284" s="4" t="s">
        <v>288</v>
      </c>
      <c r="M284" s="3">
        <v>13</v>
      </c>
      <c r="N284" s="3">
        <v>0.82399999999999918</v>
      </c>
      <c r="O284" s="3">
        <v>32</v>
      </c>
      <c r="P284" s="3">
        <v>30</v>
      </c>
      <c r="Q284" s="3">
        <v>28</v>
      </c>
      <c r="R284" s="3">
        <v>-1.0800000000000003</v>
      </c>
      <c r="S284" s="3">
        <v>32</v>
      </c>
      <c r="T284" s="3">
        <v>0.71999999999999886</v>
      </c>
      <c r="U284" s="3">
        <v>-1.4000000000000001</v>
      </c>
      <c r="V284" s="3">
        <v>17</v>
      </c>
      <c r="W284" s="3">
        <v>16.5</v>
      </c>
      <c r="X284" s="3">
        <v>19</v>
      </c>
      <c r="Y284" s="3">
        <v>-2.0049999999999999</v>
      </c>
      <c r="Z284" s="3">
        <v>14</v>
      </c>
      <c r="AA284">
        <v>-1.95</v>
      </c>
      <c r="AB284">
        <v>-0.79</v>
      </c>
      <c r="AC284">
        <v>8</v>
      </c>
      <c r="AD284">
        <v>7</v>
      </c>
      <c r="AE284">
        <v>6</v>
      </c>
      <c r="AF284">
        <v>6.6419999999999986</v>
      </c>
      <c r="AG284">
        <v>8</v>
      </c>
      <c r="AH284">
        <v>18.170000000000002</v>
      </c>
      <c r="AI284">
        <v>0.40000000000000036</v>
      </c>
      <c r="AJ284">
        <v>26</v>
      </c>
      <c r="AK284">
        <v>26.5</v>
      </c>
      <c r="AL284">
        <v>27</v>
      </c>
      <c r="AM284">
        <v>-3.53</v>
      </c>
      <c r="AN284">
        <v>26</v>
      </c>
      <c r="AO284">
        <v>-14.5</v>
      </c>
      <c r="AP284">
        <v>-0.51000000000000012</v>
      </c>
      <c r="AQ284">
        <v>9</v>
      </c>
      <c r="AR284">
        <v>9.5</v>
      </c>
      <c r="AS284">
        <v>11</v>
      </c>
      <c r="AT284">
        <v>0.50000000000000022</v>
      </c>
      <c r="AU284">
        <v>8</v>
      </c>
      <c r="AV284">
        <v>5.0400000000000009</v>
      </c>
      <c r="AW284">
        <v>0.12000000000000002</v>
      </c>
      <c r="AX284">
        <v>2</v>
      </c>
      <c r="AY284">
        <v>3.5</v>
      </c>
      <c r="AZ284">
        <v>4</v>
      </c>
      <c r="BA284">
        <v>4.0479999999999992</v>
      </c>
      <c r="BB284">
        <v>3</v>
      </c>
      <c r="BC284">
        <v>12.08</v>
      </c>
      <c r="BD284">
        <v>0.75999999999999979</v>
      </c>
      <c r="BE284">
        <v>3</v>
      </c>
      <c r="BF284">
        <v>3.5</v>
      </c>
      <c r="BG284">
        <v>4</v>
      </c>
      <c r="BH284">
        <v>-0.31600000000000039</v>
      </c>
      <c r="BI284">
        <v>3</v>
      </c>
      <c r="BJ284">
        <v>4.2399999999999993</v>
      </c>
      <c r="BK284">
        <v>0.40000000000000019</v>
      </c>
      <c r="BL284">
        <v>15</v>
      </c>
      <c r="BM284">
        <v>14.5</v>
      </c>
      <c r="BN284">
        <v>12</v>
      </c>
      <c r="BO284">
        <v>0.6399999999999999</v>
      </c>
      <c r="BP284">
        <v>17</v>
      </c>
      <c r="BQ284">
        <v>0.2</v>
      </c>
      <c r="BR284">
        <v>1.7599999999999998</v>
      </c>
      <c r="BS284">
        <v>29</v>
      </c>
      <c r="BT284">
        <v>25</v>
      </c>
      <c r="BU284">
        <v>26</v>
      </c>
      <c r="BV284">
        <v>-5.4039157212903775E-2</v>
      </c>
      <c r="BW284">
        <v>23</v>
      </c>
      <c r="BX284">
        <v>-3.1736584970451622E-3</v>
      </c>
      <c r="BY284">
        <v>25</v>
      </c>
      <c r="BZ284">
        <v>7.6240000000000023</v>
      </c>
      <c r="CA284">
        <v>26</v>
      </c>
      <c r="CB284">
        <v>-2.12</v>
      </c>
      <c r="CC284">
        <v>-5.44</v>
      </c>
      <c r="CD284">
        <v>3.0799999999999996</v>
      </c>
      <c r="CE284">
        <v>0.48000000000000009</v>
      </c>
      <c r="CF284">
        <v>-8.1199999999999939</v>
      </c>
      <c r="CG284">
        <v>-1.5200000000000102</v>
      </c>
      <c r="CH284">
        <v>-1.3999999999999986</v>
      </c>
      <c r="CI284">
        <v>1.6</v>
      </c>
      <c r="CJ284">
        <v>-6.8</v>
      </c>
      <c r="CK284">
        <v>12</v>
      </c>
      <c r="CL284">
        <v>3.9089999999999994</v>
      </c>
      <c r="CM284">
        <v>2.3664999999999994</v>
      </c>
      <c r="CN284">
        <v>-0.12000000000001165</v>
      </c>
      <c r="CO284">
        <v>-3.9089999999999989</v>
      </c>
      <c r="CP284">
        <v>0.20937499999999967</v>
      </c>
      <c r="CQ284">
        <v>3.6119999999999992</v>
      </c>
      <c r="CR284">
        <v>8.7100000000000026</v>
      </c>
      <c r="CS284">
        <v>-3.085</v>
      </c>
      <c r="CT284">
        <v>-1.2300000000000011</v>
      </c>
      <c r="CU284">
        <v>0.41000000000000048</v>
      </c>
      <c r="CV284">
        <v>-2.1900000000000004</v>
      </c>
      <c r="CW284">
        <v>-0.61262500000000009</v>
      </c>
      <c r="CX284">
        <v>-1.2677</v>
      </c>
      <c r="CY284" t="s">
        <v>310</v>
      </c>
      <c r="CZ284">
        <v>11</v>
      </c>
      <c r="DA284">
        <v>3.3236000000000003</v>
      </c>
      <c r="DB284">
        <v>7</v>
      </c>
      <c r="DC284">
        <v>10</v>
      </c>
      <c r="DD284">
        <v>13</v>
      </c>
      <c r="DE284">
        <v>-2.2400000000000007</v>
      </c>
      <c r="DF284">
        <v>7</v>
      </c>
      <c r="DG284">
        <v>-1.7999999999999985</v>
      </c>
      <c r="DH284">
        <v>-0.99999999999999978</v>
      </c>
      <c r="DI284">
        <v>23</v>
      </c>
      <c r="DJ284">
        <v>19.5</v>
      </c>
      <c r="DK284">
        <v>22</v>
      </c>
      <c r="DL284">
        <v>1.496</v>
      </c>
      <c r="DM284">
        <v>17</v>
      </c>
      <c r="DN284">
        <v>-9.6</v>
      </c>
      <c r="DO284">
        <v>1.3599999999999999</v>
      </c>
      <c r="DP284">
        <v>3</v>
      </c>
      <c r="DQ284">
        <v>1.5</v>
      </c>
      <c r="DR284">
        <v>2</v>
      </c>
      <c r="DS284">
        <v>3.2320000000000007</v>
      </c>
      <c r="DT284">
        <v>1</v>
      </c>
      <c r="DU284">
        <v>13.520000000000001</v>
      </c>
      <c r="DV284">
        <v>-0.48000000000000026</v>
      </c>
      <c r="DW284">
        <v>11</v>
      </c>
      <c r="DX284">
        <v>13</v>
      </c>
      <c r="DY284">
        <v>14</v>
      </c>
      <c r="DZ284">
        <v>-4.1560000000000006</v>
      </c>
      <c r="EA284">
        <v>12</v>
      </c>
      <c r="EB284">
        <v>-20.16</v>
      </c>
      <c r="EC284">
        <v>-1.8399999999999999</v>
      </c>
      <c r="ED284">
        <v>28</v>
      </c>
      <c r="EE284">
        <v>30</v>
      </c>
      <c r="EF284">
        <v>30</v>
      </c>
      <c r="EG284">
        <v>-0.85600000000000009</v>
      </c>
      <c r="EH284">
        <v>30</v>
      </c>
      <c r="EI284">
        <v>0.6</v>
      </c>
      <c r="EJ284">
        <v>0</v>
      </c>
      <c r="EK284">
        <v>6</v>
      </c>
      <c r="EL284">
        <v>5.5</v>
      </c>
      <c r="EM284">
        <v>6</v>
      </c>
      <c r="EN284">
        <v>-0.47200000000000009</v>
      </c>
      <c r="EO284">
        <v>5</v>
      </c>
      <c r="EP284">
        <v>2.4799999999999982</v>
      </c>
      <c r="EQ284">
        <v>0.96</v>
      </c>
      <c r="ER284">
        <v>6</v>
      </c>
      <c r="ES284">
        <v>8</v>
      </c>
      <c r="ET284">
        <v>7</v>
      </c>
      <c r="EU284">
        <v>-1.0200000000000007</v>
      </c>
      <c r="EV284">
        <v>9</v>
      </c>
      <c r="EW284">
        <v>-5.0800000000000027</v>
      </c>
      <c r="EX284">
        <v>0.24000000000000005</v>
      </c>
      <c r="EY284">
        <v>3</v>
      </c>
      <c r="EZ284">
        <v>3.5</v>
      </c>
      <c r="FA284">
        <v>6</v>
      </c>
      <c r="FB284">
        <v>0.55999999999999961</v>
      </c>
      <c r="FC284">
        <v>1</v>
      </c>
      <c r="FD284">
        <v>-0.24000000000000005</v>
      </c>
      <c r="FE284">
        <v>3.96</v>
      </c>
      <c r="FF284">
        <v>15</v>
      </c>
      <c r="FG284">
        <v>15.75</v>
      </c>
      <c r="FH284">
        <v>16</v>
      </c>
      <c r="FI284">
        <v>3.3596238614569021E-2</v>
      </c>
      <c r="FJ284">
        <v>21</v>
      </c>
      <c r="FK284">
        <v>-2.1773822270562012E-2</v>
      </c>
      <c r="FL284">
        <v>13</v>
      </c>
      <c r="FM284">
        <v>-2.5</v>
      </c>
      <c r="FN284">
        <v>13</v>
      </c>
      <c r="FO284">
        <v>-2.16</v>
      </c>
      <c r="FP284">
        <v>0.72000000000000031</v>
      </c>
      <c r="FQ284">
        <v>0.67999999999999972</v>
      </c>
      <c r="FR284">
        <v>2.2399999999999998</v>
      </c>
      <c r="FS284">
        <v>2.8</v>
      </c>
      <c r="FT284">
        <v>-3.9999999999999855E-2</v>
      </c>
      <c r="FU284">
        <v>-0.64</v>
      </c>
      <c r="FV284">
        <v>-0.2</v>
      </c>
      <c r="FW284">
        <v>10.95999999999999</v>
      </c>
      <c r="FX284">
        <v>-14.799999999999997</v>
      </c>
      <c r="FY284">
        <v>-2.08</v>
      </c>
      <c r="FZ284">
        <v>5.7200000000000006</v>
      </c>
      <c r="GA284">
        <v>6</v>
      </c>
      <c r="GB284">
        <v>4.0676000000000005</v>
      </c>
      <c r="GC284">
        <v>0.47672000000000025</v>
      </c>
      <c r="GD284">
        <v>25.759999999999987</v>
      </c>
      <c r="GE284">
        <v>-4.0676000000000005</v>
      </c>
      <c r="GF284">
        <v>4.2449999999999821E-2</v>
      </c>
      <c r="GG284">
        <v>-1.78</v>
      </c>
      <c r="GH284">
        <v>-6.0399999999999991</v>
      </c>
      <c r="GI284">
        <v>-0.74400000000000066</v>
      </c>
      <c r="GJ284">
        <v>-11.399999999999999</v>
      </c>
      <c r="GK284">
        <v>-2.08</v>
      </c>
      <c r="GL284">
        <v>0.3600000000000001</v>
      </c>
    </row>
    <row r="285" spans="1:194" x14ac:dyDescent="0.2">
      <c r="A285" s="39">
        <v>43779</v>
      </c>
      <c r="B285" s="22" t="s">
        <v>244</v>
      </c>
      <c r="C285" s="41" t="s">
        <v>303</v>
      </c>
      <c r="D285" s="22" t="s">
        <v>287</v>
      </c>
      <c r="E285">
        <v>5.5</v>
      </c>
      <c r="F285">
        <v>8.1999999999999993</v>
      </c>
      <c r="G285">
        <v>2</v>
      </c>
      <c r="H285">
        <v>7</v>
      </c>
      <c r="I285">
        <v>1</v>
      </c>
      <c r="J285">
        <v>49</v>
      </c>
      <c r="L285" s="1" t="s">
        <v>303</v>
      </c>
      <c r="M285">
        <v>22</v>
      </c>
      <c r="N285">
        <v>-2.0384000000000011</v>
      </c>
      <c r="O285">
        <v>7</v>
      </c>
      <c r="P285">
        <v>7.5</v>
      </c>
      <c r="Q285">
        <v>12</v>
      </c>
      <c r="R285">
        <v>3.2439999999999984</v>
      </c>
      <c r="S285">
        <v>3</v>
      </c>
      <c r="T285">
        <v>30.4</v>
      </c>
      <c r="U285">
        <v>-0.4</v>
      </c>
      <c r="V285">
        <v>22</v>
      </c>
      <c r="W285">
        <v>19.5</v>
      </c>
      <c r="X285">
        <v>17</v>
      </c>
      <c r="Y285">
        <v>-0.25600000000000006</v>
      </c>
      <c r="Z285">
        <v>22</v>
      </c>
      <c r="AA285">
        <v>-11.75</v>
      </c>
      <c r="AB285">
        <v>0.35</v>
      </c>
      <c r="AC285">
        <v>30</v>
      </c>
      <c r="AD285">
        <v>30.5</v>
      </c>
      <c r="AE285">
        <v>31</v>
      </c>
      <c r="AF285">
        <v>-6.3870000000000005</v>
      </c>
      <c r="AG285">
        <v>30</v>
      </c>
      <c r="AH285">
        <v>-24.32</v>
      </c>
      <c r="AI285">
        <v>-3.1799999999999997</v>
      </c>
      <c r="AJ285">
        <v>24</v>
      </c>
      <c r="AK285">
        <v>23</v>
      </c>
      <c r="AL285">
        <v>22</v>
      </c>
      <c r="AM285">
        <v>-1.990999999999999</v>
      </c>
      <c r="AN285">
        <v>24</v>
      </c>
      <c r="AO285">
        <v>-13.330000000000002</v>
      </c>
      <c r="AP285">
        <v>-1.4</v>
      </c>
      <c r="AQ285">
        <v>25</v>
      </c>
      <c r="AR285">
        <v>25</v>
      </c>
      <c r="AS285">
        <v>25</v>
      </c>
      <c r="AT285">
        <v>-1.22</v>
      </c>
      <c r="AU285">
        <v>25</v>
      </c>
      <c r="AV285">
        <v>-7.419999999999999</v>
      </c>
      <c r="AW285">
        <v>-0.11000000000000006</v>
      </c>
      <c r="AX285">
        <v>24</v>
      </c>
      <c r="AY285">
        <v>25</v>
      </c>
      <c r="AZ285">
        <v>27</v>
      </c>
      <c r="BA285">
        <v>-3.3280000000000003</v>
      </c>
      <c r="BB285">
        <v>23</v>
      </c>
      <c r="BC285">
        <v>-19.68</v>
      </c>
      <c r="BD285">
        <v>-1.48</v>
      </c>
      <c r="BE285">
        <v>5</v>
      </c>
      <c r="BF285">
        <v>6</v>
      </c>
      <c r="BG285">
        <v>6</v>
      </c>
      <c r="BH285">
        <v>6.4679999999999991</v>
      </c>
      <c r="BI285">
        <v>6</v>
      </c>
      <c r="BJ285">
        <v>17.559999999999995</v>
      </c>
      <c r="BK285">
        <v>1.6400000000000001</v>
      </c>
      <c r="BL285">
        <v>19</v>
      </c>
      <c r="BM285">
        <v>19.5</v>
      </c>
      <c r="BN285">
        <v>26</v>
      </c>
      <c r="BO285">
        <v>-0.3599999999999996</v>
      </c>
      <c r="BP285">
        <v>13</v>
      </c>
      <c r="BQ285">
        <v>-0.44000000000000006</v>
      </c>
      <c r="BR285">
        <v>0.64000000000000024</v>
      </c>
      <c r="BS285">
        <v>19</v>
      </c>
      <c r="BT285">
        <v>17.25</v>
      </c>
      <c r="BU285">
        <v>14</v>
      </c>
      <c r="BV285">
        <v>-5.3930569344292675E-2</v>
      </c>
      <c r="BW285">
        <v>21</v>
      </c>
      <c r="BX285">
        <v>-2.6245175946971566E-2</v>
      </c>
      <c r="BY285">
        <v>32</v>
      </c>
      <c r="BZ285">
        <v>18.78</v>
      </c>
      <c r="CA285">
        <v>2</v>
      </c>
      <c r="CB285">
        <v>-3.2</v>
      </c>
      <c r="CC285">
        <v>-1.3200000000000003</v>
      </c>
      <c r="CD285">
        <v>1.6000000000000008</v>
      </c>
      <c r="CE285">
        <v>0.95999999999999974</v>
      </c>
      <c r="CF285">
        <v>19.520000000000003</v>
      </c>
      <c r="CG285">
        <v>-2.1600000000000135</v>
      </c>
      <c r="CH285">
        <v>24.8</v>
      </c>
      <c r="CI285">
        <v>2.84</v>
      </c>
      <c r="CJ285">
        <v>-5.96</v>
      </c>
      <c r="CK285">
        <v>26</v>
      </c>
      <c r="CL285">
        <v>-5.0263999999999989</v>
      </c>
      <c r="CM285">
        <v>-2.5276799999999997</v>
      </c>
      <c r="CN285">
        <v>-26.960000000000015</v>
      </c>
      <c r="CO285">
        <v>5.0263999999999989</v>
      </c>
      <c r="CP285">
        <v>-0.31755000000000033</v>
      </c>
      <c r="CQ285">
        <v>-9.5980000000000008</v>
      </c>
      <c r="CR285">
        <v>-45.070000000000007</v>
      </c>
      <c r="CS285">
        <v>2.9879999999999982</v>
      </c>
      <c r="CT285">
        <v>18.649999999999999</v>
      </c>
      <c r="CU285">
        <v>-3.0500000000000003</v>
      </c>
      <c r="CV285">
        <v>-5.0000000000000044E-2</v>
      </c>
      <c r="CW285">
        <v>0.31630000000000014</v>
      </c>
      <c r="CX285">
        <v>1.3752000000000004</v>
      </c>
      <c r="CY285" t="s">
        <v>287</v>
      </c>
      <c r="CZ285">
        <v>26</v>
      </c>
      <c r="DA285">
        <v>-2.6624000000000003</v>
      </c>
      <c r="DB285">
        <v>7</v>
      </c>
      <c r="DC285">
        <v>10</v>
      </c>
      <c r="DD285">
        <v>11</v>
      </c>
      <c r="DE285">
        <v>4.048</v>
      </c>
      <c r="DF285">
        <v>9</v>
      </c>
      <c r="DG285">
        <v>19.919999999999998</v>
      </c>
      <c r="DH285">
        <v>0.39999999999999991</v>
      </c>
      <c r="DI285">
        <v>21</v>
      </c>
      <c r="DJ285">
        <v>18.5</v>
      </c>
      <c r="DK285">
        <v>9</v>
      </c>
      <c r="DL285">
        <v>-0.50640000000000052</v>
      </c>
      <c r="DM285">
        <v>28</v>
      </c>
      <c r="DN285">
        <v>8.48</v>
      </c>
      <c r="DO285">
        <v>-1.1199999999999999</v>
      </c>
      <c r="DP285">
        <v>28</v>
      </c>
      <c r="DQ285">
        <v>26.5</v>
      </c>
      <c r="DR285">
        <v>26</v>
      </c>
      <c r="DS285">
        <v>-3.2400000000000007</v>
      </c>
      <c r="DT285">
        <v>27</v>
      </c>
      <c r="DU285">
        <v>-21.4</v>
      </c>
      <c r="DV285">
        <v>-0.84000000000000019</v>
      </c>
      <c r="DW285">
        <v>21</v>
      </c>
      <c r="DX285">
        <v>22</v>
      </c>
      <c r="DY285">
        <v>22</v>
      </c>
      <c r="DZ285">
        <v>-1.9319999999999999</v>
      </c>
      <c r="EA285">
        <v>22</v>
      </c>
      <c r="EB285">
        <v>-3.28</v>
      </c>
      <c r="EC285">
        <v>-1.3599999999999999</v>
      </c>
      <c r="ED285">
        <v>18</v>
      </c>
      <c r="EE285">
        <v>20.5</v>
      </c>
      <c r="EF285">
        <v>23</v>
      </c>
      <c r="EG285">
        <v>0.15199999999999977</v>
      </c>
      <c r="EH285">
        <v>18</v>
      </c>
      <c r="EI285">
        <v>1.1999999999999993</v>
      </c>
      <c r="EJ285">
        <v>-0.20000000000000004</v>
      </c>
      <c r="EK285">
        <v>22</v>
      </c>
      <c r="EL285">
        <v>23</v>
      </c>
      <c r="EM285">
        <v>25</v>
      </c>
      <c r="EN285">
        <v>1.4439999999999997</v>
      </c>
      <c r="EO285">
        <v>21</v>
      </c>
      <c r="EP285">
        <v>12.839999999999998</v>
      </c>
      <c r="EQ285">
        <v>-1.44</v>
      </c>
      <c r="ER285">
        <v>30</v>
      </c>
      <c r="ES285">
        <v>27.5</v>
      </c>
      <c r="ET285">
        <v>28</v>
      </c>
      <c r="EU285">
        <v>-2.9999999999999991</v>
      </c>
      <c r="EV285">
        <v>27</v>
      </c>
      <c r="EW285">
        <v>-8.32</v>
      </c>
      <c r="EX285">
        <v>-1.56</v>
      </c>
      <c r="EY285">
        <v>3</v>
      </c>
      <c r="EZ285">
        <v>3.5</v>
      </c>
      <c r="FA285">
        <v>4</v>
      </c>
      <c r="FB285">
        <v>1.1999999999999997</v>
      </c>
      <c r="FC285">
        <v>3</v>
      </c>
      <c r="FD285">
        <v>0.55999999999999994</v>
      </c>
      <c r="FE285">
        <v>-1.1199999999999997</v>
      </c>
      <c r="FF285">
        <v>25</v>
      </c>
      <c r="FG285">
        <v>21.5</v>
      </c>
      <c r="FH285">
        <v>20</v>
      </c>
      <c r="FI285">
        <v>-1.5040928549718635E-2</v>
      </c>
      <c r="FJ285">
        <v>25</v>
      </c>
      <c r="FK285">
        <v>-1.4132125181737749E-2</v>
      </c>
      <c r="FL285">
        <v>18</v>
      </c>
      <c r="FM285">
        <v>-7.2759999999999989</v>
      </c>
      <c r="FN285">
        <v>23</v>
      </c>
      <c r="FO285">
        <v>-0.68000000000000027</v>
      </c>
      <c r="FP285">
        <v>-3.56</v>
      </c>
      <c r="FQ285">
        <v>4.5199999999999996</v>
      </c>
      <c r="FR285">
        <v>0.27999999999999997</v>
      </c>
      <c r="FS285">
        <v>0.72000000000000031</v>
      </c>
      <c r="FT285">
        <v>-2.2399999999999998</v>
      </c>
      <c r="FU285">
        <v>0.27999999999999997</v>
      </c>
      <c r="FV285">
        <v>10.880000000000006</v>
      </c>
      <c r="FW285">
        <v>-17.159999999999997</v>
      </c>
      <c r="FX285">
        <v>28.160000000000004</v>
      </c>
      <c r="FY285">
        <v>0.72</v>
      </c>
      <c r="FZ285">
        <v>-0.83999999999999986</v>
      </c>
      <c r="GA285">
        <v>27</v>
      </c>
      <c r="GB285">
        <v>-6.2039999999999997</v>
      </c>
      <c r="GC285">
        <v>-3.9072799999999992</v>
      </c>
      <c r="GD285">
        <v>-45.32</v>
      </c>
      <c r="GE285">
        <v>6.2039999999999997</v>
      </c>
      <c r="GF285">
        <v>-0.74260000000000015</v>
      </c>
      <c r="GG285">
        <v>-5.0200000000000005</v>
      </c>
      <c r="GH285">
        <v>-23.48</v>
      </c>
      <c r="GI285">
        <v>3.5415999999999994</v>
      </c>
      <c r="GJ285">
        <v>28.4</v>
      </c>
      <c r="GK285">
        <v>-3.9600000000000004</v>
      </c>
      <c r="GL285">
        <v>-0.72</v>
      </c>
    </row>
    <row r="286" spans="1:194" x14ac:dyDescent="0.2">
      <c r="A286" s="39">
        <v>43779</v>
      </c>
      <c r="B286" s="22" t="s">
        <v>244</v>
      </c>
      <c r="C286" s="41" t="s">
        <v>287</v>
      </c>
      <c r="D286" s="22" t="s">
        <v>303</v>
      </c>
      <c r="E286">
        <v>16.600000000000001</v>
      </c>
      <c r="F286">
        <v>7.5</v>
      </c>
      <c r="G286">
        <v>0</v>
      </c>
      <c r="H286">
        <v>13</v>
      </c>
      <c r="I286">
        <v>-1</v>
      </c>
      <c r="J286">
        <v>49</v>
      </c>
      <c r="L286" s="1" t="s">
        <v>287</v>
      </c>
      <c r="M286">
        <v>20</v>
      </c>
      <c r="N286">
        <v>-1.2671999999999992</v>
      </c>
      <c r="O286">
        <v>17</v>
      </c>
      <c r="P286">
        <v>17</v>
      </c>
      <c r="Q286">
        <v>17</v>
      </c>
      <c r="R286">
        <v>0.33999999999999808</v>
      </c>
      <c r="S286">
        <v>17</v>
      </c>
      <c r="T286">
        <v>-29.32</v>
      </c>
      <c r="U286">
        <v>2.0799999999999996</v>
      </c>
      <c r="V286">
        <v>3</v>
      </c>
      <c r="W286">
        <v>4.5</v>
      </c>
      <c r="X286">
        <v>1</v>
      </c>
      <c r="Y286">
        <v>6.5759999999999987</v>
      </c>
      <c r="Z286">
        <v>8</v>
      </c>
      <c r="AA286">
        <v>7.85</v>
      </c>
      <c r="AB286">
        <v>2.23</v>
      </c>
      <c r="AC286">
        <v>9</v>
      </c>
      <c r="AD286">
        <v>10</v>
      </c>
      <c r="AE286">
        <v>9</v>
      </c>
      <c r="AF286">
        <v>-6.3230000000000004</v>
      </c>
      <c r="AG286">
        <v>11</v>
      </c>
      <c r="AH286">
        <v>-31.079999999999995</v>
      </c>
      <c r="AI286">
        <v>-5.999999999999979E-2</v>
      </c>
      <c r="AJ286">
        <v>5</v>
      </c>
      <c r="AK286">
        <v>5.5</v>
      </c>
      <c r="AL286">
        <v>10</v>
      </c>
      <c r="AM286">
        <v>1.3730000000000004</v>
      </c>
      <c r="AN286">
        <v>1</v>
      </c>
      <c r="AO286">
        <v>21.11</v>
      </c>
      <c r="AP286">
        <v>0.91999999999999993</v>
      </c>
      <c r="AQ286">
        <v>28</v>
      </c>
      <c r="AR286">
        <v>28.5</v>
      </c>
      <c r="AS286">
        <v>30</v>
      </c>
      <c r="AT286">
        <v>-2.7600000000000002</v>
      </c>
      <c r="AU286">
        <v>27</v>
      </c>
      <c r="AV286">
        <v>-11.5</v>
      </c>
      <c r="AW286">
        <v>-1.9099999999999997</v>
      </c>
      <c r="AX286">
        <v>10</v>
      </c>
      <c r="AY286">
        <v>11</v>
      </c>
      <c r="AZ286">
        <v>11</v>
      </c>
      <c r="BA286">
        <v>1.4159999999999997</v>
      </c>
      <c r="BB286">
        <v>11</v>
      </c>
      <c r="BC286">
        <v>17.359999999999996</v>
      </c>
      <c r="BD286">
        <v>0.83999999999999986</v>
      </c>
      <c r="BE286">
        <v>26</v>
      </c>
      <c r="BF286">
        <v>26.5</v>
      </c>
      <c r="BG286">
        <v>27</v>
      </c>
      <c r="BH286">
        <v>1.1199999999999986</v>
      </c>
      <c r="BI286">
        <v>26</v>
      </c>
      <c r="BJ286">
        <v>9.1999999999999993</v>
      </c>
      <c r="BK286">
        <v>-0.67999999999999972</v>
      </c>
      <c r="BL286">
        <v>4</v>
      </c>
      <c r="BM286">
        <v>7</v>
      </c>
      <c r="BN286">
        <v>11</v>
      </c>
      <c r="BO286">
        <v>0.16000000000000031</v>
      </c>
      <c r="BP286">
        <v>3</v>
      </c>
      <c r="BQ286">
        <v>0.32</v>
      </c>
      <c r="BR286">
        <v>-0.68000000000000027</v>
      </c>
      <c r="BS286">
        <v>10</v>
      </c>
      <c r="BT286">
        <v>12.75</v>
      </c>
      <c r="BU286">
        <v>24</v>
      </c>
      <c r="BV286">
        <v>1.093744639398409E-2</v>
      </c>
      <c r="BW286">
        <v>12</v>
      </c>
      <c r="BX286">
        <v>-3.1902072279750011E-2</v>
      </c>
      <c r="BY286">
        <v>7</v>
      </c>
      <c r="BZ286">
        <v>-3.9999999999992038E-3</v>
      </c>
      <c r="CA286">
        <v>8</v>
      </c>
      <c r="CB286">
        <v>-1.1199999999999997</v>
      </c>
      <c r="CC286">
        <v>-6.08</v>
      </c>
      <c r="CD286">
        <v>-1.92</v>
      </c>
      <c r="CE286">
        <v>0.32</v>
      </c>
      <c r="CF286">
        <v>-20.6</v>
      </c>
      <c r="CG286">
        <v>18.119999999999997</v>
      </c>
      <c r="CH286">
        <v>-23.04</v>
      </c>
      <c r="CI286">
        <v>-1.6800000000000002</v>
      </c>
      <c r="CJ286">
        <v>-14</v>
      </c>
      <c r="CK286">
        <v>30</v>
      </c>
      <c r="CL286">
        <v>-8.1831999999999958</v>
      </c>
      <c r="CM286">
        <v>-5.0294399999999992</v>
      </c>
      <c r="CN286">
        <v>41.16</v>
      </c>
      <c r="CO286">
        <v>8.1831999999999958</v>
      </c>
      <c r="CP286">
        <v>-9.7650000000000403E-2</v>
      </c>
      <c r="CQ286">
        <v>-7.7100000000000009</v>
      </c>
      <c r="CR286">
        <v>-21.469999999999995</v>
      </c>
      <c r="CS286">
        <v>6.9159999999999968</v>
      </c>
      <c r="CT286">
        <v>-21.47</v>
      </c>
      <c r="CU286">
        <v>-1.7299999999999993</v>
      </c>
      <c r="CV286">
        <v>4.3099999999999996</v>
      </c>
      <c r="CW286">
        <v>0.31630000000000014</v>
      </c>
      <c r="CX286">
        <v>-0.74260000000000015</v>
      </c>
      <c r="CY286" t="s">
        <v>303</v>
      </c>
      <c r="CZ286">
        <v>13</v>
      </c>
      <c r="DA286">
        <v>5.5055999999999994</v>
      </c>
      <c r="DB286">
        <v>13</v>
      </c>
      <c r="DC286">
        <v>12</v>
      </c>
      <c r="DD286">
        <v>10</v>
      </c>
      <c r="DE286">
        <v>-2.1360000000000001</v>
      </c>
      <c r="DF286">
        <v>14</v>
      </c>
      <c r="DG286">
        <v>4.4000000000000004</v>
      </c>
      <c r="DH286">
        <v>-1.9599999999999997</v>
      </c>
      <c r="DI286">
        <v>6</v>
      </c>
      <c r="DJ286">
        <v>8.5</v>
      </c>
      <c r="DK286">
        <v>6</v>
      </c>
      <c r="DL286">
        <v>1.6600000000000006</v>
      </c>
      <c r="DM286">
        <v>11</v>
      </c>
      <c r="DN286">
        <v>-9.8000000000000007</v>
      </c>
      <c r="DO286">
        <v>0.4</v>
      </c>
      <c r="DP286">
        <v>18</v>
      </c>
      <c r="DQ286">
        <v>25</v>
      </c>
      <c r="DR286">
        <v>25</v>
      </c>
      <c r="DS286">
        <v>9.360000000000003</v>
      </c>
      <c r="DT286">
        <v>25</v>
      </c>
      <c r="DU286">
        <v>40.119999999999997</v>
      </c>
      <c r="DV286">
        <v>0.88000000000000012</v>
      </c>
      <c r="DW286">
        <v>9</v>
      </c>
      <c r="DX286">
        <v>10</v>
      </c>
      <c r="DY286">
        <v>11</v>
      </c>
      <c r="DZ286">
        <v>-2.5160000000000005</v>
      </c>
      <c r="EA286">
        <v>9</v>
      </c>
      <c r="EB286">
        <v>-9.9599999999999973</v>
      </c>
      <c r="EC286">
        <v>-0.83999999999999986</v>
      </c>
      <c r="ED286">
        <v>25</v>
      </c>
      <c r="EE286">
        <v>32</v>
      </c>
      <c r="EF286">
        <v>32</v>
      </c>
      <c r="EG286">
        <v>-1.988</v>
      </c>
      <c r="EH286">
        <v>32</v>
      </c>
      <c r="EI286">
        <v>-6.28</v>
      </c>
      <c r="EJ286">
        <v>0.36000000000000004</v>
      </c>
      <c r="EK286">
        <v>31</v>
      </c>
      <c r="EL286">
        <v>31</v>
      </c>
      <c r="EM286">
        <v>31</v>
      </c>
      <c r="EN286">
        <v>-1.1240000000000017</v>
      </c>
      <c r="EO286">
        <v>31</v>
      </c>
      <c r="EP286">
        <v>-12.84</v>
      </c>
      <c r="EQ286">
        <v>-1.0400000000000003</v>
      </c>
      <c r="ER286">
        <v>22</v>
      </c>
      <c r="ES286">
        <v>23.5</v>
      </c>
      <c r="ET286">
        <v>26</v>
      </c>
      <c r="EU286">
        <v>3.3559999999999994</v>
      </c>
      <c r="EV286">
        <v>21</v>
      </c>
      <c r="EW286">
        <v>3.1999999999999993</v>
      </c>
      <c r="EX286">
        <v>1.72</v>
      </c>
      <c r="EY286">
        <v>27</v>
      </c>
      <c r="EZ286">
        <v>25.5</v>
      </c>
      <c r="FA286">
        <v>22</v>
      </c>
      <c r="FB286">
        <v>-2.2400000000000002</v>
      </c>
      <c r="FC286">
        <v>29</v>
      </c>
      <c r="FD286">
        <v>-1.2</v>
      </c>
      <c r="FE286">
        <v>-3.2</v>
      </c>
      <c r="FF286">
        <v>10</v>
      </c>
      <c r="FG286">
        <v>13.25</v>
      </c>
      <c r="FH286">
        <v>12</v>
      </c>
      <c r="FI286">
        <v>2.8620976853145862E-2</v>
      </c>
      <c r="FJ286">
        <v>11</v>
      </c>
      <c r="FK286">
        <v>1.8972995743218618E-2</v>
      </c>
      <c r="FL286">
        <v>12</v>
      </c>
      <c r="FM286">
        <v>-1.7839999999999976</v>
      </c>
      <c r="FN286">
        <v>18</v>
      </c>
      <c r="FO286">
        <v>0.64000000000000024</v>
      </c>
      <c r="FP286">
        <v>-1.3600000000000008</v>
      </c>
      <c r="FQ286">
        <v>-0.28000000000000042</v>
      </c>
      <c r="FR286">
        <v>0.56000000000000005</v>
      </c>
      <c r="FS286">
        <v>-0.15999999999999942</v>
      </c>
      <c r="FT286">
        <v>4.3599999999999994</v>
      </c>
      <c r="FU286">
        <v>-1.1199999999999999</v>
      </c>
      <c r="FV286">
        <v>32.760000000000005</v>
      </c>
      <c r="FW286">
        <v>32.64</v>
      </c>
      <c r="FX286">
        <v>-3.7199999999999989</v>
      </c>
      <c r="FY286">
        <v>4.5200000000000005</v>
      </c>
      <c r="FZ286">
        <v>-0.67999999999999938</v>
      </c>
      <c r="GA286">
        <v>4</v>
      </c>
      <c r="GB286">
        <v>5.9815999999999985</v>
      </c>
      <c r="GC286">
        <v>2.9815200000000006</v>
      </c>
      <c r="GD286">
        <v>36.36</v>
      </c>
      <c r="GE286">
        <v>-5.9815999999999985</v>
      </c>
      <c r="GF286">
        <v>1.3752000000000004</v>
      </c>
      <c r="GG286">
        <v>4.8560000000000034</v>
      </c>
      <c r="GH286">
        <v>23.88</v>
      </c>
      <c r="GI286">
        <v>-0.47599999999999953</v>
      </c>
      <c r="GJ286">
        <v>-5.4</v>
      </c>
      <c r="GK286">
        <v>2.12</v>
      </c>
      <c r="GL286">
        <v>-1.5599999999999996</v>
      </c>
    </row>
    <row r="287" spans="1:194" x14ac:dyDescent="0.2">
      <c r="A287" s="39">
        <v>43779</v>
      </c>
      <c r="B287" s="22" t="s">
        <v>244</v>
      </c>
      <c r="C287" s="41" t="s">
        <v>304</v>
      </c>
      <c r="D287" s="22" t="s">
        <v>309</v>
      </c>
      <c r="E287" s="14">
        <v>0</v>
      </c>
      <c r="F287">
        <v>16.5</v>
      </c>
      <c r="G287">
        <v>7.9</v>
      </c>
      <c r="H287">
        <f>14.8+5.2+1.9</f>
        <v>21.9</v>
      </c>
      <c r="I287">
        <v>-4</v>
      </c>
      <c r="J287">
        <v>43</v>
      </c>
      <c r="K287" t="s">
        <v>110</v>
      </c>
      <c r="L287" s="1" t="s">
        <v>304</v>
      </c>
      <c r="M287">
        <v>27</v>
      </c>
      <c r="N287">
        <v>-4.3488000000000016</v>
      </c>
      <c r="O287">
        <v>12</v>
      </c>
      <c r="P287">
        <v>14.5</v>
      </c>
      <c r="Q287">
        <v>15</v>
      </c>
      <c r="R287">
        <v>-4.6320000000000006</v>
      </c>
      <c r="S287">
        <v>14</v>
      </c>
      <c r="T287">
        <v>-15.080000000000002</v>
      </c>
      <c r="U287">
        <v>-1.1200000000000003</v>
      </c>
      <c r="V287">
        <v>21</v>
      </c>
      <c r="W287">
        <v>19</v>
      </c>
      <c r="X287">
        <v>21</v>
      </c>
      <c r="Y287">
        <v>-0.74400000000000044</v>
      </c>
      <c r="Z287">
        <v>17</v>
      </c>
      <c r="AA287">
        <v>4.1599999999999993</v>
      </c>
      <c r="AB287">
        <v>-0.12000000000000002</v>
      </c>
      <c r="AC287">
        <v>12</v>
      </c>
      <c r="AD287">
        <v>13</v>
      </c>
      <c r="AE287">
        <v>13</v>
      </c>
      <c r="AF287">
        <v>2.1599999999999993</v>
      </c>
      <c r="AG287">
        <v>13</v>
      </c>
      <c r="AH287">
        <v>9.879999999999999</v>
      </c>
      <c r="AI287">
        <v>2.04</v>
      </c>
      <c r="AJ287">
        <v>4</v>
      </c>
      <c r="AK287">
        <v>4.5</v>
      </c>
      <c r="AL287">
        <v>7</v>
      </c>
      <c r="AM287">
        <v>0.1439999999999996</v>
      </c>
      <c r="AN287">
        <v>2</v>
      </c>
      <c r="AO287">
        <v>3.6000000000000005</v>
      </c>
      <c r="AP287">
        <v>0.6</v>
      </c>
      <c r="AQ287">
        <v>8</v>
      </c>
      <c r="AR287">
        <v>8.5</v>
      </c>
      <c r="AS287">
        <v>8</v>
      </c>
      <c r="AT287">
        <v>2.7680000000000007</v>
      </c>
      <c r="AU287">
        <v>9</v>
      </c>
      <c r="AV287">
        <v>14.040000000000001</v>
      </c>
      <c r="AW287">
        <v>1.6799999999999997</v>
      </c>
      <c r="AX287">
        <v>5</v>
      </c>
      <c r="AY287">
        <v>5</v>
      </c>
      <c r="AZ287">
        <v>8</v>
      </c>
      <c r="BA287">
        <v>-0.82400000000000007</v>
      </c>
      <c r="BB287">
        <v>2</v>
      </c>
      <c r="BC287">
        <v>6.1599999999999984</v>
      </c>
      <c r="BD287">
        <v>-0.4</v>
      </c>
      <c r="BE287">
        <v>12</v>
      </c>
      <c r="BF287">
        <v>12.5</v>
      </c>
      <c r="BG287">
        <v>14</v>
      </c>
      <c r="BH287">
        <v>2.3240000000000003</v>
      </c>
      <c r="BI287">
        <v>11</v>
      </c>
      <c r="BJ287">
        <v>20.04</v>
      </c>
      <c r="BK287">
        <v>3.2399999999999998</v>
      </c>
      <c r="BL287">
        <v>16</v>
      </c>
      <c r="BM287">
        <v>15.5</v>
      </c>
      <c r="BN287">
        <v>18</v>
      </c>
      <c r="BO287">
        <v>-0.8</v>
      </c>
      <c r="BP287">
        <v>13</v>
      </c>
      <c r="BQ287">
        <v>0</v>
      </c>
      <c r="BR287">
        <v>3.5599999999999996</v>
      </c>
      <c r="BS287">
        <v>23</v>
      </c>
      <c r="BT287">
        <v>20.5</v>
      </c>
      <c r="BU287">
        <v>32</v>
      </c>
      <c r="BV287">
        <v>1.6062355010023333E-2</v>
      </c>
      <c r="BW287">
        <v>29</v>
      </c>
      <c r="BX287">
        <v>-1.8271563851232735E-2</v>
      </c>
      <c r="BY287">
        <v>8</v>
      </c>
      <c r="BZ287">
        <v>-16.255999999999997</v>
      </c>
      <c r="CA287">
        <v>13</v>
      </c>
      <c r="CB287">
        <v>-0.72</v>
      </c>
      <c r="CC287">
        <v>0.16000000000000086</v>
      </c>
      <c r="CD287">
        <v>-3.4799999999999995</v>
      </c>
      <c r="CE287">
        <v>0.44000000000000006</v>
      </c>
      <c r="CF287">
        <v>-22.04000000000001</v>
      </c>
      <c r="CG287">
        <v>15.680000000000007</v>
      </c>
      <c r="CH287">
        <v>-13.040000000000001</v>
      </c>
      <c r="CI287">
        <v>6.6800000000000015</v>
      </c>
      <c r="CJ287">
        <v>-31.360000000000003</v>
      </c>
      <c r="CK287">
        <v>16</v>
      </c>
      <c r="CL287">
        <v>1.0271999999999994</v>
      </c>
      <c r="CM287">
        <v>3.2974400000000004</v>
      </c>
      <c r="CN287">
        <v>28.720000000000006</v>
      </c>
      <c r="CO287">
        <v>-1.0271999999999997</v>
      </c>
      <c r="CP287">
        <v>-0.39110000000000034</v>
      </c>
      <c r="CQ287">
        <v>5.0719999999999992</v>
      </c>
      <c r="CR287">
        <v>27.520000000000003</v>
      </c>
      <c r="CS287">
        <v>-5.3760000000000012</v>
      </c>
      <c r="CT287">
        <v>-10.920000000000002</v>
      </c>
      <c r="CU287">
        <v>7.5600000000000005</v>
      </c>
      <c r="CV287">
        <v>-1.2400000000000004</v>
      </c>
      <c r="CW287">
        <v>-1.1518999999999997</v>
      </c>
      <c r="CX287">
        <v>-1.3088499999999992</v>
      </c>
      <c r="CY287" t="s">
        <v>309</v>
      </c>
      <c r="CZ287">
        <v>31</v>
      </c>
      <c r="DA287">
        <v>-3.1476000000000011</v>
      </c>
      <c r="DB287">
        <v>22</v>
      </c>
      <c r="DC287">
        <v>21.5</v>
      </c>
      <c r="DD287">
        <v>32</v>
      </c>
      <c r="DE287">
        <v>-3.2679999999999993</v>
      </c>
      <c r="DF287">
        <v>11</v>
      </c>
      <c r="DG287">
        <v>0.15999999999999942</v>
      </c>
      <c r="DH287">
        <v>-0.20000000000000012</v>
      </c>
      <c r="DI287">
        <v>16</v>
      </c>
      <c r="DJ287">
        <v>16.5</v>
      </c>
      <c r="DK287">
        <v>12</v>
      </c>
      <c r="DL287">
        <v>-3.0479999999999996</v>
      </c>
      <c r="DM287">
        <v>21</v>
      </c>
      <c r="DN287">
        <v>-11.28</v>
      </c>
      <c r="DO287">
        <v>-0.72000000000000008</v>
      </c>
      <c r="DP287">
        <v>26</v>
      </c>
      <c r="DQ287">
        <v>29.5</v>
      </c>
      <c r="DR287">
        <v>28</v>
      </c>
      <c r="DS287">
        <v>-3.6146666666666674</v>
      </c>
      <c r="DT287">
        <v>31</v>
      </c>
      <c r="DU287">
        <v>-22.28</v>
      </c>
      <c r="DV287">
        <v>-1.5466666666666666</v>
      </c>
      <c r="DW287">
        <v>29</v>
      </c>
      <c r="DX287">
        <v>29.5</v>
      </c>
      <c r="DY287">
        <v>31</v>
      </c>
      <c r="DZ287">
        <v>2.2626666666666666</v>
      </c>
      <c r="EA287">
        <v>28</v>
      </c>
      <c r="EB287">
        <v>18.12</v>
      </c>
      <c r="EC287">
        <v>2.1733333333333329</v>
      </c>
      <c r="ED287">
        <v>5</v>
      </c>
      <c r="EE287">
        <v>25</v>
      </c>
      <c r="EF287">
        <v>27</v>
      </c>
      <c r="EG287">
        <v>2.1959999999999997</v>
      </c>
      <c r="EH287">
        <v>23</v>
      </c>
      <c r="EI287">
        <v>5.9599999999999991</v>
      </c>
      <c r="EJ287">
        <v>0.19999999999999996</v>
      </c>
      <c r="EK287">
        <v>27</v>
      </c>
      <c r="EL287">
        <v>27</v>
      </c>
      <c r="EM287">
        <v>30</v>
      </c>
      <c r="EN287">
        <v>4.0919999999999979</v>
      </c>
      <c r="EO287">
        <v>24</v>
      </c>
      <c r="EP287">
        <v>-8.6799999999999979</v>
      </c>
      <c r="EQ287">
        <v>0.7999999999999996</v>
      </c>
      <c r="ER287">
        <v>24</v>
      </c>
      <c r="ES287">
        <v>24</v>
      </c>
      <c r="ET287">
        <v>24</v>
      </c>
      <c r="EU287">
        <v>2.7</v>
      </c>
      <c r="EV287">
        <v>24</v>
      </c>
      <c r="EW287">
        <v>-3.8000000000000029</v>
      </c>
      <c r="EX287">
        <v>1.1200000000000003</v>
      </c>
      <c r="EY287">
        <v>30</v>
      </c>
      <c r="EZ287">
        <v>27.5</v>
      </c>
      <c r="FA287">
        <v>31</v>
      </c>
      <c r="FB287">
        <v>-2.04</v>
      </c>
      <c r="FC287">
        <v>24</v>
      </c>
      <c r="FD287">
        <v>-0.15999999999999998</v>
      </c>
      <c r="FE287">
        <v>-1.28</v>
      </c>
      <c r="FF287">
        <v>1</v>
      </c>
      <c r="FG287">
        <v>5.25</v>
      </c>
      <c r="FH287">
        <v>2</v>
      </c>
      <c r="FI287">
        <v>7.8838823260693039E-2</v>
      </c>
      <c r="FJ287">
        <v>1</v>
      </c>
      <c r="FK287">
        <v>4.1244940367669729E-2</v>
      </c>
      <c r="FL287">
        <v>16</v>
      </c>
      <c r="FM287">
        <v>-3.1679999999999966</v>
      </c>
      <c r="FN287">
        <v>2</v>
      </c>
      <c r="FO287">
        <v>8.9999999999999982</v>
      </c>
      <c r="FP287">
        <v>2.04</v>
      </c>
      <c r="FQ287">
        <v>-2.3599999999999994</v>
      </c>
      <c r="FR287">
        <v>-4.0000000000000126E-2</v>
      </c>
      <c r="FS287">
        <v>1.4</v>
      </c>
      <c r="FT287">
        <v>-3.44</v>
      </c>
      <c r="FU287">
        <v>-0.36000000000000015</v>
      </c>
      <c r="FV287">
        <v>-25.360000000000003</v>
      </c>
      <c r="FW287">
        <v>-8.3199999999999932</v>
      </c>
      <c r="FX287">
        <v>-13.719999999999999</v>
      </c>
      <c r="FY287">
        <v>0.95999999999999974</v>
      </c>
      <c r="FZ287">
        <v>-4.2799999999999994</v>
      </c>
      <c r="GA287">
        <v>7</v>
      </c>
      <c r="GB287">
        <v>3.1683999999999979</v>
      </c>
      <c r="GC287">
        <v>3.2372799999999988</v>
      </c>
      <c r="GD287">
        <v>5.4000000000000057</v>
      </c>
      <c r="GE287">
        <v>-3.1683999999999979</v>
      </c>
      <c r="GF287">
        <v>-0.99495000000000022</v>
      </c>
      <c r="GG287">
        <v>0.84399999999999897</v>
      </c>
      <c r="GH287">
        <v>1.7999999999999989</v>
      </c>
      <c r="GI287">
        <v>-6.3159999999999989</v>
      </c>
      <c r="GJ287">
        <v>-11.12</v>
      </c>
      <c r="GK287">
        <v>1.9466666666666665</v>
      </c>
      <c r="GL287">
        <v>-0.92000000000000015</v>
      </c>
    </row>
    <row r="288" spans="1:194" x14ac:dyDescent="0.2">
      <c r="A288" s="39">
        <v>43779</v>
      </c>
      <c r="B288" s="22" t="s">
        <v>244</v>
      </c>
      <c r="C288" s="41" t="s">
        <v>293</v>
      </c>
      <c r="D288" s="22" t="s">
        <v>289</v>
      </c>
      <c r="E288">
        <v>11.9</v>
      </c>
      <c r="F288">
        <v>5.2</v>
      </c>
      <c r="G288">
        <v>3.5</v>
      </c>
      <c r="H288">
        <f>4.8+1.8</f>
        <v>6.6</v>
      </c>
      <c r="I288">
        <v>11</v>
      </c>
      <c r="J288">
        <v>44.5</v>
      </c>
      <c r="K288" t="s">
        <v>110</v>
      </c>
      <c r="L288" s="1" t="s">
        <v>293</v>
      </c>
      <c r="M288">
        <v>14</v>
      </c>
      <c r="N288">
        <v>0.5991999999999994</v>
      </c>
      <c r="O288">
        <v>31</v>
      </c>
      <c r="P288">
        <v>29</v>
      </c>
      <c r="Q288">
        <v>27</v>
      </c>
      <c r="R288">
        <v>-5.0439999999999996</v>
      </c>
      <c r="S288">
        <v>31</v>
      </c>
      <c r="T288">
        <v>-25.879999999999995</v>
      </c>
      <c r="U288">
        <v>1.3599999999999999</v>
      </c>
      <c r="V288">
        <v>26</v>
      </c>
      <c r="W288">
        <v>24.5</v>
      </c>
      <c r="X288">
        <v>23</v>
      </c>
      <c r="Y288">
        <v>-1.736</v>
      </c>
      <c r="Z288">
        <v>26</v>
      </c>
      <c r="AA288">
        <v>3.44</v>
      </c>
      <c r="AB288">
        <v>-0.36000000000000004</v>
      </c>
      <c r="AC288">
        <v>1</v>
      </c>
      <c r="AD288">
        <v>1.5</v>
      </c>
      <c r="AE288">
        <v>2</v>
      </c>
      <c r="AF288">
        <v>-0.72400000000000053</v>
      </c>
      <c r="AG288">
        <v>1</v>
      </c>
      <c r="AH288">
        <v>-4.1599999999999993</v>
      </c>
      <c r="AI288">
        <v>0.84000000000000041</v>
      </c>
      <c r="AJ288">
        <v>18</v>
      </c>
      <c r="AK288">
        <v>18.5</v>
      </c>
      <c r="AL288">
        <v>18</v>
      </c>
      <c r="AM288">
        <v>-0.1279999999999987</v>
      </c>
      <c r="AN288">
        <v>19</v>
      </c>
      <c r="AO288">
        <v>-8.120000000000001</v>
      </c>
      <c r="AP288">
        <v>0.40000000000000008</v>
      </c>
      <c r="AQ288">
        <v>5</v>
      </c>
      <c r="AR288">
        <v>5.5</v>
      </c>
      <c r="AS288">
        <v>4</v>
      </c>
      <c r="AT288">
        <v>0.94799999999999984</v>
      </c>
      <c r="AU288">
        <v>7</v>
      </c>
      <c r="AV288">
        <v>3.080000000000001</v>
      </c>
      <c r="AW288">
        <v>0.6399999999999999</v>
      </c>
      <c r="AX288">
        <v>1</v>
      </c>
      <c r="AY288">
        <v>1</v>
      </c>
      <c r="AZ288">
        <v>1</v>
      </c>
      <c r="BA288">
        <v>0.69200000000000128</v>
      </c>
      <c r="BB288">
        <v>1</v>
      </c>
      <c r="BC288">
        <v>10.52</v>
      </c>
      <c r="BD288">
        <v>1.5999999999999999</v>
      </c>
      <c r="BE288">
        <v>10</v>
      </c>
      <c r="BF288">
        <v>11</v>
      </c>
      <c r="BG288">
        <v>12</v>
      </c>
      <c r="BH288">
        <v>-2.6120000000000005</v>
      </c>
      <c r="BI288">
        <v>10</v>
      </c>
      <c r="BJ288">
        <v>-1.4</v>
      </c>
      <c r="BK288">
        <v>-1.2</v>
      </c>
      <c r="BL288">
        <v>13</v>
      </c>
      <c r="BM288">
        <v>12</v>
      </c>
      <c r="BN288">
        <v>3</v>
      </c>
      <c r="BO288">
        <v>-2.2800000000000002</v>
      </c>
      <c r="BP288">
        <v>21</v>
      </c>
      <c r="BQ288">
        <v>-1.0399999999999998</v>
      </c>
      <c r="BR288">
        <v>-3.3200000000000003</v>
      </c>
      <c r="BS288">
        <v>16</v>
      </c>
      <c r="BT288">
        <v>14.5</v>
      </c>
      <c r="BU288">
        <v>12</v>
      </c>
      <c r="BV288">
        <v>3.4493755995173847E-3</v>
      </c>
      <c r="BW288">
        <v>10</v>
      </c>
      <c r="BX288">
        <v>-6.3704847837137927E-3</v>
      </c>
      <c r="BY288">
        <v>14</v>
      </c>
      <c r="BZ288">
        <v>2.2919999999999989</v>
      </c>
      <c r="CA288">
        <v>22</v>
      </c>
      <c r="CB288">
        <v>0.76000000000000012</v>
      </c>
      <c r="CC288">
        <v>-0.95999999999999797</v>
      </c>
      <c r="CD288">
        <v>-1.2799999999999998</v>
      </c>
      <c r="CE288">
        <v>-0.48000000000000009</v>
      </c>
      <c r="CF288">
        <v>-35.679999999999993</v>
      </c>
      <c r="CG288">
        <v>-6.199999999999994</v>
      </c>
      <c r="CH288">
        <v>-25.24</v>
      </c>
      <c r="CI288">
        <v>-2.3600000000000003</v>
      </c>
      <c r="CJ288">
        <v>-1.8800000000000003</v>
      </c>
      <c r="CK288">
        <v>6</v>
      </c>
      <c r="CL288">
        <v>7.3791999999999991</v>
      </c>
      <c r="CM288">
        <v>3.0066399999999995</v>
      </c>
      <c r="CN288">
        <v>19.040000000000006</v>
      </c>
      <c r="CO288">
        <v>-7.3791999999999991</v>
      </c>
      <c r="CP288">
        <v>-1.3721000000000001</v>
      </c>
      <c r="CQ288">
        <v>9.600000000000064E-2</v>
      </c>
      <c r="CR288">
        <v>-9.1999999999999993</v>
      </c>
      <c r="CS288">
        <v>-6.7799999999999994</v>
      </c>
      <c r="CT288">
        <v>-22.439999999999994</v>
      </c>
      <c r="CU288">
        <v>0.68000000000000038</v>
      </c>
      <c r="CV288">
        <v>0.99999999999999978</v>
      </c>
      <c r="CW288">
        <v>0.24352499999999999</v>
      </c>
      <c r="CX288">
        <v>1.4442999999999999</v>
      </c>
      <c r="CY288" t="s">
        <v>289</v>
      </c>
      <c r="CZ288">
        <v>25</v>
      </c>
      <c r="DA288">
        <v>-2.3596000000000004</v>
      </c>
      <c r="DB288">
        <v>20</v>
      </c>
      <c r="DC288">
        <v>21</v>
      </c>
      <c r="DD288">
        <v>17</v>
      </c>
      <c r="DE288">
        <v>-3.2359999999999993</v>
      </c>
      <c r="DF288">
        <v>25</v>
      </c>
      <c r="DG288">
        <v>-27.24</v>
      </c>
      <c r="DH288">
        <v>1.72</v>
      </c>
      <c r="DI288">
        <v>16</v>
      </c>
      <c r="DJ288">
        <v>16.5</v>
      </c>
      <c r="DK288">
        <v>26</v>
      </c>
      <c r="DL288">
        <v>-0.68240000000000023</v>
      </c>
      <c r="DM288">
        <v>7</v>
      </c>
      <c r="DN288">
        <v>2.1599999999999993</v>
      </c>
      <c r="DO288">
        <v>-1.1600000000000001</v>
      </c>
      <c r="DP288">
        <v>24</v>
      </c>
      <c r="DQ288">
        <v>20</v>
      </c>
      <c r="DR288">
        <v>21</v>
      </c>
      <c r="DS288">
        <v>-0.22399999999999914</v>
      </c>
      <c r="DT288">
        <v>19</v>
      </c>
      <c r="DU288">
        <v>9.56</v>
      </c>
      <c r="DV288">
        <v>4.0000000000000216E-2</v>
      </c>
      <c r="DW288">
        <v>5</v>
      </c>
      <c r="DX288">
        <v>5.5</v>
      </c>
      <c r="DY288">
        <v>7</v>
      </c>
      <c r="DZ288">
        <v>-2.6760000000000002</v>
      </c>
      <c r="EA288">
        <v>4</v>
      </c>
      <c r="EB288">
        <v>0.84000000000000052</v>
      </c>
      <c r="EC288">
        <v>-1.6</v>
      </c>
      <c r="ED288">
        <v>29</v>
      </c>
      <c r="EE288">
        <v>26</v>
      </c>
      <c r="EF288">
        <v>24</v>
      </c>
      <c r="EG288">
        <v>0.45200000000000012</v>
      </c>
      <c r="EH288">
        <v>28</v>
      </c>
      <c r="EI288">
        <v>-0.71999999999999886</v>
      </c>
      <c r="EJ288">
        <v>-8.8817841970012528E-17</v>
      </c>
      <c r="EK288">
        <v>17</v>
      </c>
      <c r="EL288">
        <v>16.5</v>
      </c>
      <c r="EM288">
        <v>15</v>
      </c>
      <c r="EN288">
        <v>-1.3759999999999983</v>
      </c>
      <c r="EO288">
        <v>18</v>
      </c>
      <c r="EP288">
        <v>-4.5600000000000023</v>
      </c>
      <c r="EQ288">
        <v>0.27999999999999992</v>
      </c>
      <c r="ER288">
        <v>27</v>
      </c>
      <c r="ES288">
        <v>26</v>
      </c>
      <c r="ET288">
        <v>27</v>
      </c>
      <c r="EU288">
        <v>-1.0920000000000007</v>
      </c>
      <c r="EV288">
        <v>25</v>
      </c>
      <c r="EW288">
        <v>-3.6</v>
      </c>
      <c r="EX288">
        <v>1.0399999999999998</v>
      </c>
      <c r="EY288">
        <v>5</v>
      </c>
      <c r="EZ288">
        <v>4.5</v>
      </c>
      <c r="FA288">
        <v>5</v>
      </c>
      <c r="FB288">
        <v>2.1599999999999997</v>
      </c>
      <c r="FC288">
        <v>4</v>
      </c>
      <c r="FD288">
        <v>0.64</v>
      </c>
      <c r="FE288">
        <v>-0.59999999999999964</v>
      </c>
      <c r="FF288">
        <v>28</v>
      </c>
      <c r="FG288">
        <v>23</v>
      </c>
      <c r="FH288">
        <v>27</v>
      </c>
      <c r="FI288">
        <v>5.2152986537197091E-2</v>
      </c>
      <c r="FJ288">
        <v>18</v>
      </c>
      <c r="FK288">
        <v>7.664536553447442E-3</v>
      </c>
      <c r="FL288">
        <v>26</v>
      </c>
      <c r="FM288">
        <v>-0.47599999999999909</v>
      </c>
      <c r="FN288">
        <v>21</v>
      </c>
      <c r="FO288">
        <v>0.87999999999999989</v>
      </c>
      <c r="FP288">
        <v>1.6399999999999983</v>
      </c>
      <c r="FQ288">
        <v>-2.08</v>
      </c>
      <c r="FR288">
        <v>-0.64000000000000012</v>
      </c>
      <c r="FS288">
        <v>-0.43999999999999917</v>
      </c>
      <c r="FT288">
        <v>-4.3600000000000003</v>
      </c>
      <c r="FU288">
        <v>-7.9999999999999988E-2</v>
      </c>
      <c r="FV288">
        <v>-27.240000000000009</v>
      </c>
      <c r="FW288">
        <v>-4.3200000000000047</v>
      </c>
      <c r="FX288">
        <v>-25.240000000000002</v>
      </c>
      <c r="FY288">
        <v>-1</v>
      </c>
      <c r="FZ288">
        <v>3.3200000000000003</v>
      </c>
      <c r="GA288">
        <v>10</v>
      </c>
      <c r="GB288">
        <v>1.5587999999999993</v>
      </c>
      <c r="GC288">
        <v>0.77927999999999975</v>
      </c>
      <c r="GD288">
        <v>20.919999999999998</v>
      </c>
      <c r="GE288">
        <v>-1.5587999999999993</v>
      </c>
      <c r="GF288">
        <v>-0.95724999999999993</v>
      </c>
      <c r="GG288">
        <v>-2.4479999999999995</v>
      </c>
      <c r="GH288">
        <v>9.6800000000000015</v>
      </c>
      <c r="GI288">
        <v>-3.9183999999999997</v>
      </c>
      <c r="GJ288">
        <v>-25.08</v>
      </c>
      <c r="GK288">
        <v>-0.52</v>
      </c>
      <c r="GL288">
        <v>0.55999999999999983</v>
      </c>
    </row>
    <row r="289" spans="1:194" x14ac:dyDescent="0.2">
      <c r="A289" s="39">
        <v>43779</v>
      </c>
      <c r="B289" s="22" t="s">
        <v>244</v>
      </c>
      <c r="C289" s="41" t="s">
        <v>312</v>
      </c>
      <c r="D289" s="22" t="s">
        <v>291</v>
      </c>
      <c r="E289" s="3">
        <v>7.9</v>
      </c>
      <c r="F289">
        <v>4.5</v>
      </c>
      <c r="G289">
        <v>2</v>
      </c>
      <c r="H289">
        <f>19.4+8.4</f>
        <v>27.799999999999997</v>
      </c>
      <c r="I289">
        <v>3.5</v>
      </c>
      <c r="J289">
        <v>48.5</v>
      </c>
      <c r="L289" s="1" t="s">
        <v>312</v>
      </c>
      <c r="M289">
        <v>5</v>
      </c>
      <c r="N289">
        <v>4.4951999999999996</v>
      </c>
      <c r="O289">
        <v>12</v>
      </c>
      <c r="P289">
        <v>14.5</v>
      </c>
      <c r="Q289">
        <v>7</v>
      </c>
      <c r="R289">
        <v>3.5144000000000006</v>
      </c>
      <c r="S289">
        <v>22</v>
      </c>
      <c r="T289">
        <v>16.68</v>
      </c>
      <c r="U289">
        <v>0.32000000000000017</v>
      </c>
      <c r="V289">
        <v>5</v>
      </c>
      <c r="W289">
        <v>8</v>
      </c>
      <c r="X289">
        <v>13</v>
      </c>
      <c r="Y289">
        <v>-0.92799999999999971</v>
      </c>
      <c r="Z289">
        <v>3</v>
      </c>
      <c r="AA289">
        <v>11.2</v>
      </c>
      <c r="AB289">
        <v>-1.1599999999999999</v>
      </c>
      <c r="AC289">
        <v>16</v>
      </c>
      <c r="AD289">
        <v>17</v>
      </c>
      <c r="AE289">
        <v>18</v>
      </c>
      <c r="AF289">
        <v>6.3279999999999994</v>
      </c>
      <c r="AG289">
        <v>16</v>
      </c>
      <c r="AH289">
        <v>14.560000000000002</v>
      </c>
      <c r="AI289">
        <v>0.44000000000000022</v>
      </c>
      <c r="AJ289">
        <v>23</v>
      </c>
      <c r="AK289">
        <v>22</v>
      </c>
      <c r="AL289">
        <v>26</v>
      </c>
      <c r="AM289">
        <v>6.7960000000000012</v>
      </c>
      <c r="AN289">
        <v>18</v>
      </c>
      <c r="AO289">
        <v>38.720000000000006</v>
      </c>
      <c r="AP289">
        <v>1.08</v>
      </c>
      <c r="AQ289">
        <v>27</v>
      </c>
      <c r="AR289">
        <v>28</v>
      </c>
      <c r="AS289">
        <v>27</v>
      </c>
      <c r="AT289">
        <v>-0.92800000000000016</v>
      </c>
      <c r="AU289">
        <v>29</v>
      </c>
      <c r="AV289">
        <v>-7.9999999999999982</v>
      </c>
      <c r="AW289">
        <v>-1.44</v>
      </c>
      <c r="AX289">
        <v>29</v>
      </c>
      <c r="AY289">
        <v>29</v>
      </c>
      <c r="AZ289">
        <v>29</v>
      </c>
      <c r="BA289">
        <v>-2.2919999999999994</v>
      </c>
      <c r="BB289">
        <v>29</v>
      </c>
      <c r="BC289">
        <v>-18.36</v>
      </c>
      <c r="BD289">
        <v>-8</v>
      </c>
      <c r="BE289">
        <v>5</v>
      </c>
      <c r="BF289">
        <v>6</v>
      </c>
      <c r="BG289">
        <v>3</v>
      </c>
      <c r="BH289">
        <v>3.536</v>
      </c>
      <c r="BI289">
        <v>9</v>
      </c>
      <c r="BJ289">
        <v>13.240000000000004</v>
      </c>
      <c r="BK289">
        <v>1.4400000000000002</v>
      </c>
      <c r="BL289">
        <v>26</v>
      </c>
      <c r="BM289">
        <v>25</v>
      </c>
      <c r="BN289">
        <v>21</v>
      </c>
      <c r="BO289">
        <v>2.7600000000000002</v>
      </c>
      <c r="BP289">
        <v>29</v>
      </c>
      <c r="BQ289">
        <v>0.96000000000000019</v>
      </c>
      <c r="BR289">
        <v>-0.31999999999999973</v>
      </c>
      <c r="BS289">
        <v>28</v>
      </c>
      <c r="BT289">
        <v>24.5</v>
      </c>
      <c r="BU289">
        <v>22</v>
      </c>
      <c r="BV289">
        <v>1.2431762360654441E-2</v>
      </c>
      <c r="BW289">
        <v>27</v>
      </c>
      <c r="BX289">
        <v>-2.9209728561713215E-2</v>
      </c>
      <c r="BY289">
        <v>22</v>
      </c>
      <c r="BZ289">
        <v>15.215999999999998</v>
      </c>
      <c r="CA289">
        <v>27</v>
      </c>
      <c r="CB289">
        <v>-5.44</v>
      </c>
      <c r="CC289">
        <v>1.5200000000000018</v>
      </c>
      <c r="CD289">
        <v>6.5600000000000005</v>
      </c>
      <c r="CE289">
        <v>-0.8</v>
      </c>
      <c r="CF289">
        <v>76.600000000000009</v>
      </c>
      <c r="CG289">
        <v>53.759999999999991</v>
      </c>
      <c r="CH289">
        <v>31.720000000000006</v>
      </c>
      <c r="CI289">
        <v>1.24</v>
      </c>
      <c r="CJ289">
        <v>-10.119999999999999</v>
      </c>
      <c r="CK289">
        <v>14</v>
      </c>
      <c r="CL289">
        <v>1.9087999999999987</v>
      </c>
      <c r="CM289">
        <v>2.7522399999999996</v>
      </c>
      <c r="CN289">
        <v>22.039999999999985</v>
      </c>
      <c r="CO289">
        <v>-1.9087999999999985</v>
      </c>
      <c r="CP289">
        <v>3.1967000000000008</v>
      </c>
      <c r="CQ289">
        <v>12.196</v>
      </c>
      <c r="CR289">
        <v>45.280000000000008</v>
      </c>
      <c r="CS289">
        <v>2.5864000000000011</v>
      </c>
      <c r="CT289">
        <v>27.88</v>
      </c>
      <c r="CU289">
        <v>1.5200000000000005</v>
      </c>
      <c r="CV289">
        <v>-0.83999999999999975</v>
      </c>
      <c r="CW289">
        <v>0.55797499999999989</v>
      </c>
      <c r="CX289">
        <v>1.3772000000000002</v>
      </c>
      <c r="CY289" t="s">
        <v>291</v>
      </c>
      <c r="CZ289">
        <v>19</v>
      </c>
      <c r="DA289">
        <v>-3.2944000000000004</v>
      </c>
      <c r="DB289">
        <v>6</v>
      </c>
      <c r="DC289">
        <v>8</v>
      </c>
      <c r="DD289">
        <v>4</v>
      </c>
      <c r="DE289">
        <v>6.2444000000000006</v>
      </c>
      <c r="DF289">
        <v>12</v>
      </c>
      <c r="DG289">
        <v>2.2799999999999998</v>
      </c>
      <c r="DH289">
        <v>0.88000000000000012</v>
      </c>
      <c r="DI289">
        <v>22</v>
      </c>
      <c r="DJ289">
        <v>19</v>
      </c>
      <c r="DK289">
        <v>24</v>
      </c>
      <c r="DL289">
        <v>-3.2680000000000007</v>
      </c>
      <c r="DM289">
        <v>14</v>
      </c>
      <c r="DN289">
        <v>0.51999999999999957</v>
      </c>
      <c r="DO289">
        <v>4.0000000000000126E-2</v>
      </c>
      <c r="DP289">
        <v>26</v>
      </c>
      <c r="DQ289">
        <v>29.5</v>
      </c>
      <c r="DR289">
        <v>30</v>
      </c>
      <c r="DS289">
        <v>-5.3280000000000012</v>
      </c>
      <c r="DT289">
        <v>29</v>
      </c>
      <c r="DU289">
        <v>-9.1999999999999993</v>
      </c>
      <c r="DV289">
        <v>-1.3199999999999998</v>
      </c>
      <c r="DW289">
        <v>15</v>
      </c>
      <c r="DX289">
        <v>14</v>
      </c>
      <c r="DY289">
        <v>13</v>
      </c>
      <c r="DZ289">
        <v>-1.5999999999999837E-2</v>
      </c>
      <c r="EA289">
        <v>15</v>
      </c>
      <c r="EB289">
        <v>-1.5599999999999981</v>
      </c>
      <c r="EC289">
        <v>-0.4</v>
      </c>
      <c r="ED289">
        <v>19</v>
      </c>
      <c r="EE289">
        <v>10.5</v>
      </c>
      <c r="EF289">
        <v>9</v>
      </c>
      <c r="EG289">
        <v>-1.3</v>
      </c>
      <c r="EH289">
        <v>12</v>
      </c>
      <c r="EI289">
        <v>-6.16</v>
      </c>
      <c r="EJ289">
        <v>-4.0000000000000036E-2</v>
      </c>
      <c r="EK289">
        <v>8</v>
      </c>
      <c r="EL289">
        <v>8.5</v>
      </c>
      <c r="EM289">
        <v>10</v>
      </c>
      <c r="EN289">
        <v>0.34800000000000109</v>
      </c>
      <c r="EO289">
        <v>7</v>
      </c>
      <c r="EP289">
        <v>5.88</v>
      </c>
      <c r="EQ289">
        <v>-0.39999999999999963</v>
      </c>
      <c r="ER289">
        <v>27</v>
      </c>
      <c r="ES289">
        <v>26</v>
      </c>
      <c r="ET289">
        <v>22</v>
      </c>
      <c r="EU289">
        <v>4.1519999999999984</v>
      </c>
      <c r="EV289">
        <v>30</v>
      </c>
      <c r="EW289">
        <v>10.28</v>
      </c>
      <c r="EX289">
        <v>0.92000000000000015</v>
      </c>
      <c r="EY289">
        <v>7</v>
      </c>
      <c r="EZ289">
        <v>7</v>
      </c>
      <c r="FA289">
        <v>10</v>
      </c>
      <c r="FB289">
        <v>0.72000000000000008</v>
      </c>
      <c r="FC289">
        <v>4</v>
      </c>
      <c r="FD289">
        <v>0.23999999999999994</v>
      </c>
      <c r="FE289">
        <v>-4</v>
      </c>
      <c r="FF289">
        <v>15</v>
      </c>
      <c r="FG289">
        <v>15.75</v>
      </c>
      <c r="FH289">
        <v>7</v>
      </c>
      <c r="FI289">
        <v>-3.5023574975489137E-3</v>
      </c>
      <c r="FJ289">
        <v>7</v>
      </c>
      <c r="FK289">
        <v>-3.8916349313731597E-3</v>
      </c>
      <c r="FL289">
        <v>28</v>
      </c>
      <c r="FM289">
        <v>6.5479999999999965</v>
      </c>
      <c r="FN289">
        <v>21</v>
      </c>
      <c r="FO289">
        <v>-0.23999999999999969</v>
      </c>
      <c r="FP289">
        <v>-0.32000000000000101</v>
      </c>
      <c r="FQ289">
        <v>0.43999999999999984</v>
      </c>
      <c r="FR289">
        <v>0.6</v>
      </c>
      <c r="FS289">
        <v>0.32000000000000028</v>
      </c>
      <c r="FT289">
        <v>0.88000000000000045</v>
      </c>
      <c r="FU289">
        <v>-1.56</v>
      </c>
      <c r="FV289">
        <v>-9.4</v>
      </c>
      <c r="FW289">
        <v>-9.5599999999999969</v>
      </c>
      <c r="FX289">
        <v>-3.0400000000000018</v>
      </c>
      <c r="FY289">
        <v>0.52000000000000013</v>
      </c>
      <c r="FZ289">
        <v>2.6800000000000006</v>
      </c>
      <c r="GA289">
        <v>28</v>
      </c>
      <c r="GB289">
        <v>-6.2708000000000013</v>
      </c>
      <c r="GC289">
        <v>-2.6454800000000009</v>
      </c>
      <c r="GD289">
        <v>-6.5199999999999951</v>
      </c>
      <c r="GE289">
        <v>6.2708000000000004</v>
      </c>
      <c r="GF289">
        <v>-0.26125000000000037</v>
      </c>
      <c r="GG289">
        <v>-6.644000000000001</v>
      </c>
      <c r="GH289">
        <v>-16.919999999999998</v>
      </c>
      <c r="GI289">
        <v>2.9763999999999999</v>
      </c>
      <c r="GJ289">
        <v>2.7999999999999994</v>
      </c>
      <c r="GK289">
        <v>-0.83999999999999964</v>
      </c>
      <c r="GL289">
        <v>0.92000000000000026</v>
      </c>
    </row>
    <row r="290" spans="1:194" x14ac:dyDescent="0.2">
      <c r="A290" s="39">
        <v>43779</v>
      </c>
      <c r="B290" s="22" t="s">
        <v>244</v>
      </c>
      <c r="C290" s="41" t="s">
        <v>307</v>
      </c>
      <c r="D290" s="22" t="s">
        <v>295</v>
      </c>
      <c r="E290">
        <v>31.2</v>
      </c>
      <c r="F290">
        <v>2.2999999999999998</v>
      </c>
      <c r="G290">
        <v>0.5</v>
      </c>
      <c r="H290">
        <v>13.4</v>
      </c>
      <c r="I290">
        <v>-14</v>
      </c>
      <c r="J290">
        <v>51.5</v>
      </c>
      <c r="K290" t="s">
        <v>109</v>
      </c>
      <c r="L290" s="1" t="s">
        <v>307</v>
      </c>
      <c r="M290">
        <v>12</v>
      </c>
      <c r="N290">
        <v>1.2088000000000001</v>
      </c>
      <c r="O290">
        <v>8</v>
      </c>
      <c r="P290">
        <v>8.5</v>
      </c>
      <c r="Q290">
        <v>5</v>
      </c>
      <c r="R290">
        <v>5.7231999999999994</v>
      </c>
      <c r="S290">
        <v>12</v>
      </c>
      <c r="T290">
        <v>-1.1200000000000003</v>
      </c>
      <c r="U290">
        <v>4.08</v>
      </c>
      <c r="V290">
        <v>16</v>
      </c>
      <c r="W290">
        <v>15</v>
      </c>
      <c r="X290">
        <v>15</v>
      </c>
      <c r="Y290">
        <v>-0.57899999999999996</v>
      </c>
      <c r="Z290">
        <v>15</v>
      </c>
      <c r="AA290">
        <v>1.36</v>
      </c>
      <c r="AB290">
        <v>0.38</v>
      </c>
      <c r="AC290">
        <v>5</v>
      </c>
      <c r="AD290">
        <v>5.5</v>
      </c>
      <c r="AE290">
        <v>4</v>
      </c>
      <c r="AF290">
        <v>10.483000000000001</v>
      </c>
      <c r="AG290">
        <v>7</v>
      </c>
      <c r="AH290">
        <v>47.83</v>
      </c>
      <c r="AI290">
        <v>2.1799999999999997</v>
      </c>
      <c r="AJ290">
        <v>32</v>
      </c>
      <c r="AK290">
        <v>32</v>
      </c>
      <c r="AL290">
        <v>32</v>
      </c>
      <c r="AM290">
        <v>-7.044999999999999</v>
      </c>
      <c r="AN290">
        <v>32</v>
      </c>
      <c r="AO290">
        <v>-22.59</v>
      </c>
      <c r="AP290">
        <v>-2.4900000000000002</v>
      </c>
      <c r="AQ290">
        <v>29</v>
      </c>
      <c r="AR290">
        <v>29</v>
      </c>
      <c r="AS290">
        <v>28</v>
      </c>
      <c r="AT290">
        <v>-4.6360000000000001</v>
      </c>
      <c r="AU290">
        <v>30</v>
      </c>
      <c r="AV290">
        <v>-23.580000000000002</v>
      </c>
      <c r="AW290">
        <v>-1.9899999999999998</v>
      </c>
      <c r="AX290">
        <v>28</v>
      </c>
      <c r="AY290">
        <v>28</v>
      </c>
      <c r="AZ290">
        <v>28</v>
      </c>
      <c r="BA290">
        <v>-1.0960000000000001</v>
      </c>
      <c r="BB290">
        <v>28</v>
      </c>
      <c r="BC290">
        <v>-13.760000000000002</v>
      </c>
      <c r="BD290">
        <v>-1.8400000000000003</v>
      </c>
      <c r="BE290">
        <v>4</v>
      </c>
      <c r="BF290">
        <v>4.5</v>
      </c>
      <c r="BG290">
        <v>5</v>
      </c>
      <c r="BH290">
        <v>-1.0559999999999996</v>
      </c>
      <c r="BI290">
        <v>4</v>
      </c>
      <c r="BJ290">
        <v>0.68000000000000038</v>
      </c>
      <c r="BK290">
        <v>8.0000000000000071E-2</v>
      </c>
      <c r="BL290">
        <v>4</v>
      </c>
      <c r="BM290">
        <v>7</v>
      </c>
      <c r="BN290">
        <v>4</v>
      </c>
      <c r="BO290">
        <v>-0.35999999999999976</v>
      </c>
      <c r="BP290">
        <v>10</v>
      </c>
      <c r="BQ290">
        <v>0.2</v>
      </c>
      <c r="BR290">
        <v>-0.48000000000000009</v>
      </c>
      <c r="BS290">
        <v>32</v>
      </c>
      <c r="BT290">
        <v>29.5</v>
      </c>
      <c r="BU290">
        <v>30</v>
      </c>
      <c r="BV290">
        <v>-8.0426012715275608E-3</v>
      </c>
      <c r="BW290">
        <v>28</v>
      </c>
      <c r="BX290">
        <v>-9.3418432055118808E-3</v>
      </c>
      <c r="BY290">
        <v>31</v>
      </c>
      <c r="BZ290">
        <v>3.1280000000000001</v>
      </c>
      <c r="CA290">
        <v>29</v>
      </c>
      <c r="CB290">
        <v>0.6399999999999999</v>
      </c>
      <c r="CC290">
        <v>3.28</v>
      </c>
      <c r="CD290">
        <v>-2.2000000000000002</v>
      </c>
      <c r="CE290">
        <v>-0.79999999999999982</v>
      </c>
      <c r="CF290">
        <v>34.560000000000016</v>
      </c>
      <c r="CG290">
        <v>32.4</v>
      </c>
      <c r="CH290">
        <v>3.8000000000000029</v>
      </c>
      <c r="CI290">
        <v>-1.7200000000000002</v>
      </c>
      <c r="CJ290">
        <v>8.0000000000000432E-2</v>
      </c>
      <c r="CK290">
        <v>25</v>
      </c>
      <c r="CL290">
        <v>-3.9353999999999996</v>
      </c>
      <c r="CM290">
        <v>-2.7811399999999993</v>
      </c>
      <c r="CN290">
        <v>28.599999999999994</v>
      </c>
      <c r="CO290">
        <v>3.9353999999999996</v>
      </c>
      <c r="CP290">
        <v>0.46737500000000004</v>
      </c>
      <c r="CQ290">
        <v>-1.1979999999999986</v>
      </c>
      <c r="CR290">
        <v>1.6599999999999966</v>
      </c>
      <c r="CS290">
        <v>5.1441999999999997</v>
      </c>
      <c r="CT290">
        <v>0.23999999999999977</v>
      </c>
      <c r="CU290">
        <v>-2.2200000000000002</v>
      </c>
      <c r="CV290">
        <v>4.46</v>
      </c>
      <c r="CW290">
        <v>-0.55761249999999962</v>
      </c>
      <c r="CX290">
        <v>-2.3484499999999993</v>
      </c>
      <c r="CY290" t="s">
        <v>295</v>
      </c>
      <c r="CZ290">
        <v>27</v>
      </c>
      <c r="DA290">
        <v>3.3736000000000006</v>
      </c>
      <c r="DB290">
        <v>30</v>
      </c>
      <c r="DC290">
        <v>28</v>
      </c>
      <c r="DD290">
        <v>28</v>
      </c>
      <c r="DE290">
        <v>-2.484799999999999</v>
      </c>
      <c r="DF290">
        <v>28</v>
      </c>
      <c r="DG290">
        <v>-29.97</v>
      </c>
      <c r="DH290">
        <v>0.31000000000000005</v>
      </c>
      <c r="DI290">
        <v>28</v>
      </c>
      <c r="DJ290">
        <v>25.5</v>
      </c>
      <c r="DK290">
        <v>30</v>
      </c>
      <c r="DL290">
        <v>0.64699999999999969</v>
      </c>
      <c r="DM290">
        <v>21</v>
      </c>
      <c r="DN290">
        <v>12.72</v>
      </c>
      <c r="DO290">
        <v>-0.57999999999999996</v>
      </c>
      <c r="DP290">
        <v>22</v>
      </c>
      <c r="DQ290">
        <v>18.5</v>
      </c>
      <c r="DR290">
        <v>21</v>
      </c>
      <c r="DS290">
        <v>-1.2559999999999998</v>
      </c>
      <c r="DT290">
        <v>16</v>
      </c>
      <c r="DU290">
        <v>7.8000000000000025</v>
      </c>
      <c r="DV290">
        <v>-0.35999999999999976</v>
      </c>
      <c r="DW290">
        <v>9</v>
      </c>
      <c r="DX290">
        <v>10</v>
      </c>
      <c r="DY290">
        <v>9</v>
      </c>
      <c r="DZ290">
        <v>7.1599999999999993</v>
      </c>
      <c r="EA290">
        <v>11</v>
      </c>
      <c r="EB290">
        <v>21.68</v>
      </c>
      <c r="EC290">
        <v>0.43999999999999984</v>
      </c>
      <c r="ED290">
        <v>17</v>
      </c>
      <c r="EE290">
        <v>26.5</v>
      </c>
      <c r="EF290">
        <v>29</v>
      </c>
      <c r="EG290">
        <v>-0.60800000000000076</v>
      </c>
      <c r="EH290">
        <v>24</v>
      </c>
      <c r="EI290">
        <v>3.4399999999999991</v>
      </c>
      <c r="EJ290">
        <v>0.84000000000000008</v>
      </c>
      <c r="EK290">
        <v>10</v>
      </c>
      <c r="EL290">
        <v>11.5</v>
      </c>
      <c r="EM290">
        <v>14</v>
      </c>
      <c r="EN290">
        <v>1.5320000000000011</v>
      </c>
      <c r="EO290">
        <v>9</v>
      </c>
      <c r="EP290">
        <v>12.919999999999998</v>
      </c>
      <c r="EQ290">
        <v>1.2399999999999995</v>
      </c>
      <c r="ER290">
        <v>29</v>
      </c>
      <c r="ES290">
        <v>26.5</v>
      </c>
      <c r="ET290">
        <v>30</v>
      </c>
      <c r="EU290">
        <v>0.1139999999999997</v>
      </c>
      <c r="EV290">
        <v>23</v>
      </c>
      <c r="EW290">
        <v>-9.5700000000000021</v>
      </c>
      <c r="EX290">
        <v>-0.4700000000000002</v>
      </c>
      <c r="EY290">
        <v>17</v>
      </c>
      <c r="EZ290">
        <v>14.5</v>
      </c>
      <c r="FA290">
        <v>14</v>
      </c>
      <c r="FB290">
        <v>2.92</v>
      </c>
      <c r="FC290">
        <v>15</v>
      </c>
      <c r="FD290">
        <v>8.0000000000000071E-2</v>
      </c>
      <c r="FE290">
        <v>1.6400000000000001</v>
      </c>
      <c r="FF290">
        <v>19</v>
      </c>
      <c r="FG290">
        <v>16.5</v>
      </c>
      <c r="FH290">
        <v>10</v>
      </c>
      <c r="FI290">
        <v>-6.4113716823648151E-2</v>
      </c>
      <c r="FJ290">
        <v>20</v>
      </c>
      <c r="FK290">
        <v>-5.8074681239015779E-3</v>
      </c>
      <c r="FL290">
        <v>25</v>
      </c>
      <c r="FM290">
        <v>17.167999999999999</v>
      </c>
      <c r="FN290">
        <v>11</v>
      </c>
      <c r="FO290">
        <v>-4.08</v>
      </c>
      <c r="FP290">
        <v>7.999999999999971E-2</v>
      </c>
      <c r="FQ290">
        <v>0.56000000000000016</v>
      </c>
      <c r="FR290">
        <v>-0.43999999999999995</v>
      </c>
      <c r="FS290">
        <v>-0.4</v>
      </c>
      <c r="FT290">
        <v>3.9999999999999991</v>
      </c>
      <c r="FU290">
        <v>1.8</v>
      </c>
      <c r="FV290">
        <v>13.159999999999991</v>
      </c>
      <c r="FW290">
        <v>27.919999999999998</v>
      </c>
      <c r="FX290">
        <v>-7.5199999999999987</v>
      </c>
      <c r="FY290">
        <v>-2.6799999999999997</v>
      </c>
      <c r="FZ290">
        <v>-4.5599999999999996</v>
      </c>
      <c r="GA290">
        <v>5</v>
      </c>
      <c r="GB290">
        <v>5.2114000000000003</v>
      </c>
      <c r="GC290">
        <v>2.6756199999999994</v>
      </c>
      <c r="GD290">
        <v>35.44</v>
      </c>
      <c r="GE290">
        <v>-5.2113999999999994</v>
      </c>
      <c r="GF290">
        <v>1.233225</v>
      </c>
      <c r="GG290">
        <v>5.2959999999999994</v>
      </c>
      <c r="GH290">
        <v>32.92</v>
      </c>
      <c r="GI290">
        <v>-1.8377999999999992</v>
      </c>
      <c r="GJ290">
        <v>-17.25</v>
      </c>
      <c r="GK290">
        <v>0.44999999999999996</v>
      </c>
      <c r="GL290">
        <v>-0.26999999999999991</v>
      </c>
    </row>
    <row r="291" spans="1:194" x14ac:dyDescent="0.2">
      <c r="A291" s="39">
        <v>43779</v>
      </c>
      <c r="B291" s="22" t="s">
        <v>244</v>
      </c>
      <c r="C291" s="41" t="s">
        <v>296</v>
      </c>
      <c r="D291" s="22" t="s">
        <v>298</v>
      </c>
      <c r="E291">
        <v>24.5</v>
      </c>
      <c r="F291">
        <v>37.1</v>
      </c>
      <c r="G291">
        <v>5.6</v>
      </c>
      <c r="H291">
        <v>8.3000000000000007</v>
      </c>
      <c r="I291">
        <v>-3</v>
      </c>
      <c r="J291">
        <v>43</v>
      </c>
      <c r="K291" t="s">
        <v>109</v>
      </c>
      <c r="L291" s="1" t="s">
        <v>296</v>
      </c>
      <c r="M291">
        <v>25</v>
      </c>
      <c r="N291">
        <v>-2.7000000000000006</v>
      </c>
      <c r="O291">
        <v>20</v>
      </c>
      <c r="P291">
        <v>21</v>
      </c>
      <c r="Q291">
        <v>16</v>
      </c>
      <c r="R291">
        <v>-3.1</v>
      </c>
      <c r="S291">
        <v>26</v>
      </c>
      <c r="T291">
        <v>-26.839999999999996</v>
      </c>
      <c r="U291">
        <v>-7.9999999999999988E-2</v>
      </c>
      <c r="V291">
        <v>31</v>
      </c>
      <c r="W291">
        <v>31</v>
      </c>
      <c r="X291">
        <v>32</v>
      </c>
      <c r="Y291">
        <v>-5.1639999999999997</v>
      </c>
      <c r="Z291">
        <v>30</v>
      </c>
      <c r="AA291">
        <v>-16.959999999999997</v>
      </c>
      <c r="AB291">
        <v>-1.56</v>
      </c>
      <c r="AC291">
        <v>14</v>
      </c>
      <c r="AD291">
        <v>15.5</v>
      </c>
      <c r="AE291">
        <v>10</v>
      </c>
      <c r="AF291">
        <v>0.64800000000000002</v>
      </c>
      <c r="AG291">
        <v>21</v>
      </c>
      <c r="AH291">
        <v>2.1200000000000019</v>
      </c>
      <c r="AI291">
        <v>1.44</v>
      </c>
      <c r="AJ291">
        <v>13</v>
      </c>
      <c r="AK291">
        <v>13.5</v>
      </c>
      <c r="AL291">
        <v>5</v>
      </c>
      <c r="AM291">
        <v>-2.444</v>
      </c>
      <c r="AN291">
        <v>22</v>
      </c>
      <c r="AO291">
        <v>-17.68</v>
      </c>
      <c r="AP291">
        <v>-0.68</v>
      </c>
      <c r="AQ291">
        <v>12</v>
      </c>
      <c r="AR291">
        <v>12.5</v>
      </c>
      <c r="AS291">
        <v>14</v>
      </c>
      <c r="AT291">
        <v>1.1719999999999999</v>
      </c>
      <c r="AU291">
        <v>11</v>
      </c>
      <c r="AV291">
        <v>4.4799999999999995</v>
      </c>
      <c r="AW291">
        <v>0.24000000000000005</v>
      </c>
      <c r="AX291">
        <v>22</v>
      </c>
      <c r="AY291">
        <v>21</v>
      </c>
      <c r="AZ291">
        <v>17</v>
      </c>
      <c r="BA291">
        <v>2.3200000000000003</v>
      </c>
      <c r="BB291">
        <v>25</v>
      </c>
      <c r="BC291">
        <v>4.4000000000000004</v>
      </c>
      <c r="BD291">
        <v>0.87999999999999967</v>
      </c>
      <c r="BE291">
        <v>19</v>
      </c>
      <c r="BF291">
        <v>19</v>
      </c>
      <c r="BG291">
        <v>18</v>
      </c>
      <c r="BH291">
        <v>-2.3719999999999999</v>
      </c>
      <c r="BI291">
        <v>20</v>
      </c>
      <c r="BJ291">
        <v>-13.36</v>
      </c>
      <c r="BK291">
        <v>1.7600000000000002</v>
      </c>
      <c r="BL291">
        <v>28</v>
      </c>
      <c r="BM291">
        <v>27.5</v>
      </c>
      <c r="BN291">
        <v>29</v>
      </c>
      <c r="BO291">
        <v>-2.2800000000000002</v>
      </c>
      <c r="BP291">
        <v>26</v>
      </c>
      <c r="BQ291">
        <v>-0.32</v>
      </c>
      <c r="BR291">
        <v>3.16</v>
      </c>
      <c r="BS291">
        <v>2</v>
      </c>
      <c r="BT291">
        <v>7.5</v>
      </c>
      <c r="BU291">
        <v>3</v>
      </c>
      <c r="BV291">
        <v>5.0476433695917075E-2</v>
      </c>
      <c r="BW291">
        <v>16</v>
      </c>
      <c r="BX291">
        <v>2.1023893892934041E-2</v>
      </c>
      <c r="BY291">
        <v>10</v>
      </c>
      <c r="BZ291">
        <v>-3.3320000000000021</v>
      </c>
      <c r="CA291">
        <v>1</v>
      </c>
      <c r="CB291">
        <v>8.0399999999999991</v>
      </c>
      <c r="CC291">
        <v>0.52000000000000024</v>
      </c>
      <c r="CD291">
        <v>-6.4799999999999995</v>
      </c>
      <c r="CE291">
        <v>1.9600000000000002</v>
      </c>
      <c r="CF291">
        <v>-62.159999999999989</v>
      </c>
      <c r="CG291">
        <v>-26.320000000000004</v>
      </c>
      <c r="CH291">
        <v>-47.32</v>
      </c>
      <c r="CI291">
        <v>-1.6799999999999997</v>
      </c>
      <c r="CJ291">
        <v>13.16</v>
      </c>
      <c r="CK291">
        <v>9</v>
      </c>
      <c r="CL291">
        <v>5.5639999999999992</v>
      </c>
      <c r="CM291">
        <v>2.9927999999999995</v>
      </c>
      <c r="CN291">
        <v>20.999999999999996</v>
      </c>
      <c r="CO291">
        <v>-5.5639999999999983</v>
      </c>
      <c r="CP291">
        <v>-2.0300000000000002</v>
      </c>
      <c r="CQ291">
        <v>-0.62399999999999989</v>
      </c>
      <c r="CR291">
        <v>-11.079999999999998</v>
      </c>
      <c r="CS291">
        <v>-8.2639999999999993</v>
      </c>
      <c r="CT291">
        <v>-43.8</v>
      </c>
      <c r="CU291">
        <v>2.7600000000000002</v>
      </c>
      <c r="CV291">
        <v>-1.6400000000000001</v>
      </c>
      <c r="CW291">
        <v>0.65072500000000044</v>
      </c>
      <c r="CX291">
        <v>-0.82192499999999991</v>
      </c>
      <c r="CY291" t="s">
        <v>298</v>
      </c>
      <c r="CZ291">
        <v>9</v>
      </c>
      <c r="DA291">
        <v>3.6019999999999994</v>
      </c>
      <c r="DB291">
        <v>32</v>
      </c>
      <c r="DC291">
        <v>30.5</v>
      </c>
      <c r="DD291">
        <v>30</v>
      </c>
      <c r="DE291">
        <v>2.2120000000000006</v>
      </c>
      <c r="DF291">
        <v>31</v>
      </c>
      <c r="DG291">
        <v>-13.64</v>
      </c>
      <c r="DH291">
        <v>0.51999999999999991</v>
      </c>
      <c r="DI291">
        <v>16</v>
      </c>
      <c r="DJ291">
        <v>16.5</v>
      </c>
      <c r="DK291">
        <v>18</v>
      </c>
      <c r="DL291">
        <v>-1.2319999999999995</v>
      </c>
      <c r="DM291">
        <v>15</v>
      </c>
      <c r="DN291">
        <v>-4.5600000000000005</v>
      </c>
      <c r="DO291">
        <v>0.12000000000000004</v>
      </c>
      <c r="DP291">
        <v>7</v>
      </c>
      <c r="DQ291">
        <v>10.5</v>
      </c>
      <c r="DR291">
        <v>8</v>
      </c>
      <c r="DS291">
        <v>4.4999999999999991</v>
      </c>
      <c r="DT291">
        <v>13</v>
      </c>
      <c r="DU291">
        <v>1.25</v>
      </c>
      <c r="DV291">
        <v>0.60000000000000009</v>
      </c>
      <c r="DW291">
        <v>5</v>
      </c>
      <c r="DX291">
        <v>5.5</v>
      </c>
      <c r="DY291">
        <v>5</v>
      </c>
      <c r="DZ291">
        <v>6.3530000000000006</v>
      </c>
      <c r="EA291">
        <v>6</v>
      </c>
      <c r="EB291">
        <v>20.83</v>
      </c>
      <c r="EC291">
        <v>0.55999999999999994</v>
      </c>
      <c r="ED291">
        <v>26</v>
      </c>
      <c r="EE291">
        <v>28.5</v>
      </c>
      <c r="EF291">
        <v>28</v>
      </c>
      <c r="EG291">
        <v>0.90799999999999981</v>
      </c>
      <c r="EH291">
        <v>29</v>
      </c>
      <c r="EI291">
        <v>-1.3200000000000003</v>
      </c>
      <c r="EJ291">
        <v>-8.8817841970012528E-17</v>
      </c>
      <c r="EK291">
        <v>25</v>
      </c>
      <c r="EL291">
        <v>26</v>
      </c>
      <c r="EM291">
        <v>26</v>
      </c>
      <c r="EN291">
        <v>0.86000000000000121</v>
      </c>
      <c r="EO291">
        <v>26</v>
      </c>
      <c r="EP291">
        <v>-4.0000000000003408E-2</v>
      </c>
      <c r="EQ291">
        <v>-4.5199999999999996</v>
      </c>
      <c r="ER291">
        <v>13</v>
      </c>
      <c r="ES291">
        <v>13.5</v>
      </c>
      <c r="ET291">
        <v>17</v>
      </c>
      <c r="EU291">
        <v>0.16399999999999987</v>
      </c>
      <c r="EV291">
        <v>10</v>
      </c>
      <c r="EW291">
        <v>6.7199999999999989</v>
      </c>
      <c r="EX291">
        <v>-0.15999999999999998</v>
      </c>
      <c r="EY291">
        <v>24</v>
      </c>
      <c r="EZ291">
        <v>23</v>
      </c>
      <c r="FA291">
        <v>28</v>
      </c>
      <c r="FB291">
        <v>0.48000000000000043</v>
      </c>
      <c r="FC291">
        <v>18</v>
      </c>
      <c r="FD291">
        <v>0</v>
      </c>
      <c r="FE291">
        <v>1.0000000000000004</v>
      </c>
      <c r="FF291">
        <v>23</v>
      </c>
      <c r="FG291">
        <v>20</v>
      </c>
      <c r="FH291">
        <v>32</v>
      </c>
      <c r="FI291">
        <v>-9.2647044723449708E-3</v>
      </c>
      <c r="FJ291">
        <v>22</v>
      </c>
      <c r="FK291">
        <v>-3.5948545155516836E-3</v>
      </c>
      <c r="FL291">
        <v>11</v>
      </c>
      <c r="FM291">
        <v>6.5640000000000001</v>
      </c>
      <c r="FN291">
        <v>15</v>
      </c>
      <c r="FO291">
        <v>-3.88</v>
      </c>
      <c r="FP291">
        <v>0.7999999999999986</v>
      </c>
      <c r="FQ291">
        <v>2</v>
      </c>
      <c r="FR291">
        <v>0.39999999999999997</v>
      </c>
      <c r="FS291">
        <v>2.9599999999999982</v>
      </c>
      <c r="FT291">
        <v>6.08</v>
      </c>
      <c r="FU291">
        <v>-1.3199999999999998</v>
      </c>
      <c r="FV291">
        <v>-12.160000000000002</v>
      </c>
      <c r="FW291">
        <v>11.000000000000005</v>
      </c>
      <c r="FX291">
        <v>-18.32</v>
      </c>
      <c r="FY291">
        <v>-0.35999999999999943</v>
      </c>
      <c r="FZ291">
        <v>-4.4799999999999995</v>
      </c>
      <c r="GA291">
        <v>9</v>
      </c>
      <c r="GB291">
        <v>2.6219999999999981</v>
      </c>
      <c r="GC291">
        <v>2.6153999999999988</v>
      </c>
      <c r="GD291">
        <v>29.320000000000007</v>
      </c>
      <c r="GE291">
        <v>-2.6219999999999981</v>
      </c>
      <c r="GF291">
        <v>2.1233750000000007</v>
      </c>
      <c r="GG291">
        <v>11.760999999999999</v>
      </c>
      <c r="GH291">
        <v>20.759999999999998</v>
      </c>
      <c r="GI291">
        <v>0.98000000000000109</v>
      </c>
      <c r="GJ291">
        <v>-18.200000000000003</v>
      </c>
      <c r="GK291">
        <v>1.0000000000000002</v>
      </c>
      <c r="GL291">
        <v>0.6399999999999999</v>
      </c>
    </row>
    <row r="292" spans="1:194" x14ac:dyDescent="0.2">
      <c r="A292" s="39">
        <v>43779</v>
      </c>
      <c r="B292" s="22" t="s">
        <v>244</v>
      </c>
      <c r="C292" s="41" t="s">
        <v>298</v>
      </c>
      <c r="D292" s="22" t="s">
        <v>296</v>
      </c>
      <c r="E292">
        <v>19.100000000000001</v>
      </c>
      <c r="F292">
        <v>2.1</v>
      </c>
      <c r="G292">
        <v>14.4</v>
      </c>
      <c r="H292">
        <v>4.4000000000000004</v>
      </c>
      <c r="I292">
        <v>3</v>
      </c>
      <c r="J292">
        <v>43</v>
      </c>
      <c r="K292" t="s">
        <v>109</v>
      </c>
      <c r="L292" s="1" t="s">
        <v>298</v>
      </c>
      <c r="M292">
        <v>21</v>
      </c>
      <c r="N292">
        <v>-1.3432000000000006</v>
      </c>
      <c r="O292">
        <v>19</v>
      </c>
      <c r="P292">
        <v>20.5</v>
      </c>
      <c r="Q292">
        <v>13</v>
      </c>
      <c r="R292">
        <v>-4.92</v>
      </c>
      <c r="S292">
        <v>28</v>
      </c>
      <c r="T292">
        <v>-32.720000000000006</v>
      </c>
      <c r="U292">
        <v>0.72000000000000008</v>
      </c>
      <c r="V292">
        <v>24</v>
      </c>
      <c r="W292">
        <v>24</v>
      </c>
      <c r="X292">
        <v>27</v>
      </c>
      <c r="Y292">
        <v>-4.0279999999999996</v>
      </c>
      <c r="Z292">
        <v>21</v>
      </c>
      <c r="AA292">
        <v>-11.28</v>
      </c>
      <c r="AB292">
        <v>-1.44</v>
      </c>
      <c r="AC292">
        <v>31</v>
      </c>
      <c r="AD292">
        <v>31</v>
      </c>
      <c r="AE292">
        <v>30</v>
      </c>
      <c r="AF292">
        <v>-1.3039999999999992</v>
      </c>
      <c r="AG292">
        <v>32</v>
      </c>
      <c r="AH292">
        <v>-6.1199999999999957</v>
      </c>
      <c r="AI292">
        <v>-0.83999999999999986</v>
      </c>
      <c r="AJ292">
        <v>21</v>
      </c>
      <c r="AK292">
        <v>20.5</v>
      </c>
      <c r="AL292">
        <v>21</v>
      </c>
      <c r="AM292">
        <v>0.82800000000000007</v>
      </c>
      <c r="AN292">
        <v>20</v>
      </c>
      <c r="AO292">
        <v>7.3599999999999994</v>
      </c>
      <c r="AP292">
        <v>0.6</v>
      </c>
      <c r="AQ292">
        <v>6</v>
      </c>
      <c r="AR292">
        <v>6</v>
      </c>
      <c r="AS292">
        <v>7</v>
      </c>
      <c r="AT292">
        <v>4.2720000000000002</v>
      </c>
      <c r="AU292">
        <v>5</v>
      </c>
      <c r="AV292">
        <v>28.120000000000005</v>
      </c>
      <c r="AW292">
        <v>2.56</v>
      </c>
      <c r="AX292">
        <v>24</v>
      </c>
      <c r="AY292">
        <v>25</v>
      </c>
      <c r="AZ292">
        <v>24</v>
      </c>
      <c r="BA292">
        <v>-0.97200000000000064</v>
      </c>
      <c r="BB292">
        <v>26</v>
      </c>
      <c r="BC292">
        <v>10.84</v>
      </c>
      <c r="BD292">
        <v>-5.08</v>
      </c>
      <c r="BE292">
        <v>14</v>
      </c>
      <c r="BF292">
        <v>13.5</v>
      </c>
      <c r="BG292">
        <v>13</v>
      </c>
      <c r="BH292">
        <v>-0.75599999999999912</v>
      </c>
      <c r="BI292">
        <v>14</v>
      </c>
      <c r="BJ292">
        <v>-9.0399999999999974</v>
      </c>
      <c r="BK292">
        <v>-1.6799999999999997</v>
      </c>
      <c r="BL292">
        <v>14</v>
      </c>
      <c r="BM292">
        <v>13.5</v>
      </c>
      <c r="BN292">
        <v>19</v>
      </c>
      <c r="BO292">
        <v>-1.2</v>
      </c>
      <c r="BP292">
        <v>8</v>
      </c>
      <c r="BQ292">
        <v>-0.36</v>
      </c>
      <c r="BR292">
        <v>-3.88</v>
      </c>
      <c r="BS292">
        <v>8</v>
      </c>
      <c r="BT292">
        <v>12</v>
      </c>
      <c r="BU292">
        <v>2</v>
      </c>
      <c r="BV292">
        <v>7.0286562519176685E-2</v>
      </c>
      <c r="BW292">
        <v>17</v>
      </c>
      <c r="BX292">
        <v>1.2769658450059068E-2</v>
      </c>
      <c r="BY292">
        <v>12</v>
      </c>
      <c r="BZ292">
        <v>1.2640000000000029</v>
      </c>
      <c r="CA292">
        <v>17</v>
      </c>
      <c r="CB292">
        <v>1.0000000000000004</v>
      </c>
      <c r="CC292">
        <v>-4.5599999999999996</v>
      </c>
      <c r="CD292">
        <v>-3.3200000000000012</v>
      </c>
      <c r="CE292">
        <v>-0.6</v>
      </c>
      <c r="CF292">
        <v>-51.279999999999994</v>
      </c>
      <c r="CG292">
        <v>7.919999999999999</v>
      </c>
      <c r="CH292">
        <v>-47.679999999999993</v>
      </c>
      <c r="CI292">
        <v>-2.52</v>
      </c>
      <c r="CJ292">
        <v>-9</v>
      </c>
      <c r="CK292">
        <v>5</v>
      </c>
      <c r="CL292">
        <v>7.6047999999999991</v>
      </c>
      <c r="CM292">
        <v>4.8133600000000003</v>
      </c>
      <c r="CN292">
        <v>55.599999999999994</v>
      </c>
      <c r="CO292">
        <v>-7.6048</v>
      </c>
      <c r="CP292">
        <v>-1.0563999999999998</v>
      </c>
      <c r="CQ292">
        <v>3.7960000000000012</v>
      </c>
      <c r="CR292">
        <v>29.360000000000007</v>
      </c>
      <c r="CS292">
        <v>-8.9480000000000004</v>
      </c>
      <c r="CT292">
        <v>-44.000000000000007</v>
      </c>
      <c r="CU292">
        <v>0.64000000000000057</v>
      </c>
      <c r="CV292">
        <v>-0.71999999999999986</v>
      </c>
      <c r="CW292">
        <v>0.65072500000000044</v>
      </c>
      <c r="CX292">
        <v>2.1233750000000007</v>
      </c>
      <c r="CY292" t="s">
        <v>296</v>
      </c>
      <c r="CZ292">
        <v>5</v>
      </c>
      <c r="DA292">
        <v>-0.91680000000000061</v>
      </c>
      <c r="DB292">
        <v>31</v>
      </c>
      <c r="DC292">
        <v>29</v>
      </c>
      <c r="DD292">
        <v>31</v>
      </c>
      <c r="DE292">
        <v>1.3004000000000009</v>
      </c>
      <c r="DF292">
        <v>27</v>
      </c>
      <c r="DG292">
        <v>26.15</v>
      </c>
      <c r="DH292">
        <v>0.27000000000000013</v>
      </c>
      <c r="DI292">
        <v>15</v>
      </c>
      <c r="DJ292">
        <v>16</v>
      </c>
      <c r="DK292">
        <v>24</v>
      </c>
      <c r="DL292">
        <v>-2.2889999999999993</v>
      </c>
      <c r="DM292">
        <v>8</v>
      </c>
      <c r="DN292">
        <v>-1.8</v>
      </c>
      <c r="DO292">
        <v>-1.06</v>
      </c>
      <c r="DP292">
        <v>4</v>
      </c>
      <c r="DQ292">
        <v>4.5</v>
      </c>
      <c r="DR292">
        <v>4</v>
      </c>
      <c r="DS292">
        <v>2.6090000000000004</v>
      </c>
      <c r="DT292">
        <v>5</v>
      </c>
      <c r="DU292">
        <v>4.8900000000000006</v>
      </c>
      <c r="DV292">
        <v>-0.2</v>
      </c>
      <c r="DW292">
        <v>13</v>
      </c>
      <c r="DX292">
        <v>13.5</v>
      </c>
      <c r="DY292">
        <v>14</v>
      </c>
      <c r="DZ292">
        <v>-6.6390000000000002</v>
      </c>
      <c r="EA292">
        <v>13</v>
      </c>
      <c r="EB292">
        <v>-25.169999999999998</v>
      </c>
      <c r="EC292">
        <v>-2.88</v>
      </c>
      <c r="ED292">
        <v>24</v>
      </c>
      <c r="EE292">
        <v>13.5</v>
      </c>
      <c r="EF292">
        <v>16</v>
      </c>
      <c r="EG292">
        <v>0.5680000000000005</v>
      </c>
      <c r="EH292">
        <v>11</v>
      </c>
      <c r="EI292">
        <v>0.96000000000000019</v>
      </c>
      <c r="EJ292">
        <v>-8.0000000000000071E-2</v>
      </c>
      <c r="EK292">
        <v>2</v>
      </c>
      <c r="EL292">
        <v>3.5</v>
      </c>
      <c r="EM292">
        <v>4</v>
      </c>
      <c r="EN292">
        <v>3.6719999999999997</v>
      </c>
      <c r="EO292">
        <v>3</v>
      </c>
      <c r="EP292">
        <v>5.2799999999999985</v>
      </c>
      <c r="EQ292">
        <v>16.52</v>
      </c>
      <c r="ER292">
        <v>17</v>
      </c>
      <c r="ES292">
        <v>15.5</v>
      </c>
      <c r="ET292">
        <v>15</v>
      </c>
      <c r="EU292">
        <v>-2.3280000000000007</v>
      </c>
      <c r="EV292">
        <v>16</v>
      </c>
      <c r="EW292">
        <v>-9.2799999999999994</v>
      </c>
      <c r="EX292">
        <v>-2.12</v>
      </c>
      <c r="EY292">
        <v>2</v>
      </c>
      <c r="EZ292">
        <v>3</v>
      </c>
      <c r="FA292">
        <v>2</v>
      </c>
      <c r="FB292">
        <v>1.1200000000000003</v>
      </c>
      <c r="FC292">
        <v>4</v>
      </c>
      <c r="FD292">
        <v>0.15999999999999998</v>
      </c>
      <c r="FE292">
        <v>8.0399999999999991</v>
      </c>
      <c r="FF292">
        <v>29</v>
      </c>
      <c r="FG292">
        <v>24</v>
      </c>
      <c r="FH292">
        <v>11</v>
      </c>
      <c r="FI292">
        <v>-7.1035453438702587E-2</v>
      </c>
      <c r="FJ292">
        <v>27</v>
      </c>
      <c r="FK292">
        <v>1.0470336599360077E-2</v>
      </c>
      <c r="FL292">
        <v>31</v>
      </c>
      <c r="FM292">
        <v>-1.8399999999999976</v>
      </c>
      <c r="FN292">
        <v>27</v>
      </c>
      <c r="FO292">
        <v>3.16</v>
      </c>
      <c r="FP292">
        <v>-4.8000000000000007</v>
      </c>
      <c r="FQ292">
        <v>3.12</v>
      </c>
      <c r="FR292">
        <v>1.52</v>
      </c>
      <c r="FS292">
        <v>-0.4799999999999997</v>
      </c>
      <c r="FT292">
        <v>-0.27999999999999969</v>
      </c>
      <c r="FU292">
        <v>4.4400000000000004</v>
      </c>
      <c r="FV292">
        <v>-2.6799999999999953</v>
      </c>
      <c r="FW292">
        <v>-27.039999999999992</v>
      </c>
      <c r="FX292">
        <v>33.08</v>
      </c>
      <c r="FY292">
        <v>-5.4799999999999995</v>
      </c>
      <c r="FZ292">
        <v>-3.2399999999999998</v>
      </c>
      <c r="GA292">
        <v>16</v>
      </c>
      <c r="GB292">
        <v>7.1799999999997866E-2</v>
      </c>
      <c r="GC292">
        <v>-0.84706000000000115</v>
      </c>
      <c r="GD292">
        <v>-60.11999999999999</v>
      </c>
      <c r="GE292">
        <v>-7.1799999999997755E-2</v>
      </c>
      <c r="GF292">
        <v>-0.82192499999999991</v>
      </c>
      <c r="GG292">
        <v>-3.4619999999999989</v>
      </c>
      <c r="GH292">
        <v>-19.319999999999997</v>
      </c>
      <c r="GI292">
        <v>-0.98859999999999837</v>
      </c>
      <c r="GJ292">
        <v>24.349999999999998</v>
      </c>
      <c r="GK292">
        <v>-5.28</v>
      </c>
      <c r="GL292">
        <v>-0.78999999999999992</v>
      </c>
    </row>
    <row r="293" spans="1:194" x14ac:dyDescent="0.2">
      <c r="A293" s="39">
        <v>43779</v>
      </c>
      <c r="B293" s="22" t="s">
        <v>244</v>
      </c>
      <c r="C293" s="41" t="s">
        <v>309</v>
      </c>
      <c r="D293" s="22" t="s">
        <v>304</v>
      </c>
      <c r="E293">
        <v>7.4</v>
      </c>
      <c r="F293">
        <v>20</v>
      </c>
      <c r="G293">
        <v>10.4</v>
      </c>
      <c r="H293">
        <f>4.3+1.8</f>
        <v>6.1</v>
      </c>
      <c r="I293">
        <v>4</v>
      </c>
      <c r="J293">
        <v>43</v>
      </c>
      <c r="K293" t="s">
        <v>110</v>
      </c>
      <c r="L293" s="1" t="s">
        <v>309</v>
      </c>
      <c r="M293">
        <v>23</v>
      </c>
      <c r="N293">
        <v>-2.0424000000000007</v>
      </c>
      <c r="O293">
        <v>12</v>
      </c>
      <c r="P293">
        <v>14.5</v>
      </c>
      <c r="Q293">
        <v>9</v>
      </c>
      <c r="R293">
        <v>5.1520000000000001</v>
      </c>
      <c r="S293">
        <v>20</v>
      </c>
      <c r="T293">
        <v>-5.919999999999999</v>
      </c>
      <c r="U293">
        <v>2.4000000000000004</v>
      </c>
      <c r="V293">
        <v>9</v>
      </c>
      <c r="W293">
        <v>10.5</v>
      </c>
      <c r="X293">
        <v>11</v>
      </c>
      <c r="Y293">
        <v>-1.0623999999999998</v>
      </c>
      <c r="Z293">
        <v>10</v>
      </c>
      <c r="AA293">
        <v>7.3599999999999994</v>
      </c>
      <c r="AB293">
        <v>-0.24000000000000005</v>
      </c>
      <c r="AC293">
        <v>13</v>
      </c>
      <c r="AD293">
        <v>14.5</v>
      </c>
      <c r="AE293">
        <v>19</v>
      </c>
      <c r="AF293">
        <v>-2.5719999999999992</v>
      </c>
      <c r="AG293">
        <v>10</v>
      </c>
      <c r="AH293">
        <v>-4.3599999999999994</v>
      </c>
      <c r="AI293">
        <v>-1.2799999999999998</v>
      </c>
      <c r="AJ293">
        <v>17</v>
      </c>
      <c r="AK293">
        <v>17.5</v>
      </c>
      <c r="AL293">
        <v>19</v>
      </c>
      <c r="AM293">
        <v>2.8559999999999994</v>
      </c>
      <c r="AN293">
        <v>16</v>
      </c>
      <c r="AO293">
        <v>10.720000000000002</v>
      </c>
      <c r="AP293">
        <v>-0.28000000000000014</v>
      </c>
      <c r="AQ293">
        <v>18</v>
      </c>
      <c r="AR293">
        <v>17.5</v>
      </c>
      <c r="AS293">
        <v>20</v>
      </c>
      <c r="AT293">
        <v>-0.47999999999999987</v>
      </c>
      <c r="AU293">
        <v>15</v>
      </c>
      <c r="AV293">
        <v>0.63999999999999913</v>
      </c>
      <c r="AW293">
        <v>0.55999999999999994</v>
      </c>
      <c r="AX293">
        <v>31</v>
      </c>
      <c r="AY293">
        <v>31.5</v>
      </c>
      <c r="AZ293">
        <v>32</v>
      </c>
      <c r="BA293">
        <v>-8.1560000000000006</v>
      </c>
      <c r="BB293">
        <v>31</v>
      </c>
      <c r="BC293">
        <v>-40.76</v>
      </c>
      <c r="BD293">
        <v>-4.0400000000000009</v>
      </c>
      <c r="BE293">
        <v>28</v>
      </c>
      <c r="BF293">
        <v>27.5</v>
      </c>
      <c r="BG293">
        <v>24</v>
      </c>
      <c r="BH293">
        <v>-2.4560000000000004</v>
      </c>
      <c r="BI293">
        <v>31</v>
      </c>
      <c r="BJ293">
        <v>-19.399999999999999</v>
      </c>
      <c r="BK293">
        <v>-1.1599999999999999</v>
      </c>
      <c r="BL293">
        <v>3</v>
      </c>
      <c r="BM293">
        <v>5.5</v>
      </c>
      <c r="BN293">
        <v>5</v>
      </c>
      <c r="BO293">
        <v>2.12</v>
      </c>
      <c r="BP293">
        <v>6</v>
      </c>
      <c r="BQ293">
        <v>0.16000000000000009</v>
      </c>
      <c r="BR293">
        <v>8.9999999999999982</v>
      </c>
      <c r="BS293">
        <v>12</v>
      </c>
      <c r="BT293">
        <v>13.25</v>
      </c>
      <c r="BU293">
        <v>9</v>
      </c>
      <c r="BV293">
        <v>-2.8533052296364114E-2</v>
      </c>
      <c r="BW293">
        <v>20</v>
      </c>
      <c r="BX293">
        <v>-2.3865411905743449E-2</v>
      </c>
      <c r="BY293">
        <v>19</v>
      </c>
      <c r="BZ293">
        <v>8.9880000000000013</v>
      </c>
      <c r="CA293">
        <v>5</v>
      </c>
      <c r="CB293">
        <v>-1.28</v>
      </c>
      <c r="CC293">
        <v>-1.9599999999999995</v>
      </c>
      <c r="CD293">
        <v>2.0400000000000005</v>
      </c>
      <c r="CE293">
        <v>2.7199999999999998</v>
      </c>
      <c r="CF293">
        <v>-29.439999999999998</v>
      </c>
      <c r="CG293">
        <v>-25.759999999999998</v>
      </c>
      <c r="CH293">
        <v>2.2000000000000028</v>
      </c>
      <c r="CI293">
        <v>-1.2</v>
      </c>
      <c r="CJ293">
        <v>-4.6799999999999988</v>
      </c>
      <c r="CK293">
        <v>27</v>
      </c>
      <c r="CL293">
        <v>-6.1320000000000014</v>
      </c>
      <c r="CM293">
        <v>-2.9836800000000006</v>
      </c>
      <c r="CN293">
        <v>-27.96</v>
      </c>
      <c r="CO293">
        <v>6.1320000000000014</v>
      </c>
      <c r="CP293">
        <v>0.18939999999999996</v>
      </c>
      <c r="CQ293">
        <v>-0.19599999999999962</v>
      </c>
      <c r="CR293">
        <v>7.0000000000000018</v>
      </c>
      <c r="CS293">
        <v>4.0896000000000008</v>
      </c>
      <c r="CT293">
        <v>1.4400000000000004</v>
      </c>
      <c r="CU293">
        <v>-2.16</v>
      </c>
      <c r="CV293">
        <v>2.16</v>
      </c>
      <c r="CW293">
        <v>-1.1518999999999997</v>
      </c>
      <c r="CX293">
        <v>-0.99495000000000022</v>
      </c>
      <c r="CY293" t="s">
        <v>304</v>
      </c>
      <c r="CZ293">
        <v>16</v>
      </c>
      <c r="DA293">
        <v>-1.4623999999999993</v>
      </c>
      <c r="DB293">
        <v>17</v>
      </c>
      <c r="DC293">
        <v>18</v>
      </c>
      <c r="DD293">
        <v>20</v>
      </c>
      <c r="DE293">
        <v>-3.1879999999999979</v>
      </c>
      <c r="DF293">
        <v>16</v>
      </c>
      <c r="DG293">
        <v>-6.8400000000000007</v>
      </c>
      <c r="DH293">
        <v>-3.9999999999999945E-2</v>
      </c>
      <c r="DI293">
        <v>4</v>
      </c>
      <c r="DJ293">
        <v>6.5</v>
      </c>
      <c r="DK293">
        <v>7</v>
      </c>
      <c r="DL293">
        <v>0.70160000000000045</v>
      </c>
      <c r="DM293">
        <v>6</v>
      </c>
      <c r="DN293">
        <v>-6.2799999999999994</v>
      </c>
      <c r="DO293">
        <v>0.68</v>
      </c>
      <c r="DP293">
        <v>19</v>
      </c>
      <c r="DQ293">
        <v>19.5</v>
      </c>
      <c r="DR293">
        <v>17</v>
      </c>
      <c r="DS293">
        <v>-4.3839999999999986</v>
      </c>
      <c r="DT293">
        <v>22</v>
      </c>
      <c r="DU293">
        <v>-15.959999999999997</v>
      </c>
      <c r="DV293">
        <v>-1.3199999999999998</v>
      </c>
      <c r="DW293">
        <v>11</v>
      </c>
      <c r="DX293">
        <v>13</v>
      </c>
      <c r="DY293">
        <v>10</v>
      </c>
      <c r="DZ293">
        <v>-0.96799999999999964</v>
      </c>
      <c r="EA293">
        <v>16</v>
      </c>
      <c r="EB293">
        <v>-2.2799999999999989</v>
      </c>
      <c r="EC293">
        <v>0.44000000000000022</v>
      </c>
      <c r="ED293">
        <v>2</v>
      </c>
      <c r="EE293">
        <v>2</v>
      </c>
      <c r="EF293">
        <v>2</v>
      </c>
      <c r="EG293">
        <v>-0.30800000000000055</v>
      </c>
      <c r="EH293">
        <v>2</v>
      </c>
      <c r="EI293">
        <v>8.120000000000001</v>
      </c>
      <c r="EJ293">
        <v>-0.2</v>
      </c>
      <c r="EK293">
        <v>14</v>
      </c>
      <c r="EL293">
        <v>14</v>
      </c>
      <c r="EM293">
        <v>11</v>
      </c>
      <c r="EN293">
        <v>-4.524</v>
      </c>
      <c r="EO293">
        <v>17</v>
      </c>
      <c r="EP293">
        <v>-14.040000000000003</v>
      </c>
      <c r="EQ293">
        <v>-1.2400000000000002</v>
      </c>
      <c r="ER293">
        <v>25</v>
      </c>
      <c r="ES293">
        <v>24.5</v>
      </c>
      <c r="ET293">
        <v>29</v>
      </c>
      <c r="EU293">
        <v>1.898000000000001</v>
      </c>
      <c r="EV293">
        <v>20</v>
      </c>
      <c r="EW293">
        <v>18.11</v>
      </c>
      <c r="EX293">
        <v>0.8899999999999999</v>
      </c>
      <c r="EY293">
        <v>28</v>
      </c>
      <c r="EZ293">
        <v>26.5</v>
      </c>
      <c r="FA293">
        <v>29</v>
      </c>
      <c r="FB293">
        <v>-2.7600000000000007</v>
      </c>
      <c r="FC293">
        <v>24</v>
      </c>
      <c r="FD293">
        <v>-0.6</v>
      </c>
      <c r="FE293">
        <v>-0.72</v>
      </c>
      <c r="FF293">
        <v>14</v>
      </c>
      <c r="FG293">
        <v>15</v>
      </c>
      <c r="FH293">
        <v>22</v>
      </c>
      <c r="FI293">
        <v>3.5559502529351847E-2</v>
      </c>
      <c r="FJ293">
        <v>10</v>
      </c>
      <c r="FK293">
        <v>2.4172318154540063E-2</v>
      </c>
      <c r="FL293">
        <v>22</v>
      </c>
      <c r="FM293">
        <v>0.83999999999999775</v>
      </c>
      <c r="FN293">
        <v>6</v>
      </c>
      <c r="FO293">
        <v>3.5599999999999996</v>
      </c>
      <c r="FP293">
        <v>0.56000000000000016</v>
      </c>
      <c r="FQ293">
        <v>0.6399999999999999</v>
      </c>
      <c r="FR293">
        <v>0.64</v>
      </c>
      <c r="FS293">
        <v>2.9600000000000009</v>
      </c>
      <c r="FT293">
        <v>-6.4</v>
      </c>
      <c r="FU293">
        <v>0</v>
      </c>
      <c r="FV293">
        <v>-11</v>
      </c>
      <c r="FW293">
        <v>7.8399999999999981</v>
      </c>
      <c r="FX293">
        <v>-13.360000000000003</v>
      </c>
      <c r="FY293">
        <v>-2.88</v>
      </c>
      <c r="FZ293">
        <v>-2.6000000000000005</v>
      </c>
      <c r="GA293">
        <v>12</v>
      </c>
      <c r="GB293">
        <v>1.0239999999999982</v>
      </c>
      <c r="GC293">
        <v>0.19831999999999916</v>
      </c>
      <c r="GD293">
        <v>21.200000000000003</v>
      </c>
      <c r="GE293">
        <v>-1.0239999999999982</v>
      </c>
      <c r="GF293">
        <v>-1.3088499999999992</v>
      </c>
      <c r="GG293">
        <v>-5.6599999999999993</v>
      </c>
      <c r="GH293">
        <v>-10.119999999999994</v>
      </c>
      <c r="GI293">
        <v>-2.4863999999999975</v>
      </c>
      <c r="GJ293">
        <v>-13.120000000000001</v>
      </c>
      <c r="GK293">
        <v>-0.18999999999999972</v>
      </c>
      <c r="GL293">
        <v>0.64000000000000012</v>
      </c>
    </row>
    <row r="294" spans="1:194" x14ac:dyDescent="0.2">
      <c r="A294" s="39">
        <v>43779</v>
      </c>
      <c r="B294" s="22" t="s">
        <v>244</v>
      </c>
      <c r="C294" s="40" t="s">
        <v>256</v>
      </c>
      <c r="D294" s="22" t="s">
        <v>308</v>
      </c>
      <c r="E294">
        <v>22.2</v>
      </c>
      <c r="F294">
        <v>16.2</v>
      </c>
      <c r="G294">
        <v>4.4000000000000004</v>
      </c>
      <c r="H294">
        <v>5.4</v>
      </c>
      <c r="I294">
        <v>-6.5</v>
      </c>
      <c r="J294">
        <v>47</v>
      </c>
      <c r="L294" s="1" t="s">
        <v>256</v>
      </c>
      <c r="M294">
        <v>28</v>
      </c>
      <c r="N294">
        <v>-4.5048000000000012</v>
      </c>
      <c r="O294">
        <v>26</v>
      </c>
      <c r="P294">
        <v>24.5</v>
      </c>
      <c r="Q294">
        <v>25</v>
      </c>
      <c r="R294">
        <v>-3.2200000000000024</v>
      </c>
      <c r="S294">
        <v>24</v>
      </c>
      <c r="T294">
        <v>-14.8</v>
      </c>
      <c r="U294">
        <v>-1.0799999999999998</v>
      </c>
      <c r="V294">
        <v>5</v>
      </c>
      <c r="W294">
        <v>8</v>
      </c>
      <c r="X294">
        <v>9</v>
      </c>
      <c r="Y294">
        <v>1.4519999999999995</v>
      </c>
      <c r="Z294">
        <v>7</v>
      </c>
      <c r="AA294">
        <v>16.52</v>
      </c>
      <c r="AB294">
        <v>-0.12000000000000002</v>
      </c>
      <c r="AC294">
        <v>23</v>
      </c>
      <c r="AD294">
        <v>22</v>
      </c>
      <c r="AE294">
        <v>24</v>
      </c>
      <c r="AF294">
        <v>-2.3280000000000007</v>
      </c>
      <c r="AG294">
        <v>20</v>
      </c>
      <c r="AH294">
        <v>-14.639999999999997</v>
      </c>
      <c r="AI294">
        <v>-1.5999999999999999</v>
      </c>
      <c r="AJ294">
        <v>27</v>
      </c>
      <c r="AK294">
        <v>27</v>
      </c>
      <c r="AL294">
        <v>25</v>
      </c>
      <c r="AM294">
        <v>-1.9400000000000002</v>
      </c>
      <c r="AN294">
        <v>29</v>
      </c>
      <c r="AO294">
        <v>-18.68</v>
      </c>
      <c r="AP294">
        <v>-1.0399999999999998</v>
      </c>
      <c r="AQ294">
        <v>13</v>
      </c>
      <c r="AR294">
        <v>14.5</v>
      </c>
      <c r="AS294">
        <v>16</v>
      </c>
      <c r="AT294">
        <v>-1.9159999999999997</v>
      </c>
      <c r="AU294">
        <v>13</v>
      </c>
      <c r="AV294">
        <v>-13.280000000000001</v>
      </c>
      <c r="AW294">
        <v>-1.48</v>
      </c>
      <c r="AX294">
        <v>19</v>
      </c>
      <c r="AY294">
        <v>19.5</v>
      </c>
      <c r="AZ294">
        <v>20</v>
      </c>
      <c r="BA294">
        <v>-1.1639999999999986</v>
      </c>
      <c r="BB294">
        <v>19</v>
      </c>
      <c r="BC294">
        <v>-14.040000000000003</v>
      </c>
      <c r="BD294">
        <v>-1.1599999999999999</v>
      </c>
      <c r="BE294">
        <v>17</v>
      </c>
      <c r="BF294">
        <v>17.5</v>
      </c>
      <c r="BG294">
        <v>16</v>
      </c>
      <c r="BH294">
        <v>1.6479999999999992</v>
      </c>
      <c r="BI294">
        <v>19</v>
      </c>
      <c r="BJ294">
        <v>7.6400000000000006</v>
      </c>
      <c r="BK294">
        <v>1.36</v>
      </c>
      <c r="BL294">
        <v>17</v>
      </c>
      <c r="BM294">
        <v>16</v>
      </c>
      <c r="BN294">
        <v>15</v>
      </c>
      <c r="BO294">
        <v>0.84000000000000008</v>
      </c>
      <c r="BP294">
        <v>17</v>
      </c>
      <c r="BQ294">
        <v>0.36</v>
      </c>
      <c r="BR294">
        <v>6.1199999999999992</v>
      </c>
      <c r="BS294">
        <v>21</v>
      </c>
      <c r="BT294">
        <v>17.75</v>
      </c>
      <c r="BU294">
        <v>19</v>
      </c>
      <c r="BV294">
        <v>-1.8121324894158564E-2</v>
      </c>
      <c r="BW294">
        <v>3</v>
      </c>
      <c r="BX294">
        <v>8.6883642314618467E-3</v>
      </c>
      <c r="BY294">
        <v>29</v>
      </c>
      <c r="BZ294">
        <v>4.8320000000000007</v>
      </c>
      <c r="CA294">
        <v>20</v>
      </c>
      <c r="CB294">
        <v>-0.11999999999999975</v>
      </c>
      <c r="CC294">
        <v>2.7599999999999993</v>
      </c>
      <c r="CD294">
        <v>0.95999999999999941</v>
      </c>
      <c r="CE294">
        <v>0.28000000000000008</v>
      </c>
      <c r="CF294">
        <v>-43.839999999999996</v>
      </c>
      <c r="CG294">
        <v>-56.919999999999995</v>
      </c>
      <c r="CH294">
        <v>19.600000000000001</v>
      </c>
      <c r="CI294">
        <v>3.5199999999999996</v>
      </c>
      <c r="CJ294">
        <v>-10.040000000000001</v>
      </c>
      <c r="CK294">
        <v>20</v>
      </c>
      <c r="CL294">
        <v>-2.7367999999999983</v>
      </c>
      <c r="CM294">
        <v>-0.92415999999999898</v>
      </c>
      <c r="CN294">
        <v>-76.52</v>
      </c>
      <c r="CO294">
        <v>2.7367999999999983</v>
      </c>
      <c r="CP294">
        <v>-1.2461000000000007</v>
      </c>
      <c r="CQ294">
        <v>-6.1840000000000002</v>
      </c>
      <c r="CR294">
        <v>-46.599999999999994</v>
      </c>
      <c r="CS294">
        <v>-1.7680000000000029</v>
      </c>
      <c r="CT294">
        <v>1.7199999999999989</v>
      </c>
      <c r="CU294">
        <v>-2.7599999999999989</v>
      </c>
      <c r="CV294">
        <v>-1.2</v>
      </c>
      <c r="CW294">
        <v>-0.88423750000000034</v>
      </c>
      <c r="CX294">
        <v>-3.5282750000000003</v>
      </c>
      <c r="CY294" t="s">
        <v>308</v>
      </c>
      <c r="CZ294">
        <v>17</v>
      </c>
      <c r="DA294">
        <v>3.130399999999999</v>
      </c>
      <c r="DB294">
        <v>24</v>
      </c>
      <c r="DC294">
        <v>22</v>
      </c>
      <c r="DD294">
        <v>18</v>
      </c>
      <c r="DE294">
        <v>4.8239999999999998</v>
      </c>
      <c r="DF294">
        <v>26</v>
      </c>
      <c r="DG294">
        <v>5.0400000000000009</v>
      </c>
      <c r="DH294">
        <v>1.32</v>
      </c>
      <c r="DI294">
        <v>25</v>
      </c>
      <c r="DJ294">
        <v>22.5</v>
      </c>
      <c r="DK294">
        <v>16</v>
      </c>
      <c r="DL294">
        <v>-1.3759999999999999</v>
      </c>
      <c r="DM294">
        <v>29</v>
      </c>
      <c r="DN294">
        <v>-6.2399999999999993</v>
      </c>
      <c r="DO294">
        <v>-1.08</v>
      </c>
      <c r="DP294">
        <v>5</v>
      </c>
      <c r="DQ294">
        <v>3.5</v>
      </c>
      <c r="DR294">
        <v>3</v>
      </c>
      <c r="DS294">
        <v>6.9493333333333336</v>
      </c>
      <c r="DT294">
        <v>4</v>
      </c>
      <c r="DU294">
        <v>29.68</v>
      </c>
      <c r="DV294">
        <v>1.2533333333333334</v>
      </c>
      <c r="DW294">
        <v>19</v>
      </c>
      <c r="DX294">
        <v>17.5</v>
      </c>
      <c r="DY294">
        <v>18</v>
      </c>
      <c r="DZ294">
        <v>-3.8973333333333331</v>
      </c>
      <c r="EA294">
        <v>17</v>
      </c>
      <c r="EB294">
        <v>-14.239999999999998</v>
      </c>
      <c r="EC294">
        <v>-1.0666666666666669</v>
      </c>
      <c r="ED294">
        <v>13</v>
      </c>
      <c r="EE294">
        <v>13.5</v>
      </c>
      <c r="EF294">
        <v>6</v>
      </c>
      <c r="EG294">
        <v>1.8999999999999992</v>
      </c>
      <c r="EH294">
        <v>21</v>
      </c>
      <c r="EI294">
        <v>6.0399999999999991</v>
      </c>
      <c r="EJ294">
        <v>1.1599999999999999</v>
      </c>
      <c r="EK294">
        <v>18</v>
      </c>
      <c r="EL294">
        <v>18</v>
      </c>
      <c r="EM294">
        <v>16</v>
      </c>
      <c r="EN294">
        <v>4.3360000000000003</v>
      </c>
      <c r="EO294">
        <v>20</v>
      </c>
      <c r="EP294">
        <v>22.96</v>
      </c>
      <c r="EQ294">
        <v>2.2399999999999998</v>
      </c>
      <c r="ER294">
        <v>15</v>
      </c>
      <c r="ES294">
        <v>15</v>
      </c>
      <c r="ET294">
        <v>11</v>
      </c>
      <c r="EU294">
        <v>2.3480000000000003</v>
      </c>
      <c r="EV294">
        <v>19</v>
      </c>
      <c r="EW294">
        <v>21.479999999999997</v>
      </c>
      <c r="EX294">
        <v>0.92000000000000015</v>
      </c>
      <c r="EY294">
        <v>12</v>
      </c>
      <c r="EZ294">
        <v>12.5</v>
      </c>
      <c r="FA294">
        <v>17</v>
      </c>
      <c r="FB294">
        <v>0.19999999999999982</v>
      </c>
      <c r="FC294">
        <v>8</v>
      </c>
      <c r="FD294">
        <v>0.59999999999999987</v>
      </c>
      <c r="FE294">
        <v>-0.99999999999999978</v>
      </c>
      <c r="FF294">
        <v>21</v>
      </c>
      <c r="FG294">
        <v>17.25</v>
      </c>
      <c r="FH294">
        <v>30</v>
      </c>
      <c r="FI294">
        <v>-6.318744995534363E-2</v>
      </c>
      <c r="FJ294">
        <v>28</v>
      </c>
      <c r="FK294">
        <v>-4.0318877608038754E-2</v>
      </c>
      <c r="FL294">
        <v>4</v>
      </c>
      <c r="FM294">
        <v>-3.7639999999999985</v>
      </c>
      <c r="FN294">
        <v>7</v>
      </c>
      <c r="FO294">
        <v>-3.16</v>
      </c>
      <c r="FP294">
        <v>4.5199999999999996</v>
      </c>
      <c r="FQ294">
        <v>-1.7199999999999995</v>
      </c>
      <c r="FR294">
        <v>-0.32</v>
      </c>
      <c r="FS294">
        <v>0.64000000000000057</v>
      </c>
      <c r="FT294">
        <v>3.84</v>
      </c>
      <c r="FU294">
        <v>0.76</v>
      </c>
      <c r="FV294">
        <v>59.719999999999992</v>
      </c>
      <c r="FW294">
        <v>56.160000000000004</v>
      </c>
      <c r="FX294">
        <v>-3.0000000000000013</v>
      </c>
      <c r="FY294">
        <v>2.48</v>
      </c>
      <c r="FZ294">
        <v>4.080000000000001</v>
      </c>
      <c r="GA294">
        <v>17</v>
      </c>
      <c r="GB294">
        <v>-0.31760000000000099</v>
      </c>
      <c r="GC294">
        <v>0.36207999999999996</v>
      </c>
      <c r="GD294">
        <v>59.160000000000004</v>
      </c>
      <c r="GE294">
        <v>0.31760000000000099</v>
      </c>
      <c r="GF294">
        <v>1.7597999999999996</v>
      </c>
      <c r="GG294">
        <v>4.952</v>
      </c>
      <c r="GH294">
        <v>21.48</v>
      </c>
      <c r="GI294">
        <v>3.448</v>
      </c>
      <c r="GJ294">
        <v>-1.1999999999999984</v>
      </c>
      <c r="GK294">
        <v>2.2666666666666666</v>
      </c>
      <c r="GL294">
        <v>0.24</v>
      </c>
    </row>
    <row r="295" spans="1:194" x14ac:dyDescent="0.2">
      <c r="A295" s="39">
        <v>43779</v>
      </c>
      <c r="B295" s="22" t="s">
        <v>244</v>
      </c>
      <c r="C295" s="41" t="s">
        <v>308</v>
      </c>
      <c r="D295" s="22" t="s">
        <v>256</v>
      </c>
      <c r="E295">
        <v>5.9</v>
      </c>
      <c r="F295">
        <v>12</v>
      </c>
      <c r="G295">
        <v>5.5</v>
      </c>
      <c r="H295">
        <v>20.2</v>
      </c>
      <c r="I295">
        <v>6.5</v>
      </c>
      <c r="J295">
        <v>47</v>
      </c>
      <c r="L295" s="1" t="s">
        <v>308</v>
      </c>
      <c r="M295">
        <v>3</v>
      </c>
      <c r="N295">
        <v>4.9511999999999992</v>
      </c>
      <c r="O295">
        <v>3</v>
      </c>
      <c r="P295">
        <v>6</v>
      </c>
      <c r="Q295">
        <v>10</v>
      </c>
      <c r="R295">
        <v>4.7792000000000003</v>
      </c>
      <c r="S295">
        <v>2</v>
      </c>
      <c r="T295">
        <v>39.399999999999991</v>
      </c>
      <c r="U295">
        <v>-0.64000000000000012</v>
      </c>
      <c r="V295">
        <v>1</v>
      </c>
      <c r="W295">
        <v>1.5</v>
      </c>
      <c r="X295">
        <v>2</v>
      </c>
      <c r="Y295">
        <v>-2.6584000000000003</v>
      </c>
      <c r="Z295">
        <v>1</v>
      </c>
      <c r="AA295">
        <v>-0.24000000000000057</v>
      </c>
      <c r="AB295">
        <v>-0.72000000000000008</v>
      </c>
      <c r="AC295">
        <v>19</v>
      </c>
      <c r="AD295">
        <v>18.5</v>
      </c>
      <c r="AE295">
        <v>15</v>
      </c>
      <c r="AF295">
        <v>4.5200000000000014</v>
      </c>
      <c r="AG295">
        <v>22</v>
      </c>
      <c r="AH295">
        <v>13.080000000000002</v>
      </c>
      <c r="AI295">
        <v>-0.48000000000000009</v>
      </c>
      <c r="AJ295">
        <v>12</v>
      </c>
      <c r="AK295">
        <v>11.5</v>
      </c>
      <c r="AL295">
        <v>12</v>
      </c>
      <c r="AM295">
        <v>1.2240000000000009</v>
      </c>
      <c r="AN295">
        <v>11</v>
      </c>
      <c r="AO295">
        <v>0.72000000000000031</v>
      </c>
      <c r="AP295">
        <v>-0.52000000000000013</v>
      </c>
      <c r="AQ295">
        <v>17</v>
      </c>
      <c r="AR295">
        <v>17</v>
      </c>
      <c r="AS295">
        <v>17</v>
      </c>
      <c r="AT295">
        <v>1.6959999999999997</v>
      </c>
      <c r="AU295">
        <v>17</v>
      </c>
      <c r="AV295">
        <v>2.9999999999999991</v>
      </c>
      <c r="AW295">
        <v>0.59999999999999987</v>
      </c>
      <c r="AX295">
        <v>24</v>
      </c>
      <c r="AY295">
        <v>25</v>
      </c>
      <c r="AZ295">
        <v>26</v>
      </c>
      <c r="BA295">
        <v>5.1280000000000001</v>
      </c>
      <c r="BB295">
        <v>24</v>
      </c>
      <c r="BC295">
        <v>24.48</v>
      </c>
      <c r="BD295">
        <v>0.72</v>
      </c>
      <c r="BE295">
        <v>12</v>
      </c>
      <c r="BF295">
        <v>12.5</v>
      </c>
      <c r="BG295">
        <v>10</v>
      </c>
      <c r="BH295">
        <v>-3.3079999999999998</v>
      </c>
      <c r="BI295">
        <v>15</v>
      </c>
      <c r="BJ295">
        <v>-14.6</v>
      </c>
      <c r="BK295">
        <v>-1.7200000000000002</v>
      </c>
      <c r="BL295">
        <v>8</v>
      </c>
      <c r="BM295">
        <v>8.5</v>
      </c>
      <c r="BN295">
        <v>9</v>
      </c>
      <c r="BO295">
        <v>0.20000000000000018</v>
      </c>
      <c r="BP295">
        <v>8</v>
      </c>
      <c r="BQ295">
        <v>0.36</v>
      </c>
      <c r="BR295">
        <v>-3.16</v>
      </c>
      <c r="BS295">
        <v>12</v>
      </c>
      <c r="BT295">
        <v>13.25</v>
      </c>
      <c r="BU295">
        <v>11</v>
      </c>
      <c r="BV295">
        <v>0.13329081320837433</v>
      </c>
      <c r="BW295">
        <v>5</v>
      </c>
      <c r="BX295">
        <v>-1.1437240256541887E-3</v>
      </c>
      <c r="BY295">
        <v>21</v>
      </c>
      <c r="BZ295">
        <v>6.4560000000000013</v>
      </c>
      <c r="CA295">
        <v>16</v>
      </c>
      <c r="CB295">
        <v>-0.99999999999999978</v>
      </c>
      <c r="CC295">
        <v>1.6400000000000006</v>
      </c>
      <c r="CD295">
        <v>5.3600000000000012</v>
      </c>
      <c r="CE295">
        <v>-1.4799999999999998</v>
      </c>
      <c r="CF295">
        <v>47.680000000000007</v>
      </c>
      <c r="CG295">
        <v>8.7599999999999962</v>
      </c>
      <c r="CH295">
        <v>32.6</v>
      </c>
      <c r="CI295">
        <v>-2.4</v>
      </c>
      <c r="CJ295">
        <v>8.7200000000000006</v>
      </c>
      <c r="CK295">
        <v>13</v>
      </c>
      <c r="CL295">
        <v>2.8303999999999991</v>
      </c>
      <c r="CM295">
        <v>0.75624000000000002</v>
      </c>
      <c r="CN295">
        <v>-23.840000000000003</v>
      </c>
      <c r="CO295">
        <v>-2.8303999999999991</v>
      </c>
      <c r="CP295">
        <v>1.4255</v>
      </c>
      <c r="CQ295">
        <v>7.4400000000000022</v>
      </c>
      <c r="CR295">
        <v>16.8</v>
      </c>
      <c r="CS295">
        <v>2.1208</v>
      </c>
      <c r="CT295">
        <v>39.159999999999989</v>
      </c>
      <c r="CU295">
        <v>-2.1200000000000006</v>
      </c>
      <c r="CV295">
        <v>-1.3600000000000003</v>
      </c>
      <c r="CW295">
        <v>-0.88423750000000034</v>
      </c>
      <c r="CX295">
        <v>1.7597999999999996</v>
      </c>
      <c r="CY295" t="s">
        <v>256</v>
      </c>
      <c r="CZ295">
        <v>22</v>
      </c>
      <c r="DA295">
        <v>-6.7032000000000007</v>
      </c>
      <c r="DB295">
        <v>14</v>
      </c>
      <c r="DC295">
        <v>16</v>
      </c>
      <c r="DD295">
        <v>22</v>
      </c>
      <c r="DE295">
        <v>-2.504</v>
      </c>
      <c r="DF295">
        <v>10</v>
      </c>
      <c r="DG295">
        <v>0.15</v>
      </c>
      <c r="DH295">
        <v>-0.80999999999999994</v>
      </c>
      <c r="DI295">
        <v>32</v>
      </c>
      <c r="DJ295">
        <v>32</v>
      </c>
      <c r="DK295">
        <v>32</v>
      </c>
      <c r="DL295">
        <v>-2.2489999999999997</v>
      </c>
      <c r="DM295">
        <v>32</v>
      </c>
      <c r="DN295">
        <v>-7.6399999999999988</v>
      </c>
      <c r="DO295">
        <v>-0.4200000000000001</v>
      </c>
      <c r="DP295">
        <v>28</v>
      </c>
      <c r="DQ295">
        <v>26.5</v>
      </c>
      <c r="DR295">
        <v>23</v>
      </c>
      <c r="DS295">
        <v>-8.604000000000001</v>
      </c>
      <c r="DT295">
        <v>30</v>
      </c>
      <c r="DU295">
        <v>-41.64</v>
      </c>
      <c r="DV295">
        <v>-2.52</v>
      </c>
      <c r="DW295">
        <v>31</v>
      </c>
      <c r="DX295">
        <v>30.5</v>
      </c>
      <c r="DY295">
        <v>32</v>
      </c>
      <c r="DZ295">
        <v>-3.3000000000000007</v>
      </c>
      <c r="EA295">
        <v>29</v>
      </c>
      <c r="EB295">
        <v>-13.719999999999999</v>
      </c>
      <c r="EC295">
        <v>0.68</v>
      </c>
      <c r="ED295">
        <v>7</v>
      </c>
      <c r="EE295">
        <v>14</v>
      </c>
      <c r="EF295">
        <v>12</v>
      </c>
      <c r="EG295">
        <v>0.59599999999999975</v>
      </c>
      <c r="EH295">
        <v>16</v>
      </c>
      <c r="EI295">
        <v>4.5199999999999987</v>
      </c>
      <c r="EJ295">
        <v>-1.48</v>
      </c>
      <c r="EK295">
        <v>27</v>
      </c>
      <c r="EL295">
        <v>27</v>
      </c>
      <c r="EM295">
        <v>26</v>
      </c>
      <c r="EN295">
        <v>-8.668000000000001</v>
      </c>
      <c r="EO295">
        <v>28</v>
      </c>
      <c r="EP295">
        <v>-38.28</v>
      </c>
      <c r="EQ295">
        <v>-2.8800000000000003</v>
      </c>
      <c r="ER295">
        <v>22</v>
      </c>
      <c r="ES295">
        <v>23.5</v>
      </c>
      <c r="ET295">
        <v>19</v>
      </c>
      <c r="EU295">
        <v>-1.9420000000000002</v>
      </c>
      <c r="EV295">
        <v>28</v>
      </c>
      <c r="EW295">
        <v>-17.770000000000003</v>
      </c>
      <c r="EX295">
        <v>-0.35000000000000009</v>
      </c>
      <c r="EY295">
        <v>18</v>
      </c>
      <c r="EZ295">
        <v>20</v>
      </c>
      <c r="FA295">
        <v>22</v>
      </c>
      <c r="FB295">
        <v>-3.5200000000000005</v>
      </c>
      <c r="FC295">
        <v>18</v>
      </c>
      <c r="FD295">
        <v>-1.3599999999999999</v>
      </c>
      <c r="FE295">
        <v>-0.11999999999999975</v>
      </c>
      <c r="FF295">
        <v>13</v>
      </c>
      <c r="FG295">
        <v>14.75</v>
      </c>
      <c r="FH295">
        <v>23</v>
      </c>
      <c r="FI295">
        <v>3.8331540169107225E-3</v>
      </c>
      <c r="FJ295">
        <v>8</v>
      </c>
      <c r="FK295">
        <v>6.9136544446713979E-2</v>
      </c>
      <c r="FL295">
        <v>24</v>
      </c>
      <c r="FM295">
        <v>1.7759999999999976</v>
      </c>
      <c r="FN295">
        <v>4</v>
      </c>
      <c r="FO295">
        <v>6.1199999999999992</v>
      </c>
      <c r="FP295">
        <v>-4.4399999999999995</v>
      </c>
      <c r="FQ295">
        <v>-1.0399999999999998</v>
      </c>
      <c r="FR295">
        <v>-1.1599999999999997</v>
      </c>
      <c r="FS295">
        <v>-5.08</v>
      </c>
      <c r="FT295">
        <v>-8.2799999999999994</v>
      </c>
      <c r="FU295">
        <v>0.8</v>
      </c>
      <c r="FV295">
        <v>-70.960000000000008</v>
      </c>
      <c r="FW295">
        <v>-69</v>
      </c>
      <c r="FX295">
        <v>-3.1199999999999988</v>
      </c>
      <c r="FY295">
        <v>-1.3200000000000003</v>
      </c>
      <c r="FZ295">
        <v>2.48</v>
      </c>
      <c r="GA295">
        <v>21</v>
      </c>
      <c r="GB295">
        <v>-1.9502000000000015</v>
      </c>
      <c r="GC295">
        <v>-1.6141400000000004</v>
      </c>
      <c r="GD295">
        <v>-65.88</v>
      </c>
      <c r="GE295">
        <v>1.9502000000000006</v>
      </c>
      <c r="GF295">
        <v>-3.5282750000000003</v>
      </c>
      <c r="GG295">
        <v>-11.308000000000002</v>
      </c>
      <c r="GH295">
        <v>-50.84</v>
      </c>
      <c r="GI295">
        <v>-4.7530000000000001</v>
      </c>
      <c r="GJ295">
        <v>-7.4899999999999984</v>
      </c>
      <c r="GK295">
        <v>-3.67</v>
      </c>
      <c r="GL295">
        <v>-1.23</v>
      </c>
    </row>
    <row r="296" spans="1:194" x14ac:dyDescent="0.2">
      <c r="A296" s="39">
        <v>43779</v>
      </c>
      <c r="B296" s="22" t="s">
        <v>244</v>
      </c>
      <c r="C296" s="41" t="s">
        <v>284</v>
      </c>
      <c r="D296" s="22" t="s">
        <v>285</v>
      </c>
      <c r="E296">
        <v>12.2</v>
      </c>
      <c r="F296">
        <v>13.4</v>
      </c>
      <c r="G296">
        <v>5.3</v>
      </c>
      <c r="H296">
        <v>14.7</v>
      </c>
      <c r="I296">
        <v>-5.5</v>
      </c>
      <c r="J296">
        <v>51</v>
      </c>
      <c r="K296" t="s">
        <v>109</v>
      </c>
      <c r="L296" s="1" t="s">
        <v>284</v>
      </c>
      <c r="M296">
        <v>10</v>
      </c>
      <c r="N296">
        <v>2.1896000000000004</v>
      </c>
      <c r="O296">
        <v>24</v>
      </c>
      <c r="P296">
        <v>22.5</v>
      </c>
      <c r="Q296">
        <v>20</v>
      </c>
      <c r="R296">
        <v>-5.729000000000001</v>
      </c>
      <c r="S296">
        <v>25</v>
      </c>
      <c r="T296">
        <v>-19.749999999999996</v>
      </c>
      <c r="U296">
        <v>-0.31000000000000005</v>
      </c>
      <c r="V296">
        <v>20</v>
      </c>
      <c r="W296">
        <v>18.5</v>
      </c>
      <c r="X296">
        <v>12</v>
      </c>
      <c r="Y296">
        <v>1.8859999999999997</v>
      </c>
      <c r="Z296">
        <v>25</v>
      </c>
      <c r="AA296">
        <v>-9.2799999999999994</v>
      </c>
      <c r="AB296">
        <v>-0.31000000000000011</v>
      </c>
      <c r="AC296">
        <v>24</v>
      </c>
      <c r="AD296">
        <v>22.5</v>
      </c>
      <c r="AE296">
        <v>26</v>
      </c>
      <c r="AF296">
        <v>5.3319999999999999</v>
      </c>
      <c r="AG296">
        <v>19</v>
      </c>
      <c r="AH296">
        <v>26.559999999999995</v>
      </c>
      <c r="AI296">
        <v>-0.23999999999999985</v>
      </c>
      <c r="AJ296">
        <v>2</v>
      </c>
      <c r="AK296">
        <v>3</v>
      </c>
      <c r="AL296">
        <v>3</v>
      </c>
      <c r="AM296">
        <v>7.6560000000000006</v>
      </c>
      <c r="AN296">
        <v>3</v>
      </c>
      <c r="AO296">
        <v>36.32</v>
      </c>
      <c r="AP296">
        <v>3.5200000000000005</v>
      </c>
      <c r="AQ296">
        <v>4</v>
      </c>
      <c r="AR296">
        <v>4.5</v>
      </c>
      <c r="AS296">
        <v>5</v>
      </c>
      <c r="AT296">
        <v>0.81600000000000006</v>
      </c>
      <c r="AU296">
        <v>4</v>
      </c>
      <c r="AV296">
        <v>1.64</v>
      </c>
      <c r="AW296">
        <v>1.48</v>
      </c>
      <c r="AX296">
        <v>6</v>
      </c>
      <c r="AY296">
        <v>5.5</v>
      </c>
      <c r="AZ296">
        <v>6</v>
      </c>
      <c r="BA296">
        <v>6.3559999999999999</v>
      </c>
      <c r="BB296">
        <v>5</v>
      </c>
      <c r="BC296">
        <v>36.759999999999991</v>
      </c>
      <c r="BD296">
        <v>1.2399999999999998</v>
      </c>
      <c r="BE296">
        <v>20</v>
      </c>
      <c r="BF296">
        <v>22</v>
      </c>
      <c r="BG296">
        <v>22</v>
      </c>
      <c r="BH296">
        <v>-3.4</v>
      </c>
      <c r="BI296">
        <v>22</v>
      </c>
      <c r="BJ296">
        <v>-19.600000000000001</v>
      </c>
      <c r="BK296">
        <v>-1.1199999999999999</v>
      </c>
      <c r="BL296">
        <v>18</v>
      </c>
      <c r="BM296">
        <v>17.5</v>
      </c>
      <c r="BN296">
        <v>16</v>
      </c>
      <c r="BO296">
        <v>1.8000000000000003</v>
      </c>
      <c r="BP296">
        <v>19</v>
      </c>
      <c r="BQ296">
        <v>0.15999999999999998</v>
      </c>
      <c r="BR296">
        <v>-3.8800000000000003</v>
      </c>
      <c r="BS296">
        <v>14</v>
      </c>
      <c r="BT296">
        <v>14</v>
      </c>
      <c r="BU296">
        <v>29</v>
      </c>
      <c r="BV296">
        <v>-1.5389751345299763E-2</v>
      </c>
      <c r="BW296">
        <v>22</v>
      </c>
      <c r="BX296">
        <v>3.1269387411979245E-2</v>
      </c>
      <c r="BY296">
        <v>1</v>
      </c>
      <c r="BZ296">
        <v>-19.916000000000004</v>
      </c>
      <c r="CA296">
        <v>4</v>
      </c>
      <c r="CB296">
        <v>3.4400000000000004</v>
      </c>
      <c r="CC296">
        <v>6.6799999999999971</v>
      </c>
      <c r="CD296">
        <v>4.3599999999999985</v>
      </c>
      <c r="CE296">
        <v>-1.1199999999999999</v>
      </c>
      <c r="CF296">
        <v>24.96</v>
      </c>
      <c r="CG296">
        <v>43.440000000000005</v>
      </c>
      <c r="CH296">
        <v>-24.919999999999995</v>
      </c>
      <c r="CI296">
        <v>-0.28000000000000008</v>
      </c>
      <c r="CJ296">
        <v>6.7200000000000006</v>
      </c>
      <c r="CK296">
        <v>8</v>
      </c>
      <c r="CL296">
        <v>6.0326000000000022</v>
      </c>
      <c r="CM296">
        <v>4.4402200000000009</v>
      </c>
      <c r="CN296">
        <v>68.36</v>
      </c>
      <c r="CO296">
        <v>-6.0326000000000022</v>
      </c>
      <c r="CP296">
        <v>1.3188250000000001</v>
      </c>
      <c r="CQ296">
        <v>13.804</v>
      </c>
      <c r="CR296">
        <v>64.52</v>
      </c>
      <c r="CS296">
        <v>-3.8430000000000013</v>
      </c>
      <c r="CT296">
        <v>-29.029999999999994</v>
      </c>
      <c r="CU296">
        <v>3.6400000000000006</v>
      </c>
      <c r="CV296">
        <v>-0.62000000000000011</v>
      </c>
      <c r="CW296">
        <v>2.7249625000000006</v>
      </c>
      <c r="CX296">
        <v>3.0680250000000009</v>
      </c>
      <c r="CY296" t="s">
        <v>285</v>
      </c>
      <c r="CZ296">
        <v>1</v>
      </c>
      <c r="DA296">
        <v>5.8879999999999999</v>
      </c>
      <c r="DB296">
        <v>16</v>
      </c>
      <c r="DC296">
        <v>16.5</v>
      </c>
      <c r="DD296">
        <v>12</v>
      </c>
      <c r="DE296">
        <v>3.8872000000000027</v>
      </c>
      <c r="DF296">
        <v>21</v>
      </c>
      <c r="DG296">
        <v>21.68</v>
      </c>
      <c r="DH296">
        <v>0.60000000000000009</v>
      </c>
      <c r="DI296">
        <v>11</v>
      </c>
      <c r="DJ296">
        <v>14</v>
      </c>
      <c r="DK296">
        <v>23</v>
      </c>
      <c r="DL296">
        <v>-1.0119999999999998</v>
      </c>
      <c r="DM296">
        <v>5</v>
      </c>
      <c r="DN296">
        <v>5.32</v>
      </c>
      <c r="DO296">
        <v>-0.79999999999999993</v>
      </c>
      <c r="DP296">
        <v>8</v>
      </c>
      <c r="DQ296">
        <v>7</v>
      </c>
      <c r="DR296">
        <v>7</v>
      </c>
      <c r="DS296">
        <v>6.6240000000000006</v>
      </c>
      <c r="DT296">
        <v>7</v>
      </c>
      <c r="DU296">
        <v>19.960000000000004</v>
      </c>
      <c r="DV296">
        <v>1.2000000000000004</v>
      </c>
      <c r="DW296">
        <v>1</v>
      </c>
      <c r="DX296">
        <v>1.5</v>
      </c>
      <c r="DY296">
        <v>2</v>
      </c>
      <c r="DZ296">
        <v>-9.9999999999999825E-2</v>
      </c>
      <c r="EA296">
        <v>1</v>
      </c>
      <c r="EB296">
        <v>-2.5199999999999996</v>
      </c>
      <c r="EC296">
        <v>-0.55999999999999983</v>
      </c>
      <c r="ED296">
        <v>4</v>
      </c>
      <c r="EE296">
        <v>5.5</v>
      </c>
      <c r="EF296">
        <v>4</v>
      </c>
      <c r="EG296">
        <v>8.0000000000000071E-3</v>
      </c>
      <c r="EH296">
        <v>7</v>
      </c>
      <c r="EI296">
        <v>-1.879999999999999</v>
      </c>
      <c r="EJ296">
        <v>-1.1599999999999999</v>
      </c>
      <c r="EK296">
        <v>1</v>
      </c>
      <c r="EL296">
        <v>1.5</v>
      </c>
      <c r="EM296">
        <v>2</v>
      </c>
      <c r="EN296">
        <v>3.5200000000000018</v>
      </c>
      <c r="EO296">
        <v>1</v>
      </c>
      <c r="EP296">
        <v>25.599999999999998</v>
      </c>
      <c r="EQ296">
        <v>0.48000000000000009</v>
      </c>
      <c r="ER296">
        <v>5</v>
      </c>
      <c r="ES296">
        <v>6</v>
      </c>
      <c r="ET296">
        <v>4</v>
      </c>
      <c r="EU296">
        <v>3.9599999999999995</v>
      </c>
      <c r="EV296">
        <v>8</v>
      </c>
      <c r="EW296">
        <v>18.679999999999996</v>
      </c>
      <c r="EX296">
        <v>0.67999999999999994</v>
      </c>
      <c r="EY296">
        <v>19</v>
      </c>
      <c r="EZ296">
        <v>20.5</v>
      </c>
      <c r="FA296">
        <v>19</v>
      </c>
      <c r="FB296">
        <v>-0.20000000000000018</v>
      </c>
      <c r="FC296">
        <v>22</v>
      </c>
      <c r="FD296">
        <v>-0.44000000000000006</v>
      </c>
      <c r="FE296">
        <v>-2.04</v>
      </c>
      <c r="FF296">
        <v>26</v>
      </c>
      <c r="FG296">
        <v>22</v>
      </c>
      <c r="FH296">
        <v>5</v>
      </c>
      <c r="FI296">
        <v>-3.9123818515458486E-2</v>
      </c>
      <c r="FJ296">
        <v>31</v>
      </c>
      <c r="FK296">
        <v>-1.0509881961917045E-2</v>
      </c>
      <c r="FL296">
        <v>20</v>
      </c>
      <c r="FM296">
        <v>10.907999999999998</v>
      </c>
      <c r="FN296">
        <v>32</v>
      </c>
      <c r="FO296">
        <v>-6.2799999999999994</v>
      </c>
      <c r="FP296">
        <v>-3.9999999999999855E-2</v>
      </c>
      <c r="FQ296">
        <v>1.56</v>
      </c>
      <c r="FR296">
        <v>-0.60000000000000009</v>
      </c>
      <c r="FS296">
        <v>-0.11999999999999886</v>
      </c>
      <c r="FT296">
        <v>5.32</v>
      </c>
      <c r="FU296">
        <v>0.20000000000000009</v>
      </c>
      <c r="FV296">
        <v>54.840000000000011</v>
      </c>
      <c r="FW296">
        <v>42.88</v>
      </c>
      <c r="FX296">
        <v>21.2</v>
      </c>
      <c r="FY296">
        <v>-6.04</v>
      </c>
      <c r="FZ296">
        <v>-3.1999999999999997</v>
      </c>
      <c r="GA296">
        <v>8</v>
      </c>
      <c r="GB296">
        <v>3.0127999999999968</v>
      </c>
      <c r="GC296">
        <v>1.8383999999999991</v>
      </c>
      <c r="GD296">
        <v>21.680000000000003</v>
      </c>
      <c r="GE296">
        <v>-3.0127999999999968</v>
      </c>
      <c r="GF296">
        <v>2.3819000000000004</v>
      </c>
      <c r="GG296">
        <v>6.5320000000000009</v>
      </c>
      <c r="GH296">
        <v>15.560000000000006</v>
      </c>
      <c r="GI296">
        <v>2.8752000000000031</v>
      </c>
      <c r="GJ296">
        <v>27</v>
      </c>
      <c r="GK296">
        <v>0.16000000000000059</v>
      </c>
      <c r="GL296">
        <v>-0.19999999999999984</v>
      </c>
    </row>
    <row r="297" spans="1:194" x14ac:dyDescent="0.2">
      <c r="A297" s="39">
        <v>43779</v>
      </c>
      <c r="B297" s="22" t="s">
        <v>244</v>
      </c>
      <c r="C297" s="41" t="s">
        <v>310</v>
      </c>
      <c r="D297" s="22" t="s">
        <v>288</v>
      </c>
      <c r="E297">
        <v>2.7</v>
      </c>
      <c r="F297" s="14">
        <v>9.3000000000000007</v>
      </c>
      <c r="G297">
        <v>3</v>
      </c>
      <c r="H297">
        <f>12.6+7</f>
        <v>19.600000000000001</v>
      </c>
      <c r="I297">
        <v>5</v>
      </c>
      <c r="J297">
        <v>49</v>
      </c>
      <c r="L297" s="1" t="s">
        <v>310</v>
      </c>
      <c r="M297">
        <v>16</v>
      </c>
      <c r="N297">
        <v>-0.13720000000000016</v>
      </c>
      <c r="O297">
        <v>1</v>
      </c>
      <c r="P297">
        <v>1.5</v>
      </c>
      <c r="Q297">
        <v>2</v>
      </c>
      <c r="R297">
        <v>-4.1848000000000001</v>
      </c>
      <c r="S297">
        <v>1</v>
      </c>
      <c r="T297">
        <v>-3.4399999999999991</v>
      </c>
      <c r="U297">
        <v>-2.12</v>
      </c>
      <c r="V297">
        <v>29</v>
      </c>
      <c r="W297">
        <v>29</v>
      </c>
      <c r="X297">
        <v>29</v>
      </c>
      <c r="Y297">
        <v>-2.472</v>
      </c>
      <c r="Z297">
        <v>29</v>
      </c>
      <c r="AA297">
        <v>-16.239999999999998</v>
      </c>
      <c r="AB297">
        <v>7.9999999999999988E-2</v>
      </c>
      <c r="AC297">
        <v>28</v>
      </c>
      <c r="AD297">
        <v>27.5</v>
      </c>
      <c r="AE297">
        <v>28</v>
      </c>
      <c r="AF297">
        <v>-4.992</v>
      </c>
      <c r="AG297">
        <v>27</v>
      </c>
      <c r="AH297">
        <v>-23.2</v>
      </c>
      <c r="AI297">
        <v>-2.44</v>
      </c>
      <c r="AJ297">
        <v>28</v>
      </c>
      <c r="AK297">
        <v>27.5</v>
      </c>
      <c r="AL297">
        <v>28</v>
      </c>
      <c r="AM297">
        <v>-4.3559999999999999</v>
      </c>
      <c r="AN297">
        <v>27</v>
      </c>
      <c r="AO297">
        <v>-11.560000000000004</v>
      </c>
      <c r="AP297">
        <v>-0.36</v>
      </c>
      <c r="AQ297">
        <v>15</v>
      </c>
      <c r="AR297">
        <v>15</v>
      </c>
      <c r="AS297">
        <v>12</v>
      </c>
      <c r="AT297">
        <v>2.6280000000000001</v>
      </c>
      <c r="AU297">
        <v>18</v>
      </c>
      <c r="AV297">
        <v>9.24</v>
      </c>
      <c r="AW297">
        <v>0.64</v>
      </c>
      <c r="AX297">
        <v>20</v>
      </c>
      <c r="AY297">
        <v>20</v>
      </c>
      <c r="AZ297">
        <v>22</v>
      </c>
      <c r="BA297">
        <v>1.6000000000000014E-2</v>
      </c>
      <c r="BB297">
        <v>18</v>
      </c>
      <c r="BC297">
        <v>6.5599999999999978</v>
      </c>
      <c r="BD297">
        <v>1.8400000000000003</v>
      </c>
      <c r="BE297">
        <v>14</v>
      </c>
      <c r="BF297">
        <v>13.5</v>
      </c>
      <c r="BG297">
        <v>15</v>
      </c>
      <c r="BH297">
        <v>2.8400000000000007</v>
      </c>
      <c r="BI297">
        <v>12</v>
      </c>
      <c r="BJ297">
        <v>24.32</v>
      </c>
      <c r="BK297">
        <v>1.1200000000000001</v>
      </c>
      <c r="BL297">
        <v>29</v>
      </c>
      <c r="BM297">
        <v>29</v>
      </c>
      <c r="BN297">
        <v>28</v>
      </c>
      <c r="BO297">
        <v>-3.8</v>
      </c>
      <c r="BP297">
        <v>30</v>
      </c>
      <c r="BQ297">
        <v>-0.31999999999999995</v>
      </c>
      <c r="BR297">
        <v>-1.56</v>
      </c>
      <c r="BS297">
        <v>25</v>
      </c>
      <c r="BT297">
        <v>21</v>
      </c>
      <c r="BU297">
        <v>27</v>
      </c>
      <c r="BV297">
        <v>-5.6218922573214149E-3</v>
      </c>
      <c r="BW297">
        <v>2</v>
      </c>
      <c r="BX297">
        <v>3.9191081372193293E-2</v>
      </c>
      <c r="BY297">
        <v>30</v>
      </c>
      <c r="BZ297">
        <v>8.1840000000000028</v>
      </c>
      <c r="CA297">
        <v>25</v>
      </c>
      <c r="CB297">
        <v>3.3600000000000003</v>
      </c>
      <c r="CC297">
        <v>-3.4000000000000012</v>
      </c>
      <c r="CD297">
        <v>-4.88</v>
      </c>
      <c r="CE297">
        <v>-0.83999999999999986</v>
      </c>
      <c r="CF297">
        <v>-27.759999999999991</v>
      </c>
      <c r="CG297">
        <v>0.7199999999999932</v>
      </c>
      <c r="CH297">
        <v>-24.479999999999997</v>
      </c>
      <c r="CI297">
        <v>-3.28</v>
      </c>
      <c r="CJ297">
        <v>-0.72000000000000031</v>
      </c>
      <c r="CK297">
        <v>7</v>
      </c>
      <c r="CL297">
        <v>6.5196000000000005</v>
      </c>
      <c r="CM297">
        <v>2.5249600000000005</v>
      </c>
      <c r="CN297">
        <v>25.199999999999989</v>
      </c>
      <c r="CO297">
        <v>-6.5196000000000005</v>
      </c>
      <c r="CP297">
        <v>-1.8092500000000005</v>
      </c>
      <c r="CQ297">
        <v>-6.7199999999999989</v>
      </c>
      <c r="CR297">
        <v>-25.520000000000003</v>
      </c>
      <c r="CS297">
        <v>-6.6568000000000005</v>
      </c>
      <c r="CT297">
        <v>-19.679999999999996</v>
      </c>
      <c r="CU297">
        <v>-1.0399999999999996</v>
      </c>
      <c r="CV297">
        <v>-2.04</v>
      </c>
      <c r="CW297">
        <v>-0.61262500000000009</v>
      </c>
      <c r="CX297">
        <v>4.2449999999999821E-2</v>
      </c>
      <c r="CY297" t="s">
        <v>288</v>
      </c>
      <c r="CZ297">
        <v>7</v>
      </c>
      <c r="DA297">
        <v>-0.12000000000000063</v>
      </c>
      <c r="DB297">
        <v>3</v>
      </c>
      <c r="DC297">
        <v>3</v>
      </c>
      <c r="DD297">
        <v>3</v>
      </c>
      <c r="DE297">
        <v>3.5224000000000002</v>
      </c>
      <c r="DF297">
        <v>3</v>
      </c>
      <c r="DG297">
        <v>3.4</v>
      </c>
      <c r="DH297">
        <v>0.88000000000000012</v>
      </c>
      <c r="DI297">
        <v>20</v>
      </c>
      <c r="DJ297">
        <v>17.5</v>
      </c>
      <c r="DK297">
        <v>5</v>
      </c>
      <c r="DL297">
        <v>2.7</v>
      </c>
      <c r="DM297">
        <v>30</v>
      </c>
      <c r="DN297">
        <v>-9.48</v>
      </c>
      <c r="DO297">
        <v>1</v>
      </c>
      <c r="DP297">
        <v>32</v>
      </c>
      <c r="DQ297">
        <v>32</v>
      </c>
      <c r="DR297">
        <v>32</v>
      </c>
      <c r="DS297">
        <v>-6.8040000000000003</v>
      </c>
      <c r="DT297">
        <v>32</v>
      </c>
      <c r="DU297">
        <v>-31.4</v>
      </c>
      <c r="DV297">
        <v>-1.48</v>
      </c>
      <c r="DW297">
        <v>24</v>
      </c>
      <c r="DX297">
        <v>25</v>
      </c>
      <c r="DY297">
        <v>23</v>
      </c>
      <c r="DZ297">
        <v>-5.2120000000000006</v>
      </c>
      <c r="EA297">
        <v>27</v>
      </c>
      <c r="EB297">
        <v>-18.439999999999998</v>
      </c>
      <c r="EC297">
        <v>-7.9999999999999891E-2</v>
      </c>
      <c r="ED297">
        <v>13</v>
      </c>
      <c r="EE297">
        <v>12.5</v>
      </c>
      <c r="EF297">
        <v>12</v>
      </c>
      <c r="EG297">
        <v>1.0319999999999998</v>
      </c>
      <c r="EH297">
        <v>13</v>
      </c>
      <c r="EI297">
        <v>-1.7200000000000002</v>
      </c>
      <c r="EJ297">
        <v>1.2399999999999998</v>
      </c>
      <c r="EK297">
        <v>12</v>
      </c>
      <c r="EL297">
        <v>12</v>
      </c>
      <c r="EM297">
        <v>8</v>
      </c>
      <c r="EN297">
        <v>4.016</v>
      </c>
      <c r="EO297">
        <v>16</v>
      </c>
      <c r="EP297">
        <v>10.16</v>
      </c>
      <c r="EQ297">
        <v>3.4799999999999995</v>
      </c>
      <c r="ER297">
        <v>2</v>
      </c>
      <c r="ES297">
        <v>2</v>
      </c>
      <c r="ET297">
        <v>2</v>
      </c>
      <c r="EU297">
        <v>-2.6199999999999997</v>
      </c>
      <c r="EV297">
        <v>2</v>
      </c>
      <c r="EW297">
        <v>-8.9600000000000009</v>
      </c>
      <c r="EX297">
        <v>0.44000000000000006</v>
      </c>
      <c r="EY297">
        <v>20</v>
      </c>
      <c r="EZ297">
        <v>21</v>
      </c>
      <c r="FA297">
        <v>25</v>
      </c>
      <c r="FB297">
        <v>-2.6399999999999997</v>
      </c>
      <c r="FC297">
        <v>17</v>
      </c>
      <c r="FD297">
        <v>-0.43999999999999995</v>
      </c>
      <c r="FE297">
        <v>-2.12</v>
      </c>
      <c r="FF297">
        <v>2</v>
      </c>
      <c r="FG297">
        <v>7.25</v>
      </c>
      <c r="FH297">
        <v>4</v>
      </c>
      <c r="FI297">
        <v>2.5478000483529151E-2</v>
      </c>
      <c r="FJ297">
        <v>13</v>
      </c>
      <c r="FK297">
        <v>4.4638370251939398E-3</v>
      </c>
      <c r="FL297">
        <v>3</v>
      </c>
      <c r="FM297">
        <v>-21.403999999999996</v>
      </c>
      <c r="FN297">
        <v>9</v>
      </c>
      <c r="FO297">
        <v>1.7599999999999998</v>
      </c>
      <c r="FP297">
        <v>3.2399999999999993</v>
      </c>
      <c r="FQ297">
        <v>1.7999999999999994</v>
      </c>
      <c r="FR297">
        <v>0.6</v>
      </c>
      <c r="FS297">
        <v>6.1200000000000028</v>
      </c>
      <c r="FT297">
        <v>-2.3600000000000003</v>
      </c>
      <c r="FU297">
        <v>-0.51999999999999991</v>
      </c>
      <c r="FV297">
        <v>-24.8</v>
      </c>
      <c r="FW297">
        <v>-23.8</v>
      </c>
      <c r="FX297">
        <v>-4.6800000000000015</v>
      </c>
      <c r="FY297">
        <v>0.44000000000000006</v>
      </c>
      <c r="FZ297">
        <v>3.2400000000000011</v>
      </c>
      <c r="GA297">
        <v>29</v>
      </c>
      <c r="GB297">
        <v>-6.3424000000000014</v>
      </c>
      <c r="GC297">
        <v>-5.8560000000000008</v>
      </c>
      <c r="GD297">
        <v>-19.119999999999997</v>
      </c>
      <c r="GE297">
        <v>6.3424000000000014</v>
      </c>
      <c r="GF297">
        <v>-1.2677</v>
      </c>
      <c r="GG297">
        <v>-10.984000000000002</v>
      </c>
      <c r="GH297">
        <v>-51.559999999999995</v>
      </c>
      <c r="GI297">
        <v>6.2224000000000004</v>
      </c>
      <c r="GJ297">
        <v>-6.08</v>
      </c>
      <c r="GK297">
        <v>0.12</v>
      </c>
      <c r="GL297">
        <v>1.8800000000000001</v>
      </c>
    </row>
    <row r="298" spans="1:194" x14ac:dyDescent="0.2">
      <c r="A298" s="39">
        <v>43786</v>
      </c>
      <c r="B298" s="22" t="s">
        <v>259</v>
      </c>
      <c r="C298" s="41" t="s">
        <v>285</v>
      </c>
      <c r="D298" s="22" t="s">
        <v>256</v>
      </c>
      <c r="E298">
        <v>13.7</v>
      </c>
      <c r="F298">
        <v>10.199999999999999</v>
      </c>
      <c r="G298">
        <v>12.5</v>
      </c>
      <c r="H298">
        <v>1.4</v>
      </c>
      <c r="I298">
        <v>10</v>
      </c>
      <c r="J298">
        <v>44</v>
      </c>
      <c r="L298" s="1" t="s">
        <v>285</v>
      </c>
      <c r="M298">
        <v>12</v>
      </c>
      <c r="N298">
        <v>1.2112000000000023</v>
      </c>
      <c r="O298">
        <v>24</v>
      </c>
      <c r="P298">
        <v>22.5</v>
      </c>
      <c r="Q298">
        <v>22</v>
      </c>
      <c r="R298">
        <v>4.8890000000000002</v>
      </c>
      <c r="S298">
        <v>23</v>
      </c>
      <c r="T298">
        <v>-3.6099999999999994</v>
      </c>
      <c r="U298">
        <v>-0.2</v>
      </c>
      <c r="V298">
        <v>29</v>
      </c>
      <c r="W298">
        <v>29</v>
      </c>
      <c r="X298">
        <v>30</v>
      </c>
      <c r="Y298">
        <v>-1.3240000000000003</v>
      </c>
      <c r="Z298">
        <v>28</v>
      </c>
      <c r="AA298">
        <v>-6.3599999999999994</v>
      </c>
      <c r="AB298">
        <v>-1.1600000000000001</v>
      </c>
      <c r="AC298">
        <v>27</v>
      </c>
      <c r="AD298">
        <v>26.5</v>
      </c>
      <c r="AE298">
        <v>27</v>
      </c>
      <c r="AF298">
        <v>-7.3439999999999994</v>
      </c>
      <c r="AG298">
        <v>26</v>
      </c>
      <c r="AH298">
        <v>-30</v>
      </c>
      <c r="AI298">
        <v>-3.0799999999999996</v>
      </c>
      <c r="AJ298">
        <v>7</v>
      </c>
      <c r="AK298">
        <v>8</v>
      </c>
      <c r="AL298">
        <v>6</v>
      </c>
      <c r="AM298">
        <v>3.6680000000000006</v>
      </c>
      <c r="AN298">
        <v>10</v>
      </c>
      <c r="AO298">
        <v>15.959999999999997</v>
      </c>
      <c r="AP298">
        <v>0.32000000000000012</v>
      </c>
      <c r="AQ298">
        <v>11</v>
      </c>
      <c r="AR298">
        <v>10.5</v>
      </c>
      <c r="AS298">
        <v>9</v>
      </c>
      <c r="AT298">
        <v>1.3839999999999999</v>
      </c>
      <c r="AU298">
        <v>12</v>
      </c>
      <c r="AV298">
        <v>10.600000000000001</v>
      </c>
      <c r="AW298">
        <v>-0.6399999999999999</v>
      </c>
      <c r="AX298">
        <v>16</v>
      </c>
      <c r="AY298">
        <v>16</v>
      </c>
      <c r="AZ298">
        <v>18</v>
      </c>
      <c r="BA298">
        <v>0.90400000000000136</v>
      </c>
      <c r="BB298">
        <v>14</v>
      </c>
      <c r="BC298">
        <v>4.7999999999999989</v>
      </c>
      <c r="BD298">
        <v>-3.5200000000000005</v>
      </c>
      <c r="BE298">
        <v>24</v>
      </c>
      <c r="BF298">
        <v>23.5</v>
      </c>
      <c r="BG298">
        <v>29</v>
      </c>
      <c r="BH298">
        <v>-2.8000000000000012</v>
      </c>
      <c r="BI298">
        <v>18</v>
      </c>
      <c r="BJ298">
        <v>-5.4400000000000022</v>
      </c>
      <c r="BK298">
        <v>-1.9599999999999997</v>
      </c>
      <c r="BL298">
        <v>21</v>
      </c>
      <c r="BM298">
        <v>20</v>
      </c>
      <c r="BN298">
        <v>17</v>
      </c>
      <c r="BO298">
        <v>0.24000000000000005</v>
      </c>
      <c r="BP298">
        <v>23</v>
      </c>
      <c r="BQ298">
        <v>-0.12000000000000002</v>
      </c>
      <c r="BR298">
        <v>-4.6399999999999997</v>
      </c>
      <c r="BS298">
        <v>9</v>
      </c>
      <c r="BT298">
        <v>12.25</v>
      </c>
      <c r="BU298">
        <v>20</v>
      </c>
      <c r="BV298">
        <v>-7.0512924245924369E-2</v>
      </c>
      <c r="BW298">
        <v>7</v>
      </c>
      <c r="BX298">
        <v>-1.5783531433996977E-2</v>
      </c>
      <c r="BY298">
        <v>4</v>
      </c>
      <c r="BZ298">
        <v>-7.1400000000000023</v>
      </c>
      <c r="CA298">
        <v>18</v>
      </c>
      <c r="CB298">
        <v>-2.6399999999999997</v>
      </c>
      <c r="CC298">
        <v>-4.1199999999999992</v>
      </c>
      <c r="CD298">
        <v>2.4799999999999995</v>
      </c>
      <c r="CE298">
        <v>-2.6</v>
      </c>
      <c r="CF298">
        <v>9.5200000000000049</v>
      </c>
      <c r="CG298">
        <v>4.8799999999999955</v>
      </c>
      <c r="CH298">
        <v>-10.680000000000001</v>
      </c>
      <c r="CI298">
        <v>1.92</v>
      </c>
      <c r="CJ298">
        <v>13.4</v>
      </c>
      <c r="CK298">
        <v>19</v>
      </c>
      <c r="CL298">
        <v>-2.3537999999999974</v>
      </c>
      <c r="CM298">
        <v>-2.5586599999999997</v>
      </c>
      <c r="CN298">
        <v>15.559999999999997</v>
      </c>
      <c r="CO298">
        <v>2.3537999999999979</v>
      </c>
      <c r="CP298">
        <v>-9.4749999999996434E-3</v>
      </c>
      <c r="CQ298">
        <v>-2.2919999999999989</v>
      </c>
      <c r="CR298">
        <v>-3.4400000000000013</v>
      </c>
      <c r="CS298">
        <v>3.5649999999999999</v>
      </c>
      <c r="CT298">
        <v>-9.9699999999999989</v>
      </c>
      <c r="CU298">
        <v>-5.3599999999999994</v>
      </c>
      <c r="CV298">
        <v>-1.36</v>
      </c>
      <c r="CW298">
        <v>-0.33264999999999978</v>
      </c>
      <c r="CX298">
        <v>1.9850000000000001</v>
      </c>
      <c r="CY298" t="s">
        <v>256</v>
      </c>
      <c r="CZ298">
        <v>22</v>
      </c>
      <c r="DA298">
        <v>-2.9064000000000005</v>
      </c>
      <c r="DB298">
        <v>14</v>
      </c>
      <c r="DC298">
        <v>16</v>
      </c>
      <c r="DD298">
        <v>22</v>
      </c>
      <c r="DE298">
        <v>-2.9540000000000002</v>
      </c>
      <c r="DF298">
        <v>10</v>
      </c>
      <c r="DG298">
        <v>8.2199999999999989</v>
      </c>
      <c r="DH298">
        <v>-0.57999999999999996</v>
      </c>
      <c r="DI298">
        <v>32</v>
      </c>
      <c r="DJ298">
        <v>32</v>
      </c>
      <c r="DK298">
        <v>32</v>
      </c>
      <c r="DL298">
        <v>-1.6819999999999999</v>
      </c>
      <c r="DM298">
        <v>32</v>
      </c>
      <c r="DN298">
        <v>-5.1999999999999993</v>
      </c>
      <c r="DO298">
        <v>-0.38</v>
      </c>
      <c r="DP298">
        <v>28</v>
      </c>
      <c r="DQ298">
        <v>26.5</v>
      </c>
      <c r="DR298">
        <v>23</v>
      </c>
      <c r="DS298">
        <v>-5.2240000000000002</v>
      </c>
      <c r="DT298">
        <v>30</v>
      </c>
      <c r="DU298">
        <v>-29.8</v>
      </c>
      <c r="DV298">
        <v>-2.16</v>
      </c>
      <c r="DW298">
        <v>31</v>
      </c>
      <c r="DX298">
        <v>30.5</v>
      </c>
      <c r="DY298">
        <v>32</v>
      </c>
      <c r="DZ298">
        <v>-5.3520000000000012</v>
      </c>
      <c r="EA298">
        <v>29</v>
      </c>
      <c r="EB298">
        <v>-15.199999999999998</v>
      </c>
      <c r="EC298">
        <v>1.1199999999999999</v>
      </c>
      <c r="ED298">
        <v>7</v>
      </c>
      <c r="EE298">
        <v>14</v>
      </c>
      <c r="EF298">
        <v>12</v>
      </c>
      <c r="EG298">
        <v>1.8440000000000001</v>
      </c>
      <c r="EH298">
        <v>16</v>
      </c>
      <c r="EI298">
        <v>7.0799999999999983</v>
      </c>
      <c r="EJ298">
        <v>-0.76</v>
      </c>
      <c r="EK298">
        <v>27</v>
      </c>
      <c r="EL298">
        <v>27</v>
      </c>
      <c r="EM298">
        <v>26</v>
      </c>
      <c r="EN298">
        <v>-4.5960000000000019</v>
      </c>
      <c r="EO298">
        <v>28</v>
      </c>
      <c r="EP298">
        <v>-26.359999999999996</v>
      </c>
      <c r="EQ298">
        <v>-2.6399999999999997</v>
      </c>
      <c r="ER298">
        <v>22</v>
      </c>
      <c r="ES298">
        <v>23.5</v>
      </c>
      <c r="ET298">
        <v>19</v>
      </c>
      <c r="EU298">
        <v>-2.528</v>
      </c>
      <c r="EV298">
        <v>28</v>
      </c>
      <c r="EW298">
        <v>-15.879999999999999</v>
      </c>
      <c r="EX298">
        <v>-0.91999999999999993</v>
      </c>
      <c r="EY298">
        <v>18</v>
      </c>
      <c r="EZ298">
        <v>20</v>
      </c>
      <c r="FA298">
        <v>22</v>
      </c>
      <c r="FB298">
        <v>-2.4</v>
      </c>
      <c r="FC298">
        <v>18</v>
      </c>
      <c r="FD298">
        <v>-0.88000000000000012</v>
      </c>
      <c r="FE298">
        <v>0.36000000000000015</v>
      </c>
      <c r="FF298">
        <v>13</v>
      </c>
      <c r="FG298">
        <v>14.75</v>
      </c>
      <c r="FH298">
        <v>23</v>
      </c>
      <c r="FI298">
        <v>-1.3953058888773028E-2</v>
      </c>
      <c r="FJ298">
        <v>8</v>
      </c>
      <c r="FK298">
        <v>5.7933214711236504E-2</v>
      </c>
      <c r="FL298">
        <v>24</v>
      </c>
      <c r="FM298">
        <v>1.1839999999999975</v>
      </c>
      <c r="FN298">
        <v>4</v>
      </c>
      <c r="FO298">
        <v>5.68</v>
      </c>
      <c r="FP298">
        <v>-3.8</v>
      </c>
      <c r="FQ298">
        <v>0.71999999999999953</v>
      </c>
      <c r="FR298">
        <v>-0.44000000000000006</v>
      </c>
      <c r="FS298">
        <v>-2.319999999999999</v>
      </c>
      <c r="FT298">
        <v>-4.7199999999999989</v>
      </c>
      <c r="FU298">
        <v>1.44</v>
      </c>
      <c r="FV298">
        <v>-39.199999999999989</v>
      </c>
      <c r="FW298">
        <v>-60.480000000000018</v>
      </c>
      <c r="FX298">
        <v>10.959999999999997</v>
      </c>
      <c r="FY298">
        <v>-1.56</v>
      </c>
      <c r="FZ298">
        <v>11.88</v>
      </c>
      <c r="GA298">
        <v>11</v>
      </c>
      <c r="GB298">
        <v>1.7295999999999996</v>
      </c>
      <c r="GC298">
        <v>-0.51528000000000063</v>
      </c>
      <c r="GD298">
        <v>-71.440000000000012</v>
      </c>
      <c r="GE298">
        <v>-1.7295999999999996</v>
      </c>
      <c r="GF298">
        <v>-2.6502999999999997</v>
      </c>
      <c r="GG298">
        <v>-8.7320000000000011</v>
      </c>
      <c r="GH298">
        <v>-37.92</v>
      </c>
      <c r="GI298">
        <v>-4.6360000000000001</v>
      </c>
      <c r="GJ298">
        <v>3.0199999999999996</v>
      </c>
      <c r="GK298">
        <v>-2.72</v>
      </c>
      <c r="GL298">
        <v>-0.96</v>
      </c>
    </row>
    <row r="299" spans="1:194" x14ac:dyDescent="0.2">
      <c r="A299" s="39">
        <v>43786</v>
      </c>
      <c r="B299" s="22" t="s">
        <v>259</v>
      </c>
      <c r="C299" s="41" t="s">
        <v>295</v>
      </c>
      <c r="D299" s="22" t="s">
        <v>301</v>
      </c>
      <c r="E299">
        <v>14.7</v>
      </c>
      <c r="F299">
        <v>31.3</v>
      </c>
      <c r="G299">
        <v>5.2</v>
      </c>
      <c r="H299">
        <v>4.3</v>
      </c>
      <c r="I299">
        <v>3.5</v>
      </c>
      <c r="J299">
        <v>49</v>
      </c>
      <c r="K299" t="s">
        <v>109</v>
      </c>
      <c r="L299" s="1" t="s">
        <v>295</v>
      </c>
      <c r="M299">
        <v>11</v>
      </c>
      <c r="N299">
        <v>1.5895999999999986</v>
      </c>
      <c r="O299">
        <v>29</v>
      </c>
      <c r="P299">
        <v>28</v>
      </c>
      <c r="Q299">
        <v>29</v>
      </c>
      <c r="R299">
        <v>-2.8590000000000004</v>
      </c>
      <c r="S299">
        <v>27</v>
      </c>
      <c r="T299">
        <v>-8.65</v>
      </c>
      <c r="U299">
        <v>7.9999999999999891E-2</v>
      </c>
      <c r="V299">
        <v>11</v>
      </c>
      <c r="W299">
        <v>11</v>
      </c>
      <c r="X299">
        <v>10</v>
      </c>
      <c r="Y299">
        <v>0.1239999999999994</v>
      </c>
      <c r="Z299">
        <v>12</v>
      </c>
      <c r="AA299">
        <v>1.7199999999999995</v>
      </c>
      <c r="AB299">
        <v>-1.2399999999999998</v>
      </c>
      <c r="AC299">
        <v>15</v>
      </c>
      <c r="AD299">
        <v>16</v>
      </c>
      <c r="AE299">
        <v>23</v>
      </c>
      <c r="AF299">
        <v>2.1240000000000001</v>
      </c>
      <c r="AG299">
        <v>9</v>
      </c>
      <c r="AH299">
        <v>26.040000000000003</v>
      </c>
      <c r="AI299">
        <v>0.84000000000000008</v>
      </c>
      <c r="AJ299">
        <v>6</v>
      </c>
      <c r="AK299">
        <v>7</v>
      </c>
      <c r="AL299">
        <v>8</v>
      </c>
      <c r="AM299">
        <v>1.5240000000000002</v>
      </c>
      <c r="AN299">
        <v>6</v>
      </c>
      <c r="AO299">
        <v>5.6399999999999988</v>
      </c>
      <c r="AP299">
        <v>-0.72</v>
      </c>
      <c r="AQ299">
        <v>6</v>
      </c>
      <c r="AR299">
        <v>6</v>
      </c>
      <c r="AS299">
        <v>6</v>
      </c>
      <c r="AT299">
        <v>-0.26399999999999968</v>
      </c>
      <c r="AU299">
        <v>6</v>
      </c>
      <c r="AV299">
        <v>-4.4400000000000013</v>
      </c>
      <c r="AW299">
        <v>0.59999999999999987</v>
      </c>
      <c r="AX299">
        <v>7</v>
      </c>
      <c r="AY299">
        <v>6.5</v>
      </c>
      <c r="AZ299">
        <v>7</v>
      </c>
      <c r="BA299">
        <v>-4.0559999999999992</v>
      </c>
      <c r="BB299">
        <v>6</v>
      </c>
      <c r="BC299">
        <v>-14.160000000000002</v>
      </c>
      <c r="BD299">
        <v>-2.7600000000000002</v>
      </c>
      <c r="BE299">
        <v>16</v>
      </c>
      <c r="BF299">
        <v>17</v>
      </c>
      <c r="BG299">
        <v>17</v>
      </c>
      <c r="BH299">
        <v>4.7200000000000006</v>
      </c>
      <c r="BI299">
        <v>17</v>
      </c>
      <c r="BJ299">
        <v>7.2799999999999994</v>
      </c>
      <c r="BK299">
        <v>-0.72</v>
      </c>
      <c r="BL299">
        <v>4</v>
      </c>
      <c r="BM299">
        <v>7</v>
      </c>
      <c r="BN299">
        <v>10</v>
      </c>
      <c r="BO299">
        <v>2.56</v>
      </c>
      <c r="BP299">
        <v>4</v>
      </c>
      <c r="BQ299">
        <v>1.1600000000000001</v>
      </c>
      <c r="BR299">
        <v>-0.99999999999999978</v>
      </c>
      <c r="BS299">
        <v>14</v>
      </c>
      <c r="BT299">
        <v>14</v>
      </c>
      <c r="BU299">
        <v>7</v>
      </c>
      <c r="BV299">
        <v>5.6287993945918116E-2</v>
      </c>
      <c r="BW299">
        <v>9</v>
      </c>
      <c r="BX299">
        <v>6.358214553195715E-3</v>
      </c>
      <c r="BY299">
        <v>26</v>
      </c>
      <c r="BZ299">
        <v>9.0079999999999991</v>
      </c>
      <c r="CA299">
        <v>14</v>
      </c>
      <c r="CB299">
        <v>-1.4400000000000002</v>
      </c>
      <c r="CC299">
        <v>-2.0399999999999991</v>
      </c>
      <c r="CD299">
        <v>0.59999999999999964</v>
      </c>
      <c r="CE299">
        <v>-0.56000000000000016</v>
      </c>
      <c r="CF299">
        <v>17.720000000000006</v>
      </c>
      <c r="CG299">
        <v>32.839999999999989</v>
      </c>
      <c r="CH299">
        <v>-5.4800000000000013</v>
      </c>
      <c r="CI299">
        <v>0.12000000000000002</v>
      </c>
      <c r="CJ299">
        <v>-9.76</v>
      </c>
      <c r="CK299">
        <v>10</v>
      </c>
      <c r="CL299">
        <v>4.3245999999999993</v>
      </c>
      <c r="CM299">
        <v>3.3062200000000006</v>
      </c>
      <c r="CN299">
        <v>38.319999999999993</v>
      </c>
      <c r="CO299">
        <v>-4.3246000000000002</v>
      </c>
      <c r="CP299">
        <v>1.1898249999999999</v>
      </c>
      <c r="CQ299">
        <v>3.3840000000000008</v>
      </c>
      <c r="CR299">
        <v>27.24</v>
      </c>
      <c r="CS299">
        <v>-2.7350000000000012</v>
      </c>
      <c r="CT299">
        <v>-6.9300000000000006</v>
      </c>
      <c r="CU299">
        <v>0</v>
      </c>
      <c r="CV299">
        <v>-1.1599999999999999</v>
      </c>
      <c r="CW299">
        <v>0.28627500000000028</v>
      </c>
      <c r="CX299">
        <v>0.34705000000000008</v>
      </c>
      <c r="CY299" t="s">
        <v>301</v>
      </c>
      <c r="CZ299">
        <v>14</v>
      </c>
      <c r="DA299">
        <v>-3.0319999999999991</v>
      </c>
      <c r="DB299">
        <v>7</v>
      </c>
      <c r="DC299">
        <v>10</v>
      </c>
      <c r="DD299">
        <v>5</v>
      </c>
      <c r="DE299">
        <v>5.4840000000000009</v>
      </c>
      <c r="DF299">
        <v>15</v>
      </c>
      <c r="DG299">
        <v>4.5600000000000023</v>
      </c>
      <c r="DH299">
        <v>-1.92</v>
      </c>
      <c r="DI299">
        <v>2</v>
      </c>
      <c r="DJ299">
        <v>3</v>
      </c>
      <c r="DK299">
        <v>4</v>
      </c>
      <c r="DL299">
        <v>-0.26799999999999996</v>
      </c>
      <c r="DM299">
        <v>2</v>
      </c>
      <c r="DN299">
        <v>4.4000000000000012</v>
      </c>
      <c r="DO299">
        <v>0.36</v>
      </c>
      <c r="DP299">
        <v>20</v>
      </c>
      <c r="DQ299">
        <v>16.5</v>
      </c>
      <c r="DR299">
        <v>16</v>
      </c>
      <c r="DS299">
        <v>-1.2079999999999995</v>
      </c>
      <c r="DT299">
        <v>17</v>
      </c>
      <c r="DU299">
        <v>-9.4400000000000013</v>
      </c>
      <c r="DV299">
        <v>1.1999999999999997</v>
      </c>
      <c r="DW299">
        <v>7</v>
      </c>
      <c r="DX299">
        <v>6.5</v>
      </c>
      <c r="DY299">
        <v>8</v>
      </c>
      <c r="DZ299">
        <v>6.1480000000000006</v>
      </c>
      <c r="EA299">
        <v>5</v>
      </c>
      <c r="EB299">
        <v>33.44</v>
      </c>
      <c r="EC299">
        <v>1.1199999999999999</v>
      </c>
      <c r="ED299">
        <v>11</v>
      </c>
      <c r="EE299">
        <v>7.5</v>
      </c>
      <c r="EF299">
        <v>12</v>
      </c>
      <c r="EG299">
        <v>-0.59999999999999964</v>
      </c>
      <c r="EH299">
        <v>3</v>
      </c>
      <c r="EI299">
        <v>2.7599999999999989</v>
      </c>
      <c r="EJ299">
        <v>-3.9999999999999945E-2</v>
      </c>
      <c r="EK299">
        <v>18</v>
      </c>
      <c r="EL299">
        <v>18</v>
      </c>
      <c r="EM299">
        <v>22</v>
      </c>
      <c r="EN299">
        <v>-0.88399999999999967</v>
      </c>
      <c r="EO299">
        <v>14</v>
      </c>
      <c r="EP299">
        <v>1.1599999999999995</v>
      </c>
      <c r="EQ299">
        <v>-8.0000000000000432E-2</v>
      </c>
      <c r="ER299">
        <v>12</v>
      </c>
      <c r="ES299">
        <v>13</v>
      </c>
      <c r="ET299">
        <v>20</v>
      </c>
      <c r="EU299">
        <v>-3.8800000000000003</v>
      </c>
      <c r="EV299">
        <v>6</v>
      </c>
      <c r="EW299">
        <v>-4.8000000000000016</v>
      </c>
      <c r="EX299">
        <v>-1.8</v>
      </c>
      <c r="EY299">
        <v>10</v>
      </c>
      <c r="EZ299">
        <v>11.5</v>
      </c>
      <c r="FA299">
        <v>16</v>
      </c>
      <c r="FB299">
        <v>-0.83999999999999986</v>
      </c>
      <c r="FC299">
        <v>7</v>
      </c>
      <c r="FD299">
        <v>3.9999999999999945E-2</v>
      </c>
      <c r="FE299">
        <v>4.5999999999999996</v>
      </c>
      <c r="FF299">
        <v>18</v>
      </c>
      <c r="FG299">
        <v>16.25</v>
      </c>
      <c r="FH299">
        <v>18</v>
      </c>
      <c r="FI299">
        <v>-1.6612738603690492E-2</v>
      </c>
      <c r="FJ299">
        <v>16</v>
      </c>
      <c r="FK299">
        <v>1.7043735430308935E-2</v>
      </c>
      <c r="FL299">
        <v>8</v>
      </c>
      <c r="FM299">
        <v>1.4360000000000042</v>
      </c>
      <c r="FN299">
        <v>23</v>
      </c>
      <c r="FO299">
        <v>-3.9999999999999855E-2</v>
      </c>
      <c r="FP299">
        <v>-1.7600000000000002</v>
      </c>
      <c r="FQ299">
        <v>1.1600000000000008</v>
      </c>
      <c r="FR299">
        <v>-0.52000000000000013</v>
      </c>
      <c r="FS299">
        <v>-4.000000000000057E-2</v>
      </c>
      <c r="FT299">
        <v>5.84</v>
      </c>
      <c r="FU299">
        <v>0.27999999999999992</v>
      </c>
      <c r="FV299">
        <v>24.439999999999998</v>
      </c>
      <c r="FW299">
        <v>2.4</v>
      </c>
      <c r="FX299">
        <v>23.6</v>
      </c>
      <c r="FY299">
        <v>2.6399999999999997</v>
      </c>
      <c r="FZ299">
        <v>-4.2</v>
      </c>
      <c r="GA299">
        <v>31</v>
      </c>
      <c r="GB299">
        <v>-8.2479999999999993</v>
      </c>
      <c r="GC299">
        <v>-3.1223999999999998</v>
      </c>
      <c r="GD299">
        <v>-21.200000000000003</v>
      </c>
      <c r="GE299">
        <v>8.2480000000000011</v>
      </c>
      <c r="GF299">
        <v>0.22550000000000042</v>
      </c>
      <c r="GG299">
        <v>4.3400000000000016</v>
      </c>
      <c r="GH299">
        <v>26.759999999999994</v>
      </c>
      <c r="GI299">
        <v>5.2160000000000011</v>
      </c>
      <c r="GJ299">
        <v>8.9600000000000044</v>
      </c>
      <c r="GK299">
        <v>0.47999999999999932</v>
      </c>
      <c r="GL299">
        <v>-1.56</v>
      </c>
    </row>
    <row r="300" spans="1:194" x14ac:dyDescent="0.2">
      <c r="A300" s="39">
        <v>43786</v>
      </c>
      <c r="B300" s="22" t="s">
        <v>259</v>
      </c>
      <c r="C300" s="41" t="s">
        <v>305</v>
      </c>
      <c r="D300" s="22" t="s">
        <v>311</v>
      </c>
      <c r="E300">
        <v>4.3</v>
      </c>
      <c r="F300">
        <v>3.3</v>
      </c>
      <c r="G300">
        <v>8.5</v>
      </c>
      <c r="H300">
        <f>17.5+4+3.6</f>
        <v>25.1</v>
      </c>
      <c r="I300">
        <v>-4</v>
      </c>
      <c r="J300">
        <v>51</v>
      </c>
      <c r="L300" s="1" t="s">
        <v>305</v>
      </c>
      <c r="M300">
        <v>1</v>
      </c>
      <c r="N300">
        <v>8.4575999999999993</v>
      </c>
      <c r="O300">
        <v>4</v>
      </c>
      <c r="P300">
        <v>6.5</v>
      </c>
      <c r="Q300">
        <v>4</v>
      </c>
      <c r="R300">
        <v>0.7840000000000007</v>
      </c>
      <c r="S300">
        <v>9</v>
      </c>
      <c r="T300">
        <v>-7.2399999999999975</v>
      </c>
      <c r="U300">
        <v>-0.55999999999999994</v>
      </c>
      <c r="V300">
        <v>5</v>
      </c>
      <c r="W300">
        <v>8</v>
      </c>
      <c r="X300">
        <v>14</v>
      </c>
      <c r="Y300">
        <v>2.2719999999999994</v>
      </c>
      <c r="Z300">
        <v>2</v>
      </c>
      <c r="AA300">
        <v>23.919999999999998</v>
      </c>
      <c r="AB300">
        <v>-1.48</v>
      </c>
      <c r="AC300">
        <v>26</v>
      </c>
      <c r="AD300">
        <v>25</v>
      </c>
      <c r="AE300">
        <v>22</v>
      </c>
      <c r="AF300">
        <v>-4.68</v>
      </c>
      <c r="AG300">
        <v>28</v>
      </c>
      <c r="AH300">
        <v>-19.866666666666667</v>
      </c>
      <c r="AI300">
        <v>-2.7333333333333329</v>
      </c>
      <c r="AJ300">
        <v>25</v>
      </c>
      <c r="AK300">
        <v>26</v>
      </c>
      <c r="AL300">
        <v>24</v>
      </c>
      <c r="AM300">
        <v>-4.8999999999999995</v>
      </c>
      <c r="AN300">
        <v>28</v>
      </c>
      <c r="AO300">
        <v>-25.266666666666662</v>
      </c>
      <c r="AP300">
        <v>-2.2666666666666666</v>
      </c>
      <c r="AQ300">
        <v>31</v>
      </c>
      <c r="AR300">
        <v>30</v>
      </c>
      <c r="AS300">
        <v>29</v>
      </c>
      <c r="AT300">
        <v>-2.78</v>
      </c>
      <c r="AU300">
        <v>31</v>
      </c>
      <c r="AV300">
        <v>-23.866666666666664</v>
      </c>
      <c r="AW300">
        <v>-2.7999999999999994</v>
      </c>
      <c r="AX300">
        <v>10</v>
      </c>
      <c r="AY300">
        <v>11</v>
      </c>
      <c r="AZ300">
        <v>5</v>
      </c>
      <c r="BA300">
        <v>0.44666666666666427</v>
      </c>
      <c r="BB300">
        <v>17</v>
      </c>
      <c r="BC300">
        <v>-12.866666666666665</v>
      </c>
      <c r="BD300">
        <v>-0.86666666666666659</v>
      </c>
      <c r="BE300">
        <v>2</v>
      </c>
      <c r="BF300">
        <v>2</v>
      </c>
      <c r="BG300">
        <v>2</v>
      </c>
      <c r="BH300">
        <v>8.032</v>
      </c>
      <c r="BI300">
        <v>2</v>
      </c>
      <c r="BJ300">
        <v>38.56</v>
      </c>
      <c r="BK300">
        <v>3.2399999999999998</v>
      </c>
      <c r="BL300">
        <v>8</v>
      </c>
      <c r="BM300">
        <v>8.5</v>
      </c>
      <c r="BN300">
        <v>2</v>
      </c>
      <c r="BO300">
        <v>2.6799999999999997</v>
      </c>
      <c r="BP300">
        <v>15</v>
      </c>
      <c r="BQ300">
        <v>0.28000000000000003</v>
      </c>
      <c r="BR300">
        <v>4.9999999999999982</v>
      </c>
      <c r="BS300">
        <v>31</v>
      </c>
      <c r="BT300">
        <v>29.25</v>
      </c>
      <c r="BU300">
        <v>27</v>
      </c>
      <c r="BV300">
        <v>-3.2843124265690214E-2</v>
      </c>
      <c r="BW300">
        <v>31</v>
      </c>
      <c r="BX300">
        <v>-1.8820762357118777E-2</v>
      </c>
      <c r="BY300">
        <v>27</v>
      </c>
      <c r="BZ300">
        <v>14.231999999999999</v>
      </c>
      <c r="CA300">
        <v>32</v>
      </c>
      <c r="CB300">
        <v>-5.32</v>
      </c>
      <c r="CC300">
        <v>-1.3199999999999974</v>
      </c>
      <c r="CD300">
        <v>7.44</v>
      </c>
      <c r="CE300">
        <v>3.8400000000000007</v>
      </c>
      <c r="CF300">
        <v>24.520000000000003</v>
      </c>
      <c r="CG300">
        <v>-54.760000000000012</v>
      </c>
      <c r="CH300">
        <v>22.240000000000002</v>
      </c>
      <c r="CI300">
        <v>-3.08</v>
      </c>
      <c r="CJ300">
        <v>60.120000000000005</v>
      </c>
      <c r="CK300">
        <v>6</v>
      </c>
      <c r="CL300">
        <v>5.4015999999999993</v>
      </c>
      <c r="CM300">
        <v>-0.70208000000000004</v>
      </c>
      <c r="CN300">
        <v>-77.000000000000014</v>
      </c>
      <c r="CO300">
        <v>-5.4015999999999993</v>
      </c>
      <c r="CP300">
        <v>1.2332000000000001</v>
      </c>
      <c r="CQ300">
        <v>-12.359999999999998</v>
      </c>
      <c r="CR300">
        <v>-68.999999999999986</v>
      </c>
      <c r="CS300">
        <v>3.056</v>
      </c>
      <c r="CT300">
        <v>16.68</v>
      </c>
      <c r="CU300">
        <v>-4.5599999999999987</v>
      </c>
      <c r="CV300">
        <v>-2.04</v>
      </c>
      <c r="CW300">
        <v>-0.75787500000000008</v>
      </c>
      <c r="CX300">
        <v>-2.2881499999999999</v>
      </c>
      <c r="CY300" t="s">
        <v>311</v>
      </c>
      <c r="CZ300">
        <v>6</v>
      </c>
      <c r="DA300">
        <v>3.5551999999999979</v>
      </c>
      <c r="DB300">
        <v>27</v>
      </c>
      <c r="DC300">
        <v>24</v>
      </c>
      <c r="DD300">
        <v>18</v>
      </c>
      <c r="DE300">
        <v>-3.1879999999999997</v>
      </c>
      <c r="DF300">
        <v>30</v>
      </c>
      <c r="DG300">
        <v>-37.200000000000003</v>
      </c>
      <c r="DH300">
        <v>0.24000000000000005</v>
      </c>
      <c r="DI300">
        <v>1</v>
      </c>
      <c r="DJ300">
        <v>1</v>
      </c>
      <c r="DK300">
        <v>1</v>
      </c>
      <c r="DL300">
        <v>3.3800000000000003</v>
      </c>
      <c r="DM300">
        <v>1</v>
      </c>
      <c r="DN300">
        <v>15.280000000000001</v>
      </c>
      <c r="DO300">
        <v>0.48000000000000009</v>
      </c>
      <c r="DP300">
        <v>15</v>
      </c>
      <c r="DQ300">
        <v>11.5</v>
      </c>
      <c r="DR300">
        <v>11</v>
      </c>
      <c r="DS300">
        <v>1.1933333333333334</v>
      </c>
      <c r="DT300">
        <v>12</v>
      </c>
      <c r="DU300">
        <v>-4.9866666666666672</v>
      </c>
      <c r="DV300">
        <v>1</v>
      </c>
      <c r="DW300">
        <v>23</v>
      </c>
      <c r="DX300">
        <v>23</v>
      </c>
      <c r="DY300">
        <v>25</v>
      </c>
      <c r="DZ300">
        <v>2.437333333333334</v>
      </c>
      <c r="EA300">
        <v>21</v>
      </c>
      <c r="EB300">
        <v>11.053333333333335</v>
      </c>
      <c r="EC300">
        <v>-5.3333333333333413E-2</v>
      </c>
      <c r="ED300">
        <v>10</v>
      </c>
      <c r="EE300">
        <v>8.5</v>
      </c>
      <c r="EF300">
        <v>8</v>
      </c>
      <c r="EG300">
        <v>1.3453333333333335</v>
      </c>
      <c r="EH300">
        <v>9</v>
      </c>
      <c r="EI300">
        <v>10.239999999999998</v>
      </c>
      <c r="EJ300">
        <v>-0.3066666666666667</v>
      </c>
      <c r="EK300">
        <v>15</v>
      </c>
      <c r="EL300">
        <v>15.5</v>
      </c>
      <c r="EM300">
        <v>18</v>
      </c>
      <c r="EN300">
        <v>-0.74799999999999822</v>
      </c>
      <c r="EO300">
        <v>13</v>
      </c>
      <c r="EP300">
        <v>1.7200000000000017</v>
      </c>
      <c r="EQ300">
        <v>0.28000000000000008</v>
      </c>
      <c r="ER300">
        <v>14</v>
      </c>
      <c r="ES300">
        <v>14</v>
      </c>
      <c r="ET300">
        <v>14</v>
      </c>
      <c r="EU300">
        <v>-0.54400000000000015</v>
      </c>
      <c r="EV300">
        <v>14</v>
      </c>
      <c r="EW300">
        <v>-0.83999999999999919</v>
      </c>
      <c r="EX300">
        <v>0.32000000000000012</v>
      </c>
      <c r="EY300">
        <v>22</v>
      </c>
      <c r="EZ300">
        <v>21.5</v>
      </c>
      <c r="FA300">
        <v>19</v>
      </c>
      <c r="FB300">
        <v>-2</v>
      </c>
      <c r="FC300">
        <v>24</v>
      </c>
      <c r="FD300">
        <v>-0.76000000000000012</v>
      </c>
      <c r="FE300">
        <v>-2.2799999999999998</v>
      </c>
      <c r="FF300">
        <v>27</v>
      </c>
      <c r="FG300">
        <v>22.75</v>
      </c>
      <c r="FH300">
        <v>31</v>
      </c>
      <c r="FI300">
        <v>-4.81555335803351E-2</v>
      </c>
      <c r="FJ300">
        <v>30</v>
      </c>
      <c r="FK300">
        <v>-2.6886412194979437E-2</v>
      </c>
      <c r="FL300">
        <v>2</v>
      </c>
      <c r="FM300">
        <v>-12.496</v>
      </c>
      <c r="FN300">
        <v>28</v>
      </c>
      <c r="FO300">
        <v>-1.2</v>
      </c>
      <c r="FP300">
        <v>3.04</v>
      </c>
      <c r="FQ300">
        <v>-4.4799999999999995</v>
      </c>
      <c r="FR300">
        <v>-0.83999999999999964</v>
      </c>
      <c r="FS300">
        <v>-3.0799999999999996</v>
      </c>
      <c r="FT300">
        <v>1.2</v>
      </c>
      <c r="FU300">
        <v>-2.0000000000000004</v>
      </c>
      <c r="FV300">
        <v>8.7999999999999883</v>
      </c>
      <c r="FW300">
        <v>34.08</v>
      </c>
      <c r="FX300">
        <v>-18.2</v>
      </c>
      <c r="FY300">
        <v>-5.2</v>
      </c>
      <c r="FZ300">
        <v>-1.8799999999999986</v>
      </c>
      <c r="GA300">
        <v>7</v>
      </c>
      <c r="GB300">
        <v>3.3631999999999977</v>
      </c>
      <c r="GC300">
        <v>1.5014399999999992</v>
      </c>
      <c r="GD300">
        <v>52.28</v>
      </c>
      <c r="GE300">
        <v>-3.3631999999999973</v>
      </c>
      <c r="GF300">
        <v>0.77239999999999975</v>
      </c>
      <c r="GG300">
        <v>4.9760000000000009</v>
      </c>
      <c r="GH300">
        <v>16.306666666666665</v>
      </c>
      <c r="GI300">
        <v>0.19200000000000061</v>
      </c>
      <c r="GJ300">
        <v>-21.92</v>
      </c>
      <c r="GK300">
        <v>0.96</v>
      </c>
      <c r="GL300">
        <v>0.7200000000000002</v>
      </c>
    </row>
    <row r="301" spans="1:194" x14ac:dyDescent="0.2">
      <c r="A301" s="39">
        <v>43786</v>
      </c>
      <c r="B301" s="22" t="s">
        <v>259</v>
      </c>
      <c r="C301" s="41" t="s">
        <v>276</v>
      </c>
      <c r="D301" s="22" t="s">
        <v>293</v>
      </c>
      <c r="E301">
        <v>37.700000000000003</v>
      </c>
      <c r="F301">
        <v>7.8</v>
      </c>
      <c r="G301">
        <v>6.1</v>
      </c>
      <c r="H301">
        <v>12.8</v>
      </c>
      <c r="I301">
        <v>-7</v>
      </c>
      <c r="J301">
        <v>41.5</v>
      </c>
      <c r="K301" t="s">
        <v>110</v>
      </c>
      <c r="L301" s="1" t="s">
        <v>276</v>
      </c>
      <c r="M301">
        <v>4</v>
      </c>
      <c r="N301">
        <v>5.2952000000000021</v>
      </c>
      <c r="O301">
        <v>15</v>
      </c>
      <c r="P301">
        <v>16</v>
      </c>
      <c r="Q301">
        <v>21</v>
      </c>
      <c r="R301">
        <v>-4.1199999999999992</v>
      </c>
      <c r="S301">
        <v>11</v>
      </c>
      <c r="T301">
        <v>-18.119999999999997</v>
      </c>
      <c r="U301">
        <v>-0.19999999999999982</v>
      </c>
      <c r="V301">
        <v>15</v>
      </c>
      <c r="W301">
        <v>14.5</v>
      </c>
      <c r="X301">
        <v>20</v>
      </c>
      <c r="Y301">
        <v>-1.0240000000000002</v>
      </c>
      <c r="Z301">
        <v>9</v>
      </c>
      <c r="AA301">
        <v>3.72</v>
      </c>
      <c r="AB301">
        <v>-1.6</v>
      </c>
      <c r="AC301">
        <v>21</v>
      </c>
      <c r="AD301">
        <v>19.5</v>
      </c>
      <c r="AE301">
        <v>14</v>
      </c>
      <c r="AF301">
        <v>0.90100000000000047</v>
      </c>
      <c r="AG301">
        <v>25</v>
      </c>
      <c r="AH301">
        <v>9.6999999999999975</v>
      </c>
      <c r="AI301">
        <v>1.1299999999999997</v>
      </c>
      <c r="AJ301">
        <v>9</v>
      </c>
      <c r="AK301">
        <v>8.5</v>
      </c>
      <c r="AL301">
        <v>9</v>
      </c>
      <c r="AM301">
        <v>0.36800000000000066</v>
      </c>
      <c r="AN301">
        <v>8</v>
      </c>
      <c r="AO301">
        <v>-6.3199999999999994</v>
      </c>
      <c r="AP301">
        <v>0.36000000000000004</v>
      </c>
      <c r="AQ301">
        <v>13</v>
      </c>
      <c r="AR301">
        <v>14.5</v>
      </c>
      <c r="AS301">
        <v>15</v>
      </c>
      <c r="AT301">
        <v>-0.5880000000000003</v>
      </c>
      <c r="AU301">
        <v>14</v>
      </c>
      <c r="AV301">
        <v>-1.4800000000000009</v>
      </c>
      <c r="AW301">
        <v>-0.15999999999999998</v>
      </c>
      <c r="AX301">
        <v>23</v>
      </c>
      <c r="AY301">
        <v>22.5</v>
      </c>
      <c r="AZ301">
        <v>25</v>
      </c>
      <c r="BA301">
        <v>-3.3599999999999994</v>
      </c>
      <c r="BB301">
        <v>20</v>
      </c>
      <c r="BC301">
        <v>-17.2</v>
      </c>
      <c r="BD301">
        <v>-0.63999999999999968</v>
      </c>
      <c r="BE301">
        <v>29</v>
      </c>
      <c r="BF301">
        <v>28.5</v>
      </c>
      <c r="BG301">
        <v>30</v>
      </c>
      <c r="BH301">
        <v>-3.4</v>
      </c>
      <c r="BI301">
        <v>27</v>
      </c>
      <c r="BJ301">
        <v>-13.6</v>
      </c>
      <c r="BK301">
        <v>-1.56</v>
      </c>
      <c r="BL301">
        <v>25</v>
      </c>
      <c r="BM301">
        <v>23</v>
      </c>
      <c r="BN301">
        <v>23</v>
      </c>
      <c r="BO301">
        <v>-1.1199999999999999</v>
      </c>
      <c r="BP301">
        <v>23</v>
      </c>
      <c r="BQ301">
        <v>-0.52</v>
      </c>
      <c r="BR301">
        <v>-1.3199999999999998</v>
      </c>
      <c r="BS301">
        <v>24</v>
      </c>
      <c r="BT301">
        <v>20.75</v>
      </c>
      <c r="BU301">
        <v>25</v>
      </c>
      <c r="BV301">
        <v>-3.4739172914955617E-2</v>
      </c>
      <c r="BW301">
        <v>25</v>
      </c>
      <c r="BX301">
        <v>-9.9553279086046845E-3</v>
      </c>
      <c r="BY301">
        <v>5</v>
      </c>
      <c r="BZ301">
        <v>-19.027999999999999</v>
      </c>
      <c r="CA301">
        <v>28</v>
      </c>
      <c r="CB301">
        <v>-1.6800000000000004</v>
      </c>
      <c r="CC301">
        <v>-2.3599999999999994</v>
      </c>
      <c r="CD301">
        <v>0.40000000000000069</v>
      </c>
      <c r="CE301">
        <v>0.72</v>
      </c>
      <c r="CF301">
        <v>-20.320000000000004</v>
      </c>
      <c r="CG301">
        <v>-20.04</v>
      </c>
      <c r="CH301">
        <v>-18.2</v>
      </c>
      <c r="CI301">
        <v>-1.0799999999999998</v>
      </c>
      <c r="CJ301">
        <v>19</v>
      </c>
      <c r="CK301">
        <v>2</v>
      </c>
      <c r="CL301">
        <v>10.439200000000003</v>
      </c>
      <c r="CM301">
        <v>3.0872400000000004</v>
      </c>
      <c r="CN301">
        <v>-1.8399999999999999</v>
      </c>
      <c r="CO301">
        <v>-10.439200000000001</v>
      </c>
      <c r="CP301">
        <v>-0.46097499999999958</v>
      </c>
      <c r="CQ301">
        <v>0.68100000000000072</v>
      </c>
      <c r="CR301">
        <v>1.8999999999999972</v>
      </c>
      <c r="CS301">
        <v>-5.1439999999999992</v>
      </c>
      <c r="CT301">
        <v>-14.399999999999997</v>
      </c>
      <c r="CU301">
        <v>-0.2300000000000002</v>
      </c>
      <c r="CV301">
        <v>-1.7999999999999998</v>
      </c>
      <c r="CW301">
        <v>1.110625</v>
      </c>
      <c r="CX301">
        <v>0.88115000000000032</v>
      </c>
      <c r="CY301" t="s">
        <v>293</v>
      </c>
      <c r="CZ301">
        <v>2</v>
      </c>
      <c r="DA301">
        <v>0.68079999999999996</v>
      </c>
      <c r="DB301">
        <v>1</v>
      </c>
      <c r="DC301">
        <v>1.5</v>
      </c>
      <c r="DD301">
        <v>1</v>
      </c>
      <c r="DE301">
        <v>-1.1840000000000004</v>
      </c>
      <c r="DF301">
        <v>2</v>
      </c>
      <c r="DG301">
        <v>15.8</v>
      </c>
      <c r="DH301">
        <v>-1.2</v>
      </c>
      <c r="DI301">
        <v>30</v>
      </c>
      <c r="DJ301">
        <v>27</v>
      </c>
      <c r="DK301">
        <v>27</v>
      </c>
      <c r="DL301">
        <v>0.4280000000000001</v>
      </c>
      <c r="DM301">
        <v>27</v>
      </c>
      <c r="DN301">
        <v>-1.0400000000000005</v>
      </c>
      <c r="DO301">
        <v>0.84000000000000008</v>
      </c>
      <c r="DP301">
        <v>2</v>
      </c>
      <c r="DQ301">
        <v>1.5</v>
      </c>
      <c r="DR301">
        <v>1</v>
      </c>
      <c r="DS301">
        <v>7.3760000000000003</v>
      </c>
      <c r="DT301">
        <v>2</v>
      </c>
      <c r="DU301">
        <v>19.609999999999996</v>
      </c>
      <c r="DV301">
        <v>1.4100000000000001</v>
      </c>
      <c r="DW301">
        <v>8</v>
      </c>
      <c r="DX301">
        <v>7</v>
      </c>
      <c r="DY301">
        <v>6</v>
      </c>
      <c r="DZ301">
        <v>-0.6160000000000011</v>
      </c>
      <c r="EA301">
        <v>8</v>
      </c>
      <c r="EB301">
        <v>0.12000000000000029</v>
      </c>
      <c r="EC301">
        <v>0.15999999999999998</v>
      </c>
      <c r="ED301">
        <v>29</v>
      </c>
      <c r="EE301">
        <v>24</v>
      </c>
      <c r="EF301">
        <v>22</v>
      </c>
      <c r="EG301">
        <v>-1.4200000000000004</v>
      </c>
      <c r="EH301">
        <v>26</v>
      </c>
      <c r="EI301">
        <v>-5.7999999999999989</v>
      </c>
      <c r="EJ301">
        <v>-8.0000000000000071E-2</v>
      </c>
      <c r="EK301">
        <v>9</v>
      </c>
      <c r="EL301">
        <v>9</v>
      </c>
      <c r="EM301">
        <v>8</v>
      </c>
      <c r="EN301">
        <v>3.092000000000001</v>
      </c>
      <c r="EO301">
        <v>10</v>
      </c>
      <c r="EP301">
        <v>9.3200000000000038</v>
      </c>
      <c r="EQ301">
        <v>2.4000000000000004</v>
      </c>
      <c r="ER301">
        <v>19</v>
      </c>
      <c r="ES301">
        <v>18.5</v>
      </c>
      <c r="ET301">
        <v>25</v>
      </c>
      <c r="EU301">
        <v>1.2159999999999995</v>
      </c>
      <c r="EV301">
        <v>12</v>
      </c>
      <c r="EW301">
        <v>6.3999999999999986</v>
      </c>
      <c r="EX301">
        <v>2.1200000000000006</v>
      </c>
      <c r="EY301">
        <v>1</v>
      </c>
      <c r="EZ301">
        <v>1.5</v>
      </c>
      <c r="FA301">
        <v>1</v>
      </c>
      <c r="FB301">
        <v>4.24</v>
      </c>
      <c r="FC301">
        <v>2</v>
      </c>
      <c r="FD301">
        <v>1.0799999999999998</v>
      </c>
      <c r="FE301">
        <v>0.6</v>
      </c>
      <c r="FF301">
        <v>31</v>
      </c>
      <c r="FG301">
        <v>29</v>
      </c>
      <c r="FH301">
        <v>29</v>
      </c>
      <c r="FI301">
        <v>-8.1261440817176289E-2</v>
      </c>
      <c r="FJ301">
        <v>32</v>
      </c>
      <c r="FK301">
        <v>-2.0590863867861221E-2</v>
      </c>
      <c r="FL301">
        <v>30</v>
      </c>
      <c r="FM301">
        <v>9.5240000000000009</v>
      </c>
      <c r="FN301">
        <v>25</v>
      </c>
      <c r="FO301">
        <v>-2.2800000000000002</v>
      </c>
      <c r="FP301">
        <v>2.5999999999999988</v>
      </c>
      <c r="FQ301">
        <v>1.7200000000000011</v>
      </c>
      <c r="FR301">
        <v>-1.2399999999999998</v>
      </c>
      <c r="FS301">
        <v>1.7199999999999989</v>
      </c>
      <c r="FT301">
        <v>2.9600000000000009</v>
      </c>
      <c r="FU301">
        <v>-0.28000000000000008</v>
      </c>
      <c r="FV301">
        <v>38.04</v>
      </c>
      <c r="FW301">
        <v>21.119999999999997</v>
      </c>
      <c r="FX301">
        <v>18.639999999999997</v>
      </c>
      <c r="FY301">
        <v>-1.3599999999999999</v>
      </c>
      <c r="FZ301">
        <v>-0.36000000000000065</v>
      </c>
      <c r="GA301">
        <v>13</v>
      </c>
      <c r="GB301">
        <v>1.4368000000000001</v>
      </c>
      <c r="GC301">
        <v>1.8253599999999999</v>
      </c>
      <c r="GD301">
        <v>2.4800000000000004</v>
      </c>
      <c r="GE301">
        <v>-1.4368000000000003</v>
      </c>
      <c r="GF301">
        <v>1.3400999999999996</v>
      </c>
      <c r="GG301">
        <v>5.3399999999999981</v>
      </c>
      <c r="GH301">
        <v>13.929999999999998</v>
      </c>
      <c r="GI301">
        <v>-0.75600000000000023</v>
      </c>
      <c r="GJ301">
        <v>14.76</v>
      </c>
      <c r="GK301">
        <v>3.6100000000000003</v>
      </c>
      <c r="GL301">
        <v>-0.35999999999999988</v>
      </c>
    </row>
    <row r="302" spans="1:194" x14ac:dyDescent="0.2">
      <c r="A302" s="39">
        <v>43786</v>
      </c>
      <c r="B302" s="22" t="s">
        <v>259</v>
      </c>
      <c r="C302" s="41" t="s">
        <v>301</v>
      </c>
      <c r="D302" s="22" t="s">
        <v>295</v>
      </c>
      <c r="E302">
        <v>17.5</v>
      </c>
      <c r="F302">
        <v>6.5</v>
      </c>
      <c r="G302">
        <v>2.9</v>
      </c>
      <c r="H302">
        <v>10.7</v>
      </c>
      <c r="I302">
        <v>-3.5</v>
      </c>
      <c r="J302">
        <v>49</v>
      </c>
      <c r="K302" t="s">
        <v>109</v>
      </c>
      <c r="L302" s="1" t="s">
        <v>301</v>
      </c>
      <c r="M302">
        <v>30</v>
      </c>
      <c r="N302">
        <v>-6.1863999999999981</v>
      </c>
      <c r="O302">
        <v>2</v>
      </c>
      <c r="P302">
        <v>3</v>
      </c>
      <c r="Q302">
        <v>1</v>
      </c>
      <c r="R302">
        <v>12.180000000000001</v>
      </c>
      <c r="S302">
        <v>5</v>
      </c>
      <c r="T302">
        <v>22.799999999999997</v>
      </c>
      <c r="U302">
        <v>2.04</v>
      </c>
      <c r="V302">
        <v>32</v>
      </c>
      <c r="W302">
        <v>31.5</v>
      </c>
      <c r="X302">
        <v>31</v>
      </c>
      <c r="Y302">
        <v>-3.7379999999999995</v>
      </c>
      <c r="Z302">
        <v>32</v>
      </c>
      <c r="AA302">
        <v>-13.64</v>
      </c>
      <c r="AB302">
        <v>-0.39</v>
      </c>
      <c r="AC302">
        <v>7</v>
      </c>
      <c r="AD302">
        <v>6.5</v>
      </c>
      <c r="AE302">
        <v>7</v>
      </c>
      <c r="AF302">
        <v>5.6000000000000404E-2</v>
      </c>
      <c r="AG302">
        <v>6</v>
      </c>
      <c r="AH302">
        <v>5.4699999999999989</v>
      </c>
      <c r="AI302">
        <v>2.1500000000000004</v>
      </c>
      <c r="AJ302">
        <v>21</v>
      </c>
      <c r="AK302">
        <v>20.5</v>
      </c>
      <c r="AL302">
        <v>20</v>
      </c>
      <c r="AM302">
        <v>1.6039999999999999</v>
      </c>
      <c r="AN302">
        <v>21</v>
      </c>
      <c r="AO302">
        <v>-0.7600000000000009</v>
      </c>
      <c r="AP302">
        <v>1.67</v>
      </c>
      <c r="AQ302">
        <v>23</v>
      </c>
      <c r="AR302">
        <v>23.5</v>
      </c>
      <c r="AS302">
        <v>23</v>
      </c>
      <c r="AT302">
        <v>-2.9680000000000004</v>
      </c>
      <c r="AU302">
        <v>24</v>
      </c>
      <c r="AV302">
        <v>-13.440000000000001</v>
      </c>
      <c r="AW302">
        <v>0.12000000000000011</v>
      </c>
      <c r="AX302">
        <v>24</v>
      </c>
      <c r="AY302">
        <v>25</v>
      </c>
      <c r="AZ302">
        <v>23</v>
      </c>
      <c r="BA302">
        <v>-8.3800000000000008</v>
      </c>
      <c r="BB302">
        <v>27</v>
      </c>
      <c r="BC302">
        <v>-37.799999999999997</v>
      </c>
      <c r="BD302">
        <v>-2</v>
      </c>
      <c r="BE302">
        <v>20</v>
      </c>
      <c r="BF302">
        <v>22</v>
      </c>
      <c r="BG302">
        <v>20</v>
      </c>
      <c r="BH302">
        <v>-3.7960000000000007</v>
      </c>
      <c r="BI302">
        <v>24</v>
      </c>
      <c r="BJ302">
        <v>-3.1600000000000024</v>
      </c>
      <c r="BK302">
        <v>-0.79999999999999982</v>
      </c>
      <c r="BL302">
        <v>32</v>
      </c>
      <c r="BM302">
        <v>31.5</v>
      </c>
      <c r="BN302">
        <v>32</v>
      </c>
      <c r="BO302">
        <v>-3.08</v>
      </c>
      <c r="BP302">
        <v>31</v>
      </c>
      <c r="BQ302">
        <v>-0.51999999999999991</v>
      </c>
      <c r="BR302">
        <v>-3.9999999999999855E-2</v>
      </c>
      <c r="BS302">
        <v>4</v>
      </c>
      <c r="BT302">
        <v>8.5</v>
      </c>
      <c r="BU302">
        <v>4</v>
      </c>
      <c r="BV302">
        <v>6.5213301754995068E-2</v>
      </c>
      <c r="BW302">
        <v>6</v>
      </c>
      <c r="BX302">
        <v>2.1875557310148584E-2</v>
      </c>
      <c r="BY302">
        <v>17</v>
      </c>
      <c r="BZ302">
        <v>-5.5959999999999992</v>
      </c>
      <c r="CA302">
        <v>7</v>
      </c>
      <c r="CB302">
        <v>4.5999999999999996</v>
      </c>
      <c r="CC302">
        <v>3.1200000000000019</v>
      </c>
      <c r="CD302">
        <v>-3.6399999999999997</v>
      </c>
      <c r="CE302">
        <v>-0.51999999999999991</v>
      </c>
      <c r="CF302">
        <v>-13.439999999999987</v>
      </c>
      <c r="CG302">
        <v>-13.159999999999997</v>
      </c>
      <c r="CH302">
        <v>8.2800000000000011</v>
      </c>
      <c r="CI302">
        <v>1.6</v>
      </c>
      <c r="CJ302">
        <v>-10.16</v>
      </c>
      <c r="CK302">
        <v>32</v>
      </c>
      <c r="CL302">
        <v>-14.628399999999999</v>
      </c>
      <c r="CM302">
        <v>-6.4790800000000015</v>
      </c>
      <c r="CN302">
        <v>-21.439999999999998</v>
      </c>
      <c r="CO302">
        <v>14.628399999999999</v>
      </c>
      <c r="CP302">
        <v>-0.74104999999999965</v>
      </c>
      <c r="CQ302">
        <v>-1.3080000000000001</v>
      </c>
      <c r="CR302">
        <v>-8.730000000000004</v>
      </c>
      <c r="CS302">
        <v>8.4420000000000019</v>
      </c>
      <c r="CT302">
        <v>9.1599999999999966</v>
      </c>
      <c r="CU302">
        <v>3.1400000000000006</v>
      </c>
      <c r="CV302">
        <v>1.65</v>
      </c>
      <c r="CW302">
        <v>0.28627500000000028</v>
      </c>
      <c r="CX302">
        <v>0.22550000000000042</v>
      </c>
      <c r="CY302" t="s">
        <v>295</v>
      </c>
      <c r="CZ302">
        <v>27</v>
      </c>
      <c r="DA302">
        <v>1.3343999999999998</v>
      </c>
      <c r="DB302">
        <v>30</v>
      </c>
      <c r="DC302">
        <v>28</v>
      </c>
      <c r="DD302">
        <v>28</v>
      </c>
      <c r="DE302">
        <v>-1.6349999999999998</v>
      </c>
      <c r="DF302">
        <v>28</v>
      </c>
      <c r="DG302">
        <v>-27.089999999999996</v>
      </c>
      <c r="DH302">
        <v>1.45</v>
      </c>
      <c r="DI302">
        <v>28</v>
      </c>
      <c r="DJ302">
        <v>25.5</v>
      </c>
      <c r="DK302">
        <v>30</v>
      </c>
      <c r="DL302">
        <v>2.653</v>
      </c>
      <c r="DM302">
        <v>21</v>
      </c>
      <c r="DN302">
        <v>9.34</v>
      </c>
      <c r="DO302">
        <v>0.32999999999999996</v>
      </c>
      <c r="DP302">
        <v>22</v>
      </c>
      <c r="DQ302">
        <v>18.5</v>
      </c>
      <c r="DR302">
        <v>21</v>
      </c>
      <c r="DS302">
        <v>1.5439999999999998</v>
      </c>
      <c r="DT302">
        <v>16</v>
      </c>
      <c r="DU302">
        <v>14.12</v>
      </c>
      <c r="DV302">
        <v>1.7199999999999995</v>
      </c>
      <c r="DW302">
        <v>9</v>
      </c>
      <c r="DX302">
        <v>10</v>
      </c>
      <c r="DY302">
        <v>9</v>
      </c>
      <c r="DZ302">
        <v>-2.9479999999999995</v>
      </c>
      <c r="EA302">
        <v>11</v>
      </c>
      <c r="EB302">
        <v>-13.839999999999998</v>
      </c>
      <c r="EC302">
        <v>-1.6799999999999997</v>
      </c>
      <c r="ED302">
        <v>17</v>
      </c>
      <c r="EE302">
        <v>26.5</v>
      </c>
      <c r="EF302">
        <v>29</v>
      </c>
      <c r="EG302">
        <v>-1.0719999999999998</v>
      </c>
      <c r="EH302">
        <v>24</v>
      </c>
      <c r="EI302">
        <v>-2.6400000000000006</v>
      </c>
      <c r="EJ302">
        <v>0.59999999999999987</v>
      </c>
      <c r="EK302">
        <v>10</v>
      </c>
      <c r="EL302">
        <v>11.5</v>
      </c>
      <c r="EM302">
        <v>14</v>
      </c>
      <c r="EN302">
        <v>-0.56400000000000072</v>
      </c>
      <c r="EO302">
        <v>9</v>
      </c>
      <c r="EP302">
        <v>2.7599999999999993</v>
      </c>
      <c r="EQ302">
        <v>1.7600000000000002</v>
      </c>
      <c r="ER302">
        <v>29</v>
      </c>
      <c r="ES302">
        <v>26.5</v>
      </c>
      <c r="ET302">
        <v>30</v>
      </c>
      <c r="EU302">
        <v>1.1800000000000002</v>
      </c>
      <c r="EV302">
        <v>23</v>
      </c>
      <c r="EW302">
        <v>4.8000000000000016</v>
      </c>
      <c r="EX302">
        <v>0.76000000000000012</v>
      </c>
      <c r="EY302">
        <v>17</v>
      </c>
      <c r="EZ302">
        <v>14.5</v>
      </c>
      <c r="FA302">
        <v>14</v>
      </c>
      <c r="FB302">
        <v>1.72</v>
      </c>
      <c r="FC302">
        <v>15</v>
      </c>
      <c r="FD302">
        <v>0.15999999999999998</v>
      </c>
      <c r="FE302">
        <v>-1.56</v>
      </c>
      <c r="FF302">
        <v>19</v>
      </c>
      <c r="FG302">
        <v>16.5</v>
      </c>
      <c r="FH302">
        <v>10</v>
      </c>
      <c r="FI302">
        <v>-1.3306066293360624E-2</v>
      </c>
      <c r="FJ302">
        <v>20</v>
      </c>
      <c r="FK302">
        <v>-3.221877102249175E-3</v>
      </c>
      <c r="FL302">
        <v>25</v>
      </c>
      <c r="FM302">
        <v>12.979999999999995</v>
      </c>
      <c r="FN302">
        <v>11</v>
      </c>
      <c r="FO302">
        <v>-0.87999999999999989</v>
      </c>
      <c r="FP302">
        <v>3.2399999999999998</v>
      </c>
      <c r="FQ302">
        <v>-1.64</v>
      </c>
      <c r="FR302">
        <v>0.32000000000000012</v>
      </c>
      <c r="FS302">
        <v>1.5200000000000031</v>
      </c>
      <c r="FT302">
        <v>-1.3599999999999994</v>
      </c>
      <c r="FU302">
        <v>3.9999999999999945E-2</v>
      </c>
      <c r="FV302">
        <v>14.920000000000005</v>
      </c>
      <c r="FW302">
        <v>29.159999999999989</v>
      </c>
      <c r="FX302">
        <v>-9.6400000000000041</v>
      </c>
      <c r="FY302">
        <v>-1.52</v>
      </c>
      <c r="FZ302">
        <v>-3.0799999999999996</v>
      </c>
      <c r="GA302">
        <v>17</v>
      </c>
      <c r="GB302">
        <v>0.31639999999999935</v>
      </c>
      <c r="GC302">
        <v>-0.50131999999999999</v>
      </c>
      <c r="GD302">
        <v>38.799999999999997</v>
      </c>
      <c r="GE302">
        <v>-0.31639999999999957</v>
      </c>
      <c r="GF302">
        <v>0.34705000000000008</v>
      </c>
      <c r="GG302">
        <v>-2.4759999999999995</v>
      </c>
      <c r="GH302">
        <v>-2.3599999999999994</v>
      </c>
      <c r="GI302">
        <v>1.0180000000000002</v>
      </c>
      <c r="GJ302">
        <v>-17.749999999999996</v>
      </c>
      <c r="GK302">
        <v>1.4</v>
      </c>
      <c r="GL302">
        <v>1.7799999999999998</v>
      </c>
    </row>
    <row r="303" spans="1:194" x14ac:dyDescent="0.2">
      <c r="A303" s="39">
        <v>43786</v>
      </c>
      <c r="B303" s="22" t="s">
        <v>259</v>
      </c>
      <c r="C303" s="41" t="s">
        <v>265</v>
      </c>
      <c r="D303" s="22" t="s">
        <v>304</v>
      </c>
      <c r="E303">
        <v>5.5</v>
      </c>
      <c r="F303">
        <v>12.7</v>
      </c>
      <c r="G303">
        <v>11.4</v>
      </c>
      <c r="H303">
        <v>1.8</v>
      </c>
      <c r="I303">
        <v>5</v>
      </c>
      <c r="J303">
        <v>40</v>
      </c>
      <c r="L303" s="1" t="s">
        <v>265</v>
      </c>
      <c r="M303">
        <v>28</v>
      </c>
      <c r="N303">
        <v>-4.1024000000000012</v>
      </c>
      <c r="O303">
        <v>20</v>
      </c>
      <c r="P303">
        <v>21</v>
      </c>
      <c r="Q303">
        <v>23</v>
      </c>
      <c r="R303">
        <v>-2.4829999999999997</v>
      </c>
      <c r="S303">
        <v>19</v>
      </c>
      <c r="T303">
        <v>-1.3300000000000012</v>
      </c>
      <c r="U303">
        <v>-0.43999999999999995</v>
      </c>
      <c r="V303">
        <v>13</v>
      </c>
      <c r="W303">
        <v>13.5</v>
      </c>
      <c r="X303">
        <v>7</v>
      </c>
      <c r="Y303">
        <v>2.7479999999999993</v>
      </c>
      <c r="Z303">
        <v>20</v>
      </c>
      <c r="AA303">
        <v>-4.3199999999999994</v>
      </c>
      <c r="AB303">
        <v>2.44</v>
      </c>
      <c r="AC303">
        <v>16</v>
      </c>
      <c r="AD303">
        <v>17</v>
      </c>
      <c r="AE303">
        <v>16</v>
      </c>
      <c r="AF303">
        <v>-3.5527136788005011E-16</v>
      </c>
      <c r="AG303">
        <v>18</v>
      </c>
      <c r="AH303">
        <v>-3.6400000000000006</v>
      </c>
      <c r="AI303">
        <v>0.92000000000000015</v>
      </c>
      <c r="AJ303">
        <v>11</v>
      </c>
      <c r="AK303">
        <v>11</v>
      </c>
      <c r="AL303">
        <v>13</v>
      </c>
      <c r="AM303">
        <v>-2.0840000000000001</v>
      </c>
      <c r="AN303">
        <v>9</v>
      </c>
      <c r="AO303">
        <v>-0.8</v>
      </c>
      <c r="AP303">
        <v>8.0000000000000071E-2</v>
      </c>
      <c r="AQ303">
        <v>26</v>
      </c>
      <c r="AR303">
        <v>26</v>
      </c>
      <c r="AS303">
        <v>26</v>
      </c>
      <c r="AT303">
        <v>-0.89599999999999935</v>
      </c>
      <c r="AU303">
        <v>26</v>
      </c>
      <c r="AV303">
        <v>-4.8400000000000016</v>
      </c>
      <c r="AW303">
        <v>0.6</v>
      </c>
      <c r="AX303">
        <v>8</v>
      </c>
      <c r="AY303">
        <v>9</v>
      </c>
      <c r="AZ303">
        <v>9</v>
      </c>
      <c r="BA303">
        <v>6.1319999999999997</v>
      </c>
      <c r="BB303">
        <v>9</v>
      </c>
      <c r="BC303">
        <v>22.119999999999997</v>
      </c>
      <c r="BD303">
        <v>4.5200000000000005</v>
      </c>
      <c r="BE303">
        <v>29</v>
      </c>
      <c r="BF303">
        <v>28.5</v>
      </c>
      <c r="BG303">
        <v>25</v>
      </c>
      <c r="BH303">
        <v>-6.4240000000000013</v>
      </c>
      <c r="BI303">
        <v>32</v>
      </c>
      <c r="BJ303">
        <v>-31.48</v>
      </c>
      <c r="BK303">
        <v>-2.48</v>
      </c>
      <c r="BL303">
        <v>30</v>
      </c>
      <c r="BM303">
        <v>29.5</v>
      </c>
      <c r="BN303">
        <v>31</v>
      </c>
      <c r="BO303">
        <v>-2.48</v>
      </c>
      <c r="BP303">
        <v>28</v>
      </c>
      <c r="BQ303">
        <v>-0.36000000000000004</v>
      </c>
      <c r="BR303">
        <v>-1.4799999999999995</v>
      </c>
      <c r="BS303">
        <v>18</v>
      </c>
      <c r="BT303">
        <v>15.5</v>
      </c>
      <c r="BU303">
        <v>20</v>
      </c>
      <c r="BV303">
        <v>2.2917733476831702E-2</v>
      </c>
      <c r="BW303">
        <v>11</v>
      </c>
      <c r="BX303">
        <v>2.4751229942798519E-2</v>
      </c>
      <c r="BY303">
        <v>20</v>
      </c>
      <c r="BZ303">
        <v>-6.3320000000000034</v>
      </c>
      <c r="CA303">
        <v>11</v>
      </c>
      <c r="CB303">
        <v>0.99999999999999967</v>
      </c>
      <c r="CC303">
        <v>-1.5200000000000002</v>
      </c>
      <c r="CD303">
        <v>-4.68</v>
      </c>
      <c r="CE303">
        <v>0.28000000000000008</v>
      </c>
      <c r="CF303">
        <v>-54.92</v>
      </c>
      <c r="CG303">
        <v>-43.279999999999994</v>
      </c>
      <c r="CH303">
        <v>-6.2399999999999975</v>
      </c>
      <c r="CI303">
        <v>-3.9599999999999995</v>
      </c>
      <c r="CJ303">
        <v>-1.4400000000000002</v>
      </c>
      <c r="CK303">
        <v>22</v>
      </c>
      <c r="CL303">
        <v>-4.3674000000000008</v>
      </c>
      <c r="CM303">
        <v>-2.83378</v>
      </c>
      <c r="CN303">
        <v>-37.04</v>
      </c>
      <c r="CO303">
        <v>4.3674000000000008</v>
      </c>
      <c r="CP303">
        <v>-1.9651750000000003</v>
      </c>
      <c r="CQ303">
        <v>-2.98</v>
      </c>
      <c r="CR303">
        <v>-9.2800000000000011</v>
      </c>
      <c r="CS303">
        <v>0.26499999999999968</v>
      </c>
      <c r="CT303">
        <v>-5.65</v>
      </c>
      <c r="CU303">
        <v>-0.87999999999999989</v>
      </c>
      <c r="CV303">
        <v>2</v>
      </c>
      <c r="CW303">
        <v>-0.97109999999999985</v>
      </c>
      <c r="CX303">
        <v>-0.90109999999999979</v>
      </c>
      <c r="CY303" t="s">
        <v>304</v>
      </c>
      <c r="CZ303">
        <v>16</v>
      </c>
      <c r="DA303">
        <v>-2.1128</v>
      </c>
      <c r="DB303">
        <v>17</v>
      </c>
      <c r="DC303">
        <v>18</v>
      </c>
      <c r="DD303">
        <v>20</v>
      </c>
      <c r="DE303">
        <v>-5.0560000000000009</v>
      </c>
      <c r="DF303">
        <v>16</v>
      </c>
      <c r="DG303">
        <v>-12.76</v>
      </c>
      <c r="DH303">
        <v>0.27999999999999997</v>
      </c>
      <c r="DI303">
        <v>4</v>
      </c>
      <c r="DJ303">
        <v>6.5</v>
      </c>
      <c r="DK303">
        <v>7</v>
      </c>
      <c r="DL303">
        <v>1.8</v>
      </c>
      <c r="DM303">
        <v>6</v>
      </c>
      <c r="DN303">
        <v>-0.76000000000000012</v>
      </c>
      <c r="DO303">
        <v>0.31999999999999995</v>
      </c>
      <c r="DP303">
        <v>19</v>
      </c>
      <c r="DQ303">
        <v>19.5</v>
      </c>
      <c r="DR303">
        <v>17</v>
      </c>
      <c r="DS303">
        <v>-3.6079999999999997</v>
      </c>
      <c r="DT303">
        <v>22</v>
      </c>
      <c r="DU303">
        <v>-15.669999999999998</v>
      </c>
      <c r="DV303">
        <v>-0.74999999999999978</v>
      </c>
      <c r="DW303">
        <v>11</v>
      </c>
      <c r="DX303">
        <v>13</v>
      </c>
      <c r="DY303">
        <v>10</v>
      </c>
      <c r="DZ303">
        <v>-0.74799999999999933</v>
      </c>
      <c r="EA303">
        <v>16</v>
      </c>
      <c r="EB303">
        <v>-4.24</v>
      </c>
      <c r="EC303">
        <v>2.6</v>
      </c>
      <c r="ED303">
        <v>2</v>
      </c>
      <c r="EE303">
        <v>2</v>
      </c>
      <c r="EF303">
        <v>2</v>
      </c>
      <c r="EG303">
        <v>2.2839999999999998</v>
      </c>
      <c r="EH303">
        <v>2</v>
      </c>
      <c r="EI303">
        <v>14.720000000000002</v>
      </c>
      <c r="EJ303">
        <v>1.3999999999999997</v>
      </c>
      <c r="EK303">
        <v>14</v>
      </c>
      <c r="EL303">
        <v>14</v>
      </c>
      <c r="EM303">
        <v>11</v>
      </c>
      <c r="EN303">
        <v>-1.3640000000000001</v>
      </c>
      <c r="EO303">
        <v>17</v>
      </c>
      <c r="EP303">
        <v>-12.04</v>
      </c>
      <c r="EQ303">
        <v>0.76000000000000012</v>
      </c>
      <c r="ER303">
        <v>25</v>
      </c>
      <c r="ES303">
        <v>24.5</v>
      </c>
      <c r="ET303">
        <v>29</v>
      </c>
      <c r="EU303">
        <v>1.552</v>
      </c>
      <c r="EV303">
        <v>20</v>
      </c>
      <c r="EW303">
        <v>13.2</v>
      </c>
      <c r="EX303">
        <v>1.0799999999999998</v>
      </c>
      <c r="EY303">
        <v>28</v>
      </c>
      <c r="EZ303">
        <v>26.5</v>
      </c>
      <c r="FA303">
        <v>29</v>
      </c>
      <c r="FB303">
        <v>-2.44</v>
      </c>
      <c r="FC303">
        <v>24</v>
      </c>
      <c r="FD303">
        <v>-0.28000000000000008</v>
      </c>
      <c r="FE303">
        <v>-1.52</v>
      </c>
      <c r="FF303">
        <v>14</v>
      </c>
      <c r="FG303">
        <v>15</v>
      </c>
      <c r="FH303">
        <v>22</v>
      </c>
      <c r="FI303">
        <v>-6.6439737741890992E-3</v>
      </c>
      <c r="FJ303">
        <v>10</v>
      </c>
      <c r="FK303">
        <v>7.6921269192743334E-3</v>
      </c>
      <c r="FL303">
        <v>22</v>
      </c>
      <c r="FM303">
        <v>2.8480000000000003</v>
      </c>
      <c r="FN303">
        <v>6</v>
      </c>
      <c r="FO303">
        <v>3.8800000000000003</v>
      </c>
      <c r="FP303">
        <v>4.3599999999999994</v>
      </c>
      <c r="FQ303">
        <v>0.64000000000000057</v>
      </c>
      <c r="FR303">
        <v>-3.9999999999999945E-2</v>
      </c>
      <c r="FS303">
        <v>5.6400000000000006</v>
      </c>
      <c r="FT303">
        <v>-7</v>
      </c>
      <c r="FU303">
        <v>-0.83999999999999986</v>
      </c>
      <c r="FV303">
        <v>-16.359999999999992</v>
      </c>
      <c r="FW303">
        <v>7.0799999999999956</v>
      </c>
      <c r="FX303">
        <v>-14.520000000000001</v>
      </c>
      <c r="FY303">
        <v>-2.5599999999999996</v>
      </c>
      <c r="FZ303">
        <v>-6.3600000000000012</v>
      </c>
      <c r="GA303">
        <v>14</v>
      </c>
      <c r="GB303">
        <v>1.1432000000000009</v>
      </c>
      <c r="GC303">
        <v>1.1014400000000006</v>
      </c>
      <c r="GD303">
        <v>21.599999999999998</v>
      </c>
      <c r="GE303">
        <v>-1.1432000000000011</v>
      </c>
      <c r="GF303">
        <v>-1.0410999999999999</v>
      </c>
      <c r="GG303">
        <v>-2.0719999999999992</v>
      </c>
      <c r="GH303">
        <v>-5.1899999999999942</v>
      </c>
      <c r="GI303">
        <v>-3.2560000000000011</v>
      </c>
      <c r="GJ303">
        <v>-13.52</v>
      </c>
      <c r="GK303">
        <v>4.33</v>
      </c>
      <c r="GL303">
        <v>0.59999999999999987</v>
      </c>
    </row>
    <row r="304" spans="1:194" x14ac:dyDescent="0.2">
      <c r="A304" s="39">
        <v>43786</v>
      </c>
      <c r="B304" s="28" t="s">
        <v>259</v>
      </c>
      <c r="C304" s="17" t="s">
        <v>272</v>
      </c>
      <c r="D304" s="28" t="s">
        <v>303</v>
      </c>
      <c r="E304" s="3">
        <v>2</v>
      </c>
      <c r="F304" s="3">
        <v>9.6</v>
      </c>
      <c r="G304" s="3">
        <v>1</v>
      </c>
      <c r="H304" s="3">
        <v>2.6</v>
      </c>
      <c r="I304" s="3">
        <v>13</v>
      </c>
      <c r="J304" s="3">
        <v>48</v>
      </c>
      <c r="K304" t="s">
        <v>110</v>
      </c>
      <c r="L304" s="1" t="s">
        <v>272</v>
      </c>
      <c r="M304">
        <v>18</v>
      </c>
      <c r="N304">
        <v>-1.2119999999999993</v>
      </c>
      <c r="O304">
        <v>29</v>
      </c>
      <c r="P304">
        <v>28</v>
      </c>
      <c r="Q304">
        <v>26</v>
      </c>
      <c r="R304">
        <v>1.1599999999999997</v>
      </c>
      <c r="S304">
        <v>30</v>
      </c>
      <c r="T304">
        <v>-5.6399999999999988</v>
      </c>
      <c r="U304">
        <v>-0.15999999999999986</v>
      </c>
      <c r="V304">
        <v>24</v>
      </c>
      <c r="W304">
        <v>24</v>
      </c>
      <c r="X304">
        <v>24</v>
      </c>
      <c r="Y304">
        <v>-4.4479999999999986</v>
      </c>
      <c r="Z304">
        <v>24</v>
      </c>
      <c r="AA304">
        <v>-5.08</v>
      </c>
      <c r="AB304">
        <v>-0.23999999999999991</v>
      </c>
      <c r="AC304">
        <v>22</v>
      </c>
      <c r="AD304">
        <v>20</v>
      </c>
      <c r="AE304">
        <v>17</v>
      </c>
      <c r="AF304">
        <v>-5.4319999999999977</v>
      </c>
      <c r="AG304">
        <v>23</v>
      </c>
      <c r="AH304">
        <v>-24.48</v>
      </c>
      <c r="AI304">
        <v>-0.54</v>
      </c>
      <c r="AJ304">
        <v>20</v>
      </c>
      <c r="AK304">
        <v>19</v>
      </c>
      <c r="AL304">
        <v>23</v>
      </c>
      <c r="AM304">
        <v>-0.82600000000000051</v>
      </c>
      <c r="AN304">
        <v>15</v>
      </c>
      <c r="AO304">
        <v>7.68</v>
      </c>
      <c r="AP304">
        <v>0.70000000000000018</v>
      </c>
      <c r="AQ304">
        <v>2</v>
      </c>
      <c r="AR304">
        <v>2</v>
      </c>
      <c r="AS304">
        <v>2</v>
      </c>
      <c r="AT304">
        <v>3.9319999999999999</v>
      </c>
      <c r="AU304">
        <v>2</v>
      </c>
      <c r="AV304">
        <v>21.279999999999998</v>
      </c>
      <c r="AW304">
        <v>2.3600000000000003</v>
      </c>
      <c r="AX304">
        <v>14</v>
      </c>
      <c r="AY304">
        <v>14.5</v>
      </c>
      <c r="AZ304">
        <v>16</v>
      </c>
      <c r="BA304">
        <v>-2.0120000000000022</v>
      </c>
      <c r="BB304">
        <v>13</v>
      </c>
      <c r="BC304">
        <v>-3.7199999999999989</v>
      </c>
      <c r="BD304">
        <v>0.15999999999999978</v>
      </c>
      <c r="BE304">
        <v>17</v>
      </c>
      <c r="BF304">
        <v>17.5</v>
      </c>
      <c r="BG304">
        <v>19</v>
      </c>
      <c r="BH304">
        <v>-2.3880000000000003</v>
      </c>
      <c r="BI304">
        <v>16</v>
      </c>
      <c r="BJ304">
        <v>-3.7599999999999993</v>
      </c>
      <c r="BK304">
        <v>0.52000000000000013</v>
      </c>
      <c r="BL304">
        <v>12</v>
      </c>
      <c r="BM304">
        <v>11.5</v>
      </c>
      <c r="BN304">
        <v>12</v>
      </c>
      <c r="BO304">
        <v>-0.72000000000000008</v>
      </c>
      <c r="BP304">
        <v>11</v>
      </c>
      <c r="BQ304">
        <v>-0.27999999999999997</v>
      </c>
      <c r="BR304">
        <v>-1.1600000000000004</v>
      </c>
      <c r="BS304">
        <v>10</v>
      </c>
      <c r="BT304">
        <v>12.75</v>
      </c>
      <c r="BU304">
        <v>13</v>
      </c>
      <c r="BV304">
        <v>-4.2474291775310542E-2</v>
      </c>
      <c r="BW304">
        <v>15</v>
      </c>
      <c r="BX304">
        <v>-2.9795017574596626E-3</v>
      </c>
      <c r="BY304">
        <v>11</v>
      </c>
      <c r="BZ304">
        <v>1.7679999999999978</v>
      </c>
      <c r="CA304">
        <v>12</v>
      </c>
      <c r="CB304">
        <v>1.56</v>
      </c>
      <c r="CC304">
        <v>1.4400000000000006</v>
      </c>
      <c r="CD304">
        <v>-4.8</v>
      </c>
      <c r="CE304">
        <v>0.55999999999999994</v>
      </c>
      <c r="CF304">
        <v>-16.920000000000005</v>
      </c>
      <c r="CG304">
        <v>-13.6</v>
      </c>
      <c r="CH304">
        <v>-14.000000000000004</v>
      </c>
      <c r="CI304">
        <v>2.52</v>
      </c>
      <c r="CJ304">
        <v>8.16</v>
      </c>
      <c r="CK304">
        <v>13</v>
      </c>
      <c r="CL304">
        <v>2.0759999999999996</v>
      </c>
      <c r="CM304">
        <v>0.45879999999999987</v>
      </c>
      <c r="CN304">
        <v>0.40000000000000391</v>
      </c>
      <c r="CO304">
        <v>-2.0759999999999996</v>
      </c>
      <c r="CP304">
        <v>-1.2417499999999995</v>
      </c>
      <c r="CQ304">
        <v>-2.3259999999999983</v>
      </c>
      <c r="CR304">
        <v>4.4799999999999969</v>
      </c>
      <c r="CS304">
        <v>-3.2879999999999989</v>
      </c>
      <c r="CT304">
        <v>-10.719999999999999</v>
      </c>
      <c r="CU304">
        <v>3.0400000000000005</v>
      </c>
      <c r="CV304">
        <v>-0.3999999999999998</v>
      </c>
      <c r="CW304">
        <v>1.0511000000000001</v>
      </c>
      <c r="CX304">
        <v>0.98389999999999989</v>
      </c>
      <c r="CY304" t="s">
        <v>303</v>
      </c>
      <c r="CZ304">
        <v>13</v>
      </c>
      <c r="DA304">
        <v>4.3024000000000004</v>
      </c>
      <c r="DB304">
        <v>13</v>
      </c>
      <c r="DC304">
        <v>12</v>
      </c>
      <c r="DD304">
        <v>10</v>
      </c>
      <c r="DE304">
        <v>0.34000000000000091</v>
      </c>
      <c r="DF304">
        <v>14</v>
      </c>
      <c r="DG304">
        <v>11.599999999999998</v>
      </c>
      <c r="DH304">
        <v>-0.59999999999999987</v>
      </c>
      <c r="DI304">
        <v>6</v>
      </c>
      <c r="DJ304">
        <v>8.5</v>
      </c>
      <c r="DK304">
        <v>6</v>
      </c>
      <c r="DL304">
        <v>1.4</v>
      </c>
      <c r="DM304">
        <v>11</v>
      </c>
      <c r="DN304">
        <v>-7.8</v>
      </c>
      <c r="DO304">
        <v>0.55999999999999994</v>
      </c>
      <c r="DP304">
        <v>18</v>
      </c>
      <c r="DQ304">
        <v>25</v>
      </c>
      <c r="DR304">
        <v>25</v>
      </c>
      <c r="DS304">
        <v>5.0999999999999996</v>
      </c>
      <c r="DT304">
        <v>25</v>
      </c>
      <c r="DU304">
        <v>25.52</v>
      </c>
      <c r="DV304">
        <v>-0.3999999999999998</v>
      </c>
      <c r="DW304">
        <v>9</v>
      </c>
      <c r="DX304">
        <v>10</v>
      </c>
      <c r="DY304">
        <v>11</v>
      </c>
      <c r="DZ304">
        <v>-0.81999999999999962</v>
      </c>
      <c r="EA304">
        <v>9</v>
      </c>
      <c r="EB304">
        <v>-2.6799999999999997</v>
      </c>
      <c r="EC304">
        <v>-0.87999999999999989</v>
      </c>
      <c r="ED304">
        <v>25</v>
      </c>
      <c r="EE304">
        <v>32</v>
      </c>
      <c r="EF304">
        <v>32</v>
      </c>
      <c r="EG304">
        <v>-3.2559999999999993</v>
      </c>
      <c r="EH304">
        <v>32</v>
      </c>
      <c r="EI304">
        <v>-13.040000000000001</v>
      </c>
      <c r="EJ304">
        <v>-8.8817841970012528E-17</v>
      </c>
      <c r="EK304">
        <v>31</v>
      </c>
      <c r="EL304">
        <v>31</v>
      </c>
      <c r="EM304">
        <v>31</v>
      </c>
      <c r="EN304">
        <v>-3.1480000000000006</v>
      </c>
      <c r="EO304">
        <v>31</v>
      </c>
      <c r="EP304">
        <v>-22.68</v>
      </c>
      <c r="EQ304">
        <v>-1.6800000000000002</v>
      </c>
      <c r="ER304">
        <v>22</v>
      </c>
      <c r="ES304">
        <v>23.5</v>
      </c>
      <c r="ET304">
        <v>26</v>
      </c>
      <c r="EU304">
        <v>2.4800000000000004</v>
      </c>
      <c r="EV304">
        <v>21</v>
      </c>
      <c r="EW304">
        <v>3.9999999999999147E-2</v>
      </c>
      <c r="EX304">
        <v>1.6800000000000002</v>
      </c>
      <c r="EY304">
        <v>27</v>
      </c>
      <c r="EZ304">
        <v>25.5</v>
      </c>
      <c r="FA304">
        <v>22</v>
      </c>
      <c r="FB304">
        <v>-0.6000000000000002</v>
      </c>
      <c r="FC304">
        <v>29</v>
      </c>
      <c r="FD304">
        <v>-0.48</v>
      </c>
      <c r="FE304">
        <v>-0.83999999999999986</v>
      </c>
      <c r="FF304">
        <v>10</v>
      </c>
      <c r="FG304">
        <v>13.25</v>
      </c>
      <c r="FH304">
        <v>12</v>
      </c>
      <c r="FI304">
        <v>2.2682625349539708E-2</v>
      </c>
      <c r="FJ304">
        <v>11</v>
      </c>
      <c r="FK304">
        <v>1.7265658483249326E-2</v>
      </c>
      <c r="FL304">
        <v>12</v>
      </c>
      <c r="FM304">
        <v>8.5200000000000014</v>
      </c>
      <c r="FN304">
        <v>18</v>
      </c>
      <c r="FO304">
        <v>-0.43999999999999984</v>
      </c>
      <c r="FP304">
        <v>-1.2</v>
      </c>
      <c r="FQ304">
        <v>-0.24000000000000057</v>
      </c>
      <c r="FR304">
        <v>0.8</v>
      </c>
      <c r="FS304">
        <v>2.8421709430404009E-15</v>
      </c>
      <c r="FT304">
        <v>4.3599999999999994</v>
      </c>
      <c r="FU304">
        <v>-0.55999999999999994</v>
      </c>
      <c r="FV304">
        <v>32.480000000000004</v>
      </c>
      <c r="FW304">
        <v>18.760000000000002</v>
      </c>
      <c r="FX304">
        <v>5.3199999999999985</v>
      </c>
      <c r="FY304">
        <v>3.7199999999999998</v>
      </c>
      <c r="FZ304">
        <v>4.6800000000000006</v>
      </c>
      <c r="GA304">
        <v>10</v>
      </c>
      <c r="GB304">
        <v>2.5623999999999998</v>
      </c>
      <c r="GC304">
        <v>0.69127999999999978</v>
      </c>
      <c r="GD304">
        <v>13.440000000000003</v>
      </c>
      <c r="GE304">
        <v>-2.5623999999999993</v>
      </c>
      <c r="GF304">
        <v>1.1183000000000003</v>
      </c>
      <c r="GG304">
        <v>1.0240000000000009</v>
      </c>
      <c r="GH304">
        <v>9.7999999999999989</v>
      </c>
      <c r="GI304">
        <v>1.7400000000000009</v>
      </c>
      <c r="GJ304">
        <v>3.799999999999998</v>
      </c>
      <c r="GK304">
        <v>0.40000000000000036</v>
      </c>
      <c r="GL304">
        <v>-3.9999999999999925E-2</v>
      </c>
    </row>
    <row r="305" spans="1:194" x14ac:dyDescent="0.2">
      <c r="A305" s="39">
        <v>43786</v>
      </c>
      <c r="B305" s="22" t="s">
        <v>259</v>
      </c>
      <c r="C305" s="41" t="s">
        <v>281</v>
      </c>
      <c r="D305" s="22" t="s">
        <v>309</v>
      </c>
      <c r="E305">
        <v>10</v>
      </c>
      <c r="F305">
        <v>14.3</v>
      </c>
      <c r="G305">
        <v>5.0999999999999996</v>
      </c>
      <c r="H305">
        <v>7.8</v>
      </c>
      <c r="I305">
        <v>-3</v>
      </c>
      <c r="J305">
        <v>41.5</v>
      </c>
      <c r="L305" s="1" t="s">
        <v>281</v>
      </c>
      <c r="M305">
        <v>10</v>
      </c>
      <c r="N305">
        <v>1.9307999999999996</v>
      </c>
      <c r="O305">
        <v>5</v>
      </c>
      <c r="P305">
        <v>7</v>
      </c>
      <c r="Q305">
        <v>8</v>
      </c>
      <c r="R305">
        <v>5.1480000000000006</v>
      </c>
      <c r="S305">
        <v>6</v>
      </c>
      <c r="T305">
        <v>40.319999999999993</v>
      </c>
      <c r="U305">
        <v>4.0000000000000036E-2</v>
      </c>
      <c r="V305">
        <v>4</v>
      </c>
      <c r="W305">
        <v>6</v>
      </c>
      <c r="X305">
        <v>6</v>
      </c>
      <c r="Y305">
        <v>1.956</v>
      </c>
      <c r="Z305">
        <v>6</v>
      </c>
      <c r="AA305">
        <v>-5</v>
      </c>
      <c r="AB305">
        <v>2.6399999999999997</v>
      </c>
      <c r="AC305">
        <v>25</v>
      </c>
      <c r="AD305">
        <v>24.5</v>
      </c>
      <c r="AE305">
        <v>25</v>
      </c>
      <c r="AF305">
        <v>-1.111999999999999</v>
      </c>
      <c r="AG305">
        <v>24</v>
      </c>
      <c r="AH305">
        <v>0.47999999999999687</v>
      </c>
      <c r="AI305">
        <v>2.16</v>
      </c>
      <c r="AJ305">
        <v>1</v>
      </c>
      <c r="AK305">
        <v>2.5</v>
      </c>
      <c r="AL305">
        <v>1</v>
      </c>
      <c r="AM305">
        <v>4.6319999999999997</v>
      </c>
      <c r="AN305">
        <v>4</v>
      </c>
      <c r="AO305">
        <v>15.2</v>
      </c>
      <c r="AP305">
        <v>2.12</v>
      </c>
      <c r="AQ305">
        <v>18</v>
      </c>
      <c r="AR305">
        <v>17.5</v>
      </c>
      <c r="AS305">
        <v>19</v>
      </c>
      <c r="AT305">
        <v>8.8000000000000342E-2</v>
      </c>
      <c r="AU305">
        <v>16</v>
      </c>
      <c r="AV305">
        <v>2.7600000000000007</v>
      </c>
      <c r="AW305">
        <v>-0.12000000000000002</v>
      </c>
      <c r="AX305">
        <v>15</v>
      </c>
      <c r="AY305">
        <v>15.5</v>
      </c>
      <c r="AZ305">
        <v>15</v>
      </c>
      <c r="BA305">
        <v>-1.2840000000000003</v>
      </c>
      <c r="BB305">
        <v>16</v>
      </c>
      <c r="BC305">
        <v>-1.2399999999999978</v>
      </c>
      <c r="BD305">
        <v>-0.91999999999999993</v>
      </c>
      <c r="BE305">
        <v>23</v>
      </c>
      <c r="BF305">
        <v>23</v>
      </c>
      <c r="BG305">
        <v>21</v>
      </c>
      <c r="BH305">
        <v>-3.3519999999999994</v>
      </c>
      <c r="BI305">
        <v>25</v>
      </c>
      <c r="BJ305">
        <v>-20.000000000000004</v>
      </c>
      <c r="BK305">
        <v>-3.28</v>
      </c>
      <c r="BL305">
        <v>4</v>
      </c>
      <c r="BM305">
        <v>7</v>
      </c>
      <c r="BN305">
        <v>7</v>
      </c>
      <c r="BO305">
        <v>0.6399999999999999</v>
      </c>
      <c r="BP305">
        <v>7</v>
      </c>
      <c r="BQ305">
        <v>0.28000000000000008</v>
      </c>
      <c r="BR305">
        <v>-1.2000000000000002</v>
      </c>
      <c r="BS305">
        <v>30</v>
      </c>
      <c r="BT305">
        <v>29</v>
      </c>
      <c r="BU305">
        <v>31</v>
      </c>
      <c r="BV305">
        <v>-6.3466727730403905E-2</v>
      </c>
      <c r="BW305">
        <v>30</v>
      </c>
      <c r="BX305">
        <v>-1.9804354691977624E-2</v>
      </c>
      <c r="BY305">
        <v>24</v>
      </c>
      <c r="BZ305">
        <v>7.1639999999999988</v>
      </c>
      <c r="CA305">
        <v>31</v>
      </c>
      <c r="CB305">
        <v>-3.4800000000000004</v>
      </c>
      <c r="CC305">
        <v>2.3600000000000008</v>
      </c>
      <c r="CD305">
        <v>2.5999999999999996</v>
      </c>
      <c r="CE305">
        <v>-2.4</v>
      </c>
      <c r="CF305">
        <v>25.320000000000014</v>
      </c>
      <c r="CG305">
        <v>-1.7600000000000022</v>
      </c>
      <c r="CH305">
        <v>31.439999999999998</v>
      </c>
      <c r="CI305">
        <v>-2.84</v>
      </c>
      <c r="CJ305">
        <v>-1.52</v>
      </c>
      <c r="CK305">
        <v>24</v>
      </c>
      <c r="CL305">
        <v>-5.1732000000000014</v>
      </c>
      <c r="CM305">
        <v>-3.1146400000000005</v>
      </c>
      <c r="CN305">
        <v>-33.200000000000003</v>
      </c>
      <c r="CO305">
        <v>5.1732000000000014</v>
      </c>
      <c r="CP305">
        <v>1.2413500000000002</v>
      </c>
      <c r="CQ305">
        <v>3.608000000000001</v>
      </c>
      <c r="CR305">
        <v>18.439999999999998</v>
      </c>
      <c r="CS305">
        <v>7.104000000000001</v>
      </c>
      <c r="CT305">
        <v>35.319999999999993</v>
      </c>
      <c r="CU305">
        <v>0.88000000000000034</v>
      </c>
      <c r="CV305">
        <v>2.6799999999999997</v>
      </c>
      <c r="CW305">
        <v>-0.79776250000000004</v>
      </c>
      <c r="CX305">
        <v>-0.51947500000000013</v>
      </c>
      <c r="CY305" t="s">
        <v>309</v>
      </c>
      <c r="CZ305">
        <v>31</v>
      </c>
      <c r="DA305">
        <v>0.10759999999999917</v>
      </c>
      <c r="DB305">
        <v>22</v>
      </c>
      <c r="DC305">
        <v>21.5</v>
      </c>
      <c r="DD305">
        <v>32</v>
      </c>
      <c r="DE305">
        <v>-5.7839999999999989</v>
      </c>
      <c r="DF305">
        <v>11</v>
      </c>
      <c r="DG305">
        <v>-7.9999999999999982</v>
      </c>
      <c r="DH305">
        <v>0.16000000000000009</v>
      </c>
      <c r="DI305">
        <v>16</v>
      </c>
      <c r="DJ305">
        <v>16.5</v>
      </c>
      <c r="DK305">
        <v>12</v>
      </c>
      <c r="DL305">
        <v>-3.004</v>
      </c>
      <c r="DM305">
        <v>21</v>
      </c>
      <c r="DN305">
        <v>-8.52</v>
      </c>
      <c r="DO305">
        <v>-0.12000000000000006</v>
      </c>
      <c r="DP305">
        <v>26</v>
      </c>
      <c r="DQ305">
        <v>29.5</v>
      </c>
      <c r="DR305">
        <v>28</v>
      </c>
      <c r="DS305">
        <v>-4.0679999999999996</v>
      </c>
      <c r="DT305">
        <v>31</v>
      </c>
      <c r="DU305">
        <v>-21.76</v>
      </c>
      <c r="DV305">
        <v>-1.36</v>
      </c>
      <c r="DW305">
        <v>29</v>
      </c>
      <c r="DX305">
        <v>29.5</v>
      </c>
      <c r="DY305">
        <v>31</v>
      </c>
      <c r="DZ305">
        <v>1.4040000000000006</v>
      </c>
      <c r="EA305">
        <v>28</v>
      </c>
      <c r="EB305">
        <v>8.32</v>
      </c>
      <c r="EC305">
        <v>1.8</v>
      </c>
      <c r="ED305">
        <v>5</v>
      </c>
      <c r="EE305">
        <v>25</v>
      </c>
      <c r="EF305">
        <v>27</v>
      </c>
      <c r="EG305">
        <v>1.7239999999999995</v>
      </c>
      <c r="EH305">
        <v>23</v>
      </c>
      <c r="EI305">
        <v>9.16</v>
      </c>
      <c r="EJ305">
        <v>4.4408920985006264E-17</v>
      </c>
      <c r="EK305">
        <v>27</v>
      </c>
      <c r="EL305">
        <v>27</v>
      </c>
      <c r="EM305">
        <v>30</v>
      </c>
      <c r="EN305">
        <v>1.2079999999999991</v>
      </c>
      <c r="EO305">
        <v>24</v>
      </c>
      <c r="EP305">
        <v>-13.120000000000001</v>
      </c>
      <c r="EQ305">
        <v>-0.6399999999999999</v>
      </c>
      <c r="ER305">
        <v>24</v>
      </c>
      <c r="ES305">
        <v>24</v>
      </c>
      <c r="ET305">
        <v>24</v>
      </c>
      <c r="EU305">
        <v>4.1319999999999997</v>
      </c>
      <c r="EV305">
        <v>24</v>
      </c>
      <c r="EW305">
        <v>2.5200000000000005</v>
      </c>
      <c r="EX305">
        <v>0.68000000000000027</v>
      </c>
      <c r="EY305">
        <v>30</v>
      </c>
      <c r="EZ305">
        <v>27.5</v>
      </c>
      <c r="FA305">
        <v>31</v>
      </c>
      <c r="FB305">
        <v>-3.12</v>
      </c>
      <c r="FC305">
        <v>24</v>
      </c>
      <c r="FD305">
        <v>-0.16</v>
      </c>
      <c r="FE305">
        <v>2.3199999999999998</v>
      </c>
      <c r="FF305">
        <v>1</v>
      </c>
      <c r="FG305">
        <v>5.25</v>
      </c>
      <c r="FH305">
        <v>2</v>
      </c>
      <c r="FI305">
        <v>9.8323110752909143E-2</v>
      </c>
      <c r="FJ305">
        <v>1</v>
      </c>
      <c r="FK305">
        <v>1.015920470018312E-2</v>
      </c>
      <c r="FL305">
        <v>16</v>
      </c>
      <c r="FM305">
        <v>-0.37599999999999911</v>
      </c>
      <c r="FN305">
        <v>2</v>
      </c>
      <c r="FO305">
        <v>6.04</v>
      </c>
      <c r="FP305">
        <v>2.7199999999999998</v>
      </c>
      <c r="FQ305">
        <v>-1.9200000000000004</v>
      </c>
      <c r="FR305">
        <v>-4.0000000000000036E-2</v>
      </c>
      <c r="FS305">
        <v>1.1600000000000008</v>
      </c>
      <c r="FT305">
        <v>-3.9200000000000004</v>
      </c>
      <c r="FU305">
        <v>1.04</v>
      </c>
      <c r="FV305">
        <v>-23.600000000000012</v>
      </c>
      <c r="FW305">
        <v>-5.0400000000000036</v>
      </c>
      <c r="FX305">
        <v>-17.360000000000003</v>
      </c>
      <c r="FY305">
        <v>1.28</v>
      </c>
      <c r="FZ305">
        <v>-2.48</v>
      </c>
      <c r="GA305">
        <v>2</v>
      </c>
      <c r="GB305">
        <v>8.8955999999999982</v>
      </c>
      <c r="GC305">
        <v>5.0539199999999989</v>
      </c>
      <c r="GD305">
        <v>12.32</v>
      </c>
      <c r="GE305">
        <v>-8.8955999999999982</v>
      </c>
      <c r="GF305">
        <v>-1.07605</v>
      </c>
      <c r="GG305">
        <v>-0.93999999999999928</v>
      </c>
      <c r="GH305">
        <v>-4.2800000000000011</v>
      </c>
      <c r="GI305">
        <v>-8.7879999999999985</v>
      </c>
      <c r="GJ305">
        <v>-16.519999999999996</v>
      </c>
      <c r="GK305">
        <v>1.1200000000000003</v>
      </c>
      <c r="GL305">
        <v>4.0000000000000022E-2</v>
      </c>
    </row>
    <row r="306" spans="1:194" x14ac:dyDescent="0.2">
      <c r="A306" s="39">
        <v>43786</v>
      </c>
      <c r="B306" s="22" t="s">
        <v>259</v>
      </c>
      <c r="C306" s="41" t="s">
        <v>291</v>
      </c>
      <c r="D306" s="22" t="s">
        <v>299</v>
      </c>
      <c r="E306">
        <v>6.8</v>
      </c>
      <c r="F306">
        <v>26.8</v>
      </c>
      <c r="G306">
        <v>24.5</v>
      </c>
      <c r="H306">
        <f>8.3+5.8</f>
        <v>14.100000000000001</v>
      </c>
      <c r="I306">
        <v>-7.5</v>
      </c>
      <c r="J306">
        <v>46.5</v>
      </c>
      <c r="K306" t="s">
        <v>109</v>
      </c>
      <c r="L306" s="1" t="s">
        <v>291</v>
      </c>
      <c r="M306">
        <v>5</v>
      </c>
      <c r="N306">
        <v>3.3167999999999993</v>
      </c>
      <c r="O306">
        <v>5</v>
      </c>
      <c r="P306">
        <v>7</v>
      </c>
      <c r="Q306">
        <v>6</v>
      </c>
      <c r="R306">
        <v>3.972</v>
      </c>
      <c r="S306">
        <v>8</v>
      </c>
      <c r="T306">
        <v>25.16</v>
      </c>
      <c r="U306">
        <v>0.44000000000000006</v>
      </c>
      <c r="V306">
        <v>27</v>
      </c>
      <c r="W306">
        <v>27.5</v>
      </c>
      <c r="X306">
        <v>28</v>
      </c>
      <c r="Y306">
        <v>-0.97599999999999998</v>
      </c>
      <c r="Z306">
        <v>27</v>
      </c>
      <c r="AA306">
        <v>-0.23999999999999949</v>
      </c>
      <c r="AB306">
        <v>-0.72</v>
      </c>
      <c r="AC306">
        <v>10</v>
      </c>
      <c r="AD306">
        <v>12</v>
      </c>
      <c r="AE306">
        <v>12</v>
      </c>
      <c r="AF306">
        <v>3.2200000000000006</v>
      </c>
      <c r="AG306">
        <v>12</v>
      </c>
      <c r="AH306">
        <v>21.25</v>
      </c>
      <c r="AI306">
        <v>0.60000000000000009</v>
      </c>
      <c r="AJ306">
        <v>10</v>
      </c>
      <c r="AK306">
        <v>9</v>
      </c>
      <c r="AL306">
        <v>11</v>
      </c>
      <c r="AM306">
        <v>-2.0959999999999988</v>
      </c>
      <c r="AN306">
        <v>7</v>
      </c>
      <c r="AO306">
        <v>3.6400000000000032</v>
      </c>
      <c r="AP306">
        <v>1.1999999999999997</v>
      </c>
      <c r="AQ306">
        <v>1</v>
      </c>
      <c r="AR306">
        <v>1</v>
      </c>
      <c r="AS306">
        <v>1</v>
      </c>
      <c r="AT306">
        <v>7.2560000000000002</v>
      </c>
      <c r="AU306">
        <v>1</v>
      </c>
      <c r="AV306">
        <v>36.279999999999994</v>
      </c>
      <c r="AW306">
        <v>2.5200000000000005</v>
      </c>
      <c r="AX306">
        <v>2</v>
      </c>
      <c r="AY306">
        <v>3.5</v>
      </c>
      <c r="AZ306">
        <v>3</v>
      </c>
      <c r="BA306">
        <v>4.1519999999999992</v>
      </c>
      <c r="BB306">
        <v>4</v>
      </c>
      <c r="BC306">
        <v>37.28</v>
      </c>
      <c r="BD306">
        <v>-1.5200000000000002</v>
      </c>
      <c r="BE306">
        <v>8</v>
      </c>
      <c r="BF306">
        <v>7</v>
      </c>
      <c r="BG306">
        <v>7</v>
      </c>
      <c r="BH306">
        <v>4.9119999999999999</v>
      </c>
      <c r="BI306">
        <v>7</v>
      </c>
      <c r="BJ306">
        <v>18.359999999999996</v>
      </c>
      <c r="BK306">
        <v>2.8</v>
      </c>
      <c r="BL306">
        <v>11</v>
      </c>
      <c r="BM306">
        <v>9.5</v>
      </c>
      <c r="BN306">
        <v>14</v>
      </c>
      <c r="BO306">
        <v>4.08</v>
      </c>
      <c r="BP306">
        <v>5</v>
      </c>
      <c r="BQ306">
        <v>1</v>
      </c>
      <c r="BR306">
        <v>-0.59999999999999987</v>
      </c>
      <c r="BS306">
        <v>26</v>
      </c>
      <c r="BT306">
        <v>22.25</v>
      </c>
      <c r="BU306">
        <v>18</v>
      </c>
      <c r="BV306">
        <v>3.8730094177784252E-2</v>
      </c>
      <c r="BW306">
        <v>32</v>
      </c>
      <c r="BX306">
        <v>-3.6937959384844454E-2</v>
      </c>
      <c r="BY306">
        <v>16</v>
      </c>
      <c r="BZ306">
        <v>8.7559999999999949</v>
      </c>
      <c r="CA306">
        <v>23</v>
      </c>
      <c r="CB306">
        <v>-4.08</v>
      </c>
      <c r="CC306">
        <v>5.5599999999999978</v>
      </c>
      <c r="CD306">
        <v>4.0399999999999991</v>
      </c>
      <c r="CE306">
        <v>-0.16</v>
      </c>
      <c r="CF306">
        <v>75.839999999999989</v>
      </c>
      <c r="CG306">
        <v>52.08</v>
      </c>
      <c r="CH306">
        <v>19.68</v>
      </c>
      <c r="CI306">
        <v>0.76000000000000012</v>
      </c>
      <c r="CJ306">
        <v>3.3200000000000003</v>
      </c>
      <c r="CK306">
        <v>15</v>
      </c>
      <c r="CL306">
        <v>0.32079999999999931</v>
      </c>
      <c r="CM306">
        <v>1.8237600000000003</v>
      </c>
      <c r="CN306">
        <v>32.4</v>
      </c>
      <c r="CO306">
        <v>-0.32079999999999931</v>
      </c>
      <c r="CP306">
        <v>2.9606000000000003</v>
      </c>
      <c r="CQ306">
        <v>8.3800000000000026</v>
      </c>
      <c r="CR306">
        <v>61.17</v>
      </c>
      <c r="CS306">
        <v>2.996</v>
      </c>
      <c r="CT306">
        <v>24.92</v>
      </c>
      <c r="CU306">
        <v>7.12</v>
      </c>
      <c r="CV306">
        <v>-0.27999999999999992</v>
      </c>
      <c r="CW306">
        <v>0.87498749999999992</v>
      </c>
      <c r="CX306">
        <v>-0.9960500000000001</v>
      </c>
      <c r="CY306" t="s">
        <v>299</v>
      </c>
      <c r="CZ306">
        <v>3</v>
      </c>
      <c r="DA306">
        <v>7.1568000000000014</v>
      </c>
      <c r="DB306">
        <v>14</v>
      </c>
      <c r="DC306">
        <v>16</v>
      </c>
      <c r="DD306">
        <v>14</v>
      </c>
      <c r="DE306">
        <v>4.284399999999998</v>
      </c>
      <c r="DF306">
        <v>18</v>
      </c>
      <c r="DG306">
        <v>11.64</v>
      </c>
      <c r="DH306">
        <v>-2.1599999999999997</v>
      </c>
      <c r="DI306">
        <v>11</v>
      </c>
      <c r="DJ306">
        <v>14</v>
      </c>
      <c r="DK306">
        <v>3</v>
      </c>
      <c r="DL306">
        <v>4.28</v>
      </c>
      <c r="DM306">
        <v>25</v>
      </c>
      <c r="DN306">
        <v>-7.44</v>
      </c>
      <c r="DO306">
        <v>0.19999999999999996</v>
      </c>
      <c r="DP306">
        <v>10</v>
      </c>
      <c r="DQ306">
        <v>9.5</v>
      </c>
      <c r="DR306">
        <v>10</v>
      </c>
      <c r="DS306">
        <v>-1.129</v>
      </c>
      <c r="DT306">
        <v>9</v>
      </c>
      <c r="DU306">
        <v>-5.2700000000000005</v>
      </c>
      <c r="DV306">
        <v>0.65999999999999992</v>
      </c>
      <c r="DW306">
        <v>3</v>
      </c>
      <c r="DX306">
        <v>3.5</v>
      </c>
      <c r="DY306">
        <v>4</v>
      </c>
      <c r="DZ306">
        <v>6.08</v>
      </c>
      <c r="EA306">
        <v>3</v>
      </c>
      <c r="EB306">
        <v>24.04</v>
      </c>
      <c r="EC306">
        <v>1.2</v>
      </c>
      <c r="ED306">
        <v>15</v>
      </c>
      <c r="EE306">
        <v>3.5</v>
      </c>
      <c r="EF306">
        <v>3</v>
      </c>
      <c r="EG306">
        <v>1.036</v>
      </c>
      <c r="EH306">
        <v>4</v>
      </c>
      <c r="EI306">
        <v>5.8800000000000008</v>
      </c>
      <c r="EJ306">
        <v>-0.32000000000000012</v>
      </c>
      <c r="EK306">
        <v>2</v>
      </c>
      <c r="EL306">
        <v>3.5</v>
      </c>
      <c r="EM306">
        <v>3</v>
      </c>
      <c r="EN306">
        <v>7.8040000000000003</v>
      </c>
      <c r="EO306">
        <v>4</v>
      </c>
      <c r="EP306">
        <v>25.240000000000002</v>
      </c>
      <c r="EQ306">
        <v>0.64000000000000035</v>
      </c>
      <c r="ER306">
        <v>11</v>
      </c>
      <c r="ES306">
        <v>12.5</v>
      </c>
      <c r="ET306">
        <v>8</v>
      </c>
      <c r="EU306">
        <v>2.1800000000000006</v>
      </c>
      <c r="EV306">
        <v>17</v>
      </c>
      <c r="EW306">
        <v>7.4799999999999995</v>
      </c>
      <c r="EX306">
        <v>-0.43999999999999984</v>
      </c>
      <c r="EY306">
        <v>12</v>
      </c>
      <c r="EZ306">
        <v>12.5</v>
      </c>
      <c r="FA306">
        <v>7</v>
      </c>
      <c r="FB306">
        <v>-1.9200000000000004</v>
      </c>
      <c r="FC306">
        <v>18</v>
      </c>
      <c r="FD306">
        <v>-0.96000000000000019</v>
      </c>
      <c r="FE306">
        <v>-1.24</v>
      </c>
      <c r="FF306">
        <v>24</v>
      </c>
      <c r="FG306">
        <v>21</v>
      </c>
      <c r="FH306">
        <v>26</v>
      </c>
      <c r="FI306">
        <v>-8.3218223965267346E-3</v>
      </c>
      <c r="FJ306">
        <v>23</v>
      </c>
      <c r="FK306">
        <v>-1.5286251779972726E-3</v>
      </c>
      <c r="FL306">
        <v>5</v>
      </c>
      <c r="FM306">
        <v>-3.3080000000000025</v>
      </c>
      <c r="FN306">
        <v>30</v>
      </c>
      <c r="FO306">
        <v>-3.72</v>
      </c>
      <c r="FP306">
        <v>8.0000000000000432E-2</v>
      </c>
      <c r="FQ306">
        <v>1.0400000000000005</v>
      </c>
      <c r="FR306">
        <v>0.84000000000000008</v>
      </c>
      <c r="FS306">
        <v>1.6400000000000006</v>
      </c>
      <c r="FT306">
        <v>7.4799999999999995</v>
      </c>
      <c r="FU306">
        <v>-1.4</v>
      </c>
      <c r="FV306">
        <v>54.36</v>
      </c>
      <c r="FW306">
        <v>47.2</v>
      </c>
      <c r="FX306">
        <v>8.52</v>
      </c>
      <c r="FY306">
        <v>1.5200000000000007</v>
      </c>
      <c r="FZ306">
        <v>-2.88</v>
      </c>
      <c r="GA306">
        <v>21</v>
      </c>
      <c r="GB306">
        <v>-1.4075999999999969</v>
      </c>
      <c r="GC306">
        <v>-1.217439999999999</v>
      </c>
      <c r="GD306">
        <v>38.680000000000007</v>
      </c>
      <c r="GE306">
        <v>1.4075999999999977</v>
      </c>
      <c r="GF306">
        <v>2.7460249999999999</v>
      </c>
      <c r="GG306">
        <v>5.9870000000000001</v>
      </c>
      <c r="GH306">
        <v>24.65</v>
      </c>
      <c r="GI306">
        <v>8.5643999999999991</v>
      </c>
      <c r="GJ306">
        <v>4.2</v>
      </c>
      <c r="GK306">
        <v>1.1000000000000001</v>
      </c>
      <c r="GL306">
        <v>-1.9599999999999997</v>
      </c>
    </row>
    <row r="307" spans="1:194" x14ac:dyDescent="0.2">
      <c r="A307" s="39">
        <v>43786</v>
      </c>
      <c r="B307" t="s">
        <v>259</v>
      </c>
      <c r="C307" s="41" t="s">
        <v>278</v>
      </c>
      <c r="D307" t="s">
        <v>312</v>
      </c>
      <c r="E307">
        <v>21.82</v>
      </c>
      <c r="F307">
        <v>11.7</v>
      </c>
      <c r="G307">
        <v>0</v>
      </c>
      <c r="H307">
        <v>16.600000000000001</v>
      </c>
      <c r="I307">
        <v>10</v>
      </c>
      <c r="J307">
        <v>40.5</v>
      </c>
      <c r="L307" s="4" t="s">
        <v>278</v>
      </c>
      <c r="M307" s="3">
        <v>32</v>
      </c>
      <c r="N307" s="3">
        <v>-9.2216000000000005</v>
      </c>
      <c r="O307" s="3">
        <v>17</v>
      </c>
      <c r="P307" s="3">
        <v>17</v>
      </c>
      <c r="Q307" s="3">
        <v>24</v>
      </c>
      <c r="R307" s="3">
        <v>-4.8476000000000017</v>
      </c>
      <c r="S307" s="3">
        <v>10</v>
      </c>
      <c r="T307" s="3">
        <v>-4.1999999999999975</v>
      </c>
      <c r="U307" s="3">
        <v>-1.6799999999999997</v>
      </c>
      <c r="V307" s="3">
        <v>18</v>
      </c>
      <c r="W307" s="3">
        <v>17.5</v>
      </c>
      <c r="X307" s="3">
        <v>22</v>
      </c>
      <c r="Y307" s="3">
        <v>1.7999999999999989</v>
      </c>
      <c r="Z307" s="3">
        <v>13</v>
      </c>
      <c r="AA307">
        <v>13.959999999999999</v>
      </c>
      <c r="AB307">
        <v>0.3199999999999999</v>
      </c>
      <c r="AC307">
        <v>11</v>
      </c>
      <c r="AD307">
        <v>12.5</v>
      </c>
      <c r="AE307">
        <v>11</v>
      </c>
      <c r="AF307">
        <v>-0.83900000000000041</v>
      </c>
      <c r="AG307">
        <v>14</v>
      </c>
      <c r="AH307">
        <v>8.3000000000000007</v>
      </c>
      <c r="AI307">
        <v>-0.43000000000000005</v>
      </c>
      <c r="AJ307">
        <v>31</v>
      </c>
      <c r="AK307">
        <v>30.5</v>
      </c>
      <c r="AL307">
        <v>31</v>
      </c>
      <c r="AM307">
        <v>-5.9160000000000004</v>
      </c>
      <c r="AN307">
        <v>30</v>
      </c>
      <c r="AO307">
        <v>-20.199999999999996</v>
      </c>
      <c r="AP307">
        <v>-1.48</v>
      </c>
      <c r="AQ307">
        <v>32</v>
      </c>
      <c r="AR307">
        <v>32</v>
      </c>
      <c r="AS307">
        <v>32</v>
      </c>
      <c r="AT307">
        <v>-4.395999999999999</v>
      </c>
      <c r="AU307">
        <v>32</v>
      </c>
      <c r="AV307">
        <v>-15.639999999999997</v>
      </c>
      <c r="AW307">
        <v>-2.2400000000000007</v>
      </c>
      <c r="AX307">
        <v>31</v>
      </c>
      <c r="AY307">
        <v>31.5</v>
      </c>
      <c r="AZ307">
        <v>31</v>
      </c>
      <c r="BA307">
        <v>-11.703999999999999</v>
      </c>
      <c r="BB307">
        <v>32</v>
      </c>
      <c r="BC307">
        <v>-51.04</v>
      </c>
      <c r="BD307">
        <v>-4.08</v>
      </c>
      <c r="BE307">
        <v>9</v>
      </c>
      <c r="BF307">
        <v>8.5</v>
      </c>
      <c r="BG307">
        <v>9</v>
      </c>
      <c r="BH307">
        <v>0.67199999999999949</v>
      </c>
      <c r="BI307">
        <v>8</v>
      </c>
      <c r="BJ307">
        <v>0.11999999999999744</v>
      </c>
      <c r="BK307">
        <v>0.36</v>
      </c>
      <c r="BL307">
        <v>10</v>
      </c>
      <c r="BM307">
        <v>9</v>
      </c>
      <c r="BN307">
        <v>6</v>
      </c>
      <c r="BO307">
        <v>-0.12000000000000011</v>
      </c>
      <c r="BP307">
        <v>12</v>
      </c>
      <c r="BQ307">
        <v>0</v>
      </c>
      <c r="BR307">
        <v>2.04</v>
      </c>
      <c r="BS307">
        <v>22</v>
      </c>
      <c r="BT307">
        <v>20.25</v>
      </c>
      <c r="BU307">
        <v>15</v>
      </c>
      <c r="BV307">
        <v>-3.2912960937462064E-2</v>
      </c>
      <c r="BW307">
        <v>19</v>
      </c>
      <c r="BX307">
        <v>2.2541249377095285E-2</v>
      </c>
      <c r="BY307">
        <v>28</v>
      </c>
      <c r="BZ307">
        <v>2.7199999999999975</v>
      </c>
      <c r="CA307">
        <v>19</v>
      </c>
      <c r="CB307">
        <v>1.4799999999999995</v>
      </c>
      <c r="CC307">
        <v>-2.6400000000000019</v>
      </c>
      <c r="CD307">
        <v>-4.88</v>
      </c>
      <c r="CE307">
        <v>-0.91999999999999993</v>
      </c>
      <c r="CF307">
        <v>-57.719999999999992</v>
      </c>
      <c r="CG307">
        <v>-63.160000000000011</v>
      </c>
      <c r="CH307">
        <v>11.079999999999998</v>
      </c>
      <c r="CI307">
        <v>0.16000000000000006</v>
      </c>
      <c r="CJ307">
        <v>-5.8</v>
      </c>
      <c r="CK307">
        <v>28</v>
      </c>
      <c r="CL307">
        <v>-6.1739999999999977</v>
      </c>
      <c r="CM307">
        <v>-2.416319999999998</v>
      </c>
      <c r="CN307">
        <v>-74.240000000000009</v>
      </c>
      <c r="CO307">
        <v>6.1739999999999977</v>
      </c>
      <c r="CP307">
        <v>-2.8585250000000002</v>
      </c>
      <c r="CQ307">
        <v>-11.151</v>
      </c>
      <c r="CR307">
        <v>-27.539999999999992</v>
      </c>
      <c r="CS307">
        <v>-3.0476000000000028</v>
      </c>
      <c r="CT307">
        <v>9.7600000000000016</v>
      </c>
      <c r="CU307">
        <v>-3.7900000000000005</v>
      </c>
      <c r="CV307">
        <v>-1.3599999999999999</v>
      </c>
      <c r="CW307">
        <v>-0.28638749999999991</v>
      </c>
      <c r="CX307">
        <v>-1.9458499999999996</v>
      </c>
      <c r="CY307" t="s">
        <v>312</v>
      </c>
      <c r="CZ307">
        <v>7</v>
      </c>
      <c r="DA307">
        <v>1.6215999999999995</v>
      </c>
      <c r="DB307">
        <v>22</v>
      </c>
      <c r="DC307">
        <v>21.5</v>
      </c>
      <c r="DD307">
        <v>22</v>
      </c>
      <c r="DE307">
        <v>-1.2959999999999998</v>
      </c>
      <c r="DF307">
        <v>21</v>
      </c>
      <c r="DG307">
        <v>2.6799999999999984</v>
      </c>
      <c r="DH307">
        <v>-0.3199999999999999</v>
      </c>
      <c r="DI307">
        <v>8</v>
      </c>
      <c r="DJ307">
        <v>11</v>
      </c>
      <c r="DK307">
        <v>9</v>
      </c>
      <c r="DL307">
        <v>-0.43600000000000066</v>
      </c>
      <c r="DM307">
        <v>13</v>
      </c>
      <c r="DN307">
        <v>-10.879999999999999</v>
      </c>
      <c r="DO307">
        <v>-0.15999999999999998</v>
      </c>
      <c r="DP307">
        <v>6</v>
      </c>
      <c r="DQ307">
        <v>14.5</v>
      </c>
      <c r="DR307">
        <v>15</v>
      </c>
      <c r="DS307">
        <v>3.2990000000000008</v>
      </c>
      <c r="DT307">
        <v>14</v>
      </c>
      <c r="DU307">
        <v>10.050000000000001</v>
      </c>
      <c r="DV307">
        <v>0.70000000000000018</v>
      </c>
      <c r="DW307">
        <v>4</v>
      </c>
      <c r="DX307">
        <v>5</v>
      </c>
      <c r="DY307">
        <v>3</v>
      </c>
      <c r="DZ307">
        <v>5.6039999999999992</v>
      </c>
      <c r="EA307">
        <v>7</v>
      </c>
      <c r="EB307">
        <v>10.560000000000002</v>
      </c>
      <c r="EC307">
        <v>2.44</v>
      </c>
      <c r="ED307">
        <v>3</v>
      </c>
      <c r="EE307">
        <v>1</v>
      </c>
      <c r="EF307">
        <v>1</v>
      </c>
      <c r="EG307">
        <v>2.8919999999999999</v>
      </c>
      <c r="EH307">
        <v>1</v>
      </c>
      <c r="EI307">
        <v>12.600000000000003</v>
      </c>
      <c r="EJ307">
        <v>1.1599999999999997</v>
      </c>
      <c r="EK307">
        <v>13</v>
      </c>
      <c r="EL307">
        <v>12.5</v>
      </c>
      <c r="EM307">
        <v>13</v>
      </c>
      <c r="EN307">
        <v>-1.4039999999999992</v>
      </c>
      <c r="EO307">
        <v>12</v>
      </c>
      <c r="EP307">
        <v>-9.2399999999999984</v>
      </c>
      <c r="EQ307">
        <v>0.6000000000000002</v>
      </c>
      <c r="ER307">
        <v>18</v>
      </c>
      <c r="ES307">
        <v>16</v>
      </c>
      <c r="ET307">
        <v>20</v>
      </c>
      <c r="EU307">
        <v>-2.3399999999999994</v>
      </c>
      <c r="EV307">
        <v>12</v>
      </c>
      <c r="EW307">
        <v>-2.6800000000000019</v>
      </c>
      <c r="EX307">
        <v>1.48</v>
      </c>
      <c r="EY307">
        <v>11</v>
      </c>
      <c r="EZ307">
        <v>12</v>
      </c>
      <c r="FA307">
        <v>11</v>
      </c>
      <c r="FB307">
        <v>1.64</v>
      </c>
      <c r="FC307">
        <v>13</v>
      </c>
      <c r="FD307">
        <v>0.15999999999999992</v>
      </c>
      <c r="FE307">
        <v>-4.9599999999999991</v>
      </c>
      <c r="FF307">
        <v>7</v>
      </c>
      <c r="FG307">
        <v>12.25</v>
      </c>
      <c r="FH307">
        <v>19</v>
      </c>
      <c r="FI307">
        <v>4.4516385770170329E-2</v>
      </c>
      <c r="FJ307">
        <v>13</v>
      </c>
      <c r="FK307">
        <v>6.8789585251140765E-3</v>
      </c>
      <c r="FL307">
        <v>1</v>
      </c>
      <c r="FM307">
        <v>-12.955999999999994</v>
      </c>
      <c r="FN307">
        <v>16</v>
      </c>
      <c r="FO307">
        <v>0.76000000000000012</v>
      </c>
      <c r="FP307">
        <v>3.2400000000000007</v>
      </c>
      <c r="FQ307">
        <v>-3.16</v>
      </c>
      <c r="FR307">
        <v>-2.44</v>
      </c>
      <c r="FS307">
        <v>-1.9199999999999988</v>
      </c>
      <c r="FT307">
        <v>0.19999999999999893</v>
      </c>
      <c r="FU307">
        <v>-0.83999999999999986</v>
      </c>
      <c r="FV307">
        <v>27.080000000000005</v>
      </c>
      <c r="FW307">
        <v>39.799999999999997</v>
      </c>
      <c r="FX307">
        <v>-7.5200000000000014</v>
      </c>
      <c r="FY307">
        <v>0.87999999999999967</v>
      </c>
      <c r="FZ307">
        <v>-6.08</v>
      </c>
      <c r="GA307">
        <v>8</v>
      </c>
      <c r="GB307">
        <v>3.3536000000000001</v>
      </c>
      <c r="GC307">
        <v>3.0813199999999998</v>
      </c>
      <c r="GD307">
        <v>47.32</v>
      </c>
      <c r="GE307">
        <v>-3.3536000000000001</v>
      </c>
      <c r="GF307">
        <v>1.3730749999999998</v>
      </c>
      <c r="GG307">
        <v>11.795</v>
      </c>
      <c r="GH307">
        <v>33.210000000000008</v>
      </c>
      <c r="GI307">
        <v>-1.7320000000000004</v>
      </c>
      <c r="GJ307">
        <v>-8.2000000000000011</v>
      </c>
      <c r="GK307">
        <v>5.7799999999999994</v>
      </c>
      <c r="GL307">
        <v>-0.47999999999999987</v>
      </c>
    </row>
    <row r="308" spans="1:194" x14ac:dyDescent="0.2">
      <c r="A308" s="39">
        <v>43786</v>
      </c>
      <c r="B308" s="22" t="s">
        <v>259</v>
      </c>
      <c r="C308" s="41" t="s">
        <v>299</v>
      </c>
      <c r="D308" s="22" t="s">
        <v>291</v>
      </c>
      <c r="E308">
        <v>4.4000000000000004</v>
      </c>
      <c r="F308">
        <v>19.899999999999999</v>
      </c>
      <c r="G308">
        <v>8.6999999999999993</v>
      </c>
      <c r="H308">
        <v>1.6</v>
      </c>
      <c r="I308">
        <v>7.5</v>
      </c>
      <c r="J308">
        <v>46.5</v>
      </c>
      <c r="K308" t="s">
        <v>109</v>
      </c>
      <c r="L308" s="1" t="s">
        <v>299</v>
      </c>
      <c r="M308">
        <v>2</v>
      </c>
      <c r="N308">
        <v>6.7496000000000009</v>
      </c>
      <c r="O308">
        <v>28</v>
      </c>
      <c r="P308">
        <v>26</v>
      </c>
      <c r="Q308">
        <v>31</v>
      </c>
      <c r="R308">
        <v>-6.6240000000000006</v>
      </c>
      <c r="S308">
        <v>21</v>
      </c>
      <c r="T308">
        <v>-31</v>
      </c>
      <c r="U308">
        <v>0.55999999999999994</v>
      </c>
      <c r="V308">
        <v>13</v>
      </c>
      <c r="W308">
        <v>13.5</v>
      </c>
      <c r="X308">
        <v>8</v>
      </c>
      <c r="Y308">
        <v>0.80799999999999961</v>
      </c>
      <c r="Z308">
        <v>19</v>
      </c>
      <c r="AA308">
        <v>8.5599999999999987</v>
      </c>
      <c r="AB308">
        <v>0.2</v>
      </c>
      <c r="AC308">
        <v>5</v>
      </c>
      <c r="AD308">
        <v>5.5</v>
      </c>
      <c r="AE308">
        <v>8</v>
      </c>
      <c r="AF308">
        <v>8.3999999999999631E-2</v>
      </c>
      <c r="AG308">
        <v>3</v>
      </c>
      <c r="AH308">
        <v>-2.1599999999999993</v>
      </c>
      <c r="AI308">
        <v>-0.91999999999999993</v>
      </c>
      <c r="AJ308">
        <v>3</v>
      </c>
      <c r="AK308">
        <v>3.5</v>
      </c>
      <c r="AL308">
        <v>2</v>
      </c>
      <c r="AM308">
        <v>12.904000000000002</v>
      </c>
      <c r="AN308">
        <v>5</v>
      </c>
      <c r="AO308">
        <v>36.28</v>
      </c>
      <c r="AP308">
        <v>2.44</v>
      </c>
      <c r="AQ308">
        <v>10</v>
      </c>
      <c r="AR308">
        <v>10</v>
      </c>
      <c r="AS308">
        <v>10</v>
      </c>
      <c r="AT308">
        <v>4.8120000000000003</v>
      </c>
      <c r="AU308">
        <v>10</v>
      </c>
      <c r="AV308">
        <v>21.32</v>
      </c>
      <c r="AW308">
        <v>1.8799999999999997</v>
      </c>
      <c r="AX308">
        <v>9</v>
      </c>
      <c r="AY308">
        <v>10.5</v>
      </c>
      <c r="AZ308">
        <v>13</v>
      </c>
      <c r="BA308">
        <v>6.7800000000000011</v>
      </c>
      <c r="BB308">
        <v>8</v>
      </c>
      <c r="BC308">
        <v>50.36</v>
      </c>
      <c r="BD308">
        <v>-0.24000000000000021</v>
      </c>
      <c r="BE308">
        <v>20</v>
      </c>
      <c r="BF308">
        <v>22</v>
      </c>
      <c r="BG308">
        <v>23</v>
      </c>
      <c r="BH308">
        <v>-5.1319999999999997</v>
      </c>
      <c r="BI308">
        <v>21</v>
      </c>
      <c r="BJ308">
        <v>-9.0799999999999983</v>
      </c>
      <c r="BK308">
        <v>-0.99999999999999978</v>
      </c>
      <c r="BL308">
        <v>23</v>
      </c>
      <c r="BM308">
        <v>22.5</v>
      </c>
      <c r="BN308">
        <v>20</v>
      </c>
      <c r="BO308">
        <v>-1.4799999999999995</v>
      </c>
      <c r="BP308">
        <v>25</v>
      </c>
      <c r="BQ308">
        <v>-0.84000000000000008</v>
      </c>
      <c r="BR308">
        <v>-3.72</v>
      </c>
      <c r="BS308">
        <v>5</v>
      </c>
      <c r="BT308">
        <v>9</v>
      </c>
      <c r="BU308">
        <v>6</v>
      </c>
      <c r="BV308">
        <v>5.8564648081675233E-2</v>
      </c>
      <c r="BW308">
        <v>12</v>
      </c>
      <c r="BX308">
        <v>-5.5739160079465856E-4</v>
      </c>
      <c r="BY308">
        <v>9</v>
      </c>
      <c r="BZ308">
        <v>2.4599999999999951</v>
      </c>
      <c r="CA308">
        <v>9</v>
      </c>
      <c r="CB308">
        <v>-1.24</v>
      </c>
      <c r="CC308">
        <v>1.8399999999999976</v>
      </c>
      <c r="CD308">
        <v>0.6</v>
      </c>
      <c r="CE308">
        <v>-0.08</v>
      </c>
      <c r="CF308">
        <v>32.359999999999992</v>
      </c>
      <c r="CG308">
        <v>56.320000000000007</v>
      </c>
      <c r="CH308">
        <v>-19.399999999999999</v>
      </c>
      <c r="CI308">
        <v>-2.16</v>
      </c>
      <c r="CJ308">
        <v>-2.4000000000000004</v>
      </c>
      <c r="CK308">
        <v>1</v>
      </c>
      <c r="CL308">
        <v>12.565600000000002</v>
      </c>
      <c r="CM308">
        <v>6.7915200000000002</v>
      </c>
      <c r="CN308">
        <v>75.72</v>
      </c>
      <c r="CO308">
        <v>-12.565600000000002</v>
      </c>
      <c r="CP308">
        <v>1.5152000000000005</v>
      </c>
      <c r="CQ308">
        <v>17.8</v>
      </c>
      <c r="CR308">
        <v>55.440000000000005</v>
      </c>
      <c r="CS308">
        <v>-5.8160000000000007</v>
      </c>
      <c r="CT308">
        <v>-22.44</v>
      </c>
      <c r="CU308">
        <v>2.3999999999999995</v>
      </c>
      <c r="CV308">
        <v>0.76</v>
      </c>
      <c r="CW308">
        <v>0.87498749999999992</v>
      </c>
      <c r="CX308">
        <v>2.7460249999999999</v>
      </c>
      <c r="CY308" t="s">
        <v>291</v>
      </c>
      <c r="CZ308">
        <v>19</v>
      </c>
      <c r="DA308">
        <v>-1.3008000000000006</v>
      </c>
      <c r="DB308">
        <v>6</v>
      </c>
      <c r="DC308">
        <v>8</v>
      </c>
      <c r="DD308">
        <v>4</v>
      </c>
      <c r="DE308">
        <v>1.2003999999999995</v>
      </c>
      <c r="DF308">
        <v>12</v>
      </c>
      <c r="DG308">
        <v>-0.63999999999999913</v>
      </c>
      <c r="DH308">
        <v>-0.59999999999999987</v>
      </c>
      <c r="DI308">
        <v>22</v>
      </c>
      <c r="DJ308">
        <v>19</v>
      </c>
      <c r="DK308">
        <v>24</v>
      </c>
      <c r="DL308">
        <v>-1.0039999999999998</v>
      </c>
      <c r="DM308">
        <v>14</v>
      </c>
      <c r="DN308">
        <v>-1.2399999999999998</v>
      </c>
      <c r="DO308">
        <v>0.64</v>
      </c>
      <c r="DP308">
        <v>26</v>
      </c>
      <c r="DQ308">
        <v>29.5</v>
      </c>
      <c r="DR308">
        <v>30</v>
      </c>
      <c r="DS308">
        <v>-5.863999999999999</v>
      </c>
      <c r="DT308">
        <v>29</v>
      </c>
      <c r="DU308">
        <v>-12.879999999999999</v>
      </c>
      <c r="DV308">
        <v>-1.2400000000000002</v>
      </c>
      <c r="DW308">
        <v>15</v>
      </c>
      <c r="DX308">
        <v>14</v>
      </c>
      <c r="DY308">
        <v>13</v>
      </c>
      <c r="DZ308">
        <v>-0.79200000000000093</v>
      </c>
      <c r="EA308">
        <v>15</v>
      </c>
      <c r="EB308">
        <v>-7.080000000000001</v>
      </c>
      <c r="EC308">
        <v>-1.5999999999999999</v>
      </c>
      <c r="ED308">
        <v>19</v>
      </c>
      <c r="EE308">
        <v>10.5</v>
      </c>
      <c r="EF308">
        <v>9</v>
      </c>
      <c r="EG308">
        <v>-0.34000000000000058</v>
      </c>
      <c r="EH308">
        <v>12</v>
      </c>
      <c r="EI308">
        <v>1.4000000000000008</v>
      </c>
      <c r="EJ308">
        <v>0.15999999999999998</v>
      </c>
      <c r="EK308">
        <v>8</v>
      </c>
      <c r="EL308">
        <v>8.5</v>
      </c>
      <c r="EM308">
        <v>10</v>
      </c>
      <c r="EN308">
        <v>4.1040000000000019</v>
      </c>
      <c r="EO308">
        <v>7</v>
      </c>
      <c r="EP308">
        <v>20.640000000000004</v>
      </c>
      <c r="EQ308">
        <v>0.28000000000000025</v>
      </c>
      <c r="ER308">
        <v>27</v>
      </c>
      <c r="ES308">
        <v>26</v>
      </c>
      <c r="ET308">
        <v>22</v>
      </c>
      <c r="EU308">
        <v>-2.800000000000118E-2</v>
      </c>
      <c r="EV308">
        <v>30</v>
      </c>
      <c r="EW308">
        <v>-11.320000000000002</v>
      </c>
      <c r="EX308">
        <v>-0.63999999999999968</v>
      </c>
      <c r="EY308">
        <v>7</v>
      </c>
      <c r="EZ308">
        <v>7</v>
      </c>
      <c r="FA308">
        <v>10</v>
      </c>
      <c r="FB308">
        <v>0.16000000000000014</v>
      </c>
      <c r="FC308">
        <v>4</v>
      </c>
      <c r="FD308">
        <v>-4.4408920985006264E-17</v>
      </c>
      <c r="FE308">
        <v>-4.08</v>
      </c>
      <c r="FF308">
        <v>15</v>
      </c>
      <c r="FG308">
        <v>15.75</v>
      </c>
      <c r="FH308">
        <v>7</v>
      </c>
      <c r="FI308">
        <v>-1.10062807038527E-2</v>
      </c>
      <c r="FJ308">
        <v>7</v>
      </c>
      <c r="FK308">
        <v>5.4145879874209772E-4</v>
      </c>
      <c r="FL308">
        <v>28</v>
      </c>
      <c r="FM308">
        <v>3.8360000000000012</v>
      </c>
      <c r="FN308">
        <v>21</v>
      </c>
      <c r="FO308">
        <v>-0.59999999999999987</v>
      </c>
      <c r="FP308">
        <v>-3.2800000000000002</v>
      </c>
      <c r="FQ308">
        <v>-1.36</v>
      </c>
      <c r="FR308">
        <v>1.6800000000000002</v>
      </c>
      <c r="FS308">
        <v>-3.1199999999999974</v>
      </c>
      <c r="FT308">
        <v>-0.52000000000000024</v>
      </c>
      <c r="FU308">
        <v>-1.1999999999999997</v>
      </c>
      <c r="FV308">
        <v>-17.480000000000008</v>
      </c>
      <c r="FW308">
        <v>-23.120000000000005</v>
      </c>
      <c r="FX308">
        <v>-5.9200000000000017</v>
      </c>
      <c r="FY308">
        <v>-7.9999999999999988E-2</v>
      </c>
      <c r="FZ308">
        <v>11.640000000000002</v>
      </c>
      <c r="GA308">
        <v>22</v>
      </c>
      <c r="GB308">
        <v>-1.4972000000000001</v>
      </c>
      <c r="GC308">
        <v>-1.7631600000000001</v>
      </c>
      <c r="GD308">
        <v>-17.200000000000003</v>
      </c>
      <c r="GE308">
        <v>1.4972000000000003</v>
      </c>
      <c r="GF308">
        <v>-0.9960500000000001</v>
      </c>
      <c r="GG308">
        <v>-6.9960000000000004</v>
      </c>
      <c r="GH308">
        <v>-18.559999999999999</v>
      </c>
      <c r="GI308">
        <v>0.19639999999999969</v>
      </c>
      <c r="GJ308">
        <v>-1.879999999999999</v>
      </c>
      <c r="GK308">
        <v>-3.3199999999999994</v>
      </c>
      <c r="GL308">
        <v>4.0000000000000147E-2</v>
      </c>
    </row>
    <row r="309" spans="1:194" x14ac:dyDescent="0.2">
      <c r="A309" s="39">
        <v>43786</v>
      </c>
      <c r="B309" s="22" t="s">
        <v>259</v>
      </c>
      <c r="C309" s="41" t="s">
        <v>311</v>
      </c>
      <c r="D309" s="22" t="s">
        <v>305</v>
      </c>
      <c r="E309">
        <v>15</v>
      </c>
      <c r="F309">
        <v>6.7</v>
      </c>
      <c r="G309">
        <v>5.5</v>
      </c>
      <c r="H309">
        <v>5.3</v>
      </c>
      <c r="I309">
        <v>4</v>
      </c>
      <c r="J309">
        <v>51</v>
      </c>
      <c r="L309" s="1" t="s">
        <v>311</v>
      </c>
      <c r="M309">
        <v>7</v>
      </c>
      <c r="N309">
        <v>2.7991999999999999</v>
      </c>
      <c r="O309">
        <v>22</v>
      </c>
      <c r="P309">
        <v>21.5</v>
      </c>
      <c r="Q309">
        <v>30</v>
      </c>
      <c r="R309">
        <v>-2.7795999999999998</v>
      </c>
      <c r="S309">
        <v>13</v>
      </c>
      <c r="T309">
        <v>23.12</v>
      </c>
      <c r="U309">
        <v>-3</v>
      </c>
      <c r="V309">
        <v>8</v>
      </c>
      <c r="W309">
        <v>9.5</v>
      </c>
      <c r="X309">
        <v>3</v>
      </c>
      <c r="Y309">
        <v>2.8400000000000007</v>
      </c>
      <c r="Z309">
        <v>16</v>
      </c>
      <c r="AA309">
        <v>2.5200000000000005</v>
      </c>
      <c r="AB309">
        <v>0.6</v>
      </c>
      <c r="AC309">
        <v>2</v>
      </c>
      <c r="AD309">
        <v>2.5</v>
      </c>
      <c r="AE309">
        <v>1</v>
      </c>
      <c r="AF309">
        <v>7.9080000000000013</v>
      </c>
      <c r="AG309">
        <v>4</v>
      </c>
      <c r="AH309">
        <v>18.68</v>
      </c>
      <c r="AI309">
        <v>3.78</v>
      </c>
      <c r="AJ309">
        <v>15</v>
      </c>
      <c r="AK309">
        <v>15</v>
      </c>
      <c r="AL309">
        <v>16</v>
      </c>
      <c r="AM309">
        <v>-1.31</v>
      </c>
      <c r="AN309">
        <v>14</v>
      </c>
      <c r="AO309">
        <v>-3.7999999999999985</v>
      </c>
      <c r="AP309">
        <v>-0.33999999999999986</v>
      </c>
      <c r="AQ309">
        <v>21</v>
      </c>
      <c r="AR309">
        <v>21</v>
      </c>
      <c r="AS309">
        <v>21</v>
      </c>
      <c r="AT309">
        <v>0.21999999999999992</v>
      </c>
      <c r="AU309">
        <v>21</v>
      </c>
      <c r="AV309">
        <v>-1.679999999999999</v>
      </c>
      <c r="AW309">
        <v>-0.67999999999999994</v>
      </c>
      <c r="AX309">
        <v>17</v>
      </c>
      <c r="AY309">
        <v>16.5</v>
      </c>
      <c r="AZ309">
        <v>21</v>
      </c>
      <c r="BA309">
        <v>-2.2400000000000011</v>
      </c>
      <c r="BB309">
        <v>12</v>
      </c>
      <c r="BC309">
        <v>-3.2</v>
      </c>
      <c r="BD309">
        <v>1.1199999999999997</v>
      </c>
      <c r="BE309">
        <v>11</v>
      </c>
      <c r="BF309">
        <v>12</v>
      </c>
      <c r="BG309">
        <v>11</v>
      </c>
      <c r="BH309">
        <v>3.4</v>
      </c>
      <c r="BI309">
        <v>13</v>
      </c>
      <c r="BJ309">
        <v>15.439999999999998</v>
      </c>
      <c r="BK309">
        <v>0.6</v>
      </c>
      <c r="BL309">
        <v>22</v>
      </c>
      <c r="BM309">
        <v>20.5</v>
      </c>
      <c r="BN309">
        <v>22</v>
      </c>
      <c r="BO309">
        <v>1.3199999999999998</v>
      </c>
      <c r="BP309">
        <v>19</v>
      </c>
      <c r="BQ309">
        <v>0.55999999999999994</v>
      </c>
      <c r="BR309">
        <v>-1.2</v>
      </c>
      <c r="BS309">
        <v>20</v>
      </c>
      <c r="BT309">
        <v>17.5</v>
      </c>
      <c r="BU309">
        <v>1</v>
      </c>
      <c r="BV309">
        <v>-2.1861064242943873E-2</v>
      </c>
      <c r="BW309">
        <v>24</v>
      </c>
      <c r="BX309">
        <v>-1.2799478491069794E-2</v>
      </c>
      <c r="BY309">
        <v>15</v>
      </c>
      <c r="BZ309">
        <v>-1.9120000000000048</v>
      </c>
      <c r="CA309">
        <v>30</v>
      </c>
      <c r="CB309">
        <v>-2.2799999999999998</v>
      </c>
      <c r="CC309">
        <v>4.68</v>
      </c>
      <c r="CD309">
        <v>2.72</v>
      </c>
      <c r="CE309">
        <v>-0.83999999999999986</v>
      </c>
      <c r="CF309">
        <v>47.760000000000005</v>
      </c>
      <c r="CG309">
        <v>9.2800000000000011</v>
      </c>
      <c r="CH309">
        <v>25.679999999999996</v>
      </c>
      <c r="CI309">
        <v>-3.28</v>
      </c>
      <c r="CJ309">
        <v>16.080000000000002</v>
      </c>
      <c r="CK309">
        <v>12</v>
      </c>
      <c r="CL309">
        <v>2.7387999999999986</v>
      </c>
      <c r="CM309">
        <v>2.5732399999999993</v>
      </c>
      <c r="CN309">
        <v>-16.399999999999995</v>
      </c>
      <c r="CO309">
        <v>-2.738799999999999</v>
      </c>
      <c r="CP309">
        <v>1.7997000000000003</v>
      </c>
      <c r="CQ309">
        <v>6.8180000000000005</v>
      </c>
      <c r="CR309">
        <v>13.200000000000001</v>
      </c>
      <c r="CS309">
        <v>6.0400000000000897E-2</v>
      </c>
      <c r="CT309">
        <v>25.64</v>
      </c>
      <c r="CU309">
        <v>3.36</v>
      </c>
      <c r="CV309">
        <v>-2.4</v>
      </c>
      <c r="CW309">
        <v>-0.75787500000000008</v>
      </c>
      <c r="CX309">
        <v>0.77239999999999975</v>
      </c>
      <c r="CY309" t="s">
        <v>305</v>
      </c>
      <c r="CZ309">
        <v>32</v>
      </c>
      <c r="DA309">
        <v>-6.039200000000001</v>
      </c>
      <c r="DB309">
        <v>4</v>
      </c>
      <c r="DC309">
        <v>5.5</v>
      </c>
      <c r="DD309">
        <v>6</v>
      </c>
      <c r="DE309">
        <v>-3.2320000000000002</v>
      </c>
      <c r="DF309">
        <v>5</v>
      </c>
      <c r="DG309">
        <v>-15.239999999999998</v>
      </c>
      <c r="DH309">
        <v>0.15999999999999998</v>
      </c>
      <c r="DI309">
        <v>27</v>
      </c>
      <c r="DJ309">
        <v>24.5</v>
      </c>
      <c r="DK309">
        <v>29</v>
      </c>
      <c r="DL309">
        <v>-1.0319999999999996</v>
      </c>
      <c r="DM309">
        <v>20</v>
      </c>
      <c r="DN309">
        <v>4.8</v>
      </c>
      <c r="DO309">
        <v>-1</v>
      </c>
      <c r="DP309">
        <v>20</v>
      </c>
      <c r="DQ309">
        <v>25</v>
      </c>
      <c r="DR309">
        <v>27</v>
      </c>
      <c r="DS309">
        <v>-2.0360000000000005</v>
      </c>
      <c r="DT309">
        <v>23</v>
      </c>
      <c r="DU309">
        <v>-2.6399999999999979</v>
      </c>
      <c r="DV309">
        <v>-0.6399999999999999</v>
      </c>
      <c r="DW309">
        <v>16</v>
      </c>
      <c r="DX309">
        <v>16</v>
      </c>
      <c r="DY309">
        <v>12</v>
      </c>
      <c r="DZ309">
        <v>0.41000000000000031</v>
      </c>
      <c r="EA309">
        <v>20</v>
      </c>
      <c r="EB309">
        <v>0.74000000000000055</v>
      </c>
      <c r="EC309">
        <v>2.04</v>
      </c>
      <c r="ED309">
        <v>22</v>
      </c>
      <c r="EE309">
        <v>29</v>
      </c>
      <c r="EF309">
        <v>31</v>
      </c>
      <c r="EG309">
        <v>-2.7159999999999993</v>
      </c>
      <c r="EH309">
        <v>27</v>
      </c>
      <c r="EI309">
        <v>-11.52</v>
      </c>
      <c r="EJ309">
        <v>-0.76000000000000012</v>
      </c>
      <c r="EK309">
        <v>26</v>
      </c>
      <c r="EL309">
        <v>26.5</v>
      </c>
      <c r="EM309">
        <v>23</v>
      </c>
      <c r="EN309">
        <v>0.60399999999999954</v>
      </c>
      <c r="EO309">
        <v>30</v>
      </c>
      <c r="EP309">
        <v>-0.19999999999999715</v>
      </c>
      <c r="EQ309">
        <v>-4.4799999999999995</v>
      </c>
      <c r="ER309">
        <v>31</v>
      </c>
      <c r="ES309">
        <v>30.5</v>
      </c>
      <c r="ET309">
        <v>30</v>
      </c>
      <c r="EU309">
        <v>-2.82</v>
      </c>
      <c r="EV309">
        <v>31</v>
      </c>
      <c r="EW309">
        <v>-11.56</v>
      </c>
      <c r="EX309">
        <v>-0.84000000000000008</v>
      </c>
      <c r="EY309">
        <v>23</v>
      </c>
      <c r="EZ309">
        <v>22.5</v>
      </c>
      <c r="FA309">
        <v>27</v>
      </c>
      <c r="FB309">
        <v>-0.84000000000000019</v>
      </c>
      <c r="FC309">
        <v>18</v>
      </c>
      <c r="FD309">
        <v>0</v>
      </c>
      <c r="FE309">
        <v>-5.32</v>
      </c>
      <c r="FF309">
        <v>5</v>
      </c>
      <c r="FG309">
        <v>9.75</v>
      </c>
      <c r="FH309">
        <v>15</v>
      </c>
      <c r="FI309">
        <v>1.7893576589196426E-2</v>
      </c>
      <c r="FJ309">
        <v>8</v>
      </c>
      <c r="FK309">
        <v>1.2117779732636654E-3</v>
      </c>
      <c r="FL309">
        <v>15</v>
      </c>
      <c r="FM309">
        <v>-14</v>
      </c>
      <c r="FN309">
        <v>1</v>
      </c>
      <c r="FO309">
        <v>4.9999999999999982</v>
      </c>
      <c r="FP309">
        <v>-0.7600000000000009</v>
      </c>
      <c r="FQ309">
        <v>-1.7600000000000009</v>
      </c>
      <c r="FR309">
        <v>-1.3599999999999999</v>
      </c>
      <c r="FS309">
        <v>-4.3199999999999958</v>
      </c>
      <c r="FT309">
        <v>-5.92</v>
      </c>
      <c r="FU309">
        <v>-0.36000000000000015</v>
      </c>
      <c r="FV309">
        <v>-45.839999999999989</v>
      </c>
      <c r="FW309">
        <v>-26.680000000000014</v>
      </c>
      <c r="FX309">
        <v>-10.880000000000004</v>
      </c>
      <c r="FY309">
        <v>8.0000000000000432E-2</v>
      </c>
      <c r="FZ309">
        <v>-8.36</v>
      </c>
      <c r="GA309">
        <v>23</v>
      </c>
      <c r="GB309">
        <v>-1.7752000000000012</v>
      </c>
      <c r="GC309">
        <v>-0.50824000000000069</v>
      </c>
      <c r="GD309">
        <v>-15.80000000000001</v>
      </c>
      <c r="GE309">
        <v>1.7752000000000017</v>
      </c>
      <c r="GF309">
        <v>-2.2881499999999999</v>
      </c>
      <c r="GG309">
        <v>-4.3419999999999996</v>
      </c>
      <c r="GH309">
        <v>-13.419999999999996</v>
      </c>
      <c r="GI309">
        <v>-4.2639999999999993</v>
      </c>
      <c r="GJ309">
        <v>-10.439999999999998</v>
      </c>
      <c r="GK309">
        <v>-0.20000000000000007</v>
      </c>
      <c r="GL309">
        <v>-0.84000000000000008</v>
      </c>
    </row>
    <row r="310" spans="1:194" x14ac:dyDescent="0.2">
      <c r="A310" s="39">
        <v>43786</v>
      </c>
      <c r="B310" s="22" t="s">
        <v>259</v>
      </c>
      <c r="C310" s="41" t="s">
        <v>289</v>
      </c>
      <c r="D310" s="22" t="s">
        <v>297</v>
      </c>
      <c r="E310" s="3">
        <v>3.7</v>
      </c>
      <c r="F310" s="3">
        <v>13.8</v>
      </c>
      <c r="G310" s="3">
        <v>3.9</v>
      </c>
      <c r="H310">
        <v>6.7</v>
      </c>
      <c r="I310">
        <v>-2.5</v>
      </c>
      <c r="J310">
        <v>41.5</v>
      </c>
      <c r="K310" t="s">
        <v>110</v>
      </c>
      <c r="L310" s="1" t="s">
        <v>289</v>
      </c>
      <c r="M310">
        <v>17</v>
      </c>
      <c r="N310">
        <v>-1.1967999999999996</v>
      </c>
      <c r="O310">
        <v>11</v>
      </c>
      <c r="P310">
        <v>11.5</v>
      </c>
      <c r="Q310">
        <v>19</v>
      </c>
      <c r="R310">
        <v>3.6359999999999992</v>
      </c>
      <c r="S310">
        <v>4</v>
      </c>
      <c r="T310">
        <v>37.720000000000006</v>
      </c>
      <c r="U310">
        <v>-1.9600000000000002</v>
      </c>
      <c r="V310">
        <v>23</v>
      </c>
      <c r="W310">
        <v>20.5</v>
      </c>
      <c r="X310">
        <v>18</v>
      </c>
      <c r="Y310">
        <v>0.44799999999999968</v>
      </c>
      <c r="Z310">
        <v>23</v>
      </c>
      <c r="AA310">
        <v>-7.76</v>
      </c>
      <c r="AB310">
        <v>1.0799999999999996</v>
      </c>
      <c r="AC310">
        <v>18</v>
      </c>
      <c r="AD310">
        <v>18</v>
      </c>
      <c r="AE310">
        <v>21</v>
      </c>
      <c r="AF310">
        <v>-2.1999999999999988</v>
      </c>
      <c r="AG310">
        <v>15</v>
      </c>
      <c r="AH310">
        <v>-8.2500000000000036</v>
      </c>
      <c r="AI310">
        <v>0.25</v>
      </c>
      <c r="AJ310">
        <v>18</v>
      </c>
      <c r="AK310">
        <v>18.5</v>
      </c>
      <c r="AL310">
        <v>14</v>
      </c>
      <c r="AM310">
        <v>1.1650000000000005</v>
      </c>
      <c r="AN310">
        <v>23</v>
      </c>
      <c r="AO310">
        <v>0.25</v>
      </c>
      <c r="AP310">
        <v>-1.6999999999999997</v>
      </c>
      <c r="AQ310">
        <v>22</v>
      </c>
      <c r="AR310">
        <v>22</v>
      </c>
      <c r="AS310">
        <v>22</v>
      </c>
      <c r="AT310">
        <v>-1.085</v>
      </c>
      <c r="AU310">
        <v>22</v>
      </c>
      <c r="AV310">
        <v>-11.85</v>
      </c>
      <c r="AW310">
        <v>-0.19999999999999996</v>
      </c>
      <c r="AX310">
        <v>12</v>
      </c>
      <c r="AY310">
        <v>12</v>
      </c>
      <c r="AZ310">
        <v>14</v>
      </c>
      <c r="BA310">
        <v>3.0959999999999992</v>
      </c>
      <c r="BB310">
        <v>10</v>
      </c>
      <c r="BC310">
        <v>18.96</v>
      </c>
      <c r="BD310">
        <v>1.2400000000000002</v>
      </c>
      <c r="BE310">
        <v>7</v>
      </c>
      <c r="BF310">
        <v>6.5</v>
      </c>
      <c r="BG310">
        <v>8</v>
      </c>
      <c r="BH310">
        <v>2.3759999999999999</v>
      </c>
      <c r="BI310">
        <v>5</v>
      </c>
      <c r="BJ310">
        <v>15</v>
      </c>
      <c r="BK310">
        <v>1.6799999999999997</v>
      </c>
      <c r="BL310">
        <v>19</v>
      </c>
      <c r="BM310">
        <v>19.5</v>
      </c>
      <c r="BN310">
        <v>24</v>
      </c>
      <c r="BO310">
        <v>-0.31999999999999995</v>
      </c>
      <c r="BP310">
        <v>15</v>
      </c>
      <c r="BQ310">
        <v>-0.12000000000000002</v>
      </c>
      <c r="BR310">
        <v>-0.56000000000000016</v>
      </c>
      <c r="BS310">
        <v>3</v>
      </c>
      <c r="BT310">
        <v>7.75</v>
      </c>
      <c r="BU310">
        <v>4</v>
      </c>
      <c r="BV310">
        <v>0.11544767095331565</v>
      </c>
      <c r="BW310">
        <v>8</v>
      </c>
      <c r="BX310">
        <v>1.7540622060725319E-2</v>
      </c>
      <c r="BY310">
        <v>13</v>
      </c>
      <c r="BZ310">
        <v>9.6159999999999961</v>
      </c>
      <c r="CA310">
        <v>6</v>
      </c>
      <c r="CB310">
        <v>0.44000000000000006</v>
      </c>
      <c r="CC310">
        <v>2.72</v>
      </c>
      <c r="CD310">
        <v>1.9599999999999997</v>
      </c>
      <c r="CE310">
        <v>-0.36</v>
      </c>
      <c r="CF310">
        <v>13.920000000000005</v>
      </c>
      <c r="CG310">
        <v>-20.72</v>
      </c>
      <c r="CH310">
        <v>33.120000000000005</v>
      </c>
      <c r="CI310">
        <v>5.7200000000000006</v>
      </c>
      <c r="CJ310">
        <v>-4.2000000000000011</v>
      </c>
      <c r="CK310">
        <v>25</v>
      </c>
      <c r="CL310">
        <v>-5.2807999999999984</v>
      </c>
      <c r="CM310">
        <v>-2.2301599999999988</v>
      </c>
      <c r="CN310">
        <v>-53.84</v>
      </c>
      <c r="CO310">
        <v>5.2807999999999984</v>
      </c>
      <c r="CP310">
        <v>0.3529000000000001</v>
      </c>
      <c r="CQ310">
        <v>-2.1199999999999983</v>
      </c>
      <c r="CR310">
        <v>-19.850000000000001</v>
      </c>
      <c r="CS310">
        <v>4.0839999999999987</v>
      </c>
      <c r="CT310">
        <v>29.960000000000008</v>
      </c>
      <c r="CU310">
        <v>3.0000000000000027E-2</v>
      </c>
      <c r="CV310">
        <v>-0.88000000000000056</v>
      </c>
      <c r="CW310">
        <v>-0.11206250000000036</v>
      </c>
      <c r="CX310">
        <v>-0.20695000000000013</v>
      </c>
      <c r="CY310" t="s">
        <v>297</v>
      </c>
      <c r="CZ310">
        <v>20</v>
      </c>
      <c r="DA310">
        <v>-0.49840000000000162</v>
      </c>
      <c r="DB310">
        <v>1</v>
      </c>
      <c r="DC310">
        <v>1.5</v>
      </c>
      <c r="DD310">
        <v>2</v>
      </c>
      <c r="DE310">
        <v>0.45599999999999918</v>
      </c>
      <c r="DF310">
        <v>1</v>
      </c>
      <c r="DG310">
        <v>14.280000000000005</v>
      </c>
      <c r="DH310">
        <v>-0.55999999999999983</v>
      </c>
      <c r="DI310">
        <v>13</v>
      </c>
      <c r="DJ310">
        <v>14.5</v>
      </c>
      <c r="DK310">
        <v>11</v>
      </c>
      <c r="DL310">
        <v>3.1360000000000001</v>
      </c>
      <c r="DM310">
        <v>18</v>
      </c>
      <c r="DN310">
        <v>-3.5200000000000009</v>
      </c>
      <c r="DO310">
        <v>0.55999999999999994</v>
      </c>
      <c r="DP310">
        <v>12</v>
      </c>
      <c r="DQ310">
        <v>13</v>
      </c>
      <c r="DR310">
        <v>11</v>
      </c>
      <c r="DS310">
        <v>-4.6400000000000023</v>
      </c>
      <c r="DT310">
        <v>15</v>
      </c>
      <c r="DU310">
        <v>-19.899999999999999</v>
      </c>
      <c r="DV310">
        <v>0.85000000000000009</v>
      </c>
      <c r="DW310">
        <v>26</v>
      </c>
      <c r="DX310">
        <v>26.5</v>
      </c>
      <c r="DY310">
        <v>28</v>
      </c>
      <c r="DZ310">
        <v>0.64500000000000002</v>
      </c>
      <c r="EA310">
        <v>25</v>
      </c>
      <c r="EB310">
        <v>8.0499999999999989</v>
      </c>
      <c r="EC310">
        <v>-0.29999999999999982</v>
      </c>
      <c r="ED310">
        <v>1</v>
      </c>
      <c r="EE310">
        <v>5</v>
      </c>
      <c r="EF310">
        <v>5</v>
      </c>
      <c r="EG310">
        <v>2.62</v>
      </c>
      <c r="EH310">
        <v>5</v>
      </c>
      <c r="EI310">
        <v>16.899999999999999</v>
      </c>
      <c r="EJ310">
        <v>0.34999999999999987</v>
      </c>
      <c r="EK310">
        <v>27</v>
      </c>
      <c r="EL310">
        <v>27</v>
      </c>
      <c r="EM310">
        <v>29</v>
      </c>
      <c r="EN310">
        <v>-0.95999999999999941</v>
      </c>
      <c r="EO310">
        <v>25</v>
      </c>
      <c r="EP310">
        <v>0.40000000000000285</v>
      </c>
      <c r="EQ310">
        <v>-1.1199999999999997</v>
      </c>
      <c r="ER310">
        <v>26</v>
      </c>
      <c r="ES310">
        <v>25.5</v>
      </c>
      <c r="ET310">
        <v>22</v>
      </c>
      <c r="EU310">
        <v>-1.1360000000000001</v>
      </c>
      <c r="EV310">
        <v>29</v>
      </c>
      <c r="EW310">
        <v>-18.560000000000002</v>
      </c>
      <c r="EX310">
        <v>-2.44</v>
      </c>
      <c r="EY310">
        <v>26</v>
      </c>
      <c r="EZ310">
        <v>25</v>
      </c>
      <c r="FA310">
        <v>21</v>
      </c>
      <c r="FB310">
        <v>-0.72</v>
      </c>
      <c r="FC310">
        <v>29</v>
      </c>
      <c r="FD310">
        <v>-0.52</v>
      </c>
      <c r="FE310">
        <v>2.3199999999999998</v>
      </c>
      <c r="FF310">
        <v>20</v>
      </c>
      <c r="FG310">
        <v>16.75</v>
      </c>
      <c r="FH310">
        <v>21</v>
      </c>
      <c r="FI310">
        <v>3.0336658561128237E-2</v>
      </c>
      <c r="FJ310">
        <v>5</v>
      </c>
      <c r="FK310">
        <v>1.8321588381752189E-2</v>
      </c>
      <c r="FL310">
        <v>32</v>
      </c>
      <c r="FM310">
        <v>-3.0320000000000009</v>
      </c>
      <c r="FN310">
        <v>9</v>
      </c>
      <c r="FO310">
        <v>0.87999999999999989</v>
      </c>
      <c r="FP310">
        <v>-3.2000000000000015</v>
      </c>
      <c r="FQ310">
        <v>-1.6799999999999997</v>
      </c>
      <c r="FR310">
        <v>0.56000000000000016</v>
      </c>
      <c r="FS310">
        <v>-3.1999999999999971</v>
      </c>
      <c r="FT310">
        <v>1.2</v>
      </c>
      <c r="FU310">
        <v>-1.1599999999999999</v>
      </c>
      <c r="FV310">
        <v>-7.8</v>
      </c>
      <c r="FW310">
        <v>-22.560000000000002</v>
      </c>
      <c r="FX310">
        <v>7.4799999999999986</v>
      </c>
      <c r="FY310">
        <v>4.6400000000000006</v>
      </c>
      <c r="FZ310">
        <v>2.6400000000000006</v>
      </c>
      <c r="GA310">
        <v>26</v>
      </c>
      <c r="GB310">
        <v>-4.0904000000000007</v>
      </c>
      <c r="GC310">
        <v>-2.3978800000000007</v>
      </c>
      <c r="GD310">
        <v>-30.04</v>
      </c>
      <c r="GE310">
        <v>4.0904000000000007</v>
      </c>
      <c r="GF310">
        <v>-1.7175000000000579E-2</v>
      </c>
      <c r="GG310">
        <v>-1.3750000000000022</v>
      </c>
      <c r="GH310">
        <v>5.0499999999999989</v>
      </c>
      <c r="GI310">
        <v>3.5919999999999992</v>
      </c>
      <c r="GJ310">
        <v>10.760000000000003</v>
      </c>
      <c r="GK310">
        <v>-1.5399999999999998</v>
      </c>
      <c r="GL310">
        <v>0</v>
      </c>
    </row>
    <row r="311" spans="1:194" x14ac:dyDescent="0.2">
      <c r="A311" s="39">
        <v>43786</v>
      </c>
      <c r="B311" s="22" t="s">
        <v>259</v>
      </c>
      <c r="C311" s="41" t="s">
        <v>297</v>
      </c>
      <c r="D311" s="22" t="s">
        <v>289</v>
      </c>
      <c r="E311">
        <v>7.2</v>
      </c>
      <c r="F311">
        <v>33.4</v>
      </c>
      <c r="G311">
        <v>11.8</v>
      </c>
      <c r="H311">
        <f>1.9+1.5</f>
        <v>3.4</v>
      </c>
      <c r="I311">
        <v>2.5</v>
      </c>
      <c r="J311">
        <v>41.5</v>
      </c>
      <c r="K311" t="s">
        <v>110</v>
      </c>
      <c r="L311" s="1" t="s">
        <v>297</v>
      </c>
      <c r="M311">
        <v>26</v>
      </c>
      <c r="N311">
        <v>-3.7008000000000001</v>
      </c>
      <c r="O311">
        <v>10</v>
      </c>
      <c r="P311">
        <v>9.5</v>
      </c>
      <c r="Q311">
        <v>3</v>
      </c>
      <c r="R311">
        <v>4.3570000000000011</v>
      </c>
      <c r="S311">
        <v>16</v>
      </c>
      <c r="T311">
        <v>25.190000000000005</v>
      </c>
      <c r="U311">
        <v>1.8399999999999999</v>
      </c>
      <c r="V311">
        <v>28</v>
      </c>
      <c r="W311">
        <v>28.5</v>
      </c>
      <c r="X311">
        <v>26</v>
      </c>
      <c r="Y311">
        <v>-3.2280000000000002</v>
      </c>
      <c r="Z311">
        <v>31</v>
      </c>
      <c r="AA311">
        <v>-19.16</v>
      </c>
      <c r="AB311">
        <v>-0.67999999999999994</v>
      </c>
      <c r="AC311">
        <v>31</v>
      </c>
      <c r="AD311">
        <v>31.5</v>
      </c>
      <c r="AE311">
        <v>32</v>
      </c>
      <c r="AF311">
        <v>-2.3480000000000012</v>
      </c>
      <c r="AG311">
        <v>31</v>
      </c>
      <c r="AH311">
        <v>-11.84</v>
      </c>
      <c r="AI311">
        <v>1</v>
      </c>
      <c r="AJ311">
        <v>7</v>
      </c>
      <c r="AK311">
        <v>8</v>
      </c>
      <c r="AL311">
        <v>4</v>
      </c>
      <c r="AM311">
        <v>2.8280000000000007</v>
      </c>
      <c r="AN311">
        <v>12</v>
      </c>
      <c r="AO311">
        <v>10.200000000000001</v>
      </c>
      <c r="AP311">
        <v>2.2000000000000002</v>
      </c>
      <c r="AQ311">
        <v>3</v>
      </c>
      <c r="AR311">
        <v>3</v>
      </c>
      <c r="AS311">
        <v>3</v>
      </c>
      <c r="AT311">
        <v>3.0679999999999996</v>
      </c>
      <c r="AU311">
        <v>3</v>
      </c>
      <c r="AV311">
        <v>18.479999999999997</v>
      </c>
      <c r="AW311">
        <v>1.7200000000000002</v>
      </c>
      <c r="AX311">
        <v>13</v>
      </c>
      <c r="AY311">
        <v>12.5</v>
      </c>
      <c r="AZ311">
        <v>10</v>
      </c>
      <c r="BA311">
        <v>3.1</v>
      </c>
      <c r="BB311">
        <v>15</v>
      </c>
      <c r="BC311">
        <v>6.6</v>
      </c>
      <c r="BD311">
        <v>0.31999999999999995</v>
      </c>
      <c r="BE311">
        <v>32</v>
      </c>
      <c r="BF311">
        <v>31</v>
      </c>
      <c r="BG311">
        <v>32</v>
      </c>
      <c r="BH311">
        <v>-8.0960000000000001</v>
      </c>
      <c r="BI311">
        <v>30</v>
      </c>
      <c r="BJ311">
        <v>-32.64</v>
      </c>
      <c r="BK311">
        <v>-3.12</v>
      </c>
      <c r="BL311">
        <v>27</v>
      </c>
      <c r="BM311">
        <v>27</v>
      </c>
      <c r="BN311">
        <v>27</v>
      </c>
      <c r="BO311">
        <v>-0.92000000000000026</v>
      </c>
      <c r="BP311">
        <v>27</v>
      </c>
      <c r="BQ311">
        <v>0.27999999999999997</v>
      </c>
      <c r="BR311">
        <v>0.87999999999999989</v>
      </c>
      <c r="BS311">
        <v>7</v>
      </c>
      <c r="BT311">
        <v>11.25</v>
      </c>
      <c r="BU311">
        <v>7</v>
      </c>
      <c r="BV311">
        <v>2.0348552281940137E-2</v>
      </c>
      <c r="BW311">
        <v>17</v>
      </c>
      <c r="BX311">
        <v>2.348890997539578E-3</v>
      </c>
      <c r="BY311">
        <v>18</v>
      </c>
      <c r="BZ311">
        <v>-18.632000000000005</v>
      </c>
      <c r="CA311">
        <v>3</v>
      </c>
      <c r="CB311">
        <v>2.3199999999999998</v>
      </c>
      <c r="CC311">
        <v>2.9599999999999995</v>
      </c>
      <c r="CD311">
        <v>-6.8800000000000008</v>
      </c>
      <c r="CE311">
        <v>-0.23999999999999994</v>
      </c>
      <c r="CF311">
        <v>7.119999999999993</v>
      </c>
      <c r="CG311">
        <v>3.0799999999999899</v>
      </c>
      <c r="CH311">
        <v>2.2400000000000007</v>
      </c>
      <c r="CI311">
        <v>2.56</v>
      </c>
      <c r="CJ311">
        <v>-0.76000000000000012</v>
      </c>
      <c r="CK311">
        <v>23</v>
      </c>
      <c r="CL311">
        <v>-4.8298000000000005</v>
      </c>
      <c r="CM311">
        <v>-2.2142600000000003</v>
      </c>
      <c r="CN311">
        <v>0.8399999999999892</v>
      </c>
      <c r="CO311">
        <v>4.8298000000000005</v>
      </c>
      <c r="CP311">
        <v>-1.004975</v>
      </c>
      <c r="CQ311">
        <v>3.5479999999999992</v>
      </c>
      <c r="CR311">
        <v>16.839999999999996</v>
      </c>
      <c r="CS311">
        <v>1.1290000000000009</v>
      </c>
      <c r="CT311">
        <v>6.0300000000000047</v>
      </c>
      <c r="CU311">
        <v>1.7999999999999998</v>
      </c>
      <c r="CV311">
        <v>1.1599999999999999</v>
      </c>
      <c r="CW311">
        <v>-0.11206250000000036</v>
      </c>
      <c r="CX311">
        <v>-1.7175000000000579E-2</v>
      </c>
      <c r="CY311" t="s">
        <v>289</v>
      </c>
      <c r="CZ311">
        <v>25</v>
      </c>
      <c r="DA311">
        <v>-1.2908000000000004</v>
      </c>
      <c r="DB311">
        <v>20</v>
      </c>
      <c r="DC311">
        <v>21</v>
      </c>
      <c r="DD311">
        <v>17</v>
      </c>
      <c r="DE311">
        <v>-2.5560000000000005</v>
      </c>
      <c r="DF311">
        <v>25</v>
      </c>
      <c r="DG311">
        <v>-26.919999999999998</v>
      </c>
      <c r="DH311">
        <v>1.6000000000000003</v>
      </c>
      <c r="DI311">
        <v>16</v>
      </c>
      <c r="DJ311">
        <v>16.5</v>
      </c>
      <c r="DK311">
        <v>26</v>
      </c>
      <c r="DL311">
        <v>-0.45199999999999996</v>
      </c>
      <c r="DM311">
        <v>7</v>
      </c>
      <c r="DN311">
        <v>9.3199999999999985</v>
      </c>
      <c r="DO311">
        <v>-1.1200000000000001</v>
      </c>
      <c r="DP311">
        <v>24</v>
      </c>
      <c r="DQ311">
        <v>20</v>
      </c>
      <c r="DR311">
        <v>21</v>
      </c>
      <c r="DS311">
        <v>-2.3728000000000002</v>
      </c>
      <c r="DT311">
        <v>19</v>
      </c>
      <c r="DU311">
        <v>-1.5899999999999976</v>
      </c>
      <c r="DV311">
        <v>-1.0300000000000002</v>
      </c>
      <c r="DW311">
        <v>5</v>
      </c>
      <c r="DX311">
        <v>5.5</v>
      </c>
      <c r="DY311">
        <v>7</v>
      </c>
      <c r="DZ311">
        <v>3.2720000000000007</v>
      </c>
      <c r="EA311">
        <v>4</v>
      </c>
      <c r="EB311">
        <v>13.52</v>
      </c>
      <c r="EC311">
        <v>-4.0000000000000036E-2</v>
      </c>
      <c r="ED311">
        <v>29</v>
      </c>
      <c r="EE311">
        <v>26</v>
      </c>
      <c r="EF311">
        <v>24</v>
      </c>
      <c r="EG311">
        <v>1.2000000000000278E-2</v>
      </c>
      <c r="EH311">
        <v>28</v>
      </c>
      <c r="EI311">
        <v>-4.160000000000001</v>
      </c>
      <c r="EJ311">
        <v>0.27999999999999992</v>
      </c>
      <c r="EK311">
        <v>17</v>
      </c>
      <c r="EL311">
        <v>16.5</v>
      </c>
      <c r="EM311">
        <v>15</v>
      </c>
      <c r="EN311">
        <v>-1.787999999999998</v>
      </c>
      <c r="EO311">
        <v>18</v>
      </c>
      <c r="EP311">
        <v>-11.879999999999999</v>
      </c>
      <c r="EQ311">
        <v>-0.19999999999999982</v>
      </c>
      <c r="ER311">
        <v>27</v>
      </c>
      <c r="ES311">
        <v>26</v>
      </c>
      <c r="ET311">
        <v>27</v>
      </c>
      <c r="EU311">
        <v>-0.70800000000000052</v>
      </c>
      <c r="EV311">
        <v>25</v>
      </c>
      <c r="EW311">
        <v>-6.0399999999999991</v>
      </c>
      <c r="EX311">
        <v>7.9999999999999891E-2</v>
      </c>
      <c r="EY311">
        <v>5</v>
      </c>
      <c r="EZ311">
        <v>4.5</v>
      </c>
      <c r="FA311">
        <v>5</v>
      </c>
      <c r="FB311">
        <v>2.44</v>
      </c>
      <c r="FC311">
        <v>4</v>
      </c>
      <c r="FD311">
        <v>0.6399999999999999</v>
      </c>
      <c r="FE311">
        <v>0.44000000000000006</v>
      </c>
      <c r="FF311">
        <v>28</v>
      </c>
      <c r="FG311">
        <v>23</v>
      </c>
      <c r="FH311">
        <v>27</v>
      </c>
      <c r="FI311">
        <v>-3.7918095056881816E-3</v>
      </c>
      <c r="FJ311">
        <v>18</v>
      </c>
      <c r="FK311">
        <v>-7.4073366605073732E-3</v>
      </c>
      <c r="FL311">
        <v>26</v>
      </c>
      <c r="FM311">
        <v>7.7280000000000015</v>
      </c>
      <c r="FN311">
        <v>21</v>
      </c>
      <c r="FO311">
        <v>-0.56000000000000016</v>
      </c>
      <c r="FP311">
        <v>1.3599999999999994</v>
      </c>
      <c r="FQ311">
        <v>-2.0400000000000005</v>
      </c>
      <c r="FR311">
        <v>-1.8</v>
      </c>
      <c r="FS311">
        <v>-2.9599999999999995</v>
      </c>
      <c r="FT311">
        <v>-0.6</v>
      </c>
      <c r="FU311">
        <v>-8.0000000000000071E-2</v>
      </c>
      <c r="FV311">
        <v>-26.079999999999995</v>
      </c>
      <c r="FW311">
        <v>-5.4</v>
      </c>
      <c r="FX311">
        <v>-17.68</v>
      </c>
      <c r="FY311">
        <v>-0.64</v>
      </c>
      <c r="FZ311">
        <v>-2.3599999999999994</v>
      </c>
      <c r="GA311">
        <v>12</v>
      </c>
      <c r="GB311">
        <v>1.7172000000000001</v>
      </c>
      <c r="GC311">
        <v>1.2864800000000003</v>
      </c>
      <c r="GD311">
        <v>12.28</v>
      </c>
      <c r="GE311">
        <v>-1.7172000000000001</v>
      </c>
      <c r="GF311">
        <v>-0.20695000000000013</v>
      </c>
      <c r="GG311">
        <v>0.91120000000000068</v>
      </c>
      <c r="GH311">
        <v>7.7700000000000005</v>
      </c>
      <c r="GI311">
        <v>-3.0080000000000005</v>
      </c>
      <c r="GJ311">
        <v>-17.600000000000001</v>
      </c>
      <c r="GK311">
        <v>-0.71000000000000052</v>
      </c>
      <c r="GL311">
        <v>0.4800000000000002</v>
      </c>
    </row>
    <row r="312" spans="1:194" x14ac:dyDescent="0.2">
      <c r="A312" s="39">
        <v>43786</v>
      </c>
      <c r="B312" s="22" t="s">
        <v>259</v>
      </c>
      <c r="C312" s="41" t="s">
        <v>288</v>
      </c>
      <c r="D312" s="22" t="s">
        <v>287</v>
      </c>
      <c r="E312">
        <v>4.5999999999999996</v>
      </c>
      <c r="F312">
        <v>3.3</v>
      </c>
      <c r="G312">
        <v>1.9</v>
      </c>
      <c r="H312">
        <v>22.2</v>
      </c>
      <c r="I312">
        <v>-5.5</v>
      </c>
      <c r="J312">
        <v>52.5</v>
      </c>
      <c r="L312" s="1" t="s">
        <v>288</v>
      </c>
      <c r="M312">
        <v>14</v>
      </c>
      <c r="N312">
        <v>0.8424000000000007</v>
      </c>
      <c r="O312">
        <v>32</v>
      </c>
      <c r="P312">
        <v>30</v>
      </c>
      <c r="Q312">
        <v>28</v>
      </c>
      <c r="R312">
        <v>-1.4519999999999995</v>
      </c>
      <c r="S312">
        <v>32</v>
      </c>
      <c r="T312">
        <v>8.000000000000114E-2</v>
      </c>
      <c r="U312">
        <v>-0.60000000000000009</v>
      </c>
      <c r="V312">
        <v>17</v>
      </c>
      <c r="W312">
        <v>16.5</v>
      </c>
      <c r="X312">
        <v>19</v>
      </c>
      <c r="Y312">
        <v>-2.6820000000000008</v>
      </c>
      <c r="Z312">
        <v>14</v>
      </c>
      <c r="AA312">
        <v>1.2400000000000004</v>
      </c>
      <c r="AB312">
        <v>-1.03</v>
      </c>
      <c r="AC312">
        <v>8</v>
      </c>
      <c r="AD312">
        <v>7</v>
      </c>
      <c r="AE312">
        <v>6</v>
      </c>
      <c r="AF312">
        <v>6.76</v>
      </c>
      <c r="AG312">
        <v>8</v>
      </c>
      <c r="AH312">
        <v>23.07</v>
      </c>
      <c r="AI312">
        <v>2.11</v>
      </c>
      <c r="AJ312">
        <v>26</v>
      </c>
      <c r="AK312">
        <v>26.5</v>
      </c>
      <c r="AL312">
        <v>27</v>
      </c>
      <c r="AM312">
        <v>-1.3439999999999999</v>
      </c>
      <c r="AN312">
        <v>26</v>
      </c>
      <c r="AO312">
        <v>-0.63999999999999913</v>
      </c>
      <c r="AP312">
        <v>-1.0900000000000001</v>
      </c>
      <c r="AQ312">
        <v>9</v>
      </c>
      <c r="AR312">
        <v>9.5</v>
      </c>
      <c r="AS312">
        <v>11</v>
      </c>
      <c r="AT312">
        <v>1.1039999999999996</v>
      </c>
      <c r="AU312">
        <v>8</v>
      </c>
      <c r="AV312">
        <v>1.1199999999999997</v>
      </c>
      <c r="AW312">
        <v>0.92000000000000015</v>
      </c>
      <c r="AX312">
        <v>2</v>
      </c>
      <c r="AY312">
        <v>3.5</v>
      </c>
      <c r="AZ312">
        <v>4</v>
      </c>
      <c r="BA312">
        <v>6.7040000000000006</v>
      </c>
      <c r="BB312">
        <v>3</v>
      </c>
      <c r="BC312">
        <v>25.839999999999996</v>
      </c>
      <c r="BD312">
        <v>0.96000000000000019</v>
      </c>
      <c r="BE312">
        <v>3</v>
      </c>
      <c r="BF312">
        <v>3.5</v>
      </c>
      <c r="BG312">
        <v>4</v>
      </c>
      <c r="BH312">
        <v>-0.49600000000000011</v>
      </c>
      <c r="BI312">
        <v>3</v>
      </c>
      <c r="BJ312">
        <v>-5.3600000000000012</v>
      </c>
      <c r="BK312">
        <v>-0.27999999999999992</v>
      </c>
      <c r="BL312">
        <v>15</v>
      </c>
      <c r="BM312">
        <v>14.5</v>
      </c>
      <c r="BN312">
        <v>12</v>
      </c>
      <c r="BO312">
        <v>2.3200000000000003</v>
      </c>
      <c r="BP312">
        <v>17</v>
      </c>
      <c r="BQ312">
        <v>0.84000000000000008</v>
      </c>
      <c r="BR312">
        <v>1.8</v>
      </c>
      <c r="BS312">
        <v>29</v>
      </c>
      <c r="BT312">
        <v>25</v>
      </c>
      <c r="BU312">
        <v>26</v>
      </c>
      <c r="BV312">
        <v>-8.3026552482433263E-2</v>
      </c>
      <c r="BW312">
        <v>23</v>
      </c>
      <c r="BX312">
        <v>-9.4904745288558467E-3</v>
      </c>
      <c r="BY312">
        <v>25</v>
      </c>
      <c r="BZ312">
        <v>9.208000000000002</v>
      </c>
      <c r="CA312">
        <v>26</v>
      </c>
      <c r="CB312">
        <v>-0.67999999999999994</v>
      </c>
      <c r="CC312">
        <v>-2.680000000000001</v>
      </c>
      <c r="CD312">
        <v>3.96</v>
      </c>
      <c r="CE312">
        <v>1.0399999999999998</v>
      </c>
      <c r="CF312">
        <v>2.4800000000000066</v>
      </c>
      <c r="CG312">
        <v>7.6399999999999979</v>
      </c>
      <c r="CH312">
        <v>0.20000000000000284</v>
      </c>
      <c r="CI312">
        <v>5.5200000000000005</v>
      </c>
      <c r="CJ312">
        <v>-10.88</v>
      </c>
      <c r="CK312">
        <v>7</v>
      </c>
      <c r="CL312">
        <v>4.9764000000000017</v>
      </c>
      <c r="CM312">
        <v>3.44028</v>
      </c>
      <c r="CN312">
        <v>7.4399999999999951</v>
      </c>
      <c r="CO312">
        <v>-4.9764000000000008</v>
      </c>
      <c r="CP312">
        <v>0.63155000000000006</v>
      </c>
      <c r="CQ312">
        <v>6.52</v>
      </c>
      <c r="CR312">
        <v>23.55</v>
      </c>
      <c r="CS312">
        <v>-4.1340000000000003</v>
      </c>
      <c r="CT312">
        <v>1.3200000000000016</v>
      </c>
      <c r="CU312">
        <v>1.6600000000000001</v>
      </c>
      <c r="CV312">
        <v>-1.6300000000000001</v>
      </c>
      <c r="CW312">
        <v>-0.66089999999999982</v>
      </c>
      <c r="CX312">
        <v>-6.8099999999999716E-2</v>
      </c>
      <c r="CY312" t="s">
        <v>287</v>
      </c>
      <c r="CZ312">
        <v>26</v>
      </c>
      <c r="DA312">
        <v>-4.2695999999999996</v>
      </c>
      <c r="DB312">
        <v>7</v>
      </c>
      <c r="DC312">
        <v>10</v>
      </c>
      <c r="DD312">
        <v>11</v>
      </c>
      <c r="DE312">
        <v>1.6399999999999995</v>
      </c>
      <c r="DF312">
        <v>9</v>
      </c>
      <c r="DG312">
        <v>3.12</v>
      </c>
      <c r="DH312">
        <v>0.24000000000000013</v>
      </c>
      <c r="DI312">
        <v>21</v>
      </c>
      <c r="DJ312">
        <v>18.5</v>
      </c>
      <c r="DK312">
        <v>9</v>
      </c>
      <c r="DL312">
        <v>4.3999999999999949E-2</v>
      </c>
      <c r="DM312">
        <v>28</v>
      </c>
      <c r="DN312">
        <v>-1.0800000000000012</v>
      </c>
      <c r="DO312">
        <v>-0.20000000000000004</v>
      </c>
      <c r="DP312">
        <v>28</v>
      </c>
      <c r="DQ312">
        <v>26.5</v>
      </c>
      <c r="DR312">
        <v>26</v>
      </c>
      <c r="DS312">
        <v>-0.64800000000000024</v>
      </c>
      <c r="DT312">
        <v>27</v>
      </c>
      <c r="DU312">
        <v>-11.430000000000001</v>
      </c>
      <c r="DV312">
        <v>0.57000000000000006</v>
      </c>
      <c r="DW312">
        <v>21</v>
      </c>
      <c r="DX312">
        <v>22</v>
      </c>
      <c r="DY312">
        <v>22</v>
      </c>
      <c r="DZ312">
        <v>-2.5959999999999996</v>
      </c>
      <c r="EA312">
        <v>22</v>
      </c>
      <c r="EB312">
        <v>-4.5200000000000014</v>
      </c>
      <c r="EC312">
        <v>-0.91999999999999993</v>
      </c>
      <c r="ED312">
        <v>18</v>
      </c>
      <c r="EE312">
        <v>20.5</v>
      </c>
      <c r="EF312">
        <v>23</v>
      </c>
      <c r="EG312">
        <v>-0.43199999999999977</v>
      </c>
      <c r="EH312">
        <v>18</v>
      </c>
      <c r="EI312">
        <v>-0.96000000000000152</v>
      </c>
      <c r="EJ312">
        <v>-8.0000000000000071E-2</v>
      </c>
      <c r="EK312">
        <v>22</v>
      </c>
      <c r="EL312">
        <v>23</v>
      </c>
      <c r="EM312">
        <v>25</v>
      </c>
      <c r="EN312">
        <v>-2.7519999999999998</v>
      </c>
      <c r="EO312">
        <v>21</v>
      </c>
      <c r="EP312">
        <v>-5.92</v>
      </c>
      <c r="EQ312">
        <v>-1.0000000000000002</v>
      </c>
      <c r="ER312">
        <v>30</v>
      </c>
      <c r="ES312">
        <v>27.5</v>
      </c>
      <c r="ET312">
        <v>28</v>
      </c>
      <c r="EU312">
        <v>-5.4079999999999995</v>
      </c>
      <c r="EV312">
        <v>27</v>
      </c>
      <c r="EW312">
        <v>-13</v>
      </c>
      <c r="EX312">
        <v>-2.44</v>
      </c>
      <c r="EY312">
        <v>3</v>
      </c>
      <c r="EZ312">
        <v>3.5</v>
      </c>
      <c r="FA312">
        <v>4</v>
      </c>
      <c r="FB312">
        <v>1.64</v>
      </c>
      <c r="FC312">
        <v>3</v>
      </c>
      <c r="FD312">
        <v>0.83999999999999986</v>
      </c>
      <c r="FE312">
        <v>0.51999999999999991</v>
      </c>
      <c r="FF312">
        <v>25</v>
      </c>
      <c r="FG312">
        <v>21.5</v>
      </c>
      <c r="FH312">
        <v>20</v>
      </c>
      <c r="FI312">
        <v>-2.0743720300055724E-2</v>
      </c>
      <c r="FJ312">
        <v>25</v>
      </c>
      <c r="FK312">
        <v>-6.0171898673039249E-3</v>
      </c>
      <c r="FL312">
        <v>18</v>
      </c>
      <c r="FM312">
        <v>2.2239999999999993</v>
      </c>
      <c r="FN312">
        <v>23</v>
      </c>
      <c r="FO312">
        <v>-1.44</v>
      </c>
      <c r="FP312">
        <v>-3.04</v>
      </c>
      <c r="FQ312">
        <v>1.9600000000000009</v>
      </c>
      <c r="FR312">
        <v>0.27999999999999997</v>
      </c>
      <c r="FS312">
        <v>-1.0400000000000005</v>
      </c>
      <c r="FT312">
        <v>-3.12</v>
      </c>
      <c r="FU312">
        <v>1.1199999999999999</v>
      </c>
      <c r="FV312">
        <v>-29.76</v>
      </c>
      <c r="FW312">
        <v>-28.240000000000002</v>
      </c>
      <c r="FX312">
        <v>1.2800000000000011</v>
      </c>
      <c r="FY312">
        <v>-1.1200000000000001</v>
      </c>
      <c r="FZ312">
        <v>-1.6800000000000004</v>
      </c>
      <c r="GA312">
        <v>28</v>
      </c>
      <c r="GB312">
        <v>-5.9535999999999989</v>
      </c>
      <c r="GC312">
        <v>-3.5127199999999998</v>
      </c>
      <c r="GD312">
        <v>-29.520000000000003</v>
      </c>
      <c r="GE312">
        <v>5.9535999999999989</v>
      </c>
      <c r="GF312">
        <v>-1.2536999999999998</v>
      </c>
      <c r="GG312">
        <v>-3.6759999999999997</v>
      </c>
      <c r="GH312">
        <v>-16.910000000000004</v>
      </c>
      <c r="GI312">
        <v>1.6839999999999995</v>
      </c>
      <c r="GJ312">
        <v>2.0399999999999991</v>
      </c>
      <c r="GK312">
        <v>-2.87</v>
      </c>
      <c r="GL312">
        <v>4.0000000000000091E-2</v>
      </c>
    </row>
    <row r="313" spans="1:194" x14ac:dyDescent="0.2">
      <c r="A313" s="39">
        <v>43786</v>
      </c>
      <c r="B313" s="22" t="s">
        <v>259</v>
      </c>
      <c r="C313" s="41" t="s">
        <v>303</v>
      </c>
      <c r="D313" s="22" t="s">
        <v>272</v>
      </c>
      <c r="E313">
        <v>12.2</v>
      </c>
      <c r="F313">
        <v>11.6</v>
      </c>
      <c r="G313">
        <v>5.5</v>
      </c>
      <c r="H313">
        <f>12.6+8.8</f>
        <v>21.4</v>
      </c>
      <c r="I313">
        <v>-13</v>
      </c>
      <c r="J313">
        <v>48</v>
      </c>
      <c r="K313" t="s">
        <v>110</v>
      </c>
      <c r="L313" s="1" t="s">
        <v>303</v>
      </c>
      <c r="M313">
        <v>22</v>
      </c>
      <c r="N313">
        <v>-1.9296000000000006</v>
      </c>
      <c r="O313">
        <v>7</v>
      </c>
      <c r="P313">
        <v>7.5</v>
      </c>
      <c r="Q313">
        <v>12</v>
      </c>
      <c r="R313">
        <v>0.79200000000000015</v>
      </c>
      <c r="S313">
        <v>3</v>
      </c>
      <c r="T313">
        <v>28.160000000000004</v>
      </c>
      <c r="U313">
        <v>-8.0000000000000251E-2</v>
      </c>
      <c r="V313">
        <v>22</v>
      </c>
      <c r="W313">
        <v>19.5</v>
      </c>
      <c r="X313">
        <v>17</v>
      </c>
      <c r="Y313">
        <v>-1.3660000000000001</v>
      </c>
      <c r="Z313">
        <v>22</v>
      </c>
      <c r="AA313">
        <v>-12.879999999999999</v>
      </c>
      <c r="AB313">
        <v>0.6100000000000001</v>
      </c>
      <c r="AC313">
        <v>30</v>
      </c>
      <c r="AD313">
        <v>30.5</v>
      </c>
      <c r="AE313">
        <v>31</v>
      </c>
      <c r="AF313">
        <v>-4.1240000000000006</v>
      </c>
      <c r="AG313">
        <v>30</v>
      </c>
      <c r="AH313">
        <v>-10.73</v>
      </c>
      <c r="AI313">
        <v>-2.5299999999999998</v>
      </c>
      <c r="AJ313">
        <v>24</v>
      </c>
      <c r="AK313">
        <v>23</v>
      </c>
      <c r="AL313">
        <v>22</v>
      </c>
      <c r="AM313">
        <v>4.7999999999999335E-2</v>
      </c>
      <c r="AN313">
        <v>24</v>
      </c>
      <c r="AO313">
        <v>-2.1999999999999984</v>
      </c>
      <c r="AP313">
        <v>-0.29000000000000004</v>
      </c>
      <c r="AQ313">
        <v>25</v>
      </c>
      <c r="AR313">
        <v>25</v>
      </c>
      <c r="AS313">
        <v>25</v>
      </c>
      <c r="AT313">
        <v>-1.9559999999999995</v>
      </c>
      <c r="AU313">
        <v>25</v>
      </c>
      <c r="AV313">
        <v>-10.88</v>
      </c>
      <c r="AW313">
        <v>-0.11999999999999993</v>
      </c>
      <c r="AX313">
        <v>24</v>
      </c>
      <c r="AY313">
        <v>25</v>
      </c>
      <c r="AZ313">
        <v>27</v>
      </c>
      <c r="BA313">
        <v>-2.9440000000000004</v>
      </c>
      <c r="BB313">
        <v>23</v>
      </c>
      <c r="BC313">
        <v>-13.84</v>
      </c>
      <c r="BD313">
        <v>-1.2799999999999998</v>
      </c>
      <c r="BE313">
        <v>5</v>
      </c>
      <c r="BF313">
        <v>6</v>
      </c>
      <c r="BG313">
        <v>6</v>
      </c>
      <c r="BH313">
        <v>5.8079999999999998</v>
      </c>
      <c r="BI313">
        <v>6</v>
      </c>
      <c r="BJ313">
        <v>9.6799999999999979</v>
      </c>
      <c r="BK313">
        <v>0.96000000000000019</v>
      </c>
      <c r="BL313">
        <v>19</v>
      </c>
      <c r="BM313">
        <v>19.5</v>
      </c>
      <c r="BN313">
        <v>26</v>
      </c>
      <c r="BO313">
        <v>-0.96</v>
      </c>
      <c r="BP313">
        <v>13</v>
      </c>
      <c r="BQ313">
        <v>-0.27999999999999992</v>
      </c>
      <c r="BR313">
        <v>-0.43999999999999984</v>
      </c>
      <c r="BS313">
        <v>19</v>
      </c>
      <c r="BT313">
        <v>17.25</v>
      </c>
      <c r="BU313">
        <v>14</v>
      </c>
      <c r="BV313">
        <v>-3.2368640291027456E-2</v>
      </c>
      <c r="BW313">
        <v>21</v>
      </c>
      <c r="BX313">
        <v>-4.740563263367286E-3</v>
      </c>
      <c r="BY313">
        <v>32</v>
      </c>
      <c r="BZ313">
        <v>21.143999999999998</v>
      </c>
      <c r="CA313">
        <v>2</v>
      </c>
      <c r="CB313">
        <v>-0.83999999999999986</v>
      </c>
      <c r="CC313">
        <v>-1.6399999999999992</v>
      </c>
      <c r="CD313">
        <v>-0.6399999999999999</v>
      </c>
      <c r="CE313">
        <v>-0.08</v>
      </c>
      <c r="CF313">
        <v>6.1600000000000019</v>
      </c>
      <c r="CG313">
        <v>5.3600000000000021</v>
      </c>
      <c r="CH313">
        <v>17.280000000000005</v>
      </c>
      <c r="CI313">
        <v>2.2399999999999998</v>
      </c>
      <c r="CJ313">
        <v>-18.72</v>
      </c>
      <c r="CK313">
        <v>18</v>
      </c>
      <c r="CL313">
        <v>-1.3556000000000008</v>
      </c>
      <c r="CM313">
        <v>-0.14372000000000035</v>
      </c>
      <c r="CN313">
        <v>-11.920000000000002</v>
      </c>
      <c r="CO313">
        <v>1.3556000000000008</v>
      </c>
      <c r="CP313">
        <v>-0.4609500000000003</v>
      </c>
      <c r="CQ313">
        <v>-6.0320000000000009</v>
      </c>
      <c r="CR313">
        <v>-23.810000000000002</v>
      </c>
      <c r="CS313">
        <v>-0.57399999999999995</v>
      </c>
      <c r="CT313">
        <v>15.280000000000005</v>
      </c>
      <c r="CU313">
        <v>-1.9799999999999998</v>
      </c>
      <c r="CV313">
        <v>0.5299999999999998</v>
      </c>
      <c r="CW313">
        <v>1.0511000000000001</v>
      </c>
      <c r="CX313">
        <v>1.1183000000000003</v>
      </c>
      <c r="CY313" t="s">
        <v>272</v>
      </c>
      <c r="CZ313">
        <v>10</v>
      </c>
      <c r="DA313">
        <v>4.4591999999999983</v>
      </c>
      <c r="DB313">
        <v>25</v>
      </c>
      <c r="DC313">
        <v>23.5</v>
      </c>
      <c r="DD313">
        <v>29</v>
      </c>
      <c r="DE313">
        <v>-0.66799999999999993</v>
      </c>
      <c r="DF313">
        <v>18</v>
      </c>
      <c r="DG313">
        <v>5.8</v>
      </c>
      <c r="DH313">
        <v>-1.1599999999999999</v>
      </c>
      <c r="DI313">
        <v>24</v>
      </c>
      <c r="DJ313">
        <v>21.5</v>
      </c>
      <c r="DK313">
        <v>19</v>
      </c>
      <c r="DL313">
        <v>-2.5119999999999991</v>
      </c>
      <c r="DM313">
        <v>24</v>
      </c>
      <c r="DN313">
        <v>-5.76</v>
      </c>
      <c r="DO313">
        <v>8.0000000000000029E-2</v>
      </c>
      <c r="DP313">
        <v>1</v>
      </c>
      <c r="DQ313">
        <v>4</v>
      </c>
      <c r="DR313">
        <v>5</v>
      </c>
      <c r="DS313">
        <v>6.634666666666666</v>
      </c>
      <c r="DT313">
        <v>3</v>
      </c>
      <c r="DU313">
        <v>39.306666666666665</v>
      </c>
      <c r="DV313">
        <v>-0.16000000000000014</v>
      </c>
      <c r="DW313">
        <v>17</v>
      </c>
      <c r="DX313">
        <v>16.5</v>
      </c>
      <c r="DY313">
        <v>19</v>
      </c>
      <c r="DZ313">
        <v>-2.7053333333333329</v>
      </c>
      <c r="EA313">
        <v>14</v>
      </c>
      <c r="EB313">
        <v>-6.5333333333333341</v>
      </c>
      <c r="EC313">
        <v>-1.8666666666666665</v>
      </c>
      <c r="ED313">
        <v>6</v>
      </c>
      <c r="EE313">
        <v>8</v>
      </c>
      <c r="EF313">
        <v>6</v>
      </c>
      <c r="EG313">
        <v>1.4026666666666667</v>
      </c>
      <c r="EH313">
        <v>10</v>
      </c>
      <c r="EI313">
        <v>12.2</v>
      </c>
      <c r="EJ313">
        <v>0.98666666666666658</v>
      </c>
      <c r="EK313">
        <v>2</v>
      </c>
      <c r="EL313">
        <v>3.5</v>
      </c>
      <c r="EM313">
        <v>5</v>
      </c>
      <c r="EN313">
        <v>7.8920000000000003</v>
      </c>
      <c r="EO313">
        <v>2</v>
      </c>
      <c r="EP313">
        <v>54.52</v>
      </c>
      <c r="EQ313">
        <v>0.8</v>
      </c>
      <c r="ER313">
        <v>9</v>
      </c>
      <c r="ES313">
        <v>10</v>
      </c>
      <c r="ET313">
        <v>9</v>
      </c>
      <c r="EU313">
        <v>0.57999999999999896</v>
      </c>
      <c r="EV313">
        <v>11</v>
      </c>
      <c r="EW313">
        <v>6.8000000000000016</v>
      </c>
      <c r="EX313">
        <v>-0.27999999999999992</v>
      </c>
      <c r="EY313">
        <v>20</v>
      </c>
      <c r="EZ313">
        <v>21</v>
      </c>
      <c r="FA313">
        <v>18</v>
      </c>
      <c r="FB313">
        <v>0.68000000000000027</v>
      </c>
      <c r="FC313">
        <v>24</v>
      </c>
      <c r="FD313">
        <v>-8.0000000000000071E-2</v>
      </c>
      <c r="FE313">
        <v>1.56</v>
      </c>
      <c r="FF313">
        <v>22</v>
      </c>
      <c r="FG313">
        <v>18.25</v>
      </c>
      <c r="FH313">
        <v>13</v>
      </c>
      <c r="FI313">
        <v>6.7333504337807378E-3</v>
      </c>
      <c r="FJ313">
        <v>15</v>
      </c>
      <c r="FK313">
        <v>-3.2140710988679626E-3</v>
      </c>
      <c r="FL313">
        <v>19</v>
      </c>
      <c r="FM313">
        <v>-0.77200000000000268</v>
      </c>
      <c r="FN313">
        <v>26</v>
      </c>
      <c r="FO313">
        <v>-1.1600000000000004</v>
      </c>
      <c r="FP313">
        <v>-0.19999999999999929</v>
      </c>
      <c r="FQ313">
        <v>1.2800000000000005</v>
      </c>
      <c r="FR313">
        <v>1.1200000000000003</v>
      </c>
      <c r="FS313">
        <v>2.839999999999999</v>
      </c>
      <c r="FT313">
        <v>1.5200000000000002</v>
      </c>
      <c r="FU313">
        <v>0.19999999999999982</v>
      </c>
      <c r="FV313">
        <v>59.759999999999991</v>
      </c>
      <c r="FW313">
        <v>43.879999999999995</v>
      </c>
      <c r="FX313">
        <v>1.5199999999999989</v>
      </c>
      <c r="FY313">
        <v>3.3200000000000003</v>
      </c>
      <c r="FZ313">
        <v>11.040000000000003</v>
      </c>
      <c r="GA313">
        <v>3</v>
      </c>
      <c r="GB313">
        <v>7.6391999999999971</v>
      </c>
      <c r="GC313">
        <v>3.6642399999999986</v>
      </c>
      <c r="GD313">
        <v>42.36</v>
      </c>
      <c r="GE313">
        <v>-7.6391999999999971</v>
      </c>
      <c r="GF313">
        <v>0.98389999999999989</v>
      </c>
      <c r="GG313">
        <v>5.3319999999999999</v>
      </c>
      <c r="GH313">
        <v>44.973333333333329</v>
      </c>
      <c r="GI313">
        <v>-3.1799999999999988</v>
      </c>
      <c r="GJ313">
        <v>4.0000000000000036E-2</v>
      </c>
      <c r="GK313">
        <v>-1.3199999999999998</v>
      </c>
      <c r="GL313">
        <v>-1.0799999999999998</v>
      </c>
    </row>
    <row r="314" spans="1:194" x14ac:dyDescent="0.2">
      <c r="A314" s="39">
        <v>43786</v>
      </c>
      <c r="B314" s="22" t="s">
        <v>259</v>
      </c>
      <c r="C314" s="41" t="s">
        <v>287</v>
      </c>
      <c r="D314" s="22" t="s">
        <v>288</v>
      </c>
      <c r="E314">
        <v>21.1</v>
      </c>
      <c r="F314">
        <v>9.6</v>
      </c>
      <c r="G314">
        <v>0</v>
      </c>
      <c r="H314">
        <f>14.9+1.8</f>
        <v>16.7</v>
      </c>
      <c r="I314">
        <v>5.5</v>
      </c>
      <c r="J314">
        <v>52.5</v>
      </c>
      <c r="L314" s="1" t="s">
        <v>287</v>
      </c>
      <c r="M314">
        <v>25</v>
      </c>
      <c r="N314">
        <v>-2.9343999999999992</v>
      </c>
      <c r="O314">
        <v>17</v>
      </c>
      <c r="P314">
        <v>17</v>
      </c>
      <c r="Q314">
        <v>17</v>
      </c>
      <c r="R314">
        <v>-9.199999999999893E-2</v>
      </c>
      <c r="S314">
        <v>17</v>
      </c>
      <c r="T314">
        <v>-17.160000000000004</v>
      </c>
      <c r="U314">
        <v>-0.48000000000000009</v>
      </c>
      <c r="V314">
        <v>3</v>
      </c>
      <c r="W314">
        <v>4.5</v>
      </c>
      <c r="X314">
        <v>1</v>
      </c>
      <c r="Y314">
        <v>6.0699999999999994</v>
      </c>
      <c r="Z314">
        <v>8</v>
      </c>
      <c r="AA314">
        <v>5.7999999999999989</v>
      </c>
      <c r="AB314">
        <v>1.33</v>
      </c>
      <c r="AC314">
        <v>9</v>
      </c>
      <c r="AD314">
        <v>10</v>
      </c>
      <c r="AE314">
        <v>9</v>
      </c>
      <c r="AF314">
        <v>-5.6439999999999984</v>
      </c>
      <c r="AG314">
        <v>11</v>
      </c>
      <c r="AH314">
        <v>-26.610000000000003</v>
      </c>
      <c r="AI314">
        <v>0.11000000000000014</v>
      </c>
      <c r="AJ314">
        <v>5</v>
      </c>
      <c r="AK314">
        <v>5.5</v>
      </c>
      <c r="AL314">
        <v>10</v>
      </c>
      <c r="AM314">
        <v>0.14800000000000041</v>
      </c>
      <c r="AN314">
        <v>1</v>
      </c>
      <c r="AO314">
        <v>16.359999999999996</v>
      </c>
      <c r="AP314">
        <v>-0.44999999999999984</v>
      </c>
      <c r="AQ314">
        <v>28</v>
      </c>
      <c r="AR314">
        <v>28.5</v>
      </c>
      <c r="AS314">
        <v>30</v>
      </c>
      <c r="AT314">
        <v>-3.1520000000000001</v>
      </c>
      <c r="AU314">
        <v>27</v>
      </c>
      <c r="AV314">
        <v>-13.439999999999998</v>
      </c>
      <c r="AW314">
        <v>-1.8399999999999999</v>
      </c>
      <c r="AX314">
        <v>10</v>
      </c>
      <c r="AY314">
        <v>11</v>
      </c>
      <c r="AZ314">
        <v>11</v>
      </c>
      <c r="BA314">
        <v>2.6399999999999997</v>
      </c>
      <c r="BB314">
        <v>11</v>
      </c>
      <c r="BC314">
        <v>11.6</v>
      </c>
      <c r="BD314">
        <v>1.28</v>
      </c>
      <c r="BE314">
        <v>26</v>
      </c>
      <c r="BF314">
        <v>26.5</v>
      </c>
      <c r="BG314">
        <v>27</v>
      </c>
      <c r="BH314">
        <v>2.6679999999999997</v>
      </c>
      <c r="BI314">
        <v>26</v>
      </c>
      <c r="BJ314">
        <v>14.680000000000001</v>
      </c>
      <c r="BK314">
        <v>0.96000000000000019</v>
      </c>
      <c r="BL314">
        <v>4</v>
      </c>
      <c r="BM314">
        <v>7</v>
      </c>
      <c r="BN314">
        <v>11</v>
      </c>
      <c r="BO314">
        <v>0.36000000000000021</v>
      </c>
      <c r="BP314">
        <v>3</v>
      </c>
      <c r="BQ314">
        <v>0.2</v>
      </c>
      <c r="BR314">
        <v>-1.44</v>
      </c>
      <c r="BS314">
        <v>10</v>
      </c>
      <c r="BT314">
        <v>12.75</v>
      </c>
      <c r="BU314">
        <v>24</v>
      </c>
      <c r="BV314">
        <v>1.3439200716429562E-2</v>
      </c>
      <c r="BW314">
        <v>12</v>
      </c>
      <c r="BX314">
        <v>-1.7329094092174314E-3</v>
      </c>
      <c r="BY314">
        <v>7</v>
      </c>
      <c r="BZ314">
        <v>-9.1439999999999984</v>
      </c>
      <c r="CA314">
        <v>8</v>
      </c>
      <c r="CB314">
        <v>0.51999999999999991</v>
      </c>
      <c r="CC314">
        <v>-5.3200000000000021</v>
      </c>
      <c r="CD314">
        <v>-0.7999999999999996</v>
      </c>
      <c r="CE314">
        <v>-0.52</v>
      </c>
      <c r="CF314">
        <v>-20.079999999999995</v>
      </c>
      <c r="CG314">
        <v>1.4400000000000091</v>
      </c>
      <c r="CH314">
        <v>-12.039999999999997</v>
      </c>
      <c r="CI314">
        <v>0.75999999999999979</v>
      </c>
      <c r="CJ314">
        <v>-10.24</v>
      </c>
      <c r="CK314">
        <v>30</v>
      </c>
      <c r="CL314">
        <v>-8.9123999999999999</v>
      </c>
      <c r="CM314">
        <v>-4.7718800000000003</v>
      </c>
      <c r="CN314">
        <v>13.480000000000006</v>
      </c>
      <c r="CO314">
        <v>8.9123999999999999</v>
      </c>
      <c r="CP314">
        <v>-0.32204999999999956</v>
      </c>
      <c r="CQ314">
        <v>-8.6479999999999979</v>
      </c>
      <c r="CR314">
        <v>-23.690000000000005</v>
      </c>
      <c r="CS314">
        <v>5.9780000000000006</v>
      </c>
      <c r="CT314">
        <v>-11.360000000000005</v>
      </c>
      <c r="CU314">
        <v>-1.2199999999999995</v>
      </c>
      <c r="CV314">
        <v>0.85</v>
      </c>
      <c r="CW314">
        <v>-0.66089999999999982</v>
      </c>
      <c r="CX314">
        <v>-1.2536999999999998</v>
      </c>
      <c r="CY314" t="s">
        <v>288</v>
      </c>
      <c r="CZ314">
        <v>7</v>
      </c>
      <c r="DA314">
        <v>2.4576000000000007</v>
      </c>
      <c r="DB314">
        <v>3</v>
      </c>
      <c r="DC314">
        <v>3</v>
      </c>
      <c r="DD314">
        <v>3</v>
      </c>
      <c r="DE314">
        <v>7.1104000000000012</v>
      </c>
      <c r="DF314">
        <v>3</v>
      </c>
      <c r="DG314">
        <v>17.080000000000002</v>
      </c>
      <c r="DH314">
        <v>0.96000000000000019</v>
      </c>
      <c r="DI314">
        <v>20</v>
      </c>
      <c r="DJ314">
        <v>17.5</v>
      </c>
      <c r="DK314">
        <v>5</v>
      </c>
      <c r="DL314">
        <v>1.7800000000000005</v>
      </c>
      <c r="DM314">
        <v>30</v>
      </c>
      <c r="DN314">
        <v>-9.9200000000000017</v>
      </c>
      <c r="DO314">
        <v>0.48</v>
      </c>
      <c r="DP314">
        <v>32</v>
      </c>
      <c r="DQ314">
        <v>32</v>
      </c>
      <c r="DR314">
        <v>32</v>
      </c>
      <c r="DS314">
        <v>-6.8848000000000003</v>
      </c>
      <c r="DT314">
        <v>32</v>
      </c>
      <c r="DU314">
        <v>-32.440000000000005</v>
      </c>
      <c r="DV314">
        <v>-1.7600000000000002</v>
      </c>
      <c r="DW314">
        <v>24</v>
      </c>
      <c r="DX314">
        <v>25</v>
      </c>
      <c r="DY314">
        <v>23</v>
      </c>
      <c r="DZ314">
        <v>-2.2280000000000002</v>
      </c>
      <c r="EA314">
        <v>27</v>
      </c>
      <c r="EB314">
        <v>-10.64</v>
      </c>
      <c r="EC314">
        <v>-0.4</v>
      </c>
      <c r="ED314">
        <v>13</v>
      </c>
      <c r="EE314">
        <v>12.5</v>
      </c>
      <c r="EF314">
        <v>12</v>
      </c>
      <c r="EG314">
        <v>1.0040000000000004</v>
      </c>
      <c r="EH314">
        <v>13</v>
      </c>
      <c r="EI314">
        <v>-0.64000000000000123</v>
      </c>
      <c r="EJ314">
        <v>1.28</v>
      </c>
      <c r="EK314">
        <v>12</v>
      </c>
      <c r="EL314">
        <v>12</v>
      </c>
      <c r="EM314">
        <v>8</v>
      </c>
      <c r="EN314">
        <v>6.7440000000000015</v>
      </c>
      <c r="EO314">
        <v>16</v>
      </c>
      <c r="EP314">
        <v>17.839999999999996</v>
      </c>
      <c r="EQ314">
        <v>2.6799999999999997</v>
      </c>
      <c r="ER314">
        <v>2</v>
      </c>
      <c r="ES314">
        <v>2</v>
      </c>
      <c r="ET314">
        <v>2</v>
      </c>
      <c r="EU314">
        <v>-0.66400000000000003</v>
      </c>
      <c r="EV314">
        <v>2</v>
      </c>
      <c r="EW314">
        <v>-4.8799999999999981</v>
      </c>
      <c r="EX314">
        <v>1.08</v>
      </c>
      <c r="EY314">
        <v>20</v>
      </c>
      <c r="EZ314">
        <v>21</v>
      </c>
      <c r="FA314">
        <v>25</v>
      </c>
      <c r="FB314">
        <v>-3.12</v>
      </c>
      <c r="FC314">
        <v>17</v>
      </c>
      <c r="FD314">
        <v>-0.88000000000000012</v>
      </c>
      <c r="FE314">
        <v>-0.67999999999999994</v>
      </c>
      <c r="FF314">
        <v>2</v>
      </c>
      <c r="FG314">
        <v>7.25</v>
      </c>
      <c r="FH314">
        <v>4</v>
      </c>
      <c r="FI314">
        <v>3.5932519114541463E-2</v>
      </c>
      <c r="FJ314">
        <v>13</v>
      </c>
      <c r="FK314">
        <v>2.5074277143146122E-2</v>
      </c>
      <c r="FL314">
        <v>3</v>
      </c>
      <c r="FM314">
        <v>-18.571999999999999</v>
      </c>
      <c r="FN314">
        <v>9</v>
      </c>
      <c r="FO314">
        <v>1.8</v>
      </c>
      <c r="FP314">
        <v>0.95999999999999941</v>
      </c>
      <c r="FQ314">
        <v>0.67999999999999972</v>
      </c>
      <c r="FR314">
        <v>0.36000000000000004</v>
      </c>
      <c r="FS314">
        <v>2.4800000000000026</v>
      </c>
      <c r="FT314">
        <v>0.71999999999999953</v>
      </c>
      <c r="FU314">
        <v>1.1199999999999999</v>
      </c>
      <c r="FV314">
        <v>4.8</v>
      </c>
      <c r="FW314">
        <v>-10.760000000000002</v>
      </c>
      <c r="FX314">
        <v>7.4399999999999977</v>
      </c>
      <c r="FY314">
        <v>-7.9999999999999891E-2</v>
      </c>
      <c r="FZ314">
        <v>8.1999999999999993</v>
      </c>
      <c r="GA314">
        <v>29</v>
      </c>
      <c r="GB314">
        <v>-6.4328000000000012</v>
      </c>
      <c r="GC314">
        <v>-5.70824</v>
      </c>
      <c r="GD314">
        <v>-18.2</v>
      </c>
      <c r="GE314">
        <v>6.4328000000000003</v>
      </c>
      <c r="GF314">
        <v>-6.8099999999999716E-2</v>
      </c>
      <c r="GG314">
        <v>-8.1087999999999987</v>
      </c>
      <c r="GH314">
        <v>-43.720000000000006</v>
      </c>
      <c r="GI314">
        <v>8.8904000000000014</v>
      </c>
      <c r="GJ314">
        <v>7.16</v>
      </c>
      <c r="GK314">
        <v>0.19999999999999996</v>
      </c>
      <c r="GL314">
        <v>1.4400000000000002</v>
      </c>
    </row>
    <row r="315" spans="1:194" x14ac:dyDescent="0.2">
      <c r="A315" s="39">
        <v>43786</v>
      </c>
      <c r="B315" s="22" t="s">
        <v>259</v>
      </c>
      <c r="C315" s="41" t="s">
        <v>304</v>
      </c>
      <c r="D315" s="22" t="s">
        <v>265</v>
      </c>
      <c r="E315" s="14">
        <v>8.3000000000000007</v>
      </c>
      <c r="F315">
        <v>8</v>
      </c>
      <c r="G315">
        <v>1.9</v>
      </c>
      <c r="H315">
        <v>3</v>
      </c>
      <c r="I315">
        <v>-5</v>
      </c>
      <c r="J315">
        <v>40</v>
      </c>
      <c r="L315" s="1" t="s">
        <v>304</v>
      </c>
      <c r="M315">
        <v>29</v>
      </c>
      <c r="N315">
        <v>-5.7175999999999991</v>
      </c>
      <c r="O315">
        <v>12</v>
      </c>
      <c r="P315">
        <v>14.5</v>
      </c>
      <c r="Q315">
        <v>15</v>
      </c>
      <c r="R315">
        <v>-5.4479999999999986</v>
      </c>
      <c r="S315">
        <v>14</v>
      </c>
      <c r="T315">
        <v>-11.719999999999997</v>
      </c>
      <c r="U315">
        <v>-2.12</v>
      </c>
      <c r="V315">
        <v>21</v>
      </c>
      <c r="W315">
        <v>19</v>
      </c>
      <c r="X315">
        <v>21</v>
      </c>
      <c r="Y315">
        <v>1.0079999999999996</v>
      </c>
      <c r="Z315">
        <v>17</v>
      </c>
      <c r="AA315">
        <v>13</v>
      </c>
      <c r="AB315">
        <v>-0.55999999999999994</v>
      </c>
      <c r="AC315">
        <v>12</v>
      </c>
      <c r="AD315">
        <v>13</v>
      </c>
      <c r="AE315">
        <v>13</v>
      </c>
      <c r="AF315">
        <v>-0.55599999999999983</v>
      </c>
      <c r="AG315">
        <v>13</v>
      </c>
      <c r="AH315">
        <v>2.319999999999999</v>
      </c>
      <c r="AI315">
        <v>-0.83999999999999964</v>
      </c>
      <c r="AJ315">
        <v>4</v>
      </c>
      <c r="AK315">
        <v>4.5</v>
      </c>
      <c r="AL315">
        <v>7</v>
      </c>
      <c r="AM315">
        <v>1.2680000000000007</v>
      </c>
      <c r="AN315">
        <v>2</v>
      </c>
      <c r="AO315">
        <v>7.4</v>
      </c>
      <c r="AP315">
        <v>8.0000000000000251E-2</v>
      </c>
      <c r="AQ315">
        <v>8</v>
      </c>
      <c r="AR315">
        <v>8.5</v>
      </c>
      <c r="AS315">
        <v>8</v>
      </c>
      <c r="AT315">
        <v>2.7560000000000002</v>
      </c>
      <c r="AU315">
        <v>9</v>
      </c>
      <c r="AV315">
        <v>14.48</v>
      </c>
      <c r="AW315">
        <v>2</v>
      </c>
      <c r="AX315">
        <v>5</v>
      </c>
      <c r="AY315">
        <v>5</v>
      </c>
      <c r="AZ315">
        <v>8</v>
      </c>
      <c r="BA315">
        <v>-0.82400000000000073</v>
      </c>
      <c r="BB315">
        <v>2</v>
      </c>
      <c r="BC315">
        <v>12.56</v>
      </c>
      <c r="BD315">
        <v>-1.36</v>
      </c>
      <c r="BE315">
        <v>12</v>
      </c>
      <c r="BF315">
        <v>12.5</v>
      </c>
      <c r="BG315">
        <v>14</v>
      </c>
      <c r="BH315">
        <v>-2.4960000000000004</v>
      </c>
      <c r="BI315">
        <v>11</v>
      </c>
      <c r="BJ315">
        <v>-7.44</v>
      </c>
      <c r="BK315">
        <v>1.3199999999999998</v>
      </c>
      <c r="BL315">
        <v>16</v>
      </c>
      <c r="BM315">
        <v>15.5</v>
      </c>
      <c r="BN315">
        <v>18</v>
      </c>
      <c r="BO315">
        <v>-1.0000000000000002</v>
      </c>
      <c r="BP315">
        <v>13</v>
      </c>
      <c r="BQ315">
        <v>-0.31999999999999995</v>
      </c>
      <c r="BR315">
        <v>3.8800000000000003</v>
      </c>
      <c r="BS315">
        <v>23</v>
      </c>
      <c r="BT315">
        <v>20.5</v>
      </c>
      <c r="BU315">
        <v>32</v>
      </c>
      <c r="BV315">
        <v>-4.8757507568143975E-2</v>
      </c>
      <c r="BW315">
        <v>29</v>
      </c>
      <c r="BX315">
        <v>-2.1764342402346405E-2</v>
      </c>
      <c r="BY315">
        <v>8</v>
      </c>
      <c r="BZ315">
        <v>-14.892000000000001</v>
      </c>
      <c r="CA315">
        <v>13</v>
      </c>
      <c r="CB315">
        <v>-1.52</v>
      </c>
      <c r="CC315">
        <v>-2.7999999999999985</v>
      </c>
      <c r="CD315">
        <v>-3.16</v>
      </c>
      <c r="CE315">
        <v>1.1999999999999997</v>
      </c>
      <c r="CF315">
        <v>-31.95999999999999</v>
      </c>
      <c r="CG315">
        <v>-13.640000000000004</v>
      </c>
      <c r="CH315">
        <v>-0.79999999999999716</v>
      </c>
      <c r="CI315">
        <v>3.8</v>
      </c>
      <c r="CJ315">
        <v>-21.32</v>
      </c>
      <c r="CK315">
        <v>17</v>
      </c>
      <c r="CL315">
        <v>-1.2776000000000001</v>
      </c>
      <c r="CM315">
        <v>1.27088</v>
      </c>
      <c r="CN315">
        <v>-12.840000000000007</v>
      </c>
      <c r="CO315">
        <v>1.2775999999999996</v>
      </c>
      <c r="CP315">
        <v>-1.2731999999999997</v>
      </c>
      <c r="CQ315">
        <v>3.4680000000000009</v>
      </c>
      <c r="CR315">
        <v>24.2</v>
      </c>
      <c r="CS315">
        <v>-4.4399999999999995</v>
      </c>
      <c r="CT315">
        <v>1.2800000000000029</v>
      </c>
      <c r="CU315">
        <v>2.5600000000000005</v>
      </c>
      <c r="CV315">
        <v>-2.68</v>
      </c>
      <c r="CW315">
        <v>-0.97109999999999985</v>
      </c>
      <c r="CX315">
        <v>-1.0410999999999999</v>
      </c>
      <c r="CY315" t="s">
        <v>265</v>
      </c>
      <c r="CZ315">
        <v>29</v>
      </c>
      <c r="DA315">
        <v>-2.6248000000000005</v>
      </c>
      <c r="DB315">
        <v>12</v>
      </c>
      <c r="DC315">
        <v>11.5</v>
      </c>
      <c r="DD315">
        <v>15</v>
      </c>
      <c r="DE315">
        <v>4.556</v>
      </c>
      <c r="DF315">
        <v>8</v>
      </c>
      <c r="DG315">
        <v>15.919999999999998</v>
      </c>
      <c r="DH315">
        <v>8.0000000000000251E-2</v>
      </c>
      <c r="DI315">
        <v>14</v>
      </c>
      <c r="DJ315">
        <v>15</v>
      </c>
      <c r="DK315">
        <v>14</v>
      </c>
      <c r="DL315">
        <v>-2.2759999999999998</v>
      </c>
      <c r="DM315">
        <v>16</v>
      </c>
      <c r="DN315">
        <v>-11.16</v>
      </c>
      <c r="DO315">
        <v>-0.48</v>
      </c>
      <c r="DP315">
        <v>25</v>
      </c>
      <c r="DQ315">
        <v>20</v>
      </c>
      <c r="DR315">
        <v>19</v>
      </c>
      <c r="DS315">
        <v>-1.6920000000000002</v>
      </c>
      <c r="DT315">
        <v>21</v>
      </c>
      <c r="DU315">
        <v>-6.3199999999999985</v>
      </c>
      <c r="DV315">
        <v>-4.0000000000000216E-2</v>
      </c>
      <c r="DW315">
        <v>28</v>
      </c>
      <c r="DX315">
        <v>27</v>
      </c>
      <c r="DY315">
        <v>28</v>
      </c>
      <c r="DZ315">
        <v>-2.9679999999999995</v>
      </c>
      <c r="EA315">
        <v>26</v>
      </c>
      <c r="EB315">
        <v>1.7200000000000002</v>
      </c>
      <c r="EC315">
        <v>0.24000000000000005</v>
      </c>
      <c r="ED315">
        <v>20</v>
      </c>
      <c r="EE315">
        <v>19.5</v>
      </c>
      <c r="EF315">
        <v>20</v>
      </c>
      <c r="EG315">
        <v>-2.456</v>
      </c>
      <c r="EH315">
        <v>19</v>
      </c>
      <c r="EI315">
        <v>-13.84</v>
      </c>
      <c r="EJ315">
        <v>-0.20000000000000004</v>
      </c>
      <c r="EK315">
        <v>21</v>
      </c>
      <c r="EL315">
        <v>21.5</v>
      </c>
      <c r="EM315">
        <v>20</v>
      </c>
      <c r="EN315">
        <v>-4.2959999999999994</v>
      </c>
      <c r="EO315">
        <v>23</v>
      </c>
      <c r="EP315">
        <v>-18.16</v>
      </c>
      <c r="EQ315">
        <v>-0.35999999999999976</v>
      </c>
      <c r="ER315">
        <v>15</v>
      </c>
      <c r="ES315">
        <v>15</v>
      </c>
      <c r="ET315">
        <v>12</v>
      </c>
      <c r="EU315">
        <v>-6.7999999999999255E-2</v>
      </c>
      <c r="EV315">
        <v>18</v>
      </c>
      <c r="EW315">
        <v>3.9999999999999147E-2</v>
      </c>
      <c r="EX315">
        <v>-1.3199999999999998</v>
      </c>
      <c r="EY315">
        <v>15</v>
      </c>
      <c r="EZ315">
        <v>13</v>
      </c>
      <c r="FA315">
        <v>14</v>
      </c>
      <c r="FB315">
        <v>0.32000000000000012</v>
      </c>
      <c r="FC315">
        <v>12</v>
      </c>
      <c r="FD315">
        <v>0.51999999999999991</v>
      </c>
      <c r="FE315">
        <v>0.99999999999999967</v>
      </c>
      <c r="FF315">
        <v>32</v>
      </c>
      <c r="FG315">
        <v>29.25</v>
      </c>
      <c r="FH315">
        <v>28</v>
      </c>
      <c r="FI315">
        <v>-7.0895088979815099E-2</v>
      </c>
      <c r="FJ315">
        <v>29</v>
      </c>
      <c r="FK315">
        <v>-2.2622690200616954E-2</v>
      </c>
      <c r="FL315">
        <v>29</v>
      </c>
      <c r="FM315">
        <v>10.704000000000001</v>
      </c>
      <c r="FN315">
        <v>31</v>
      </c>
      <c r="FO315">
        <v>-1.4799999999999995</v>
      </c>
      <c r="FP315">
        <v>-1.1199999999999997</v>
      </c>
      <c r="FQ315">
        <v>2.3600000000000003</v>
      </c>
      <c r="FR315">
        <v>0.76</v>
      </c>
      <c r="FS315">
        <v>0.52000000000000313</v>
      </c>
      <c r="FT315">
        <v>0.19999999999999929</v>
      </c>
      <c r="FU315">
        <v>-0.87999999999999989</v>
      </c>
      <c r="FV315">
        <v>-32.680000000000007</v>
      </c>
      <c r="FW315">
        <v>-32.32</v>
      </c>
      <c r="FX315">
        <v>2.0399999999999978</v>
      </c>
      <c r="FY315">
        <v>-4.12</v>
      </c>
      <c r="FZ315">
        <v>1.7200000000000002</v>
      </c>
      <c r="GA315">
        <v>27</v>
      </c>
      <c r="GB315">
        <v>-4.9048000000000007</v>
      </c>
      <c r="GC315">
        <v>-3.1017600000000001</v>
      </c>
      <c r="GD315">
        <v>-34.36</v>
      </c>
      <c r="GE315">
        <v>4.9048000000000007</v>
      </c>
      <c r="GF315">
        <v>-0.90109999999999979</v>
      </c>
      <c r="GG315">
        <v>-7.1159999999999997</v>
      </c>
      <c r="GH315">
        <v>-18.439999999999998</v>
      </c>
      <c r="GI315">
        <v>2.2800000000000002</v>
      </c>
      <c r="GJ315">
        <v>4.759999999999998</v>
      </c>
      <c r="GK315">
        <v>-1.32</v>
      </c>
      <c r="GL315">
        <v>-0.39999999999999974</v>
      </c>
    </row>
    <row r="316" spans="1:194" x14ac:dyDescent="0.2">
      <c r="A316" s="39">
        <v>43786</v>
      </c>
      <c r="B316" s="22" t="s">
        <v>259</v>
      </c>
      <c r="C316" s="41" t="s">
        <v>293</v>
      </c>
      <c r="D316" s="22" t="s">
        <v>276</v>
      </c>
      <c r="E316">
        <v>23.5</v>
      </c>
      <c r="F316">
        <v>8.3000000000000007</v>
      </c>
      <c r="G316">
        <v>18.899999999999999</v>
      </c>
      <c r="H316">
        <v>5.8</v>
      </c>
      <c r="I316">
        <v>7</v>
      </c>
      <c r="J316">
        <v>41.5</v>
      </c>
      <c r="K316" t="s">
        <v>110</v>
      </c>
      <c r="L316" s="1" t="s">
        <v>293</v>
      </c>
      <c r="M316">
        <v>13</v>
      </c>
      <c r="N316">
        <v>1.0091999999999994</v>
      </c>
      <c r="O316">
        <v>31</v>
      </c>
      <c r="P316">
        <v>29</v>
      </c>
      <c r="Q316">
        <v>27</v>
      </c>
      <c r="R316">
        <v>-3.8079999999999998</v>
      </c>
      <c r="S316">
        <v>31</v>
      </c>
      <c r="T316">
        <v>-26.560000000000002</v>
      </c>
      <c r="U316">
        <v>0.88000000000000012</v>
      </c>
      <c r="V316">
        <v>26</v>
      </c>
      <c r="W316">
        <v>24.5</v>
      </c>
      <c r="X316">
        <v>23</v>
      </c>
      <c r="Y316">
        <v>-2.4480000000000004</v>
      </c>
      <c r="Z316">
        <v>26</v>
      </c>
      <c r="AA316">
        <v>-4.1999999999999984</v>
      </c>
      <c r="AB316">
        <v>-0.96000000000000019</v>
      </c>
      <c r="AC316">
        <v>1</v>
      </c>
      <c r="AD316">
        <v>1.5</v>
      </c>
      <c r="AE316">
        <v>2</v>
      </c>
      <c r="AF316">
        <v>3.0719999999999992</v>
      </c>
      <c r="AG316">
        <v>1</v>
      </c>
      <c r="AH316">
        <v>12.999999999999996</v>
      </c>
      <c r="AI316">
        <v>0.8</v>
      </c>
      <c r="AJ316">
        <v>18</v>
      </c>
      <c r="AK316">
        <v>18.5</v>
      </c>
      <c r="AL316">
        <v>18</v>
      </c>
      <c r="AM316">
        <v>-3.0960000000000001</v>
      </c>
      <c r="AN316">
        <v>19</v>
      </c>
      <c r="AO316">
        <v>-10.319999999999999</v>
      </c>
      <c r="AP316">
        <v>-0.31999999999999995</v>
      </c>
      <c r="AQ316">
        <v>5</v>
      </c>
      <c r="AR316">
        <v>5.5</v>
      </c>
      <c r="AS316">
        <v>4</v>
      </c>
      <c r="AT316">
        <v>1.8840000000000003</v>
      </c>
      <c r="AU316">
        <v>7</v>
      </c>
      <c r="AV316">
        <v>4.6400000000000015</v>
      </c>
      <c r="AW316">
        <v>4.0000000000000036E-2</v>
      </c>
      <c r="AX316">
        <v>1</v>
      </c>
      <c r="AY316">
        <v>1</v>
      </c>
      <c r="AZ316">
        <v>1</v>
      </c>
      <c r="BA316">
        <v>2.1039999999999992</v>
      </c>
      <c r="BB316">
        <v>1</v>
      </c>
      <c r="BC316">
        <v>18.64</v>
      </c>
      <c r="BD316">
        <v>2.1599999999999997</v>
      </c>
      <c r="BE316">
        <v>10</v>
      </c>
      <c r="BF316">
        <v>11</v>
      </c>
      <c r="BG316">
        <v>12</v>
      </c>
      <c r="BH316">
        <v>-1.968</v>
      </c>
      <c r="BI316">
        <v>10</v>
      </c>
      <c r="BJ316">
        <v>2.9599999999999995</v>
      </c>
      <c r="BK316">
        <v>-0.32000000000000012</v>
      </c>
      <c r="BL316">
        <v>13</v>
      </c>
      <c r="BM316">
        <v>12</v>
      </c>
      <c r="BN316">
        <v>3</v>
      </c>
      <c r="BO316">
        <v>-0.84000000000000019</v>
      </c>
      <c r="BP316">
        <v>21</v>
      </c>
      <c r="BQ316">
        <v>-0.64</v>
      </c>
      <c r="BR316">
        <v>-2.2800000000000002</v>
      </c>
      <c r="BS316">
        <v>16</v>
      </c>
      <c r="BT316">
        <v>14.5</v>
      </c>
      <c r="BU316">
        <v>12</v>
      </c>
      <c r="BV316">
        <v>3.0079780870742728E-2</v>
      </c>
      <c r="BW316">
        <v>10</v>
      </c>
      <c r="BX316">
        <v>3.8073036525563485E-3</v>
      </c>
      <c r="BY316">
        <v>14</v>
      </c>
      <c r="BZ316">
        <v>5.0839999999999979</v>
      </c>
      <c r="CA316">
        <v>22</v>
      </c>
      <c r="CB316">
        <v>0.6</v>
      </c>
      <c r="CC316">
        <v>-0.72000000000000031</v>
      </c>
      <c r="CD316">
        <v>-1.400000000000001</v>
      </c>
      <c r="CE316">
        <v>0.35999999999999988</v>
      </c>
      <c r="CF316">
        <v>-21.719999999999992</v>
      </c>
      <c r="CG316">
        <v>11.719999999999994</v>
      </c>
      <c r="CH316">
        <v>-31.76</v>
      </c>
      <c r="CI316">
        <v>-2.04</v>
      </c>
      <c r="CJ316">
        <v>0.35999999999999976</v>
      </c>
      <c r="CK316">
        <v>3</v>
      </c>
      <c r="CL316">
        <v>7.2652000000000001</v>
      </c>
      <c r="CM316">
        <v>3.3082400000000001</v>
      </c>
      <c r="CN316">
        <v>43.48</v>
      </c>
      <c r="CO316">
        <v>-7.2652000000000001</v>
      </c>
      <c r="CP316">
        <v>-0.77435000000000009</v>
      </c>
      <c r="CQ316">
        <v>1.8599999999999994</v>
      </c>
      <c r="CR316">
        <v>7.3199999999999994</v>
      </c>
      <c r="CS316">
        <v>-6.2560000000000002</v>
      </c>
      <c r="CT316">
        <v>-30.76</v>
      </c>
      <c r="CU316">
        <v>0.2</v>
      </c>
      <c r="CV316">
        <v>-8.0000000000000071E-2</v>
      </c>
      <c r="CW316">
        <v>1.110625</v>
      </c>
      <c r="CX316">
        <v>1.3400999999999996</v>
      </c>
      <c r="CY316" t="s">
        <v>276</v>
      </c>
      <c r="CZ316">
        <v>24</v>
      </c>
      <c r="DA316">
        <v>-0.48679999999999984</v>
      </c>
      <c r="DB316">
        <v>10</v>
      </c>
      <c r="DC316">
        <v>10.5</v>
      </c>
      <c r="DD316">
        <v>8</v>
      </c>
      <c r="DE316">
        <v>2.7960000000000007</v>
      </c>
      <c r="DF316">
        <v>13</v>
      </c>
      <c r="DG316">
        <v>9.1199999999999992</v>
      </c>
      <c r="DH316">
        <v>0.16000000000000009</v>
      </c>
      <c r="DI316">
        <v>3</v>
      </c>
      <c r="DJ316">
        <v>6</v>
      </c>
      <c r="DK316">
        <v>2</v>
      </c>
      <c r="DL316">
        <v>4.6280000000000001</v>
      </c>
      <c r="DM316">
        <v>10</v>
      </c>
      <c r="DN316">
        <v>15.960000000000003</v>
      </c>
      <c r="DO316">
        <v>1.5599999999999996</v>
      </c>
      <c r="DP316">
        <v>17</v>
      </c>
      <c r="DQ316">
        <v>19</v>
      </c>
      <c r="DR316">
        <v>20</v>
      </c>
      <c r="DS316">
        <v>-0.35600000000000021</v>
      </c>
      <c r="DT316">
        <v>18</v>
      </c>
      <c r="DU316">
        <v>8.6399999999999988</v>
      </c>
      <c r="DV316">
        <v>0.43999999999999984</v>
      </c>
      <c r="DW316">
        <v>20</v>
      </c>
      <c r="DX316">
        <v>19</v>
      </c>
      <c r="DY316">
        <v>20</v>
      </c>
      <c r="DZ316">
        <v>2.8600000000000008</v>
      </c>
      <c r="EA316">
        <v>18</v>
      </c>
      <c r="EB316">
        <v>8.2799999999999976</v>
      </c>
      <c r="EC316">
        <v>0.44000000000000006</v>
      </c>
      <c r="ED316">
        <v>8</v>
      </c>
      <c r="EE316">
        <v>21</v>
      </c>
      <c r="EF316">
        <v>11</v>
      </c>
      <c r="EG316">
        <v>1.9039999999999992</v>
      </c>
      <c r="EH316">
        <v>31</v>
      </c>
      <c r="EI316">
        <v>0.6</v>
      </c>
      <c r="EJ316">
        <v>-0.84000000000000008</v>
      </c>
      <c r="EK316">
        <v>20</v>
      </c>
      <c r="EL316">
        <v>19</v>
      </c>
      <c r="EM316">
        <v>19</v>
      </c>
      <c r="EN316">
        <v>-0.92399999999999949</v>
      </c>
      <c r="EO316">
        <v>19</v>
      </c>
      <c r="EP316">
        <v>2.3599999999999981</v>
      </c>
      <c r="EQ316">
        <v>-0.23999999999999969</v>
      </c>
      <c r="ER316">
        <v>32</v>
      </c>
      <c r="ES316">
        <v>32</v>
      </c>
      <c r="ET316">
        <v>32</v>
      </c>
      <c r="EU316">
        <v>-3.7759999999999998</v>
      </c>
      <c r="EV316">
        <v>32</v>
      </c>
      <c r="EW316">
        <v>-17.84</v>
      </c>
      <c r="EX316">
        <v>-1.8</v>
      </c>
      <c r="EY316">
        <v>32</v>
      </c>
      <c r="EZ316">
        <v>32</v>
      </c>
      <c r="FA316">
        <v>32</v>
      </c>
      <c r="FB316">
        <v>-0.51999999999999991</v>
      </c>
      <c r="FC316">
        <v>32</v>
      </c>
      <c r="FD316">
        <v>-0.36000000000000004</v>
      </c>
      <c r="FE316">
        <v>-1.6800000000000004</v>
      </c>
      <c r="FF316">
        <v>7</v>
      </c>
      <c r="FG316">
        <v>12.25</v>
      </c>
      <c r="FH316">
        <v>24</v>
      </c>
      <c r="FI316">
        <v>-2.8830014979980057E-3</v>
      </c>
      <c r="FJ316">
        <v>3</v>
      </c>
      <c r="FK316">
        <v>-1.6720881859146469E-3</v>
      </c>
      <c r="FL316">
        <v>17</v>
      </c>
      <c r="FM316">
        <v>-8.0759999999999952</v>
      </c>
      <c r="FN316">
        <v>5</v>
      </c>
      <c r="FO316">
        <v>-1.3199999999999998</v>
      </c>
      <c r="FP316">
        <v>-0.4</v>
      </c>
      <c r="FQ316">
        <v>0.63999999999999913</v>
      </c>
      <c r="FR316">
        <v>0.55999999999999983</v>
      </c>
      <c r="FS316">
        <v>1.2800000000000011</v>
      </c>
      <c r="FT316">
        <v>1.7599999999999991</v>
      </c>
      <c r="FU316">
        <v>0.68</v>
      </c>
      <c r="FV316">
        <v>36.480000000000004</v>
      </c>
      <c r="FW316">
        <v>10.199999999999994</v>
      </c>
      <c r="FX316">
        <v>24.32</v>
      </c>
      <c r="FY316">
        <v>2.12</v>
      </c>
      <c r="FZ316">
        <v>-0.15999999999999978</v>
      </c>
      <c r="GA316">
        <v>30</v>
      </c>
      <c r="GB316">
        <v>-7.9108000000000001</v>
      </c>
      <c r="GC316">
        <v>-3.6829600000000005</v>
      </c>
      <c r="GD316">
        <v>-14.120000000000006</v>
      </c>
      <c r="GE316">
        <v>7.9108000000000009</v>
      </c>
      <c r="GF316">
        <v>0.88115000000000032</v>
      </c>
      <c r="GG316">
        <v>4.4079999999999995</v>
      </c>
      <c r="GH316">
        <v>17.519999999999996</v>
      </c>
      <c r="GI316">
        <v>7.4240000000000013</v>
      </c>
      <c r="GJ316">
        <v>25.080000000000002</v>
      </c>
      <c r="GK316">
        <v>-1.7600000000000002</v>
      </c>
      <c r="GL316">
        <v>1.7199999999999998</v>
      </c>
    </row>
    <row r="317" spans="1:194" x14ac:dyDescent="0.2">
      <c r="A317" s="39">
        <v>43786</v>
      </c>
      <c r="B317" s="22" t="s">
        <v>259</v>
      </c>
      <c r="C317" s="41" t="s">
        <v>312</v>
      </c>
      <c r="D317" s="22" t="s">
        <v>278</v>
      </c>
      <c r="E317" s="3">
        <v>26.1</v>
      </c>
      <c r="F317">
        <v>9.5</v>
      </c>
      <c r="G317">
        <v>0</v>
      </c>
      <c r="H317">
        <f>17.7+11+4.8</f>
        <v>33.5</v>
      </c>
      <c r="I317">
        <v>-10</v>
      </c>
      <c r="J317">
        <v>40.5</v>
      </c>
      <c r="L317" s="1" t="s">
        <v>312</v>
      </c>
      <c r="M317">
        <v>6</v>
      </c>
      <c r="N317">
        <v>2.9999999999999991</v>
      </c>
      <c r="O317">
        <v>12</v>
      </c>
      <c r="P317">
        <v>14.5</v>
      </c>
      <c r="Q317">
        <v>7</v>
      </c>
      <c r="R317">
        <v>4.2744</v>
      </c>
      <c r="S317">
        <v>22</v>
      </c>
      <c r="T317">
        <v>18.32</v>
      </c>
      <c r="U317">
        <v>1.2400000000000002</v>
      </c>
      <c r="V317">
        <v>5</v>
      </c>
      <c r="W317">
        <v>8</v>
      </c>
      <c r="X317">
        <v>13</v>
      </c>
      <c r="Y317">
        <v>-2.7999999999999758E-2</v>
      </c>
      <c r="Z317">
        <v>3</v>
      </c>
      <c r="AA317">
        <v>19.239999999999998</v>
      </c>
      <c r="AB317">
        <v>-0.92000000000000015</v>
      </c>
      <c r="AC317">
        <v>16</v>
      </c>
      <c r="AD317">
        <v>17</v>
      </c>
      <c r="AE317">
        <v>18</v>
      </c>
      <c r="AF317">
        <v>3.62</v>
      </c>
      <c r="AG317">
        <v>16</v>
      </c>
      <c r="AH317">
        <v>6.759999999999998</v>
      </c>
      <c r="AI317">
        <v>0.2</v>
      </c>
      <c r="AJ317">
        <v>23</v>
      </c>
      <c r="AK317">
        <v>22</v>
      </c>
      <c r="AL317">
        <v>26</v>
      </c>
      <c r="AM317">
        <v>4.8199999999999994</v>
      </c>
      <c r="AN317">
        <v>18</v>
      </c>
      <c r="AO317">
        <v>32.64</v>
      </c>
      <c r="AP317">
        <v>0.88000000000000012</v>
      </c>
      <c r="AQ317">
        <v>27</v>
      </c>
      <c r="AR317">
        <v>28</v>
      </c>
      <c r="AS317">
        <v>27</v>
      </c>
      <c r="AT317">
        <v>-2.8</v>
      </c>
      <c r="AU317">
        <v>29</v>
      </c>
      <c r="AV317">
        <v>-17.079999999999998</v>
      </c>
      <c r="AW317">
        <v>-2.2400000000000002</v>
      </c>
      <c r="AX317">
        <v>29</v>
      </c>
      <c r="AY317">
        <v>29</v>
      </c>
      <c r="AZ317">
        <v>29</v>
      </c>
      <c r="BA317">
        <v>-7.419999999999999</v>
      </c>
      <c r="BB317">
        <v>29</v>
      </c>
      <c r="BC317">
        <v>-38.600000000000009</v>
      </c>
      <c r="BD317">
        <v>-4.3199999999999994</v>
      </c>
      <c r="BE317">
        <v>5</v>
      </c>
      <c r="BF317">
        <v>6</v>
      </c>
      <c r="BG317">
        <v>3</v>
      </c>
      <c r="BH317">
        <v>5.6559999999999997</v>
      </c>
      <c r="BI317">
        <v>9</v>
      </c>
      <c r="BJ317">
        <v>13.319999999999999</v>
      </c>
      <c r="BK317">
        <v>2.36</v>
      </c>
      <c r="BL317">
        <v>26</v>
      </c>
      <c r="BM317">
        <v>25</v>
      </c>
      <c r="BN317">
        <v>21</v>
      </c>
      <c r="BO317">
        <v>2.4</v>
      </c>
      <c r="BP317">
        <v>29</v>
      </c>
      <c r="BQ317">
        <v>0.96</v>
      </c>
      <c r="BR317">
        <v>0.76000000000000012</v>
      </c>
      <c r="BS317">
        <v>28</v>
      </c>
      <c r="BT317">
        <v>24.5</v>
      </c>
      <c r="BU317">
        <v>22</v>
      </c>
      <c r="BV317">
        <v>1.2926265661550274E-2</v>
      </c>
      <c r="BW317">
        <v>27</v>
      </c>
      <c r="BX317">
        <v>-4.0830687268239498E-2</v>
      </c>
      <c r="BY317">
        <v>22</v>
      </c>
      <c r="BZ317">
        <v>12.679999999999998</v>
      </c>
      <c r="CA317">
        <v>27</v>
      </c>
      <c r="CB317">
        <v>-4.9599999999999991</v>
      </c>
      <c r="CC317">
        <v>4.08</v>
      </c>
      <c r="CD317">
        <v>6.4800000000000013</v>
      </c>
      <c r="CE317">
        <v>-0.27999999999999997</v>
      </c>
      <c r="CF317">
        <v>54.879999999999995</v>
      </c>
      <c r="CG317">
        <v>34.28</v>
      </c>
      <c r="CH317">
        <v>32.720000000000006</v>
      </c>
      <c r="CI317">
        <v>1.9600000000000002</v>
      </c>
      <c r="CJ317">
        <v>-14.080000000000002</v>
      </c>
      <c r="CK317">
        <v>16</v>
      </c>
      <c r="CL317">
        <v>-1.2464000000000011</v>
      </c>
      <c r="CM317">
        <v>0.73599999999999888</v>
      </c>
      <c r="CN317">
        <v>1.5599999999999952</v>
      </c>
      <c r="CO317">
        <v>1.2464000000000013</v>
      </c>
      <c r="CP317">
        <v>2.6177999999999995</v>
      </c>
      <c r="CQ317">
        <v>5.64</v>
      </c>
      <c r="CR317">
        <v>22.32</v>
      </c>
      <c r="CS317">
        <v>4.2464000000000004</v>
      </c>
      <c r="CT317">
        <v>37.56</v>
      </c>
      <c r="CU317">
        <v>1.1999999999999997</v>
      </c>
      <c r="CV317">
        <v>0.32000000000000006</v>
      </c>
      <c r="CW317">
        <v>-0.28638749999999991</v>
      </c>
      <c r="CX317">
        <v>1.3730749999999998</v>
      </c>
      <c r="CY317" t="s">
        <v>278</v>
      </c>
      <c r="CZ317">
        <v>15</v>
      </c>
      <c r="DA317">
        <v>-4.491200000000001</v>
      </c>
      <c r="DB317">
        <v>28</v>
      </c>
      <c r="DC317">
        <v>24.5</v>
      </c>
      <c r="DD317">
        <v>25</v>
      </c>
      <c r="DE317">
        <v>-5.9315999999999987</v>
      </c>
      <c r="DF317">
        <v>24</v>
      </c>
      <c r="DG317">
        <v>-37.760000000000005</v>
      </c>
      <c r="DH317">
        <v>0.56000000000000016</v>
      </c>
      <c r="DI317">
        <v>28</v>
      </c>
      <c r="DJ317">
        <v>25.5</v>
      </c>
      <c r="DK317">
        <v>28</v>
      </c>
      <c r="DL317">
        <v>-1.8159999999999996</v>
      </c>
      <c r="DM317">
        <v>23</v>
      </c>
      <c r="DN317">
        <v>-11.440000000000001</v>
      </c>
      <c r="DO317">
        <v>-0.2</v>
      </c>
      <c r="DP317">
        <v>14</v>
      </c>
      <c r="DQ317">
        <v>8.5</v>
      </c>
      <c r="DR317">
        <v>9</v>
      </c>
      <c r="DS317">
        <v>-0.21599999999999966</v>
      </c>
      <c r="DT317">
        <v>8</v>
      </c>
      <c r="DU317">
        <v>8.8399999999999981</v>
      </c>
      <c r="DV317">
        <v>-2.3999999999999995</v>
      </c>
      <c r="DW317">
        <v>17</v>
      </c>
      <c r="DX317">
        <v>16.5</v>
      </c>
      <c r="DY317">
        <v>14</v>
      </c>
      <c r="DZ317">
        <v>-3.5320000000000009</v>
      </c>
      <c r="EA317">
        <v>19</v>
      </c>
      <c r="EB317">
        <v>-23.2</v>
      </c>
      <c r="EC317">
        <v>0.67999999999999994</v>
      </c>
      <c r="ED317">
        <v>15</v>
      </c>
      <c r="EE317">
        <v>7.5</v>
      </c>
      <c r="EF317">
        <v>9</v>
      </c>
      <c r="EG317">
        <v>-1.1439999999999997</v>
      </c>
      <c r="EH317">
        <v>6</v>
      </c>
      <c r="EI317">
        <v>0.95999999999999974</v>
      </c>
      <c r="EJ317">
        <v>0.36</v>
      </c>
      <c r="EK317">
        <v>30</v>
      </c>
      <c r="EL317">
        <v>28.5</v>
      </c>
      <c r="EM317">
        <v>28</v>
      </c>
      <c r="EN317">
        <v>-4.8840000000000003</v>
      </c>
      <c r="EO317">
        <v>29</v>
      </c>
      <c r="EP317">
        <v>-27.639999999999997</v>
      </c>
      <c r="EQ317">
        <v>-1.64</v>
      </c>
      <c r="ER317">
        <v>6</v>
      </c>
      <c r="ES317">
        <v>8</v>
      </c>
      <c r="ET317">
        <v>9</v>
      </c>
      <c r="EU317">
        <v>0.92400000000000015</v>
      </c>
      <c r="EV317">
        <v>7</v>
      </c>
      <c r="EW317">
        <v>10.84</v>
      </c>
      <c r="EX317">
        <v>1.0400000000000003</v>
      </c>
      <c r="EY317">
        <v>9</v>
      </c>
      <c r="EZ317">
        <v>9.5</v>
      </c>
      <c r="FA317">
        <v>8</v>
      </c>
      <c r="FB317">
        <v>0.64</v>
      </c>
      <c r="FC317">
        <v>11</v>
      </c>
      <c r="FD317">
        <v>3.9999999999999994E-2</v>
      </c>
      <c r="FE317">
        <v>1.4799999999999995</v>
      </c>
      <c r="FF317">
        <v>12</v>
      </c>
      <c r="FG317">
        <v>14.5</v>
      </c>
      <c r="FH317">
        <v>25</v>
      </c>
      <c r="FI317">
        <v>-6.0139210865432689E-2</v>
      </c>
      <c r="FJ317">
        <v>6</v>
      </c>
      <c r="FK317">
        <v>2.3434299961670423E-2</v>
      </c>
      <c r="FL317">
        <v>10</v>
      </c>
      <c r="FM317">
        <v>-9.2239999999999984</v>
      </c>
      <c r="FN317">
        <v>17</v>
      </c>
      <c r="FO317">
        <v>2.04</v>
      </c>
      <c r="FP317">
        <v>-0.28000000000000114</v>
      </c>
      <c r="FQ317">
        <v>-2</v>
      </c>
      <c r="FR317">
        <v>0.6</v>
      </c>
      <c r="FS317">
        <v>-0.99999999999999856</v>
      </c>
      <c r="FT317">
        <v>-7.2</v>
      </c>
      <c r="FU317">
        <v>0.67999999999999994</v>
      </c>
      <c r="FV317">
        <v>-62.720000000000013</v>
      </c>
      <c r="FW317">
        <v>-14.280000000000006</v>
      </c>
      <c r="FX317">
        <v>-47.36</v>
      </c>
      <c r="FY317">
        <v>-5.16</v>
      </c>
      <c r="FZ317">
        <v>4.08</v>
      </c>
      <c r="GA317">
        <v>9</v>
      </c>
      <c r="GB317">
        <v>3.2563999999999975</v>
      </c>
      <c r="GC317">
        <v>2.1819599999999992</v>
      </c>
      <c r="GD317">
        <v>33.079999999999991</v>
      </c>
      <c r="GE317">
        <v>-3.2563999999999975</v>
      </c>
      <c r="GF317">
        <v>-1.9458499999999996</v>
      </c>
      <c r="GG317">
        <v>-4.8920000000000003</v>
      </c>
      <c r="GH317">
        <v>-13.400000000000002</v>
      </c>
      <c r="GI317">
        <v>-7.7475999999999985</v>
      </c>
      <c r="GJ317">
        <v>-49.2</v>
      </c>
      <c r="GK317">
        <v>-0.31999999999999917</v>
      </c>
      <c r="GL317">
        <v>0.36000000000000015</v>
      </c>
    </row>
    <row r="318" spans="1:194" x14ac:dyDescent="0.2">
      <c r="A318" s="39">
        <v>43786</v>
      </c>
      <c r="B318" s="22" t="s">
        <v>259</v>
      </c>
      <c r="C318" s="41" t="s">
        <v>302</v>
      </c>
      <c r="D318" s="22" t="s">
        <v>294</v>
      </c>
      <c r="E318">
        <v>14.9</v>
      </c>
      <c r="F318">
        <v>3.2</v>
      </c>
      <c r="G318">
        <v>12.3</v>
      </c>
      <c r="H318">
        <v>10.5</v>
      </c>
      <c r="I318">
        <v>-4.5</v>
      </c>
      <c r="J318">
        <v>45</v>
      </c>
      <c r="L318" s="1" t="s">
        <v>302</v>
      </c>
      <c r="M318">
        <v>24</v>
      </c>
      <c r="N318">
        <v>-2.4328000000000003</v>
      </c>
      <c r="O318">
        <v>27</v>
      </c>
      <c r="P318">
        <v>25</v>
      </c>
      <c r="Q318">
        <v>32</v>
      </c>
      <c r="R318">
        <v>-4.4759999999999991</v>
      </c>
      <c r="S318">
        <v>18</v>
      </c>
      <c r="T318">
        <v>-8.0399999999999974</v>
      </c>
      <c r="U318">
        <v>-0.47999999999999987</v>
      </c>
      <c r="V318">
        <v>12</v>
      </c>
      <c r="W318">
        <v>11.5</v>
      </c>
      <c r="X318">
        <v>5</v>
      </c>
      <c r="Y318">
        <v>7.8599999999999994</v>
      </c>
      <c r="Z318">
        <v>18</v>
      </c>
      <c r="AA318">
        <v>-5.1199999999999992</v>
      </c>
      <c r="AB318">
        <v>3.08</v>
      </c>
      <c r="AC318">
        <v>4</v>
      </c>
      <c r="AD318">
        <v>4</v>
      </c>
      <c r="AE318">
        <v>3</v>
      </c>
      <c r="AF318">
        <v>3.2969999999999997</v>
      </c>
      <c r="AG318">
        <v>5</v>
      </c>
      <c r="AH318">
        <v>7.7399999999999993</v>
      </c>
      <c r="AI318">
        <v>3.45</v>
      </c>
      <c r="AJ318">
        <v>14</v>
      </c>
      <c r="AK318">
        <v>14</v>
      </c>
      <c r="AL318">
        <v>15</v>
      </c>
      <c r="AM318">
        <v>-2.944</v>
      </c>
      <c r="AN318">
        <v>13</v>
      </c>
      <c r="AO318">
        <v>-20.639999999999997</v>
      </c>
      <c r="AP318">
        <v>-0.8</v>
      </c>
      <c r="AQ318">
        <v>16</v>
      </c>
      <c r="AR318">
        <v>16</v>
      </c>
      <c r="AS318">
        <v>13</v>
      </c>
      <c r="AT318">
        <v>1.1519999999999997</v>
      </c>
      <c r="AU318">
        <v>19</v>
      </c>
      <c r="AV318">
        <v>6.6</v>
      </c>
      <c r="AW318">
        <v>0.76000000000000012</v>
      </c>
      <c r="AX318">
        <v>4</v>
      </c>
      <c r="AY318">
        <v>4.5</v>
      </c>
      <c r="AZ318">
        <v>2</v>
      </c>
      <c r="BA318">
        <v>6.5399999999999991</v>
      </c>
      <c r="BB318">
        <v>7</v>
      </c>
      <c r="BC318">
        <v>2.7600000000000025</v>
      </c>
      <c r="BD318">
        <v>21.84</v>
      </c>
      <c r="BE318">
        <v>25</v>
      </c>
      <c r="BF318">
        <v>25.5</v>
      </c>
      <c r="BG318">
        <v>28</v>
      </c>
      <c r="BH318">
        <v>-2.2160000000000006</v>
      </c>
      <c r="BI318">
        <v>23</v>
      </c>
      <c r="BJ318">
        <v>-7.2</v>
      </c>
      <c r="BK318">
        <v>-0.35999999999999976</v>
      </c>
      <c r="BL318">
        <v>2</v>
      </c>
      <c r="BM318">
        <v>5</v>
      </c>
      <c r="BN318">
        <v>8</v>
      </c>
      <c r="BO318">
        <v>0.6</v>
      </c>
      <c r="BP318">
        <v>2</v>
      </c>
      <c r="BQ318">
        <v>7.9999999999999988E-2</v>
      </c>
      <c r="BR318">
        <v>8.2799999999999994</v>
      </c>
      <c r="BS318">
        <v>27</v>
      </c>
      <c r="BT318">
        <v>23.25</v>
      </c>
      <c r="BU318">
        <v>23</v>
      </c>
      <c r="BV318">
        <v>-4.2854847409853958E-2</v>
      </c>
      <c r="BW318">
        <v>26</v>
      </c>
      <c r="BX318">
        <v>-2.869380473277109E-2</v>
      </c>
      <c r="BY318">
        <v>23</v>
      </c>
      <c r="BZ318">
        <v>-0.72400000000000087</v>
      </c>
      <c r="CA318">
        <v>21</v>
      </c>
      <c r="CB318">
        <v>-1.32</v>
      </c>
      <c r="CC318">
        <v>7.9999999999999982</v>
      </c>
      <c r="CD318">
        <v>0.23999999999999985</v>
      </c>
      <c r="CE318">
        <v>2.4</v>
      </c>
      <c r="CF318">
        <v>13.479999999999995</v>
      </c>
      <c r="CG318">
        <v>27.95999999999999</v>
      </c>
      <c r="CH318">
        <v>-1.3200000000000016</v>
      </c>
      <c r="CI318">
        <v>0.7599999999999999</v>
      </c>
      <c r="CJ318">
        <v>-13.919999999999998</v>
      </c>
      <c r="CK318">
        <v>27</v>
      </c>
      <c r="CL318">
        <v>-5.8168000000000006</v>
      </c>
      <c r="CM318">
        <v>-2.3207600000000004</v>
      </c>
      <c r="CN318">
        <v>29.27999999999999</v>
      </c>
      <c r="CO318">
        <v>5.8168000000000006</v>
      </c>
      <c r="CP318">
        <v>0.10502499999999985</v>
      </c>
      <c r="CQ318">
        <v>1.5049999999999994</v>
      </c>
      <c r="CR318">
        <v>-6.2999999999999989</v>
      </c>
      <c r="CS318">
        <v>3.3840000000000003</v>
      </c>
      <c r="CT318">
        <v>-13.159999999999997</v>
      </c>
      <c r="CU318">
        <v>3.0500000000000007</v>
      </c>
      <c r="CV318">
        <v>2.6</v>
      </c>
      <c r="CW318">
        <v>-2.3284625000000001</v>
      </c>
      <c r="CX318">
        <v>-3.2124000000000001</v>
      </c>
      <c r="CY318" t="s">
        <v>294</v>
      </c>
      <c r="CZ318">
        <v>30</v>
      </c>
      <c r="DA318">
        <v>-3.033599999999999</v>
      </c>
      <c r="DB318">
        <v>18</v>
      </c>
      <c r="DC318">
        <v>19.5</v>
      </c>
      <c r="DD318">
        <v>7</v>
      </c>
      <c r="DE318">
        <v>1.4043999999999994</v>
      </c>
      <c r="DF318">
        <v>32</v>
      </c>
      <c r="DG318">
        <v>-18.32</v>
      </c>
      <c r="DH318">
        <v>0.80000000000000016</v>
      </c>
      <c r="DI318">
        <v>5</v>
      </c>
      <c r="DJ318">
        <v>8</v>
      </c>
      <c r="DK318">
        <v>13</v>
      </c>
      <c r="DL318">
        <v>-3.1840000000000002</v>
      </c>
      <c r="DM318">
        <v>3</v>
      </c>
      <c r="DN318">
        <v>7.44</v>
      </c>
      <c r="DO318">
        <v>-0.48000000000000009</v>
      </c>
      <c r="DP318">
        <v>30</v>
      </c>
      <c r="DQ318">
        <v>24</v>
      </c>
      <c r="DR318">
        <v>24</v>
      </c>
      <c r="DS318">
        <v>-4.1289999999999996</v>
      </c>
      <c r="DT318">
        <v>24</v>
      </c>
      <c r="DU318">
        <v>-18.590000000000003</v>
      </c>
      <c r="DV318">
        <v>-1.8199999999999998</v>
      </c>
      <c r="DW318">
        <v>31</v>
      </c>
      <c r="DX318">
        <v>30.5</v>
      </c>
      <c r="DY318">
        <v>30</v>
      </c>
      <c r="DZ318">
        <v>2.6819999999999995</v>
      </c>
      <c r="EA318">
        <v>31</v>
      </c>
      <c r="EB318">
        <v>4.8600000000000012</v>
      </c>
      <c r="EC318">
        <v>-0.8</v>
      </c>
      <c r="ED318">
        <v>29</v>
      </c>
      <c r="EE318">
        <v>20</v>
      </c>
      <c r="EF318">
        <v>18</v>
      </c>
      <c r="EG318">
        <v>-2.2839999999999998</v>
      </c>
      <c r="EH318">
        <v>22</v>
      </c>
      <c r="EI318">
        <v>-12.440000000000001</v>
      </c>
      <c r="EJ318">
        <v>-1.52</v>
      </c>
      <c r="EK318">
        <v>32</v>
      </c>
      <c r="EL318">
        <v>32</v>
      </c>
      <c r="EM318">
        <v>32</v>
      </c>
      <c r="EN318">
        <v>-11.355999999999998</v>
      </c>
      <c r="EO318">
        <v>32</v>
      </c>
      <c r="EP318">
        <v>-41</v>
      </c>
      <c r="EQ318">
        <v>-8.16</v>
      </c>
      <c r="ER318">
        <v>8</v>
      </c>
      <c r="ES318">
        <v>8.5</v>
      </c>
      <c r="ET318">
        <v>12</v>
      </c>
      <c r="EU318">
        <v>-2.0520000000000005</v>
      </c>
      <c r="EV318">
        <v>5</v>
      </c>
      <c r="EW318">
        <v>-4.1200000000000019</v>
      </c>
      <c r="EX318">
        <v>-1.52</v>
      </c>
      <c r="EY318">
        <v>31</v>
      </c>
      <c r="EZ318">
        <v>28.5</v>
      </c>
      <c r="FA318">
        <v>26</v>
      </c>
      <c r="FB318">
        <v>-0.96</v>
      </c>
      <c r="FC318">
        <v>31</v>
      </c>
      <c r="FD318">
        <v>0.11999999999999993</v>
      </c>
      <c r="FE318">
        <v>-0.48000000000000026</v>
      </c>
      <c r="FF318">
        <v>4</v>
      </c>
      <c r="FG318">
        <v>8.75</v>
      </c>
      <c r="FH318">
        <v>3</v>
      </c>
      <c r="FI318">
        <v>7.5955663524353064E-3</v>
      </c>
      <c r="FJ318">
        <v>4</v>
      </c>
      <c r="FK318">
        <v>2.1717556885565419E-2</v>
      </c>
      <c r="FL318">
        <v>14</v>
      </c>
      <c r="FM318">
        <v>5.9800000000000013</v>
      </c>
      <c r="FN318">
        <v>14</v>
      </c>
      <c r="FO318">
        <v>0.27999999999999992</v>
      </c>
      <c r="FP318">
        <v>-4.4799999999999995</v>
      </c>
      <c r="FQ318">
        <v>-2.5199999999999996</v>
      </c>
      <c r="FR318">
        <v>0.40000000000000008</v>
      </c>
      <c r="FS318">
        <v>-5.8</v>
      </c>
      <c r="FT318">
        <v>-8.0000000000000432E-2</v>
      </c>
      <c r="FU318">
        <v>-1.8399999999999999</v>
      </c>
      <c r="FV318">
        <v>-39.879999999999995</v>
      </c>
      <c r="FW318">
        <v>-40.159999999999997</v>
      </c>
      <c r="FX318">
        <v>-11.120000000000005</v>
      </c>
      <c r="FY318">
        <v>5.32</v>
      </c>
      <c r="FZ318">
        <v>6.08</v>
      </c>
      <c r="GA318">
        <v>19</v>
      </c>
      <c r="GB318">
        <v>-1.2539999999999987</v>
      </c>
      <c r="GC318">
        <v>-0.87351999999999941</v>
      </c>
      <c r="GD318">
        <v>-29.039999999999992</v>
      </c>
      <c r="GE318">
        <v>1.2539999999999982</v>
      </c>
      <c r="GF318">
        <v>-1.4445250000000001</v>
      </c>
      <c r="GG318">
        <v>-3.7309999999999999</v>
      </c>
      <c r="GH318">
        <v>-26.17</v>
      </c>
      <c r="GI318">
        <v>-1.7796000000000007</v>
      </c>
      <c r="GJ318">
        <v>-10.879999999999999</v>
      </c>
      <c r="GK318">
        <v>-5.66</v>
      </c>
      <c r="GL318">
        <v>0.32000000000000006</v>
      </c>
    </row>
    <row r="319" spans="1:194" x14ac:dyDescent="0.2">
      <c r="A319" s="39">
        <v>43786</v>
      </c>
      <c r="B319" s="22" t="s">
        <v>259</v>
      </c>
      <c r="C319" s="41" t="s">
        <v>307</v>
      </c>
      <c r="D319" s="22" t="s">
        <v>284</v>
      </c>
      <c r="E319">
        <v>28.4</v>
      </c>
      <c r="F319">
        <v>9.4</v>
      </c>
      <c r="G319">
        <v>0</v>
      </c>
      <c r="H319">
        <f>11.3+2.8</f>
        <v>14.100000000000001</v>
      </c>
      <c r="I319">
        <v>-5</v>
      </c>
      <c r="J319">
        <v>50.5</v>
      </c>
      <c r="K319" t="s">
        <v>109</v>
      </c>
      <c r="L319" s="1" t="s">
        <v>307</v>
      </c>
      <c r="M319">
        <v>15</v>
      </c>
      <c r="N319">
        <v>0.32720000000000127</v>
      </c>
      <c r="O319">
        <v>8</v>
      </c>
      <c r="P319">
        <v>8.5</v>
      </c>
      <c r="Q319">
        <v>5</v>
      </c>
      <c r="R319">
        <v>6.7200000000000015</v>
      </c>
      <c r="S319">
        <v>12</v>
      </c>
      <c r="T319">
        <v>1.9599999999999995</v>
      </c>
      <c r="U319">
        <v>4.16</v>
      </c>
      <c r="V319">
        <v>16</v>
      </c>
      <c r="W319">
        <v>15</v>
      </c>
      <c r="X319">
        <v>15</v>
      </c>
      <c r="Y319">
        <v>-0.21200000000000019</v>
      </c>
      <c r="Z319">
        <v>15</v>
      </c>
      <c r="AA319">
        <v>6.68</v>
      </c>
      <c r="AB319">
        <v>0.52</v>
      </c>
      <c r="AC319">
        <v>5</v>
      </c>
      <c r="AD319">
        <v>5.5</v>
      </c>
      <c r="AE319">
        <v>4</v>
      </c>
      <c r="AF319">
        <v>8.8919999999999995</v>
      </c>
      <c r="AG319">
        <v>7</v>
      </c>
      <c r="AH319">
        <v>40.880000000000003</v>
      </c>
      <c r="AI319">
        <v>1.9800000000000004</v>
      </c>
      <c r="AJ319">
        <v>32</v>
      </c>
      <c r="AK319">
        <v>32</v>
      </c>
      <c r="AL319">
        <v>32</v>
      </c>
      <c r="AM319">
        <v>-6.5739999999999998</v>
      </c>
      <c r="AN319">
        <v>32</v>
      </c>
      <c r="AO319">
        <v>-24</v>
      </c>
      <c r="AP319">
        <v>-1.94</v>
      </c>
      <c r="AQ319">
        <v>29</v>
      </c>
      <c r="AR319">
        <v>29</v>
      </c>
      <c r="AS319">
        <v>28</v>
      </c>
      <c r="AT319">
        <v>-4.7679999999999998</v>
      </c>
      <c r="AU319">
        <v>30</v>
      </c>
      <c r="AV319">
        <v>-24.72</v>
      </c>
      <c r="AW319">
        <v>-1.8</v>
      </c>
      <c r="AX319">
        <v>28</v>
      </c>
      <c r="AY319">
        <v>28</v>
      </c>
      <c r="AZ319">
        <v>28</v>
      </c>
      <c r="BA319">
        <v>7.1999999999999537E-2</v>
      </c>
      <c r="BB319">
        <v>28</v>
      </c>
      <c r="BC319">
        <v>-11.280000000000001</v>
      </c>
      <c r="BD319">
        <v>-1.7200000000000002</v>
      </c>
      <c r="BE319">
        <v>4</v>
      </c>
      <c r="BF319">
        <v>4.5</v>
      </c>
      <c r="BG319">
        <v>5</v>
      </c>
      <c r="BH319">
        <v>-1.2639999999999998</v>
      </c>
      <c r="BI319">
        <v>4</v>
      </c>
      <c r="BJ319">
        <v>-3.4</v>
      </c>
      <c r="BK319">
        <v>-0.52000000000000013</v>
      </c>
      <c r="BL319">
        <v>4</v>
      </c>
      <c r="BM319">
        <v>7</v>
      </c>
      <c r="BN319">
        <v>4</v>
      </c>
      <c r="BO319">
        <v>0.67999999999999994</v>
      </c>
      <c r="BP319">
        <v>10</v>
      </c>
      <c r="BQ319">
        <v>0.48000000000000009</v>
      </c>
      <c r="BR319">
        <v>1.36</v>
      </c>
      <c r="BS319">
        <v>32</v>
      </c>
      <c r="BT319">
        <v>29.5</v>
      </c>
      <c r="BU319">
        <v>30</v>
      </c>
      <c r="BV319">
        <v>-2.1218997726417877E-2</v>
      </c>
      <c r="BW319">
        <v>28</v>
      </c>
      <c r="BX319">
        <v>-1.4235280455858913E-2</v>
      </c>
      <c r="BY319">
        <v>31</v>
      </c>
      <c r="BZ319">
        <v>1.547999999999996</v>
      </c>
      <c r="CA319">
        <v>29</v>
      </c>
      <c r="CB319">
        <v>-0.96000000000000019</v>
      </c>
      <c r="CC319">
        <v>3.240000000000002</v>
      </c>
      <c r="CD319">
        <v>-1.2400000000000013</v>
      </c>
      <c r="CE319">
        <v>0.87999999999999989</v>
      </c>
      <c r="CF319">
        <v>30.480000000000008</v>
      </c>
      <c r="CG319">
        <v>20.879999999999995</v>
      </c>
      <c r="CH319">
        <v>13.719999999999999</v>
      </c>
      <c r="CI319">
        <v>-1.4000000000000004</v>
      </c>
      <c r="CJ319">
        <v>-2.72</v>
      </c>
      <c r="CK319">
        <v>29</v>
      </c>
      <c r="CL319">
        <v>-6.1807999999999996</v>
      </c>
      <c r="CM319">
        <v>-3.9313600000000002</v>
      </c>
      <c r="CN319">
        <v>7.1599999999999966</v>
      </c>
      <c r="CO319">
        <v>6.1807999999999996</v>
      </c>
      <c r="CP319">
        <v>0.47515000000000029</v>
      </c>
      <c r="CQ319">
        <v>-2.4500000000000002</v>
      </c>
      <c r="CR319">
        <v>-7.8399999999999963</v>
      </c>
      <c r="CS319">
        <v>6.5080000000000009</v>
      </c>
      <c r="CT319">
        <v>8.6399999999999988</v>
      </c>
      <c r="CU319">
        <v>-2.2799999999999998</v>
      </c>
      <c r="CV319">
        <v>4.68</v>
      </c>
      <c r="CW319">
        <v>0.24851249999999991</v>
      </c>
      <c r="CX319">
        <v>-1.9575250000000004</v>
      </c>
      <c r="CY319" t="s">
        <v>284</v>
      </c>
      <c r="CZ319">
        <v>4</v>
      </c>
      <c r="DA319">
        <v>6.3263999999999996</v>
      </c>
      <c r="DB319">
        <v>25</v>
      </c>
      <c r="DC319">
        <v>23.5</v>
      </c>
      <c r="DD319">
        <v>24</v>
      </c>
      <c r="DE319">
        <v>-7.9749999999999996</v>
      </c>
      <c r="DF319">
        <v>23</v>
      </c>
      <c r="DG319">
        <v>-20.65</v>
      </c>
      <c r="DH319">
        <v>-0.38999999999999985</v>
      </c>
      <c r="DI319">
        <v>31</v>
      </c>
      <c r="DJ319">
        <v>31</v>
      </c>
      <c r="DK319">
        <v>31</v>
      </c>
      <c r="DL319">
        <v>-1.4069999999999998</v>
      </c>
      <c r="DM319">
        <v>31</v>
      </c>
      <c r="DN319">
        <v>-3.1399999999999997</v>
      </c>
      <c r="DO319">
        <v>-0.23000000000000004</v>
      </c>
      <c r="DP319">
        <v>9</v>
      </c>
      <c r="DQ319">
        <v>6</v>
      </c>
      <c r="DR319">
        <v>6</v>
      </c>
      <c r="DS319">
        <v>5.1440000000000001</v>
      </c>
      <c r="DT319">
        <v>6</v>
      </c>
      <c r="DU319">
        <v>10.719999999999999</v>
      </c>
      <c r="DV319">
        <v>2.2799999999999998</v>
      </c>
      <c r="DW319">
        <v>1</v>
      </c>
      <c r="DX319">
        <v>1.5</v>
      </c>
      <c r="DY319">
        <v>1</v>
      </c>
      <c r="DZ319">
        <v>10.271999999999998</v>
      </c>
      <c r="EA319">
        <v>2</v>
      </c>
      <c r="EB319">
        <v>20.759999999999998</v>
      </c>
      <c r="EC319">
        <v>0.32000000000000012</v>
      </c>
      <c r="ED319">
        <v>8</v>
      </c>
      <c r="EE319">
        <v>12.5</v>
      </c>
      <c r="EF319">
        <v>17</v>
      </c>
      <c r="EG319">
        <v>0.22800000000000065</v>
      </c>
      <c r="EH319">
        <v>8</v>
      </c>
      <c r="EI319">
        <v>-1.3600000000000005</v>
      </c>
      <c r="EJ319">
        <v>-0.20000000000000009</v>
      </c>
      <c r="EK319">
        <v>2</v>
      </c>
      <c r="EL319">
        <v>3.5</v>
      </c>
      <c r="EM319">
        <v>1</v>
      </c>
      <c r="EN319">
        <v>5.839999999999999</v>
      </c>
      <c r="EO319">
        <v>6</v>
      </c>
      <c r="EP319">
        <v>17.2</v>
      </c>
      <c r="EQ319">
        <v>2.7199999999999998</v>
      </c>
      <c r="ER319">
        <v>21</v>
      </c>
      <c r="ES319">
        <v>20.5</v>
      </c>
      <c r="ET319">
        <v>15</v>
      </c>
      <c r="EU319">
        <v>3.6080000000000014</v>
      </c>
      <c r="EV319">
        <v>26</v>
      </c>
      <c r="EW319">
        <v>6.2799999999999994</v>
      </c>
      <c r="EX319">
        <v>0.6</v>
      </c>
      <c r="EY319">
        <v>16</v>
      </c>
      <c r="EZ319">
        <v>14</v>
      </c>
      <c r="FA319">
        <v>13</v>
      </c>
      <c r="FB319">
        <v>3.44</v>
      </c>
      <c r="FC319">
        <v>15</v>
      </c>
      <c r="FD319">
        <v>0.84000000000000008</v>
      </c>
      <c r="FE319">
        <v>4.5999999999999996</v>
      </c>
      <c r="FF319">
        <v>10</v>
      </c>
      <c r="FG319">
        <v>13.25</v>
      </c>
      <c r="FH319">
        <v>9</v>
      </c>
      <c r="FI319">
        <v>-3.2258835740738866E-2</v>
      </c>
      <c r="FJ319">
        <v>26</v>
      </c>
      <c r="FK319">
        <v>-2.4264800203707401E-2</v>
      </c>
      <c r="FL319">
        <v>6</v>
      </c>
      <c r="FM319">
        <v>4.535999999999996</v>
      </c>
      <c r="FN319">
        <v>12</v>
      </c>
      <c r="FO319">
        <v>-5.56</v>
      </c>
      <c r="FP319">
        <v>1.5199999999999996</v>
      </c>
      <c r="FQ319">
        <v>-0.87999999999999967</v>
      </c>
      <c r="FR319">
        <v>-1.0799999999999998</v>
      </c>
      <c r="FS319">
        <v>-0.31999999999999745</v>
      </c>
      <c r="FT319">
        <v>8.5599999999999987</v>
      </c>
      <c r="FU319">
        <v>0.40000000000000008</v>
      </c>
      <c r="FV319">
        <v>-12.439999999999998</v>
      </c>
      <c r="FW319">
        <v>11.759999999999991</v>
      </c>
      <c r="FX319">
        <v>-21.240000000000002</v>
      </c>
      <c r="FY319">
        <v>2.5999999999999996</v>
      </c>
      <c r="FZ319">
        <v>-5.5600000000000005</v>
      </c>
      <c r="GA319">
        <v>1</v>
      </c>
      <c r="GB319">
        <v>15.708399999999999</v>
      </c>
      <c r="GC319">
        <v>9.8066800000000001</v>
      </c>
      <c r="GD319">
        <v>32.999999999999993</v>
      </c>
      <c r="GE319">
        <v>-15.708399999999999</v>
      </c>
      <c r="GF319">
        <v>2.4545500000000002</v>
      </c>
      <c r="GG319">
        <v>15.643999999999998</v>
      </c>
      <c r="GH319">
        <v>30.119999999999997</v>
      </c>
      <c r="GI319">
        <v>-9.3819999999999997</v>
      </c>
      <c r="GJ319">
        <v>-23.79</v>
      </c>
      <c r="GK319">
        <v>3</v>
      </c>
      <c r="GL319">
        <v>-0.61999999999999988</v>
      </c>
    </row>
    <row r="320" spans="1:194" x14ac:dyDescent="0.2">
      <c r="A320" s="39">
        <v>43786</v>
      </c>
      <c r="B320" s="22" t="s">
        <v>259</v>
      </c>
      <c r="C320" s="41" t="s">
        <v>298</v>
      </c>
      <c r="D320" s="22" t="s">
        <v>306</v>
      </c>
      <c r="E320">
        <v>18.600000000000001</v>
      </c>
      <c r="F320">
        <v>7.6</v>
      </c>
      <c r="G320">
        <v>8.4</v>
      </c>
      <c r="H320">
        <f>24.9+9</f>
        <v>33.9</v>
      </c>
      <c r="I320">
        <v>1</v>
      </c>
      <c r="J320">
        <v>37.5</v>
      </c>
      <c r="L320" s="1" t="s">
        <v>298</v>
      </c>
      <c r="M320">
        <v>21</v>
      </c>
      <c r="N320">
        <v>-1.8151999999999995</v>
      </c>
      <c r="O320">
        <v>19</v>
      </c>
      <c r="P320">
        <v>20.5</v>
      </c>
      <c r="Q320">
        <v>13</v>
      </c>
      <c r="R320">
        <v>-1.58</v>
      </c>
      <c r="S320">
        <v>28</v>
      </c>
      <c r="T320">
        <v>-28.919999999999998</v>
      </c>
      <c r="U320">
        <v>1.24</v>
      </c>
      <c r="V320">
        <v>24</v>
      </c>
      <c r="W320">
        <v>24</v>
      </c>
      <c r="X320">
        <v>27</v>
      </c>
      <c r="Y320">
        <v>-3.528</v>
      </c>
      <c r="Z320">
        <v>21</v>
      </c>
      <c r="AA320">
        <v>-2.6</v>
      </c>
      <c r="AB320">
        <v>-1.44</v>
      </c>
      <c r="AC320">
        <v>31</v>
      </c>
      <c r="AD320">
        <v>31</v>
      </c>
      <c r="AE320">
        <v>30</v>
      </c>
      <c r="AF320">
        <v>-1.335999999999999</v>
      </c>
      <c r="AG320">
        <v>32</v>
      </c>
      <c r="AH320">
        <v>-12.960000000000003</v>
      </c>
      <c r="AI320">
        <v>-1.5</v>
      </c>
      <c r="AJ320">
        <v>21</v>
      </c>
      <c r="AK320">
        <v>20.5</v>
      </c>
      <c r="AL320">
        <v>21</v>
      </c>
      <c r="AM320">
        <v>-2.5979999999999999</v>
      </c>
      <c r="AN320">
        <v>20</v>
      </c>
      <c r="AO320">
        <v>-13.680000000000001</v>
      </c>
      <c r="AP320">
        <v>2.0000000000000018E-2</v>
      </c>
      <c r="AQ320">
        <v>6</v>
      </c>
      <c r="AR320">
        <v>6</v>
      </c>
      <c r="AS320">
        <v>7</v>
      </c>
      <c r="AT320">
        <v>3.1720000000000006</v>
      </c>
      <c r="AU320">
        <v>5</v>
      </c>
      <c r="AV320">
        <v>20.919999999999998</v>
      </c>
      <c r="AW320">
        <v>2.2800000000000002</v>
      </c>
      <c r="AX320">
        <v>24</v>
      </c>
      <c r="AY320">
        <v>25</v>
      </c>
      <c r="AZ320">
        <v>24</v>
      </c>
      <c r="BA320">
        <v>-0.38400000000000001</v>
      </c>
      <c r="BB320">
        <v>26</v>
      </c>
      <c r="BC320">
        <v>-2.8799999999999981</v>
      </c>
      <c r="BD320">
        <v>-5.68</v>
      </c>
      <c r="BE320">
        <v>14</v>
      </c>
      <c r="BF320">
        <v>13.5</v>
      </c>
      <c r="BG320">
        <v>13</v>
      </c>
      <c r="BH320">
        <v>2.8240000000000007</v>
      </c>
      <c r="BI320">
        <v>14</v>
      </c>
      <c r="BJ320">
        <v>6.4399999999999995</v>
      </c>
      <c r="BK320">
        <v>-1.4</v>
      </c>
      <c r="BL320">
        <v>14</v>
      </c>
      <c r="BM320">
        <v>13.5</v>
      </c>
      <c r="BN320">
        <v>19</v>
      </c>
      <c r="BO320">
        <v>-2.12</v>
      </c>
      <c r="BP320">
        <v>8</v>
      </c>
      <c r="BQ320">
        <v>-0.4</v>
      </c>
      <c r="BR320">
        <v>-3.28</v>
      </c>
      <c r="BS320">
        <v>8</v>
      </c>
      <c r="BT320">
        <v>12</v>
      </c>
      <c r="BU320">
        <v>2</v>
      </c>
      <c r="BV320">
        <v>0.10832909945927871</v>
      </c>
      <c r="BW320">
        <v>17</v>
      </c>
      <c r="BX320">
        <v>1.36051905153008E-2</v>
      </c>
      <c r="BY320">
        <v>12</v>
      </c>
      <c r="BZ320">
        <v>-1.5120000000000005</v>
      </c>
      <c r="CA320">
        <v>17</v>
      </c>
      <c r="CB320">
        <v>1.64</v>
      </c>
      <c r="CC320">
        <v>-3.4799999999999995</v>
      </c>
      <c r="CD320">
        <v>-2.04</v>
      </c>
      <c r="CE320">
        <v>-0.51999999999999991</v>
      </c>
      <c r="CF320">
        <v>-43.36</v>
      </c>
      <c r="CG320">
        <v>-0.47999999999999543</v>
      </c>
      <c r="CH320">
        <v>-32.04</v>
      </c>
      <c r="CI320">
        <v>0.6399999999999999</v>
      </c>
      <c r="CJ320">
        <v>-11.48</v>
      </c>
      <c r="CK320">
        <v>11</v>
      </c>
      <c r="CL320">
        <v>3.2928000000000006</v>
      </c>
      <c r="CM320">
        <v>2.6033600000000008</v>
      </c>
      <c r="CN320">
        <v>31.560000000000002</v>
      </c>
      <c r="CO320">
        <v>-3.2928000000000011</v>
      </c>
      <c r="CP320">
        <v>-0.8726499999999997</v>
      </c>
      <c r="CQ320">
        <v>-0.76199999999999823</v>
      </c>
      <c r="CR320">
        <v>-5.720000000000006</v>
      </c>
      <c r="CS320">
        <v>-5.1080000000000005</v>
      </c>
      <c r="CT320">
        <v>-31.52</v>
      </c>
      <c r="CU320">
        <v>-0.59999999999999964</v>
      </c>
      <c r="CV320">
        <v>-0.19999999999999996</v>
      </c>
      <c r="CW320">
        <v>0.72310000000000019</v>
      </c>
      <c r="CX320">
        <v>2.5169000000000001</v>
      </c>
      <c r="CY320" t="s">
        <v>306</v>
      </c>
      <c r="CZ320">
        <v>22</v>
      </c>
      <c r="DA320">
        <v>-5.1579999999999986</v>
      </c>
      <c r="DB320">
        <v>11</v>
      </c>
      <c r="DC320">
        <v>11</v>
      </c>
      <c r="DD320">
        <v>16</v>
      </c>
      <c r="DE320">
        <v>3.3443999999999994</v>
      </c>
      <c r="DF320">
        <v>6</v>
      </c>
      <c r="DG320">
        <v>17.240000000000002</v>
      </c>
      <c r="DH320">
        <v>0.36000000000000004</v>
      </c>
      <c r="DI320">
        <v>10</v>
      </c>
      <c r="DJ320">
        <v>12.5</v>
      </c>
      <c r="DK320">
        <v>16</v>
      </c>
      <c r="DL320">
        <v>0.30000000000000016</v>
      </c>
      <c r="DM320">
        <v>9</v>
      </c>
      <c r="DN320">
        <v>9.76</v>
      </c>
      <c r="DO320">
        <v>0.79999999999999993</v>
      </c>
      <c r="DP320">
        <v>13</v>
      </c>
      <c r="DQ320">
        <v>12</v>
      </c>
      <c r="DR320">
        <v>14</v>
      </c>
      <c r="DS320">
        <v>-2.9359999999999999</v>
      </c>
      <c r="DT320">
        <v>10</v>
      </c>
      <c r="DU320">
        <v>3.5199999999999987</v>
      </c>
      <c r="DV320">
        <v>-1.48</v>
      </c>
      <c r="DW320">
        <v>26</v>
      </c>
      <c r="DX320">
        <v>26.5</v>
      </c>
      <c r="DY320">
        <v>23</v>
      </c>
      <c r="DZ320">
        <v>-3.5160000000000005</v>
      </c>
      <c r="EA320">
        <v>30</v>
      </c>
      <c r="EB320">
        <v>-22.479999999999997</v>
      </c>
      <c r="EC320">
        <v>-3.12</v>
      </c>
      <c r="ED320">
        <v>32</v>
      </c>
      <c r="EE320">
        <v>15</v>
      </c>
      <c r="EF320">
        <v>15</v>
      </c>
      <c r="EG320">
        <v>-1.7600000000000002</v>
      </c>
      <c r="EH320">
        <v>15</v>
      </c>
      <c r="EI320">
        <v>-10.52</v>
      </c>
      <c r="EJ320">
        <v>0.23999999999999994</v>
      </c>
      <c r="EK320">
        <v>7</v>
      </c>
      <c r="EL320">
        <v>7.5</v>
      </c>
      <c r="EM320">
        <v>7</v>
      </c>
      <c r="EN320">
        <v>0.29200000000000087</v>
      </c>
      <c r="EO320">
        <v>8</v>
      </c>
      <c r="EP320">
        <v>8.9199999999999982</v>
      </c>
      <c r="EQ320">
        <v>-1.1999999999999997</v>
      </c>
      <c r="ER320">
        <v>10</v>
      </c>
      <c r="ES320">
        <v>10.5</v>
      </c>
      <c r="ET320">
        <v>6</v>
      </c>
      <c r="EU320">
        <v>0.27999999999999992</v>
      </c>
      <c r="EV320">
        <v>15</v>
      </c>
      <c r="EW320">
        <v>5.76</v>
      </c>
      <c r="EX320">
        <v>-0.15999999999999978</v>
      </c>
      <c r="EY320">
        <v>12</v>
      </c>
      <c r="EZ320">
        <v>12.5</v>
      </c>
      <c r="FA320">
        <v>12</v>
      </c>
      <c r="FB320">
        <v>0.88000000000000023</v>
      </c>
      <c r="FC320">
        <v>13</v>
      </c>
      <c r="FD320">
        <v>0.36</v>
      </c>
      <c r="FE320">
        <v>0.96</v>
      </c>
      <c r="FF320">
        <v>3</v>
      </c>
      <c r="FG320">
        <v>8</v>
      </c>
      <c r="FH320">
        <v>13</v>
      </c>
      <c r="FI320">
        <v>-3.4511208393495127E-2</v>
      </c>
      <c r="FJ320">
        <v>2</v>
      </c>
      <c r="FK320">
        <v>2.1252396387227632E-2</v>
      </c>
      <c r="FL320">
        <v>9</v>
      </c>
      <c r="FM320">
        <v>-0.74000000000000055</v>
      </c>
      <c r="FN320">
        <v>8</v>
      </c>
      <c r="FO320">
        <v>-0.15999999999999998</v>
      </c>
      <c r="FP320">
        <v>-5.1200000000000019</v>
      </c>
      <c r="FQ320">
        <v>6.28</v>
      </c>
      <c r="FR320">
        <v>0.12000000000000002</v>
      </c>
      <c r="FS320">
        <v>1.4400000000000019</v>
      </c>
      <c r="FT320">
        <v>-2.7600000000000002</v>
      </c>
      <c r="FU320">
        <v>-1.6400000000000001</v>
      </c>
      <c r="FV320">
        <v>-2.7600000000000025</v>
      </c>
      <c r="FW320">
        <v>-22.880000000000003</v>
      </c>
      <c r="FX320">
        <v>28.079999999999995</v>
      </c>
      <c r="FY320">
        <v>-3.6399999999999997</v>
      </c>
      <c r="FZ320">
        <v>-4.32</v>
      </c>
      <c r="GA320">
        <v>32</v>
      </c>
      <c r="GB320">
        <v>-8.8023999999999987</v>
      </c>
      <c r="GC320">
        <v>-4.440199999999999</v>
      </c>
      <c r="GD320">
        <v>-50.959999999999994</v>
      </c>
      <c r="GE320">
        <v>8.8023999999999987</v>
      </c>
      <c r="GF320">
        <v>-1.0706999999999998</v>
      </c>
      <c r="GG320">
        <v>-8.2119999999999997</v>
      </c>
      <c r="GH320">
        <v>-29.479999999999997</v>
      </c>
      <c r="GI320">
        <v>3.6443999999999996</v>
      </c>
      <c r="GJ320">
        <v>27</v>
      </c>
      <c r="GK320">
        <v>-4.5199999999999996</v>
      </c>
      <c r="GL320">
        <v>1.1599999999999999</v>
      </c>
    </row>
    <row r="321" spans="1:194" x14ac:dyDescent="0.2">
      <c r="A321" s="39">
        <v>43786</v>
      </c>
      <c r="B321" s="22" t="s">
        <v>259</v>
      </c>
      <c r="C321" s="41" t="s">
        <v>294</v>
      </c>
      <c r="D321" s="22" t="s">
        <v>302</v>
      </c>
      <c r="E321">
        <v>8</v>
      </c>
      <c r="F321">
        <v>1.6</v>
      </c>
      <c r="G321">
        <v>3.9</v>
      </c>
      <c r="H321">
        <f>18.4+12.6</f>
        <v>31</v>
      </c>
      <c r="I321">
        <v>4.5</v>
      </c>
      <c r="J321">
        <v>45</v>
      </c>
      <c r="L321" s="1" t="s">
        <v>294</v>
      </c>
      <c r="M321">
        <v>20</v>
      </c>
      <c r="N321">
        <v>-1.3956000000000006</v>
      </c>
      <c r="O321">
        <v>16</v>
      </c>
      <c r="P321">
        <v>16.5</v>
      </c>
      <c r="Q321">
        <v>18</v>
      </c>
      <c r="R321">
        <v>-3.9479999999999991</v>
      </c>
      <c r="S321">
        <v>15</v>
      </c>
      <c r="T321">
        <v>-6.44</v>
      </c>
      <c r="U321">
        <v>-1.36</v>
      </c>
      <c r="V321">
        <v>9</v>
      </c>
      <c r="W321">
        <v>10.5</v>
      </c>
      <c r="X321">
        <v>16</v>
      </c>
      <c r="Y321">
        <v>5.2439999999999998</v>
      </c>
      <c r="Z321">
        <v>5</v>
      </c>
      <c r="AA321">
        <v>13.48</v>
      </c>
      <c r="AB321">
        <v>3.9999999999999904E-2</v>
      </c>
      <c r="AC321">
        <v>19</v>
      </c>
      <c r="AD321">
        <v>18.5</v>
      </c>
      <c r="AE321">
        <v>20</v>
      </c>
      <c r="AF321">
        <v>-2.3600000000000003</v>
      </c>
      <c r="AG321">
        <v>17</v>
      </c>
      <c r="AH321">
        <v>-15.560000000000002</v>
      </c>
      <c r="AI321">
        <v>0.4</v>
      </c>
      <c r="AJ321">
        <v>30</v>
      </c>
      <c r="AK321">
        <v>30</v>
      </c>
      <c r="AL321">
        <v>29</v>
      </c>
      <c r="AM321">
        <v>-6.3919999999999995</v>
      </c>
      <c r="AN321">
        <v>31</v>
      </c>
      <c r="AO321">
        <v>-27.4</v>
      </c>
      <c r="AP321">
        <v>-0.92000000000000015</v>
      </c>
      <c r="AQ321">
        <v>23</v>
      </c>
      <c r="AR321">
        <v>23.5</v>
      </c>
      <c r="AS321">
        <v>24</v>
      </c>
      <c r="AT321">
        <v>-4.4719999999999995</v>
      </c>
      <c r="AU321">
        <v>23</v>
      </c>
      <c r="AV321">
        <v>-17.240000000000002</v>
      </c>
      <c r="AW321">
        <v>-2.2000000000000002</v>
      </c>
      <c r="AX321">
        <v>20</v>
      </c>
      <c r="AY321">
        <v>20</v>
      </c>
      <c r="AZ321">
        <v>19</v>
      </c>
      <c r="BA321">
        <v>-1.5240000000000005</v>
      </c>
      <c r="BB321">
        <v>21</v>
      </c>
      <c r="BC321">
        <v>-16.84</v>
      </c>
      <c r="BD321">
        <v>-4.0000000000000216E-2</v>
      </c>
      <c r="BE321">
        <v>1</v>
      </c>
      <c r="BF321">
        <v>1</v>
      </c>
      <c r="BG321">
        <v>1</v>
      </c>
      <c r="BH321">
        <v>11.828000000000001</v>
      </c>
      <c r="BI321">
        <v>1</v>
      </c>
      <c r="BJ321">
        <v>54.280000000000008</v>
      </c>
      <c r="BK321">
        <v>6.2</v>
      </c>
      <c r="BL321">
        <v>23</v>
      </c>
      <c r="BM321">
        <v>22.5</v>
      </c>
      <c r="BN321">
        <v>24</v>
      </c>
      <c r="BO321">
        <v>-7.9999999999999891E-2</v>
      </c>
      <c r="BP321">
        <v>21</v>
      </c>
      <c r="BQ321">
        <v>-7.9999999999999988E-2</v>
      </c>
      <c r="BR321">
        <v>0.27999999999999992</v>
      </c>
      <c r="BS321">
        <v>6</v>
      </c>
      <c r="BT321">
        <v>10.25</v>
      </c>
      <c r="BU321">
        <v>16</v>
      </c>
      <c r="BV321">
        <v>1.8768061802141411E-3</v>
      </c>
      <c r="BW321">
        <v>4</v>
      </c>
      <c r="BX321">
        <v>1.8320573882257028E-2</v>
      </c>
      <c r="BY321">
        <v>6</v>
      </c>
      <c r="BZ321">
        <v>-9.200000000000301E-2</v>
      </c>
      <c r="CA321">
        <v>15</v>
      </c>
      <c r="CB321">
        <v>-0.48000000000000026</v>
      </c>
      <c r="CC321">
        <v>5.56</v>
      </c>
      <c r="CD321">
        <v>-0.28000000000000042</v>
      </c>
      <c r="CE321">
        <v>-0.91999999999999993</v>
      </c>
      <c r="CF321">
        <v>14.6</v>
      </c>
      <c r="CG321">
        <v>-8.2400000000000038</v>
      </c>
      <c r="CH321">
        <v>17.360000000000003</v>
      </c>
      <c r="CI321">
        <v>-0.23999999999999985</v>
      </c>
      <c r="CJ321">
        <v>5.7199999999999989</v>
      </c>
      <c r="CK321">
        <v>20</v>
      </c>
      <c r="CL321">
        <v>-2.6916000000000011</v>
      </c>
      <c r="CM321">
        <v>-1.2063200000000003</v>
      </c>
      <c r="CN321">
        <v>-25.600000000000009</v>
      </c>
      <c r="CO321">
        <v>2.6916000000000011</v>
      </c>
      <c r="CP321">
        <v>-0.19694999999999971</v>
      </c>
      <c r="CQ321">
        <v>-13.223999999999998</v>
      </c>
      <c r="CR321">
        <v>-60.2</v>
      </c>
      <c r="CS321">
        <v>1.2960000000000007</v>
      </c>
      <c r="CT321">
        <v>7.04</v>
      </c>
      <c r="CU321">
        <v>3.48</v>
      </c>
      <c r="CV321">
        <v>-1.3200000000000003</v>
      </c>
      <c r="CW321">
        <v>-2.3284625000000001</v>
      </c>
      <c r="CX321">
        <v>-1.4445250000000001</v>
      </c>
      <c r="CY321" t="s">
        <v>302</v>
      </c>
      <c r="CZ321">
        <v>28</v>
      </c>
      <c r="DA321">
        <v>-7.9032000000000027</v>
      </c>
      <c r="DB321">
        <v>20</v>
      </c>
      <c r="DC321">
        <v>21</v>
      </c>
      <c r="DD321">
        <v>26</v>
      </c>
      <c r="DE321">
        <v>-3.4519999999999995</v>
      </c>
      <c r="DF321">
        <v>16</v>
      </c>
      <c r="DG321">
        <v>14.760000000000002</v>
      </c>
      <c r="DH321">
        <v>-0.39999999999999991</v>
      </c>
      <c r="DI321">
        <v>19</v>
      </c>
      <c r="DJ321">
        <v>17</v>
      </c>
      <c r="DK321">
        <v>15</v>
      </c>
      <c r="DL321">
        <v>-1.968</v>
      </c>
      <c r="DM321">
        <v>19</v>
      </c>
      <c r="DN321">
        <v>-6.6</v>
      </c>
      <c r="DO321">
        <v>-0.4</v>
      </c>
      <c r="DP321">
        <v>31</v>
      </c>
      <c r="DQ321">
        <v>29</v>
      </c>
      <c r="DR321">
        <v>30</v>
      </c>
      <c r="DS321">
        <v>-1.7506666666666668</v>
      </c>
      <c r="DT321">
        <v>28</v>
      </c>
      <c r="DU321">
        <v>-8.6666666666666661</v>
      </c>
      <c r="DV321">
        <v>-0.51999999999999991</v>
      </c>
      <c r="DW321">
        <v>24</v>
      </c>
      <c r="DX321">
        <v>25</v>
      </c>
      <c r="DY321">
        <v>26</v>
      </c>
      <c r="DZ321">
        <v>-3.8186666666666667</v>
      </c>
      <c r="EA321">
        <v>24</v>
      </c>
      <c r="EB321">
        <v>-6.7066666666666679</v>
      </c>
      <c r="EC321">
        <v>0.94666666666666688</v>
      </c>
      <c r="ED321">
        <v>23</v>
      </c>
      <c r="EE321">
        <v>21</v>
      </c>
      <c r="EF321">
        <v>25</v>
      </c>
      <c r="EG321">
        <v>-1.7546666666666666</v>
      </c>
      <c r="EH321">
        <v>17</v>
      </c>
      <c r="EI321">
        <v>-5.2799999999999994</v>
      </c>
      <c r="EJ321">
        <v>9.3333333333333268E-2</v>
      </c>
      <c r="EK321">
        <v>22</v>
      </c>
      <c r="EL321">
        <v>23</v>
      </c>
      <c r="EM321">
        <v>24</v>
      </c>
      <c r="EN321">
        <v>-3.2760000000000007</v>
      </c>
      <c r="EO321">
        <v>22</v>
      </c>
      <c r="EP321">
        <v>-9.16</v>
      </c>
      <c r="EQ321">
        <v>1.0400000000000003</v>
      </c>
      <c r="ER321">
        <v>20</v>
      </c>
      <c r="ES321">
        <v>20</v>
      </c>
      <c r="ET321">
        <v>18</v>
      </c>
      <c r="EU321">
        <v>-2.6920000000000002</v>
      </c>
      <c r="EV321">
        <v>22</v>
      </c>
      <c r="EW321">
        <v>-15.959999999999999</v>
      </c>
      <c r="EX321">
        <v>-0.55999999999999994</v>
      </c>
      <c r="EY321">
        <v>24</v>
      </c>
      <c r="EZ321">
        <v>23</v>
      </c>
      <c r="FA321">
        <v>24</v>
      </c>
      <c r="FB321">
        <v>-2.36</v>
      </c>
      <c r="FC321">
        <v>22</v>
      </c>
      <c r="FD321">
        <v>-0.84000000000000008</v>
      </c>
      <c r="FE321">
        <v>-1.32</v>
      </c>
      <c r="FF321">
        <v>5</v>
      </c>
      <c r="FG321">
        <v>9.75</v>
      </c>
      <c r="FH321">
        <v>1</v>
      </c>
      <c r="FI321">
        <v>9.3555593840792109E-2</v>
      </c>
      <c r="FJ321">
        <v>12</v>
      </c>
      <c r="FK321">
        <v>-9.9404251500156976E-5</v>
      </c>
      <c r="FL321">
        <v>23</v>
      </c>
      <c r="FM321">
        <v>-11.915999999999995</v>
      </c>
      <c r="FN321">
        <v>3</v>
      </c>
      <c r="FO321">
        <v>8.2799999999999994</v>
      </c>
      <c r="FP321">
        <v>-1.4800000000000004</v>
      </c>
      <c r="FQ321">
        <v>-2.56</v>
      </c>
      <c r="FR321">
        <v>-0.31999999999999984</v>
      </c>
      <c r="FS321">
        <v>-5.0400000000000009</v>
      </c>
      <c r="FT321">
        <v>-8.879999999999999</v>
      </c>
      <c r="FU321">
        <v>0.48000000000000009</v>
      </c>
      <c r="FV321">
        <v>-70.16</v>
      </c>
      <c r="FW321">
        <v>-60.480000000000004</v>
      </c>
      <c r="FX321">
        <v>3.919999999999999</v>
      </c>
      <c r="FY321">
        <v>-1.48</v>
      </c>
      <c r="FZ321">
        <v>-12.12</v>
      </c>
      <c r="GA321">
        <v>24</v>
      </c>
      <c r="GB321">
        <v>-2.4832000000000036</v>
      </c>
      <c r="GC321">
        <v>-0.87384000000000084</v>
      </c>
      <c r="GD321">
        <v>-64.400000000000006</v>
      </c>
      <c r="GE321">
        <v>2.4832000000000027</v>
      </c>
      <c r="GF321">
        <v>-3.2124000000000001</v>
      </c>
      <c r="GG321">
        <v>-7.3239999999999998</v>
      </c>
      <c r="GH321">
        <v>-20.653333333333336</v>
      </c>
      <c r="GI321">
        <v>-5.42</v>
      </c>
      <c r="GJ321">
        <v>8.1600000000000019</v>
      </c>
      <c r="GK321">
        <v>-3.9999999999999702E-2</v>
      </c>
      <c r="GL321">
        <v>-0.79999999999999993</v>
      </c>
    </row>
    <row r="322" spans="1:194" x14ac:dyDescent="0.2">
      <c r="A322" s="39">
        <v>43786</v>
      </c>
      <c r="B322" s="22" t="s">
        <v>259</v>
      </c>
      <c r="C322" s="41" t="s">
        <v>309</v>
      </c>
      <c r="D322" s="22" t="s">
        <v>281</v>
      </c>
      <c r="F322">
        <v>7.9</v>
      </c>
      <c r="G322">
        <v>4.4000000000000004</v>
      </c>
      <c r="H322">
        <v>8</v>
      </c>
      <c r="I322">
        <v>3</v>
      </c>
      <c r="J322">
        <v>41.5</v>
      </c>
      <c r="L322" s="1" t="s">
        <v>309</v>
      </c>
      <c r="M322">
        <v>27</v>
      </c>
      <c r="N322">
        <v>-4.0048000000000004</v>
      </c>
      <c r="O322">
        <v>12</v>
      </c>
      <c r="P322">
        <v>14.5</v>
      </c>
      <c r="Q322">
        <v>9</v>
      </c>
      <c r="R322">
        <v>6.5920000000000005</v>
      </c>
      <c r="S322">
        <v>20</v>
      </c>
      <c r="T322">
        <v>-7.0400000000000009</v>
      </c>
      <c r="U322">
        <v>3.4799999999999995</v>
      </c>
      <c r="V322">
        <v>9</v>
      </c>
      <c r="W322">
        <v>10.5</v>
      </c>
      <c r="X322">
        <v>11</v>
      </c>
      <c r="Y322">
        <v>-0.89200000000000057</v>
      </c>
      <c r="Z322">
        <v>10</v>
      </c>
      <c r="AA322">
        <v>10.68</v>
      </c>
      <c r="AB322">
        <v>-0.6</v>
      </c>
      <c r="AC322">
        <v>13</v>
      </c>
      <c r="AD322">
        <v>14.5</v>
      </c>
      <c r="AE322">
        <v>19</v>
      </c>
      <c r="AF322">
        <v>-3.9350000000000005</v>
      </c>
      <c r="AG322">
        <v>10</v>
      </c>
      <c r="AH322">
        <v>-7.1</v>
      </c>
      <c r="AI322">
        <v>-1.9</v>
      </c>
      <c r="AJ322">
        <v>17</v>
      </c>
      <c r="AK322">
        <v>17.5</v>
      </c>
      <c r="AL322">
        <v>19</v>
      </c>
      <c r="AM322">
        <v>2.1439999999999997</v>
      </c>
      <c r="AN322">
        <v>16</v>
      </c>
      <c r="AO322">
        <v>10.959999999999999</v>
      </c>
      <c r="AP322">
        <v>-0.88000000000000012</v>
      </c>
      <c r="AQ322">
        <v>18</v>
      </c>
      <c r="AR322">
        <v>17.5</v>
      </c>
      <c r="AS322">
        <v>20</v>
      </c>
      <c r="AT322">
        <v>-1.6159999999999997</v>
      </c>
      <c r="AU322">
        <v>15</v>
      </c>
      <c r="AV322">
        <v>-2.3200000000000003</v>
      </c>
      <c r="AW322">
        <v>-7.9999999999999891E-2</v>
      </c>
      <c r="AX322">
        <v>31</v>
      </c>
      <c r="AY322">
        <v>31.5</v>
      </c>
      <c r="AZ322">
        <v>32</v>
      </c>
      <c r="BA322">
        <v>-7.3200000000000021</v>
      </c>
      <c r="BB322">
        <v>31</v>
      </c>
      <c r="BC322">
        <v>-32.799999999999997</v>
      </c>
      <c r="BD322">
        <v>-3.88</v>
      </c>
      <c r="BE322">
        <v>28</v>
      </c>
      <c r="BF322">
        <v>27.5</v>
      </c>
      <c r="BG322">
        <v>24</v>
      </c>
      <c r="BH322">
        <v>-1.968</v>
      </c>
      <c r="BI322">
        <v>31</v>
      </c>
      <c r="BJ322">
        <v>-17.2</v>
      </c>
      <c r="BK322">
        <v>0.4</v>
      </c>
      <c r="BL322">
        <v>3</v>
      </c>
      <c r="BM322">
        <v>5.5</v>
      </c>
      <c r="BN322">
        <v>5</v>
      </c>
      <c r="BO322">
        <v>0.67999999999999994</v>
      </c>
      <c r="BP322">
        <v>6</v>
      </c>
      <c r="BQ322">
        <v>-0.16</v>
      </c>
      <c r="BR322">
        <v>6.04</v>
      </c>
      <c r="BS322">
        <v>12</v>
      </c>
      <c r="BT322">
        <v>13.25</v>
      </c>
      <c r="BU322">
        <v>9</v>
      </c>
      <c r="BV322">
        <v>9.6360620797413914E-3</v>
      </c>
      <c r="BW322">
        <v>20</v>
      </c>
      <c r="BX322">
        <v>-1.7173311716397001E-2</v>
      </c>
      <c r="BY322">
        <v>19</v>
      </c>
      <c r="BZ322">
        <v>0.76399999999999868</v>
      </c>
      <c r="CA322">
        <v>5</v>
      </c>
      <c r="CB322">
        <v>2.3199999999999998</v>
      </c>
      <c r="CC322">
        <v>-0.12000000000000029</v>
      </c>
      <c r="CD322">
        <v>-1.5999999999999996</v>
      </c>
      <c r="CE322">
        <v>2.36</v>
      </c>
      <c r="CF322">
        <v>-30.04</v>
      </c>
      <c r="CG322">
        <v>-26.919999999999998</v>
      </c>
      <c r="CH322">
        <v>3.9599999999999995</v>
      </c>
      <c r="CI322">
        <v>-0.84000000000000008</v>
      </c>
      <c r="CJ322">
        <v>-6.24</v>
      </c>
      <c r="CK322">
        <v>31</v>
      </c>
      <c r="CL322">
        <v>-9.7048000000000005</v>
      </c>
      <c r="CM322">
        <v>-4.7259600000000006</v>
      </c>
      <c r="CN322">
        <v>-30.88</v>
      </c>
      <c r="CO322">
        <v>9.7048000000000005</v>
      </c>
      <c r="CP322">
        <v>-0.37497500000000006</v>
      </c>
      <c r="CQ322">
        <v>-3.4070000000000005</v>
      </c>
      <c r="CR322">
        <v>1.5399999999999991</v>
      </c>
      <c r="CS322">
        <v>5.7</v>
      </c>
      <c r="CT322">
        <v>3.6399999999999988</v>
      </c>
      <c r="CU322">
        <v>-2.4600000000000004</v>
      </c>
      <c r="CV322">
        <v>2.8799999999999994</v>
      </c>
      <c r="CW322">
        <v>-0.79776250000000004</v>
      </c>
      <c r="CX322">
        <v>-1.07605</v>
      </c>
      <c r="CY322" t="s">
        <v>281</v>
      </c>
      <c r="CZ322">
        <v>11</v>
      </c>
      <c r="DA322">
        <v>2.7591999999999999</v>
      </c>
      <c r="DB322">
        <v>19</v>
      </c>
      <c r="DC322">
        <v>20</v>
      </c>
      <c r="DD322">
        <v>20</v>
      </c>
      <c r="DE322">
        <v>1.0439999999999992</v>
      </c>
      <c r="DF322">
        <v>20</v>
      </c>
      <c r="DG322">
        <v>10.88</v>
      </c>
      <c r="DH322">
        <v>-0.24000000000000005</v>
      </c>
      <c r="DI322">
        <v>25</v>
      </c>
      <c r="DJ322">
        <v>22.5</v>
      </c>
      <c r="DK322">
        <v>19</v>
      </c>
      <c r="DL322">
        <v>-1.7679999999999993</v>
      </c>
      <c r="DM322">
        <v>26</v>
      </c>
      <c r="DN322">
        <v>-14.439999999999998</v>
      </c>
      <c r="DO322">
        <v>0.32</v>
      </c>
      <c r="DP322">
        <v>10</v>
      </c>
      <c r="DQ322">
        <v>12</v>
      </c>
      <c r="DR322">
        <v>13</v>
      </c>
      <c r="DS322">
        <v>-0.54099999999999993</v>
      </c>
      <c r="DT322">
        <v>11</v>
      </c>
      <c r="DU322">
        <v>-9.75</v>
      </c>
      <c r="DV322">
        <v>-0.44999999999999996</v>
      </c>
      <c r="DW322">
        <v>21</v>
      </c>
      <c r="DX322">
        <v>22</v>
      </c>
      <c r="DY322">
        <v>21</v>
      </c>
      <c r="DZ322">
        <v>-3.6179999999999994</v>
      </c>
      <c r="EA322">
        <v>23</v>
      </c>
      <c r="EB322">
        <v>-0.53999999999999915</v>
      </c>
      <c r="EC322">
        <v>-0.8</v>
      </c>
      <c r="ED322">
        <v>21</v>
      </c>
      <c r="EE322">
        <v>19.5</v>
      </c>
      <c r="EF322">
        <v>19</v>
      </c>
      <c r="EG322">
        <v>0.94799999999999951</v>
      </c>
      <c r="EH322">
        <v>20</v>
      </c>
      <c r="EI322">
        <v>-4.3600000000000003</v>
      </c>
      <c r="EJ322">
        <v>3.9999999999999994E-2</v>
      </c>
      <c r="EK322">
        <v>10</v>
      </c>
      <c r="EL322">
        <v>11.5</v>
      </c>
      <c r="EM322">
        <v>12</v>
      </c>
      <c r="EN322">
        <v>-0.87599999999999978</v>
      </c>
      <c r="EO322">
        <v>11</v>
      </c>
      <c r="EP322">
        <v>-1.7999999999999978</v>
      </c>
      <c r="EQ322">
        <v>-6.3600000000000012</v>
      </c>
      <c r="ER322">
        <v>4</v>
      </c>
      <c r="ES322">
        <v>4</v>
      </c>
      <c r="ET322">
        <v>5</v>
      </c>
      <c r="EU322">
        <v>-6.0000000000001205E-2</v>
      </c>
      <c r="EV322">
        <v>3</v>
      </c>
      <c r="EW322">
        <v>12.199999999999998</v>
      </c>
      <c r="EX322">
        <v>-1.8800000000000001</v>
      </c>
      <c r="EY322">
        <v>29</v>
      </c>
      <c r="EZ322">
        <v>27</v>
      </c>
      <c r="FA322">
        <v>30</v>
      </c>
      <c r="FB322">
        <v>-2.92</v>
      </c>
      <c r="FC322">
        <v>24</v>
      </c>
      <c r="FD322">
        <v>-0.28000000000000008</v>
      </c>
      <c r="FE322">
        <v>-3.4800000000000004</v>
      </c>
      <c r="FF322">
        <v>9</v>
      </c>
      <c r="FG322">
        <v>12.5</v>
      </c>
      <c r="FH322">
        <v>8</v>
      </c>
      <c r="FI322">
        <v>8.1164569191846794E-2</v>
      </c>
      <c r="FJ322">
        <v>16</v>
      </c>
      <c r="FK322">
        <v>1.3174747035974663E-2</v>
      </c>
      <c r="FL322">
        <v>7</v>
      </c>
      <c r="FM322">
        <v>5.3360000000000012</v>
      </c>
      <c r="FN322">
        <v>19</v>
      </c>
      <c r="FO322">
        <v>-1.2000000000000002</v>
      </c>
      <c r="FP322">
        <v>0.15999999999999873</v>
      </c>
      <c r="FQ322">
        <v>-4.16</v>
      </c>
      <c r="FR322">
        <v>0.84000000000000019</v>
      </c>
      <c r="FS322">
        <v>-2.1999999999999984</v>
      </c>
      <c r="FT322">
        <v>-1.3199999999999996</v>
      </c>
      <c r="FU322">
        <v>-0.59999999999999987</v>
      </c>
      <c r="FV322">
        <v>10.760000000000002</v>
      </c>
      <c r="FW322">
        <v>16.47999999999999</v>
      </c>
      <c r="FX322">
        <v>-7.400000000000003</v>
      </c>
      <c r="FY322">
        <v>-0.6</v>
      </c>
      <c r="FZ322">
        <v>2.2800000000000002</v>
      </c>
      <c r="GA322">
        <v>6</v>
      </c>
      <c r="GB322">
        <v>3.4832000000000001</v>
      </c>
      <c r="GC322">
        <v>0.25963999999999987</v>
      </c>
      <c r="GD322">
        <v>23.879999999999992</v>
      </c>
      <c r="GE322">
        <v>-3.4832000000000001</v>
      </c>
      <c r="GF322">
        <v>-0.51947500000000013</v>
      </c>
      <c r="GG322">
        <v>-3.2109999999999994</v>
      </c>
      <c r="GH322">
        <v>-14.649999999999999</v>
      </c>
      <c r="GI322">
        <v>-0.7240000000000002</v>
      </c>
      <c r="GJ322">
        <v>-3.5599999999999969</v>
      </c>
      <c r="GK322">
        <v>-3.09</v>
      </c>
      <c r="GL322">
        <v>7.999999999999996E-2</v>
      </c>
    </row>
    <row r="323" spans="1:194" x14ac:dyDescent="0.2">
      <c r="A323" s="39">
        <v>43786</v>
      </c>
      <c r="B323" s="22" t="s">
        <v>259</v>
      </c>
      <c r="C323" s="40" t="s">
        <v>256</v>
      </c>
      <c r="D323" s="22" t="s">
        <v>285</v>
      </c>
      <c r="E323">
        <v>24.4</v>
      </c>
      <c r="F323">
        <v>13.1</v>
      </c>
      <c r="G323">
        <v>6.7</v>
      </c>
      <c r="H323">
        <v>17.399999999999999</v>
      </c>
      <c r="I323">
        <v>-10</v>
      </c>
      <c r="J323">
        <v>44</v>
      </c>
      <c r="L323" s="1" t="s">
        <v>256</v>
      </c>
      <c r="M323">
        <v>23</v>
      </c>
      <c r="N323">
        <v>-2.1072000000000024</v>
      </c>
      <c r="O323">
        <v>26</v>
      </c>
      <c r="P323">
        <v>24.5</v>
      </c>
      <c r="Q323">
        <v>25</v>
      </c>
      <c r="R323">
        <v>-4.0920000000000005</v>
      </c>
      <c r="S323">
        <v>24</v>
      </c>
      <c r="T323">
        <v>-15.559999999999999</v>
      </c>
      <c r="U323">
        <v>-1.36</v>
      </c>
      <c r="V323">
        <v>5</v>
      </c>
      <c r="W323">
        <v>8</v>
      </c>
      <c r="X323">
        <v>9</v>
      </c>
      <c r="Y323">
        <v>1.0319999999999994</v>
      </c>
      <c r="Z323">
        <v>7</v>
      </c>
      <c r="AA323">
        <v>9.44</v>
      </c>
      <c r="AB323">
        <v>0.35999999999999988</v>
      </c>
      <c r="AC323">
        <v>23</v>
      </c>
      <c r="AD323">
        <v>22</v>
      </c>
      <c r="AE323">
        <v>24</v>
      </c>
      <c r="AF323">
        <v>0.35199999999999959</v>
      </c>
      <c r="AG323">
        <v>20</v>
      </c>
      <c r="AH323">
        <v>-0.95999999999999663</v>
      </c>
      <c r="AI323">
        <v>-0.72</v>
      </c>
      <c r="AJ323">
        <v>27</v>
      </c>
      <c r="AK323">
        <v>27</v>
      </c>
      <c r="AL323">
        <v>25</v>
      </c>
      <c r="AM323">
        <v>-2.1279999999999997</v>
      </c>
      <c r="AN323">
        <v>29</v>
      </c>
      <c r="AO323">
        <v>-19.600000000000001</v>
      </c>
      <c r="AP323">
        <v>-0.48</v>
      </c>
      <c r="AQ323">
        <v>13</v>
      </c>
      <c r="AR323">
        <v>14.5</v>
      </c>
      <c r="AS323">
        <v>16</v>
      </c>
      <c r="AT323">
        <v>-1.6600000000000001</v>
      </c>
      <c r="AU323">
        <v>13</v>
      </c>
      <c r="AV323">
        <v>-6.2000000000000011</v>
      </c>
      <c r="AW323">
        <v>-1.7200000000000002</v>
      </c>
      <c r="AX323">
        <v>19</v>
      </c>
      <c r="AY323">
        <v>19.5</v>
      </c>
      <c r="AZ323">
        <v>20</v>
      </c>
      <c r="BA323">
        <v>2.6880000000000006</v>
      </c>
      <c r="BB323">
        <v>19</v>
      </c>
      <c r="BC323">
        <v>8.879999999999999</v>
      </c>
      <c r="BD323">
        <v>-0.28000000000000025</v>
      </c>
      <c r="BE323">
        <v>17</v>
      </c>
      <c r="BF323">
        <v>17.5</v>
      </c>
      <c r="BG323">
        <v>16</v>
      </c>
      <c r="BH323">
        <v>0.56400000000000006</v>
      </c>
      <c r="BI323">
        <v>19</v>
      </c>
      <c r="BJ323">
        <v>-7.1599999999999993</v>
      </c>
      <c r="BK323">
        <v>1</v>
      </c>
      <c r="BL323">
        <v>17</v>
      </c>
      <c r="BM323">
        <v>16</v>
      </c>
      <c r="BN323">
        <v>15</v>
      </c>
      <c r="BO323">
        <v>0.6</v>
      </c>
      <c r="BP323">
        <v>17</v>
      </c>
      <c r="BQ323">
        <v>4.0000000000000036E-2</v>
      </c>
      <c r="BR323">
        <v>5.4399999999999995</v>
      </c>
      <c r="BS323">
        <v>21</v>
      </c>
      <c r="BT323">
        <v>17.75</v>
      </c>
      <c r="BU323">
        <v>19</v>
      </c>
      <c r="BV323">
        <v>8.1494987618955465E-3</v>
      </c>
      <c r="BW323">
        <v>3</v>
      </c>
      <c r="BX323">
        <v>4.4570213667647378E-3</v>
      </c>
      <c r="BY323">
        <v>29</v>
      </c>
      <c r="BZ323">
        <v>6.5080000000000009</v>
      </c>
      <c r="CA323">
        <v>20</v>
      </c>
      <c r="CB323">
        <v>0.6</v>
      </c>
      <c r="CC323">
        <v>1.5200000000000018</v>
      </c>
      <c r="CD323">
        <v>1.1199999999999997</v>
      </c>
      <c r="CE323">
        <v>1.1199999999999997</v>
      </c>
      <c r="CF323">
        <v>-21.399999999999988</v>
      </c>
      <c r="CG323">
        <v>-24.080000000000005</v>
      </c>
      <c r="CH323">
        <v>8.0799999999999983</v>
      </c>
      <c r="CI323">
        <v>5.12</v>
      </c>
      <c r="CJ323">
        <v>-10.520000000000001</v>
      </c>
      <c r="CK323">
        <v>14</v>
      </c>
      <c r="CL323">
        <v>0.95279999999999876</v>
      </c>
      <c r="CM323">
        <v>0.53416000000000019</v>
      </c>
      <c r="CN323">
        <v>-32.160000000000004</v>
      </c>
      <c r="CO323">
        <v>-0.95279999999999898</v>
      </c>
      <c r="CP323">
        <v>-0.92990000000000061</v>
      </c>
      <c r="CQ323">
        <v>-3.4359999999999999</v>
      </c>
      <c r="CR323">
        <v>-26.759999999999998</v>
      </c>
      <c r="CS323">
        <v>-3.0600000000000014</v>
      </c>
      <c r="CT323">
        <v>-6.1199999999999992</v>
      </c>
      <c r="CU323">
        <v>-1.92</v>
      </c>
      <c r="CV323">
        <v>-1.0000000000000002</v>
      </c>
      <c r="CW323">
        <v>-0.33264999999999978</v>
      </c>
      <c r="CX323">
        <v>-2.6502999999999997</v>
      </c>
      <c r="CY323" t="s">
        <v>285</v>
      </c>
      <c r="CZ323">
        <v>1</v>
      </c>
      <c r="DA323">
        <v>6.3800000000000008</v>
      </c>
      <c r="DB323">
        <v>16</v>
      </c>
      <c r="DC323">
        <v>16.5</v>
      </c>
      <c r="DD323">
        <v>12</v>
      </c>
      <c r="DE323">
        <v>4.1720000000000006</v>
      </c>
      <c r="DF323">
        <v>21</v>
      </c>
      <c r="DG323">
        <v>15.440000000000001</v>
      </c>
      <c r="DH323">
        <v>1.4</v>
      </c>
      <c r="DI323">
        <v>11</v>
      </c>
      <c r="DJ323">
        <v>14</v>
      </c>
      <c r="DK323">
        <v>23</v>
      </c>
      <c r="DL323">
        <v>-2.4</v>
      </c>
      <c r="DM323">
        <v>5</v>
      </c>
      <c r="DN323">
        <v>6.5199999999999987</v>
      </c>
      <c r="DO323">
        <v>-1.04</v>
      </c>
      <c r="DP323">
        <v>8</v>
      </c>
      <c r="DQ323">
        <v>7</v>
      </c>
      <c r="DR323">
        <v>7</v>
      </c>
      <c r="DS323">
        <v>9.9999999999999645E-2</v>
      </c>
      <c r="DT323">
        <v>7</v>
      </c>
      <c r="DU323">
        <v>-7.4799999999999986</v>
      </c>
      <c r="DV323">
        <v>7.9999999999999544E-2</v>
      </c>
      <c r="DW323">
        <v>1</v>
      </c>
      <c r="DX323">
        <v>1.5</v>
      </c>
      <c r="DY323">
        <v>2</v>
      </c>
      <c r="DZ323">
        <v>2.6839999999999984</v>
      </c>
      <c r="EA323">
        <v>1</v>
      </c>
      <c r="EB323">
        <v>9.9600000000000026</v>
      </c>
      <c r="EC323">
        <v>-0.32000000000000012</v>
      </c>
      <c r="ED323">
        <v>4</v>
      </c>
      <c r="EE323">
        <v>5.5</v>
      </c>
      <c r="EF323">
        <v>4</v>
      </c>
      <c r="EG323">
        <v>2.2200000000000002</v>
      </c>
      <c r="EH323">
        <v>7</v>
      </c>
      <c r="EI323">
        <v>11.4</v>
      </c>
      <c r="EJ323">
        <v>-0.91999999999999993</v>
      </c>
      <c r="EK323">
        <v>1</v>
      </c>
      <c r="EL323">
        <v>1.5</v>
      </c>
      <c r="EM323">
        <v>2</v>
      </c>
      <c r="EN323">
        <v>0.49600000000000044</v>
      </c>
      <c r="EO323">
        <v>1</v>
      </c>
      <c r="EP323">
        <v>7.7600000000000025</v>
      </c>
      <c r="EQ323">
        <v>0.16000000000000014</v>
      </c>
      <c r="ER323">
        <v>5</v>
      </c>
      <c r="ES323">
        <v>6</v>
      </c>
      <c r="ET323">
        <v>4</v>
      </c>
      <c r="EU323">
        <v>3.8039999999999994</v>
      </c>
      <c r="EV323">
        <v>8</v>
      </c>
      <c r="EW323">
        <v>20.520000000000003</v>
      </c>
      <c r="EX323">
        <v>0.76</v>
      </c>
      <c r="EY323">
        <v>19</v>
      </c>
      <c r="EZ323">
        <v>20.5</v>
      </c>
      <c r="FA323">
        <v>19</v>
      </c>
      <c r="FB323">
        <v>-1.0799999999999996</v>
      </c>
      <c r="FC323">
        <v>22</v>
      </c>
      <c r="FD323">
        <v>-0.8</v>
      </c>
      <c r="FE323">
        <v>-2.04</v>
      </c>
      <c r="FF323">
        <v>26</v>
      </c>
      <c r="FG323">
        <v>22</v>
      </c>
      <c r="FH323">
        <v>5</v>
      </c>
      <c r="FI323">
        <v>-2.3472970240729484E-2</v>
      </c>
      <c r="FJ323">
        <v>31</v>
      </c>
      <c r="FK323">
        <v>-1.2049216420421347E-2</v>
      </c>
      <c r="FL323">
        <v>20</v>
      </c>
      <c r="FM323">
        <v>8.2040000000000024</v>
      </c>
      <c r="FN323">
        <v>32</v>
      </c>
      <c r="FO323">
        <v>-5.24</v>
      </c>
      <c r="FP323">
        <v>-0.36000000000000087</v>
      </c>
      <c r="FQ323">
        <v>1.320000000000001</v>
      </c>
      <c r="FR323">
        <v>-0.24</v>
      </c>
      <c r="FS323">
        <v>8.000000000000114E-2</v>
      </c>
      <c r="FT323">
        <v>3.12</v>
      </c>
      <c r="FU323">
        <v>-0.35999999999999988</v>
      </c>
      <c r="FV323">
        <v>41.4</v>
      </c>
      <c r="FW323">
        <v>30.4</v>
      </c>
      <c r="FX323">
        <v>14.239999999999998</v>
      </c>
      <c r="FY323">
        <v>-4.92</v>
      </c>
      <c r="FZ323">
        <v>1.6800000000000002</v>
      </c>
      <c r="GA323">
        <v>5</v>
      </c>
      <c r="GB323">
        <v>4.6080000000000005</v>
      </c>
      <c r="GC323">
        <v>2.1515999999999993</v>
      </c>
      <c r="GD323">
        <v>16.16</v>
      </c>
      <c r="GE323">
        <v>-4.6080000000000005</v>
      </c>
      <c r="GF323">
        <v>1.9850000000000001</v>
      </c>
      <c r="GG323">
        <v>5.0039999999999978</v>
      </c>
      <c r="GH323">
        <v>13.880000000000004</v>
      </c>
      <c r="GI323">
        <v>1.7720000000000007</v>
      </c>
      <c r="GJ323">
        <v>21.96</v>
      </c>
      <c r="GK323">
        <v>-0.40000000000000058</v>
      </c>
      <c r="GL323">
        <v>0.35999999999999988</v>
      </c>
    </row>
    <row r="324" spans="1:194" x14ac:dyDescent="0.2">
      <c r="A324" s="39">
        <v>43786</v>
      </c>
      <c r="B324" s="22" t="s">
        <v>259</v>
      </c>
      <c r="C324" s="41" t="s">
        <v>284</v>
      </c>
      <c r="D324" s="22" t="s">
        <v>307</v>
      </c>
      <c r="E324">
        <v>10.9</v>
      </c>
      <c r="F324">
        <v>13.7</v>
      </c>
      <c r="G324">
        <v>11.1</v>
      </c>
      <c r="H324">
        <v>17.3</v>
      </c>
      <c r="I324">
        <v>5</v>
      </c>
      <c r="J324">
        <v>50.5</v>
      </c>
      <c r="K324" t="s">
        <v>109</v>
      </c>
      <c r="L324" s="1" t="s">
        <v>284</v>
      </c>
      <c r="M324">
        <v>8</v>
      </c>
      <c r="N324">
        <v>2.5047999999999999</v>
      </c>
      <c r="O324">
        <v>24</v>
      </c>
      <c r="P324">
        <v>22.5</v>
      </c>
      <c r="Q324">
        <v>20</v>
      </c>
      <c r="R324">
        <v>-5.3109999999999999</v>
      </c>
      <c r="S324">
        <v>25</v>
      </c>
      <c r="T324">
        <v>-17.850000000000001</v>
      </c>
      <c r="U324">
        <v>-0.32000000000000012</v>
      </c>
      <c r="V324">
        <v>20</v>
      </c>
      <c r="W324">
        <v>18.5</v>
      </c>
      <c r="X324">
        <v>12</v>
      </c>
      <c r="Y324">
        <v>1.7039999999999993</v>
      </c>
      <c r="Z324">
        <v>25</v>
      </c>
      <c r="AA324">
        <v>-14.48</v>
      </c>
      <c r="AB324">
        <v>-8.8817841970012528E-17</v>
      </c>
      <c r="AC324">
        <v>24</v>
      </c>
      <c r="AD324">
        <v>22.5</v>
      </c>
      <c r="AE324">
        <v>26</v>
      </c>
      <c r="AF324">
        <v>7.104000000000001</v>
      </c>
      <c r="AG324">
        <v>19</v>
      </c>
      <c r="AH324">
        <v>36.24</v>
      </c>
      <c r="AI324">
        <v>0.6</v>
      </c>
      <c r="AJ324">
        <v>2</v>
      </c>
      <c r="AK324">
        <v>3</v>
      </c>
      <c r="AL324">
        <v>3</v>
      </c>
      <c r="AM324">
        <v>2.9000000000000004</v>
      </c>
      <c r="AN324">
        <v>3</v>
      </c>
      <c r="AO324">
        <v>18.759999999999998</v>
      </c>
      <c r="AP324">
        <v>3.12</v>
      </c>
      <c r="AQ324">
        <v>4</v>
      </c>
      <c r="AR324">
        <v>4.5</v>
      </c>
      <c r="AS324">
        <v>5</v>
      </c>
      <c r="AT324">
        <v>2.0439999999999996</v>
      </c>
      <c r="AU324">
        <v>4</v>
      </c>
      <c r="AV324">
        <v>10.319999999999999</v>
      </c>
      <c r="AW324">
        <v>1.8</v>
      </c>
      <c r="AX324">
        <v>6</v>
      </c>
      <c r="AY324">
        <v>5.5</v>
      </c>
      <c r="AZ324">
        <v>6</v>
      </c>
      <c r="BA324">
        <v>6.4159999999999995</v>
      </c>
      <c r="BB324">
        <v>5</v>
      </c>
      <c r="BC324">
        <v>34.96</v>
      </c>
      <c r="BD324">
        <v>2.1599999999999997</v>
      </c>
      <c r="BE324">
        <v>20</v>
      </c>
      <c r="BF324">
        <v>22</v>
      </c>
      <c r="BG324">
        <v>22</v>
      </c>
      <c r="BH324">
        <v>-0.34800000000000003</v>
      </c>
      <c r="BI324">
        <v>22</v>
      </c>
      <c r="BJ324">
        <v>-5.4800000000000013</v>
      </c>
      <c r="BK324">
        <v>1.08</v>
      </c>
      <c r="BL324">
        <v>18</v>
      </c>
      <c r="BM324">
        <v>17.5</v>
      </c>
      <c r="BN324">
        <v>16</v>
      </c>
      <c r="BO324">
        <v>0.72</v>
      </c>
      <c r="BP324">
        <v>19</v>
      </c>
      <c r="BQ324">
        <v>-7.9999999999999988E-2</v>
      </c>
      <c r="BR324">
        <v>-5.68</v>
      </c>
      <c r="BS324">
        <v>14</v>
      </c>
      <c r="BT324">
        <v>14</v>
      </c>
      <c r="BU324">
        <v>29</v>
      </c>
      <c r="BV324">
        <v>1.5787203177761056E-3</v>
      </c>
      <c r="BW324">
        <v>22</v>
      </c>
      <c r="BX324">
        <v>6.296781806849153E-3</v>
      </c>
      <c r="BY324">
        <v>1</v>
      </c>
      <c r="BZ324">
        <v>-17.288000000000004</v>
      </c>
      <c r="CA324">
        <v>4</v>
      </c>
      <c r="CB324">
        <v>4.72</v>
      </c>
      <c r="CC324">
        <v>7.12</v>
      </c>
      <c r="CD324">
        <v>3.04</v>
      </c>
      <c r="CE324">
        <v>-1.6800000000000002</v>
      </c>
      <c r="CF324">
        <v>35.840000000000011</v>
      </c>
      <c r="CG324">
        <v>57.719999999999992</v>
      </c>
      <c r="CH324">
        <v>-29.920000000000005</v>
      </c>
      <c r="CI324">
        <v>-1.7600000000000002</v>
      </c>
      <c r="CJ324">
        <v>9.8000000000000007</v>
      </c>
      <c r="CK324">
        <v>4</v>
      </c>
      <c r="CL324">
        <v>6.1118000000000006</v>
      </c>
      <c r="CM324">
        <v>4.6444600000000005</v>
      </c>
      <c r="CN324">
        <v>87.64</v>
      </c>
      <c r="CO324">
        <v>-6.1118000000000006</v>
      </c>
      <c r="CP324">
        <v>1.4147250000000002</v>
      </c>
      <c r="CQ324">
        <v>12.048000000000002</v>
      </c>
      <c r="CR324">
        <v>65.319999999999993</v>
      </c>
      <c r="CS324">
        <v>-3.6070000000000007</v>
      </c>
      <c r="CT324">
        <v>-32.33</v>
      </c>
      <c r="CU324">
        <v>6.6000000000000005</v>
      </c>
      <c r="CV324">
        <v>-0.32000000000000023</v>
      </c>
      <c r="CW324">
        <v>0.24851249999999991</v>
      </c>
      <c r="CX324">
        <v>2.4545500000000002</v>
      </c>
      <c r="CY324" t="s">
        <v>307</v>
      </c>
      <c r="CZ324">
        <v>18</v>
      </c>
      <c r="DA324">
        <v>-4.4392000000000005</v>
      </c>
      <c r="DB324">
        <v>29</v>
      </c>
      <c r="DC324">
        <v>27.5</v>
      </c>
      <c r="DD324">
        <v>26</v>
      </c>
      <c r="DE324">
        <v>-5.3</v>
      </c>
      <c r="DF324">
        <v>29</v>
      </c>
      <c r="DG324">
        <v>-19.25</v>
      </c>
      <c r="DH324">
        <v>-0.19999999999999996</v>
      </c>
      <c r="DI324">
        <v>7</v>
      </c>
      <c r="DJ324">
        <v>10</v>
      </c>
      <c r="DK324">
        <v>8</v>
      </c>
      <c r="DL324">
        <v>1.2349999999999999</v>
      </c>
      <c r="DM324">
        <v>12</v>
      </c>
      <c r="DN324">
        <v>5.8999999999999995</v>
      </c>
      <c r="DO324">
        <v>1.4</v>
      </c>
      <c r="DP324">
        <v>15</v>
      </c>
      <c r="DQ324">
        <v>19</v>
      </c>
      <c r="DR324">
        <v>18</v>
      </c>
      <c r="DS324">
        <v>-3.7239999999999993</v>
      </c>
      <c r="DT324">
        <v>20</v>
      </c>
      <c r="DU324">
        <v>-16.839999999999996</v>
      </c>
      <c r="DV324">
        <v>0.59999999999999964</v>
      </c>
      <c r="DW324">
        <v>29</v>
      </c>
      <c r="DX324">
        <v>29.5</v>
      </c>
      <c r="DY324">
        <v>27</v>
      </c>
      <c r="DZ324">
        <v>-3.2880000000000003</v>
      </c>
      <c r="EA324">
        <v>32</v>
      </c>
      <c r="EB324">
        <v>-13.4</v>
      </c>
      <c r="EC324">
        <v>0.15999999999999978</v>
      </c>
      <c r="ED324">
        <v>27</v>
      </c>
      <c r="EE324">
        <v>25</v>
      </c>
      <c r="EF324">
        <v>25</v>
      </c>
      <c r="EG324">
        <v>-2.6319999999999997</v>
      </c>
      <c r="EH324">
        <v>25</v>
      </c>
      <c r="EI324">
        <v>-12.040000000000001</v>
      </c>
      <c r="EJ324">
        <v>-0.44000000000000006</v>
      </c>
      <c r="EK324">
        <v>24</v>
      </c>
      <c r="EL324">
        <v>23.5</v>
      </c>
      <c r="EM324">
        <v>20</v>
      </c>
      <c r="EN324">
        <v>-2.4319999999999977</v>
      </c>
      <c r="EO324">
        <v>27</v>
      </c>
      <c r="EP324">
        <v>-11.919999999999996</v>
      </c>
      <c r="EQ324">
        <v>1.3199999999999998</v>
      </c>
      <c r="ER324">
        <v>3</v>
      </c>
      <c r="ES324">
        <v>3.5</v>
      </c>
      <c r="ET324">
        <v>3</v>
      </c>
      <c r="EU324">
        <v>2.0079999999999991</v>
      </c>
      <c r="EV324">
        <v>4</v>
      </c>
      <c r="EW324">
        <v>10.88</v>
      </c>
      <c r="EX324">
        <v>1.6</v>
      </c>
      <c r="EY324">
        <v>8</v>
      </c>
      <c r="EZ324">
        <v>8.5</v>
      </c>
      <c r="FA324">
        <v>9</v>
      </c>
      <c r="FB324">
        <v>0.47999999999999987</v>
      </c>
      <c r="FC324">
        <v>8</v>
      </c>
      <c r="FD324">
        <v>-8.0000000000000154E-2</v>
      </c>
      <c r="FE324">
        <v>-1.08</v>
      </c>
      <c r="FF324">
        <v>17</v>
      </c>
      <c r="FG324">
        <v>16</v>
      </c>
      <c r="FH324">
        <v>6</v>
      </c>
      <c r="FI324">
        <v>4.0831763653831774E-2</v>
      </c>
      <c r="FJ324">
        <v>18</v>
      </c>
      <c r="FK324">
        <v>-1.7029853346245565E-2</v>
      </c>
      <c r="FL324">
        <v>21</v>
      </c>
      <c r="FM324">
        <v>-2.6519999999999984</v>
      </c>
      <c r="FN324">
        <v>19</v>
      </c>
      <c r="FO324">
        <v>1.48</v>
      </c>
      <c r="FP324">
        <v>2.3600000000000008</v>
      </c>
      <c r="FQ324">
        <v>-4.72</v>
      </c>
      <c r="FR324">
        <v>-1.9600000000000002</v>
      </c>
      <c r="FS324">
        <v>-4.6400000000000032</v>
      </c>
      <c r="FT324">
        <v>-5.3999999999999995</v>
      </c>
      <c r="FU324">
        <v>0.55999999999999983</v>
      </c>
      <c r="FV324">
        <v>-72.64</v>
      </c>
      <c r="FW324">
        <v>-45.08</v>
      </c>
      <c r="FX324">
        <v>-24.36</v>
      </c>
      <c r="FY324">
        <v>4.32</v>
      </c>
      <c r="FZ324">
        <v>-7.5199999999999987</v>
      </c>
      <c r="GA324">
        <v>18</v>
      </c>
      <c r="GB324">
        <v>-0.37420000000000053</v>
      </c>
      <c r="GC324">
        <v>-0.38254000000000055</v>
      </c>
      <c r="GD324">
        <v>-20.72</v>
      </c>
      <c r="GE324">
        <v>0.37420000000000098</v>
      </c>
      <c r="GF324">
        <v>-1.9575250000000004</v>
      </c>
      <c r="GG324">
        <v>-9.6439999999999984</v>
      </c>
      <c r="GH324">
        <v>-42.279999999999994</v>
      </c>
      <c r="GI324">
        <v>-4.0649999999999995</v>
      </c>
      <c r="GJ324">
        <v>-13.350000000000001</v>
      </c>
      <c r="GK324">
        <v>1.9199999999999995</v>
      </c>
      <c r="GL324">
        <v>1.2</v>
      </c>
    </row>
    <row r="325" spans="1:194" x14ac:dyDescent="0.2">
      <c r="A325" s="39">
        <v>43786</v>
      </c>
      <c r="B325" s="22" t="s">
        <v>259</v>
      </c>
      <c r="C325" s="41" t="s">
        <v>306</v>
      </c>
      <c r="D325" s="22" t="s">
        <v>298</v>
      </c>
      <c r="E325">
        <v>9.9</v>
      </c>
      <c r="F325">
        <v>10.3</v>
      </c>
      <c r="G325">
        <v>4.9000000000000004</v>
      </c>
      <c r="H325">
        <v>10.6</v>
      </c>
      <c r="I325">
        <v>-1</v>
      </c>
      <c r="J325">
        <v>37.5</v>
      </c>
      <c r="L325" s="1" t="s">
        <v>306</v>
      </c>
      <c r="M325">
        <v>31</v>
      </c>
      <c r="N325">
        <v>-8.9475999999999996</v>
      </c>
      <c r="O325">
        <v>9</v>
      </c>
      <c r="P325">
        <v>9</v>
      </c>
      <c r="Q325">
        <v>11</v>
      </c>
      <c r="R325">
        <v>-1.2919999999999991</v>
      </c>
      <c r="S325">
        <v>7</v>
      </c>
      <c r="T325">
        <v>12.56</v>
      </c>
      <c r="U325">
        <v>-1.9600000000000002</v>
      </c>
      <c r="V325">
        <v>19</v>
      </c>
      <c r="W325">
        <v>18</v>
      </c>
      <c r="X325">
        <v>25</v>
      </c>
      <c r="Y325">
        <v>-1.8760000000000001</v>
      </c>
      <c r="Z325">
        <v>11</v>
      </c>
      <c r="AA325">
        <v>-2.44</v>
      </c>
      <c r="AB325">
        <v>-0.20000000000000009</v>
      </c>
      <c r="AC325">
        <v>29</v>
      </c>
      <c r="AD325">
        <v>29</v>
      </c>
      <c r="AE325">
        <v>29</v>
      </c>
      <c r="AF325">
        <v>-4.7680000000000007</v>
      </c>
      <c r="AG325">
        <v>29</v>
      </c>
      <c r="AH325">
        <v>-18.160000000000004</v>
      </c>
      <c r="AI325">
        <v>-2.9200000000000004</v>
      </c>
      <c r="AJ325">
        <v>28</v>
      </c>
      <c r="AK325">
        <v>27.5</v>
      </c>
      <c r="AL325">
        <v>30</v>
      </c>
      <c r="AM325">
        <v>-7.5999999999999988</v>
      </c>
      <c r="AN325">
        <v>25</v>
      </c>
      <c r="AO325">
        <v>-21.76</v>
      </c>
      <c r="AP325">
        <v>-2.7600000000000002</v>
      </c>
      <c r="AQ325">
        <v>30</v>
      </c>
      <c r="AR325">
        <v>29.5</v>
      </c>
      <c r="AS325">
        <v>31</v>
      </c>
      <c r="AT325">
        <v>-4.6879999999999997</v>
      </c>
      <c r="AU325">
        <v>28</v>
      </c>
      <c r="AV325">
        <v>-19.8</v>
      </c>
      <c r="AW325">
        <v>-0.76</v>
      </c>
      <c r="AX325">
        <v>30</v>
      </c>
      <c r="AY325">
        <v>30</v>
      </c>
      <c r="AZ325">
        <v>30</v>
      </c>
      <c r="BA325">
        <v>-7.6719999999999997</v>
      </c>
      <c r="BB325">
        <v>30</v>
      </c>
      <c r="BC325">
        <v>-32.320000000000007</v>
      </c>
      <c r="BD325">
        <v>-3.8800000000000003</v>
      </c>
      <c r="BE325">
        <v>31</v>
      </c>
      <c r="BF325">
        <v>30</v>
      </c>
      <c r="BG325">
        <v>31</v>
      </c>
      <c r="BH325">
        <v>-3.9200000000000004</v>
      </c>
      <c r="BI325">
        <v>29</v>
      </c>
      <c r="BJ325">
        <v>-20.48</v>
      </c>
      <c r="BK325">
        <v>-3.16</v>
      </c>
      <c r="BL325">
        <v>1</v>
      </c>
      <c r="BM325">
        <v>1</v>
      </c>
      <c r="BN325">
        <v>1</v>
      </c>
      <c r="BO325">
        <v>-2.2000000000000002</v>
      </c>
      <c r="BP325">
        <v>1</v>
      </c>
      <c r="BQ325">
        <v>0.28000000000000008</v>
      </c>
      <c r="BR325">
        <v>-0.15999999999999998</v>
      </c>
      <c r="BS325">
        <v>1</v>
      </c>
      <c r="BT325">
        <v>5.25</v>
      </c>
      <c r="BU325">
        <v>9</v>
      </c>
      <c r="BV325">
        <v>-2.2720987078639419E-2</v>
      </c>
      <c r="BW325">
        <v>1</v>
      </c>
      <c r="BX325">
        <v>4.2542658077380349E-2</v>
      </c>
      <c r="BY325">
        <v>2</v>
      </c>
      <c r="BZ325">
        <v>-4.7240000000000038</v>
      </c>
      <c r="CA325">
        <v>9</v>
      </c>
      <c r="CB325">
        <v>0.96</v>
      </c>
      <c r="CC325">
        <v>-12.32</v>
      </c>
      <c r="CD325">
        <v>-10.720000000000002</v>
      </c>
      <c r="CE325">
        <v>-1.1599999999999999</v>
      </c>
      <c r="CF325">
        <v>-93.56</v>
      </c>
      <c r="CG325">
        <v>-88.04</v>
      </c>
      <c r="CH325">
        <v>6.9200000000000017</v>
      </c>
      <c r="CI325">
        <v>-2.8</v>
      </c>
      <c r="CJ325">
        <v>-9.64</v>
      </c>
      <c r="CK325">
        <v>26</v>
      </c>
      <c r="CL325">
        <v>-5.7796000000000003</v>
      </c>
      <c r="CM325">
        <v>-4.4007200000000006</v>
      </c>
      <c r="CN325">
        <v>-94.960000000000008</v>
      </c>
      <c r="CO325">
        <v>5.7796000000000003</v>
      </c>
      <c r="CP325">
        <v>-4.4114500000000003</v>
      </c>
      <c r="CQ325">
        <v>-17.055999999999997</v>
      </c>
      <c r="CR325">
        <v>-59.72</v>
      </c>
      <c r="CS325">
        <v>-3.1679999999999993</v>
      </c>
      <c r="CT325">
        <v>10.120000000000001</v>
      </c>
      <c r="CU325">
        <v>-9.6000000000000014</v>
      </c>
      <c r="CV325">
        <v>-2.16</v>
      </c>
      <c r="CW325">
        <v>0.72310000000000019</v>
      </c>
      <c r="CX325">
        <v>-1.0706999999999998</v>
      </c>
      <c r="CY325" t="s">
        <v>298</v>
      </c>
      <c r="CZ325">
        <v>9</v>
      </c>
      <c r="DA325">
        <v>6.4971999999999994</v>
      </c>
      <c r="DB325">
        <v>32</v>
      </c>
      <c r="DC325">
        <v>30.5</v>
      </c>
      <c r="DD325">
        <v>30</v>
      </c>
      <c r="DE325">
        <v>1.4959999999999998</v>
      </c>
      <c r="DF325">
        <v>31</v>
      </c>
      <c r="DG325">
        <v>-19.28</v>
      </c>
      <c r="DH325">
        <v>0.20000000000000018</v>
      </c>
      <c r="DI325">
        <v>16</v>
      </c>
      <c r="DJ325">
        <v>16.5</v>
      </c>
      <c r="DK325">
        <v>18</v>
      </c>
      <c r="DL325">
        <v>-0.94399999999999995</v>
      </c>
      <c r="DM325">
        <v>15</v>
      </c>
      <c r="DN325">
        <v>3.9999999999999855E-2</v>
      </c>
      <c r="DO325">
        <v>0.19999999999999987</v>
      </c>
      <c r="DP325">
        <v>7</v>
      </c>
      <c r="DQ325">
        <v>10.5</v>
      </c>
      <c r="DR325">
        <v>8</v>
      </c>
      <c r="DS325">
        <v>2.8239999999999994</v>
      </c>
      <c r="DT325">
        <v>13</v>
      </c>
      <c r="DU325">
        <v>2.7600000000000007</v>
      </c>
      <c r="DV325">
        <v>0.35999999999999943</v>
      </c>
      <c r="DW325">
        <v>5</v>
      </c>
      <c r="DX325">
        <v>5.5</v>
      </c>
      <c r="DY325">
        <v>5</v>
      </c>
      <c r="DZ325">
        <v>7.766</v>
      </c>
      <c r="EA325">
        <v>6</v>
      </c>
      <c r="EB325">
        <v>27.46</v>
      </c>
      <c r="EC325">
        <v>0.76</v>
      </c>
      <c r="ED325">
        <v>26</v>
      </c>
      <c r="EE325">
        <v>28.5</v>
      </c>
      <c r="EF325">
        <v>28</v>
      </c>
      <c r="EG325">
        <v>0.56799999999999962</v>
      </c>
      <c r="EH325">
        <v>29</v>
      </c>
      <c r="EI325">
        <v>-4.0400000000000009</v>
      </c>
      <c r="EJ325">
        <v>0.12000000000000002</v>
      </c>
      <c r="EK325">
        <v>25</v>
      </c>
      <c r="EL325">
        <v>26</v>
      </c>
      <c r="EM325">
        <v>26</v>
      </c>
      <c r="EN325">
        <v>1.8920000000000017</v>
      </c>
      <c r="EO325">
        <v>26</v>
      </c>
      <c r="EP325">
        <v>4.6800000000000024</v>
      </c>
      <c r="EQ325">
        <v>-4.5600000000000005</v>
      </c>
      <c r="ER325">
        <v>13</v>
      </c>
      <c r="ES325">
        <v>13.5</v>
      </c>
      <c r="ET325">
        <v>17</v>
      </c>
      <c r="EU325">
        <v>1.8079999999999998</v>
      </c>
      <c r="EV325">
        <v>10</v>
      </c>
      <c r="EW325">
        <v>7.3599999999999994</v>
      </c>
      <c r="EX325">
        <v>0.11999999999999993</v>
      </c>
      <c r="EY325">
        <v>24</v>
      </c>
      <c r="EZ325">
        <v>23</v>
      </c>
      <c r="FA325">
        <v>28</v>
      </c>
      <c r="FB325">
        <v>0.12000000000000011</v>
      </c>
      <c r="FC325">
        <v>18</v>
      </c>
      <c r="FD325">
        <v>-0.12000000000000011</v>
      </c>
      <c r="FE325">
        <v>1.64</v>
      </c>
      <c r="FF325">
        <v>23</v>
      </c>
      <c r="FG325">
        <v>20</v>
      </c>
      <c r="FH325">
        <v>32</v>
      </c>
      <c r="FI325">
        <v>-3.7299018427534344E-2</v>
      </c>
      <c r="FJ325">
        <v>22</v>
      </c>
      <c r="FK325">
        <v>2.077783866148074E-3</v>
      </c>
      <c r="FL325">
        <v>11</v>
      </c>
      <c r="FM325">
        <v>4.8840000000000048</v>
      </c>
      <c r="FN325">
        <v>15</v>
      </c>
      <c r="FO325">
        <v>-3.28</v>
      </c>
      <c r="FP325">
        <v>2.4</v>
      </c>
      <c r="FQ325">
        <v>0.99999999999999933</v>
      </c>
      <c r="FR325">
        <v>1.04</v>
      </c>
      <c r="FS325">
        <v>4.92</v>
      </c>
      <c r="FT325">
        <v>9.120000000000001</v>
      </c>
      <c r="FU325">
        <v>-1.3199999999999998</v>
      </c>
      <c r="FV325">
        <v>10.720000000000004</v>
      </c>
      <c r="FW325">
        <v>32.08</v>
      </c>
      <c r="FX325">
        <v>-19.880000000000003</v>
      </c>
      <c r="FY325">
        <v>0.56000000000000016</v>
      </c>
      <c r="FZ325">
        <v>-2.0399999999999996</v>
      </c>
      <c r="GA325">
        <v>4</v>
      </c>
      <c r="GB325">
        <v>5.9451999999999998</v>
      </c>
      <c r="GC325">
        <v>3.6166400000000003</v>
      </c>
      <c r="GD325">
        <v>51.96</v>
      </c>
      <c r="GE325">
        <v>-5.9451999999999998</v>
      </c>
      <c r="GF325">
        <v>2.5169000000000001</v>
      </c>
      <c r="GG325">
        <v>11.157999999999999</v>
      </c>
      <c r="GH325">
        <v>26.18</v>
      </c>
      <c r="GI325">
        <v>0.55199999999999982</v>
      </c>
      <c r="GJ325">
        <v>-19.240000000000002</v>
      </c>
      <c r="GK325">
        <v>1.3599999999999994</v>
      </c>
      <c r="GL325">
        <v>0.4</v>
      </c>
    </row>
    <row r="326" spans="1:194" x14ac:dyDescent="0.2">
      <c r="A326" s="39">
        <v>43793</v>
      </c>
      <c r="B326" s="22" t="s">
        <v>242</v>
      </c>
      <c r="C326" s="41" t="s">
        <v>295</v>
      </c>
      <c r="D326" s="22" t="s">
        <v>284</v>
      </c>
      <c r="E326">
        <v>11.8</v>
      </c>
      <c r="F326">
        <v>22</v>
      </c>
      <c r="G326">
        <v>15.6</v>
      </c>
      <c r="H326">
        <v>6.3</v>
      </c>
      <c r="I326">
        <v>-3.5</v>
      </c>
      <c r="J326">
        <v>51.5</v>
      </c>
      <c r="K326" s="20" t="s">
        <v>109</v>
      </c>
      <c r="L326" s="1" t="s">
        <v>295</v>
      </c>
      <c r="M326">
        <v>25</v>
      </c>
      <c r="N326">
        <v>-4.0592000000000015</v>
      </c>
      <c r="O326">
        <v>29</v>
      </c>
      <c r="P326">
        <v>28</v>
      </c>
      <c r="Q326">
        <v>29</v>
      </c>
      <c r="R326">
        <v>-6.0239999999999991</v>
      </c>
      <c r="S326">
        <v>27</v>
      </c>
      <c r="T326">
        <v>-23.490000000000002</v>
      </c>
      <c r="U326">
        <v>-0.30999999999999994</v>
      </c>
      <c r="V326">
        <v>11</v>
      </c>
      <c r="W326">
        <v>11</v>
      </c>
      <c r="X326">
        <v>10</v>
      </c>
      <c r="Y326">
        <v>1.4809999999999994</v>
      </c>
      <c r="Z326">
        <v>12</v>
      </c>
      <c r="AA326">
        <v>2.29</v>
      </c>
      <c r="AB326">
        <v>-0.24000000000000005</v>
      </c>
      <c r="AC326">
        <v>15</v>
      </c>
      <c r="AD326">
        <v>16</v>
      </c>
      <c r="AE326">
        <v>23</v>
      </c>
      <c r="AF326">
        <v>-1.6580000000000006</v>
      </c>
      <c r="AG326">
        <v>9</v>
      </c>
      <c r="AH326">
        <v>17.400000000000002</v>
      </c>
      <c r="AI326">
        <v>0.99</v>
      </c>
      <c r="AJ326">
        <v>6</v>
      </c>
      <c r="AK326">
        <v>7</v>
      </c>
      <c r="AL326">
        <v>8</v>
      </c>
      <c r="AM326">
        <v>1.8650000000000007</v>
      </c>
      <c r="AN326">
        <v>6</v>
      </c>
      <c r="AO326">
        <v>17.07</v>
      </c>
      <c r="AP326">
        <v>1</v>
      </c>
      <c r="AQ326">
        <v>6</v>
      </c>
      <c r="AR326">
        <v>6</v>
      </c>
      <c r="AS326">
        <v>6</v>
      </c>
      <c r="AT326">
        <v>1.0939999999999999</v>
      </c>
      <c r="AU326">
        <v>6</v>
      </c>
      <c r="AV326">
        <v>2.2400000000000007</v>
      </c>
      <c r="AW326">
        <v>1.5900000000000003</v>
      </c>
      <c r="AX326">
        <v>7</v>
      </c>
      <c r="AY326">
        <v>6.5</v>
      </c>
      <c r="AZ326">
        <v>7</v>
      </c>
      <c r="BA326">
        <v>-0.9200000000000006</v>
      </c>
      <c r="BB326">
        <v>6</v>
      </c>
      <c r="BC326">
        <v>4.8</v>
      </c>
      <c r="BD326">
        <v>-1.72</v>
      </c>
      <c r="BE326">
        <v>16</v>
      </c>
      <c r="BF326">
        <v>17</v>
      </c>
      <c r="BG326">
        <v>17</v>
      </c>
      <c r="BH326">
        <v>-0.72800000000000009</v>
      </c>
      <c r="BI326">
        <v>17</v>
      </c>
      <c r="BJ326">
        <v>-7.9327999999999985</v>
      </c>
      <c r="BK326">
        <v>-2.56</v>
      </c>
      <c r="BL326">
        <v>4</v>
      </c>
      <c r="BM326">
        <v>7</v>
      </c>
      <c r="BN326">
        <v>10</v>
      </c>
      <c r="BO326">
        <v>1.6000000000000003</v>
      </c>
      <c r="BP326">
        <v>4</v>
      </c>
      <c r="BQ326">
        <v>1.08</v>
      </c>
      <c r="BR326">
        <v>-0.88000000000000012</v>
      </c>
      <c r="BS326">
        <v>14</v>
      </c>
      <c r="BT326">
        <v>14</v>
      </c>
      <c r="BU326">
        <v>7</v>
      </c>
      <c r="BV326">
        <v>6.7851665922197504E-2</v>
      </c>
      <c r="BW326">
        <v>9</v>
      </c>
      <c r="BX326">
        <v>1.3684955967097911E-2</v>
      </c>
      <c r="BY326">
        <v>26</v>
      </c>
      <c r="BZ326">
        <v>0.1160000000000025</v>
      </c>
      <c r="CA326">
        <v>14</v>
      </c>
      <c r="CB326">
        <v>2.2799999999999998</v>
      </c>
      <c r="CC326">
        <v>1.1200000000000032</v>
      </c>
      <c r="CD326">
        <v>-3.56</v>
      </c>
      <c r="CE326">
        <v>-0.56000000000000016</v>
      </c>
      <c r="CF326">
        <v>1.5200000000000045</v>
      </c>
      <c r="CG326">
        <v>33.56</v>
      </c>
      <c r="CH326">
        <v>-19.600000000000001</v>
      </c>
      <c r="CI326">
        <v>4.0000000000000216E-2</v>
      </c>
      <c r="CJ326">
        <v>-12.48</v>
      </c>
      <c r="CK326">
        <v>14</v>
      </c>
      <c r="CL326">
        <v>0.48379999999999823</v>
      </c>
      <c r="CM326">
        <v>1.5742599999999993</v>
      </c>
      <c r="CN326">
        <v>53.160000000000004</v>
      </c>
      <c r="CO326">
        <v>-0.48379999999999779</v>
      </c>
      <c r="CP326">
        <v>-0.80365000000000031</v>
      </c>
      <c r="CQ326">
        <v>1.3009999999999999</v>
      </c>
      <c r="CR326">
        <v>36.71</v>
      </c>
      <c r="CS326">
        <v>-4.5429999999999993</v>
      </c>
      <c r="CT326">
        <v>-21.200000000000003</v>
      </c>
      <c r="CU326">
        <v>1.02</v>
      </c>
      <c r="CV326">
        <v>-0.55000000000000004</v>
      </c>
      <c r="CW326">
        <v>0.74778750000000005</v>
      </c>
      <c r="CX326">
        <v>-0.51569999999999994</v>
      </c>
      <c r="CY326" t="s">
        <v>284</v>
      </c>
      <c r="CZ326">
        <v>4</v>
      </c>
      <c r="DA326">
        <v>3.6152000000000015</v>
      </c>
      <c r="DB326">
        <v>25</v>
      </c>
      <c r="DC326">
        <v>23.5</v>
      </c>
      <c r="DD326">
        <v>24</v>
      </c>
      <c r="DE326">
        <v>-5.8090000000000002</v>
      </c>
      <c r="DF326">
        <v>23</v>
      </c>
      <c r="DG326">
        <v>-13.7</v>
      </c>
      <c r="DH326">
        <v>-0.50000000000000011</v>
      </c>
      <c r="DI326">
        <v>31</v>
      </c>
      <c r="DJ326">
        <v>31</v>
      </c>
      <c r="DK326">
        <v>31</v>
      </c>
      <c r="DL326">
        <v>-1.8039999999999998</v>
      </c>
      <c r="DM326">
        <v>31</v>
      </c>
      <c r="DN326">
        <v>-10.440000000000001</v>
      </c>
      <c r="DO326">
        <v>0.82999999999999985</v>
      </c>
      <c r="DP326">
        <v>9</v>
      </c>
      <c r="DQ326">
        <v>6</v>
      </c>
      <c r="DR326">
        <v>6</v>
      </c>
      <c r="DS326">
        <v>3.5920000000000001</v>
      </c>
      <c r="DT326">
        <v>6</v>
      </c>
      <c r="DU326">
        <v>5.8</v>
      </c>
      <c r="DV326">
        <v>2.68</v>
      </c>
      <c r="DW326">
        <v>1</v>
      </c>
      <c r="DX326">
        <v>1.5</v>
      </c>
      <c r="DY326">
        <v>1</v>
      </c>
      <c r="DZ326">
        <v>9.6999999999999993</v>
      </c>
      <c r="EA326">
        <v>2</v>
      </c>
      <c r="EB326">
        <v>22.880000000000003</v>
      </c>
      <c r="EC326">
        <v>1.7599999999999998</v>
      </c>
      <c r="ED326">
        <v>8</v>
      </c>
      <c r="EE326">
        <v>12.5</v>
      </c>
      <c r="EF326">
        <v>17</v>
      </c>
      <c r="EG326">
        <v>1.5480000000000005</v>
      </c>
      <c r="EH326">
        <v>8</v>
      </c>
      <c r="EI326">
        <v>4.9600000000000009</v>
      </c>
      <c r="EJ326">
        <v>0.55999999999999994</v>
      </c>
      <c r="EK326">
        <v>2</v>
      </c>
      <c r="EL326">
        <v>3.5</v>
      </c>
      <c r="EM326">
        <v>1</v>
      </c>
      <c r="EN326">
        <v>11.360000000000001</v>
      </c>
      <c r="EO326">
        <v>6</v>
      </c>
      <c r="EP326">
        <v>36</v>
      </c>
      <c r="EQ326">
        <v>5.32</v>
      </c>
      <c r="ER326">
        <v>21</v>
      </c>
      <c r="ES326">
        <v>20.5</v>
      </c>
      <c r="ET326">
        <v>15</v>
      </c>
      <c r="EU326">
        <v>3.4480000000000004</v>
      </c>
      <c r="EV326">
        <v>26</v>
      </c>
      <c r="EW326">
        <v>9.4400000000000013</v>
      </c>
      <c r="EX326">
        <v>0.31999999999999995</v>
      </c>
      <c r="EY326">
        <v>16</v>
      </c>
      <c r="EZ326">
        <v>14</v>
      </c>
      <c r="FA326">
        <v>13</v>
      </c>
      <c r="FB326">
        <v>1.8</v>
      </c>
      <c r="FC326">
        <v>15</v>
      </c>
      <c r="FD326">
        <v>0.19999999999999996</v>
      </c>
      <c r="FE326">
        <v>1.08</v>
      </c>
      <c r="FF326">
        <v>10</v>
      </c>
      <c r="FG326">
        <v>13.25</v>
      </c>
      <c r="FH326">
        <v>9</v>
      </c>
      <c r="FI326">
        <v>4.0707053066628583E-3</v>
      </c>
      <c r="FJ326">
        <v>26</v>
      </c>
      <c r="FK326">
        <v>-1.7679525409801385E-2</v>
      </c>
      <c r="FL326">
        <v>6</v>
      </c>
      <c r="FM326">
        <v>-5.4200000000000035</v>
      </c>
      <c r="FN326">
        <v>12</v>
      </c>
      <c r="FO326">
        <v>-1.9599999999999995</v>
      </c>
      <c r="FP326">
        <v>7.4399999999999977</v>
      </c>
      <c r="FQ326">
        <v>-2.0800000000000005</v>
      </c>
      <c r="FR326">
        <v>-0.95999999999999974</v>
      </c>
      <c r="FS326">
        <v>4.4799999999999986</v>
      </c>
      <c r="FT326">
        <v>3.84</v>
      </c>
      <c r="FU326">
        <v>0.20000000000000009</v>
      </c>
      <c r="FV326">
        <v>1.0799999999999954</v>
      </c>
      <c r="FW326">
        <v>27.880000000000003</v>
      </c>
      <c r="FX326">
        <v>-22.68</v>
      </c>
      <c r="FY326">
        <v>1.8400000000000003</v>
      </c>
      <c r="FZ326">
        <v>-5.96</v>
      </c>
      <c r="GA326">
        <v>1</v>
      </c>
      <c r="GB326">
        <v>11.228200000000003</v>
      </c>
      <c r="GC326">
        <v>8.1871400000000012</v>
      </c>
      <c r="GD326">
        <v>50.56</v>
      </c>
      <c r="GE326">
        <v>-11.228200000000001</v>
      </c>
      <c r="GF326">
        <v>2.0112749999999999</v>
      </c>
      <c r="GG326">
        <v>14.84</v>
      </c>
      <c r="GH326">
        <v>33.64</v>
      </c>
      <c r="GI326">
        <v>-7.6129999999999995</v>
      </c>
      <c r="GJ326">
        <v>-24.14</v>
      </c>
      <c r="GK326">
        <v>5.3199999999999994</v>
      </c>
      <c r="GL326">
        <v>0.32999999999999974</v>
      </c>
    </row>
    <row r="327" spans="1:194" x14ac:dyDescent="0.2">
      <c r="A327" s="39">
        <v>43793</v>
      </c>
      <c r="B327" s="22" t="s">
        <v>242</v>
      </c>
      <c r="C327" s="41" t="s">
        <v>305</v>
      </c>
      <c r="D327" s="22" t="s">
        <v>304</v>
      </c>
      <c r="E327">
        <v>21.2</v>
      </c>
      <c r="F327">
        <v>15.4</v>
      </c>
      <c r="G327">
        <v>7.4</v>
      </c>
      <c r="H327">
        <v>8.1999999999999993</v>
      </c>
      <c r="I327">
        <v>-3.5</v>
      </c>
      <c r="J327">
        <v>47</v>
      </c>
      <c r="L327" s="1" t="s">
        <v>305</v>
      </c>
      <c r="M327">
        <v>1</v>
      </c>
      <c r="N327">
        <v>12.212</v>
      </c>
      <c r="O327">
        <v>4</v>
      </c>
      <c r="P327">
        <v>6.5</v>
      </c>
      <c r="Q327">
        <v>4</v>
      </c>
      <c r="R327">
        <v>3.5560000000000009</v>
      </c>
      <c r="S327">
        <v>9</v>
      </c>
      <c r="T327">
        <v>3.9200000000000004</v>
      </c>
      <c r="U327">
        <v>-1.48</v>
      </c>
      <c r="V327">
        <v>5</v>
      </c>
      <c r="W327">
        <v>8</v>
      </c>
      <c r="X327">
        <v>14</v>
      </c>
      <c r="Y327">
        <v>1.5959999999999999</v>
      </c>
      <c r="Z327">
        <v>2</v>
      </c>
      <c r="AA327">
        <v>26.4</v>
      </c>
      <c r="AB327">
        <v>-1.7599999999999998</v>
      </c>
      <c r="AC327">
        <v>26</v>
      </c>
      <c r="AD327">
        <v>25</v>
      </c>
      <c r="AE327">
        <v>22</v>
      </c>
      <c r="AF327">
        <v>9.9999999999991207E-3</v>
      </c>
      <c r="AG327">
        <v>28</v>
      </c>
      <c r="AH327">
        <v>-14.05</v>
      </c>
      <c r="AI327">
        <v>-1.9500000000000002</v>
      </c>
      <c r="AJ327">
        <v>25</v>
      </c>
      <c r="AK327">
        <v>26</v>
      </c>
      <c r="AL327">
        <v>24</v>
      </c>
      <c r="AM327">
        <v>-3.3</v>
      </c>
      <c r="AN327">
        <v>28</v>
      </c>
      <c r="AO327">
        <v>-29.05</v>
      </c>
      <c r="AP327">
        <v>-3.15</v>
      </c>
      <c r="AQ327">
        <v>31</v>
      </c>
      <c r="AR327">
        <v>30</v>
      </c>
      <c r="AS327">
        <v>29</v>
      </c>
      <c r="AT327">
        <v>-3.18</v>
      </c>
      <c r="AU327">
        <v>31</v>
      </c>
      <c r="AV327">
        <v>-22.85</v>
      </c>
      <c r="AW327">
        <v>-3.25</v>
      </c>
      <c r="AX327">
        <v>10</v>
      </c>
      <c r="AY327">
        <v>11</v>
      </c>
      <c r="AZ327">
        <v>5</v>
      </c>
      <c r="BA327">
        <v>6.5449999999999982</v>
      </c>
      <c r="BB327">
        <v>17</v>
      </c>
      <c r="BC327">
        <v>2.4499999999999993</v>
      </c>
      <c r="BD327">
        <v>-0.75</v>
      </c>
      <c r="BE327">
        <v>2</v>
      </c>
      <c r="BF327">
        <v>2</v>
      </c>
      <c r="BG327">
        <v>2</v>
      </c>
      <c r="BH327">
        <v>7.096000000000001</v>
      </c>
      <c r="BI327">
        <v>2</v>
      </c>
      <c r="BJ327">
        <v>35.027199999999993</v>
      </c>
      <c r="BK327">
        <v>1.8</v>
      </c>
      <c r="BL327">
        <v>8</v>
      </c>
      <c r="BM327">
        <v>8.5</v>
      </c>
      <c r="BN327">
        <v>2</v>
      </c>
      <c r="BO327">
        <v>2.4400000000000004</v>
      </c>
      <c r="BP327">
        <v>15</v>
      </c>
      <c r="BQ327">
        <v>-0.2</v>
      </c>
      <c r="BR327">
        <v>7.4800000000000013</v>
      </c>
      <c r="BS327">
        <v>31</v>
      </c>
      <c r="BT327">
        <v>29.25</v>
      </c>
      <c r="BU327">
        <v>27</v>
      </c>
      <c r="BV327">
        <v>-2.0965913621392974E-2</v>
      </c>
      <c r="BW327">
        <v>31</v>
      </c>
      <c r="BX327">
        <v>-2.2153357237747095E-2</v>
      </c>
      <c r="BY327">
        <v>27</v>
      </c>
      <c r="BZ327">
        <v>14.720000000000002</v>
      </c>
      <c r="CA327">
        <v>32</v>
      </c>
      <c r="CB327">
        <v>-8.1999999999999993</v>
      </c>
      <c r="CC327">
        <v>-4.0799999999999983</v>
      </c>
      <c r="CD327">
        <v>14.4</v>
      </c>
      <c r="CE327">
        <v>4.68</v>
      </c>
      <c r="CF327">
        <v>45.519999999999996</v>
      </c>
      <c r="CG327">
        <v>-47.76</v>
      </c>
      <c r="CH327">
        <v>34.32</v>
      </c>
      <c r="CI327">
        <v>-1.6400000000000001</v>
      </c>
      <c r="CJ327">
        <v>60.6</v>
      </c>
      <c r="CK327">
        <v>5</v>
      </c>
      <c r="CL327">
        <v>7.0599999999999987</v>
      </c>
      <c r="CM327">
        <v>-8.4000000000004071E-3</v>
      </c>
      <c r="CN327">
        <v>-82.08</v>
      </c>
      <c r="CO327">
        <v>-7.0599999999999987</v>
      </c>
      <c r="CP327">
        <v>2.55375</v>
      </c>
      <c r="CQ327">
        <v>-6.4700000000000006</v>
      </c>
      <c r="CR327">
        <v>-65.95</v>
      </c>
      <c r="CS327">
        <v>5.152000000000001</v>
      </c>
      <c r="CT327">
        <v>30.32</v>
      </c>
      <c r="CU327">
        <v>-6.55</v>
      </c>
      <c r="CV327">
        <v>-3.2399999999999998</v>
      </c>
      <c r="CW327">
        <v>-0.99776249999999989</v>
      </c>
      <c r="CX327">
        <v>-2.0482999999999998</v>
      </c>
      <c r="CY327" t="s">
        <v>304</v>
      </c>
      <c r="CZ327">
        <v>16</v>
      </c>
      <c r="DA327">
        <v>0.97119999999999929</v>
      </c>
      <c r="DB327">
        <v>17</v>
      </c>
      <c r="DC327">
        <v>18</v>
      </c>
      <c r="DD327">
        <v>20</v>
      </c>
      <c r="DE327">
        <v>-1.4360000000000006</v>
      </c>
      <c r="DF327">
        <v>16</v>
      </c>
      <c r="DG327">
        <v>-6.9200000000000017</v>
      </c>
      <c r="DH327">
        <v>0.56000000000000005</v>
      </c>
      <c r="DI327">
        <v>4</v>
      </c>
      <c r="DJ327">
        <v>6.5</v>
      </c>
      <c r="DK327">
        <v>7</v>
      </c>
      <c r="DL327">
        <v>0.35600000000000004</v>
      </c>
      <c r="DM327">
        <v>6</v>
      </c>
      <c r="DN327">
        <v>2.3999999999999995</v>
      </c>
      <c r="DO327">
        <v>-0.24</v>
      </c>
      <c r="DP327">
        <v>19</v>
      </c>
      <c r="DQ327">
        <v>19.5</v>
      </c>
      <c r="DR327">
        <v>17</v>
      </c>
      <c r="DS327">
        <v>-0.9399999999999995</v>
      </c>
      <c r="DT327">
        <v>22</v>
      </c>
      <c r="DU327">
        <v>-16.189999999999998</v>
      </c>
      <c r="DV327">
        <v>6.9999999999999923E-2</v>
      </c>
      <c r="DW327">
        <v>11</v>
      </c>
      <c r="DX327">
        <v>13</v>
      </c>
      <c r="DY327">
        <v>10</v>
      </c>
      <c r="DZ327">
        <v>2.2860000000000005</v>
      </c>
      <c r="EA327">
        <v>16</v>
      </c>
      <c r="EB327">
        <v>-0.1</v>
      </c>
      <c r="EC327">
        <v>2.5299999999999998</v>
      </c>
      <c r="ED327">
        <v>2</v>
      </c>
      <c r="EE327">
        <v>2</v>
      </c>
      <c r="EF327">
        <v>2</v>
      </c>
      <c r="EG327">
        <v>2.7930000000000001</v>
      </c>
      <c r="EH327">
        <v>2</v>
      </c>
      <c r="EI327">
        <v>20.43</v>
      </c>
      <c r="EJ327">
        <v>1.0500000000000003</v>
      </c>
      <c r="EK327">
        <v>14</v>
      </c>
      <c r="EL327">
        <v>14</v>
      </c>
      <c r="EM327">
        <v>11</v>
      </c>
      <c r="EN327">
        <v>2.1439999999999997</v>
      </c>
      <c r="EO327">
        <v>17</v>
      </c>
      <c r="EP327">
        <v>-12.960000000000003</v>
      </c>
      <c r="EQ327">
        <v>0.32000000000000012</v>
      </c>
      <c r="ER327">
        <v>25</v>
      </c>
      <c r="ES327">
        <v>24.5</v>
      </c>
      <c r="ET327">
        <v>29</v>
      </c>
      <c r="EU327">
        <v>-1.0480000000000005</v>
      </c>
      <c r="EV327">
        <v>20</v>
      </c>
      <c r="EW327">
        <v>0.4</v>
      </c>
      <c r="EX327">
        <v>0.51999999999999991</v>
      </c>
      <c r="EY327">
        <v>28</v>
      </c>
      <c r="EZ327">
        <v>26.5</v>
      </c>
      <c r="FA327">
        <v>29</v>
      </c>
      <c r="FB327">
        <v>-2.56</v>
      </c>
      <c r="FC327">
        <v>24</v>
      </c>
      <c r="FD327">
        <v>-0.72</v>
      </c>
      <c r="FE327">
        <v>-1.4800000000000004</v>
      </c>
      <c r="FF327">
        <v>14</v>
      </c>
      <c r="FG327">
        <v>15</v>
      </c>
      <c r="FH327">
        <v>22</v>
      </c>
      <c r="FI327">
        <v>-1.2539128095067381E-2</v>
      </c>
      <c r="FJ327">
        <v>10</v>
      </c>
      <c r="FK327">
        <v>1.1341474546594076E-2</v>
      </c>
      <c r="FL327">
        <v>22</v>
      </c>
      <c r="FM327">
        <v>5.251999999999998</v>
      </c>
      <c r="FN327">
        <v>6</v>
      </c>
      <c r="FO327">
        <v>2.72</v>
      </c>
      <c r="FP327">
        <v>4.6399999999999997</v>
      </c>
      <c r="FQ327">
        <v>1.0399999999999998</v>
      </c>
      <c r="FR327">
        <v>-1.0799999999999996</v>
      </c>
      <c r="FS327">
        <v>5.3200000000000021</v>
      </c>
      <c r="FT327">
        <v>-2.88</v>
      </c>
      <c r="FU327">
        <v>-0.83999999999999986</v>
      </c>
      <c r="FV327">
        <v>1.9600000000000137</v>
      </c>
      <c r="FW327">
        <v>11.919999999999993</v>
      </c>
      <c r="FX327">
        <v>-2.6799999999999984</v>
      </c>
      <c r="FY327">
        <v>-1.56</v>
      </c>
      <c r="FZ327">
        <v>-5.7199999999999989</v>
      </c>
      <c r="GA327">
        <v>12</v>
      </c>
      <c r="GB327">
        <v>2.0512000000000001</v>
      </c>
      <c r="GC327">
        <v>1.3524400000000005</v>
      </c>
      <c r="GD327">
        <v>14.599999999999991</v>
      </c>
      <c r="GE327">
        <v>-2.0511999999999997</v>
      </c>
      <c r="GF327">
        <v>5.2774999999999905E-2</v>
      </c>
      <c r="GG327">
        <v>4.1390000000000011</v>
      </c>
      <c r="GH327">
        <v>4.1400000000000006</v>
      </c>
      <c r="GI327">
        <v>-1.0800000000000005</v>
      </c>
      <c r="GJ327">
        <v>-4.5200000000000022</v>
      </c>
      <c r="GK327">
        <v>4.17</v>
      </c>
      <c r="GL327">
        <v>0.32000000000000006</v>
      </c>
    </row>
    <row r="328" spans="1:194" x14ac:dyDescent="0.2">
      <c r="A328" s="39">
        <v>43793</v>
      </c>
      <c r="B328" s="22" t="s">
        <v>242</v>
      </c>
      <c r="C328" s="41" t="s">
        <v>276</v>
      </c>
      <c r="D328" s="22" t="s">
        <v>278</v>
      </c>
      <c r="E328">
        <v>11.9</v>
      </c>
      <c r="F328">
        <v>19.600000000000001</v>
      </c>
      <c r="G328">
        <v>5.6</v>
      </c>
      <c r="H328">
        <f>3.1+2.4</f>
        <v>5.5</v>
      </c>
      <c r="I328">
        <v>-3.5</v>
      </c>
      <c r="J328">
        <v>37</v>
      </c>
      <c r="K328" t="s">
        <v>110</v>
      </c>
      <c r="L328" s="1" t="s">
        <v>276</v>
      </c>
      <c r="M328">
        <v>4</v>
      </c>
      <c r="N328">
        <v>5.7392000000000012</v>
      </c>
      <c r="O328">
        <v>15</v>
      </c>
      <c r="P328">
        <v>16</v>
      </c>
      <c r="Q328">
        <v>21</v>
      </c>
      <c r="R328">
        <v>-1.3679999999999997</v>
      </c>
      <c r="S328">
        <v>11</v>
      </c>
      <c r="T328">
        <v>-0.64000000000000201</v>
      </c>
      <c r="U328">
        <v>0.36</v>
      </c>
      <c r="V328">
        <v>15</v>
      </c>
      <c r="W328">
        <v>14.5</v>
      </c>
      <c r="X328">
        <v>20</v>
      </c>
      <c r="Y328">
        <v>-1.9080000000000001</v>
      </c>
      <c r="Z328">
        <v>9</v>
      </c>
      <c r="AA328">
        <v>5.6</v>
      </c>
      <c r="AB328">
        <v>-1.6</v>
      </c>
      <c r="AC328">
        <v>21</v>
      </c>
      <c r="AD328">
        <v>19.5</v>
      </c>
      <c r="AE328">
        <v>14</v>
      </c>
      <c r="AF328">
        <v>0.90600000000000025</v>
      </c>
      <c r="AG328">
        <v>25</v>
      </c>
      <c r="AH328">
        <v>1.9000000000000015</v>
      </c>
      <c r="AI328">
        <v>1.43</v>
      </c>
      <c r="AJ328">
        <v>9</v>
      </c>
      <c r="AK328">
        <v>8.5</v>
      </c>
      <c r="AL328">
        <v>9</v>
      </c>
      <c r="AM328">
        <v>2.1560000000000001</v>
      </c>
      <c r="AN328">
        <v>8</v>
      </c>
      <c r="AO328">
        <v>6.2799999999999994</v>
      </c>
      <c r="AP328">
        <v>7.9999999999999891E-2</v>
      </c>
      <c r="AQ328">
        <v>13</v>
      </c>
      <c r="AR328">
        <v>14.5</v>
      </c>
      <c r="AS328">
        <v>15</v>
      </c>
      <c r="AT328">
        <v>-0.10800000000000001</v>
      </c>
      <c r="AU328">
        <v>14</v>
      </c>
      <c r="AV328">
        <v>-2.4400000000000004</v>
      </c>
      <c r="AW328">
        <v>7.9999999999999988E-2</v>
      </c>
      <c r="AX328">
        <v>23</v>
      </c>
      <c r="AY328">
        <v>22.5</v>
      </c>
      <c r="AZ328">
        <v>25</v>
      </c>
      <c r="BA328">
        <v>-4.12</v>
      </c>
      <c r="BB328">
        <v>20</v>
      </c>
      <c r="BC328">
        <v>-12.399999999999999</v>
      </c>
      <c r="BD328">
        <v>-0.59999999999999987</v>
      </c>
      <c r="BE328">
        <v>29</v>
      </c>
      <c r="BF328">
        <v>28.5</v>
      </c>
      <c r="BG328">
        <v>30</v>
      </c>
      <c r="BH328">
        <v>-4.2960000000000003</v>
      </c>
      <c r="BI328">
        <v>27</v>
      </c>
      <c r="BJ328">
        <v>-15.36</v>
      </c>
      <c r="BK328">
        <v>-2.08</v>
      </c>
      <c r="BL328">
        <v>25</v>
      </c>
      <c r="BM328">
        <v>23</v>
      </c>
      <c r="BN328">
        <v>23</v>
      </c>
      <c r="BO328">
        <v>-1.8400000000000003</v>
      </c>
      <c r="BP328">
        <v>23</v>
      </c>
      <c r="BQ328">
        <v>-0.56000000000000005</v>
      </c>
      <c r="BR328">
        <v>-1.1999999999999997</v>
      </c>
      <c r="BS328">
        <v>24</v>
      </c>
      <c r="BT328">
        <v>20.75</v>
      </c>
      <c r="BU328">
        <v>25</v>
      </c>
      <c r="BV328">
        <v>-2.1273936880978467E-2</v>
      </c>
      <c r="BW328">
        <v>25</v>
      </c>
      <c r="BX328">
        <v>-2.7270330051635837E-2</v>
      </c>
      <c r="BY328">
        <v>5</v>
      </c>
      <c r="BZ328">
        <v>-10.512000000000002</v>
      </c>
      <c r="CA328">
        <v>28</v>
      </c>
      <c r="CB328">
        <v>-1.9200000000000004</v>
      </c>
      <c r="CC328">
        <v>1.8799999999999997</v>
      </c>
      <c r="CD328">
        <v>0.55999999999999939</v>
      </c>
      <c r="CE328">
        <v>-0.31999999999999995</v>
      </c>
      <c r="CF328">
        <v>4.1599999999999913</v>
      </c>
      <c r="CG328">
        <v>-19.440000000000005</v>
      </c>
      <c r="CH328">
        <v>0.23999999999999772</v>
      </c>
      <c r="CI328">
        <v>2.92</v>
      </c>
      <c r="CJ328">
        <v>20.440000000000001</v>
      </c>
      <c r="CK328">
        <v>2</v>
      </c>
      <c r="CL328">
        <v>9.0152000000000001</v>
      </c>
      <c r="CM328">
        <v>2.5174400000000001</v>
      </c>
      <c r="CN328">
        <v>-19.680000000000003</v>
      </c>
      <c r="CO328">
        <v>-9.0152000000000001</v>
      </c>
      <c r="CP328">
        <v>-8.9849999999999819E-2</v>
      </c>
      <c r="CQ328">
        <v>2.9540000000000002</v>
      </c>
      <c r="CR328">
        <v>5.7400000000000011</v>
      </c>
      <c r="CS328">
        <v>-3.2759999999999998</v>
      </c>
      <c r="CT328">
        <v>4.9599999999999973</v>
      </c>
      <c r="CU328">
        <v>-0.49000000000000021</v>
      </c>
      <c r="CV328">
        <v>-1.2400000000000002</v>
      </c>
      <c r="CW328">
        <v>-0.37003750000000002</v>
      </c>
      <c r="CX328">
        <v>-2.9124999999999984E-2</v>
      </c>
      <c r="CY328" t="s">
        <v>278</v>
      </c>
      <c r="CZ328">
        <v>15</v>
      </c>
      <c r="DA328">
        <v>-1.5799999999999996</v>
      </c>
      <c r="DB328">
        <v>28</v>
      </c>
      <c r="DC328">
        <v>24.5</v>
      </c>
      <c r="DD328">
        <v>25</v>
      </c>
      <c r="DE328">
        <v>-3.7036000000000002</v>
      </c>
      <c r="DF328">
        <v>24</v>
      </c>
      <c r="DG328">
        <v>-19.96</v>
      </c>
      <c r="DH328">
        <v>-0.3199999999999999</v>
      </c>
      <c r="DI328">
        <v>28</v>
      </c>
      <c r="DJ328">
        <v>25.5</v>
      </c>
      <c r="DK328">
        <v>28</v>
      </c>
      <c r="DL328">
        <v>-2.3559999999999999</v>
      </c>
      <c r="DM328">
        <v>23</v>
      </c>
      <c r="DN328">
        <v>-4.24</v>
      </c>
      <c r="DO328">
        <v>-0.68000000000000016</v>
      </c>
      <c r="DP328">
        <v>14</v>
      </c>
      <c r="DQ328">
        <v>8.5</v>
      </c>
      <c r="DR328">
        <v>9</v>
      </c>
      <c r="DS328">
        <v>0.12400000000000055</v>
      </c>
      <c r="DT328">
        <v>8</v>
      </c>
      <c r="DU328">
        <v>4.24</v>
      </c>
      <c r="DV328">
        <v>-2.56</v>
      </c>
      <c r="DW328">
        <v>17</v>
      </c>
      <c r="DX328">
        <v>16.5</v>
      </c>
      <c r="DY328">
        <v>14</v>
      </c>
      <c r="DZ328">
        <v>-0.52800000000000014</v>
      </c>
      <c r="EA328">
        <v>19</v>
      </c>
      <c r="EB328">
        <v>-12.2</v>
      </c>
      <c r="EC328">
        <v>1.1599999999999999</v>
      </c>
      <c r="ED328">
        <v>15</v>
      </c>
      <c r="EE328">
        <v>7.5</v>
      </c>
      <c r="EF328">
        <v>9</v>
      </c>
      <c r="EG328">
        <v>0.27199999999999974</v>
      </c>
      <c r="EH328">
        <v>6</v>
      </c>
      <c r="EI328">
        <v>7.6</v>
      </c>
      <c r="EJ328">
        <v>4.0000000000000036E-2</v>
      </c>
      <c r="EK328">
        <v>30</v>
      </c>
      <c r="EL328">
        <v>28.5</v>
      </c>
      <c r="EM328">
        <v>28</v>
      </c>
      <c r="EN328">
        <v>-3.9800000000000013</v>
      </c>
      <c r="EO328">
        <v>29</v>
      </c>
      <c r="EP328">
        <v>-25</v>
      </c>
      <c r="EQ328">
        <v>-1.7600000000000002</v>
      </c>
      <c r="ER328">
        <v>6</v>
      </c>
      <c r="ES328">
        <v>8</v>
      </c>
      <c r="ET328">
        <v>9</v>
      </c>
      <c r="EU328">
        <v>0.48399999999999965</v>
      </c>
      <c r="EV328">
        <v>7</v>
      </c>
      <c r="EW328">
        <v>7.24</v>
      </c>
      <c r="EX328">
        <v>0.47999999999999987</v>
      </c>
      <c r="EY328">
        <v>9</v>
      </c>
      <c r="EZ328">
        <v>9.5</v>
      </c>
      <c r="FA328">
        <v>8</v>
      </c>
      <c r="FB328">
        <v>1.5999999999999999</v>
      </c>
      <c r="FC328">
        <v>11</v>
      </c>
      <c r="FD328">
        <v>0.39999999999999997</v>
      </c>
      <c r="FE328">
        <v>3.12</v>
      </c>
      <c r="FF328">
        <v>12</v>
      </c>
      <c r="FG328">
        <v>14.5</v>
      </c>
      <c r="FH328">
        <v>25</v>
      </c>
      <c r="FI328">
        <v>-5.4069663992870755E-2</v>
      </c>
      <c r="FJ328">
        <v>6</v>
      </c>
      <c r="FK328">
        <v>5.8741029572076274E-3</v>
      </c>
      <c r="FL328">
        <v>10</v>
      </c>
      <c r="FM328">
        <v>0.90799999999999981</v>
      </c>
      <c r="FN328">
        <v>17</v>
      </c>
      <c r="FO328">
        <v>-0.56000000000000016</v>
      </c>
      <c r="FP328">
        <v>-1.4800000000000004</v>
      </c>
      <c r="FQ328">
        <v>-0.16000000000000014</v>
      </c>
      <c r="FR328">
        <v>0.96000000000000019</v>
      </c>
      <c r="FS328">
        <v>-0.48000000000000254</v>
      </c>
      <c r="FT328">
        <v>-2.8400000000000007</v>
      </c>
      <c r="FU328">
        <v>0.96</v>
      </c>
      <c r="FV328">
        <v>-19.920000000000005</v>
      </c>
      <c r="FW328">
        <v>-2.2000000000000002</v>
      </c>
      <c r="FX328">
        <v>-22.880000000000003</v>
      </c>
      <c r="FY328">
        <v>-2.04</v>
      </c>
      <c r="FZ328">
        <v>7.2</v>
      </c>
      <c r="GA328">
        <v>8</v>
      </c>
      <c r="GB328">
        <v>4.4796000000000005</v>
      </c>
      <c r="GC328">
        <v>2.7841999999999998</v>
      </c>
      <c r="GD328">
        <v>20.680000000000003</v>
      </c>
      <c r="GE328">
        <v>-4.4795999999999996</v>
      </c>
      <c r="GF328">
        <v>-0.71095000000000008</v>
      </c>
      <c r="GG328">
        <v>-0.13199999999999984</v>
      </c>
      <c r="GH328">
        <v>-0.35999999999999943</v>
      </c>
      <c r="GI328">
        <v>-6.0595999999999997</v>
      </c>
      <c r="GJ328">
        <v>-24.200000000000003</v>
      </c>
      <c r="GK328">
        <v>-0.88000000000000023</v>
      </c>
      <c r="GL328">
        <v>-1</v>
      </c>
    </row>
    <row r="329" spans="1:194" x14ac:dyDescent="0.2">
      <c r="A329" s="39">
        <v>43793</v>
      </c>
      <c r="B329" s="22" t="s">
        <v>242</v>
      </c>
      <c r="C329" s="41" t="s">
        <v>301</v>
      </c>
      <c r="D329" s="22" t="s">
        <v>307</v>
      </c>
      <c r="E329">
        <v>34.4</v>
      </c>
      <c r="F329">
        <v>5.9</v>
      </c>
      <c r="G329">
        <v>1.4</v>
      </c>
      <c r="H329">
        <v>10.8</v>
      </c>
      <c r="I329">
        <v>10</v>
      </c>
      <c r="J329">
        <v>46</v>
      </c>
      <c r="L329" s="1" t="s">
        <v>301</v>
      </c>
      <c r="M329">
        <v>26</v>
      </c>
      <c r="N329">
        <v>-4.2463999999999986</v>
      </c>
      <c r="O329">
        <v>2</v>
      </c>
      <c r="P329">
        <v>3</v>
      </c>
      <c r="Q329">
        <v>1</v>
      </c>
      <c r="R329">
        <v>15.288</v>
      </c>
      <c r="S329">
        <v>5</v>
      </c>
      <c r="T329">
        <v>35.950000000000003</v>
      </c>
      <c r="U329">
        <v>2.69</v>
      </c>
      <c r="V329">
        <v>32</v>
      </c>
      <c r="W329">
        <v>31.5</v>
      </c>
      <c r="X329">
        <v>31</v>
      </c>
      <c r="Y329">
        <v>-5.1749999999999998</v>
      </c>
      <c r="Z329">
        <v>32</v>
      </c>
      <c r="AA329">
        <v>-17.68</v>
      </c>
      <c r="AB329">
        <v>-1.03</v>
      </c>
      <c r="AC329">
        <v>7</v>
      </c>
      <c r="AD329">
        <v>6.5</v>
      </c>
      <c r="AE329">
        <v>7</v>
      </c>
      <c r="AF329">
        <v>4.5920000000000005</v>
      </c>
      <c r="AG329">
        <v>6</v>
      </c>
      <c r="AH329">
        <v>21.330000000000002</v>
      </c>
      <c r="AI329">
        <v>1.9900000000000007</v>
      </c>
      <c r="AJ329">
        <v>21</v>
      </c>
      <c r="AK329">
        <v>20.5</v>
      </c>
      <c r="AL329">
        <v>20</v>
      </c>
      <c r="AM329">
        <v>-1.9410000000000012</v>
      </c>
      <c r="AN329">
        <v>21</v>
      </c>
      <c r="AO329">
        <v>-16.330000000000002</v>
      </c>
      <c r="AP329">
        <v>0.78</v>
      </c>
      <c r="AQ329">
        <v>23</v>
      </c>
      <c r="AR329">
        <v>23.5</v>
      </c>
      <c r="AS329">
        <v>23</v>
      </c>
      <c r="AT329">
        <v>-3.1640000000000001</v>
      </c>
      <c r="AU329">
        <v>24</v>
      </c>
      <c r="AV329">
        <v>-15.24</v>
      </c>
      <c r="AW329">
        <v>-0.72</v>
      </c>
      <c r="AX329">
        <v>24</v>
      </c>
      <c r="AY329">
        <v>25</v>
      </c>
      <c r="AZ329">
        <v>23</v>
      </c>
      <c r="BA329">
        <v>-7.4159999999999995</v>
      </c>
      <c r="BB329">
        <v>27</v>
      </c>
      <c r="BC329">
        <v>-36.56</v>
      </c>
      <c r="BD329">
        <v>-1.3199999999999998</v>
      </c>
      <c r="BE329">
        <v>20</v>
      </c>
      <c r="BF329">
        <v>22</v>
      </c>
      <c r="BG329">
        <v>20</v>
      </c>
      <c r="BH329">
        <v>-3.3520000000000003</v>
      </c>
      <c r="BI329">
        <v>24</v>
      </c>
      <c r="BJ329">
        <v>-6.7200000000000006</v>
      </c>
      <c r="BK329">
        <v>-0.52000000000000013</v>
      </c>
      <c r="BL329">
        <v>32</v>
      </c>
      <c r="BM329">
        <v>31.5</v>
      </c>
      <c r="BN329">
        <v>32</v>
      </c>
      <c r="BO329">
        <v>-3</v>
      </c>
      <c r="BP329">
        <v>31</v>
      </c>
      <c r="BQ329">
        <v>-0.6</v>
      </c>
      <c r="BR329">
        <v>-1.5199999999999998</v>
      </c>
      <c r="BS329">
        <v>4</v>
      </c>
      <c r="BT329">
        <v>8.5</v>
      </c>
      <c r="BU329">
        <v>4</v>
      </c>
      <c r="BV329">
        <v>7.1021000083851246E-2</v>
      </c>
      <c r="BW329">
        <v>6</v>
      </c>
      <c r="BX329">
        <v>2.8969581800927881E-2</v>
      </c>
      <c r="BY329">
        <v>17</v>
      </c>
      <c r="BZ329">
        <v>-7.5880000000000027</v>
      </c>
      <c r="CA329">
        <v>7</v>
      </c>
      <c r="CB329">
        <v>4.3600000000000003</v>
      </c>
      <c r="CC329">
        <v>3.160000000000001</v>
      </c>
      <c r="CD329">
        <v>-3.3999999999999995</v>
      </c>
      <c r="CE329">
        <v>-0.79999999999999982</v>
      </c>
      <c r="CF329">
        <v>5.1600000000000019</v>
      </c>
      <c r="CG329">
        <v>-6.1599999999999966</v>
      </c>
      <c r="CH329">
        <v>17.48</v>
      </c>
      <c r="CI329">
        <v>3.9600000000000009</v>
      </c>
      <c r="CJ329">
        <v>-10.119999999999999</v>
      </c>
      <c r="CK329">
        <v>32</v>
      </c>
      <c r="CL329">
        <v>-14.359399999999997</v>
      </c>
      <c r="CM329">
        <v>-6.6787799999999997</v>
      </c>
      <c r="CN329">
        <v>-23.639999999999997</v>
      </c>
      <c r="CO329">
        <v>14.359399999999997</v>
      </c>
      <c r="CP329">
        <v>-0.12479999999999958</v>
      </c>
      <c r="CQ329">
        <v>-0.51300000000000079</v>
      </c>
      <c r="CR329">
        <v>-10.24</v>
      </c>
      <c r="CS329">
        <v>10.113</v>
      </c>
      <c r="CT329">
        <v>18.270000000000003</v>
      </c>
      <c r="CU329">
        <v>1.5300000000000007</v>
      </c>
      <c r="CV329">
        <v>1.66</v>
      </c>
      <c r="CW329">
        <v>0.14551250000000024</v>
      </c>
      <c r="CX329">
        <v>0.44350000000000034</v>
      </c>
      <c r="CY329" t="s">
        <v>307</v>
      </c>
      <c r="CZ329">
        <v>18</v>
      </c>
      <c r="DA329">
        <v>0.34319999999999984</v>
      </c>
      <c r="DB329">
        <v>29</v>
      </c>
      <c r="DC329">
        <v>27.5</v>
      </c>
      <c r="DD329">
        <v>26</v>
      </c>
      <c r="DE329">
        <v>-5.1050000000000004</v>
      </c>
      <c r="DF329">
        <v>29</v>
      </c>
      <c r="DG329">
        <v>-28.85</v>
      </c>
      <c r="DH329">
        <v>-4.9999999999999933E-2</v>
      </c>
      <c r="DI329">
        <v>7</v>
      </c>
      <c r="DJ329">
        <v>10</v>
      </c>
      <c r="DK329">
        <v>8</v>
      </c>
      <c r="DL329">
        <v>1.8300000000000005</v>
      </c>
      <c r="DM329">
        <v>12</v>
      </c>
      <c r="DN329">
        <v>3.3999999999999995</v>
      </c>
      <c r="DO329">
        <v>1.6</v>
      </c>
      <c r="DP329">
        <v>15</v>
      </c>
      <c r="DQ329">
        <v>19</v>
      </c>
      <c r="DR329">
        <v>18</v>
      </c>
      <c r="DS329">
        <v>0.53200000000000003</v>
      </c>
      <c r="DT329">
        <v>20</v>
      </c>
      <c r="DU329">
        <v>-6.5199999999999987</v>
      </c>
      <c r="DV329">
        <v>1.1199999999999997</v>
      </c>
      <c r="DW329">
        <v>29</v>
      </c>
      <c r="DX329">
        <v>29.5</v>
      </c>
      <c r="DY329">
        <v>27</v>
      </c>
      <c r="DZ329">
        <v>-3.4279999999999999</v>
      </c>
      <c r="EA329">
        <v>32</v>
      </c>
      <c r="EB329">
        <v>-16.52</v>
      </c>
      <c r="EC329">
        <v>-0.72000000000000008</v>
      </c>
      <c r="ED329">
        <v>27</v>
      </c>
      <c r="EE329">
        <v>25</v>
      </c>
      <c r="EF329">
        <v>25</v>
      </c>
      <c r="EG329">
        <v>-1.5719999999999998</v>
      </c>
      <c r="EH329">
        <v>25</v>
      </c>
      <c r="EI329">
        <v>-7.5199999999999987</v>
      </c>
      <c r="EJ329">
        <v>-0.32</v>
      </c>
      <c r="EK329">
        <v>24</v>
      </c>
      <c r="EL329">
        <v>23.5</v>
      </c>
      <c r="EM329">
        <v>20</v>
      </c>
      <c r="EN329">
        <v>-0.47599999999999837</v>
      </c>
      <c r="EO329">
        <v>27</v>
      </c>
      <c r="EP329">
        <v>-6.7600000000000051</v>
      </c>
      <c r="EQ329">
        <v>2.5200000000000005</v>
      </c>
      <c r="ER329">
        <v>3</v>
      </c>
      <c r="ES329">
        <v>3.5</v>
      </c>
      <c r="ET329">
        <v>3</v>
      </c>
      <c r="EU329">
        <v>4.660000000000001</v>
      </c>
      <c r="EV329">
        <v>4</v>
      </c>
      <c r="EW329">
        <v>18.600000000000001</v>
      </c>
      <c r="EX329">
        <v>2.84</v>
      </c>
      <c r="EY329">
        <v>8</v>
      </c>
      <c r="EZ329">
        <v>8.5</v>
      </c>
      <c r="FA329">
        <v>9</v>
      </c>
      <c r="FB329">
        <v>1.52</v>
      </c>
      <c r="FC329">
        <v>8</v>
      </c>
      <c r="FD329">
        <v>0.15999999999999992</v>
      </c>
      <c r="FE329">
        <v>-1.6799999999999997</v>
      </c>
      <c r="FF329">
        <v>17</v>
      </c>
      <c r="FG329">
        <v>16</v>
      </c>
      <c r="FH329">
        <v>6</v>
      </c>
      <c r="FI329">
        <v>4.2113593803773289E-2</v>
      </c>
      <c r="FJ329">
        <v>18</v>
      </c>
      <c r="FK329">
        <v>-2.1467360856892041E-2</v>
      </c>
      <c r="FL329">
        <v>21</v>
      </c>
      <c r="FM329">
        <v>2.4159999999999981</v>
      </c>
      <c r="FN329">
        <v>19</v>
      </c>
      <c r="FO329">
        <v>-0.83999999999999986</v>
      </c>
      <c r="FP329">
        <v>4.3600000000000003</v>
      </c>
      <c r="FQ329">
        <v>-5.28</v>
      </c>
      <c r="FR329">
        <v>-1.9599999999999997</v>
      </c>
      <c r="FS329">
        <v>-2.5599999999999978</v>
      </c>
      <c r="FT329">
        <v>-0.56000000000000016</v>
      </c>
      <c r="FU329">
        <v>0.76</v>
      </c>
      <c r="FV329">
        <v>-41.319999999999993</v>
      </c>
      <c r="FW329">
        <v>-14.320000000000004</v>
      </c>
      <c r="FX329">
        <v>-33.56</v>
      </c>
      <c r="FY329">
        <v>12.639999999999999</v>
      </c>
      <c r="FZ329">
        <v>-6.08</v>
      </c>
      <c r="GA329">
        <v>10</v>
      </c>
      <c r="GB329">
        <v>3.6181999999999994</v>
      </c>
      <c r="GC329">
        <v>1.7445400000000002</v>
      </c>
      <c r="GD329">
        <v>19.239999999999998</v>
      </c>
      <c r="GE329">
        <v>-3.6181999999999999</v>
      </c>
      <c r="GF329">
        <v>-0.15247499999999986</v>
      </c>
      <c r="GG329">
        <v>-4.468</v>
      </c>
      <c r="GH329">
        <v>-30.56</v>
      </c>
      <c r="GI329">
        <v>-3.2749999999999999</v>
      </c>
      <c r="GJ329">
        <v>-25.450000000000003</v>
      </c>
      <c r="GK329">
        <v>2.9199999999999995</v>
      </c>
      <c r="GL329">
        <v>1.5500000000000003</v>
      </c>
    </row>
    <row r="330" spans="1:194" x14ac:dyDescent="0.2">
      <c r="A330" s="39">
        <v>43793</v>
      </c>
      <c r="B330" s="22" t="s">
        <v>242</v>
      </c>
      <c r="C330" s="41" t="s">
        <v>265</v>
      </c>
      <c r="D330" s="22" t="s">
        <v>296</v>
      </c>
      <c r="E330">
        <v>28.1</v>
      </c>
      <c r="F330">
        <v>13.7</v>
      </c>
      <c r="G330">
        <v>2.9</v>
      </c>
      <c r="H330">
        <f>2.9+1.4</f>
        <v>4.3</v>
      </c>
      <c r="I330">
        <v>-6</v>
      </c>
      <c r="J330">
        <v>41</v>
      </c>
      <c r="L330" s="1" t="s">
        <v>265</v>
      </c>
      <c r="M330">
        <v>27</v>
      </c>
      <c r="N330">
        <v>-4.3487999999999998</v>
      </c>
      <c r="O330">
        <v>20</v>
      </c>
      <c r="P330">
        <v>21</v>
      </c>
      <c r="Q330">
        <v>23</v>
      </c>
      <c r="R330">
        <v>-2.5039999999999991</v>
      </c>
      <c r="S330">
        <v>19</v>
      </c>
      <c r="T330">
        <v>-2.4800000000000013</v>
      </c>
      <c r="U330">
        <v>3.9999999999999945E-2</v>
      </c>
      <c r="V330">
        <v>13</v>
      </c>
      <c r="W330">
        <v>13.5</v>
      </c>
      <c r="X330">
        <v>7</v>
      </c>
      <c r="Y330">
        <v>3.1160000000000005</v>
      </c>
      <c r="Z330">
        <v>20</v>
      </c>
      <c r="AA330">
        <v>-3.2319999999999993</v>
      </c>
      <c r="AB330">
        <v>2.16</v>
      </c>
      <c r="AC330">
        <v>16</v>
      </c>
      <c r="AD330">
        <v>17</v>
      </c>
      <c r="AE330">
        <v>16</v>
      </c>
      <c r="AF330">
        <v>-0.70000000000000073</v>
      </c>
      <c r="AG330">
        <v>18</v>
      </c>
      <c r="AH330">
        <v>-0.23999999999999916</v>
      </c>
      <c r="AI330">
        <v>0.32000000000000012</v>
      </c>
      <c r="AJ330">
        <v>11</v>
      </c>
      <c r="AK330">
        <v>11</v>
      </c>
      <c r="AL330">
        <v>13</v>
      </c>
      <c r="AM330">
        <v>0.66799999999999926</v>
      </c>
      <c r="AN330">
        <v>9</v>
      </c>
      <c r="AO330">
        <v>11.879999999999999</v>
      </c>
      <c r="AP330">
        <v>0.68</v>
      </c>
      <c r="AQ330">
        <v>26</v>
      </c>
      <c r="AR330">
        <v>26</v>
      </c>
      <c r="AS330">
        <v>26</v>
      </c>
      <c r="AT330">
        <v>-1.8639999999999997</v>
      </c>
      <c r="AU330">
        <v>26</v>
      </c>
      <c r="AV330">
        <v>-7.7200000000000006</v>
      </c>
      <c r="AW330">
        <v>0.68</v>
      </c>
      <c r="AX330">
        <v>8</v>
      </c>
      <c r="AY330">
        <v>9</v>
      </c>
      <c r="AZ330">
        <v>9</v>
      </c>
      <c r="BA330">
        <v>5.0920000000000005</v>
      </c>
      <c r="BB330">
        <v>9</v>
      </c>
      <c r="BC330">
        <v>21.32</v>
      </c>
      <c r="BD330">
        <v>3.4799999999999995</v>
      </c>
      <c r="BE330">
        <v>29</v>
      </c>
      <c r="BF330">
        <v>28.5</v>
      </c>
      <c r="BG330">
        <v>25</v>
      </c>
      <c r="BH330">
        <v>-5.7640000000000002</v>
      </c>
      <c r="BI330">
        <v>32</v>
      </c>
      <c r="BJ330">
        <v>-28.32</v>
      </c>
      <c r="BK330">
        <v>-2.04</v>
      </c>
      <c r="BL330">
        <v>30</v>
      </c>
      <c r="BM330">
        <v>29.5</v>
      </c>
      <c r="BN330">
        <v>31</v>
      </c>
      <c r="BO330">
        <v>-2.8399999999999994</v>
      </c>
      <c r="BP330">
        <v>28</v>
      </c>
      <c r="BQ330">
        <v>-0.12000000000000002</v>
      </c>
      <c r="BR330">
        <v>-4.4799999999999995</v>
      </c>
      <c r="BS330">
        <v>18</v>
      </c>
      <c r="BT330">
        <v>15.5</v>
      </c>
      <c r="BU330">
        <v>20</v>
      </c>
      <c r="BV330">
        <v>5.1520453362304932E-3</v>
      </c>
      <c r="BW330">
        <v>11</v>
      </c>
      <c r="BX330">
        <v>1.4276288031809557E-2</v>
      </c>
      <c r="BY330">
        <v>20</v>
      </c>
      <c r="BZ330">
        <v>-1.1400000000000035</v>
      </c>
      <c r="CA330">
        <v>11</v>
      </c>
      <c r="CB330">
        <v>0.6399999999999999</v>
      </c>
      <c r="CC330">
        <v>-0.27999999999999831</v>
      </c>
      <c r="CD330">
        <v>-5.76</v>
      </c>
      <c r="CE330">
        <v>-1.6800000000000002</v>
      </c>
      <c r="CF330">
        <v>-46.52</v>
      </c>
      <c r="CG330">
        <v>-29.2</v>
      </c>
      <c r="CH330">
        <v>-8.879999999999999</v>
      </c>
      <c r="CI330">
        <v>-2.04</v>
      </c>
      <c r="CJ330">
        <v>-6.4</v>
      </c>
      <c r="CK330">
        <v>25</v>
      </c>
      <c r="CL330">
        <v>-4.9608000000000008</v>
      </c>
      <c r="CM330">
        <v>-2.7077600000000013</v>
      </c>
      <c r="CN330">
        <v>-20.32</v>
      </c>
      <c r="CO330">
        <v>4.9608000000000008</v>
      </c>
      <c r="CP330">
        <v>-1.7795999999999998</v>
      </c>
      <c r="CQ330">
        <v>-1.8960000000000012</v>
      </c>
      <c r="CR330">
        <v>3.92</v>
      </c>
      <c r="CS330">
        <v>0.61200000000000143</v>
      </c>
      <c r="CT330">
        <v>-5.7120000000000006</v>
      </c>
      <c r="CU330">
        <v>-0.35999999999999988</v>
      </c>
      <c r="CV330">
        <v>2.2000000000000002</v>
      </c>
      <c r="CW330">
        <v>-0.59687500000000004</v>
      </c>
      <c r="CX330">
        <v>-1.4946250000000001</v>
      </c>
      <c r="CY330" t="s">
        <v>296</v>
      </c>
      <c r="CZ330">
        <v>5</v>
      </c>
      <c r="DA330">
        <v>-0.48399999999999965</v>
      </c>
      <c r="DB330">
        <v>31</v>
      </c>
      <c r="DC330">
        <v>29</v>
      </c>
      <c r="DD330">
        <v>31</v>
      </c>
      <c r="DE330">
        <v>0.50300000000000011</v>
      </c>
      <c r="DF330">
        <v>27</v>
      </c>
      <c r="DG330">
        <v>4.7</v>
      </c>
      <c r="DH330">
        <v>-1.1000000000000001</v>
      </c>
      <c r="DI330">
        <v>15</v>
      </c>
      <c r="DJ330">
        <v>16</v>
      </c>
      <c r="DK330">
        <v>24</v>
      </c>
      <c r="DL330">
        <v>-1.1400000000000001</v>
      </c>
      <c r="DM330">
        <v>8</v>
      </c>
      <c r="DN330">
        <v>4.3600000000000003</v>
      </c>
      <c r="DO330">
        <v>0.35</v>
      </c>
      <c r="DP330">
        <v>4</v>
      </c>
      <c r="DQ330">
        <v>4.5</v>
      </c>
      <c r="DR330">
        <v>4</v>
      </c>
      <c r="DS330">
        <v>6.4360000000000017</v>
      </c>
      <c r="DT330">
        <v>5</v>
      </c>
      <c r="DU330">
        <v>24.599999999999998</v>
      </c>
      <c r="DV330">
        <v>0.19999999999999982</v>
      </c>
      <c r="DW330">
        <v>13</v>
      </c>
      <c r="DX330">
        <v>13.5</v>
      </c>
      <c r="DY330">
        <v>14</v>
      </c>
      <c r="DZ330">
        <v>-3.3760000000000021</v>
      </c>
      <c r="EA330">
        <v>13</v>
      </c>
      <c r="EB330">
        <v>-11.64</v>
      </c>
      <c r="EC330">
        <v>-0.96</v>
      </c>
      <c r="ED330">
        <v>24</v>
      </c>
      <c r="EE330">
        <v>13.5</v>
      </c>
      <c r="EF330">
        <v>16</v>
      </c>
      <c r="EG330">
        <v>-1.0720000000000005</v>
      </c>
      <c r="EH330">
        <v>11</v>
      </c>
      <c r="EI330">
        <v>-6.5200000000000005</v>
      </c>
      <c r="EJ330">
        <v>-0.11999999999999993</v>
      </c>
      <c r="EK330">
        <v>2</v>
      </c>
      <c r="EL330">
        <v>3.5</v>
      </c>
      <c r="EM330">
        <v>4</v>
      </c>
      <c r="EN330">
        <v>4.4760000000000009</v>
      </c>
      <c r="EO330">
        <v>3</v>
      </c>
      <c r="EP330">
        <v>33.56</v>
      </c>
      <c r="EQ330">
        <v>0.44000000000000022</v>
      </c>
      <c r="ER330">
        <v>17</v>
      </c>
      <c r="ES330">
        <v>15.5</v>
      </c>
      <c r="ET330">
        <v>15</v>
      </c>
      <c r="EU330">
        <v>-1.02</v>
      </c>
      <c r="EV330">
        <v>16</v>
      </c>
      <c r="EW330">
        <v>-1.64</v>
      </c>
      <c r="EX330">
        <v>-0.23999999999999985</v>
      </c>
      <c r="EY330">
        <v>2</v>
      </c>
      <c r="EZ330">
        <v>3</v>
      </c>
      <c r="FA330">
        <v>2</v>
      </c>
      <c r="FB330">
        <v>2.56</v>
      </c>
      <c r="FC330">
        <v>4</v>
      </c>
      <c r="FD330">
        <v>0.59999999999999987</v>
      </c>
      <c r="FE330">
        <v>5.72</v>
      </c>
      <c r="FF330">
        <v>29</v>
      </c>
      <c r="FG330">
        <v>24</v>
      </c>
      <c r="FH330">
        <v>11</v>
      </c>
      <c r="FI330">
        <v>-4.4400737871440291E-2</v>
      </c>
      <c r="FJ330">
        <v>27</v>
      </c>
      <c r="FK330">
        <v>-2.1635198960472939E-2</v>
      </c>
      <c r="FL330">
        <v>31</v>
      </c>
      <c r="FM330">
        <v>-3.1519999999999966</v>
      </c>
      <c r="FN330">
        <v>27</v>
      </c>
      <c r="FO330">
        <v>-0.95999999999999974</v>
      </c>
      <c r="FP330">
        <v>-2.04</v>
      </c>
      <c r="FQ330">
        <v>2.9199999999999995</v>
      </c>
      <c r="FR330">
        <v>1.04</v>
      </c>
      <c r="FS330">
        <v>0.91999999999999882</v>
      </c>
      <c r="FT330">
        <v>3.3199999999999994</v>
      </c>
      <c r="FU330">
        <v>2.9999999999999996</v>
      </c>
      <c r="FV330">
        <v>-7.6799999999999953</v>
      </c>
      <c r="FW330">
        <v>-12.319999999999999</v>
      </c>
      <c r="FX330">
        <v>9.76</v>
      </c>
      <c r="FY330">
        <v>-2.6399999999999997</v>
      </c>
      <c r="FZ330">
        <v>-2.4800000000000004</v>
      </c>
      <c r="GA330">
        <v>17</v>
      </c>
      <c r="GB330">
        <v>0.15300000000000036</v>
      </c>
      <c r="GC330">
        <v>0.41529999999999984</v>
      </c>
      <c r="GD330">
        <v>-22.08</v>
      </c>
      <c r="GE330">
        <v>-0.15300000000000036</v>
      </c>
      <c r="GF330">
        <v>0.30087499999999995</v>
      </c>
      <c r="GG330">
        <v>1.9879999999999991</v>
      </c>
      <c r="GH330">
        <v>6.4399999999999968</v>
      </c>
      <c r="GI330">
        <v>-0.63700000000000001</v>
      </c>
      <c r="GJ330">
        <v>9.06</v>
      </c>
      <c r="GK330">
        <v>-1.1199999999999999</v>
      </c>
      <c r="GL330">
        <v>-0.75000000000000011</v>
      </c>
    </row>
    <row r="331" spans="1:194" x14ac:dyDescent="0.2">
      <c r="A331" s="39">
        <v>43793</v>
      </c>
      <c r="B331" s="28" t="s">
        <v>242</v>
      </c>
      <c r="C331" s="17" t="s">
        <v>272</v>
      </c>
      <c r="D331" s="28" t="s">
        <v>309</v>
      </c>
      <c r="E331" s="3">
        <v>23.1</v>
      </c>
      <c r="F331" s="3">
        <v>2</v>
      </c>
      <c r="G331" s="3">
        <v>6.3</v>
      </c>
      <c r="H331" s="3">
        <v>1.7</v>
      </c>
      <c r="I331" s="3">
        <v>5.5</v>
      </c>
      <c r="J331" s="3">
        <v>37.5</v>
      </c>
      <c r="K331" s="3"/>
      <c r="L331" s="1" t="s">
        <v>272</v>
      </c>
      <c r="M331">
        <v>22</v>
      </c>
      <c r="N331">
        <v>-3.0215999999999994</v>
      </c>
      <c r="O331">
        <v>29</v>
      </c>
      <c r="P331">
        <v>28</v>
      </c>
      <c r="Q331">
        <v>26</v>
      </c>
      <c r="R331">
        <v>0.88400000000000001</v>
      </c>
      <c r="S331">
        <v>30</v>
      </c>
      <c r="T331">
        <v>-3.8799999999999981</v>
      </c>
      <c r="U331">
        <v>-0.32000000000000006</v>
      </c>
      <c r="V331">
        <v>24</v>
      </c>
      <c r="W331">
        <v>24</v>
      </c>
      <c r="X331">
        <v>24</v>
      </c>
      <c r="Y331">
        <v>-2.984</v>
      </c>
      <c r="Z331">
        <v>24</v>
      </c>
      <c r="AA331">
        <v>-2.8</v>
      </c>
      <c r="AB331">
        <v>-3.9999999999999994E-2</v>
      </c>
      <c r="AC331">
        <v>22</v>
      </c>
      <c r="AD331">
        <v>20</v>
      </c>
      <c r="AE331">
        <v>17</v>
      </c>
      <c r="AF331">
        <v>-1.8</v>
      </c>
      <c r="AG331">
        <v>23</v>
      </c>
      <c r="AH331">
        <v>-3.9400000000000004</v>
      </c>
      <c r="AI331">
        <v>0.37000000000000011</v>
      </c>
      <c r="AJ331">
        <v>20</v>
      </c>
      <c r="AK331">
        <v>19</v>
      </c>
      <c r="AL331">
        <v>23</v>
      </c>
      <c r="AM331">
        <v>-4.0030000000000019</v>
      </c>
      <c r="AN331">
        <v>15</v>
      </c>
      <c r="AO331">
        <v>-9.25</v>
      </c>
      <c r="AP331">
        <v>-0.18999999999999986</v>
      </c>
      <c r="AQ331">
        <v>2</v>
      </c>
      <c r="AR331">
        <v>2</v>
      </c>
      <c r="AS331">
        <v>2</v>
      </c>
      <c r="AT331">
        <v>2.726</v>
      </c>
      <c r="AU331">
        <v>2</v>
      </c>
      <c r="AV331">
        <v>18.8</v>
      </c>
      <c r="AW331">
        <v>2.85</v>
      </c>
      <c r="AX331">
        <v>14</v>
      </c>
      <c r="AY331">
        <v>14.5</v>
      </c>
      <c r="AZ331">
        <v>16</v>
      </c>
      <c r="BA331">
        <v>0.46799999999999925</v>
      </c>
      <c r="BB331">
        <v>13</v>
      </c>
      <c r="BC331">
        <v>17.880000000000003</v>
      </c>
      <c r="BD331">
        <v>1.4400000000000002</v>
      </c>
      <c r="BE331">
        <v>17</v>
      </c>
      <c r="BF331">
        <v>17.5</v>
      </c>
      <c r="BG331">
        <v>19</v>
      </c>
      <c r="BH331">
        <v>-3.1839999999999997</v>
      </c>
      <c r="BI331">
        <v>16</v>
      </c>
      <c r="BJ331">
        <v>-5.96</v>
      </c>
      <c r="BK331">
        <v>-0.24000000000000013</v>
      </c>
      <c r="BL331">
        <v>12</v>
      </c>
      <c r="BM331">
        <v>11.5</v>
      </c>
      <c r="BN331">
        <v>12</v>
      </c>
      <c r="BO331">
        <v>-0.52</v>
      </c>
      <c r="BP331">
        <v>11</v>
      </c>
      <c r="BQ331">
        <v>-0.16</v>
      </c>
      <c r="BR331">
        <v>-3.5200000000000005</v>
      </c>
      <c r="BS331">
        <v>10</v>
      </c>
      <c r="BT331">
        <v>12.75</v>
      </c>
      <c r="BU331">
        <v>13</v>
      </c>
      <c r="BV331">
        <v>2.5931277331721243E-2</v>
      </c>
      <c r="BW331">
        <v>15</v>
      </c>
      <c r="BX331">
        <v>7.7559124619972592E-3</v>
      </c>
      <c r="BY331">
        <v>11</v>
      </c>
      <c r="BZ331">
        <v>2.5279999999999987</v>
      </c>
      <c r="CA331">
        <v>12</v>
      </c>
      <c r="CB331">
        <v>3.1999999999999997</v>
      </c>
      <c r="CC331">
        <v>1.6</v>
      </c>
      <c r="CD331">
        <v>-6.3599999999999994</v>
      </c>
      <c r="CE331">
        <v>-1</v>
      </c>
      <c r="CF331">
        <v>-19.239999999999998</v>
      </c>
      <c r="CG331">
        <v>-14</v>
      </c>
      <c r="CH331">
        <v>-11.16</v>
      </c>
      <c r="CI331">
        <v>0.31999999999999995</v>
      </c>
      <c r="CJ331">
        <v>5.6</v>
      </c>
      <c r="CK331">
        <v>17</v>
      </c>
      <c r="CL331">
        <v>-0.92159999999999931</v>
      </c>
      <c r="CM331">
        <v>-0.80652000000000013</v>
      </c>
      <c r="CN331">
        <v>-2.84</v>
      </c>
      <c r="CO331">
        <v>0.92159999999999931</v>
      </c>
      <c r="CP331">
        <v>-1.4878250000000002</v>
      </c>
      <c r="CQ331">
        <v>-3.0770000000000017</v>
      </c>
      <c r="CR331">
        <v>5.6099999999999994</v>
      </c>
      <c r="CS331">
        <v>-2.1</v>
      </c>
      <c r="CT331">
        <v>-6.6799999999999979</v>
      </c>
      <c r="CU331">
        <v>2.79</v>
      </c>
      <c r="CV331">
        <v>-0.36000000000000004</v>
      </c>
      <c r="CW331">
        <v>-0.26821249999999991</v>
      </c>
      <c r="CX331">
        <v>0.95277500000000026</v>
      </c>
      <c r="CY331" t="s">
        <v>309</v>
      </c>
      <c r="CZ331">
        <v>31</v>
      </c>
      <c r="DA331">
        <v>-1.1656000000000004</v>
      </c>
      <c r="DB331">
        <v>22</v>
      </c>
      <c r="DC331">
        <v>21.5</v>
      </c>
      <c r="DD331">
        <v>32</v>
      </c>
      <c r="DE331">
        <v>-5.7159999999999993</v>
      </c>
      <c r="DF331">
        <v>11</v>
      </c>
      <c r="DG331">
        <v>0.36000000000000015</v>
      </c>
      <c r="DH331">
        <v>-0.44000000000000006</v>
      </c>
      <c r="DI331">
        <v>16</v>
      </c>
      <c r="DJ331">
        <v>16.5</v>
      </c>
      <c r="DK331">
        <v>12</v>
      </c>
      <c r="DL331">
        <v>-1.1719999999999993</v>
      </c>
      <c r="DM331">
        <v>21</v>
      </c>
      <c r="DN331">
        <v>-9.32</v>
      </c>
      <c r="DO331">
        <v>7.9999999999999891E-2</v>
      </c>
      <c r="DP331">
        <v>26</v>
      </c>
      <c r="DQ331">
        <v>29.5</v>
      </c>
      <c r="DR331">
        <v>28</v>
      </c>
      <c r="DS331">
        <v>-0.53599999999999959</v>
      </c>
      <c r="DT331">
        <v>31</v>
      </c>
      <c r="DU331">
        <v>-7.4399999999999995</v>
      </c>
      <c r="DV331">
        <v>-0.76</v>
      </c>
      <c r="DW331">
        <v>29</v>
      </c>
      <c r="DX331">
        <v>29.5</v>
      </c>
      <c r="DY331">
        <v>31</v>
      </c>
      <c r="DZ331">
        <v>-0.36400000000000005</v>
      </c>
      <c r="EA331">
        <v>28</v>
      </c>
      <c r="EB331">
        <v>-3.2799999999999967</v>
      </c>
      <c r="EC331">
        <v>4.0000000000000036E-2</v>
      </c>
      <c r="ED331">
        <v>5</v>
      </c>
      <c r="EE331">
        <v>25</v>
      </c>
      <c r="EF331">
        <v>27</v>
      </c>
      <c r="EG331">
        <v>0.32400000000000057</v>
      </c>
      <c r="EH331">
        <v>23</v>
      </c>
      <c r="EI331">
        <v>1.5199999999999996</v>
      </c>
      <c r="EJ331">
        <v>-0.12000000000000002</v>
      </c>
      <c r="EK331">
        <v>27</v>
      </c>
      <c r="EL331">
        <v>27</v>
      </c>
      <c r="EM331">
        <v>30</v>
      </c>
      <c r="EN331">
        <v>-1.5360000000000014</v>
      </c>
      <c r="EO331">
        <v>24</v>
      </c>
      <c r="EP331">
        <v>-11.760000000000002</v>
      </c>
      <c r="EQ331">
        <v>-2.2399999999999998</v>
      </c>
      <c r="ER331">
        <v>24</v>
      </c>
      <c r="ES331">
        <v>24</v>
      </c>
      <c r="ET331">
        <v>24</v>
      </c>
      <c r="EU331">
        <v>0.1959999999999992</v>
      </c>
      <c r="EV331">
        <v>24</v>
      </c>
      <c r="EW331">
        <v>-7.24</v>
      </c>
      <c r="EX331">
        <v>-0.59999999999999987</v>
      </c>
      <c r="EY331">
        <v>30</v>
      </c>
      <c r="EZ331">
        <v>27.5</v>
      </c>
      <c r="FA331">
        <v>31</v>
      </c>
      <c r="FB331">
        <v>-3.4800000000000004</v>
      </c>
      <c r="FC331">
        <v>24</v>
      </c>
      <c r="FD331">
        <v>-0.44000000000000006</v>
      </c>
      <c r="FE331">
        <v>3.84</v>
      </c>
      <c r="FF331">
        <v>1</v>
      </c>
      <c r="FG331">
        <v>5.25</v>
      </c>
      <c r="FH331">
        <v>2</v>
      </c>
      <c r="FI331">
        <v>0.13215249047162195</v>
      </c>
      <c r="FJ331">
        <v>1</v>
      </c>
      <c r="FK331">
        <v>2.3905117092749329E-2</v>
      </c>
      <c r="FL331">
        <v>16</v>
      </c>
      <c r="FM331">
        <v>-3.4239999999999995</v>
      </c>
      <c r="FN331">
        <v>2</v>
      </c>
      <c r="FO331">
        <v>4.68</v>
      </c>
      <c r="FP331">
        <v>-1.3599999999999988</v>
      </c>
      <c r="FQ331">
        <v>-0.71999999999999953</v>
      </c>
      <c r="FR331">
        <v>-0.16</v>
      </c>
      <c r="FS331">
        <v>-1.6000000000000028</v>
      </c>
      <c r="FT331">
        <v>-3.72</v>
      </c>
      <c r="FU331">
        <v>1.1200000000000001</v>
      </c>
      <c r="FV331">
        <v>-31.079999999999995</v>
      </c>
      <c r="FW331">
        <v>-17.640000000000004</v>
      </c>
      <c r="FX331">
        <v>-9.56</v>
      </c>
      <c r="FY331">
        <v>2.12</v>
      </c>
      <c r="FZ331">
        <v>-6</v>
      </c>
      <c r="GA331">
        <v>6</v>
      </c>
      <c r="GB331">
        <v>5.7223999999999986</v>
      </c>
      <c r="GC331">
        <v>3.134879999999999</v>
      </c>
      <c r="GD331">
        <v>-8.0800000000000036</v>
      </c>
      <c r="GE331">
        <v>-5.7223999999999977</v>
      </c>
      <c r="GF331">
        <v>-1.4892000000000001</v>
      </c>
      <c r="GG331">
        <v>-0.57599999999999918</v>
      </c>
      <c r="GH331">
        <v>-9.1999999999999957</v>
      </c>
      <c r="GI331">
        <v>-6.8879999999999981</v>
      </c>
      <c r="GJ331">
        <v>-8.9600000000000009</v>
      </c>
      <c r="GK331">
        <v>-1.44</v>
      </c>
      <c r="GL331">
        <v>-0.36000000000000015</v>
      </c>
    </row>
    <row r="332" spans="1:194" x14ac:dyDescent="0.2">
      <c r="A332" s="39">
        <v>43793</v>
      </c>
      <c r="B332" s="22" t="s">
        <v>242</v>
      </c>
      <c r="C332" s="41" t="s">
        <v>281</v>
      </c>
      <c r="D332" s="22" t="s">
        <v>293</v>
      </c>
      <c r="E332">
        <v>20.399999999999999</v>
      </c>
      <c r="F332">
        <v>39.799999999999997</v>
      </c>
      <c r="G332">
        <v>0</v>
      </c>
      <c r="H332">
        <v>5.8</v>
      </c>
      <c r="I332">
        <v>-11</v>
      </c>
      <c r="J332">
        <v>45.5</v>
      </c>
      <c r="K332" s="20" t="s">
        <v>109</v>
      </c>
      <c r="L332" s="1" t="s">
        <v>281</v>
      </c>
      <c r="M332">
        <v>6</v>
      </c>
      <c r="N332">
        <v>3.9551999999999992</v>
      </c>
      <c r="O332">
        <v>5</v>
      </c>
      <c r="P332">
        <v>7</v>
      </c>
      <c r="Q332">
        <v>8</v>
      </c>
      <c r="R332">
        <v>2.964</v>
      </c>
      <c r="S332">
        <v>6</v>
      </c>
      <c r="T332">
        <v>22.119999999999997</v>
      </c>
      <c r="U332">
        <v>-0.12000000000000011</v>
      </c>
      <c r="V332">
        <v>4</v>
      </c>
      <c r="W332">
        <v>6</v>
      </c>
      <c r="X332">
        <v>6</v>
      </c>
      <c r="Y332">
        <v>3.508</v>
      </c>
      <c r="Z332">
        <v>6</v>
      </c>
      <c r="AA332">
        <v>1.2400000000000007</v>
      </c>
      <c r="AB332">
        <v>2.3600000000000003</v>
      </c>
      <c r="AC332">
        <v>25</v>
      </c>
      <c r="AD332">
        <v>24.5</v>
      </c>
      <c r="AE332">
        <v>25</v>
      </c>
      <c r="AF332">
        <v>-0.42000000000000048</v>
      </c>
      <c r="AG332">
        <v>24</v>
      </c>
      <c r="AH332">
        <v>5.7600000000000007</v>
      </c>
      <c r="AI332">
        <v>0.72</v>
      </c>
      <c r="AJ332">
        <v>1</v>
      </c>
      <c r="AK332">
        <v>2.5</v>
      </c>
      <c r="AL332">
        <v>1</v>
      </c>
      <c r="AM332">
        <v>10.692</v>
      </c>
      <c r="AN332">
        <v>4</v>
      </c>
      <c r="AO332">
        <v>35.080000000000005</v>
      </c>
      <c r="AP332">
        <v>4.12</v>
      </c>
      <c r="AQ332">
        <v>18</v>
      </c>
      <c r="AR332">
        <v>17.5</v>
      </c>
      <c r="AS332">
        <v>19</v>
      </c>
      <c r="AT332">
        <v>-0.19199999999999973</v>
      </c>
      <c r="AU332">
        <v>16</v>
      </c>
      <c r="AV332">
        <v>3.9999999999999855E-2</v>
      </c>
      <c r="AW332">
        <v>-0.76</v>
      </c>
      <c r="AX332">
        <v>15</v>
      </c>
      <c r="AY332">
        <v>15.5</v>
      </c>
      <c r="AZ332">
        <v>15</v>
      </c>
      <c r="BA332">
        <v>0.67600000000000016</v>
      </c>
      <c r="BB332">
        <v>16</v>
      </c>
      <c r="BC332">
        <v>2.7600000000000007</v>
      </c>
      <c r="BD332">
        <v>0.12000000000000011</v>
      </c>
      <c r="BE332">
        <v>23</v>
      </c>
      <c r="BF332">
        <v>23</v>
      </c>
      <c r="BG332">
        <v>21</v>
      </c>
      <c r="BH332">
        <v>-4.0239999999999991</v>
      </c>
      <c r="BI332">
        <v>25</v>
      </c>
      <c r="BJ332">
        <v>-17.920000000000002</v>
      </c>
      <c r="BK332">
        <v>-3.5200000000000005</v>
      </c>
      <c r="BL332">
        <v>4</v>
      </c>
      <c r="BM332">
        <v>7</v>
      </c>
      <c r="BN332">
        <v>7</v>
      </c>
      <c r="BO332">
        <v>1.52</v>
      </c>
      <c r="BP332">
        <v>7</v>
      </c>
      <c r="BQ332">
        <v>0.6</v>
      </c>
      <c r="BR332">
        <v>-0.8</v>
      </c>
      <c r="BS332">
        <v>30</v>
      </c>
      <c r="BT332">
        <v>29</v>
      </c>
      <c r="BU332">
        <v>31</v>
      </c>
      <c r="BV332">
        <v>-6.7870209951148508E-2</v>
      </c>
      <c r="BW332">
        <v>30</v>
      </c>
      <c r="BX332">
        <v>-1.5717425598831481E-2</v>
      </c>
      <c r="BY332">
        <v>24</v>
      </c>
      <c r="BZ332">
        <v>1.3200000000000016</v>
      </c>
      <c r="CA332">
        <v>31</v>
      </c>
      <c r="CB332">
        <v>-3.2800000000000002</v>
      </c>
      <c r="CC332">
        <v>4</v>
      </c>
      <c r="CD332">
        <v>4.68</v>
      </c>
      <c r="CE332">
        <v>-1.36</v>
      </c>
      <c r="CF332">
        <v>42.44</v>
      </c>
      <c r="CG332">
        <v>31.27999999999999</v>
      </c>
      <c r="CH332">
        <v>20.240000000000002</v>
      </c>
      <c r="CI332">
        <v>-3.5200000000000005</v>
      </c>
      <c r="CJ332">
        <v>-5.5600000000000005</v>
      </c>
      <c r="CK332">
        <v>21</v>
      </c>
      <c r="CL332">
        <v>-2.5168000000000008</v>
      </c>
      <c r="CM332">
        <v>-1.2337599999999997</v>
      </c>
      <c r="CN332">
        <v>11.039999999999988</v>
      </c>
      <c r="CO332">
        <v>2.5168000000000004</v>
      </c>
      <c r="CP332">
        <v>2.2503999999999995</v>
      </c>
      <c r="CQ332">
        <v>10.08</v>
      </c>
      <c r="CR332">
        <v>40.880000000000003</v>
      </c>
      <c r="CS332">
        <v>6.4719999999999995</v>
      </c>
      <c r="CT332">
        <v>23.36</v>
      </c>
      <c r="CU332">
        <v>0.55999999999999961</v>
      </c>
      <c r="CV332">
        <v>2.2400000000000002</v>
      </c>
      <c r="CW332">
        <v>1.2338500000000001</v>
      </c>
      <c r="CX332">
        <v>0.10157500000000008</v>
      </c>
      <c r="CY332" t="s">
        <v>293</v>
      </c>
      <c r="CZ332">
        <v>2</v>
      </c>
      <c r="DA332">
        <v>2.1</v>
      </c>
      <c r="DB332">
        <v>1</v>
      </c>
      <c r="DC332">
        <v>1.5</v>
      </c>
      <c r="DD332">
        <v>1</v>
      </c>
      <c r="DE332">
        <v>2.2919999999999994</v>
      </c>
      <c r="DF332">
        <v>2</v>
      </c>
      <c r="DG332">
        <v>14.64</v>
      </c>
      <c r="DH332">
        <v>-0.15999999999999998</v>
      </c>
      <c r="DI332">
        <v>30</v>
      </c>
      <c r="DJ332">
        <v>27</v>
      </c>
      <c r="DK332">
        <v>27</v>
      </c>
      <c r="DL332">
        <v>0.14400000000000029</v>
      </c>
      <c r="DM332">
        <v>27</v>
      </c>
      <c r="DN332">
        <v>-2.0799999999999996</v>
      </c>
      <c r="DO332">
        <v>0.23999999999999991</v>
      </c>
      <c r="DP332">
        <v>2</v>
      </c>
      <c r="DQ332">
        <v>1.5</v>
      </c>
      <c r="DR332">
        <v>1</v>
      </c>
      <c r="DS332">
        <v>8.8210000000000015</v>
      </c>
      <c r="DT332">
        <v>2</v>
      </c>
      <c r="DU332">
        <v>23.060000000000002</v>
      </c>
      <c r="DV332">
        <v>2.1</v>
      </c>
      <c r="DW332">
        <v>8</v>
      </c>
      <c r="DX332">
        <v>7</v>
      </c>
      <c r="DY332">
        <v>6</v>
      </c>
      <c r="DZ332">
        <v>3.0679999999999987</v>
      </c>
      <c r="EA332">
        <v>8</v>
      </c>
      <c r="EB332">
        <v>15.48</v>
      </c>
      <c r="EC332">
        <v>0.52000000000000013</v>
      </c>
      <c r="ED332">
        <v>29</v>
      </c>
      <c r="EE332">
        <v>24</v>
      </c>
      <c r="EF332">
        <v>22</v>
      </c>
      <c r="EG332">
        <v>-2.2280000000000002</v>
      </c>
      <c r="EH332">
        <v>26</v>
      </c>
      <c r="EI332">
        <v>-10.999999999999998</v>
      </c>
      <c r="EJ332">
        <v>0.4</v>
      </c>
      <c r="EK332">
        <v>9</v>
      </c>
      <c r="EL332">
        <v>9</v>
      </c>
      <c r="EM332">
        <v>8</v>
      </c>
      <c r="EN332">
        <v>3.4520000000000004</v>
      </c>
      <c r="EO332">
        <v>10</v>
      </c>
      <c r="EP332">
        <v>15.719999999999999</v>
      </c>
      <c r="EQ332">
        <v>2</v>
      </c>
      <c r="ER332">
        <v>19</v>
      </c>
      <c r="ES332">
        <v>18.5</v>
      </c>
      <c r="ET332">
        <v>25</v>
      </c>
      <c r="EU332">
        <v>1.2120000000000002</v>
      </c>
      <c r="EV332">
        <v>12</v>
      </c>
      <c r="EW332">
        <v>8.36</v>
      </c>
      <c r="EX332">
        <v>1.9600000000000002</v>
      </c>
      <c r="EY332">
        <v>1</v>
      </c>
      <c r="EZ332">
        <v>1.5</v>
      </c>
      <c r="FA332">
        <v>1</v>
      </c>
      <c r="FB332">
        <v>3.5199999999999996</v>
      </c>
      <c r="FC332">
        <v>2</v>
      </c>
      <c r="FD332">
        <v>0.79999999999999993</v>
      </c>
      <c r="FE332">
        <v>-0.40000000000000019</v>
      </c>
      <c r="FF332">
        <v>31</v>
      </c>
      <c r="FG332">
        <v>29</v>
      </c>
      <c r="FH332">
        <v>29</v>
      </c>
      <c r="FI332">
        <v>-7.7781579150107125E-2</v>
      </c>
      <c r="FJ332">
        <v>32</v>
      </c>
      <c r="FK332">
        <v>-3.1676283207522762E-2</v>
      </c>
      <c r="FL332">
        <v>30</v>
      </c>
      <c r="FM332">
        <v>11.248000000000001</v>
      </c>
      <c r="FN332">
        <v>25</v>
      </c>
      <c r="FO332">
        <v>-2.4</v>
      </c>
      <c r="FP332">
        <v>3.7199999999999998</v>
      </c>
      <c r="FQ332">
        <v>1.0399999999999998</v>
      </c>
      <c r="FR332">
        <v>-0.95999999999999974</v>
      </c>
      <c r="FS332">
        <v>2.1999999999999984</v>
      </c>
      <c r="FT332">
        <v>5.879999999999999</v>
      </c>
      <c r="FU332">
        <v>-0.96</v>
      </c>
      <c r="FV332">
        <v>45.04</v>
      </c>
      <c r="FW332">
        <v>35.800000000000004</v>
      </c>
      <c r="FX332">
        <v>13.679999999999998</v>
      </c>
      <c r="FY332">
        <v>-1.44</v>
      </c>
      <c r="FZ332">
        <v>-2.9999999999999996</v>
      </c>
      <c r="GA332">
        <v>19</v>
      </c>
      <c r="GB332">
        <v>-0.33599999999999958</v>
      </c>
      <c r="GC332">
        <v>1.3766000000000005</v>
      </c>
      <c r="GD332">
        <v>22.120000000000005</v>
      </c>
      <c r="GE332">
        <v>0.33599999999999941</v>
      </c>
      <c r="GF332">
        <v>2.3661250000000003</v>
      </c>
      <c r="GG332">
        <v>9.6609999999999996</v>
      </c>
      <c r="GH332">
        <v>27.540000000000006</v>
      </c>
      <c r="GI332">
        <v>2.4359999999999995</v>
      </c>
      <c r="GJ332">
        <v>12.56</v>
      </c>
      <c r="GK332">
        <v>4.9800000000000004</v>
      </c>
      <c r="GL332">
        <v>7.9999999999999932E-2</v>
      </c>
    </row>
    <row r="333" spans="1:194" x14ac:dyDescent="0.2">
      <c r="A333" s="39">
        <v>43793</v>
      </c>
      <c r="B333" s="22" t="s">
        <v>242</v>
      </c>
      <c r="C333" s="41" t="s">
        <v>291</v>
      </c>
      <c r="D333" s="22" t="s">
        <v>302</v>
      </c>
      <c r="E333">
        <v>0</v>
      </c>
      <c r="F333">
        <v>9.5</v>
      </c>
      <c r="G333">
        <v>12.6</v>
      </c>
      <c r="H333">
        <v>6.2</v>
      </c>
      <c r="I333">
        <v>5.5</v>
      </c>
      <c r="J333">
        <v>44.5</v>
      </c>
      <c r="K333" t="s">
        <v>109</v>
      </c>
      <c r="L333" s="1" t="s">
        <v>291</v>
      </c>
      <c r="M333">
        <v>3</v>
      </c>
      <c r="N333">
        <v>5.8367999999999993</v>
      </c>
      <c r="O333">
        <v>5</v>
      </c>
      <c r="P333">
        <v>7</v>
      </c>
      <c r="Q333">
        <v>6</v>
      </c>
      <c r="R333">
        <v>2.984</v>
      </c>
      <c r="S333">
        <v>8</v>
      </c>
      <c r="T333">
        <v>17.68</v>
      </c>
      <c r="U333">
        <v>0.32</v>
      </c>
      <c r="V333">
        <v>27</v>
      </c>
      <c r="W333">
        <v>27.5</v>
      </c>
      <c r="X333">
        <v>28</v>
      </c>
      <c r="Y333">
        <v>-0.38799999999999918</v>
      </c>
      <c r="Z333">
        <v>27</v>
      </c>
      <c r="AA333">
        <v>-5.0720000000000001</v>
      </c>
      <c r="AB333">
        <v>8.8817841970012528E-17</v>
      </c>
      <c r="AC333">
        <v>10</v>
      </c>
      <c r="AD333">
        <v>12</v>
      </c>
      <c r="AE333">
        <v>12</v>
      </c>
      <c r="AF333">
        <v>2.1191999999999998</v>
      </c>
      <c r="AG333">
        <v>12</v>
      </c>
      <c r="AH333">
        <v>8.6399999999999988</v>
      </c>
      <c r="AI333">
        <v>0.28000000000000008</v>
      </c>
      <c r="AJ333">
        <v>10</v>
      </c>
      <c r="AK333">
        <v>9</v>
      </c>
      <c r="AL333">
        <v>11</v>
      </c>
      <c r="AM333">
        <v>2.5079999999999996</v>
      </c>
      <c r="AN333">
        <v>7</v>
      </c>
      <c r="AO333">
        <v>18.96</v>
      </c>
      <c r="AP333">
        <v>1.0799999999999998</v>
      </c>
      <c r="AQ333">
        <v>1</v>
      </c>
      <c r="AR333">
        <v>1</v>
      </c>
      <c r="AS333">
        <v>1</v>
      </c>
      <c r="AT333">
        <v>7.7399999999999993</v>
      </c>
      <c r="AU333">
        <v>1</v>
      </c>
      <c r="AV333">
        <v>39.120000000000005</v>
      </c>
      <c r="AW333">
        <v>2.6800000000000006</v>
      </c>
      <c r="AX333">
        <v>2</v>
      </c>
      <c r="AY333">
        <v>3.5</v>
      </c>
      <c r="AZ333">
        <v>3</v>
      </c>
      <c r="BA333">
        <v>3.7880000000000003</v>
      </c>
      <c r="BB333">
        <v>4</v>
      </c>
      <c r="BC333">
        <v>22.679999999999996</v>
      </c>
      <c r="BD333">
        <v>1.6400000000000001</v>
      </c>
      <c r="BE333">
        <v>8</v>
      </c>
      <c r="BF333">
        <v>7</v>
      </c>
      <c r="BG333">
        <v>7</v>
      </c>
      <c r="BH333">
        <v>3.5400000000000005</v>
      </c>
      <c r="BI333">
        <v>7</v>
      </c>
      <c r="BJ333">
        <v>15.16</v>
      </c>
      <c r="BK333">
        <v>1.92</v>
      </c>
      <c r="BL333">
        <v>11</v>
      </c>
      <c r="BM333">
        <v>9.5</v>
      </c>
      <c r="BN333">
        <v>14</v>
      </c>
      <c r="BO333">
        <v>2.88</v>
      </c>
      <c r="BP333">
        <v>5</v>
      </c>
      <c r="BQ333">
        <v>0.91999999999999993</v>
      </c>
      <c r="BR333">
        <v>0.44000000000000022</v>
      </c>
      <c r="BS333">
        <v>26</v>
      </c>
      <c r="BT333">
        <v>22.25</v>
      </c>
      <c r="BU333">
        <v>18</v>
      </c>
      <c r="BV333">
        <v>-1.7460506268503522E-2</v>
      </c>
      <c r="BW333">
        <v>32</v>
      </c>
      <c r="BX333">
        <v>-4.6426843491096458E-2</v>
      </c>
      <c r="BY333">
        <v>16</v>
      </c>
      <c r="BZ333">
        <v>10.98</v>
      </c>
      <c r="CA333">
        <v>23</v>
      </c>
      <c r="CB333">
        <v>-4.5200000000000005</v>
      </c>
      <c r="CC333">
        <v>4.6399999999999988</v>
      </c>
      <c r="CD333">
        <v>6.7200000000000006</v>
      </c>
      <c r="CE333">
        <v>0</v>
      </c>
      <c r="CF333">
        <v>84.47999999999999</v>
      </c>
      <c r="CG333">
        <v>75.28</v>
      </c>
      <c r="CH333">
        <v>9.0799999999999983</v>
      </c>
      <c r="CI333">
        <v>2</v>
      </c>
      <c r="CJ333">
        <v>-1.8800000000000003</v>
      </c>
      <c r="CK333">
        <v>12</v>
      </c>
      <c r="CL333">
        <v>3.2407999999999983</v>
      </c>
      <c r="CM333">
        <v>3.0507999999999984</v>
      </c>
      <c r="CN333">
        <v>66.2</v>
      </c>
      <c r="CO333">
        <v>-3.2407999999999983</v>
      </c>
      <c r="CP333">
        <v>3.4024999999999994</v>
      </c>
      <c r="CQ333">
        <v>12.367199999999999</v>
      </c>
      <c r="CR333">
        <v>66.72</v>
      </c>
      <c r="CS333">
        <v>2.596000000000001</v>
      </c>
      <c r="CT333">
        <v>12.608000000000001</v>
      </c>
      <c r="CU333">
        <v>5.9600000000000009</v>
      </c>
      <c r="CV333">
        <v>0.32000000000000012</v>
      </c>
      <c r="CW333">
        <v>-2.9069750000000005</v>
      </c>
      <c r="CX333">
        <v>-1.690175</v>
      </c>
      <c r="CY333" t="s">
        <v>302</v>
      </c>
      <c r="CZ333">
        <v>28</v>
      </c>
      <c r="DA333">
        <v>-9.6712000000000025</v>
      </c>
      <c r="DB333">
        <v>20</v>
      </c>
      <c r="DC333">
        <v>21</v>
      </c>
      <c r="DD333">
        <v>26</v>
      </c>
      <c r="DE333">
        <v>-2.6399999999999997</v>
      </c>
      <c r="DF333">
        <v>16</v>
      </c>
      <c r="DG333">
        <v>13.920000000000002</v>
      </c>
      <c r="DH333">
        <v>0</v>
      </c>
      <c r="DI333">
        <v>19</v>
      </c>
      <c r="DJ333">
        <v>17</v>
      </c>
      <c r="DK333">
        <v>15</v>
      </c>
      <c r="DL333">
        <v>-1.9639999999999997</v>
      </c>
      <c r="DM333">
        <v>19</v>
      </c>
      <c r="DN333">
        <v>-9.3199999999999985</v>
      </c>
      <c r="DO333">
        <v>-0.20000000000000009</v>
      </c>
      <c r="DP333">
        <v>31</v>
      </c>
      <c r="DQ333">
        <v>29</v>
      </c>
      <c r="DR333">
        <v>30</v>
      </c>
      <c r="DS333">
        <v>-6.1070000000000011</v>
      </c>
      <c r="DT333">
        <v>28</v>
      </c>
      <c r="DU333">
        <v>-25.07</v>
      </c>
      <c r="DV333">
        <v>-1.3900000000000001</v>
      </c>
      <c r="DW333">
        <v>24</v>
      </c>
      <c r="DX333">
        <v>25</v>
      </c>
      <c r="DY333">
        <v>26</v>
      </c>
      <c r="DZ333">
        <v>-5.3110000000000017</v>
      </c>
      <c r="EA333">
        <v>24</v>
      </c>
      <c r="EB333">
        <v>-12.559999999999999</v>
      </c>
      <c r="EC333">
        <v>0.23000000000000007</v>
      </c>
      <c r="ED333">
        <v>23</v>
      </c>
      <c r="EE333">
        <v>21</v>
      </c>
      <c r="EF333">
        <v>25</v>
      </c>
      <c r="EG333">
        <v>-1.457000000000001</v>
      </c>
      <c r="EH333">
        <v>17</v>
      </c>
      <c r="EI333">
        <v>-0.2700000000000003</v>
      </c>
      <c r="EJ333">
        <v>0.9</v>
      </c>
      <c r="EK333">
        <v>22</v>
      </c>
      <c r="EL333">
        <v>23</v>
      </c>
      <c r="EM333">
        <v>24</v>
      </c>
      <c r="EN333">
        <v>-7.1759999999999993</v>
      </c>
      <c r="EO333">
        <v>22</v>
      </c>
      <c r="EP333">
        <v>-26.560000000000002</v>
      </c>
      <c r="EQ333">
        <v>0.16000000000000014</v>
      </c>
      <c r="ER333">
        <v>20</v>
      </c>
      <c r="ES333">
        <v>20</v>
      </c>
      <c r="ET333">
        <v>18</v>
      </c>
      <c r="EU333">
        <v>-3.3200000000000012</v>
      </c>
      <c r="EV333">
        <v>22</v>
      </c>
      <c r="EW333">
        <v>-16.252800000000001</v>
      </c>
      <c r="EX333">
        <v>-0.15999999999999998</v>
      </c>
      <c r="EY333">
        <v>24</v>
      </c>
      <c r="EZ333">
        <v>23</v>
      </c>
      <c r="FA333">
        <v>24</v>
      </c>
      <c r="FB333">
        <v>-2.5200000000000005</v>
      </c>
      <c r="FC333">
        <v>22</v>
      </c>
      <c r="FD333">
        <v>-0.56000000000000005</v>
      </c>
      <c r="FE333">
        <v>-4.4000000000000004</v>
      </c>
      <c r="FF333">
        <v>5</v>
      </c>
      <c r="FG333">
        <v>9.75</v>
      </c>
      <c r="FH333">
        <v>1</v>
      </c>
      <c r="FI333">
        <v>7.5295891862391495E-2</v>
      </c>
      <c r="FJ333">
        <v>12</v>
      </c>
      <c r="FK333">
        <v>4.1967991927981951E-3</v>
      </c>
      <c r="FL333">
        <v>23</v>
      </c>
      <c r="FM333">
        <v>-10.671999999999997</v>
      </c>
      <c r="FN333">
        <v>3</v>
      </c>
      <c r="FO333">
        <v>8.76</v>
      </c>
      <c r="FP333">
        <v>-0.59999999999999931</v>
      </c>
      <c r="FQ333">
        <v>-3.0799999999999996</v>
      </c>
      <c r="FR333">
        <v>-0.1999999999999999</v>
      </c>
      <c r="FS333">
        <v>-4.240000000000002</v>
      </c>
      <c r="FT333">
        <v>-11.6</v>
      </c>
      <c r="FU333">
        <v>-0.91999999999999993</v>
      </c>
      <c r="FV333">
        <v>-80.400000000000006</v>
      </c>
      <c r="FW333">
        <v>-72.359999999999985</v>
      </c>
      <c r="FX333">
        <v>1.2800000000000011</v>
      </c>
      <c r="FY333">
        <v>-1.8400000000000003</v>
      </c>
      <c r="FZ333">
        <v>-7.4799999999999986</v>
      </c>
      <c r="GA333">
        <v>27</v>
      </c>
      <c r="GB333">
        <v>-5.0672000000000033</v>
      </c>
      <c r="GC333">
        <v>-2.871240000000002</v>
      </c>
      <c r="GD333">
        <v>-73.639999999999986</v>
      </c>
      <c r="GE333">
        <v>5.0672000000000033</v>
      </c>
      <c r="GF333">
        <v>-4.1237750000000011</v>
      </c>
      <c r="GG333">
        <v>-12.875000000000004</v>
      </c>
      <c r="GH333">
        <v>-37.9</v>
      </c>
      <c r="GI333">
        <v>-4.6039999999999992</v>
      </c>
      <c r="GJ333">
        <v>4.6000000000000032</v>
      </c>
      <c r="GK333">
        <v>-0.4200000000000001</v>
      </c>
      <c r="GL333">
        <v>-0.20000000000000009</v>
      </c>
    </row>
    <row r="334" spans="1:194" x14ac:dyDescent="0.2">
      <c r="A334" s="39">
        <v>43793</v>
      </c>
      <c r="B334" t="s">
        <v>242</v>
      </c>
      <c r="C334" s="41" t="s">
        <v>278</v>
      </c>
      <c r="D334" t="s">
        <v>276</v>
      </c>
      <c r="E334">
        <v>3.7</v>
      </c>
      <c r="F334">
        <v>1.3</v>
      </c>
      <c r="G334">
        <v>1</v>
      </c>
      <c r="H334">
        <v>7.2</v>
      </c>
      <c r="I334">
        <v>3.5</v>
      </c>
      <c r="J334">
        <v>37</v>
      </c>
      <c r="K334" t="s">
        <v>110</v>
      </c>
      <c r="L334" s="1" t="s">
        <v>278</v>
      </c>
      <c r="M334">
        <v>31</v>
      </c>
      <c r="N334">
        <v>-6.805600000000001</v>
      </c>
      <c r="O334">
        <v>17</v>
      </c>
      <c r="P334">
        <v>17</v>
      </c>
      <c r="Q334">
        <v>24</v>
      </c>
      <c r="R334">
        <v>-4.7116000000000016</v>
      </c>
      <c r="S334">
        <v>10</v>
      </c>
      <c r="T334">
        <v>-3.5200000000000018</v>
      </c>
      <c r="U334">
        <v>-1.72</v>
      </c>
      <c r="V334">
        <v>18</v>
      </c>
      <c r="W334">
        <v>17.5</v>
      </c>
      <c r="X334">
        <v>22</v>
      </c>
      <c r="Y334">
        <v>0.2040000000000001</v>
      </c>
      <c r="Z334">
        <v>13</v>
      </c>
      <c r="AA334">
        <v>8.4400000000000013</v>
      </c>
      <c r="AB334">
        <v>-0.67999999999999983</v>
      </c>
      <c r="AC334">
        <v>11</v>
      </c>
      <c r="AD334">
        <v>12.5</v>
      </c>
      <c r="AE334">
        <v>11</v>
      </c>
      <c r="AF334">
        <v>-0.3667999999999999</v>
      </c>
      <c r="AG334">
        <v>14</v>
      </c>
      <c r="AH334">
        <v>0.41999999999999887</v>
      </c>
      <c r="AI334">
        <v>2.9899999999999998</v>
      </c>
      <c r="AJ334">
        <v>31</v>
      </c>
      <c r="AK334">
        <v>30.5</v>
      </c>
      <c r="AL334">
        <v>31</v>
      </c>
      <c r="AM334">
        <v>-6.3079999999999998</v>
      </c>
      <c r="AN334">
        <v>30</v>
      </c>
      <c r="AO334">
        <v>-21.999999999999996</v>
      </c>
      <c r="AP334">
        <v>-1.8399999999999999</v>
      </c>
      <c r="AQ334">
        <v>32</v>
      </c>
      <c r="AR334">
        <v>32</v>
      </c>
      <c r="AS334">
        <v>32</v>
      </c>
      <c r="AT334">
        <v>-4.6480000000000006</v>
      </c>
      <c r="AU334">
        <v>32</v>
      </c>
      <c r="AV334">
        <v>-17.96</v>
      </c>
      <c r="AW334">
        <v>-1.5999999999999999</v>
      </c>
      <c r="AX334">
        <v>31</v>
      </c>
      <c r="AY334">
        <v>31.5</v>
      </c>
      <c r="AZ334">
        <v>31</v>
      </c>
      <c r="BA334">
        <v>-9.9319999999999986</v>
      </c>
      <c r="BB334">
        <v>32</v>
      </c>
      <c r="BC334">
        <v>-41.320000000000007</v>
      </c>
      <c r="BD334">
        <v>-3.9199999999999995</v>
      </c>
      <c r="BE334">
        <v>9</v>
      </c>
      <c r="BF334">
        <v>8.5</v>
      </c>
      <c r="BG334">
        <v>9</v>
      </c>
      <c r="BH334">
        <v>1.923999999999999</v>
      </c>
      <c r="BI334">
        <v>8</v>
      </c>
      <c r="BJ334">
        <v>10.280000000000003</v>
      </c>
      <c r="BK334">
        <v>0.99999999999999967</v>
      </c>
      <c r="BL334">
        <v>10</v>
      </c>
      <c r="BM334">
        <v>9</v>
      </c>
      <c r="BN334">
        <v>6</v>
      </c>
      <c r="BO334">
        <v>-0.88000000000000012</v>
      </c>
      <c r="BP334">
        <v>12</v>
      </c>
      <c r="BQ334">
        <v>-0.15999999999999992</v>
      </c>
      <c r="BR334">
        <v>-0.56000000000000016</v>
      </c>
      <c r="BS334">
        <v>22</v>
      </c>
      <c r="BT334">
        <v>20.25</v>
      </c>
      <c r="BU334">
        <v>15</v>
      </c>
      <c r="BV334">
        <v>-1.8806458676438153E-3</v>
      </c>
      <c r="BW334">
        <v>19</v>
      </c>
      <c r="BX334">
        <v>2.9247117281389533E-2</v>
      </c>
      <c r="BY334">
        <v>28</v>
      </c>
      <c r="BZ334">
        <v>10.407999999999999</v>
      </c>
      <c r="CA334">
        <v>19</v>
      </c>
      <c r="CB334">
        <v>3.12</v>
      </c>
      <c r="CC334">
        <v>-2.6799999999999997</v>
      </c>
      <c r="CD334">
        <v>-4.76</v>
      </c>
      <c r="CE334">
        <v>-1.2</v>
      </c>
      <c r="CF334">
        <v>-53.440000000000012</v>
      </c>
      <c r="CG334">
        <v>-57.759999999999991</v>
      </c>
      <c r="CH334">
        <v>6.0799999999999983</v>
      </c>
      <c r="CI334">
        <v>0.48000000000000015</v>
      </c>
      <c r="CJ334">
        <v>-2.2399999999999998</v>
      </c>
      <c r="CK334">
        <v>20</v>
      </c>
      <c r="CL334">
        <v>-2.2979999999999996</v>
      </c>
      <c r="CM334">
        <v>-0.98707999999999885</v>
      </c>
      <c r="CN334">
        <v>-63.839999999999989</v>
      </c>
      <c r="CO334">
        <v>2.2979999999999992</v>
      </c>
      <c r="CP334">
        <v>-2.6989999999999998</v>
      </c>
      <c r="CQ334">
        <v>-11.322800000000001</v>
      </c>
      <c r="CR334">
        <v>-39.54</v>
      </c>
      <c r="CS334">
        <v>-4.5076000000000018</v>
      </c>
      <c r="CT334">
        <v>4.92</v>
      </c>
      <c r="CU334">
        <v>0.54999999999999971</v>
      </c>
      <c r="CV334">
        <v>-2.4</v>
      </c>
      <c r="CW334">
        <v>-0.37003750000000002</v>
      </c>
      <c r="CX334">
        <v>-0.71095000000000008</v>
      </c>
      <c r="CY334" t="s">
        <v>276</v>
      </c>
      <c r="CZ334">
        <v>24</v>
      </c>
      <c r="DA334">
        <v>-2.1671999999999989</v>
      </c>
      <c r="DB334">
        <v>10</v>
      </c>
      <c r="DC334">
        <v>10.5</v>
      </c>
      <c r="DD334">
        <v>8</v>
      </c>
      <c r="DE334">
        <v>3.0320000000000005</v>
      </c>
      <c r="DF334">
        <v>13</v>
      </c>
      <c r="DG334">
        <v>13.4</v>
      </c>
      <c r="DH334">
        <v>0.51999999999999991</v>
      </c>
      <c r="DI334">
        <v>3</v>
      </c>
      <c r="DJ334">
        <v>6</v>
      </c>
      <c r="DK334">
        <v>2</v>
      </c>
      <c r="DL334">
        <v>3.9320000000000013</v>
      </c>
      <c r="DM334">
        <v>10</v>
      </c>
      <c r="DN334">
        <v>5.9280000000000017</v>
      </c>
      <c r="DO334">
        <v>1.9199999999999995</v>
      </c>
      <c r="DP334">
        <v>17</v>
      </c>
      <c r="DQ334">
        <v>19</v>
      </c>
      <c r="DR334">
        <v>20</v>
      </c>
      <c r="DS334">
        <v>-0.55480000000000074</v>
      </c>
      <c r="DT334">
        <v>18</v>
      </c>
      <c r="DU334">
        <v>-0.9</v>
      </c>
      <c r="DV334">
        <v>3.6799999999999997</v>
      </c>
      <c r="DW334">
        <v>20</v>
      </c>
      <c r="DX334">
        <v>19</v>
      </c>
      <c r="DY334">
        <v>20</v>
      </c>
      <c r="DZ334">
        <v>-0.37300000000000005</v>
      </c>
      <c r="EA334">
        <v>18</v>
      </c>
      <c r="EB334">
        <v>-2.78</v>
      </c>
      <c r="EC334">
        <v>-0.7</v>
      </c>
      <c r="ED334">
        <v>8</v>
      </c>
      <c r="EE334">
        <v>21</v>
      </c>
      <c r="EF334">
        <v>11</v>
      </c>
      <c r="EG334">
        <v>2.1180000000000003</v>
      </c>
      <c r="EH334">
        <v>31</v>
      </c>
      <c r="EI334">
        <v>-3.5799999999999996</v>
      </c>
      <c r="EJ334">
        <v>-0.91000000000000014</v>
      </c>
      <c r="EK334">
        <v>20</v>
      </c>
      <c r="EL334">
        <v>19</v>
      </c>
      <c r="EM334">
        <v>19</v>
      </c>
      <c r="EN334">
        <v>-3.4320000000000008</v>
      </c>
      <c r="EO334">
        <v>19</v>
      </c>
      <c r="EP334">
        <v>-10.32</v>
      </c>
      <c r="EQ334">
        <v>-1.7600000000000002</v>
      </c>
      <c r="ER334">
        <v>32</v>
      </c>
      <c r="ES334">
        <v>32</v>
      </c>
      <c r="ET334">
        <v>32</v>
      </c>
      <c r="EU334">
        <v>-5.1000000000000014</v>
      </c>
      <c r="EV334">
        <v>32</v>
      </c>
      <c r="EW334">
        <v>-19.292799999999996</v>
      </c>
      <c r="EX334">
        <v>-2.04</v>
      </c>
      <c r="EY334">
        <v>32</v>
      </c>
      <c r="EZ334">
        <v>32</v>
      </c>
      <c r="FA334">
        <v>32</v>
      </c>
      <c r="FB334">
        <v>-1.1200000000000003</v>
      </c>
      <c r="FC334">
        <v>32</v>
      </c>
      <c r="FD334">
        <v>-0.52</v>
      </c>
      <c r="FE334">
        <v>-1.9200000000000004</v>
      </c>
      <c r="FF334">
        <v>7</v>
      </c>
      <c r="FG334">
        <v>12.25</v>
      </c>
      <c r="FH334">
        <v>24</v>
      </c>
      <c r="FI334">
        <v>-8.4803230554293622E-3</v>
      </c>
      <c r="FJ334">
        <v>3</v>
      </c>
      <c r="FK334">
        <v>8.8984380267632703E-3</v>
      </c>
      <c r="FL334">
        <v>17</v>
      </c>
      <c r="FM334">
        <v>-3.0439999999999983</v>
      </c>
      <c r="FN334">
        <v>5</v>
      </c>
      <c r="FO334">
        <v>-1.1999999999999997</v>
      </c>
      <c r="FP334">
        <v>-1.4799999999999991</v>
      </c>
      <c r="FQ334">
        <v>-1.1199999999999988</v>
      </c>
      <c r="FR334">
        <v>0.11999999999999993</v>
      </c>
      <c r="FS334">
        <v>-2.1200000000000019</v>
      </c>
      <c r="FT334">
        <v>-1.0799999999999996</v>
      </c>
      <c r="FU334">
        <v>0.76</v>
      </c>
      <c r="FV334">
        <v>2.8400000000000034</v>
      </c>
      <c r="FW334">
        <v>-13.800000000000006</v>
      </c>
      <c r="FX334">
        <v>16.600000000000001</v>
      </c>
      <c r="FY334">
        <v>1.6799999999999997</v>
      </c>
      <c r="FZ334">
        <v>-1.64</v>
      </c>
      <c r="GA334">
        <v>32</v>
      </c>
      <c r="GB334">
        <v>-9.1311999999999998</v>
      </c>
      <c r="GC334">
        <v>-4.6974000000000018</v>
      </c>
      <c r="GD334">
        <v>-30.400000000000006</v>
      </c>
      <c r="GE334">
        <v>9.1312000000000015</v>
      </c>
      <c r="GF334">
        <v>-2.9124999999999984E-2</v>
      </c>
      <c r="GG334">
        <v>1.1901999999999995</v>
      </c>
      <c r="GH334">
        <v>-7.26</v>
      </c>
      <c r="GI334">
        <v>6.9640000000000022</v>
      </c>
      <c r="GJ334">
        <v>19.328000000000003</v>
      </c>
      <c r="GK334">
        <v>2.9999999999999361E-2</v>
      </c>
      <c r="GL334">
        <v>2.4399999999999995</v>
      </c>
    </row>
    <row r="335" spans="1:194" x14ac:dyDescent="0.2">
      <c r="A335" s="39">
        <v>43793</v>
      </c>
      <c r="B335" s="22" t="s">
        <v>242</v>
      </c>
      <c r="C335" s="41" t="s">
        <v>299</v>
      </c>
      <c r="D335" s="22" t="s">
        <v>306</v>
      </c>
      <c r="E335">
        <v>10.1</v>
      </c>
      <c r="F335">
        <v>9.6</v>
      </c>
      <c r="G335">
        <v>5.0999999999999996</v>
      </c>
      <c r="H335">
        <v>12.1</v>
      </c>
      <c r="I335">
        <v>-4</v>
      </c>
      <c r="J335">
        <v>39</v>
      </c>
      <c r="K335" t="s">
        <v>110</v>
      </c>
      <c r="L335" s="1" t="s">
        <v>299</v>
      </c>
      <c r="M335">
        <v>2</v>
      </c>
      <c r="N335">
        <v>6.3903999999999996</v>
      </c>
      <c r="O335">
        <v>28</v>
      </c>
      <c r="P335">
        <v>26</v>
      </c>
      <c r="Q335">
        <v>31</v>
      </c>
      <c r="R335">
        <v>-6.56</v>
      </c>
      <c r="S335">
        <v>21</v>
      </c>
      <c r="T335">
        <v>-20.720000000000002</v>
      </c>
      <c r="U335">
        <v>0</v>
      </c>
      <c r="V335">
        <v>13</v>
      </c>
      <c r="W335">
        <v>13.5</v>
      </c>
      <c r="X335">
        <v>8</v>
      </c>
      <c r="Y335">
        <v>0.84800000000000009</v>
      </c>
      <c r="Z335">
        <v>19</v>
      </c>
      <c r="AA335">
        <v>-0.43999999999999845</v>
      </c>
      <c r="AB335">
        <v>0</v>
      </c>
      <c r="AC335">
        <v>5</v>
      </c>
      <c r="AD335">
        <v>5.5</v>
      </c>
      <c r="AE335">
        <v>8</v>
      </c>
      <c r="AF335">
        <v>3.7199999999999989</v>
      </c>
      <c r="AG335">
        <v>3</v>
      </c>
      <c r="AH335">
        <v>14.479999999999999</v>
      </c>
      <c r="AI335">
        <v>8.0000000000000251E-2</v>
      </c>
      <c r="AJ335">
        <v>3</v>
      </c>
      <c r="AK335">
        <v>3.5</v>
      </c>
      <c r="AL335">
        <v>2</v>
      </c>
      <c r="AM335">
        <v>7.6519999999999984</v>
      </c>
      <c r="AN335">
        <v>5</v>
      </c>
      <c r="AO335">
        <v>31.360000000000003</v>
      </c>
      <c r="AP335">
        <v>2.56</v>
      </c>
      <c r="AQ335">
        <v>10</v>
      </c>
      <c r="AR335">
        <v>10</v>
      </c>
      <c r="AS335">
        <v>10</v>
      </c>
      <c r="AT335">
        <v>2.8639999999999999</v>
      </c>
      <c r="AU335">
        <v>10</v>
      </c>
      <c r="AV335">
        <v>12.24</v>
      </c>
      <c r="AW335">
        <v>0.72000000000000008</v>
      </c>
      <c r="AX335">
        <v>9</v>
      </c>
      <c r="AY335">
        <v>10.5</v>
      </c>
      <c r="AZ335">
        <v>13</v>
      </c>
      <c r="BA335">
        <v>5.1479999999999997</v>
      </c>
      <c r="BB335">
        <v>8</v>
      </c>
      <c r="BC335">
        <v>36.68</v>
      </c>
      <c r="BD335">
        <v>3.3200000000000003</v>
      </c>
      <c r="BE335">
        <v>20</v>
      </c>
      <c r="BF335">
        <v>22</v>
      </c>
      <c r="BG335">
        <v>23</v>
      </c>
      <c r="BH335">
        <v>-4.1440000000000001</v>
      </c>
      <c r="BI335">
        <v>21</v>
      </c>
      <c r="BJ335">
        <v>-5.2</v>
      </c>
      <c r="BK335">
        <v>-1.04</v>
      </c>
      <c r="BL335">
        <v>23</v>
      </c>
      <c r="BM335">
        <v>22.5</v>
      </c>
      <c r="BN335">
        <v>20</v>
      </c>
      <c r="BO335">
        <v>-0.56000000000000016</v>
      </c>
      <c r="BP335">
        <v>25</v>
      </c>
      <c r="BQ335">
        <v>-0.51999999999999991</v>
      </c>
      <c r="BR335">
        <v>-3.04</v>
      </c>
      <c r="BS335">
        <v>5</v>
      </c>
      <c r="BT335">
        <v>9</v>
      </c>
      <c r="BU335">
        <v>6</v>
      </c>
      <c r="BV335">
        <v>4.0004721768602911E-2</v>
      </c>
      <c r="BW335">
        <v>12</v>
      </c>
      <c r="BX335">
        <v>1.7133805050002778E-2</v>
      </c>
      <c r="BY335">
        <v>9</v>
      </c>
      <c r="BZ335">
        <v>3.1879999999999979</v>
      </c>
      <c r="CA335">
        <v>9</v>
      </c>
      <c r="CB335">
        <v>2.04</v>
      </c>
      <c r="CC335">
        <v>1.9199999999999988</v>
      </c>
      <c r="CD335">
        <v>7.1054273576010023E-16</v>
      </c>
      <c r="CE335">
        <v>0.27999999999999997</v>
      </c>
      <c r="CF335">
        <v>45.36</v>
      </c>
      <c r="CG335">
        <v>59.360000000000014</v>
      </c>
      <c r="CH335">
        <v>-18.28</v>
      </c>
      <c r="CI335">
        <v>-2.2800000000000002</v>
      </c>
      <c r="CJ335">
        <v>6.5600000000000023</v>
      </c>
      <c r="CK335">
        <v>1</v>
      </c>
      <c r="CL335">
        <v>12.102399999999998</v>
      </c>
      <c r="CM335">
        <v>6.1524799999999997</v>
      </c>
      <c r="CN335">
        <v>77.640000000000015</v>
      </c>
      <c r="CO335">
        <v>-12.102399999999999</v>
      </c>
      <c r="CP335">
        <v>1.2762999999999995</v>
      </c>
      <c r="CQ335">
        <v>14.235999999999997</v>
      </c>
      <c r="CR335">
        <v>58.080000000000005</v>
      </c>
      <c r="CS335">
        <v>-5.7119999999999997</v>
      </c>
      <c r="CT335">
        <v>-21.16</v>
      </c>
      <c r="CU335">
        <v>2.3200000000000003</v>
      </c>
      <c r="CV335">
        <v>0</v>
      </c>
      <c r="CW335">
        <v>0.30522500000000019</v>
      </c>
      <c r="CX335">
        <v>2.4784999999999999</v>
      </c>
      <c r="CY335" t="s">
        <v>306</v>
      </c>
      <c r="CZ335">
        <v>22</v>
      </c>
      <c r="DA335">
        <v>-6.9887999999999977</v>
      </c>
      <c r="DB335">
        <v>11</v>
      </c>
      <c r="DC335">
        <v>11</v>
      </c>
      <c r="DD335">
        <v>16</v>
      </c>
      <c r="DE335">
        <v>1.3524000000000005</v>
      </c>
      <c r="DF335">
        <v>6</v>
      </c>
      <c r="DG335">
        <v>23.759999999999998</v>
      </c>
      <c r="DH335">
        <v>-1.2399999999999998</v>
      </c>
      <c r="DI335">
        <v>10</v>
      </c>
      <c r="DJ335">
        <v>12.5</v>
      </c>
      <c r="DK335">
        <v>16</v>
      </c>
      <c r="DL335">
        <v>-0.83199999999999963</v>
      </c>
      <c r="DM335">
        <v>9</v>
      </c>
      <c r="DN335">
        <v>5.08</v>
      </c>
      <c r="DO335">
        <v>-0.16000000000000009</v>
      </c>
      <c r="DP335">
        <v>13</v>
      </c>
      <c r="DQ335">
        <v>12</v>
      </c>
      <c r="DR335">
        <v>14</v>
      </c>
      <c r="DS335">
        <v>-1.835999999999999</v>
      </c>
      <c r="DT335">
        <v>10</v>
      </c>
      <c r="DU335">
        <v>11.160000000000002</v>
      </c>
      <c r="DV335">
        <v>-1.2000000000000004</v>
      </c>
      <c r="DW335">
        <v>26</v>
      </c>
      <c r="DX335">
        <v>26.5</v>
      </c>
      <c r="DY335">
        <v>23</v>
      </c>
      <c r="DZ335">
        <v>-5.088000000000001</v>
      </c>
      <c r="EA335">
        <v>30</v>
      </c>
      <c r="EB335">
        <v>-24.68</v>
      </c>
      <c r="EC335">
        <v>-1.92</v>
      </c>
      <c r="ED335">
        <v>32</v>
      </c>
      <c r="EE335">
        <v>15</v>
      </c>
      <c r="EF335">
        <v>15</v>
      </c>
      <c r="EG335">
        <v>-1.8280000000000001</v>
      </c>
      <c r="EH335">
        <v>15</v>
      </c>
      <c r="EI335">
        <v>-10.199999999999999</v>
      </c>
      <c r="EJ335">
        <v>-0.44000000000000011</v>
      </c>
      <c r="EK335">
        <v>7</v>
      </c>
      <c r="EL335">
        <v>7.5</v>
      </c>
      <c r="EM335">
        <v>7</v>
      </c>
      <c r="EN335">
        <v>-2.5999999999999996</v>
      </c>
      <c r="EO335">
        <v>8</v>
      </c>
      <c r="EP335">
        <v>-5.2000000000000028</v>
      </c>
      <c r="EQ335">
        <v>-1.8400000000000003</v>
      </c>
      <c r="ER335">
        <v>10</v>
      </c>
      <c r="ES335">
        <v>10.5</v>
      </c>
      <c r="ET335">
        <v>6</v>
      </c>
      <c r="EU335">
        <v>-1.3239999999999994</v>
      </c>
      <c r="EV335">
        <v>15</v>
      </c>
      <c r="EW335">
        <v>-5.08</v>
      </c>
      <c r="EX335">
        <v>-0.92000000000000015</v>
      </c>
      <c r="EY335">
        <v>12</v>
      </c>
      <c r="EZ335">
        <v>12.5</v>
      </c>
      <c r="FA335">
        <v>12</v>
      </c>
      <c r="FB335">
        <v>1.6000000000000003</v>
      </c>
      <c r="FC335">
        <v>13</v>
      </c>
      <c r="FD335">
        <v>0.96</v>
      </c>
      <c r="FE335">
        <v>2.04</v>
      </c>
      <c r="FF335">
        <v>3</v>
      </c>
      <c r="FG335">
        <v>8</v>
      </c>
      <c r="FH335">
        <v>13</v>
      </c>
      <c r="FI335">
        <v>9.2874305157077171E-3</v>
      </c>
      <c r="FJ335">
        <v>2</v>
      </c>
      <c r="FK335">
        <v>2.36597011466682E-2</v>
      </c>
      <c r="FL335">
        <v>9</v>
      </c>
      <c r="FM335">
        <v>-0.53599999999999992</v>
      </c>
      <c r="FN335">
        <v>8</v>
      </c>
      <c r="FO335">
        <v>2.96</v>
      </c>
      <c r="FP335">
        <v>-6.9600000000000009</v>
      </c>
      <c r="FQ335">
        <v>6.68</v>
      </c>
      <c r="FR335">
        <v>1.08</v>
      </c>
      <c r="FS335">
        <v>1.1199999999999974</v>
      </c>
      <c r="FT335">
        <v>-5</v>
      </c>
      <c r="FU335">
        <v>-1.56</v>
      </c>
      <c r="FV335">
        <v>-14.760000000000002</v>
      </c>
      <c r="FW335">
        <v>-44.11999999999999</v>
      </c>
      <c r="FX335">
        <v>29.079999999999995</v>
      </c>
      <c r="FY335">
        <v>-3.4</v>
      </c>
      <c r="FZ335">
        <v>3.6799999999999997</v>
      </c>
      <c r="GA335">
        <v>30</v>
      </c>
      <c r="GB335">
        <v>-7.509199999999999</v>
      </c>
      <c r="GC335">
        <v>-3.6731599999999993</v>
      </c>
      <c r="GD335">
        <v>-73.199999999999989</v>
      </c>
      <c r="GE335">
        <v>7.5091999999999981</v>
      </c>
      <c r="GF335">
        <v>-1.8680499999999995</v>
      </c>
      <c r="GG335">
        <v>-8.7519999999999989</v>
      </c>
      <c r="GH335">
        <v>-23.72</v>
      </c>
      <c r="GI335">
        <v>0.52040000000000086</v>
      </c>
      <c r="GJ335">
        <v>28.839999999999996</v>
      </c>
      <c r="GK335">
        <v>-4.4800000000000004</v>
      </c>
      <c r="GL335">
        <v>-1.4</v>
      </c>
    </row>
    <row r="336" spans="1:194" x14ac:dyDescent="0.2">
      <c r="A336" s="39">
        <v>43793</v>
      </c>
      <c r="B336" s="22" t="s">
        <v>242</v>
      </c>
      <c r="C336" s="41" t="s">
        <v>300</v>
      </c>
      <c r="D336" s="22" t="s">
        <v>256</v>
      </c>
      <c r="E336">
        <v>19.3</v>
      </c>
      <c r="F336">
        <v>3.9</v>
      </c>
      <c r="G336">
        <v>3.8</v>
      </c>
      <c r="H336">
        <f>2.8+1.7</f>
        <v>4.5</v>
      </c>
      <c r="I336">
        <v>3</v>
      </c>
      <c r="J336">
        <v>48</v>
      </c>
      <c r="L336" s="1" t="s">
        <v>300</v>
      </c>
      <c r="M336">
        <v>8</v>
      </c>
      <c r="N336">
        <v>3.6583999999999994</v>
      </c>
      <c r="O336">
        <v>22</v>
      </c>
      <c r="P336">
        <v>21.5</v>
      </c>
      <c r="Q336">
        <v>14</v>
      </c>
      <c r="R336">
        <v>0.23240000000000122</v>
      </c>
      <c r="S336">
        <v>29</v>
      </c>
      <c r="T336">
        <v>-20.68</v>
      </c>
      <c r="U336">
        <v>-0.39999999999999991</v>
      </c>
      <c r="V336">
        <v>2</v>
      </c>
      <c r="W336">
        <v>4</v>
      </c>
      <c r="X336">
        <v>4</v>
      </c>
      <c r="Y336">
        <v>5.056</v>
      </c>
      <c r="Z336">
        <v>4</v>
      </c>
      <c r="AA336">
        <v>10.239999999999998</v>
      </c>
      <c r="AB336">
        <v>1.5599999999999998</v>
      </c>
      <c r="AC336">
        <v>3</v>
      </c>
      <c r="AD336">
        <v>3.5</v>
      </c>
      <c r="AE336">
        <v>5</v>
      </c>
      <c r="AF336">
        <v>3.1480000000000006</v>
      </c>
      <c r="AG336">
        <v>2</v>
      </c>
      <c r="AH336">
        <v>15.280000000000001</v>
      </c>
      <c r="AI336">
        <v>0.52000000000000024</v>
      </c>
      <c r="AJ336">
        <v>16</v>
      </c>
      <c r="AK336">
        <v>17</v>
      </c>
      <c r="AL336">
        <v>17</v>
      </c>
      <c r="AM336">
        <v>-5.2480000000000011</v>
      </c>
      <c r="AN336">
        <v>17</v>
      </c>
      <c r="AO336">
        <v>-26.24</v>
      </c>
      <c r="AP336">
        <v>-1.1599999999999999</v>
      </c>
      <c r="AQ336">
        <v>20</v>
      </c>
      <c r="AR336">
        <v>19</v>
      </c>
      <c r="AS336">
        <v>18</v>
      </c>
      <c r="AT336">
        <v>0.40799999999999947</v>
      </c>
      <c r="AU336">
        <v>20</v>
      </c>
      <c r="AV336">
        <v>1.1200000000000003</v>
      </c>
      <c r="AW336">
        <v>-0.16000000000000006</v>
      </c>
      <c r="AX336">
        <v>18</v>
      </c>
      <c r="AY336">
        <v>17</v>
      </c>
      <c r="AZ336">
        <v>12</v>
      </c>
      <c r="BA336">
        <v>5.363999999999999</v>
      </c>
      <c r="BB336">
        <v>22</v>
      </c>
      <c r="BC336">
        <v>26.839999999999996</v>
      </c>
      <c r="BD336">
        <v>1.4</v>
      </c>
      <c r="BE336">
        <v>27</v>
      </c>
      <c r="BF336">
        <v>27</v>
      </c>
      <c r="BG336">
        <v>26</v>
      </c>
      <c r="BH336">
        <v>-2.3880000000000003</v>
      </c>
      <c r="BI336">
        <v>28</v>
      </c>
      <c r="BJ336">
        <v>-7.08</v>
      </c>
      <c r="BK336">
        <v>-1.9600000000000002</v>
      </c>
      <c r="BL336">
        <v>31</v>
      </c>
      <c r="BM336">
        <v>31</v>
      </c>
      <c r="BN336">
        <v>30</v>
      </c>
      <c r="BO336">
        <v>-1.72</v>
      </c>
      <c r="BP336">
        <v>32</v>
      </c>
      <c r="BQ336">
        <v>-1.1599999999999999</v>
      </c>
      <c r="BR336">
        <v>-3.84</v>
      </c>
      <c r="BS336">
        <v>16</v>
      </c>
      <c r="BT336">
        <v>14.5</v>
      </c>
      <c r="BU336">
        <v>17</v>
      </c>
      <c r="BV336">
        <v>-2.186606896517318E-2</v>
      </c>
      <c r="BW336">
        <v>14</v>
      </c>
      <c r="BX336">
        <v>-9.6942671285626964E-3</v>
      </c>
      <c r="BY336">
        <v>3</v>
      </c>
      <c r="BZ336">
        <v>-3.3919999999999986</v>
      </c>
      <c r="CA336">
        <v>24</v>
      </c>
      <c r="CB336">
        <v>-3.72</v>
      </c>
      <c r="CC336">
        <v>-3.2800000000000011</v>
      </c>
      <c r="CD336">
        <v>0.4799999999999997</v>
      </c>
      <c r="CE336">
        <v>-1.48</v>
      </c>
      <c r="CF336">
        <v>-13.920000000000005</v>
      </c>
      <c r="CG336">
        <v>10.160000000000007</v>
      </c>
      <c r="CH336">
        <v>-16.200000000000003</v>
      </c>
      <c r="CI336">
        <v>-0.11999999999999993</v>
      </c>
      <c r="CJ336">
        <v>-7.76</v>
      </c>
      <c r="CK336">
        <v>18</v>
      </c>
      <c r="CL336">
        <v>-1.6300000000000017</v>
      </c>
      <c r="CM336">
        <v>-2.7285200000000009</v>
      </c>
      <c r="CN336">
        <v>26.36000000000001</v>
      </c>
      <c r="CO336">
        <v>1.6300000000000017</v>
      </c>
      <c r="CP336">
        <v>0.39334999999999976</v>
      </c>
      <c r="CQ336">
        <v>-1.6920000000000011</v>
      </c>
      <c r="CR336">
        <v>-9.8399999999999963</v>
      </c>
      <c r="CS336">
        <v>5.2884000000000011</v>
      </c>
      <c r="CT336">
        <v>-10.440000000000001</v>
      </c>
      <c r="CU336">
        <v>-2.76</v>
      </c>
      <c r="CV336">
        <v>1.1599999999999999</v>
      </c>
      <c r="CW336">
        <v>-0.44383749999999977</v>
      </c>
      <c r="CX336">
        <v>1.1947750000000006</v>
      </c>
      <c r="CY336" t="s">
        <v>256</v>
      </c>
      <c r="CZ336">
        <v>22</v>
      </c>
      <c r="DA336">
        <v>-3.029599999999999</v>
      </c>
      <c r="DB336">
        <v>14</v>
      </c>
      <c r="DC336">
        <v>16</v>
      </c>
      <c r="DD336">
        <v>22</v>
      </c>
      <c r="DE336">
        <v>-3.0899999999999985</v>
      </c>
      <c r="DF336">
        <v>10</v>
      </c>
      <c r="DG336">
        <v>4.08</v>
      </c>
      <c r="DH336">
        <v>-0.83999999999999986</v>
      </c>
      <c r="DI336">
        <v>32</v>
      </c>
      <c r="DJ336">
        <v>32</v>
      </c>
      <c r="DK336">
        <v>32</v>
      </c>
      <c r="DL336">
        <v>-1.02</v>
      </c>
      <c r="DM336">
        <v>32</v>
      </c>
      <c r="DN336">
        <v>-4.92</v>
      </c>
      <c r="DO336">
        <v>0.82000000000000006</v>
      </c>
      <c r="DP336">
        <v>28</v>
      </c>
      <c r="DQ336">
        <v>26.5</v>
      </c>
      <c r="DR336">
        <v>23</v>
      </c>
      <c r="DS336">
        <v>-3.1240000000000001</v>
      </c>
      <c r="DT336">
        <v>30</v>
      </c>
      <c r="DU336">
        <v>-24.720000000000002</v>
      </c>
      <c r="DV336">
        <v>-0.28000000000000008</v>
      </c>
      <c r="DW336">
        <v>31</v>
      </c>
      <c r="DX336">
        <v>30.5</v>
      </c>
      <c r="DY336">
        <v>32</v>
      </c>
      <c r="DZ336">
        <v>-4.6840000000000019</v>
      </c>
      <c r="EA336">
        <v>29</v>
      </c>
      <c r="EB336">
        <v>-12.52</v>
      </c>
      <c r="EC336">
        <v>0.8</v>
      </c>
      <c r="ED336">
        <v>7</v>
      </c>
      <c r="EE336">
        <v>14</v>
      </c>
      <c r="EF336">
        <v>12</v>
      </c>
      <c r="EG336">
        <v>1.6520000000000006</v>
      </c>
      <c r="EH336">
        <v>16</v>
      </c>
      <c r="EI336">
        <v>3.2400000000000011</v>
      </c>
      <c r="EJ336">
        <v>-0.44000000000000006</v>
      </c>
      <c r="EK336">
        <v>27</v>
      </c>
      <c r="EL336">
        <v>27</v>
      </c>
      <c r="EM336">
        <v>26</v>
      </c>
      <c r="EN336">
        <v>-4.5479999999999992</v>
      </c>
      <c r="EO336">
        <v>28</v>
      </c>
      <c r="EP336">
        <v>-30.28</v>
      </c>
      <c r="EQ336">
        <v>-1.8399999999999999</v>
      </c>
      <c r="ER336">
        <v>22</v>
      </c>
      <c r="ES336">
        <v>23.5</v>
      </c>
      <c r="ET336">
        <v>19</v>
      </c>
      <c r="EU336">
        <v>-1.4839999999999995</v>
      </c>
      <c r="EV336">
        <v>28</v>
      </c>
      <c r="EW336">
        <v>-15.24</v>
      </c>
      <c r="EX336">
        <v>-0.44000000000000022</v>
      </c>
      <c r="EY336">
        <v>18</v>
      </c>
      <c r="EZ336">
        <v>20</v>
      </c>
      <c r="FA336">
        <v>22</v>
      </c>
      <c r="FB336">
        <v>-1.8799999999999997</v>
      </c>
      <c r="FC336">
        <v>18</v>
      </c>
      <c r="FD336">
        <v>-0.64000000000000012</v>
      </c>
      <c r="FE336">
        <v>-0.80000000000000016</v>
      </c>
      <c r="FF336">
        <v>13</v>
      </c>
      <c r="FG336">
        <v>14.75</v>
      </c>
      <c r="FH336">
        <v>23</v>
      </c>
      <c r="FI336">
        <v>-1.0224930424006162E-2</v>
      </c>
      <c r="FJ336">
        <v>8</v>
      </c>
      <c r="FK336">
        <v>3.6541286887413475E-2</v>
      </c>
      <c r="FL336">
        <v>24</v>
      </c>
      <c r="FM336">
        <v>3.0799999999999996</v>
      </c>
      <c r="FN336">
        <v>4</v>
      </c>
      <c r="FO336">
        <v>4.160000000000001</v>
      </c>
      <c r="FP336">
        <v>-0.52000000000000024</v>
      </c>
      <c r="FQ336">
        <v>1.079999999999999</v>
      </c>
      <c r="FR336">
        <v>0.52000000000000024</v>
      </c>
      <c r="FS336">
        <v>2.4</v>
      </c>
      <c r="FT336">
        <v>-4.16</v>
      </c>
      <c r="FU336">
        <v>1.44</v>
      </c>
      <c r="FV336">
        <v>-34.36</v>
      </c>
      <c r="FW336">
        <v>-53.440000000000012</v>
      </c>
      <c r="FX336">
        <v>7.1599999999999993</v>
      </c>
      <c r="FY336">
        <v>0.96000000000000052</v>
      </c>
      <c r="FZ336">
        <v>10.96</v>
      </c>
      <c r="GA336">
        <v>16</v>
      </c>
      <c r="GB336">
        <v>1.0803999999999996</v>
      </c>
      <c r="GC336">
        <v>-7.8920000000000989E-2</v>
      </c>
      <c r="GD336">
        <v>-60.600000000000009</v>
      </c>
      <c r="GE336">
        <v>-1.0803999999999996</v>
      </c>
      <c r="GF336">
        <v>-2.0824500000000001</v>
      </c>
      <c r="GG336">
        <v>-6.1560000000000006</v>
      </c>
      <c r="GH336">
        <v>-34</v>
      </c>
      <c r="GI336">
        <v>-4.1099999999999985</v>
      </c>
      <c r="GJ336">
        <v>-0.83999999999999986</v>
      </c>
      <c r="GK336">
        <v>-0.36000000000000026</v>
      </c>
      <c r="GL336">
        <v>-1.9999999999999796E-2</v>
      </c>
    </row>
    <row r="337" spans="1:194" x14ac:dyDescent="0.2">
      <c r="A337" s="39">
        <v>43793</v>
      </c>
      <c r="B337" s="22" t="s">
        <v>242</v>
      </c>
      <c r="C337" s="41" t="s">
        <v>311</v>
      </c>
      <c r="D337" s="22" t="s">
        <v>289</v>
      </c>
      <c r="E337">
        <v>27.4</v>
      </c>
      <c r="F337" s="14">
        <v>24</v>
      </c>
      <c r="G337">
        <v>1.6</v>
      </c>
      <c r="H337">
        <f>5.6+3.4</f>
        <v>9</v>
      </c>
      <c r="I337">
        <v>3.5</v>
      </c>
      <c r="J337">
        <v>46</v>
      </c>
      <c r="L337" s="4" t="s">
        <v>311</v>
      </c>
      <c r="M337" s="3">
        <v>13</v>
      </c>
      <c r="N337" s="3">
        <v>2.2936000000000001</v>
      </c>
      <c r="O337" s="3">
        <v>22</v>
      </c>
      <c r="P337" s="3">
        <v>21.5</v>
      </c>
      <c r="Q337" s="3">
        <v>30</v>
      </c>
      <c r="R337" s="3">
        <v>-4.1120000000000001</v>
      </c>
      <c r="S337" s="3">
        <v>13</v>
      </c>
      <c r="T337" s="3">
        <v>17.52</v>
      </c>
      <c r="U337" s="3">
        <v>-3.3600000000000003</v>
      </c>
      <c r="V337" s="3">
        <v>8</v>
      </c>
      <c r="W337" s="3">
        <v>9.5</v>
      </c>
      <c r="X337" s="3">
        <v>3</v>
      </c>
      <c r="Y337" s="3">
        <v>2.964</v>
      </c>
      <c r="Z337" s="3">
        <v>16</v>
      </c>
      <c r="AA337">
        <v>-0.28000000000000042</v>
      </c>
      <c r="AB337">
        <v>0.60000000000000009</v>
      </c>
      <c r="AC337">
        <v>2</v>
      </c>
      <c r="AD337">
        <v>2.5</v>
      </c>
      <c r="AE337">
        <v>1</v>
      </c>
      <c r="AF337">
        <v>9.3199999999999985</v>
      </c>
      <c r="AG337">
        <v>4</v>
      </c>
      <c r="AH337">
        <v>21.499999999999996</v>
      </c>
      <c r="AI337">
        <v>3.1700000000000004</v>
      </c>
      <c r="AJ337">
        <v>15</v>
      </c>
      <c r="AK337">
        <v>15</v>
      </c>
      <c r="AL337">
        <v>16</v>
      </c>
      <c r="AM337">
        <v>-0.57500000000000018</v>
      </c>
      <c r="AN337">
        <v>14</v>
      </c>
      <c r="AO337">
        <v>5.150000000000003</v>
      </c>
      <c r="AP337">
        <v>-0.39</v>
      </c>
      <c r="AQ337">
        <v>21</v>
      </c>
      <c r="AR337">
        <v>21</v>
      </c>
      <c r="AS337">
        <v>21</v>
      </c>
      <c r="AT337">
        <v>-0.19800000000000023</v>
      </c>
      <c r="AU337">
        <v>21</v>
      </c>
      <c r="AV337">
        <v>-6.6800000000000015</v>
      </c>
      <c r="AW337">
        <v>-1.27</v>
      </c>
      <c r="AX337">
        <v>17</v>
      </c>
      <c r="AY337">
        <v>16.5</v>
      </c>
      <c r="AZ337">
        <v>21</v>
      </c>
      <c r="BA337">
        <v>-1.5759999999999994</v>
      </c>
      <c r="BB337">
        <v>12</v>
      </c>
      <c r="BC337">
        <v>2.240000000000002</v>
      </c>
      <c r="BD337">
        <v>3.5527136788005011E-16</v>
      </c>
      <c r="BE337">
        <v>11</v>
      </c>
      <c r="BF337">
        <v>12</v>
      </c>
      <c r="BG337">
        <v>11</v>
      </c>
      <c r="BH337">
        <v>2.7720000000000002</v>
      </c>
      <c r="BI337">
        <v>13</v>
      </c>
      <c r="BJ337">
        <v>10.52</v>
      </c>
      <c r="BK337">
        <v>0.23999999999999977</v>
      </c>
      <c r="BL337">
        <v>22</v>
      </c>
      <c r="BM337">
        <v>20.5</v>
      </c>
      <c r="BN337">
        <v>22</v>
      </c>
      <c r="BO337">
        <v>0.76</v>
      </c>
      <c r="BP337">
        <v>19</v>
      </c>
      <c r="BQ337">
        <v>0.24</v>
      </c>
      <c r="BR337">
        <v>-2.44</v>
      </c>
      <c r="BS337">
        <v>20</v>
      </c>
      <c r="BT337">
        <v>17.5</v>
      </c>
      <c r="BU337">
        <v>1</v>
      </c>
      <c r="BV337">
        <v>-2.1989971385540262E-3</v>
      </c>
      <c r="BW337">
        <v>24</v>
      </c>
      <c r="BX337">
        <v>5.7623190563600574E-3</v>
      </c>
      <c r="BY337">
        <v>15</v>
      </c>
      <c r="BZ337">
        <v>-5.452</v>
      </c>
      <c r="CA337">
        <v>30</v>
      </c>
      <c r="CB337">
        <v>-2.4800000000000004</v>
      </c>
      <c r="CC337">
        <v>1</v>
      </c>
      <c r="CD337">
        <v>1.8400000000000003</v>
      </c>
      <c r="CE337">
        <v>-0.83999999999999986</v>
      </c>
      <c r="CF337">
        <v>47.319999999999993</v>
      </c>
      <c r="CG337">
        <v>20.840000000000003</v>
      </c>
      <c r="CH337">
        <v>16.359999999999996</v>
      </c>
      <c r="CI337">
        <v>-1.7600000000000002</v>
      </c>
      <c r="CJ337">
        <v>11.879999999999999</v>
      </c>
      <c r="CK337">
        <v>11</v>
      </c>
      <c r="CL337">
        <v>3.4415999999999998</v>
      </c>
      <c r="CM337">
        <v>3.2965200000000001</v>
      </c>
      <c r="CN337">
        <v>4.4800000000000075</v>
      </c>
      <c r="CO337">
        <v>-3.4416000000000002</v>
      </c>
      <c r="CP337">
        <v>1.6530749999999999</v>
      </c>
      <c r="CQ337">
        <v>8.546999999999997</v>
      </c>
      <c r="CR337">
        <v>19.97</v>
      </c>
      <c r="CS337">
        <v>-1.1480000000000001</v>
      </c>
      <c r="CT337">
        <v>17.239999999999998</v>
      </c>
      <c r="CU337">
        <v>1.75</v>
      </c>
      <c r="CV337">
        <v>-2.7600000000000002</v>
      </c>
      <c r="CW337">
        <v>0.32943750000000016</v>
      </c>
      <c r="CX337">
        <v>1.0983500000000004</v>
      </c>
      <c r="CY337" t="s">
        <v>289</v>
      </c>
      <c r="CZ337">
        <v>25</v>
      </c>
      <c r="DA337">
        <v>-1.4399999999999986</v>
      </c>
      <c r="DB337">
        <v>20</v>
      </c>
      <c r="DC337">
        <v>21</v>
      </c>
      <c r="DD337">
        <v>17</v>
      </c>
      <c r="DE337">
        <v>-0.76800000000000135</v>
      </c>
      <c r="DF337">
        <v>25</v>
      </c>
      <c r="DG337">
        <v>-21.000000000000004</v>
      </c>
      <c r="DH337">
        <v>1.7600000000000002</v>
      </c>
      <c r="DI337">
        <v>16</v>
      </c>
      <c r="DJ337">
        <v>16.5</v>
      </c>
      <c r="DK337">
        <v>26</v>
      </c>
      <c r="DL337">
        <v>-0.17199999999999971</v>
      </c>
      <c r="DM337">
        <v>7</v>
      </c>
      <c r="DN337">
        <v>13</v>
      </c>
      <c r="DO337">
        <v>-0.80000000000000016</v>
      </c>
      <c r="DP337">
        <v>24</v>
      </c>
      <c r="DQ337">
        <v>20</v>
      </c>
      <c r="DR337">
        <v>21</v>
      </c>
      <c r="DS337">
        <v>-3.7638000000000007</v>
      </c>
      <c r="DT337">
        <v>19</v>
      </c>
      <c r="DU337">
        <v>-7.1400000000000006</v>
      </c>
      <c r="DV337">
        <v>-2.62</v>
      </c>
      <c r="DW337">
        <v>5</v>
      </c>
      <c r="DX337">
        <v>5.5</v>
      </c>
      <c r="DY337">
        <v>7</v>
      </c>
      <c r="DZ337">
        <v>3.6640000000000006</v>
      </c>
      <c r="EA337">
        <v>4</v>
      </c>
      <c r="EB337">
        <v>15.560000000000002</v>
      </c>
      <c r="EC337">
        <v>0.96</v>
      </c>
      <c r="ED337">
        <v>29</v>
      </c>
      <c r="EE337">
        <v>26</v>
      </c>
      <c r="EF337">
        <v>24</v>
      </c>
      <c r="EG337">
        <v>-2.1639999999999997</v>
      </c>
      <c r="EH337">
        <v>28</v>
      </c>
      <c r="EI337">
        <v>-7.76</v>
      </c>
      <c r="EJ337">
        <v>-0.47999999999999987</v>
      </c>
      <c r="EK337">
        <v>17</v>
      </c>
      <c r="EL337">
        <v>16.5</v>
      </c>
      <c r="EM337">
        <v>15</v>
      </c>
      <c r="EN337">
        <v>-1.4679999999999995</v>
      </c>
      <c r="EO337">
        <v>18</v>
      </c>
      <c r="EP337">
        <v>-5.8800000000000008</v>
      </c>
      <c r="EQ337">
        <v>-0.35999999999999976</v>
      </c>
      <c r="ER337">
        <v>27</v>
      </c>
      <c r="ES337">
        <v>26</v>
      </c>
      <c r="ET337">
        <v>27</v>
      </c>
      <c r="EU337">
        <v>-0.51200000000000045</v>
      </c>
      <c r="EV337">
        <v>25</v>
      </c>
      <c r="EW337">
        <v>-2.8800000000000003</v>
      </c>
      <c r="EX337">
        <v>0.44000000000000006</v>
      </c>
      <c r="EY337">
        <v>5</v>
      </c>
      <c r="EZ337">
        <v>4.5</v>
      </c>
      <c r="FA337">
        <v>5</v>
      </c>
      <c r="FB337">
        <v>1.64</v>
      </c>
      <c r="FC337">
        <v>4</v>
      </c>
      <c r="FD337">
        <v>0.43999999999999995</v>
      </c>
      <c r="FE337">
        <v>1.72</v>
      </c>
      <c r="FF337">
        <v>28</v>
      </c>
      <c r="FG337">
        <v>23</v>
      </c>
      <c r="FH337">
        <v>27</v>
      </c>
      <c r="FI337">
        <v>-2.9282481809458784E-2</v>
      </c>
      <c r="FJ337">
        <v>18</v>
      </c>
      <c r="FK337">
        <v>-2.7927212841673876E-2</v>
      </c>
      <c r="FL337">
        <v>26</v>
      </c>
      <c r="FM337">
        <v>8.892000000000003</v>
      </c>
      <c r="FN337">
        <v>21</v>
      </c>
      <c r="FO337">
        <v>-1.6799999999999997</v>
      </c>
      <c r="FP337">
        <v>-4.000000000000057E-2</v>
      </c>
      <c r="FQ337">
        <v>-0.4799999999999997</v>
      </c>
      <c r="FR337">
        <v>-1.6</v>
      </c>
      <c r="FS337">
        <v>-3.8</v>
      </c>
      <c r="FT337">
        <v>-0.88000000000000045</v>
      </c>
      <c r="FU337">
        <v>0.2</v>
      </c>
      <c r="FV337">
        <v>-28.79999999999999</v>
      </c>
      <c r="FW337">
        <v>-8.8000000000000007</v>
      </c>
      <c r="FX337">
        <v>-10.639999999999997</v>
      </c>
      <c r="FY337">
        <v>-1.56</v>
      </c>
      <c r="FZ337">
        <v>-7.8</v>
      </c>
      <c r="GA337">
        <v>20</v>
      </c>
      <c r="GB337">
        <v>-0.49999999999999756</v>
      </c>
      <c r="GC337">
        <v>-0.37315999999999927</v>
      </c>
      <c r="GD337">
        <v>1.8399999999999963</v>
      </c>
      <c r="GE337">
        <v>0.49999999999999756</v>
      </c>
      <c r="GF337">
        <v>-0.43947500000000006</v>
      </c>
      <c r="GG337">
        <v>-2.2637999999999998</v>
      </c>
      <c r="GH337">
        <v>0.66000000000000192</v>
      </c>
      <c r="GI337">
        <v>-0.94000000000000106</v>
      </c>
      <c r="GJ337">
        <v>-8.0000000000000036</v>
      </c>
      <c r="GK337">
        <v>-1.7000000000000002</v>
      </c>
      <c r="GL337">
        <v>0.96000000000000008</v>
      </c>
    </row>
    <row r="338" spans="1:194" x14ac:dyDescent="0.2">
      <c r="A338" s="39">
        <v>43793</v>
      </c>
      <c r="B338" s="22" t="s">
        <v>242</v>
      </c>
      <c r="C338" s="41" t="s">
        <v>289</v>
      </c>
      <c r="D338" s="22" t="s">
        <v>311</v>
      </c>
      <c r="E338">
        <v>4.8</v>
      </c>
      <c r="F338">
        <v>2.2000000000000002</v>
      </c>
      <c r="G338">
        <v>0</v>
      </c>
      <c r="H338">
        <f>8.4+5.8</f>
        <v>14.2</v>
      </c>
      <c r="I338">
        <v>-3.5</v>
      </c>
      <c r="J338">
        <v>46</v>
      </c>
      <c r="L338" s="1" t="s">
        <v>289</v>
      </c>
      <c r="M338">
        <v>29</v>
      </c>
      <c r="N338">
        <v>-5.7368000000000006</v>
      </c>
      <c r="O338">
        <v>11</v>
      </c>
      <c r="P338">
        <v>11.5</v>
      </c>
      <c r="Q338">
        <v>19</v>
      </c>
      <c r="R338">
        <v>3.8959999999999999</v>
      </c>
      <c r="S338">
        <v>4</v>
      </c>
      <c r="T338">
        <v>31.920000000000005</v>
      </c>
      <c r="U338">
        <v>-1.7200000000000002</v>
      </c>
      <c r="V338">
        <v>23</v>
      </c>
      <c r="W338">
        <v>20.5</v>
      </c>
      <c r="X338">
        <v>18</v>
      </c>
      <c r="Y338">
        <v>1.4239999999999997</v>
      </c>
      <c r="Z338">
        <v>23</v>
      </c>
      <c r="AA338">
        <v>1.1600000000000008</v>
      </c>
      <c r="AB338">
        <v>1.36</v>
      </c>
      <c r="AC338">
        <v>18</v>
      </c>
      <c r="AD338">
        <v>18</v>
      </c>
      <c r="AE338">
        <v>21</v>
      </c>
      <c r="AF338">
        <v>-6.0499999999999989</v>
      </c>
      <c r="AG338">
        <v>15</v>
      </c>
      <c r="AH338">
        <v>-22.749999999999996</v>
      </c>
      <c r="AI338">
        <v>-1.0000000000000002</v>
      </c>
      <c r="AJ338">
        <v>18</v>
      </c>
      <c r="AK338">
        <v>18.5</v>
      </c>
      <c r="AL338">
        <v>14</v>
      </c>
      <c r="AM338">
        <v>-7.2650000000000006</v>
      </c>
      <c r="AN338">
        <v>23</v>
      </c>
      <c r="AO338">
        <v>-26.55</v>
      </c>
      <c r="AP338">
        <v>-3.2</v>
      </c>
      <c r="AQ338">
        <v>22</v>
      </c>
      <c r="AR338">
        <v>22</v>
      </c>
      <c r="AS338">
        <v>22</v>
      </c>
      <c r="AT338">
        <v>-1.865</v>
      </c>
      <c r="AU338">
        <v>22</v>
      </c>
      <c r="AV338">
        <v>-15.55</v>
      </c>
      <c r="AW338">
        <v>-0.5</v>
      </c>
      <c r="AX338">
        <v>12</v>
      </c>
      <c r="AY338">
        <v>12</v>
      </c>
      <c r="AZ338">
        <v>14</v>
      </c>
      <c r="BA338">
        <v>0.8519999999999992</v>
      </c>
      <c r="BB338">
        <v>10</v>
      </c>
      <c r="BC338">
        <v>0.1200000000000017</v>
      </c>
      <c r="BD338">
        <v>1.5599999999999998</v>
      </c>
      <c r="BE338">
        <v>7</v>
      </c>
      <c r="BF338">
        <v>6.5</v>
      </c>
      <c r="BG338">
        <v>8</v>
      </c>
      <c r="BH338">
        <v>2.7119999999999997</v>
      </c>
      <c r="BI338">
        <v>5</v>
      </c>
      <c r="BJ338">
        <v>18.119999999999997</v>
      </c>
      <c r="BK338">
        <v>2.3199999999999998</v>
      </c>
      <c r="BL338">
        <v>19</v>
      </c>
      <c r="BM338">
        <v>19.5</v>
      </c>
      <c r="BN338">
        <v>24</v>
      </c>
      <c r="BO338">
        <v>-0.2</v>
      </c>
      <c r="BP338">
        <v>15</v>
      </c>
      <c r="BQ338">
        <v>0.16</v>
      </c>
      <c r="BR338">
        <v>-1.6799999999999997</v>
      </c>
      <c r="BS338">
        <v>3</v>
      </c>
      <c r="BT338">
        <v>7.75</v>
      </c>
      <c r="BU338">
        <v>4</v>
      </c>
      <c r="BV338">
        <v>9.418761728330724E-2</v>
      </c>
      <c r="BW338">
        <v>8</v>
      </c>
      <c r="BX338">
        <v>2.2766077466829193E-2</v>
      </c>
      <c r="BY338">
        <v>13</v>
      </c>
      <c r="BZ338">
        <v>1.283999999999996</v>
      </c>
      <c r="CA338">
        <v>6</v>
      </c>
      <c r="CB338">
        <v>1.72</v>
      </c>
      <c r="CC338">
        <v>1.3599999999999994</v>
      </c>
      <c r="CD338">
        <v>-2.3200000000000012</v>
      </c>
      <c r="CE338">
        <v>-0.48000000000000009</v>
      </c>
      <c r="CF338">
        <v>-17.920000000000005</v>
      </c>
      <c r="CG338">
        <v>-54.120000000000005</v>
      </c>
      <c r="CH338">
        <v>34.68</v>
      </c>
      <c r="CI338">
        <v>5.7200000000000006</v>
      </c>
      <c r="CJ338">
        <v>-4.2000000000000011</v>
      </c>
      <c r="CK338">
        <v>31</v>
      </c>
      <c r="CL338">
        <v>-11.056799999999999</v>
      </c>
      <c r="CM338">
        <v>-6.3009599999999999</v>
      </c>
      <c r="CN338">
        <v>-88.800000000000011</v>
      </c>
      <c r="CO338">
        <v>11.056799999999999</v>
      </c>
      <c r="CP338">
        <v>-1.6355999999999999</v>
      </c>
      <c r="CQ338">
        <v>-15.18</v>
      </c>
      <c r="CR338">
        <v>-64.849999999999994</v>
      </c>
      <c r="CS338">
        <v>5.3199999999999994</v>
      </c>
      <c r="CT338">
        <v>33.080000000000005</v>
      </c>
      <c r="CU338">
        <v>-2.3800000000000003</v>
      </c>
      <c r="CV338">
        <v>-0.3600000000000001</v>
      </c>
      <c r="CW338">
        <v>0.32943750000000016</v>
      </c>
      <c r="CX338">
        <v>-0.43947500000000006</v>
      </c>
      <c r="CY338" t="s">
        <v>311</v>
      </c>
      <c r="CZ338">
        <v>6</v>
      </c>
      <c r="DA338">
        <v>4.3848000000000003</v>
      </c>
      <c r="DB338">
        <v>27</v>
      </c>
      <c r="DC338">
        <v>24</v>
      </c>
      <c r="DD338">
        <v>18</v>
      </c>
      <c r="DE338">
        <v>-2.6639999999999993</v>
      </c>
      <c r="DF338">
        <v>30</v>
      </c>
      <c r="DG338">
        <v>-30</v>
      </c>
      <c r="DH338">
        <v>0.88000000000000012</v>
      </c>
      <c r="DI338">
        <v>1</v>
      </c>
      <c r="DJ338">
        <v>1</v>
      </c>
      <c r="DK338">
        <v>1</v>
      </c>
      <c r="DL338">
        <v>2.46</v>
      </c>
      <c r="DM338">
        <v>1</v>
      </c>
      <c r="DN338">
        <v>15</v>
      </c>
      <c r="DO338">
        <v>-0.15999999999999998</v>
      </c>
      <c r="DP338">
        <v>15</v>
      </c>
      <c r="DQ338">
        <v>11.5</v>
      </c>
      <c r="DR338">
        <v>11</v>
      </c>
      <c r="DS338">
        <v>0.53900000000000003</v>
      </c>
      <c r="DT338">
        <v>12</v>
      </c>
      <c r="DU338">
        <v>0.75</v>
      </c>
      <c r="DV338">
        <v>1.0899999999999999</v>
      </c>
      <c r="DW338">
        <v>23</v>
      </c>
      <c r="DX338">
        <v>23</v>
      </c>
      <c r="DY338">
        <v>25</v>
      </c>
      <c r="DZ338">
        <v>2.1260000000000003</v>
      </c>
      <c r="EA338">
        <v>21</v>
      </c>
      <c r="EB338">
        <v>10.62</v>
      </c>
      <c r="EC338">
        <v>-0.19000000000000022</v>
      </c>
      <c r="ED338">
        <v>10</v>
      </c>
      <c r="EE338">
        <v>8.5</v>
      </c>
      <c r="EF338">
        <v>8</v>
      </c>
      <c r="EG338">
        <v>0.85699999999999998</v>
      </c>
      <c r="EH338">
        <v>9</v>
      </c>
      <c r="EI338">
        <v>7.0299999999999994</v>
      </c>
      <c r="EJ338">
        <v>-0.66999999999999993</v>
      </c>
      <c r="EK338">
        <v>15</v>
      </c>
      <c r="EL338">
        <v>15.5</v>
      </c>
      <c r="EM338">
        <v>18</v>
      </c>
      <c r="EN338">
        <v>1.2120000000000004</v>
      </c>
      <c r="EO338">
        <v>13</v>
      </c>
      <c r="EP338">
        <v>19.32</v>
      </c>
      <c r="EQ338">
        <v>0.6</v>
      </c>
      <c r="ER338">
        <v>14</v>
      </c>
      <c r="ES338">
        <v>14</v>
      </c>
      <c r="ET338">
        <v>14</v>
      </c>
      <c r="EU338">
        <v>2.444</v>
      </c>
      <c r="EV338">
        <v>14</v>
      </c>
      <c r="EW338">
        <v>9.0399999999999991</v>
      </c>
      <c r="EX338">
        <v>1.2799999999999998</v>
      </c>
      <c r="EY338">
        <v>22</v>
      </c>
      <c r="EZ338">
        <v>21.5</v>
      </c>
      <c r="FA338">
        <v>19</v>
      </c>
      <c r="FB338">
        <v>-1.36</v>
      </c>
      <c r="FC338">
        <v>24</v>
      </c>
      <c r="FD338">
        <v>-0.72000000000000008</v>
      </c>
      <c r="FE338">
        <v>-2.4800000000000004</v>
      </c>
      <c r="FF338">
        <v>27</v>
      </c>
      <c r="FG338">
        <v>22.75</v>
      </c>
      <c r="FH338">
        <v>31</v>
      </c>
      <c r="FI338">
        <v>-7.785657970867868E-2</v>
      </c>
      <c r="FJ338">
        <v>30</v>
      </c>
      <c r="FK338">
        <v>-3.5662405549610553E-2</v>
      </c>
      <c r="FL338">
        <v>2</v>
      </c>
      <c r="FM338">
        <v>-11.480000000000004</v>
      </c>
      <c r="FN338">
        <v>28</v>
      </c>
      <c r="FO338">
        <v>-2.44</v>
      </c>
      <c r="FP338">
        <v>2.7999999999999994</v>
      </c>
      <c r="FQ338">
        <v>-2.0799999999999996</v>
      </c>
      <c r="FR338">
        <v>-0.55999999999999983</v>
      </c>
      <c r="FS338">
        <v>-0.92000000000000171</v>
      </c>
      <c r="FT338">
        <v>0.83999999999999986</v>
      </c>
      <c r="FU338">
        <v>-1.7200000000000002</v>
      </c>
      <c r="FV338">
        <v>20.719999999999992</v>
      </c>
      <c r="FW338">
        <v>38.96</v>
      </c>
      <c r="FX338">
        <v>-12.039999999999997</v>
      </c>
      <c r="FY338">
        <v>-6.32</v>
      </c>
      <c r="FZ338">
        <v>0.12000000000000099</v>
      </c>
      <c r="GA338">
        <v>7</v>
      </c>
      <c r="GB338">
        <v>4.5888</v>
      </c>
      <c r="GC338">
        <v>2.1721599999999999</v>
      </c>
      <c r="GD338">
        <v>51</v>
      </c>
      <c r="GE338">
        <v>-4.5887999999999991</v>
      </c>
      <c r="GF338">
        <v>1.0983500000000004</v>
      </c>
      <c r="GG338">
        <v>3.5220000000000002</v>
      </c>
      <c r="GH338">
        <v>18.399999999999999</v>
      </c>
      <c r="GI338">
        <v>-0.20399999999999929</v>
      </c>
      <c r="GJ338">
        <v>-15</v>
      </c>
      <c r="GK338">
        <v>1.5099999999999996</v>
      </c>
      <c r="GL338">
        <v>0.7200000000000002</v>
      </c>
    </row>
    <row r="339" spans="1:194" x14ac:dyDescent="0.2">
      <c r="A339" s="39">
        <v>43793</v>
      </c>
      <c r="B339" s="22" t="s">
        <v>242</v>
      </c>
      <c r="C339" s="41" t="s">
        <v>297</v>
      </c>
      <c r="D339" s="22" t="s">
        <v>310</v>
      </c>
      <c r="E339">
        <v>10.8</v>
      </c>
      <c r="F339">
        <v>14.9</v>
      </c>
      <c r="G339">
        <v>8.9</v>
      </c>
      <c r="H339">
        <v>7.6</v>
      </c>
      <c r="I339">
        <v>4.5</v>
      </c>
      <c r="J339">
        <v>42</v>
      </c>
      <c r="K339" t="s">
        <v>110</v>
      </c>
      <c r="L339" s="1" t="s">
        <v>297</v>
      </c>
      <c r="M339">
        <v>20</v>
      </c>
      <c r="N339">
        <v>-1.968</v>
      </c>
      <c r="O339">
        <v>10</v>
      </c>
      <c r="P339">
        <v>9.5</v>
      </c>
      <c r="Q339">
        <v>3</v>
      </c>
      <c r="R339">
        <v>5.5759999999999987</v>
      </c>
      <c r="S339">
        <v>16</v>
      </c>
      <c r="T339">
        <v>14.440000000000001</v>
      </c>
      <c r="U339">
        <v>2.8</v>
      </c>
      <c r="V339">
        <v>28</v>
      </c>
      <c r="W339">
        <v>28.5</v>
      </c>
      <c r="X339">
        <v>26</v>
      </c>
      <c r="Y339">
        <v>-2.9359999999999999</v>
      </c>
      <c r="Z339">
        <v>31</v>
      </c>
      <c r="AA339">
        <v>-16.16</v>
      </c>
      <c r="AB339">
        <v>-0.39999999999999997</v>
      </c>
      <c r="AC339">
        <v>31</v>
      </c>
      <c r="AD339">
        <v>31.5</v>
      </c>
      <c r="AE339">
        <v>32</v>
      </c>
      <c r="AF339">
        <v>-3.9560000000000004</v>
      </c>
      <c r="AG339">
        <v>31</v>
      </c>
      <c r="AH339">
        <v>-25</v>
      </c>
      <c r="AI339">
        <v>0.36000000000000015</v>
      </c>
      <c r="AJ339">
        <v>7</v>
      </c>
      <c r="AK339">
        <v>8</v>
      </c>
      <c r="AL339">
        <v>4</v>
      </c>
      <c r="AM339">
        <v>4.1319999999999997</v>
      </c>
      <c r="AN339">
        <v>12</v>
      </c>
      <c r="AO339">
        <v>13.88</v>
      </c>
      <c r="AP339">
        <v>2.5200000000000005</v>
      </c>
      <c r="AQ339">
        <v>3</v>
      </c>
      <c r="AR339">
        <v>3</v>
      </c>
      <c r="AS339">
        <v>3</v>
      </c>
      <c r="AT339">
        <v>5.6960000000000006</v>
      </c>
      <c r="AU339">
        <v>3</v>
      </c>
      <c r="AV339">
        <v>31.479999999999997</v>
      </c>
      <c r="AW339">
        <v>3</v>
      </c>
      <c r="AX339">
        <v>13</v>
      </c>
      <c r="AY339">
        <v>12.5</v>
      </c>
      <c r="AZ339">
        <v>10</v>
      </c>
      <c r="BA339">
        <v>4.5839999999999996</v>
      </c>
      <c r="BB339">
        <v>15</v>
      </c>
      <c r="BC339">
        <v>7.8400000000000007</v>
      </c>
      <c r="BD339">
        <v>1.44</v>
      </c>
      <c r="BE339">
        <v>32</v>
      </c>
      <c r="BF339">
        <v>31</v>
      </c>
      <c r="BG339">
        <v>32</v>
      </c>
      <c r="BH339">
        <v>-7.1079999999999997</v>
      </c>
      <c r="BI339">
        <v>30</v>
      </c>
      <c r="BJ339">
        <v>-28.76</v>
      </c>
      <c r="BK339">
        <v>-2.8</v>
      </c>
      <c r="BL339">
        <v>27</v>
      </c>
      <c r="BM339">
        <v>27</v>
      </c>
      <c r="BN339">
        <v>27</v>
      </c>
      <c r="BO339">
        <v>-0.23999999999999985</v>
      </c>
      <c r="BP339">
        <v>27</v>
      </c>
      <c r="BQ339">
        <v>0.20000000000000012</v>
      </c>
      <c r="BR339">
        <v>0.28000000000000008</v>
      </c>
      <c r="BS339">
        <v>7</v>
      </c>
      <c r="BT339">
        <v>11.25</v>
      </c>
      <c r="BU339">
        <v>7</v>
      </c>
      <c r="BV339">
        <v>2.0571256805007598E-2</v>
      </c>
      <c r="BW339">
        <v>17</v>
      </c>
      <c r="BX339">
        <v>-1.9511614917143622E-3</v>
      </c>
      <c r="BY339">
        <v>18</v>
      </c>
      <c r="BZ339">
        <v>-14.512</v>
      </c>
      <c r="CA339">
        <v>3</v>
      </c>
      <c r="CB339">
        <v>1.52</v>
      </c>
      <c r="CC339">
        <v>5.8400000000000007</v>
      </c>
      <c r="CD339">
        <v>-4.24</v>
      </c>
      <c r="CE339">
        <v>0.12000000000000002</v>
      </c>
      <c r="CF339">
        <v>22.999999999999989</v>
      </c>
      <c r="CG339">
        <v>18.400000000000006</v>
      </c>
      <c r="CH339">
        <v>-7.4</v>
      </c>
      <c r="CI339">
        <v>4.3600000000000003</v>
      </c>
      <c r="CJ339">
        <v>7.6399999999999988</v>
      </c>
      <c r="CK339">
        <v>23</v>
      </c>
      <c r="CL339">
        <v>-4.6079999999999988</v>
      </c>
      <c r="CM339">
        <v>-1.9607999999999994</v>
      </c>
      <c r="CN339">
        <v>25.800000000000004</v>
      </c>
      <c r="CO339">
        <v>4.6079999999999988</v>
      </c>
      <c r="CP339">
        <v>-0.1005000000000001</v>
      </c>
      <c r="CQ339">
        <v>5.8719999999999999</v>
      </c>
      <c r="CR339">
        <v>20.36</v>
      </c>
      <c r="CS339">
        <v>2.6399999999999988</v>
      </c>
      <c r="CT339">
        <v>-1.7199999999999989</v>
      </c>
      <c r="CU339">
        <v>3.080000000000001</v>
      </c>
      <c r="CV339">
        <v>2.4</v>
      </c>
      <c r="CW339">
        <v>1.2358625000000001</v>
      </c>
      <c r="CX339">
        <v>0.83592499999999981</v>
      </c>
      <c r="CY339" t="s">
        <v>310</v>
      </c>
      <c r="CZ339">
        <v>11</v>
      </c>
      <c r="DA339">
        <v>4.0144000000000002</v>
      </c>
      <c r="DB339">
        <v>7</v>
      </c>
      <c r="DC339">
        <v>10</v>
      </c>
      <c r="DD339">
        <v>13</v>
      </c>
      <c r="DE339">
        <v>2.0840000000000005</v>
      </c>
      <c r="DF339">
        <v>7</v>
      </c>
      <c r="DG339">
        <v>6.6</v>
      </c>
      <c r="DH339">
        <v>0.28000000000000008</v>
      </c>
      <c r="DI339">
        <v>23</v>
      </c>
      <c r="DJ339">
        <v>19.5</v>
      </c>
      <c r="DK339">
        <v>22</v>
      </c>
      <c r="DL339">
        <v>0.35600000000000021</v>
      </c>
      <c r="DM339">
        <v>17</v>
      </c>
      <c r="DN339">
        <v>-3.9200000000000004</v>
      </c>
      <c r="DO339">
        <v>0.36</v>
      </c>
      <c r="DP339">
        <v>3</v>
      </c>
      <c r="DQ339">
        <v>1.5</v>
      </c>
      <c r="DR339">
        <v>2</v>
      </c>
      <c r="DS339">
        <v>6.3519999999999994</v>
      </c>
      <c r="DT339">
        <v>1</v>
      </c>
      <c r="DU339">
        <v>26.240000000000002</v>
      </c>
      <c r="DV339">
        <v>2.4799999999999995</v>
      </c>
      <c r="DW339">
        <v>11</v>
      </c>
      <c r="DX339">
        <v>13</v>
      </c>
      <c r="DY339">
        <v>14</v>
      </c>
      <c r="DZ339">
        <v>-0.59599999999999975</v>
      </c>
      <c r="EA339">
        <v>12</v>
      </c>
      <c r="EB339">
        <v>-3.5599999999999978</v>
      </c>
      <c r="EC339">
        <v>-0.84000000000000008</v>
      </c>
      <c r="ED339">
        <v>28</v>
      </c>
      <c r="EE339">
        <v>30</v>
      </c>
      <c r="EF339">
        <v>30</v>
      </c>
      <c r="EG339">
        <v>-1.6359999999999999</v>
      </c>
      <c r="EH339">
        <v>30</v>
      </c>
      <c r="EI339">
        <v>-9.08</v>
      </c>
      <c r="EJ339">
        <v>1.52</v>
      </c>
      <c r="EK339">
        <v>6</v>
      </c>
      <c r="EL339">
        <v>5.5</v>
      </c>
      <c r="EM339">
        <v>6</v>
      </c>
      <c r="EN339">
        <v>4.1080000000000005</v>
      </c>
      <c r="EO339">
        <v>5</v>
      </c>
      <c r="EP339">
        <v>30.28</v>
      </c>
      <c r="EQ339">
        <v>2.2800000000000002</v>
      </c>
      <c r="ER339">
        <v>6</v>
      </c>
      <c r="ES339">
        <v>8</v>
      </c>
      <c r="ET339">
        <v>7</v>
      </c>
      <c r="EU339">
        <v>1.0319999999999998</v>
      </c>
      <c r="EV339">
        <v>9</v>
      </c>
      <c r="EW339">
        <v>9.120000000000001</v>
      </c>
      <c r="EX339">
        <v>-0.52000000000000013</v>
      </c>
      <c r="EY339">
        <v>3</v>
      </c>
      <c r="EZ339">
        <v>3.5</v>
      </c>
      <c r="FA339">
        <v>6</v>
      </c>
      <c r="FB339">
        <v>1.48</v>
      </c>
      <c r="FC339">
        <v>1</v>
      </c>
      <c r="FD339">
        <v>0.43999999999999995</v>
      </c>
      <c r="FE339">
        <v>-1.4000000000000001</v>
      </c>
      <c r="FF339">
        <v>15</v>
      </c>
      <c r="FG339">
        <v>15.75</v>
      </c>
      <c r="FH339">
        <v>16</v>
      </c>
      <c r="FI339">
        <v>3.3336378702793143E-2</v>
      </c>
      <c r="FJ339">
        <v>21</v>
      </c>
      <c r="FK339">
        <v>-7.2293233789136064E-3</v>
      </c>
      <c r="FL339">
        <v>13</v>
      </c>
      <c r="FM339">
        <v>4.5279999999999987</v>
      </c>
      <c r="FN339">
        <v>13</v>
      </c>
      <c r="FO339">
        <v>-0.84000000000000008</v>
      </c>
      <c r="FP339">
        <v>2.9599999999999995</v>
      </c>
      <c r="FQ339">
        <v>2.3599999999999994</v>
      </c>
      <c r="FR339">
        <v>0.16000000000000009</v>
      </c>
      <c r="FS339">
        <v>5.6400000000000023</v>
      </c>
      <c r="FT339">
        <v>3.1199999999999997</v>
      </c>
      <c r="FU339">
        <v>-0.91999999999999993</v>
      </c>
      <c r="FV339">
        <v>29.640000000000008</v>
      </c>
      <c r="FW339">
        <v>33.76</v>
      </c>
      <c r="FX339">
        <v>-0.63999999999999768</v>
      </c>
      <c r="FY339">
        <v>-2.12</v>
      </c>
      <c r="FZ339">
        <v>-1.36</v>
      </c>
      <c r="GA339">
        <v>14</v>
      </c>
      <c r="GB339">
        <v>1.5743999999999994</v>
      </c>
      <c r="GC339">
        <v>0.61327999999999938</v>
      </c>
      <c r="GD339">
        <v>34.4</v>
      </c>
      <c r="GE339">
        <v>-1.5743999999999994</v>
      </c>
      <c r="GF339">
        <v>1.6358000000000001</v>
      </c>
      <c r="GG339">
        <v>4.1199999999999992</v>
      </c>
      <c r="GH339">
        <v>13.600000000000003</v>
      </c>
      <c r="GI339">
        <v>2.4400000000000008</v>
      </c>
      <c r="GJ339">
        <v>2.6799999999999993</v>
      </c>
      <c r="GK339">
        <v>2.6399999999999992</v>
      </c>
      <c r="GL339">
        <v>0.64000000000000012</v>
      </c>
    </row>
    <row r="340" spans="1:194" x14ac:dyDescent="0.2">
      <c r="A340" s="39">
        <v>43793</v>
      </c>
      <c r="B340" s="22" t="s">
        <v>242</v>
      </c>
      <c r="C340" s="41" t="s">
        <v>303</v>
      </c>
      <c r="D340" s="22" t="s">
        <v>298</v>
      </c>
      <c r="E340">
        <v>3.8</v>
      </c>
      <c r="F340">
        <v>6.1</v>
      </c>
      <c r="G340">
        <v>2.5</v>
      </c>
      <c r="H340">
        <v>8.4</v>
      </c>
      <c r="I340">
        <v>-3.5</v>
      </c>
      <c r="J340">
        <v>45</v>
      </c>
      <c r="L340" s="1" t="s">
        <v>303</v>
      </c>
      <c r="M340">
        <v>28</v>
      </c>
      <c r="N340">
        <v>-4.5152000000000001</v>
      </c>
      <c r="O340">
        <v>7</v>
      </c>
      <c r="P340">
        <v>7.5</v>
      </c>
      <c r="Q340">
        <v>12</v>
      </c>
      <c r="R340">
        <v>0.74000000000000088</v>
      </c>
      <c r="S340">
        <v>3</v>
      </c>
      <c r="T340">
        <v>18.360000000000003</v>
      </c>
      <c r="U340">
        <v>-0.27999999999999997</v>
      </c>
      <c r="V340">
        <v>22</v>
      </c>
      <c r="W340">
        <v>19.5</v>
      </c>
      <c r="X340">
        <v>17</v>
      </c>
      <c r="Y340">
        <v>-4.3999999999999595E-2</v>
      </c>
      <c r="Z340">
        <v>22</v>
      </c>
      <c r="AA340">
        <v>-12.352</v>
      </c>
      <c r="AB340">
        <v>1.4</v>
      </c>
      <c r="AC340">
        <v>30</v>
      </c>
      <c r="AD340">
        <v>30.5</v>
      </c>
      <c r="AE340">
        <v>31</v>
      </c>
      <c r="AF340">
        <v>-4.6840000000000002</v>
      </c>
      <c r="AG340">
        <v>30</v>
      </c>
      <c r="AH340">
        <v>-15.879999999999995</v>
      </c>
      <c r="AI340">
        <v>-2.4</v>
      </c>
      <c r="AJ340">
        <v>24</v>
      </c>
      <c r="AK340">
        <v>23</v>
      </c>
      <c r="AL340">
        <v>22</v>
      </c>
      <c r="AM340">
        <v>-0.21600000000000144</v>
      </c>
      <c r="AN340">
        <v>24</v>
      </c>
      <c r="AO340">
        <v>1.2799999999999998</v>
      </c>
      <c r="AP340">
        <v>-0.28000000000000008</v>
      </c>
      <c r="AQ340">
        <v>25</v>
      </c>
      <c r="AR340">
        <v>25</v>
      </c>
      <c r="AS340">
        <v>25</v>
      </c>
      <c r="AT340">
        <v>-2.456</v>
      </c>
      <c r="AU340">
        <v>25</v>
      </c>
      <c r="AV340">
        <v>-12.280000000000001</v>
      </c>
      <c r="AW340">
        <v>-0.48000000000000009</v>
      </c>
      <c r="AX340">
        <v>24</v>
      </c>
      <c r="AY340">
        <v>25</v>
      </c>
      <c r="AZ340">
        <v>27</v>
      </c>
      <c r="BA340">
        <v>-5.6320000000000006</v>
      </c>
      <c r="BB340">
        <v>23</v>
      </c>
      <c r="BC340">
        <v>-16.720000000000002</v>
      </c>
      <c r="BD340">
        <v>-1.0000000000000004</v>
      </c>
      <c r="BE340">
        <v>5</v>
      </c>
      <c r="BF340">
        <v>6</v>
      </c>
      <c r="BG340">
        <v>6</v>
      </c>
      <c r="BH340">
        <v>0.92399999999999949</v>
      </c>
      <c r="BI340">
        <v>6</v>
      </c>
      <c r="BJ340">
        <v>-1.1600000000000008</v>
      </c>
      <c r="BK340">
        <v>0.83999999999999986</v>
      </c>
      <c r="BL340">
        <v>19</v>
      </c>
      <c r="BM340">
        <v>19.5</v>
      </c>
      <c r="BN340">
        <v>26</v>
      </c>
      <c r="BO340">
        <v>-0.44000000000000022</v>
      </c>
      <c r="BP340">
        <v>13</v>
      </c>
      <c r="BQ340">
        <v>7.9999999999999932E-2</v>
      </c>
      <c r="BR340">
        <v>-0.83999999999999986</v>
      </c>
      <c r="BS340">
        <v>19</v>
      </c>
      <c r="BT340">
        <v>17.25</v>
      </c>
      <c r="BU340">
        <v>14</v>
      </c>
      <c r="BV340">
        <v>-4.4063008937547714E-2</v>
      </c>
      <c r="BW340">
        <v>21</v>
      </c>
      <c r="BX340">
        <v>-1.3655752066164151E-2</v>
      </c>
      <c r="BY340">
        <v>32</v>
      </c>
      <c r="BZ340">
        <v>20.04</v>
      </c>
      <c r="CA340">
        <v>2</v>
      </c>
      <c r="CB340">
        <v>0.47999999999999987</v>
      </c>
      <c r="CC340">
        <v>-2.72</v>
      </c>
      <c r="CD340">
        <v>-2.8800000000000003</v>
      </c>
      <c r="CE340">
        <v>-0.16000000000000017</v>
      </c>
      <c r="CF340">
        <v>-13.440000000000008</v>
      </c>
      <c r="CG340">
        <v>-9.6799999999999962</v>
      </c>
      <c r="CH340">
        <v>10.120000000000001</v>
      </c>
      <c r="CI340">
        <v>2.6799999999999997</v>
      </c>
      <c r="CJ340">
        <v>-16.559999999999999</v>
      </c>
      <c r="CK340">
        <v>26</v>
      </c>
      <c r="CL340">
        <v>-5.2112000000000016</v>
      </c>
      <c r="CM340">
        <v>-2.537440000000001</v>
      </c>
      <c r="CN340">
        <v>-19.799999999999997</v>
      </c>
      <c r="CO340">
        <v>5.2112000000000016</v>
      </c>
      <c r="CP340">
        <v>-1.3364</v>
      </c>
      <c r="CQ340">
        <v>-7.3560000000000016</v>
      </c>
      <c r="CR340">
        <v>-26.879999999999995</v>
      </c>
      <c r="CS340">
        <v>0.69600000000000128</v>
      </c>
      <c r="CT340">
        <v>6.0080000000000027</v>
      </c>
      <c r="CU340">
        <v>-2.3200000000000003</v>
      </c>
      <c r="CV340">
        <v>1.1199999999999999</v>
      </c>
      <c r="CW340">
        <v>0.91625000000000012</v>
      </c>
      <c r="CX340">
        <v>0.69310000000000005</v>
      </c>
      <c r="CY340" t="s">
        <v>298</v>
      </c>
      <c r="CZ340">
        <v>9</v>
      </c>
      <c r="DA340">
        <v>4.4552000000000005</v>
      </c>
      <c r="DB340">
        <v>32</v>
      </c>
      <c r="DC340">
        <v>30.5</v>
      </c>
      <c r="DD340">
        <v>30</v>
      </c>
      <c r="DE340">
        <v>-3.2399999999999993</v>
      </c>
      <c r="DF340">
        <v>31</v>
      </c>
      <c r="DG340">
        <v>-24.759999999999998</v>
      </c>
      <c r="DH340">
        <v>3.9999999999999994E-2</v>
      </c>
      <c r="DI340">
        <v>16</v>
      </c>
      <c r="DJ340">
        <v>16.5</v>
      </c>
      <c r="DK340">
        <v>18</v>
      </c>
      <c r="DL340">
        <v>-0.25599999999999995</v>
      </c>
      <c r="DM340">
        <v>15</v>
      </c>
      <c r="DN340">
        <v>5.3280000000000012</v>
      </c>
      <c r="DO340">
        <v>0.3199999999999999</v>
      </c>
      <c r="DP340">
        <v>7</v>
      </c>
      <c r="DQ340">
        <v>10.5</v>
      </c>
      <c r="DR340">
        <v>8</v>
      </c>
      <c r="DS340">
        <v>3.9959999999999996</v>
      </c>
      <c r="DT340">
        <v>13</v>
      </c>
      <c r="DU340">
        <v>6.4400000000000022</v>
      </c>
      <c r="DV340">
        <v>0.27999999999999969</v>
      </c>
      <c r="DW340">
        <v>5</v>
      </c>
      <c r="DX340">
        <v>5.5</v>
      </c>
      <c r="DY340">
        <v>5</v>
      </c>
      <c r="DZ340">
        <v>5.4440000000000008</v>
      </c>
      <c r="EA340">
        <v>6</v>
      </c>
      <c r="EB340">
        <v>19.639999999999997</v>
      </c>
      <c r="EC340">
        <v>1.2799999999999998</v>
      </c>
      <c r="ED340">
        <v>26</v>
      </c>
      <c r="EE340">
        <v>28.5</v>
      </c>
      <c r="EF340">
        <v>28</v>
      </c>
      <c r="EG340">
        <v>-0.90799999999999981</v>
      </c>
      <c r="EH340">
        <v>29</v>
      </c>
      <c r="EI340">
        <v>-12.919999999999998</v>
      </c>
      <c r="EJ340">
        <v>-0.67999999999999994</v>
      </c>
      <c r="EK340">
        <v>25</v>
      </c>
      <c r="EL340">
        <v>26</v>
      </c>
      <c r="EM340">
        <v>26</v>
      </c>
      <c r="EN340">
        <v>0.57200000000000029</v>
      </c>
      <c r="EO340">
        <v>26</v>
      </c>
      <c r="EP340">
        <v>-3.0799999999999996</v>
      </c>
      <c r="EQ340">
        <v>-0.88000000000000012</v>
      </c>
      <c r="ER340">
        <v>13</v>
      </c>
      <c r="ES340">
        <v>13.5</v>
      </c>
      <c r="ET340">
        <v>17</v>
      </c>
      <c r="EU340">
        <v>0.46400000000000008</v>
      </c>
      <c r="EV340">
        <v>10</v>
      </c>
      <c r="EW340">
        <v>9.7200000000000006</v>
      </c>
      <c r="EX340">
        <v>-0.27999999999999992</v>
      </c>
      <c r="EY340">
        <v>24</v>
      </c>
      <c r="EZ340">
        <v>23</v>
      </c>
      <c r="FA340">
        <v>28</v>
      </c>
      <c r="FB340">
        <v>-0.84000000000000019</v>
      </c>
      <c r="FC340">
        <v>18</v>
      </c>
      <c r="FD340">
        <v>-4.0000000000000036E-2</v>
      </c>
      <c r="FE340">
        <v>-1</v>
      </c>
      <c r="FF340">
        <v>23</v>
      </c>
      <c r="FG340">
        <v>20</v>
      </c>
      <c r="FH340">
        <v>32</v>
      </c>
      <c r="FI340">
        <v>-3.2843293009734646E-2</v>
      </c>
      <c r="FJ340">
        <v>22</v>
      </c>
      <c r="FK340">
        <v>2.1995378772974862E-4</v>
      </c>
      <c r="FL340">
        <v>11</v>
      </c>
      <c r="FM340">
        <v>4.8080000000000016</v>
      </c>
      <c r="FN340">
        <v>15</v>
      </c>
      <c r="FO340">
        <v>1.2</v>
      </c>
      <c r="FP340">
        <v>1.3199999999999996</v>
      </c>
      <c r="FQ340">
        <v>-0.75999999999999945</v>
      </c>
      <c r="FR340">
        <v>1.28</v>
      </c>
      <c r="FS340">
        <v>1.7599999999999993</v>
      </c>
      <c r="FT340">
        <v>3.3599999999999994</v>
      </c>
      <c r="FU340">
        <v>-1.0799999999999996</v>
      </c>
      <c r="FV340">
        <v>-12.559999999999997</v>
      </c>
      <c r="FW340">
        <v>15.360000000000003</v>
      </c>
      <c r="FX340">
        <v>-20</v>
      </c>
      <c r="FY340">
        <v>-4.4800000000000004</v>
      </c>
      <c r="FZ340">
        <v>-3.44</v>
      </c>
      <c r="GA340">
        <v>3</v>
      </c>
      <c r="GB340">
        <v>7.9512</v>
      </c>
      <c r="GC340">
        <v>4.4382399999999995</v>
      </c>
      <c r="GD340">
        <v>35.36</v>
      </c>
      <c r="GE340">
        <v>-7.9512</v>
      </c>
      <c r="GF340">
        <v>1.1394000000000002</v>
      </c>
      <c r="GG340">
        <v>8.5320000000000018</v>
      </c>
      <c r="GH340">
        <v>13.16</v>
      </c>
      <c r="GI340">
        <v>-3.4959999999999991</v>
      </c>
      <c r="GJ340">
        <v>-19.431999999999995</v>
      </c>
      <c r="GK340">
        <v>0.59999999999999976</v>
      </c>
      <c r="GL340">
        <v>0.35999999999999988</v>
      </c>
    </row>
    <row r="341" spans="1:194" x14ac:dyDescent="0.2">
      <c r="A341" s="39">
        <v>43793</v>
      </c>
      <c r="B341" s="22" t="s">
        <v>242</v>
      </c>
      <c r="C341" s="41" t="s">
        <v>304</v>
      </c>
      <c r="D341" s="22" t="s">
        <v>305</v>
      </c>
      <c r="E341" s="14">
        <v>9.5</v>
      </c>
      <c r="F341">
        <v>15.7</v>
      </c>
      <c r="G341">
        <v>5.3</v>
      </c>
      <c r="H341">
        <v>11.3</v>
      </c>
      <c r="I341">
        <v>3.5</v>
      </c>
      <c r="J341">
        <v>47</v>
      </c>
      <c r="L341" s="1" t="s">
        <v>304</v>
      </c>
      <c r="M341">
        <v>21</v>
      </c>
      <c r="N341">
        <v>-2.1367999999999987</v>
      </c>
      <c r="O341">
        <v>12</v>
      </c>
      <c r="P341">
        <v>14.5</v>
      </c>
      <c r="Q341">
        <v>15</v>
      </c>
      <c r="R341">
        <v>-1.5279999999999996</v>
      </c>
      <c r="S341">
        <v>14</v>
      </c>
      <c r="T341">
        <v>-10.679999999999998</v>
      </c>
      <c r="U341">
        <v>-0.72</v>
      </c>
      <c r="V341">
        <v>21</v>
      </c>
      <c r="W341">
        <v>19</v>
      </c>
      <c r="X341">
        <v>21</v>
      </c>
      <c r="Y341">
        <v>-0.46399999999999969</v>
      </c>
      <c r="Z341">
        <v>17</v>
      </c>
      <c r="AA341">
        <v>4.2000000000000011</v>
      </c>
      <c r="AB341">
        <v>-0.95999999999999974</v>
      </c>
      <c r="AC341">
        <v>12</v>
      </c>
      <c r="AD341">
        <v>13</v>
      </c>
      <c r="AE341">
        <v>13</v>
      </c>
      <c r="AF341">
        <v>-1.7719999999999998</v>
      </c>
      <c r="AG341">
        <v>13</v>
      </c>
      <c r="AH341">
        <v>-2.4</v>
      </c>
      <c r="AI341">
        <v>-1.3199999999999998</v>
      </c>
      <c r="AJ341">
        <v>4</v>
      </c>
      <c r="AK341">
        <v>4.5</v>
      </c>
      <c r="AL341">
        <v>7</v>
      </c>
      <c r="AM341">
        <v>0.66400000000000003</v>
      </c>
      <c r="AN341">
        <v>2</v>
      </c>
      <c r="AO341">
        <v>19.919999999999998</v>
      </c>
      <c r="AP341">
        <v>0.52000000000000013</v>
      </c>
      <c r="AQ341">
        <v>8</v>
      </c>
      <c r="AR341">
        <v>8.5</v>
      </c>
      <c r="AS341">
        <v>8</v>
      </c>
      <c r="AT341">
        <v>2.4240000000000004</v>
      </c>
      <c r="AU341">
        <v>9</v>
      </c>
      <c r="AV341">
        <v>13.319999999999999</v>
      </c>
      <c r="AW341">
        <v>1.48</v>
      </c>
      <c r="AX341">
        <v>5</v>
      </c>
      <c r="AY341">
        <v>5</v>
      </c>
      <c r="AZ341">
        <v>8</v>
      </c>
      <c r="BA341">
        <v>0.52000000000000068</v>
      </c>
      <c r="BB341">
        <v>2</v>
      </c>
      <c r="BC341">
        <v>15.999999999999996</v>
      </c>
      <c r="BD341">
        <v>-8.0000000000000071E-2</v>
      </c>
      <c r="BE341">
        <v>12</v>
      </c>
      <c r="BF341">
        <v>12.5</v>
      </c>
      <c r="BG341">
        <v>14</v>
      </c>
      <c r="BH341">
        <v>0.35999999999999943</v>
      </c>
      <c r="BI341">
        <v>11</v>
      </c>
      <c r="BJ341">
        <v>3.9200000000000017</v>
      </c>
      <c r="BK341">
        <v>1.7599999999999998</v>
      </c>
      <c r="BL341">
        <v>16</v>
      </c>
      <c r="BM341">
        <v>15.5</v>
      </c>
      <c r="BN341">
        <v>18</v>
      </c>
      <c r="BO341">
        <v>0.6399999999999999</v>
      </c>
      <c r="BP341">
        <v>13</v>
      </c>
      <c r="BQ341">
        <v>7.9999999999999932E-2</v>
      </c>
      <c r="BR341">
        <v>2.72</v>
      </c>
      <c r="BS341">
        <v>23</v>
      </c>
      <c r="BT341">
        <v>20.5</v>
      </c>
      <c r="BU341">
        <v>32</v>
      </c>
      <c r="BV341">
        <v>-0.11816326875052748</v>
      </c>
      <c r="BW341">
        <v>29</v>
      </c>
      <c r="BX341">
        <v>-3.2856510527490959E-2</v>
      </c>
      <c r="BY341">
        <v>8</v>
      </c>
      <c r="BZ341">
        <v>-5.4240000000000039</v>
      </c>
      <c r="CA341">
        <v>13</v>
      </c>
      <c r="CB341">
        <v>-1.4800000000000004</v>
      </c>
      <c r="CC341">
        <v>-2.5599999999999996</v>
      </c>
      <c r="CD341">
        <v>-0.95999999999999941</v>
      </c>
      <c r="CE341">
        <v>1.3599999999999999</v>
      </c>
      <c r="CF341">
        <v>-7.8799999999999955</v>
      </c>
      <c r="CG341">
        <v>17.28</v>
      </c>
      <c r="CH341">
        <v>-10.040000000000001</v>
      </c>
      <c r="CI341">
        <v>-2.6799999999999997</v>
      </c>
      <c r="CJ341">
        <v>-12.440000000000001</v>
      </c>
      <c r="CK341">
        <v>15</v>
      </c>
      <c r="CL341">
        <v>-0.14479999999999943</v>
      </c>
      <c r="CM341">
        <v>0.90383999999999998</v>
      </c>
      <c r="CN341">
        <v>27.32</v>
      </c>
      <c r="CO341">
        <v>0.14479999999999937</v>
      </c>
      <c r="CP341">
        <v>-0.22659999999999988</v>
      </c>
      <c r="CQ341">
        <v>1.3160000000000007</v>
      </c>
      <c r="CR341">
        <v>30.839999999999996</v>
      </c>
      <c r="CS341">
        <v>-1.9919999999999993</v>
      </c>
      <c r="CT341">
        <v>-6.4799999999999969</v>
      </c>
      <c r="CU341">
        <v>2.44</v>
      </c>
      <c r="CV341">
        <v>-1.6799999999999997</v>
      </c>
      <c r="CW341">
        <v>-0.99776249999999989</v>
      </c>
      <c r="CX341">
        <v>5.2774999999999905E-2</v>
      </c>
      <c r="CY341" t="s">
        <v>305</v>
      </c>
      <c r="CZ341">
        <v>32</v>
      </c>
      <c r="DA341">
        <v>-5.5743999999999998</v>
      </c>
      <c r="DB341">
        <v>4</v>
      </c>
      <c r="DC341">
        <v>5.5</v>
      </c>
      <c r="DD341">
        <v>6</v>
      </c>
      <c r="DE341">
        <v>-1.456</v>
      </c>
      <c r="DF341">
        <v>5</v>
      </c>
      <c r="DG341">
        <v>-9.64</v>
      </c>
      <c r="DH341">
        <v>0.8</v>
      </c>
      <c r="DI341">
        <v>27</v>
      </c>
      <c r="DJ341">
        <v>24.5</v>
      </c>
      <c r="DK341">
        <v>29</v>
      </c>
      <c r="DL341">
        <v>-2.0959999999999996</v>
      </c>
      <c r="DM341">
        <v>20</v>
      </c>
      <c r="DN341">
        <v>-1.6</v>
      </c>
      <c r="DO341">
        <v>-1.1599999999999999</v>
      </c>
      <c r="DP341">
        <v>20</v>
      </c>
      <c r="DQ341">
        <v>25</v>
      </c>
      <c r="DR341">
        <v>27</v>
      </c>
      <c r="DS341">
        <v>-2.6279999999999988</v>
      </c>
      <c r="DT341">
        <v>23</v>
      </c>
      <c r="DU341">
        <v>-7.2000000000000011</v>
      </c>
      <c r="DV341">
        <v>0.52000000000000024</v>
      </c>
      <c r="DW341">
        <v>16</v>
      </c>
      <c r="DX341">
        <v>16</v>
      </c>
      <c r="DY341">
        <v>12</v>
      </c>
      <c r="DZ341">
        <v>0.5</v>
      </c>
      <c r="EA341">
        <v>20</v>
      </c>
      <c r="EB341">
        <v>-0.51999999999999891</v>
      </c>
      <c r="EC341">
        <v>1.9199999999999995</v>
      </c>
      <c r="ED341">
        <v>22</v>
      </c>
      <c r="EE341">
        <v>29</v>
      </c>
      <c r="EF341">
        <v>31</v>
      </c>
      <c r="EG341">
        <v>-2.4679999999999991</v>
      </c>
      <c r="EH341">
        <v>27</v>
      </c>
      <c r="EI341">
        <v>-8.7199999999999989</v>
      </c>
      <c r="EJ341">
        <v>-0.59999999999999987</v>
      </c>
      <c r="EK341">
        <v>26</v>
      </c>
      <c r="EL341">
        <v>26.5</v>
      </c>
      <c r="EM341">
        <v>23</v>
      </c>
      <c r="EN341">
        <v>2.4519999999999991</v>
      </c>
      <c r="EO341">
        <v>30</v>
      </c>
      <c r="EP341">
        <v>-2.680000000000001</v>
      </c>
      <c r="EQ341">
        <v>1.9600000000000002</v>
      </c>
      <c r="ER341">
        <v>31</v>
      </c>
      <c r="ES341">
        <v>30.5</v>
      </c>
      <c r="ET341">
        <v>30</v>
      </c>
      <c r="EU341">
        <v>-1.7439999999999998</v>
      </c>
      <c r="EV341">
        <v>31</v>
      </c>
      <c r="EW341">
        <v>-7.8000000000000016</v>
      </c>
      <c r="EX341">
        <v>-0.11999999999999993</v>
      </c>
      <c r="EY341">
        <v>23</v>
      </c>
      <c r="EZ341">
        <v>22.5</v>
      </c>
      <c r="FA341">
        <v>27</v>
      </c>
      <c r="FB341">
        <v>-0.92000000000000015</v>
      </c>
      <c r="FC341">
        <v>18</v>
      </c>
      <c r="FD341">
        <v>0</v>
      </c>
      <c r="FE341">
        <v>-8.1999999999999993</v>
      </c>
      <c r="FF341">
        <v>5</v>
      </c>
      <c r="FG341">
        <v>9.75</v>
      </c>
      <c r="FH341">
        <v>15</v>
      </c>
      <c r="FI341">
        <v>3.8742054837296688E-2</v>
      </c>
      <c r="FJ341">
        <v>8</v>
      </c>
      <c r="FK341">
        <v>2.6151649183382116E-3</v>
      </c>
      <c r="FL341">
        <v>15</v>
      </c>
      <c r="FM341">
        <v>-8.5480000000000018</v>
      </c>
      <c r="FN341">
        <v>1</v>
      </c>
      <c r="FO341">
        <v>7.4800000000000013</v>
      </c>
      <c r="FP341">
        <v>1.5599999999999994</v>
      </c>
      <c r="FQ341">
        <v>-2.88</v>
      </c>
      <c r="FR341">
        <v>-0.48</v>
      </c>
      <c r="FS341">
        <v>-2.1200000000000019</v>
      </c>
      <c r="FT341">
        <v>-6.16</v>
      </c>
      <c r="FU341">
        <v>-1.28</v>
      </c>
      <c r="FV341">
        <v>-42.279999999999987</v>
      </c>
      <c r="FW341">
        <v>-26.560000000000002</v>
      </c>
      <c r="FX341">
        <v>-11.919999999999998</v>
      </c>
      <c r="FY341">
        <v>-0.96000000000000019</v>
      </c>
      <c r="FZ341">
        <v>-2.84</v>
      </c>
      <c r="GA341">
        <v>23</v>
      </c>
      <c r="GB341">
        <v>-2.0223999999999998</v>
      </c>
      <c r="GC341">
        <v>-0.60687999999999942</v>
      </c>
      <c r="GD341">
        <v>-14.640000000000004</v>
      </c>
      <c r="GE341">
        <v>2.0224000000000002</v>
      </c>
      <c r="GF341">
        <v>-2.0482999999999998</v>
      </c>
      <c r="GG341">
        <v>-4.5959999999999983</v>
      </c>
      <c r="GH341">
        <v>-16.439999999999998</v>
      </c>
      <c r="GI341">
        <v>-3.5519999999999996</v>
      </c>
      <c r="GJ341">
        <v>-11.24</v>
      </c>
      <c r="GK341">
        <v>1.7199999999999998</v>
      </c>
      <c r="GL341">
        <v>-0.35999999999999988</v>
      </c>
    </row>
    <row r="342" spans="1:194" x14ac:dyDescent="0.2">
      <c r="A342" s="39">
        <v>43793</v>
      </c>
      <c r="B342" s="22" t="s">
        <v>242</v>
      </c>
      <c r="C342" s="41" t="s">
        <v>293</v>
      </c>
      <c r="D342" s="22" t="s">
        <v>281</v>
      </c>
      <c r="E342">
        <v>15.1</v>
      </c>
      <c r="F342">
        <v>14.2</v>
      </c>
      <c r="G342">
        <v>9.6999999999999993</v>
      </c>
      <c r="H342">
        <v>11.8</v>
      </c>
      <c r="I342">
        <v>11</v>
      </c>
      <c r="J342">
        <v>45.5</v>
      </c>
      <c r="K342" s="20" t="s">
        <v>109</v>
      </c>
      <c r="L342" s="1" t="s">
        <v>293</v>
      </c>
      <c r="M342">
        <v>12</v>
      </c>
      <c r="N342">
        <v>2.3383999999999991</v>
      </c>
      <c r="O342">
        <v>31</v>
      </c>
      <c r="P342">
        <v>29</v>
      </c>
      <c r="Q342">
        <v>27</v>
      </c>
      <c r="R342">
        <v>-3.3720000000000012</v>
      </c>
      <c r="S342">
        <v>31</v>
      </c>
      <c r="T342">
        <v>-29.279999999999994</v>
      </c>
      <c r="U342">
        <v>0.55999999999999994</v>
      </c>
      <c r="V342">
        <v>26</v>
      </c>
      <c r="W342">
        <v>24.5</v>
      </c>
      <c r="X342">
        <v>23</v>
      </c>
      <c r="Y342">
        <v>-1.7159999999999997</v>
      </c>
      <c r="Z342">
        <v>26</v>
      </c>
      <c r="AA342">
        <v>-7.44</v>
      </c>
      <c r="AB342">
        <v>-0.51999999999999991</v>
      </c>
      <c r="AC342">
        <v>1</v>
      </c>
      <c r="AD342">
        <v>1.5</v>
      </c>
      <c r="AE342">
        <v>2</v>
      </c>
      <c r="AF342">
        <v>2.5620000000000003</v>
      </c>
      <c r="AG342">
        <v>1</v>
      </c>
      <c r="AH342">
        <v>16.660000000000004</v>
      </c>
      <c r="AI342">
        <v>0.55000000000000016</v>
      </c>
      <c r="AJ342">
        <v>18</v>
      </c>
      <c r="AK342">
        <v>18.5</v>
      </c>
      <c r="AL342">
        <v>18</v>
      </c>
      <c r="AM342">
        <v>-1.6079999999999999</v>
      </c>
      <c r="AN342">
        <v>19</v>
      </c>
      <c r="AO342">
        <v>-7.3199999999999985</v>
      </c>
      <c r="AP342">
        <v>-0.31999999999999995</v>
      </c>
      <c r="AQ342">
        <v>5</v>
      </c>
      <c r="AR342">
        <v>5.5</v>
      </c>
      <c r="AS342">
        <v>4</v>
      </c>
      <c r="AT342">
        <v>3.7479999999999998</v>
      </c>
      <c r="AU342">
        <v>7</v>
      </c>
      <c r="AV342">
        <v>5.4</v>
      </c>
      <c r="AW342">
        <v>0.43999999999999984</v>
      </c>
      <c r="AX342">
        <v>1</v>
      </c>
      <c r="AY342">
        <v>1</v>
      </c>
      <c r="AZ342">
        <v>1</v>
      </c>
      <c r="BA342">
        <v>5.5079999999999991</v>
      </c>
      <c r="BB342">
        <v>1</v>
      </c>
      <c r="BC342">
        <v>21.480000000000004</v>
      </c>
      <c r="BD342">
        <v>4.2799999999999994</v>
      </c>
      <c r="BE342">
        <v>10</v>
      </c>
      <c r="BF342">
        <v>11</v>
      </c>
      <c r="BG342">
        <v>12</v>
      </c>
      <c r="BH342">
        <v>-0.8360000000000003</v>
      </c>
      <c r="BI342">
        <v>10</v>
      </c>
      <c r="BJ342">
        <v>-1.2400000000000007</v>
      </c>
      <c r="BK342">
        <v>0.27999999999999992</v>
      </c>
      <c r="BL342">
        <v>13</v>
      </c>
      <c r="BM342">
        <v>12</v>
      </c>
      <c r="BN342">
        <v>3</v>
      </c>
      <c r="BO342">
        <v>0.12000000000000002</v>
      </c>
      <c r="BP342">
        <v>21</v>
      </c>
      <c r="BQ342">
        <v>-0.55999999999999994</v>
      </c>
      <c r="BR342">
        <v>-2.4</v>
      </c>
      <c r="BS342">
        <v>16</v>
      </c>
      <c r="BT342">
        <v>14.5</v>
      </c>
      <c r="BU342">
        <v>12</v>
      </c>
      <c r="BV342">
        <v>7.7048958308870985E-3</v>
      </c>
      <c r="BW342">
        <v>10</v>
      </c>
      <c r="BX342">
        <v>1.2999234356601951E-2</v>
      </c>
      <c r="BY342">
        <v>14</v>
      </c>
      <c r="BZ342">
        <v>-2.5440000000000014</v>
      </c>
      <c r="CA342">
        <v>22</v>
      </c>
      <c r="CB342">
        <v>-0.40000000000000019</v>
      </c>
      <c r="CC342">
        <v>1.4000000000000015</v>
      </c>
      <c r="CD342">
        <v>1.6</v>
      </c>
      <c r="CE342">
        <v>0.36</v>
      </c>
      <c r="CF342">
        <v>-13.960000000000003</v>
      </c>
      <c r="CG342">
        <v>15.960000000000003</v>
      </c>
      <c r="CH342">
        <v>-35.4</v>
      </c>
      <c r="CI342">
        <v>-4.0000000000000216E-2</v>
      </c>
      <c r="CJ342">
        <v>5.5200000000000005</v>
      </c>
      <c r="CK342">
        <v>4</v>
      </c>
      <c r="CL342">
        <v>7.4263999999999992</v>
      </c>
      <c r="CM342">
        <v>3.7848800000000002</v>
      </c>
      <c r="CN342">
        <v>51.36</v>
      </c>
      <c r="CO342">
        <v>-7.4264000000000001</v>
      </c>
      <c r="CP342">
        <v>0.15454999999999977</v>
      </c>
      <c r="CQ342">
        <v>4.702</v>
      </c>
      <c r="CR342">
        <v>14.740000000000006</v>
      </c>
      <c r="CS342">
        <v>-5.088000000000001</v>
      </c>
      <c r="CT342">
        <v>-36.719999999999992</v>
      </c>
      <c r="CU342">
        <v>0.95</v>
      </c>
      <c r="CV342">
        <v>4.0000000000000036E-2</v>
      </c>
      <c r="CW342">
        <v>1.2338500000000001</v>
      </c>
      <c r="CX342">
        <v>2.3661250000000003</v>
      </c>
      <c r="CY342" t="s">
        <v>281</v>
      </c>
      <c r="CZ342">
        <v>11</v>
      </c>
      <c r="DA342">
        <v>3.7456000000000005</v>
      </c>
      <c r="DB342">
        <v>19</v>
      </c>
      <c r="DC342">
        <v>20</v>
      </c>
      <c r="DD342">
        <v>20</v>
      </c>
      <c r="DE342">
        <v>-1.1880000000000002</v>
      </c>
      <c r="DF342">
        <v>20</v>
      </c>
      <c r="DG342">
        <v>-2.4800000000000026</v>
      </c>
      <c r="DH342">
        <v>-0.52</v>
      </c>
      <c r="DI342">
        <v>25</v>
      </c>
      <c r="DJ342">
        <v>22.5</v>
      </c>
      <c r="DK342">
        <v>19</v>
      </c>
      <c r="DL342">
        <v>-1.2959999999999996</v>
      </c>
      <c r="DM342">
        <v>26</v>
      </c>
      <c r="DN342">
        <v>-9.52</v>
      </c>
      <c r="DO342">
        <v>-0.36000000000000004</v>
      </c>
      <c r="DP342">
        <v>10</v>
      </c>
      <c r="DQ342">
        <v>12</v>
      </c>
      <c r="DR342">
        <v>13</v>
      </c>
      <c r="DS342">
        <v>1.839</v>
      </c>
      <c r="DT342">
        <v>11</v>
      </c>
      <c r="DU342">
        <v>1.1000000000000014</v>
      </c>
      <c r="DV342">
        <v>0</v>
      </c>
      <c r="DW342">
        <v>21</v>
      </c>
      <c r="DX342">
        <v>22</v>
      </c>
      <c r="DY342">
        <v>21</v>
      </c>
      <c r="DZ342">
        <v>-2.5799999999999996</v>
      </c>
      <c r="EA342">
        <v>23</v>
      </c>
      <c r="EB342">
        <v>-6.7600000000000007</v>
      </c>
      <c r="EC342">
        <v>-0.48000000000000009</v>
      </c>
      <c r="ED342">
        <v>21</v>
      </c>
      <c r="EE342">
        <v>19.5</v>
      </c>
      <c r="EF342">
        <v>19</v>
      </c>
      <c r="EG342">
        <v>-0.96</v>
      </c>
      <c r="EH342">
        <v>20</v>
      </c>
      <c r="EI342">
        <v>-0.19999999999999929</v>
      </c>
      <c r="EJ342">
        <v>0.64000000000000012</v>
      </c>
      <c r="EK342">
        <v>10</v>
      </c>
      <c r="EL342">
        <v>11.5</v>
      </c>
      <c r="EM342">
        <v>12</v>
      </c>
      <c r="EN342">
        <v>3.84</v>
      </c>
      <c r="EO342">
        <v>11</v>
      </c>
      <c r="EP342">
        <v>8.4</v>
      </c>
      <c r="EQ342">
        <v>-0.44000000000000006</v>
      </c>
      <c r="ER342">
        <v>4</v>
      </c>
      <c r="ES342">
        <v>4</v>
      </c>
      <c r="ET342">
        <v>5</v>
      </c>
      <c r="EU342">
        <v>3.411999999999999</v>
      </c>
      <c r="EV342">
        <v>3</v>
      </c>
      <c r="EW342">
        <v>19.52</v>
      </c>
      <c r="EX342">
        <v>-7.9999999999999891E-2</v>
      </c>
      <c r="EY342">
        <v>29</v>
      </c>
      <c r="EZ342">
        <v>27</v>
      </c>
      <c r="FA342">
        <v>30</v>
      </c>
      <c r="FB342">
        <v>-2.1599999999999997</v>
      </c>
      <c r="FC342">
        <v>24</v>
      </c>
      <c r="FD342">
        <v>-0.2</v>
      </c>
      <c r="FE342">
        <v>-3.2800000000000002</v>
      </c>
      <c r="FF342">
        <v>9</v>
      </c>
      <c r="FG342">
        <v>12.5</v>
      </c>
      <c r="FH342">
        <v>8</v>
      </c>
      <c r="FI342">
        <v>5.0962088850609377E-2</v>
      </c>
      <c r="FJ342">
        <v>16</v>
      </c>
      <c r="FK342">
        <v>4.5602738650104809E-3</v>
      </c>
      <c r="FL342">
        <v>7</v>
      </c>
      <c r="FM342">
        <v>-6.9880000000000022</v>
      </c>
      <c r="FN342">
        <v>19</v>
      </c>
      <c r="FO342">
        <v>-0.8</v>
      </c>
      <c r="FP342">
        <v>0.75999999999999945</v>
      </c>
      <c r="FQ342">
        <v>-5.08</v>
      </c>
      <c r="FR342">
        <v>8.0000000000000071E-2</v>
      </c>
      <c r="FS342">
        <v>-3.680000000000001</v>
      </c>
      <c r="FT342">
        <v>-0.12000000000000029</v>
      </c>
      <c r="FU342">
        <v>0.44000000000000011</v>
      </c>
      <c r="FV342">
        <v>3.280000000000018</v>
      </c>
      <c r="FW342">
        <v>13.439999999999998</v>
      </c>
      <c r="FX342">
        <v>-14.52</v>
      </c>
      <c r="FY342">
        <v>-1.6800000000000002</v>
      </c>
      <c r="FZ342">
        <v>6.04</v>
      </c>
      <c r="GA342">
        <v>5</v>
      </c>
      <c r="GB342">
        <v>6.2295999999999996</v>
      </c>
      <c r="GC342">
        <v>2.3333200000000001</v>
      </c>
      <c r="GD342">
        <v>27.959999999999997</v>
      </c>
      <c r="GE342">
        <v>-6.2296000000000005</v>
      </c>
      <c r="GF342">
        <v>0.10157500000000008</v>
      </c>
      <c r="GG342">
        <v>-1.7009999999999996</v>
      </c>
      <c r="GH342">
        <v>-5.8599999999999985</v>
      </c>
      <c r="GI342">
        <v>-2.484</v>
      </c>
      <c r="GJ342">
        <v>-12.000000000000002</v>
      </c>
      <c r="GK342">
        <v>8.000000000000014E-2</v>
      </c>
      <c r="GL342">
        <v>-0.88000000000000012</v>
      </c>
    </row>
    <row r="343" spans="1:194" x14ac:dyDescent="0.2">
      <c r="A343" s="39">
        <v>43793</v>
      </c>
      <c r="B343" s="22" t="s">
        <v>242</v>
      </c>
      <c r="C343" s="41" t="s">
        <v>302</v>
      </c>
      <c r="D343" s="22" t="s">
        <v>291</v>
      </c>
      <c r="E343">
        <v>17.3</v>
      </c>
      <c r="F343">
        <v>11.4</v>
      </c>
      <c r="G343">
        <v>8</v>
      </c>
      <c r="H343">
        <v>1.5</v>
      </c>
      <c r="I343">
        <v>-5.5</v>
      </c>
      <c r="J343">
        <v>44.5</v>
      </c>
      <c r="K343" t="s">
        <v>109</v>
      </c>
      <c r="L343" s="1" t="s">
        <v>302</v>
      </c>
      <c r="M343">
        <v>23</v>
      </c>
      <c r="N343">
        <v>-3.0671999999999997</v>
      </c>
      <c r="O343">
        <v>27</v>
      </c>
      <c r="P343">
        <v>25</v>
      </c>
      <c r="Q343">
        <v>32</v>
      </c>
      <c r="R343">
        <v>-2.9080000000000004</v>
      </c>
      <c r="S343">
        <v>18</v>
      </c>
      <c r="T343">
        <v>0.440000000000002</v>
      </c>
      <c r="U343">
        <v>-1.9600000000000002</v>
      </c>
      <c r="V343">
        <v>12</v>
      </c>
      <c r="W343">
        <v>11.5</v>
      </c>
      <c r="X343">
        <v>5</v>
      </c>
      <c r="Y343">
        <v>5.3879999999999999</v>
      </c>
      <c r="Z343">
        <v>18</v>
      </c>
      <c r="AA343">
        <v>-8.9600000000000009</v>
      </c>
      <c r="AB343">
        <v>3.4</v>
      </c>
      <c r="AC343">
        <v>4</v>
      </c>
      <c r="AD343">
        <v>4</v>
      </c>
      <c r="AE343">
        <v>3</v>
      </c>
      <c r="AF343">
        <v>4.581999999999999</v>
      </c>
      <c r="AG343">
        <v>5</v>
      </c>
      <c r="AH343">
        <v>9.98</v>
      </c>
      <c r="AI343">
        <v>3.1100000000000003</v>
      </c>
      <c r="AJ343">
        <v>14</v>
      </c>
      <c r="AK343">
        <v>14</v>
      </c>
      <c r="AL343">
        <v>15</v>
      </c>
      <c r="AM343">
        <v>0.60799999999999998</v>
      </c>
      <c r="AN343">
        <v>13</v>
      </c>
      <c r="AO343">
        <v>0.64000000000000057</v>
      </c>
      <c r="AP343">
        <v>1.0399999999999998</v>
      </c>
      <c r="AQ343">
        <v>16</v>
      </c>
      <c r="AR343">
        <v>16</v>
      </c>
      <c r="AS343">
        <v>13</v>
      </c>
      <c r="AT343">
        <v>2.3080000000000003</v>
      </c>
      <c r="AU343">
        <v>19</v>
      </c>
      <c r="AV343">
        <v>4.88</v>
      </c>
      <c r="AW343">
        <v>1.1199999999999999</v>
      </c>
      <c r="AX343">
        <v>4</v>
      </c>
      <c r="AY343">
        <v>4.5</v>
      </c>
      <c r="AZ343">
        <v>2</v>
      </c>
      <c r="BA343">
        <v>4.8519999999999994</v>
      </c>
      <c r="BB343">
        <v>7</v>
      </c>
      <c r="BC343">
        <v>11.32</v>
      </c>
      <c r="BD343">
        <v>4.8800000000000008</v>
      </c>
      <c r="BE343">
        <v>25</v>
      </c>
      <c r="BF343">
        <v>25.5</v>
      </c>
      <c r="BG343">
        <v>28</v>
      </c>
      <c r="BH343">
        <v>-4.2480000000000002</v>
      </c>
      <c r="BI343">
        <v>23</v>
      </c>
      <c r="BJ343">
        <v>-14</v>
      </c>
      <c r="BK343">
        <v>-1.8800000000000003</v>
      </c>
      <c r="BL343">
        <v>2</v>
      </c>
      <c r="BM343">
        <v>5</v>
      </c>
      <c r="BN343">
        <v>8</v>
      </c>
      <c r="BO343">
        <v>2.2399999999999998</v>
      </c>
      <c r="BP343">
        <v>2</v>
      </c>
      <c r="BQ343">
        <v>0.87999999999999989</v>
      </c>
      <c r="BR343">
        <v>8.76</v>
      </c>
      <c r="BS343">
        <v>27</v>
      </c>
      <c r="BT343">
        <v>23.25</v>
      </c>
      <c r="BU343">
        <v>23</v>
      </c>
      <c r="BV343">
        <v>-4.2842351852465529E-2</v>
      </c>
      <c r="BW343">
        <v>26</v>
      </c>
      <c r="BX343">
        <v>-4.349826192346886E-2</v>
      </c>
      <c r="BY343">
        <v>23</v>
      </c>
      <c r="BZ343">
        <v>2.8159999999999967</v>
      </c>
      <c r="CA343">
        <v>21</v>
      </c>
      <c r="CB343">
        <v>-4.4000000000000004</v>
      </c>
      <c r="CC343">
        <v>7.8800000000000008</v>
      </c>
      <c r="CD343">
        <v>2.3999999999999995</v>
      </c>
      <c r="CE343">
        <v>1.36</v>
      </c>
      <c r="CF343">
        <v>7.0799999999999956</v>
      </c>
      <c r="CG343">
        <v>22.6</v>
      </c>
      <c r="CH343">
        <v>1.4</v>
      </c>
      <c r="CI343">
        <v>2.4</v>
      </c>
      <c r="CJ343">
        <v>-19.32</v>
      </c>
      <c r="CK343">
        <v>27</v>
      </c>
      <c r="CL343">
        <v>-5.5471999999999992</v>
      </c>
      <c r="CM343">
        <v>-1.2034399999999998</v>
      </c>
      <c r="CN343">
        <v>21.200000000000003</v>
      </c>
      <c r="CO343">
        <v>5.5471999999999992</v>
      </c>
      <c r="CP343">
        <v>0.61284999999999967</v>
      </c>
      <c r="CQ343">
        <v>7.4979999999999993</v>
      </c>
      <c r="CR343">
        <v>15.5</v>
      </c>
      <c r="CS343">
        <v>2.4799999999999995</v>
      </c>
      <c r="CT343">
        <v>-8.52</v>
      </c>
      <c r="CU343">
        <v>3.39</v>
      </c>
      <c r="CV343">
        <v>1.4399999999999997</v>
      </c>
      <c r="CW343">
        <v>-2.9069750000000005</v>
      </c>
      <c r="CX343">
        <v>-4.1237750000000011</v>
      </c>
      <c r="CY343" t="s">
        <v>291</v>
      </c>
      <c r="CZ343">
        <v>19</v>
      </c>
      <c r="DA343">
        <v>-2.3407999999999984</v>
      </c>
      <c r="DB343">
        <v>6</v>
      </c>
      <c r="DC343">
        <v>8</v>
      </c>
      <c r="DD343">
        <v>4</v>
      </c>
      <c r="DE343">
        <v>0.84840000000000015</v>
      </c>
      <c r="DF343">
        <v>12</v>
      </c>
      <c r="DG343">
        <v>3.7200000000000015</v>
      </c>
      <c r="DH343">
        <v>-0.3999999999999998</v>
      </c>
      <c r="DI343">
        <v>22</v>
      </c>
      <c r="DJ343">
        <v>19</v>
      </c>
      <c r="DK343">
        <v>24</v>
      </c>
      <c r="DL343">
        <v>-1.9879999999999995</v>
      </c>
      <c r="DM343">
        <v>14</v>
      </c>
      <c r="DN343">
        <v>3.3200000000000003</v>
      </c>
      <c r="DO343">
        <v>0.2</v>
      </c>
      <c r="DP343">
        <v>26</v>
      </c>
      <c r="DQ343">
        <v>29.5</v>
      </c>
      <c r="DR343">
        <v>30</v>
      </c>
      <c r="DS343">
        <v>-5.6659999999999986</v>
      </c>
      <c r="DT343">
        <v>29</v>
      </c>
      <c r="DU343">
        <v>-16.100000000000001</v>
      </c>
      <c r="DV343">
        <v>-1.32</v>
      </c>
      <c r="DW343">
        <v>15</v>
      </c>
      <c r="DX343">
        <v>14</v>
      </c>
      <c r="DY343">
        <v>13</v>
      </c>
      <c r="DZ343">
        <v>-2.4370000000000007</v>
      </c>
      <c r="EA343">
        <v>15</v>
      </c>
      <c r="EB343">
        <v>-14.860000000000003</v>
      </c>
      <c r="EC343">
        <v>-1.6600000000000001</v>
      </c>
      <c r="ED343">
        <v>19</v>
      </c>
      <c r="EE343">
        <v>10.5</v>
      </c>
      <c r="EF343">
        <v>9</v>
      </c>
      <c r="EG343">
        <v>-0.19800000000000023</v>
      </c>
      <c r="EH343">
        <v>12</v>
      </c>
      <c r="EI343">
        <v>-2.9800000000000004</v>
      </c>
      <c r="EJ343">
        <v>0.45</v>
      </c>
      <c r="EK343">
        <v>8</v>
      </c>
      <c r="EL343">
        <v>8.5</v>
      </c>
      <c r="EM343">
        <v>10</v>
      </c>
      <c r="EN343">
        <v>1.0658141036401502E-15</v>
      </c>
      <c r="EO343">
        <v>7</v>
      </c>
      <c r="EP343">
        <v>4.7999999999999972</v>
      </c>
      <c r="EQ343">
        <v>-0.68000000000000027</v>
      </c>
      <c r="ER343">
        <v>27</v>
      </c>
      <c r="ES343">
        <v>26</v>
      </c>
      <c r="ET343">
        <v>22</v>
      </c>
      <c r="EU343">
        <v>-2.3400000000000016</v>
      </c>
      <c r="EV343">
        <v>30</v>
      </c>
      <c r="EW343">
        <v>-11.732799999999999</v>
      </c>
      <c r="EX343">
        <v>-1.1199999999999999</v>
      </c>
      <c r="EY343">
        <v>7</v>
      </c>
      <c r="EZ343">
        <v>7</v>
      </c>
      <c r="FA343">
        <v>10</v>
      </c>
      <c r="FB343">
        <v>0.6</v>
      </c>
      <c r="FC343">
        <v>4</v>
      </c>
      <c r="FD343">
        <v>0.40000000000000008</v>
      </c>
      <c r="FE343">
        <v>-4.5200000000000005</v>
      </c>
      <c r="FF343">
        <v>15</v>
      </c>
      <c r="FG343">
        <v>15.75</v>
      </c>
      <c r="FH343">
        <v>7</v>
      </c>
      <c r="FI343">
        <v>2.9796157057883299E-2</v>
      </c>
      <c r="FJ343">
        <v>7</v>
      </c>
      <c r="FK343">
        <v>1.0617288655289797E-4</v>
      </c>
      <c r="FL343">
        <v>28</v>
      </c>
      <c r="FM343">
        <v>6.5279999999999969</v>
      </c>
      <c r="FN343">
        <v>21</v>
      </c>
      <c r="FO343">
        <v>0.44000000000000022</v>
      </c>
      <c r="FP343">
        <v>-4.4400000000000004</v>
      </c>
      <c r="FQ343">
        <v>0.56000000000000016</v>
      </c>
      <c r="FR343">
        <v>0.8</v>
      </c>
      <c r="FS343">
        <v>-3.2800000000000038</v>
      </c>
      <c r="FT343">
        <v>-1.9199999999999995</v>
      </c>
      <c r="FU343">
        <v>-0.91999999999999993</v>
      </c>
      <c r="FV343">
        <v>-35.879999999999995</v>
      </c>
      <c r="FW343">
        <v>-47.92</v>
      </c>
      <c r="FX343">
        <v>4.24</v>
      </c>
      <c r="FY343">
        <v>-0.64000000000000012</v>
      </c>
      <c r="FZ343">
        <v>8.4400000000000013</v>
      </c>
      <c r="GA343">
        <v>21</v>
      </c>
      <c r="GB343">
        <v>-1.2011999999999992</v>
      </c>
      <c r="GC343">
        <v>-2.0265599999999999</v>
      </c>
      <c r="GD343">
        <v>-52.160000000000004</v>
      </c>
      <c r="GE343">
        <v>1.2011999999999992</v>
      </c>
      <c r="GF343">
        <v>-1.690175</v>
      </c>
      <c r="GG343">
        <v>-8.3010000000000002</v>
      </c>
      <c r="GH343">
        <v>-33.940000000000005</v>
      </c>
      <c r="GI343">
        <v>-1.1395999999999993</v>
      </c>
      <c r="GJ343">
        <v>7.0400000000000018</v>
      </c>
      <c r="GK343">
        <v>-3.6500000000000004</v>
      </c>
      <c r="GL343">
        <v>-0.19999999999999979</v>
      </c>
    </row>
    <row r="344" spans="1:194" x14ac:dyDescent="0.2">
      <c r="A344" s="39">
        <v>43793</v>
      </c>
      <c r="B344" s="22" t="s">
        <v>242</v>
      </c>
      <c r="C344" s="41" t="s">
        <v>307</v>
      </c>
      <c r="D344" s="22" t="s">
        <v>301</v>
      </c>
      <c r="E344">
        <v>29.1</v>
      </c>
      <c r="F344">
        <v>8.3000000000000007</v>
      </c>
      <c r="G344">
        <v>5.8</v>
      </c>
      <c r="H344">
        <v>24.1</v>
      </c>
      <c r="I344">
        <v>-10</v>
      </c>
      <c r="J344">
        <v>46</v>
      </c>
      <c r="L344" s="1" t="s">
        <v>307</v>
      </c>
      <c r="M344">
        <v>11</v>
      </c>
      <c r="N344">
        <v>3.0920000000000019</v>
      </c>
      <c r="O344">
        <v>8</v>
      </c>
      <c r="P344">
        <v>8.5</v>
      </c>
      <c r="Q344">
        <v>5</v>
      </c>
      <c r="R344">
        <v>9.2880000000000003</v>
      </c>
      <c r="S344">
        <v>12</v>
      </c>
      <c r="T344">
        <v>15.52</v>
      </c>
      <c r="U344">
        <v>4.76</v>
      </c>
      <c r="V344">
        <v>16</v>
      </c>
      <c r="W344">
        <v>15</v>
      </c>
      <c r="X344">
        <v>15</v>
      </c>
      <c r="Y344">
        <v>0.44000000000000006</v>
      </c>
      <c r="Z344">
        <v>15</v>
      </c>
      <c r="AA344">
        <v>5.3600000000000012</v>
      </c>
      <c r="AB344">
        <v>8.0000000000000029E-2</v>
      </c>
      <c r="AC344">
        <v>5</v>
      </c>
      <c r="AD344">
        <v>5.5</v>
      </c>
      <c r="AE344">
        <v>4</v>
      </c>
      <c r="AF344">
        <v>11.276</v>
      </c>
      <c r="AG344">
        <v>7</v>
      </c>
      <c r="AH344">
        <v>43.320000000000007</v>
      </c>
      <c r="AI344">
        <v>2.4</v>
      </c>
      <c r="AJ344">
        <v>32</v>
      </c>
      <c r="AK344">
        <v>32</v>
      </c>
      <c r="AL344">
        <v>32</v>
      </c>
      <c r="AM344">
        <v>-8.8079999999999981</v>
      </c>
      <c r="AN344">
        <v>32</v>
      </c>
      <c r="AO344">
        <v>-34.4</v>
      </c>
      <c r="AP344">
        <v>-3.1599999999999997</v>
      </c>
      <c r="AQ344">
        <v>29</v>
      </c>
      <c r="AR344">
        <v>29</v>
      </c>
      <c r="AS344">
        <v>28</v>
      </c>
      <c r="AT344">
        <v>-3.8920000000000003</v>
      </c>
      <c r="AU344">
        <v>30</v>
      </c>
      <c r="AV344">
        <v>-21.240000000000002</v>
      </c>
      <c r="AW344">
        <v>-0.68</v>
      </c>
      <c r="AX344">
        <v>28</v>
      </c>
      <c r="AY344">
        <v>28</v>
      </c>
      <c r="AZ344">
        <v>28</v>
      </c>
      <c r="BA344">
        <v>-4.3079999999999998</v>
      </c>
      <c r="BB344">
        <v>28</v>
      </c>
      <c r="BC344">
        <v>-29.080000000000002</v>
      </c>
      <c r="BD344">
        <v>-2.2400000000000002</v>
      </c>
      <c r="BE344">
        <v>4</v>
      </c>
      <c r="BF344">
        <v>4.5</v>
      </c>
      <c r="BG344">
        <v>5</v>
      </c>
      <c r="BH344">
        <v>2.14</v>
      </c>
      <c r="BI344">
        <v>4</v>
      </c>
      <c r="BJ344">
        <v>11.8</v>
      </c>
      <c r="BK344">
        <v>0.47999999999999987</v>
      </c>
      <c r="BL344">
        <v>4</v>
      </c>
      <c r="BM344">
        <v>7</v>
      </c>
      <c r="BN344">
        <v>4</v>
      </c>
      <c r="BO344">
        <v>1.7600000000000002</v>
      </c>
      <c r="BP344">
        <v>10</v>
      </c>
      <c r="BQ344">
        <v>0.55999999999999994</v>
      </c>
      <c r="BR344">
        <v>-0.96000000000000019</v>
      </c>
      <c r="BS344">
        <v>32</v>
      </c>
      <c r="BT344">
        <v>29.5</v>
      </c>
      <c r="BU344">
        <v>30</v>
      </c>
      <c r="BV344">
        <v>-5.6249299717306481E-2</v>
      </c>
      <c r="BW344">
        <v>28</v>
      </c>
      <c r="BX344">
        <v>-1.9710926131177375E-2</v>
      </c>
      <c r="BY344">
        <v>31</v>
      </c>
      <c r="BZ344">
        <v>15.455999999999998</v>
      </c>
      <c r="CA344">
        <v>29</v>
      </c>
      <c r="CB344">
        <v>-1.56</v>
      </c>
      <c r="CC344">
        <v>2.2000000000000002</v>
      </c>
      <c r="CD344">
        <v>2.4799999999999991</v>
      </c>
      <c r="CE344">
        <v>0.11999999999999993</v>
      </c>
      <c r="CF344">
        <v>38.280000000000008</v>
      </c>
      <c r="CG344">
        <v>23.600000000000005</v>
      </c>
      <c r="CH344">
        <v>22.4</v>
      </c>
      <c r="CI344">
        <v>-3.4</v>
      </c>
      <c r="CJ344">
        <v>-4.32</v>
      </c>
      <c r="CK344">
        <v>28</v>
      </c>
      <c r="CL344">
        <v>-6.6359999999999983</v>
      </c>
      <c r="CM344">
        <v>-4.1023999999999994</v>
      </c>
      <c r="CN344">
        <v>1.2000000000000064</v>
      </c>
      <c r="CO344">
        <v>6.6359999999999975</v>
      </c>
      <c r="CP344">
        <v>1.9120000000000006</v>
      </c>
      <c r="CQ344">
        <v>-1.4239999999999986</v>
      </c>
      <c r="CR344">
        <v>-12.319999999999993</v>
      </c>
      <c r="CS344">
        <v>9.7279999999999998</v>
      </c>
      <c r="CT344">
        <v>20.880000000000003</v>
      </c>
      <c r="CU344">
        <v>-0.96000000000000008</v>
      </c>
      <c r="CV344">
        <v>4.84</v>
      </c>
      <c r="CW344">
        <v>0.14551250000000024</v>
      </c>
      <c r="CX344">
        <v>-0.15247499999999986</v>
      </c>
      <c r="CY344" t="s">
        <v>301</v>
      </c>
      <c r="CZ344">
        <v>14</v>
      </c>
      <c r="DA344">
        <v>-2.3159999999999998</v>
      </c>
      <c r="DB344">
        <v>7</v>
      </c>
      <c r="DC344">
        <v>10</v>
      </c>
      <c r="DD344">
        <v>5</v>
      </c>
      <c r="DE344">
        <v>4.492</v>
      </c>
      <c r="DF344">
        <v>15</v>
      </c>
      <c r="DG344">
        <v>5.24</v>
      </c>
      <c r="DH344">
        <v>-0.96</v>
      </c>
      <c r="DI344">
        <v>2</v>
      </c>
      <c r="DJ344">
        <v>3</v>
      </c>
      <c r="DK344">
        <v>4</v>
      </c>
      <c r="DL344">
        <v>0.44800000000000023</v>
      </c>
      <c r="DM344">
        <v>2</v>
      </c>
      <c r="DN344">
        <v>12.720000000000002</v>
      </c>
      <c r="DO344">
        <v>-0.8</v>
      </c>
      <c r="DP344">
        <v>20</v>
      </c>
      <c r="DQ344">
        <v>16.5</v>
      </c>
      <c r="DR344">
        <v>16</v>
      </c>
      <c r="DS344">
        <v>-0.72399999999999953</v>
      </c>
      <c r="DT344">
        <v>17</v>
      </c>
      <c r="DU344">
        <v>-8.1599999999999966</v>
      </c>
      <c r="DV344">
        <v>-0.44000000000000006</v>
      </c>
      <c r="DW344">
        <v>7</v>
      </c>
      <c r="DX344">
        <v>6.5</v>
      </c>
      <c r="DY344">
        <v>8</v>
      </c>
      <c r="DZ344">
        <v>4.1720000000000015</v>
      </c>
      <c r="EA344">
        <v>5</v>
      </c>
      <c r="EB344">
        <v>16.759999999999998</v>
      </c>
      <c r="EC344">
        <v>0.35999999999999976</v>
      </c>
      <c r="ED344">
        <v>11</v>
      </c>
      <c r="EE344">
        <v>7.5</v>
      </c>
      <c r="EF344">
        <v>12</v>
      </c>
      <c r="EG344">
        <v>-0.16799999999999979</v>
      </c>
      <c r="EH344">
        <v>3</v>
      </c>
      <c r="EI344">
        <v>6.56</v>
      </c>
      <c r="EJ344">
        <v>-8.0000000000000029E-2</v>
      </c>
      <c r="EK344">
        <v>18</v>
      </c>
      <c r="EL344">
        <v>18</v>
      </c>
      <c r="EM344">
        <v>22</v>
      </c>
      <c r="EN344">
        <v>-3.9560000000000004</v>
      </c>
      <c r="EO344">
        <v>14</v>
      </c>
      <c r="EP344">
        <v>-7.56</v>
      </c>
      <c r="EQ344">
        <v>-0.64000000000000024</v>
      </c>
      <c r="ER344">
        <v>12</v>
      </c>
      <c r="ES344">
        <v>13</v>
      </c>
      <c r="ET344">
        <v>20</v>
      </c>
      <c r="EU344">
        <v>-2.3959999999999999</v>
      </c>
      <c r="EV344">
        <v>6</v>
      </c>
      <c r="EW344">
        <v>2.2000000000000002</v>
      </c>
      <c r="EX344">
        <v>-0.56000000000000016</v>
      </c>
      <c r="EY344">
        <v>10</v>
      </c>
      <c r="EZ344">
        <v>11.5</v>
      </c>
      <c r="FA344">
        <v>16</v>
      </c>
      <c r="FB344">
        <v>4.0000000000000036E-2</v>
      </c>
      <c r="FC344">
        <v>7</v>
      </c>
      <c r="FD344">
        <v>0.28000000000000003</v>
      </c>
      <c r="FE344">
        <v>4.3600000000000003</v>
      </c>
      <c r="FF344">
        <v>18</v>
      </c>
      <c r="FG344">
        <v>16.25</v>
      </c>
      <c r="FH344">
        <v>18</v>
      </c>
      <c r="FI344">
        <v>-3.5518719973755261E-2</v>
      </c>
      <c r="FJ344">
        <v>16</v>
      </c>
      <c r="FK344">
        <v>6.4750453779864135E-3</v>
      </c>
      <c r="FL344">
        <v>8</v>
      </c>
      <c r="FM344">
        <v>-0.38800000000000096</v>
      </c>
      <c r="FN344">
        <v>23</v>
      </c>
      <c r="FO344">
        <v>-1.5199999999999998</v>
      </c>
      <c r="FP344">
        <v>-3.2000000000000015</v>
      </c>
      <c r="FQ344">
        <v>2.04</v>
      </c>
      <c r="FR344">
        <v>-0.64</v>
      </c>
      <c r="FS344">
        <v>-1.6800000000000026</v>
      </c>
      <c r="FT344">
        <v>5.7200000000000006</v>
      </c>
      <c r="FU344">
        <v>-7.9999999999999988E-2</v>
      </c>
      <c r="FV344">
        <v>21.919999999999995</v>
      </c>
      <c r="FW344">
        <v>-5.3999999999999941</v>
      </c>
      <c r="FX344">
        <v>26.8</v>
      </c>
      <c r="FY344">
        <v>2.08</v>
      </c>
      <c r="FZ344">
        <v>-1.5599999999999998</v>
      </c>
      <c r="GA344">
        <v>29</v>
      </c>
      <c r="GB344">
        <v>-7.2560000000000002</v>
      </c>
      <c r="GC344">
        <v>-2.7563999999999997</v>
      </c>
      <c r="GD344">
        <v>-32.199999999999996</v>
      </c>
      <c r="GE344">
        <v>7.2560000000000002</v>
      </c>
      <c r="GF344">
        <v>0.44350000000000034</v>
      </c>
      <c r="GG344">
        <v>3.2800000000000025</v>
      </c>
      <c r="GH344">
        <v>15.16</v>
      </c>
      <c r="GI344">
        <v>4.9400000000000004</v>
      </c>
      <c r="GJ344">
        <v>17.96</v>
      </c>
      <c r="GK344">
        <v>-0.72000000000000042</v>
      </c>
      <c r="GL344">
        <v>-1.76</v>
      </c>
    </row>
    <row r="345" spans="1:194" x14ac:dyDescent="0.2">
      <c r="A345" s="39">
        <v>43793</v>
      </c>
      <c r="B345" s="22" t="s">
        <v>242</v>
      </c>
      <c r="C345" s="41" t="s">
        <v>296</v>
      </c>
      <c r="D345" s="22" t="s">
        <v>265</v>
      </c>
      <c r="E345">
        <v>8.6999999999999993</v>
      </c>
      <c r="F345">
        <v>12.3</v>
      </c>
      <c r="G345">
        <v>10.7</v>
      </c>
      <c r="H345">
        <v>14.7</v>
      </c>
      <c r="I345">
        <v>6</v>
      </c>
      <c r="J345">
        <v>41</v>
      </c>
      <c r="L345" s="1" t="s">
        <v>296</v>
      </c>
      <c r="M345">
        <v>15</v>
      </c>
      <c r="N345">
        <v>1.7352000000000001</v>
      </c>
      <c r="O345">
        <v>20</v>
      </c>
      <c r="P345">
        <v>21</v>
      </c>
      <c r="Q345">
        <v>16</v>
      </c>
      <c r="R345">
        <v>0.76800000000000002</v>
      </c>
      <c r="S345">
        <v>26</v>
      </c>
      <c r="T345">
        <v>-9.0400000000000009</v>
      </c>
      <c r="U345">
        <v>0.4</v>
      </c>
      <c r="V345">
        <v>31</v>
      </c>
      <c r="W345">
        <v>31</v>
      </c>
      <c r="X345">
        <v>32</v>
      </c>
      <c r="Y345">
        <v>-5.008</v>
      </c>
      <c r="Z345">
        <v>30</v>
      </c>
      <c r="AA345">
        <v>-16.472000000000001</v>
      </c>
      <c r="AB345">
        <v>-1.6800000000000002</v>
      </c>
      <c r="AC345">
        <v>14</v>
      </c>
      <c r="AD345">
        <v>15.5</v>
      </c>
      <c r="AE345">
        <v>10</v>
      </c>
      <c r="AF345">
        <v>1.1000000000000001</v>
      </c>
      <c r="AG345">
        <v>21</v>
      </c>
      <c r="AH345">
        <v>-2.2399999999999975</v>
      </c>
      <c r="AI345">
        <v>0.64</v>
      </c>
      <c r="AJ345">
        <v>13</v>
      </c>
      <c r="AK345">
        <v>13.5</v>
      </c>
      <c r="AL345">
        <v>5</v>
      </c>
      <c r="AM345">
        <v>2.9640000000000004</v>
      </c>
      <c r="AN345">
        <v>22</v>
      </c>
      <c r="AO345">
        <v>-7.1599999999999993</v>
      </c>
      <c r="AP345">
        <v>0.28000000000000008</v>
      </c>
      <c r="AQ345">
        <v>12</v>
      </c>
      <c r="AR345">
        <v>12.5</v>
      </c>
      <c r="AS345">
        <v>14</v>
      </c>
      <c r="AT345">
        <v>0.35999999999999976</v>
      </c>
      <c r="AU345">
        <v>11</v>
      </c>
      <c r="AV345">
        <v>6.32</v>
      </c>
      <c r="AW345">
        <v>1.04</v>
      </c>
      <c r="AX345">
        <v>22</v>
      </c>
      <c r="AY345">
        <v>21</v>
      </c>
      <c r="AZ345">
        <v>17</v>
      </c>
      <c r="BA345">
        <v>-2.4719999999999995</v>
      </c>
      <c r="BB345">
        <v>25</v>
      </c>
      <c r="BC345">
        <v>-30.720000000000006</v>
      </c>
      <c r="BD345">
        <v>-1.7200000000000002</v>
      </c>
      <c r="BE345">
        <v>19</v>
      </c>
      <c r="BF345">
        <v>19</v>
      </c>
      <c r="BG345">
        <v>18</v>
      </c>
      <c r="BH345">
        <v>0.34400000000000014</v>
      </c>
      <c r="BI345">
        <v>20</v>
      </c>
      <c r="BJ345">
        <v>-5</v>
      </c>
      <c r="BK345">
        <v>1.44</v>
      </c>
      <c r="BL345">
        <v>28</v>
      </c>
      <c r="BM345">
        <v>27.5</v>
      </c>
      <c r="BN345">
        <v>29</v>
      </c>
      <c r="BO345">
        <v>-2.4000000000000004</v>
      </c>
      <c r="BP345">
        <v>26</v>
      </c>
      <c r="BQ345">
        <v>-0.36000000000000004</v>
      </c>
      <c r="BR345">
        <v>-1.08</v>
      </c>
      <c r="BS345">
        <v>2</v>
      </c>
      <c r="BT345">
        <v>7.5</v>
      </c>
      <c r="BU345">
        <v>3</v>
      </c>
      <c r="BV345">
        <v>5.306971353389224E-2</v>
      </c>
      <c r="BW345">
        <v>16</v>
      </c>
      <c r="BX345">
        <v>3.1522032332894627E-2</v>
      </c>
      <c r="BY345">
        <v>10</v>
      </c>
      <c r="BZ345">
        <v>1.1519999999999953</v>
      </c>
      <c r="CA345">
        <v>1</v>
      </c>
      <c r="CB345">
        <v>5.84</v>
      </c>
      <c r="CC345">
        <v>0.7999999999999986</v>
      </c>
      <c r="CD345">
        <v>-1.4800000000000004</v>
      </c>
      <c r="CE345">
        <v>0.48000000000000009</v>
      </c>
      <c r="CF345">
        <v>-19.159999999999989</v>
      </c>
      <c r="CG345">
        <v>-10.719999999999999</v>
      </c>
      <c r="CH345">
        <v>-28.759999999999998</v>
      </c>
      <c r="CI345">
        <v>6</v>
      </c>
      <c r="CJ345">
        <v>14.319999999999999</v>
      </c>
      <c r="CK345">
        <v>6</v>
      </c>
      <c r="CL345">
        <v>5.9752000000000001</v>
      </c>
      <c r="CM345">
        <v>3.4206400000000001</v>
      </c>
      <c r="CN345">
        <v>18.04</v>
      </c>
      <c r="CO345">
        <v>-5.9752000000000001</v>
      </c>
      <c r="CP345">
        <v>-1.7099999999999949E-2</v>
      </c>
      <c r="CQ345">
        <v>4.4239999999999995</v>
      </c>
      <c r="CR345">
        <v>-3.0799999999999965</v>
      </c>
      <c r="CS345">
        <v>-4.24</v>
      </c>
      <c r="CT345">
        <v>-25.512</v>
      </c>
      <c r="CU345">
        <v>3.4000000000000004</v>
      </c>
      <c r="CV345">
        <v>-1.2800000000000002</v>
      </c>
      <c r="CW345">
        <v>-0.59687500000000004</v>
      </c>
      <c r="CX345">
        <v>0.30087499999999995</v>
      </c>
      <c r="CY345" t="s">
        <v>265</v>
      </c>
      <c r="CZ345">
        <v>29</v>
      </c>
      <c r="DA345">
        <v>-4.3360000000000003</v>
      </c>
      <c r="DB345">
        <v>12</v>
      </c>
      <c r="DC345">
        <v>11.5</v>
      </c>
      <c r="DD345">
        <v>15</v>
      </c>
      <c r="DE345">
        <v>0.77200000000000024</v>
      </c>
      <c r="DF345">
        <v>8</v>
      </c>
      <c r="DG345">
        <v>5.2800000000000011</v>
      </c>
      <c r="DH345">
        <v>0.32</v>
      </c>
      <c r="DI345">
        <v>14</v>
      </c>
      <c r="DJ345">
        <v>15</v>
      </c>
      <c r="DK345">
        <v>14</v>
      </c>
      <c r="DL345">
        <v>-1.4759999999999998</v>
      </c>
      <c r="DM345">
        <v>16</v>
      </c>
      <c r="DN345">
        <v>-5.2399999999999993</v>
      </c>
      <c r="DO345">
        <v>-0.8</v>
      </c>
      <c r="DP345">
        <v>25</v>
      </c>
      <c r="DQ345">
        <v>20</v>
      </c>
      <c r="DR345">
        <v>19</v>
      </c>
      <c r="DS345">
        <v>-3.153999999999999</v>
      </c>
      <c r="DT345">
        <v>21</v>
      </c>
      <c r="DU345">
        <v>-21.26</v>
      </c>
      <c r="DV345">
        <v>-0.12000000000000011</v>
      </c>
      <c r="DW345">
        <v>28</v>
      </c>
      <c r="DX345">
        <v>27</v>
      </c>
      <c r="DY345">
        <v>28</v>
      </c>
      <c r="DZ345">
        <v>-2.705000000000001</v>
      </c>
      <c r="EA345">
        <v>26</v>
      </c>
      <c r="EB345">
        <v>-6.0999999999999988</v>
      </c>
      <c r="EC345">
        <v>0.18000000000000008</v>
      </c>
      <c r="ED345">
        <v>20</v>
      </c>
      <c r="EE345">
        <v>19.5</v>
      </c>
      <c r="EF345">
        <v>20</v>
      </c>
      <c r="EG345">
        <v>-0.50199999999999967</v>
      </c>
      <c r="EH345">
        <v>19</v>
      </c>
      <c r="EI345">
        <v>-2.0200000000000005</v>
      </c>
      <c r="EJ345">
        <v>0.6499999999999998</v>
      </c>
      <c r="EK345">
        <v>21</v>
      </c>
      <c r="EL345">
        <v>21.5</v>
      </c>
      <c r="EM345">
        <v>20</v>
      </c>
      <c r="EN345">
        <v>-4.0359999999999996</v>
      </c>
      <c r="EO345">
        <v>23</v>
      </c>
      <c r="EP345">
        <v>-13.160000000000002</v>
      </c>
      <c r="EQ345">
        <v>-0.6</v>
      </c>
      <c r="ER345">
        <v>15</v>
      </c>
      <c r="ES345">
        <v>15</v>
      </c>
      <c r="ET345">
        <v>12</v>
      </c>
      <c r="EU345">
        <v>4.0000000000002698E-3</v>
      </c>
      <c r="EV345">
        <v>18</v>
      </c>
      <c r="EW345">
        <v>0.90720000000000167</v>
      </c>
      <c r="EX345">
        <v>-1.0799999999999998</v>
      </c>
      <c r="EY345">
        <v>15</v>
      </c>
      <c r="EZ345">
        <v>13</v>
      </c>
      <c r="FA345">
        <v>14</v>
      </c>
      <c r="FB345">
        <v>-0.56000000000000016</v>
      </c>
      <c r="FC345">
        <v>12</v>
      </c>
      <c r="FD345">
        <v>0.12000000000000006</v>
      </c>
      <c r="FE345">
        <v>0.6399999999999999</v>
      </c>
      <c r="FF345">
        <v>32</v>
      </c>
      <c r="FG345">
        <v>29.25</v>
      </c>
      <c r="FH345">
        <v>28</v>
      </c>
      <c r="FI345">
        <v>-3.9958220531938649E-2</v>
      </c>
      <c r="FJ345">
        <v>29</v>
      </c>
      <c r="FK345">
        <v>-3.4471054340991965E-2</v>
      </c>
      <c r="FL345">
        <v>29</v>
      </c>
      <c r="FM345">
        <v>7.5160000000000027</v>
      </c>
      <c r="FN345">
        <v>31</v>
      </c>
      <c r="FO345">
        <v>-4.4799999999999995</v>
      </c>
      <c r="FP345">
        <v>-1.8799999999999997</v>
      </c>
      <c r="FQ345">
        <v>1.2</v>
      </c>
      <c r="FR345">
        <v>-0.48</v>
      </c>
      <c r="FS345">
        <v>-2.9200000000000017</v>
      </c>
      <c r="FT345">
        <v>-2.16</v>
      </c>
      <c r="FU345">
        <v>-1.2</v>
      </c>
      <c r="FV345">
        <v>-53.399999999999991</v>
      </c>
      <c r="FW345">
        <v>-48.400000000000006</v>
      </c>
      <c r="FX345">
        <v>-0.31999999999999884</v>
      </c>
      <c r="FY345">
        <v>0.15999999999999978</v>
      </c>
      <c r="FZ345">
        <v>-4.84</v>
      </c>
      <c r="GA345">
        <v>24</v>
      </c>
      <c r="GB345">
        <v>-3.6320000000000006</v>
      </c>
      <c r="GC345">
        <v>-1.7866</v>
      </c>
      <c r="GD345">
        <v>-48.080000000000005</v>
      </c>
      <c r="GE345">
        <v>3.6320000000000006</v>
      </c>
      <c r="GF345">
        <v>-1.4946250000000001</v>
      </c>
      <c r="GG345">
        <v>-6.3609999999999998</v>
      </c>
      <c r="GH345">
        <v>-29.38</v>
      </c>
      <c r="GI345">
        <v>-0.70399999999999952</v>
      </c>
      <c r="GJ345">
        <v>4.0000000000001812E-2</v>
      </c>
      <c r="GK345">
        <v>-0.37000000000000011</v>
      </c>
      <c r="GL345">
        <v>-0.48000000000000004</v>
      </c>
    </row>
    <row r="346" spans="1:194" x14ac:dyDescent="0.2">
      <c r="A346" s="39">
        <v>43793</v>
      </c>
      <c r="B346" s="22" t="s">
        <v>242</v>
      </c>
      <c r="C346" s="41" t="s">
        <v>298</v>
      </c>
      <c r="D346" s="22" t="s">
        <v>303</v>
      </c>
      <c r="E346">
        <v>3.8</v>
      </c>
      <c r="F346">
        <v>18.600000000000001</v>
      </c>
      <c r="G346">
        <v>4.2</v>
      </c>
      <c r="H346">
        <v>10.3</v>
      </c>
      <c r="I346">
        <v>3.5</v>
      </c>
      <c r="J346">
        <v>45</v>
      </c>
      <c r="L346" s="1" t="s">
        <v>298</v>
      </c>
      <c r="M346">
        <v>14</v>
      </c>
      <c r="N346">
        <v>1.9135999999999993</v>
      </c>
      <c r="O346">
        <v>19</v>
      </c>
      <c r="P346">
        <v>20.5</v>
      </c>
      <c r="Q346">
        <v>13</v>
      </c>
      <c r="R346">
        <v>-2.1079999999999997</v>
      </c>
      <c r="S346">
        <v>28</v>
      </c>
      <c r="T346">
        <v>-39.720000000000006</v>
      </c>
      <c r="U346">
        <v>2.16</v>
      </c>
      <c r="V346">
        <v>24</v>
      </c>
      <c r="W346">
        <v>24</v>
      </c>
      <c r="X346">
        <v>27</v>
      </c>
      <c r="Y346">
        <v>-4.0880000000000001</v>
      </c>
      <c r="Z346">
        <v>21</v>
      </c>
      <c r="AA346">
        <v>-2.3599999999999994</v>
      </c>
      <c r="AB346">
        <v>-1.72</v>
      </c>
      <c r="AC346">
        <v>31</v>
      </c>
      <c r="AD346">
        <v>31</v>
      </c>
      <c r="AE346">
        <v>30</v>
      </c>
      <c r="AF346">
        <v>-3.4399999999999991</v>
      </c>
      <c r="AG346">
        <v>32</v>
      </c>
      <c r="AH346">
        <v>-20.94</v>
      </c>
      <c r="AI346">
        <v>-1.43</v>
      </c>
      <c r="AJ346">
        <v>21</v>
      </c>
      <c r="AK346">
        <v>20.5</v>
      </c>
      <c r="AL346">
        <v>21</v>
      </c>
      <c r="AM346">
        <v>-2.6390000000000002</v>
      </c>
      <c r="AN346">
        <v>20</v>
      </c>
      <c r="AO346">
        <v>-15.889999999999997</v>
      </c>
      <c r="AP346">
        <v>-1.1499999999999999</v>
      </c>
      <c r="AQ346">
        <v>6</v>
      </c>
      <c r="AR346">
        <v>6</v>
      </c>
      <c r="AS346">
        <v>7</v>
      </c>
      <c r="AT346">
        <v>2.6700000000000004</v>
      </c>
      <c r="AU346">
        <v>5</v>
      </c>
      <c r="AV346">
        <v>17.399999999999999</v>
      </c>
      <c r="AW346">
        <v>0.8500000000000002</v>
      </c>
      <c r="AX346">
        <v>24</v>
      </c>
      <c r="AY346">
        <v>25</v>
      </c>
      <c r="AZ346">
        <v>24</v>
      </c>
      <c r="BA346">
        <v>1.1319999999999992</v>
      </c>
      <c r="BB346">
        <v>26</v>
      </c>
      <c r="BC346">
        <v>-4.2799999999999994</v>
      </c>
      <c r="BD346">
        <v>-1.2799999999999998</v>
      </c>
      <c r="BE346">
        <v>14</v>
      </c>
      <c r="BF346">
        <v>13.5</v>
      </c>
      <c r="BG346">
        <v>13</v>
      </c>
      <c r="BH346">
        <v>5.2720000000000002</v>
      </c>
      <c r="BI346">
        <v>14</v>
      </c>
      <c r="BJ346">
        <v>13.48</v>
      </c>
      <c r="BK346">
        <v>-0.96000000000000019</v>
      </c>
      <c r="BL346">
        <v>14</v>
      </c>
      <c r="BM346">
        <v>13.5</v>
      </c>
      <c r="BN346">
        <v>19</v>
      </c>
      <c r="BO346">
        <v>-0.96000000000000019</v>
      </c>
      <c r="BP346">
        <v>8</v>
      </c>
      <c r="BQ346">
        <v>-7.9999999999999932E-2</v>
      </c>
      <c r="BR346">
        <v>1.2</v>
      </c>
      <c r="BS346">
        <v>8</v>
      </c>
      <c r="BT346">
        <v>12</v>
      </c>
      <c r="BU346">
        <v>2</v>
      </c>
      <c r="BV346">
        <v>8.7253799456939146E-2</v>
      </c>
      <c r="BW346">
        <v>17</v>
      </c>
      <c r="BX346">
        <v>1.3104699948087559E-2</v>
      </c>
      <c r="BY346">
        <v>12</v>
      </c>
      <c r="BZ346">
        <v>-1.6319999999999992</v>
      </c>
      <c r="CA346">
        <v>17</v>
      </c>
      <c r="CB346">
        <v>-1</v>
      </c>
      <c r="CC346">
        <v>-3.160000000000001</v>
      </c>
      <c r="CD346">
        <v>-0.4799999999999997</v>
      </c>
      <c r="CE346">
        <v>1.9999999999999996</v>
      </c>
      <c r="CF346">
        <v>-28.680000000000007</v>
      </c>
      <c r="CG346">
        <v>22.040000000000003</v>
      </c>
      <c r="CH346">
        <v>-39.320000000000007</v>
      </c>
      <c r="CI346">
        <v>-0.24000000000000005</v>
      </c>
      <c r="CJ346">
        <v>-11.16</v>
      </c>
      <c r="CK346">
        <v>3</v>
      </c>
      <c r="CL346">
        <v>8.1096000000000004</v>
      </c>
      <c r="CM346">
        <v>3.8533200000000001</v>
      </c>
      <c r="CN346">
        <v>61.360000000000014</v>
      </c>
      <c r="CO346">
        <v>-8.1095999999999986</v>
      </c>
      <c r="CP346">
        <v>-0.42242499999999994</v>
      </c>
      <c r="CQ346">
        <v>-3.4089999999999985</v>
      </c>
      <c r="CR346">
        <v>-19.43</v>
      </c>
      <c r="CS346">
        <v>-6.1959999999999997</v>
      </c>
      <c r="CT346">
        <v>-42.080000000000005</v>
      </c>
      <c r="CU346">
        <v>-2.6900000000000004</v>
      </c>
      <c r="CV346">
        <v>0.44000000000000017</v>
      </c>
      <c r="CW346">
        <v>0.91625000000000012</v>
      </c>
      <c r="CX346">
        <v>1.1394000000000002</v>
      </c>
      <c r="CY346" t="s">
        <v>303</v>
      </c>
      <c r="CZ346">
        <v>13</v>
      </c>
      <c r="DA346">
        <v>2.988799999999999</v>
      </c>
      <c r="DB346">
        <v>13</v>
      </c>
      <c r="DC346">
        <v>12</v>
      </c>
      <c r="DD346">
        <v>10</v>
      </c>
      <c r="DE346">
        <v>1.4</v>
      </c>
      <c r="DF346">
        <v>14</v>
      </c>
      <c r="DG346">
        <v>8.9599999999999973</v>
      </c>
      <c r="DH346">
        <v>-0.2</v>
      </c>
      <c r="DI346">
        <v>6</v>
      </c>
      <c r="DJ346">
        <v>8.5</v>
      </c>
      <c r="DK346">
        <v>6</v>
      </c>
      <c r="DL346">
        <v>1.9039999999999999</v>
      </c>
      <c r="DM346">
        <v>11</v>
      </c>
      <c r="DN346">
        <v>-2.6800000000000006</v>
      </c>
      <c r="DO346">
        <v>0.44000000000000006</v>
      </c>
      <c r="DP346">
        <v>18</v>
      </c>
      <c r="DQ346">
        <v>25</v>
      </c>
      <c r="DR346">
        <v>25</v>
      </c>
      <c r="DS346">
        <v>-1.255999999999998</v>
      </c>
      <c r="DT346">
        <v>25</v>
      </c>
      <c r="DU346">
        <v>-4.0400000000000009</v>
      </c>
      <c r="DV346">
        <v>-0.3999999999999998</v>
      </c>
      <c r="DW346">
        <v>9</v>
      </c>
      <c r="DX346">
        <v>10</v>
      </c>
      <c r="DY346">
        <v>11</v>
      </c>
      <c r="DZ346">
        <v>2.6599999999999993</v>
      </c>
      <c r="EA346">
        <v>9</v>
      </c>
      <c r="EB346">
        <v>8.9200000000000017</v>
      </c>
      <c r="EC346">
        <v>-0.24000000000000005</v>
      </c>
      <c r="ED346">
        <v>25</v>
      </c>
      <c r="EE346">
        <v>32</v>
      </c>
      <c r="EF346">
        <v>32</v>
      </c>
      <c r="EG346">
        <v>-2.9200000000000004</v>
      </c>
      <c r="EH346">
        <v>32</v>
      </c>
      <c r="EI346">
        <v>-12.719999999999999</v>
      </c>
      <c r="EJ346">
        <v>-0.15999999999999998</v>
      </c>
      <c r="EK346">
        <v>31</v>
      </c>
      <c r="EL346">
        <v>31</v>
      </c>
      <c r="EM346">
        <v>31</v>
      </c>
      <c r="EN346">
        <v>-5.1559999999999988</v>
      </c>
      <c r="EO346">
        <v>31</v>
      </c>
      <c r="EP346">
        <v>-41.160000000000004</v>
      </c>
      <c r="EQ346">
        <v>-1.4</v>
      </c>
      <c r="ER346">
        <v>22</v>
      </c>
      <c r="ES346">
        <v>23.5</v>
      </c>
      <c r="ET346">
        <v>26</v>
      </c>
      <c r="EU346">
        <v>1.088000000000001</v>
      </c>
      <c r="EV346">
        <v>21</v>
      </c>
      <c r="EW346">
        <v>-6.5200000000000005</v>
      </c>
      <c r="EX346">
        <v>2.04</v>
      </c>
      <c r="EY346">
        <v>27</v>
      </c>
      <c r="EZ346">
        <v>25.5</v>
      </c>
      <c r="FA346">
        <v>22</v>
      </c>
      <c r="FB346">
        <v>-0.32000000000000012</v>
      </c>
      <c r="FC346">
        <v>29</v>
      </c>
      <c r="FD346">
        <v>-0.28000000000000003</v>
      </c>
      <c r="FE346">
        <v>0.47999999999999987</v>
      </c>
      <c r="FF346">
        <v>10</v>
      </c>
      <c r="FG346">
        <v>13.25</v>
      </c>
      <c r="FH346">
        <v>12</v>
      </c>
      <c r="FI346">
        <v>-2.0831598760193314E-2</v>
      </c>
      <c r="FJ346">
        <v>11</v>
      </c>
      <c r="FK346">
        <v>4.8738232284445239E-3</v>
      </c>
      <c r="FL346">
        <v>12</v>
      </c>
      <c r="FM346">
        <v>-1.111999999999999</v>
      </c>
      <c r="FN346">
        <v>18</v>
      </c>
      <c r="FO346">
        <v>-0.83999999999999986</v>
      </c>
      <c r="FP346">
        <v>-8.000000000000114E-2</v>
      </c>
      <c r="FQ346">
        <v>0.51999999999999957</v>
      </c>
      <c r="FR346">
        <v>0.67999999999999994</v>
      </c>
      <c r="FS346">
        <v>1.2399999999999991</v>
      </c>
      <c r="FT346">
        <v>2.7999999999999994</v>
      </c>
      <c r="FU346">
        <v>0.48</v>
      </c>
      <c r="FV346">
        <v>26.360000000000014</v>
      </c>
      <c r="FW346">
        <v>5.7199999999999935</v>
      </c>
      <c r="FX346">
        <v>10.040000000000001</v>
      </c>
      <c r="FY346">
        <v>4.1599999999999993</v>
      </c>
      <c r="FZ346">
        <v>6.44</v>
      </c>
      <c r="GA346">
        <v>18</v>
      </c>
      <c r="GB346">
        <v>-0.31520000000000081</v>
      </c>
      <c r="GC346">
        <v>-1.1398399999999997</v>
      </c>
      <c r="GD346">
        <v>-4.3200000000000074</v>
      </c>
      <c r="GE346">
        <v>0.31520000000000081</v>
      </c>
      <c r="GF346">
        <v>0.69310000000000005</v>
      </c>
      <c r="GG346">
        <v>-1.5159999999999991</v>
      </c>
      <c r="GH346">
        <v>-7.8399999999999981</v>
      </c>
      <c r="GI346">
        <v>3.3039999999999998</v>
      </c>
      <c r="GJ346">
        <v>6.2799999999999967</v>
      </c>
      <c r="GK346">
        <v>1.2400000000000002</v>
      </c>
      <c r="GL346">
        <v>0.24000000000000005</v>
      </c>
    </row>
    <row r="347" spans="1:194" x14ac:dyDescent="0.2">
      <c r="A347" s="39">
        <v>43793</v>
      </c>
      <c r="B347" s="22" t="s">
        <v>242</v>
      </c>
      <c r="C347" s="41" t="s">
        <v>294</v>
      </c>
      <c r="D347" s="22" t="s">
        <v>308</v>
      </c>
      <c r="H347">
        <f>27.1+9.2</f>
        <v>36.299999999999997</v>
      </c>
      <c r="I347">
        <v>1</v>
      </c>
      <c r="J347">
        <v>45.5</v>
      </c>
      <c r="L347" s="1" t="s">
        <v>294</v>
      </c>
      <c r="M347">
        <v>19</v>
      </c>
      <c r="N347">
        <v>-1.7231999999999998</v>
      </c>
      <c r="O347">
        <v>16</v>
      </c>
      <c r="P347">
        <v>16.5</v>
      </c>
      <c r="Q347">
        <v>18</v>
      </c>
      <c r="R347">
        <v>-1.8679999999999992</v>
      </c>
      <c r="S347">
        <v>15</v>
      </c>
      <c r="T347">
        <v>-2.2400000000000007</v>
      </c>
      <c r="U347">
        <v>-0.56000000000000005</v>
      </c>
      <c r="V347">
        <v>9</v>
      </c>
      <c r="W347">
        <v>10.5</v>
      </c>
      <c r="X347">
        <v>16</v>
      </c>
      <c r="Y347">
        <v>2.1160000000000005</v>
      </c>
      <c r="Z347">
        <v>5</v>
      </c>
      <c r="AA347">
        <v>14.920000000000002</v>
      </c>
      <c r="AB347">
        <v>-0.39999999999999991</v>
      </c>
      <c r="AC347">
        <v>19</v>
      </c>
      <c r="AD347">
        <v>18.5</v>
      </c>
      <c r="AE347">
        <v>20</v>
      </c>
      <c r="AF347">
        <v>-1.4299999999999997</v>
      </c>
      <c r="AG347">
        <v>17</v>
      </c>
      <c r="AH347">
        <v>-2.4500000000000011</v>
      </c>
      <c r="AI347">
        <v>-1.0499999999999998</v>
      </c>
      <c r="AJ347">
        <v>30</v>
      </c>
      <c r="AK347">
        <v>30</v>
      </c>
      <c r="AL347">
        <v>29</v>
      </c>
      <c r="AM347">
        <v>-4.5249999999999995</v>
      </c>
      <c r="AN347">
        <v>31</v>
      </c>
      <c r="AO347">
        <v>-24.599999999999998</v>
      </c>
      <c r="AP347">
        <v>-0.39999999999999991</v>
      </c>
      <c r="AQ347">
        <v>23</v>
      </c>
      <c r="AR347">
        <v>23.5</v>
      </c>
      <c r="AS347">
        <v>24</v>
      </c>
      <c r="AT347">
        <v>-3.7249999999999996</v>
      </c>
      <c r="AU347">
        <v>23</v>
      </c>
      <c r="AV347">
        <v>-12.4</v>
      </c>
      <c r="AW347">
        <v>-2.35</v>
      </c>
      <c r="AX347">
        <v>20</v>
      </c>
      <c r="AY347">
        <v>20</v>
      </c>
      <c r="AZ347">
        <v>19</v>
      </c>
      <c r="BA347">
        <v>2.0399999999999996</v>
      </c>
      <c r="BB347">
        <v>21</v>
      </c>
      <c r="BC347">
        <v>6.4000000000000012</v>
      </c>
      <c r="BD347">
        <v>1.64</v>
      </c>
      <c r="BE347">
        <v>1</v>
      </c>
      <c r="BF347">
        <v>1</v>
      </c>
      <c r="BG347">
        <v>1</v>
      </c>
      <c r="BH347">
        <v>14.867999999999999</v>
      </c>
      <c r="BI347">
        <v>1</v>
      </c>
      <c r="BJ347">
        <v>53.611199999999997</v>
      </c>
      <c r="BK347">
        <v>6.8400000000000007</v>
      </c>
      <c r="BL347">
        <v>23</v>
      </c>
      <c r="BM347">
        <v>22.5</v>
      </c>
      <c r="BN347">
        <v>24</v>
      </c>
      <c r="BO347">
        <v>-1.44</v>
      </c>
      <c r="BP347">
        <v>21</v>
      </c>
      <c r="BQ347">
        <v>-0.64</v>
      </c>
      <c r="BR347">
        <v>0.36</v>
      </c>
      <c r="BS347">
        <v>6</v>
      </c>
      <c r="BT347">
        <v>10.25</v>
      </c>
      <c r="BU347">
        <v>16</v>
      </c>
      <c r="BV347">
        <v>2.5126511068092217E-2</v>
      </c>
      <c r="BW347">
        <v>4</v>
      </c>
      <c r="BX347">
        <v>2.1799801166937867E-2</v>
      </c>
      <c r="BY347">
        <v>6</v>
      </c>
      <c r="BZ347">
        <v>-1.1079999999999983</v>
      </c>
      <c r="CA347">
        <v>15</v>
      </c>
      <c r="CB347">
        <v>1.1999999999999997</v>
      </c>
      <c r="CC347">
        <v>5.4000000000000012</v>
      </c>
      <c r="CD347">
        <v>-0.4799999999999997</v>
      </c>
      <c r="CE347">
        <v>-1.4</v>
      </c>
      <c r="CF347">
        <v>18.880000000000006</v>
      </c>
      <c r="CG347">
        <v>1.5199999999999989</v>
      </c>
      <c r="CH347">
        <v>16.200000000000003</v>
      </c>
      <c r="CI347">
        <v>-0.76</v>
      </c>
      <c r="CJ347">
        <v>1.9199999999999995</v>
      </c>
      <c r="CK347">
        <v>19</v>
      </c>
      <c r="CL347">
        <v>-1.9712000000000012</v>
      </c>
      <c r="CM347">
        <v>0.56895999999999936</v>
      </c>
      <c r="CN347">
        <v>-14.680000000000003</v>
      </c>
      <c r="CO347">
        <v>1.9712000000000012</v>
      </c>
      <c r="CP347">
        <v>0.28410000000000019</v>
      </c>
      <c r="CQ347">
        <v>-9.68</v>
      </c>
      <c r="CR347">
        <v>-39.449999999999996</v>
      </c>
      <c r="CS347">
        <v>0.24800000000000133</v>
      </c>
      <c r="CT347">
        <v>12.680000000000001</v>
      </c>
      <c r="CU347">
        <v>3.0400000000000009</v>
      </c>
      <c r="CV347">
        <v>-0.96</v>
      </c>
      <c r="CW347">
        <v>-1.2387937500000001</v>
      </c>
      <c r="CX347">
        <v>-2.2325000000000004</v>
      </c>
      <c r="CY347" t="s">
        <v>308</v>
      </c>
      <c r="CZ347">
        <v>17</v>
      </c>
      <c r="DA347">
        <v>-1.2832000000000003</v>
      </c>
      <c r="DB347">
        <v>24</v>
      </c>
      <c r="DC347">
        <v>22</v>
      </c>
      <c r="DD347">
        <v>18</v>
      </c>
      <c r="DE347">
        <v>-0.84000000000000019</v>
      </c>
      <c r="DF347">
        <v>26</v>
      </c>
      <c r="DG347">
        <v>-0.71999999999999953</v>
      </c>
      <c r="DH347">
        <v>0.76</v>
      </c>
      <c r="DI347">
        <v>25</v>
      </c>
      <c r="DJ347">
        <v>22.5</v>
      </c>
      <c r="DK347">
        <v>16</v>
      </c>
      <c r="DL347">
        <v>-2.6239999999999988</v>
      </c>
      <c r="DM347">
        <v>29</v>
      </c>
      <c r="DN347">
        <v>-12.079999999999998</v>
      </c>
      <c r="DO347">
        <v>-0.88000000000000012</v>
      </c>
      <c r="DP347">
        <v>5</v>
      </c>
      <c r="DQ347">
        <v>3.5</v>
      </c>
      <c r="DR347">
        <v>3</v>
      </c>
      <c r="DS347">
        <v>4.8137499999999998</v>
      </c>
      <c r="DT347">
        <v>4</v>
      </c>
      <c r="DU347">
        <v>25.9375</v>
      </c>
      <c r="DV347">
        <v>-8.7500000000000133E-2</v>
      </c>
      <c r="DW347">
        <v>19</v>
      </c>
      <c r="DX347">
        <v>17.5</v>
      </c>
      <c r="DY347">
        <v>18</v>
      </c>
      <c r="DZ347">
        <v>-2.6524999999999994</v>
      </c>
      <c r="EA347">
        <v>17</v>
      </c>
      <c r="EB347">
        <v>-7.4749999999999996</v>
      </c>
      <c r="EC347">
        <v>-0.13749999999999996</v>
      </c>
      <c r="ED347">
        <v>13</v>
      </c>
      <c r="EE347">
        <v>13.5</v>
      </c>
      <c r="EF347">
        <v>6</v>
      </c>
      <c r="EG347">
        <v>1.6412499999999999</v>
      </c>
      <c r="EH347">
        <v>21</v>
      </c>
      <c r="EI347">
        <v>0.53750000000000053</v>
      </c>
      <c r="EJ347">
        <v>2.0125000000000002</v>
      </c>
      <c r="EK347">
        <v>18</v>
      </c>
      <c r="EL347">
        <v>18</v>
      </c>
      <c r="EM347">
        <v>16</v>
      </c>
      <c r="EN347">
        <v>-2.5699999999999994</v>
      </c>
      <c r="EO347">
        <v>20</v>
      </c>
      <c r="EP347">
        <v>-7.7000000000000064</v>
      </c>
      <c r="EQ347">
        <v>2.35</v>
      </c>
      <c r="ER347">
        <v>15</v>
      </c>
      <c r="ES347">
        <v>15</v>
      </c>
      <c r="ET347">
        <v>11</v>
      </c>
      <c r="EU347">
        <v>-1.6160000000000003</v>
      </c>
      <c r="EV347">
        <v>19</v>
      </c>
      <c r="EW347">
        <v>-9.3088000000000015</v>
      </c>
      <c r="EX347">
        <v>2</v>
      </c>
      <c r="EY347">
        <v>12</v>
      </c>
      <c r="EZ347">
        <v>12.5</v>
      </c>
      <c r="FA347">
        <v>17</v>
      </c>
      <c r="FB347">
        <v>0.6</v>
      </c>
      <c r="FC347">
        <v>8</v>
      </c>
      <c r="FD347">
        <v>0.91999999999999993</v>
      </c>
      <c r="FE347">
        <v>0.3599999999999996</v>
      </c>
      <c r="FF347">
        <v>21</v>
      </c>
      <c r="FG347">
        <v>17.25</v>
      </c>
      <c r="FH347">
        <v>30</v>
      </c>
      <c r="FI347">
        <v>-5.5260525059291778E-2</v>
      </c>
      <c r="FJ347">
        <v>28</v>
      </c>
      <c r="FK347">
        <v>-9.7358714629503067E-3</v>
      </c>
      <c r="FL347">
        <v>4</v>
      </c>
      <c r="FM347">
        <v>-11.404000000000003</v>
      </c>
      <c r="FN347">
        <v>7</v>
      </c>
      <c r="FO347">
        <v>2.8800000000000003</v>
      </c>
      <c r="FP347">
        <v>6.28</v>
      </c>
      <c r="FQ347">
        <v>-2.0799999999999996</v>
      </c>
      <c r="FR347">
        <v>-0.35999999999999976</v>
      </c>
      <c r="FS347">
        <v>3.6</v>
      </c>
      <c r="FT347">
        <v>-5.56</v>
      </c>
      <c r="FU347">
        <v>1.6800000000000002</v>
      </c>
      <c r="FV347">
        <v>9.4</v>
      </c>
      <c r="FW347">
        <v>24.159999999999997</v>
      </c>
      <c r="FX347">
        <v>-15.199999999999998</v>
      </c>
      <c r="FY347">
        <v>-0.95999999999999974</v>
      </c>
      <c r="FZ347">
        <v>1.4000000000000021</v>
      </c>
      <c r="GA347">
        <v>11</v>
      </c>
      <c r="GB347">
        <v>2.1807999999999987</v>
      </c>
      <c r="GC347">
        <v>1.9126599999999994</v>
      </c>
      <c r="GD347">
        <v>39.359999999999992</v>
      </c>
      <c r="GE347">
        <v>-2.1807999999999987</v>
      </c>
      <c r="GF347">
        <v>-0.24508749999999996</v>
      </c>
      <c r="GG347">
        <v>3.8025000000000002</v>
      </c>
      <c r="GH347">
        <v>19</v>
      </c>
      <c r="GI347">
        <v>-3.4639999999999991</v>
      </c>
      <c r="GJ347">
        <v>-12.799999999999997</v>
      </c>
      <c r="GK347">
        <v>3.7875000000000001</v>
      </c>
      <c r="GL347">
        <v>-0.12000000000000011</v>
      </c>
    </row>
    <row r="348" spans="1:194" x14ac:dyDescent="0.2">
      <c r="A348" s="39">
        <v>43793</v>
      </c>
      <c r="B348" s="22" t="s">
        <v>242</v>
      </c>
      <c r="C348" s="41" t="s">
        <v>309</v>
      </c>
      <c r="D348" s="22" t="s">
        <v>272</v>
      </c>
      <c r="E348">
        <v>18.8</v>
      </c>
      <c r="F348">
        <v>5.9</v>
      </c>
      <c r="G348">
        <v>4.5</v>
      </c>
      <c r="H348">
        <v>1.1000000000000001</v>
      </c>
      <c r="I348" s="8">
        <v>-5.5</v>
      </c>
      <c r="J348" s="8">
        <v>37.5</v>
      </c>
      <c r="L348" s="1" t="s">
        <v>309</v>
      </c>
      <c r="M348">
        <v>30</v>
      </c>
      <c r="N348">
        <v>-6.2511999999999999</v>
      </c>
      <c r="O348">
        <v>12</v>
      </c>
      <c r="P348">
        <v>14.5</v>
      </c>
      <c r="Q348">
        <v>9</v>
      </c>
      <c r="R348">
        <v>3.2320000000000007</v>
      </c>
      <c r="S348">
        <v>20</v>
      </c>
      <c r="T348">
        <v>-0.4</v>
      </c>
      <c r="U348">
        <v>2.9200000000000004</v>
      </c>
      <c r="V348">
        <v>9</v>
      </c>
      <c r="W348">
        <v>10.5</v>
      </c>
      <c r="X348">
        <v>11</v>
      </c>
      <c r="Y348">
        <v>-0.61199999999999988</v>
      </c>
      <c r="Z348">
        <v>10</v>
      </c>
      <c r="AA348">
        <v>-1.8800000000000003</v>
      </c>
      <c r="AB348">
        <v>0.16000000000000006</v>
      </c>
      <c r="AC348">
        <v>13</v>
      </c>
      <c r="AD348">
        <v>14.5</v>
      </c>
      <c r="AE348">
        <v>19</v>
      </c>
      <c r="AF348">
        <v>-3.2499999999999996</v>
      </c>
      <c r="AG348">
        <v>10</v>
      </c>
      <c r="AH348">
        <v>-2.0499999999999972</v>
      </c>
      <c r="AI348">
        <v>-1.1000000000000001</v>
      </c>
      <c r="AJ348">
        <v>17</v>
      </c>
      <c r="AK348">
        <v>17.5</v>
      </c>
      <c r="AL348">
        <v>19</v>
      </c>
      <c r="AM348">
        <v>0.82800000000000062</v>
      </c>
      <c r="AN348">
        <v>16</v>
      </c>
      <c r="AO348">
        <v>9.4400000000000013</v>
      </c>
      <c r="AP348">
        <v>-0.56000000000000016</v>
      </c>
      <c r="AQ348">
        <v>18</v>
      </c>
      <c r="AR348">
        <v>17.5</v>
      </c>
      <c r="AS348">
        <v>20</v>
      </c>
      <c r="AT348">
        <v>-0.98000000000000009</v>
      </c>
      <c r="AU348">
        <v>15</v>
      </c>
      <c r="AV348">
        <v>-0.80000000000000071</v>
      </c>
      <c r="AW348">
        <v>-0.31999999999999995</v>
      </c>
      <c r="AX348">
        <v>31</v>
      </c>
      <c r="AY348">
        <v>31.5</v>
      </c>
      <c r="AZ348">
        <v>32</v>
      </c>
      <c r="BA348">
        <v>-10.664000000000001</v>
      </c>
      <c r="BB348">
        <v>31</v>
      </c>
      <c r="BC348">
        <v>-45.84</v>
      </c>
      <c r="BD348">
        <v>-3.6399999999999997</v>
      </c>
      <c r="BE348">
        <v>28</v>
      </c>
      <c r="BF348">
        <v>27.5</v>
      </c>
      <c r="BG348">
        <v>24</v>
      </c>
      <c r="BH348">
        <v>-3.6560000000000001</v>
      </c>
      <c r="BI348">
        <v>31</v>
      </c>
      <c r="BJ348">
        <v>-21.360000000000003</v>
      </c>
      <c r="BK348">
        <v>-0.32000000000000028</v>
      </c>
      <c r="BL348">
        <v>3</v>
      </c>
      <c r="BM348">
        <v>5.5</v>
      </c>
      <c r="BN348">
        <v>5</v>
      </c>
      <c r="BO348">
        <v>1.0399999999999998</v>
      </c>
      <c r="BP348">
        <v>6</v>
      </c>
      <c r="BQ348">
        <v>0.32</v>
      </c>
      <c r="BR348">
        <v>4.68</v>
      </c>
      <c r="BS348">
        <v>12</v>
      </c>
      <c r="BT348">
        <v>13.25</v>
      </c>
      <c r="BU348">
        <v>9</v>
      </c>
      <c r="BV348">
        <v>4.3078346523261521E-2</v>
      </c>
      <c r="BW348">
        <v>20</v>
      </c>
      <c r="BX348">
        <v>6.6595496116580236E-3</v>
      </c>
      <c r="BY348">
        <v>19</v>
      </c>
      <c r="BZ348">
        <v>-0.44000000000000056</v>
      </c>
      <c r="CA348">
        <v>5</v>
      </c>
      <c r="CB348">
        <v>3.84</v>
      </c>
      <c r="CC348">
        <v>1.7200000000000031</v>
      </c>
      <c r="CD348">
        <v>-4.08</v>
      </c>
      <c r="CE348">
        <v>0.95999999999999974</v>
      </c>
      <c r="CF348">
        <v>-33.920000000000016</v>
      </c>
      <c r="CG348">
        <v>-24.240000000000002</v>
      </c>
      <c r="CH348">
        <v>4.7199999999999989</v>
      </c>
      <c r="CI348">
        <v>-1.8800000000000001</v>
      </c>
      <c r="CJ348">
        <v>-12.52</v>
      </c>
      <c r="CK348">
        <v>29</v>
      </c>
      <c r="CL348">
        <v>-8.8712</v>
      </c>
      <c r="CM348">
        <v>-3.9718400000000003</v>
      </c>
      <c r="CN348">
        <v>-28.96</v>
      </c>
      <c r="CO348">
        <v>8.8712000000000018</v>
      </c>
      <c r="CP348">
        <v>-1.2061499999999998</v>
      </c>
      <c r="CQ348">
        <v>-3.4019999999999988</v>
      </c>
      <c r="CR348">
        <v>6.5900000000000034</v>
      </c>
      <c r="CS348">
        <v>2.620000000000001</v>
      </c>
      <c r="CT348">
        <v>-2.2800000000000002</v>
      </c>
      <c r="CU348">
        <v>-2.3000000000000003</v>
      </c>
      <c r="CV348">
        <v>3.0800000000000005</v>
      </c>
      <c r="CW348">
        <v>-0.26821249999999991</v>
      </c>
      <c r="CX348">
        <v>-1.4892000000000001</v>
      </c>
      <c r="CY348" t="s">
        <v>272</v>
      </c>
      <c r="CZ348">
        <v>10</v>
      </c>
      <c r="DA348">
        <v>3.8152000000000017</v>
      </c>
      <c r="DB348">
        <v>25</v>
      </c>
      <c r="DC348">
        <v>23.5</v>
      </c>
      <c r="DD348">
        <v>29</v>
      </c>
      <c r="DE348">
        <v>-2.62</v>
      </c>
      <c r="DF348">
        <v>18</v>
      </c>
      <c r="DG348">
        <v>15.040000000000003</v>
      </c>
      <c r="DH348">
        <v>-2.6399999999999997</v>
      </c>
      <c r="DI348">
        <v>24</v>
      </c>
      <c r="DJ348">
        <v>21.5</v>
      </c>
      <c r="DK348">
        <v>19</v>
      </c>
      <c r="DL348">
        <v>-1.5879999999999996</v>
      </c>
      <c r="DM348">
        <v>24</v>
      </c>
      <c r="DN348">
        <v>-4.24</v>
      </c>
      <c r="DO348">
        <v>3.9999999999999994E-2</v>
      </c>
      <c r="DP348">
        <v>1</v>
      </c>
      <c r="DQ348">
        <v>4</v>
      </c>
      <c r="DR348">
        <v>5</v>
      </c>
      <c r="DS348">
        <v>9.02</v>
      </c>
      <c r="DT348">
        <v>3</v>
      </c>
      <c r="DU348">
        <v>55.010000000000005</v>
      </c>
      <c r="DV348">
        <v>0.46999999999999992</v>
      </c>
      <c r="DW348">
        <v>17</v>
      </c>
      <c r="DX348">
        <v>16.5</v>
      </c>
      <c r="DY348">
        <v>19</v>
      </c>
      <c r="DZ348">
        <v>-4.7619999999999987</v>
      </c>
      <c r="EA348">
        <v>14</v>
      </c>
      <c r="EB348">
        <v>-17.020000000000003</v>
      </c>
      <c r="EC348">
        <v>-1.6700000000000004</v>
      </c>
      <c r="ED348">
        <v>6</v>
      </c>
      <c r="EE348">
        <v>8</v>
      </c>
      <c r="EF348">
        <v>6</v>
      </c>
      <c r="EG348">
        <v>1.4490000000000003</v>
      </c>
      <c r="EH348">
        <v>10</v>
      </c>
      <c r="EI348">
        <v>10.190000000000001</v>
      </c>
      <c r="EJ348">
        <v>0.13000000000000006</v>
      </c>
      <c r="EK348">
        <v>2</v>
      </c>
      <c r="EL348">
        <v>3.5</v>
      </c>
      <c r="EM348">
        <v>5</v>
      </c>
      <c r="EN348">
        <v>6.6159999999999997</v>
      </c>
      <c r="EO348">
        <v>2</v>
      </c>
      <c r="EP348">
        <v>48.559999999999988</v>
      </c>
      <c r="EQ348">
        <v>0.16000000000000031</v>
      </c>
      <c r="ER348">
        <v>9</v>
      </c>
      <c r="ES348">
        <v>10</v>
      </c>
      <c r="ET348">
        <v>9</v>
      </c>
      <c r="EU348">
        <v>1.8279999999999994</v>
      </c>
      <c r="EV348">
        <v>11</v>
      </c>
      <c r="EW348">
        <v>5.3599999999999994</v>
      </c>
      <c r="EX348">
        <v>-0.96</v>
      </c>
      <c r="EY348">
        <v>20</v>
      </c>
      <c r="EZ348">
        <v>21</v>
      </c>
      <c r="FA348">
        <v>18</v>
      </c>
      <c r="FB348">
        <v>0.4799999999999997</v>
      </c>
      <c r="FC348">
        <v>24</v>
      </c>
      <c r="FD348">
        <v>-0.2</v>
      </c>
      <c r="FE348">
        <v>3.1999999999999997</v>
      </c>
      <c r="FF348">
        <v>22</v>
      </c>
      <c r="FG348">
        <v>18.25</v>
      </c>
      <c r="FH348">
        <v>13</v>
      </c>
      <c r="FI348">
        <v>2.6341911174199938E-2</v>
      </c>
      <c r="FJ348">
        <v>15</v>
      </c>
      <c r="FK348">
        <v>1.4162539802192661E-3</v>
      </c>
      <c r="FL348">
        <v>19</v>
      </c>
      <c r="FM348">
        <v>-4.1359999999999983</v>
      </c>
      <c r="FN348">
        <v>26</v>
      </c>
      <c r="FO348">
        <v>-3.5200000000000005</v>
      </c>
      <c r="FP348">
        <v>-4.6399999999999997</v>
      </c>
      <c r="FQ348">
        <v>2.5200000000000005</v>
      </c>
      <c r="FR348">
        <v>1.0400000000000003</v>
      </c>
      <c r="FS348">
        <v>-0.27999999999999831</v>
      </c>
      <c r="FT348">
        <v>2.2000000000000002</v>
      </c>
      <c r="FU348">
        <v>1.04</v>
      </c>
      <c r="FV348">
        <v>53.96</v>
      </c>
      <c r="FW348">
        <v>32.520000000000003</v>
      </c>
      <c r="FX348">
        <v>15.400000000000002</v>
      </c>
      <c r="FY348">
        <v>4.4399999999999995</v>
      </c>
      <c r="FZ348">
        <v>1.6000000000000014</v>
      </c>
      <c r="GA348">
        <v>2</v>
      </c>
      <c r="GB348">
        <v>8.023200000000001</v>
      </c>
      <c r="GC348">
        <v>4.3740400000000008</v>
      </c>
      <c r="GD348">
        <v>17.12</v>
      </c>
      <c r="GE348">
        <v>-8.0232000000000028</v>
      </c>
      <c r="GF348">
        <v>0.95277500000000026</v>
      </c>
      <c r="GG348">
        <v>5.7070000000000007</v>
      </c>
      <c r="GH348">
        <v>48.180000000000007</v>
      </c>
      <c r="GI348">
        <v>-4.2080000000000002</v>
      </c>
      <c r="GJ348">
        <v>10.800000000000002</v>
      </c>
      <c r="GK348">
        <v>-2.0300000000000002</v>
      </c>
      <c r="GL348">
        <v>-2.5999999999999996</v>
      </c>
    </row>
    <row r="349" spans="1:194" x14ac:dyDescent="0.2">
      <c r="A349" s="39">
        <v>43793</v>
      </c>
      <c r="B349" s="22" t="s">
        <v>242</v>
      </c>
      <c r="C349" s="40" t="s">
        <v>256</v>
      </c>
      <c r="D349" s="22" t="s">
        <v>300</v>
      </c>
      <c r="E349">
        <v>2.5</v>
      </c>
      <c r="F349">
        <v>13</v>
      </c>
      <c r="G349">
        <v>4.7</v>
      </c>
      <c r="H349">
        <v>27.9</v>
      </c>
      <c r="I349">
        <v>-3</v>
      </c>
      <c r="J349">
        <v>48</v>
      </c>
      <c r="L349" s="1" t="s">
        <v>256</v>
      </c>
      <c r="M349">
        <v>18</v>
      </c>
      <c r="N349">
        <v>-0.43199999999999933</v>
      </c>
      <c r="O349">
        <v>26</v>
      </c>
      <c r="P349">
        <v>24.5</v>
      </c>
      <c r="Q349">
        <v>25</v>
      </c>
      <c r="R349">
        <v>-1.6320000000000008</v>
      </c>
      <c r="S349">
        <v>24</v>
      </c>
      <c r="T349">
        <v>-15.120000000000001</v>
      </c>
      <c r="U349">
        <v>-1.3200000000000003</v>
      </c>
      <c r="V349">
        <v>5</v>
      </c>
      <c r="W349">
        <v>8</v>
      </c>
      <c r="X349">
        <v>9</v>
      </c>
      <c r="Y349">
        <v>1.8479999999999996</v>
      </c>
      <c r="Z349">
        <v>7</v>
      </c>
      <c r="AA349">
        <v>8.3899999999999988</v>
      </c>
      <c r="AB349">
        <v>0.92999999999999972</v>
      </c>
      <c r="AC349">
        <v>23</v>
      </c>
      <c r="AD349">
        <v>22</v>
      </c>
      <c r="AE349">
        <v>24</v>
      </c>
      <c r="AF349">
        <v>-1.4460000000000004</v>
      </c>
      <c r="AG349">
        <v>20</v>
      </c>
      <c r="AH349">
        <v>-11.189999999999998</v>
      </c>
      <c r="AI349">
        <v>-0.9800000000000002</v>
      </c>
      <c r="AJ349">
        <v>27</v>
      </c>
      <c r="AK349">
        <v>27</v>
      </c>
      <c r="AL349">
        <v>25</v>
      </c>
      <c r="AM349">
        <v>-0.89599999999999969</v>
      </c>
      <c r="AN349">
        <v>29</v>
      </c>
      <c r="AO349">
        <v>-18.5</v>
      </c>
      <c r="AP349">
        <v>-0.58000000000000007</v>
      </c>
      <c r="AQ349">
        <v>13</v>
      </c>
      <c r="AR349">
        <v>14.5</v>
      </c>
      <c r="AS349">
        <v>16</v>
      </c>
      <c r="AT349">
        <v>-1.1140000000000001</v>
      </c>
      <c r="AU349">
        <v>13</v>
      </c>
      <c r="AV349">
        <v>-5.6400000000000015</v>
      </c>
      <c r="AW349">
        <v>-0.93</v>
      </c>
      <c r="AX349">
        <v>19</v>
      </c>
      <c r="AY349">
        <v>19.5</v>
      </c>
      <c r="AZ349">
        <v>20</v>
      </c>
      <c r="BA349">
        <v>1.8319999999999994</v>
      </c>
      <c r="BB349">
        <v>19</v>
      </c>
      <c r="BC349">
        <v>0.71999999999999598</v>
      </c>
      <c r="BD349">
        <v>-1.1200000000000003</v>
      </c>
      <c r="BE349">
        <v>17</v>
      </c>
      <c r="BF349">
        <v>17.5</v>
      </c>
      <c r="BG349">
        <v>16</v>
      </c>
      <c r="BH349">
        <v>2.1159999999999988</v>
      </c>
      <c r="BI349">
        <v>19</v>
      </c>
      <c r="BJ349">
        <v>6.8272000000000004</v>
      </c>
      <c r="BK349">
        <v>-0.6</v>
      </c>
      <c r="BL349">
        <v>17</v>
      </c>
      <c r="BM349">
        <v>16</v>
      </c>
      <c r="BN349">
        <v>15</v>
      </c>
      <c r="BO349">
        <v>1.2399999999999998</v>
      </c>
      <c r="BP349">
        <v>17</v>
      </c>
      <c r="BQ349">
        <v>-0.2</v>
      </c>
      <c r="BR349">
        <v>3.9200000000000004</v>
      </c>
      <c r="BS349">
        <v>21</v>
      </c>
      <c r="BT349">
        <v>17.75</v>
      </c>
      <c r="BU349">
        <v>19</v>
      </c>
      <c r="BV349">
        <v>-4.4706725892800555E-3</v>
      </c>
      <c r="BW349">
        <v>3</v>
      </c>
      <c r="BX349">
        <v>1.9463622687077825E-2</v>
      </c>
      <c r="BY349">
        <v>29</v>
      </c>
      <c r="BZ349">
        <v>2.4120000000000035</v>
      </c>
      <c r="CA349">
        <v>20</v>
      </c>
      <c r="CB349">
        <v>-0.56000000000000028</v>
      </c>
      <c r="CC349">
        <v>-0.96000000000000085</v>
      </c>
      <c r="CD349">
        <v>6.4799999999999995</v>
      </c>
      <c r="CE349">
        <v>0.56000000000000005</v>
      </c>
      <c r="CF349">
        <v>-18</v>
      </c>
      <c r="CG349">
        <v>-19.599999999999987</v>
      </c>
      <c r="CH349">
        <v>9.9200000000000017</v>
      </c>
      <c r="CI349">
        <v>4.84</v>
      </c>
      <c r="CJ349">
        <v>-13.16</v>
      </c>
      <c r="CK349">
        <v>16</v>
      </c>
      <c r="CL349">
        <v>-0.64799999999999813</v>
      </c>
      <c r="CM349">
        <v>-0.46239999999999948</v>
      </c>
      <c r="CN349">
        <v>-29.519999999999989</v>
      </c>
      <c r="CO349">
        <v>0.64799999999999813</v>
      </c>
      <c r="CP349">
        <v>-3.9500000000000257E-2</v>
      </c>
      <c r="CQ349">
        <v>-3.4560000000000004</v>
      </c>
      <c r="CR349">
        <v>-35.33</v>
      </c>
      <c r="CS349">
        <v>0.21599999999999886</v>
      </c>
      <c r="CT349">
        <v>-6.7300000000000022</v>
      </c>
      <c r="CU349">
        <v>-3.0900000000000003</v>
      </c>
      <c r="CV349">
        <v>-0.39000000000000057</v>
      </c>
      <c r="CW349">
        <v>-0.44383749999999977</v>
      </c>
      <c r="CX349">
        <v>-2.0824500000000001</v>
      </c>
      <c r="CY349" t="s">
        <v>300</v>
      </c>
      <c r="CZ349">
        <v>21</v>
      </c>
      <c r="DA349">
        <v>0.33920000000000028</v>
      </c>
      <c r="DB349">
        <v>5</v>
      </c>
      <c r="DC349">
        <v>6</v>
      </c>
      <c r="DD349">
        <v>8</v>
      </c>
      <c r="DE349">
        <v>6.8000000000001753E-2</v>
      </c>
      <c r="DF349">
        <v>4</v>
      </c>
      <c r="DG349">
        <v>6.8400000000000007</v>
      </c>
      <c r="DH349">
        <v>0.24000000000000005</v>
      </c>
      <c r="DI349">
        <v>9</v>
      </c>
      <c r="DJ349">
        <v>11.5</v>
      </c>
      <c r="DK349">
        <v>19</v>
      </c>
      <c r="DL349">
        <v>-0.85600000000000009</v>
      </c>
      <c r="DM349">
        <v>4</v>
      </c>
      <c r="DN349">
        <v>11.92</v>
      </c>
      <c r="DO349">
        <v>-1.6</v>
      </c>
      <c r="DP349">
        <v>23</v>
      </c>
      <c r="DQ349">
        <v>27.5</v>
      </c>
      <c r="DR349">
        <v>29</v>
      </c>
      <c r="DS349">
        <v>-6.1649999999999991</v>
      </c>
      <c r="DT349">
        <v>26</v>
      </c>
      <c r="DU349">
        <v>-19.949999999999996</v>
      </c>
      <c r="DV349">
        <v>-2.8500000000000005</v>
      </c>
      <c r="DW349">
        <v>13</v>
      </c>
      <c r="DX349">
        <v>13.5</v>
      </c>
      <c r="DY349">
        <v>17</v>
      </c>
      <c r="DZ349">
        <v>2.4150000000000005</v>
      </c>
      <c r="EA349">
        <v>10</v>
      </c>
      <c r="EB349">
        <v>13.700000000000003</v>
      </c>
      <c r="EC349">
        <v>-0.10000000000000009</v>
      </c>
      <c r="ED349">
        <v>12</v>
      </c>
      <c r="EE349">
        <v>17</v>
      </c>
      <c r="EF349">
        <v>20</v>
      </c>
      <c r="EG349">
        <v>1.7850000000000001</v>
      </c>
      <c r="EH349">
        <v>14</v>
      </c>
      <c r="EI349">
        <v>8.9499999999999993</v>
      </c>
      <c r="EJ349">
        <v>-0.8</v>
      </c>
      <c r="EK349">
        <v>16</v>
      </c>
      <c r="EL349">
        <v>16</v>
      </c>
      <c r="EM349">
        <v>17</v>
      </c>
      <c r="EN349">
        <v>0.86799999999999999</v>
      </c>
      <c r="EO349">
        <v>15</v>
      </c>
      <c r="EP349">
        <v>-4.12</v>
      </c>
      <c r="EQ349">
        <v>-2.3200000000000003</v>
      </c>
      <c r="ER349">
        <v>1</v>
      </c>
      <c r="ES349">
        <v>1</v>
      </c>
      <c r="ET349">
        <v>1</v>
      </c>
      <c r="EU349">
        <v>10.692000000000002</v>
      </c>
      <c r="EV349">
        <v>1</v>
      </c>
      <c r="EW349">
        <v>46.72</v>
      </c>
      <c r="EX349">
        <v>2.2799999999999998</v>
      </c>
      <c r="EY349">
        <v>6</v>
      </c>
      <c r="EZ349">
        <v>5</v>
      </c>
      <c r="FA349">
        <v>2</v>
      </c>
      <c r="FB349">
        <v>1.28</v>
      </c>
      <c r="FC349">
        <v>8</v>
      </c>
      <c r="FD349">
        <v>0.19999999999999996</v>
      </c>
      <c r="FE349">
        <v>-3.72</v>
      </c>
      <c r="FF349">
        <v>29</v>
      </c>
      <c r="FG349">
        <v>24</v>
      </c>
      <c r="FH349">
        <v>17</v>
      </c>
      <c r="FI349">
        <v>-9.3242140906327937E-3</v>
      </c>
      <c r="FJ349">
        <v>23</v>
      </c>
      <c r="FK349">
        <v>-6.3022757928228408E-3</v>
      </c>
      <c r="FL349">
        <v>27</v>
      </c>
      <c r="FM349">
        <v>15.491999999999996</v>
      </c>
      <c r="FN349">
        <v>29</v>
      </c>
      <c r="FO349">
        <v>-3.84</v>
      </c>
      <c r="FP349">
        <v>-3.7600000000000007</v>
      </c>
      <c r="FQ349">
        <v>1.2</v>
      </c>
      <c r="FR349">
        <v>0.6399999999999999</v>
      </c>
      <c r="FS349">
        <v>-2.7999999999999985</v>
      </c>
      <c r="FT349">
        <v>2.2000000000000002</v>
      </c>
      <c r="FU349">
        <v>-1.2</v>
      </c>
      <c r="FV349">
        <v>41.760000000000005</v>
      </c>
      <c r="FW349">
        <v>23.080000000000002</v>
      </c>
      <c r="FX349">
        <v>24.880000000000003</v>
      </c>
      <c r="FY349">
        <v>-4.9599999999999991</v>
      </c>
      <c r="FZ349">
        <v>-1.24</v>
      </c>
      <c r="GA349">
        <v>15</v>
      </c>
      <c r="GB349">
        <v>1.1271999999999986</v>
      </c>
      <c r="GC349">
        <v>2.2072400000000001</v>
      </c>
      <c r="GD349">
        <v>-1.8000000000000007</v>
      </c>
      <c r="GE349">
        <v>-1.1271999999999986</v>
      </c>
      <c r="GF349">
        <v>1.1947750000000006</v>
      </c>
      <c r="GG349">
        <v>-1.9649999999999985</v>
      </c>
      <c r="GH349">
        <v>2.7000000000000064</v>
      </c>
      <c r="GI349">
        <v>-0.78799999999999837</v>
      </c>
      <c r="GJ349">
        <v>18.760000000000002</v>
      </c>
      <c r="GK349">
        <v>-1.4700000000000011</v>
      </c>
      <c r="GL349">
        <v>-1.36</v>
      </c>
    </row>
    <row r="350" spans="1:194" x14ac:dyDescent="0.2">
      <c r="A350" s="39">
        <v>43793</v>
      </c>
      <c r="B350" s="22" t="s">
        <v>242</v>
      </c>
      <c r="C350" s="41" t="s">
        <v>308</v>
      </c>
      <c r="D350" s="22" t="s">
        <v>294</v>
      </c>
      <c r="E350">
        <v>4.8</v>
      </c>
      <c r="F350">
        <v>6.5</v>
      </c>
      <c r="G350">
        <v>10.3</v>
      </c>
      <c r="H350">
        <v>4.2</v>
      </c>
      <c r="I350">
        <v>-1</v>
      </c>
      <c r="J350">
        <v>45.5</v>
      </c>
      <c r="L350" s="1" t="s">
        <v>308</v>
      </c>
      <c r="M350">
        <v>9</v>
      </c>
      <c r="N350">
        <v>3.6295999999999999</v>
      </c>
      <c r="O350">
        <v>3</v>
      </c>
      <c r="P350">
        <v>6</v>
      </c>
      <c r="Q350">
        <v>10</v>
      </c>
      <c r="R350">
        <v>-1.42</v>
      </c>
      <c r="S350">
        <v>2</v>
      </c>
      <c r="T350">
        <v>14.2</v>
      </c>
      <c r="U350">
        <v>-1.1999999999999997</v>
      </c>
      <c r="V350">
        <v>1</v>
      </c>
      <c r="W350">
        <v>1.5</v>
      </c>
      <c r="X350">
        <v>2</v>
      </c>
      <c r="Y350">
        <v>1.3279999999999998</v>
      </c>
      <c r="Z350">
        <v>1</v>
      </c>
      <c r="AA350">
        <v>20.240000000000002</v>
      </c>
      <c r="AB350">
        <v>-1.4800000000000002</v>
      </c>
      <c r="AC350">
        <v>19</v>
      </c>
      <c r="AD350">
        <v>18.5</v>
      </c>
      <c r="AE350">
        <v>15</v>
      </c>
      <c r="AF350">
        <v>3.2880000000000003</v>
      </c>
      <c r="AG350">
        <v>22</v>
      </c>
      <c r="AH350">
        <v>10.319999999999999</v>
      </c>
      <c r="AI350">
        <v>-1.1999999999999997</v>
      </c>
      <c r="AJ350">
        <v>12</v>
      </c>
      <c r="AK350">
        <v>11.5</v>
      </c>
      <c r="AL350">
        <v>12</v>
      </c>
      <c r="AM350">
        <v>1.4520000000000006</v>
      </c>
      <c r="AN350">
        <v>11</v>
      </c>
      <c r="AO350">
        <v>5.3200000000000021</v>
      </c>
      <c r="AP350">
        <v>0.72000000000000008</v>
      </c>
      <c r="AQ350">
        <v>17</v>
      </c>
      <c r="AR350">
        <v>17</v>
      </c>
      <c r="AS350">
        <v>17</v>
      </c>
      <c r="AT350">
        <v>3.6000000000000122E-2</v>
      </c>
      <c r="AU350">
        <v>17</v>
      </c>
      <c r="AV350">
        <v>3.7200000000000011</v>
      </c>
      <c r="AW350">
        <v>0.1999999999999999</v>
      </c>
      <c r="AX350">
        <v>24</v>
      </c>
      <c r="AY350">
        <v>25</v>
      </c>
      <c r="AZ350">
        <v>26</v>
      </c>
      <c r="BA350">
        <v>2.2480000000000016</v>
      </c>
      <c r="BB350">
        <v>24</v>
      </c>
      <c r="BC350">
        <v>15.280000000000001</v>
      </c>
      <c r="BD350">
        <v>-0.31999999999999995</v>
      </c>
      <c r="BE350">
        <v>12</v>
      </c>
      <c r="BF350">
        <v>12.5</v>
      </c>
      <c r="BG350">
        <v>10</v>
      </c>
      <c r="BH350">
        <v>2.4239999999999986</v>
      </c>
      <c r="BI350">
        <v>15</v>
      </c>
      <c r="BJ350">
        <v>0.24000000000000127</v>
      </c>
      <c r="BK350">
        <v>1.0399999999999998</v>
      </c>
      <c r="BL350">
        <v>8</v>
      </c>
      <c r="BM350">
        <v>8.5</v>
      </c>
      <c r="BN350">
        <v>9</v>
      </c>
      <c r="BO350">
        <v>1.48</v>
      </c>
      <c r="BP350">
        <v>8</v>
      </c>
      <c r="BQ350">
        <v>0.6399999999999999</v>
      </c>
      <c r="BR350">
        <v>2.8800000000000003</v>
      </c>
      <c r="BS350">
        <v>12</v>
      </c>
      <c r="BT350">
        <v>13.25</v>
      </c>
      <c r="BU350">
        <v>11</v>
      </c>
      <c r="BV350">
        <v>7.0645504554450039E-2</v>
      </c>
      <c r="BW350">
        <v>5</v>
      </c>
      <c r="BX350">
        <v>1.2576434122401553E-2</v>
      </c>
      <c r="BY350">
        <v>21</v>
      </c>
      <c r="BZ350">
        <v>5.4839999999999973</v>
      </c>
      <c r="CA350">
        <v>16</v>
      </c>
      <c r="CB350">
        <v>0.3599999999999996</v>
      </c>
      <c r="CC350">
        <v>1.0000000000000013</v>
      </c>
      <c r="CD350">
        <v>4.4000000000000004</v>
      </c>
      <c r="CE350">
        <v>0.20000000000000009</v>
      </c>
      <c r="CF350">
        <v>49.240000000000009</v>
      </c>
      <c r="CG350">
        <v>16.119999999999997</v>
      </c>
      <c r="CH350">
        <v>29.279999999999994</v>
      </c>
      <c r="CI350">
        <v>-1.7600000000000002</v>
      </c>
      <c r="CJ350">
        <v>5.6</v>
      </c>
      <c r="CK350">
        <v>10</v>
      </c>
      <c r="CL350">
        <v>3.7216</v>
      </c>
      <c r="CM350">
        <v>2.2119200000000001</v>
      </c>
      <c r="CN350">
        <v>-13.159999999999997</v>
      </c>
      <c r="CO350">
        <v>-3.7216</v>
      </c>
      <c r="CP350">
        <v>1.5271999999999997</v>
      </c>
      <c r="CQ350">
        <v>4.7760000000000016</v>
      </c>
      <c r="CR350">
        <v>19.360000000000003</v>
      </c>
      <c r="CS350">
        <v>-9.2000000000000082E-2</v>
      </c>
      <c r="CT350">
        <v>34.44</v>
      </c>
      <c r="CU350">
        <v>0.76</v>
      </c>
      <c r="CV350">
        <v>-2.6799999999999997</v>
      </c>
      <c r="CW350">
        <v>-1.2387937500000001</v>
      </c>
      <c r="CX350">
        <v>-0.24508749999999996</v>
      </c>
      <c r="CY350" t="s">
        <v>294</v>
      </c>
      <c r="CZ350">
        <v>30</v>
      </c>
      <c r="DA350">
        <v>-5.4080000000000004</v>
      </c>
      <c r="DB350">
        <v>18</v>
      </c>
      <c r="DC350">
        <v>19.5</v>
      </c>
      <c r="DD350">
        <v>7</v>
      </c>
      <c r="DE350">
        <v>2.6760000000000002</v>
      </c>
      <c r="DF350">
        <v>32</v>
      </c>
      <c r="DG350">
        <v>-21.4</v>
      </c>
      <c r="DH350">
        <v>1.8399999999999999</v>
      </c>
      <c r="DI350">
        <v>5</v>
      </c>
      <c r="DJ350">
        <v>8</v>
      </c>
      <c r="DK350">
        <v>13</v>
      </c>
      <c r="DL350">
        <v>0.65199999999999947</v>
      </c>
      <c r="DM350">
        <v>3</v>
      </c>
      <c r="DN350">
        <v>19.399999999999999</v>
      </c>
      <c r="DO350">
        <v>-0.11999999999999993</v>
      </c>
      <c r="DP350">
        <v>30</v>
      </c>
      <c r="DQ350">
        <v>24</v>
      </c>
      <c r="DR350">
        <v>24</v>
      </c>
      <c r="DS350">
        <v>-6.1159999999999997</v>
      </c>
      <c r="DT350">
        <v>24</v>
      </c>
      <c r="DU350">
        <v>-20.240000000000002</v>
      </c>
      <c r="DV350">
        <v>-2.4</v>
      </c>
      <c r="DW350">
        <v>31</v>
      </c>
      <c r="DX350">
        <v>30.5</v>
      </c>
      <c r="DY350">
        <v>30</v>
      </c>
      <c r="DZ350">
        <v>-5.1920000000000002</v>
      </c>
      <c r="EA350">
        <v>31</v>
      </c>
      <c r="EB350">
        <v>-20.96</v>
      </c>
      <c r="EC350">
        <v>-2.3199999999999994</v>
      </c>
      <c r="ED350">
        <v>29</v>
      </c>
      <c r="EE350">
        <v>20</v>
      </c>
      <c r="EF350">
        <v>18</v>
      </c>
      <c r="EG350">
        <v>-1.6400000000000006</v>
      </c>
      <c r="EH350">
        <v>22</v>
      </c>
      <c r="EI350">
        <v>-14.24</v>
      </c>
      <c r="EJ350">
        <v>-1.9199999999999995</v>
      </c>
      <c r="EK350">
        <v>32</v>
      </c>
      <c r="EL350">
        <v>32</v>
      </c>
      <c r="EM350">
        <v>32</v>
      </c>
      <c r="EN350">
        <v>-12.484</v>
      </c>
      <c r="EO350">
        <v>32</v>
      </c>
      <c r="EP350">
        <v>-52.04</v>
      </c>
      <c r="EQ350">
        <v>-4.5600000000000005</v>
      </c>
      <c r="ER350">
        <v>8</v>
      </c>
      <c r="ES350">
        <v>8.5</v>
      </c>
      <c r="ET350">
        <v>12</v>
      </c>
      <c r="EU350">
        <v>-1.3119999999999998</v>
      </c>
      <c r="EV350">
        <v>5</v>
      </c>
      <c r="EW350">
        <v>-3.12</v>
      </c>
      <c r="EX350">
        <v>-0.72</v>
      </c>
      <c r="EY350">
        <v>31</v>
      </c>
      <c r="EZ350">
        <v>28.5</v>
      </c>
      <c r="FA350">
        <v>26</v>
      </c>
      <c r="FB350">
        <v>-1.52</v>
      </c>
      <c r="FC350">
        <v>31</v>
      </c>
      <c r="FD350">
        <v>-0.8</v>
      </c>
      <c r="FE350">
        <v>1.1999999999999997</v>
      </c>
      <c r="FF350">
        <v>4</v>
      </c>
      <c r="FG350">
        <v>8.75</v>
      </c>
      <c r="FH350">
        <v>3</v>
      </c>
      <c r="FI350">
        <v>9.0966006250782164E-3</v>
      </c>
      <c r="FJ350">
        <v>4</v>
      </c>
      <c r="FK350">
        <v>4.3996835817979113E-2</v>
      </c>
      <c r="FL350">
        <v>14</v>
      </c>
      <c r="FM350">
        <v>1.8279999999999987</v>
      </c>
      <c r="FN350">
        <v>14</v>
      </c>
      <c r="FO350">
        <v>0.36</v>
      </c>
      <c r="FP350">
        <v>-4.4400000000000004</v>
      </c>
      <c r="FQ350">
        <v>-3.44</v>
      </c>
      <c r="FR350">
        <v>0.12000000000000011</v>
      </c>
      <c r="FS350">
        <v>-6.7200000000000015</v>
      </c>
      <c r="FT350">
        <v>-2.16</v>
      </c>
      <c r="FU350">
        <v>-1</v>
      </c>
      <c r="FV350">
        <v>-47.91999999999998</v>
      </c>
      <c r="FW350">
        <v>-52.319999999999993</v>
      </c>
      <c r="FX350">
        <v>-1.7599999999999993</v>
      </c>
      <c r="FY350">
        <v>2.56</v>
      </c>
      <c r="FZ350">
        <v>3.6</v>
      </c>
      <c r="GA350">
        <v>31</v>
      </c>
      <c r="GB350">
        <v>-8.7359999999999989</v>
      </c>
      <c r="GC350">
        <v>-5.5975999999999999</v>
      </c>
      <c r="GD350">
        <v>-50.559999999999995</v>
      </c>
      <c r="GE350">
        <v>8.7360000000000007</v>
      </c>
      <c r="GF350">
        <v>-2.2325000000000004</v>
      </c>
      <c r="GG350">
        <v>-12.948</v>
      </c>
      <c r="GH350">
        <v>-55.440000000000005</v>
      </c>
      <c r="GI350">
        <v>3.3279999999999994</v>
      </c>
      <c r="GJ350">
        <v>-2</v>
      </c>
      <c r="GK350">
        <v>-7.3599999999999985</v>
      </c>
      <c r="GL350">
        <v>1.72</v>
      </c>
    </row>
    <row r="351" spans="1:194" x14ac:dyDescent="0.2">
      <c r="A351" s="39">
        <v>43793</v>
      </c>
      <c r="B351" s="22" t="s">
        <v>242</v>
      </c>
      <c r="C351" s="41" t="s">
        <v>284</v>
      </c>
      <c r="D351" s="22" t="s">
        <v>295</v>
      </c>
      <c r="E351">
        <v>9</v>
      </c>
      <c r="F351">
        <v>40.4</v>
      </c>
      <c r="G351">
        <v>5.4</v>
      </c>
      <c r="H351">
        <v>2</v>
      </c>
      <c r="I351">
        <v>3.5</v>
      </c>
      <c r="J351">
        <v>51.5</v>
      </c>
      <c r="K351" s="20" t="s">
        <v>109</v>
      </c>
      <c r="L351" s="1" t="s">
        <v>284</v>
      </c>
      <c r="M351">
        <v>10</v>
      </c>
      <c r="N351">
        <v>3.256800000000001</v>
      </c>
      <c r="O351">
        <v>24</v>
      </c>
      <c r="P351">
        <v>22.5</v>
      </c>
      <c r="Q351">
        <v>20</v>
      </c>
      <c r="R351">
        <v>-3.1680000000000001</v>
      </c>
      <c r="S351">
        <v>25</v>
      </c>
      <c r="T351">
        <v>-4.0100000000000025</v>
      </c>
      <c r="U351">
        <v>-1.07</v>
      </c>
      <c r="V351">
        <v>20</v>
      </c>
      <c r="W351">
        <v>18.5</v>
      </c>
      <c r="X351">
        <v>12</v>
      </c>
      <c r="Y351">
        <v>1.2689999999999999</v>
      </c>
      <c r="Z351">
        <v>25</v>
      </c>
      <c r="AA351">
        <v>-8.11</v>
      </c>
      <c r="AB351">
        <v>-0.39999999999999991</v>
      </c>
      <c r="AC351">
        <v>24</v>
      </c>
      <c r="AD351">
        <v>22.5</v>
      </c>
      <c r="AE351">
        <v>26</v>
      </c>
      <c r="AF351">
        <v>2.7020000000000004</v>
      </c>
      <c r="AG351">
        <v>19</v>
      </c>
      <c r="AH351">
        <v>18.399999999999999</v>
      </c>
      <c r="AI351">
        <v>-1.6099999999999999</v>
      </c>
      <c r="AJ351">
        <v>2</v>
      </c>
      <c r="AK351">
        <v>3</v>
      </c>
      <c r="AL351">
        <v>3</v>
      </c>
      <c r="AM351">
        <v>5.2369999999999992</v>
      </c>
      <c r="AN351">
        <v>3</v>
      </c>
      <c r="AO351">
        <v>28.589999999999996</v>
      </c>
      <c r="AP351">
        <v>2.44</v>
      </c>
      <c r="AQ351">
        <v>4</v>
      </c>
      <c r="AR351">
        <v>4.5</v>
      </c>
      <c r="AS351">
        <v>5</v>
      </c>
      <c r="AT351">
        <v>1.6099999999999994</v>
      </c>
      <c r="AU351">
        <v>4</v>
      </c>
      <c r="AV351">
        <v>9.7600000000000016</v>
      </c>
      <c r="AW351">
        <v>0.51</v>
      </c>
      <c r="AX351">
        <v>6</v>
      </c>
      <c r="AY351">
        <v>5.5</v>
      </c>
      <c r="AZ351">
        <v>6</v>
      </c>
      <c r="BA351">
        <v>5.363999999999999</v>
      </c>
      <c r="BB351">
        <v>5</v>
      </c>
      <c r="BC351">
        <v>29.24</v>
      </c>
      <c r="BD351">
        <v>-0.4</v>
      </c>
      <c r="BE351">
        <v>20</v>
      </c>
      <c r="BF351">
        <v>22</v>
      </c>
      <c r="BG351">
        <v>22</v>
      </c>
      <c r="BH351">
        <v>-4.0919999999999996</v>
      </c>
      <c r="BI351">
        <v>22</v>
      </c>
      <c r="BJ351">
        <v>-16.4528</v>
      </c>
      <c r="BK351">
        <v>-1</v>
      </c>
      <c r="BL351">
        <v>18</v>
      </c>
      <c r="BM351">
        <v>17.5</v>
      </c>
      <c r="BN351">
        <v>16</v>
      </c>
      <c r="BO351">
        <v>0.20000000000000034</v>
      </c>
      <c r="BP351">
        <v>19</v>
      </c>
      <c r="BQ351">
        <v>-0.11999999999999997</v>
      </c>
      <c r="BR351">
        <v>-2.0799999999999996</v>
      </c>
      <c r="BS351">
        <v>14</v>
      </c>
      <c r="BT351">
        <v>14</v>
      </c>
      <c r="BU351">
        <v>29</v>
      </c>
      <c r="BV351">
        <v>-6.0806275305828536E-2</v>
      </c>
      <c r="BW351">
        <v>22</v>
      </c>
      <c r="BX351">
        <v>-1.3566257086646855E-2</v>
      </c>
      <c r="BY351">
        <v>1</v>
      </c>
      <c r="BZ351">
        <v>-26.155999999999999</v>
      </c>
      <c r="CA351">
        <v>4</v>
      </c>
      <c r="CB351">
        <v>1.2</v>
      </c>
      <c r="CC351">
        <v>2.5600000000000009</v>
      </c>
      <c r="CD351">
        <v>5.44</v>
      </c>
      <c r="CE351">
        <v>-0.83999999999999986</v>
      </c>
      <c r="CF351">
        <v>34.120000000000005</v>
      </c>
      <c r="CG351">
        <v>32.120000000000012</v>
      </c>
      <c r="CH351">
        <v>-10.039999999999996</v>
      </c>
      <c r="CI351">
        <v>-3.4799999999999995</v>
      </c>
      <c r="CJ351">
        <v>15.52</v>
      </c>
      <c r="CK351">
        <v>8</v>
      </c>
      <c r="CL351">
        <v>5.155800000000001</v>
      </c>
      <c r="CM351">
        <v>2.6922600000000005</v>
      </c>
      <c r="CN351">
        <v>42.160000000000011</v>
      </c>
      <c r="CO351">
        <v>-5.155800000000001</v>
      </c>
      <c r="CP351">
        <v>0.87685000000000013</v>
      </c>
      <c r="CQ351">
        <v>9.5489999999999995</v>
      </c>
      <c r="CR351">
        <v>56.75</v>
      </c>
      <c r="CS351">
        <v>-1.8990000000000002</v>
      </c>
      <c r="CT351">
        <v>-12.120000000000001</v>
      </c>
      <c r="CU351">
        <v>0.34000000000000008</v>
      </c>
      <c r="CV351">
        <v>-1.47</v>
      </c>
      <c r="CW351">
        <v>0.74778750000000005</v>
      </c>
      <c r="CX351">
        <v>2.0112749999999999</v>
      </c>
      <c r="CY351" t="s">
        <v>295</v>
      </c>
      <c r="CZ351">
        <v>27</v>
      </c>
      <c r="DA351">
        <v>-0.20560000000000045</v>
      </c>
      <c r="DB351">
        <v>30</v>
      </c>
      <c r="DC351">
        <v>28</v>
      </c>
      <c r="DD351">
        <v>28</v>
      </c>
      <c r="DE351">
        <v>-1.3599999999999994</v>
      </c>
      <c r="DF351">
        <v>28</v>
      </c>
      <c r="DG351">
        <v>-15.760000000000002</v>
      </c>
      <c r="DH351">
        <v>0.43999999999999995</v>
      </c>
      <c r="DI351">
        <v>28</v>
      </c>
      <c r="DJ351">
        <v>25.5</v>
      </c>
      <c r="DK351">
        <v>30</v>
      </c>
      <c r="DL351">
        <v>-0.87199999999999955</v>
      </c>
      <c r="DM351">
        <v>21</v>
      </c>
      <c r="DN351">
        <v>4.84</v>
      </c>
      <c r="DO351">
        <v>0.23999999999999994</v>
      </c>
      <c r="DP351">
        <v>22</v>
      </c>
      <c r="DQ351">
        <v>18.5</v>
      </c>
      <c r="DR351">
        <v>21</v>
      </c>
      <c r="DS351">
        <v>-3.3520000000000003</v>
      </c>
      <c r="DT351">
        <v>16</v>
      </c>
      <c r="DU351">
        <v>-6.76</v>
      </c>
      <c r="DV351">
        <v>1.2399999999999998</v>
      </c>
      <c r="DW351">
        <v>9</v>
      </c>
      <c r="DX351">
        <v>10</v>
      </c>
      <c r="DY351">
        <v>9</v>
      </c>
      <c r="DZ351">
        <v>3.472</v>
      </c>
      <c r="EA351">
        <v>11</v>
      </c>
      <c r="EB351">
        <v>8.0000000000000036</v>
      </c>
      <c r="EC351">
        <v>-0.96</v>
      </c>
      <c r="ED351">
        <v>17</v>
      </c>
      <c r="EE351">
        <v>26.5</v>
      </c>
      <c r="EF351">
        <v>29</v>
      </c>
      <c r="EG351">
        <v>-0.75599999999999956</v>
      </c>
      <c r="EH351">
        <v>24</v>
      </c>
      <c r="EI351">
        <v>1.320000000000001</v>
      </c>
      <c r="EJ351">
        <v>-0.32000000000000012</v>
      </c>
      <c r="EK351">
        <v>10</v>
      </c>
      <c r="EL351">
        <v>11.5</v>
      </c>
      <c r="EM351">
        <v>14</v>
      </c>
      <c r="EN351">
        <v>-0.87600000000000122</v>
      </c>
      <c r="EO351">
        <v>9</v>
      </c>
      <c r="EP351">
        <v>2.4399999999999991</v>
      </c>
      <c r="EQ351">
        <v>-0.31999999999999956</v>
      </c>
      <c r="ER351">
        <v>29</v>
      </c>
      <c r="ES351">
        <v>26.5</v>
      </c>
      <c r="ET351">
        <v>30</v>
      </c>
      <c r="EU351">
        <v>-1.8119999999999994</v>
      </c>
      <c r="EV351">
        <v>23</v>
      </c>
      <c r="EW351">
        <v>-3.3200000000000003</v>
      </c>
      <c r="EX351">
        <v>-0.51999999999999991</v>
      </c>
      <c r="EY351">
        <v>17</v>
      </c>
      <c r="EZ351">
        <v>14.5</v>
      </c>
      <c r="FA351">
        <v>14</v>
      </c>
      <c r="FB351">
        <v>0.76</v>
      </c>
      <c r="FC351">
        <v>15</v>
      </c>
      <c r="FD351">
        <v>-8.8817841970012528E-17</v>
      </c>
      <c r="FE351">
        <v>2.2799999999999998</v>
      </c>
      <c r="FF351">
        <v>19</v>
      </c>
      <c r="FG351">
        <v>16.5</v>
      </c>
      <c r="FH351">
        <v>10</v>
      </c>
      <c r="FI351">
        <v>-5.5156896629458604E-3</v>
      </c>
      <c r="FJ351">
        <v>20</v>
      </c>
      <c r="FK351">
        <v>-2.1165712766719829E-3</v>
      </c>
      <c r="FL351">
        <v>25</v>
      </c>
      <c r="FM351">
        <v>4.0639999999999974</v>
      </c>
      <c r="FN351">
        <v>11</v>
      </c>
      <c r="FO351">
        <v>-0.88000000000000012</v>
      </c>
      <c r="FP351">
        <v>-1.4</v>
      </c>
      <c r="FQ351">
        <v>7.999999999999971E-2</v>
      </c>
      <c r="FR351">
        <v>0.6</v>
      </c>
      <c r="FS351">
        <v>-0.84000000000000052</v>
      </c>
      <c r="FT351">
        <v>-3.1599999999999993</v>
      </c>
      <c r="FU351">
        <v>1.1599999999999997</v>
      </c>
      <c r="FV351">
        <v>-3.8399999999999865</v>
      </c>
      <c r="FW351">
        <v>2.560000000000008</v>
      </c>
      <c r="FX351">
        <v>-4.2399999999999975</v>
      </c>
      <c r="FY351">
        <v>-0.72</v>
      </c>
      <c r="FZ351">
        <v>-1.4399999999999997</v>
      </c>
      <c r="GA351">
        <v>13</v>
      </c>
      <c r="GB351">
        <v>2.0263999999999984</v>
      </c>
      <c r="GC351">
        <v>0.58527999999999947</v>
      </c>
      <c r="GD351">
        <v>6.800000000000006</v>
      </c>
      <c r="GE351">
        <v>-2.0263999999999984</v>
      </c>
      <c r="GF351">
        <v>-0.51569999999999994</v>
      </c>
      <c r="GG351">
        <v>-0.6359999999999999</v>
      </c>
      <c r="GH351">
        <v>2.5600000000000049</v>
      </c>
      <c r="GI351">
        <v>-2.2319999999999989</v>
      </c>
      <c r="GJ351">
        <v>-10.920000000000002</v>
      </c>
      <c r="GK351">
        <v>-0.56000000000000028</v>
      </c>
      <c r="GL351">
        <v>0.67999999999999994</v>
      </c>
    </row>
    <row r="352" spans="1:194" x14ac:dyDescent="0.2">
      <c r="A352" s="39">
        <v>43793</v>
      </c>
      <c r="B352" s="22" t="s">
        <v>242</v>
      </c>
      <c r="C352" s="41" t="s">
        <v>310</v>
      </c>
      <c r="D352" s="22" t="s">
        <v>297</v>
      </c>
      <c r="E352">
        <v>26.5</v>
      </c>
      <c r="F352">
        <v>4.9000000000000004</v>
      </c>
      <c r="G352" s="14">
        <v>5</v>
      </c>
      <c r="H352">
        <v>3.4</v>
      </c>
      <c r="I352">
        <v>-4.5</v>
      </c>
      <c r="J352">
        <v>42</v>
      </c>
      <c r="K352" t="s">
        <v>110</v>
      </c>
      <c r="L352" s="1" t="s">
        <v>310</v>
      </c>
      <c r="M352">
        <v>5</v>
      </c>
      <c r="N352">
        <v>4.8360000000000003</v>
      </c>
      <c r="O352">
        <v>1</v>
      </c>
      <c r="P352">
        <v>1.5</v>
      </c>
      <c r="Q352">
        <v>2</v>
      </c>
      <c r="R352">
        <v>4.5444000000000013</v>
      </c>
      <c r="S352">
        <v>1</v>
      </c>
      <c r="T352">
        <v>34.6</v>
      </c>
      <c r="U352">
        <v>-2.04</v>
      </c>
      <c r="V352">
        <v>29</v>
      </c>
      <c r="W352">
        <v>29</v>
      </c>
      <c r="X352">
        <v>29</v>
      </c>
      <c r="Y352">
        <v>-5.1440000000000001</v>
      </c>
      <c r="Z352">
        <v>29</v>
      </c>
      <c r="AA352">
        <v>-8.8800000000000008</v>
      </c>
      <c r="AB352">
        <v>-1.1199999999999999</v>
      </c>
      <c r="AC352">
        <v>28</v>
      </c>
      <c r="AD352">
        <v>27.5</v>
      </c>
      <c r="AE352">
        <v>28</v>
      </c>
      <c r="AF352">
        <v>-2.1880000000000002</v>
      </c>
      <c r="AG352">
        <v>27</v>
      </c>
      <c r="AH352">
        <v>-4.259999999999998</v>
      </c>
      <c r="AI352">
        <v>-2.5100000000000002</v>
      </c>
      <c r="AJ352">
        <v>28</v>
      </c>
      <c r="AK352">
        <v>27.5</v>
      </c>
      <c r="AL352">
        <v>28</v>
      </c>
      <c r="AM352">
        <v>-2.6229999999999998</v>
      </c>
      <c r="AN352">
        <v>27</v>
      </c>
      <c r="AO352">
        <v>-12.169999999999998</v>
      </c>
      <c r="AP352">
        <v>-0.99</v>
      </c>
      <c r="AQ352">
        <v>15</v>
      </c>
      <c r="AR352">
        <v>15</v>
      </c>
      <c r="AS352">
        <v>12</v>
      </c>
      <c r="AT352">
        <v>0.67800000000000016</v>
      </c>
      <c r="AU352">
        <v>18</v>
      </c>
      <c r="AV352">
        <v>-1.1200000000000003</v>
      </c>
      <c r="AW352">
        <v>-0.83000000000000007</v>
      </c>
      <c r="AX352">
        <v>20</v>
      </c>
      <c r="AY352">
        <v>20</v>
      </c>
      <c r="AZ352">
        <v>22</v>
      </c>
      <c r="BA352">
        <v>-2.1880000000000011</v>
      </c>
      <c r="BB352">
        <v>18</v>
      </c>
      <c r="BC352">
        <v>-2.6799999999999984</v>
      </c>
      <c r="BD352">
        <v>-1.2</v>
      </c>
      <c r="BE352">
        <v>14</v>
      </c>
      <c r="BF352">
        <v>13.5</v>
      </c>
      <c r="BG352">
        <v>15</v>
      </c>
      <c r="BH352">
        <v>1.7280000000000009</v>
      </c>
      <c r="BI352">
        <v>12</v>
      </c>
      <c r="BJ352">
        <v>13.88</v>
      </c>
      <c r="BK352">
        <v>0.67999999999999972</v>
      </c>
      <c r="BL352">
        <v>29</v>
      </c>
      <c r="BM352">
        <v>29</v>
      </c>
      <c r="BN352">
        <v>28</v>
      </c>
      <c r="BO352">
        <v>-1.6</v>
      </c>
      <c r="BP352">
        <v>30</v>
      </c>
      <c r="BQ352">
        <v>-0.68</v>
      </c>
      <c r="BR352">
        <v>-0.84000000000000008</v>
      </c>
      <c r="BS352">
        <v>25</v>
      </c>
      <c r="BT352">
        <v>21</v>
      </c>
      <c r="BU352">
        <v>27</v>
      </c>
      <c r="BV352">
        <v>-4.7442358356770145E-2</v>
      </c>
      <c r="BW352">
        <v>2</v>
      </c>
      <c r="BX352">
        <v>8.6001709139156574E-3</v>
      </c>
      <c r="BY352">
        <v>30</v>
      </c>
      <c r="BZ352">
        <v>6.94</v>
      </c>
      <c r="CA352">
        <v>25</v>
      </c>
      <c r="CB352">
        <v>-1.4000000000000001</v>
      </c>
      <c r="CC352">
        <v>-5.5200000000000005</v>
      </c>
      <c r="CD352">
        <v>4.5199999999999987</v>
      </c>
      <c r="CE352">
        <v>0.27999999999999992</v>
      </c>
      <c r="CF352">
        <v>27.839999999999996</v>
      </c>
      <c r="CG352">
        <v>2.8</v>
      </c>
      <c r="CH352">
        <v>20.96</v>
      </c>
      <c r="CI352">
        <v>-4.4400000000000004</v>
      </c>
      <c r="CJ352">
        <v>8.52</v>
      </c>
      <c r="CK352">
        <v>7</v>
      </c>
      <c r="CL352">
        <v>5.4355999999999991</v>
      </c>
      <c r="CM352">
        <v>0.7859999999999997</v>
      </c>
      <c r="CN352">
        <v>-18.16</v>
      </c>
      <c r="CO352">
        <v>-5.4355999999999991</v>
      </c>
      <c r="CP352">
        <v>2.8925000000000312E-2</v>
      </c>
      <c r="CQ352">
        <v>-4.133</v>
      </c>
      <c r="CR352">
        <v>-17.549999999999997</v>
      </c>
      <c r="CS352">
        <v>-0.5995999999999988</v>
      </c>
      <c r="CT352">
        <v>25.72</v>
      </c>
      <c r="CU352">
        <v>-3.6500000000000004</v>
      </c>
      <c r="CV352">
        <v>-3.16</v>
      </c>
      <c r="CW352">
        <v>1.2358625000000001</v>
      </c>
      <c r="CX352">
        <v>1.6358000000000001</v>
      </c>
      <c r="CY352" t="s">
        <v>297</v>
      </c>
      <c r="CZ352">
        <v>20</v>
      </c>
      <c r="DA352">
        <v>2.5383999999999984</v>
      </c>
      <c r="DB352">
        <v>1</v>
      </c>
      <c r="DC352">
        <v>1.5</v>
      </c>
      <c r="DD352">
        <v>2</v>
      </c>
      <c r="DE352">
        <v>4.1119999999999992</v>
      </c>
      <c r="DF352">
        <v>1</v>
      </c>
      <c r="DG352">
        <v>28.559999999999995</v>
      </c>
      <c r="DH352">
        <v>-0.32</v>
      </c>
      <c r="DI352">
        <v>13</v>
      </c>
      <c r="DJ352">
        <v>14.5</v>
      </c>
      <c r="DK352">
        <v>11</v>
      </c>
      <c r="DL352">
        <v>2.4560000000000004</v>
      </c>
      <c r="DM352">
        <v>18</v>
      </c>
      <c r="DN352">
        <v>-5.84</v>
      </c>
      <c r="DO352">
        <v>0.47999999999999987</v>
      </c>
      <c r="DP352">
        <v>12</v>
      </c>
      <c r="DQ352">
        <v>13</v>
      </c>
      <c r="DR352">
        <v>11</v>
      </c>
      <c r="DS352">
        <v>-4.999999999999849E-2</v>
      </c>
      <c r="DT352">
        <v>15</v>
      </c>
      <c r="DU352">
        <v>0.94999999999999929</v>
      </c>
      <c r="DV352">
        <v>0.85000000000000009</v>
      </c>
      <c r="DW352">
        <v>26</v>
      </c>
      <c r="DX352">
        <v>26.5</v>
      </c>
      <c r="DY352">
        <v>28</v>
      </c>
      <c r="DZ352">
        <v>-1.59</v>
      </c>
      <c r="EA352">
        <v>25</v>
      </c>
      <c r="EB352">
        <v>-1</v>
      </c>
      <c r="EC352">
        <v>-0.70000000000000018</v>
      </c>
      <c r="ED352">
        <v>1</v>
      </c>
      <c r="EE352">
        <v>5</v>
      </c>
      <c r="EF352">
        <v>5</v>
      </c>
      <c r="EG352">
        <v>2.8850000000000007</v>
      </c>
      <c r="EH352">
        <v>5</v>
      </c>
      <c r="EI352">
        <v>17.45</v>
      </c>
      <c r="EJ352">
        <v>1.1500000000000001</v>
      </c>
      <c r="EK352">
        <v>27</v>
      </c>
      <c r="EL352">
        <v>27</v>
      </c>
      <c r="EM352">
        <v>29</v>
      </c>
      <c r="EN352">
        <v>-1.4119999999999997</v>
      </c>
      <c r="EO352">
        <v>25</v>
      </c>
      <c r="EP352">
        <v>1.8800000000000012</v>
      </c>
      <c r="EQ352">
        <v>-1.36</v>
      </c>
      <c r="ER352">
        <v>26</v>
      </c>
      <c r="ES352">
        <v>25.5</v>
      </c>
      <c r="ET352">
        <v>22</v>
      </c>
      <c r="EU352">
        <v>-2.7439999999999998</v>
      </c>
      <c r="EV352">
        <v>29</v>
      </c>
      <c r="EW352">
        <v>-21.68</v>
      </c>
      <c r="EX352">
        <v>-2.9200000000000004</v>
      </c>
      <c r="EY352">
        <v>26</v>
      </c>
      <c r="EZ352">
        <v>25</v>
      </c>
      <c r="FA352">
        <v>21</v>
      </c>
      <c r="FB352">
        <v>-0.92000000000000015</v>
      </c>
      <c r="FC352">
        <v>29</v>
      </c>
      <c r="FD352">
        <v>-0.8</v>
      </c>
      <c r="FE352">
        <v>1.52</v>
      </c>
      <c r="FF352">
        <v>20</v>
      </c>
      <c r="FG352">
        <v>16.75</v>
      </c>
      <c r="FH352">
        <v>21</v>
      </c>
      <c r="FI352">
        <v>-1.890884134935435E-2</v>
      </c>
      <c r="FJ352">
        <v>5</v>
      </c>
      <c r="FK352">
        <v>-1.6915865415002133E-3</v>
      </c>
      <c r="FL352">
        <v>32</v>
      </c>
      <c r="FM352">
        <v>5.7720000000000011</v>
      </c>
      <c r="FN352">
        <v>9</v>
      </c>
      <c r="FO352">
        <v>0.28000000000000008</v>
      </c>
      <c r="FP352">
        <v>-2.7200000000000011</v>
      </c>
      <c r="FQ352">
        <v>-1.2800000000000005</v>
      </c>
      <c r="FR352">
        <v>0.8</v>
      </c>
      <c r="FS352">
        <v>-2.5200000000000018</v>
      </c>
      <c r="FT352">
        <v>5.3599999999999994</v>
      </c>
      <c r="FU352">
        <v>-1</v>
      </c>
      <c r="FV352">
        <v>15.320000000000004</v>
      </c>
      <c r="FW352">
        <v>-13.039999999999997</v>
      </c>
      <c r="FX352">
        <v>20.68</v>
      </c>
      <c r="FY352">
        <v>3.16</v>
      </c>
      <c r="FZ352">
        <v>4.5200000000000005</v>
      </c>
      <c r="GA352">
        <v>25</v>
      </c>
      <c r="GB352">
        <v>-4.0296000000000012</v>
      </c>
      <c r="GC352">
        <v>-3.0761199999999995</v>
      </c>
      <c r="GD352">
        <v>-33.72</v>
      </c>
      <c r="GE352">
        <v>4.0296000000000012</v>
      </c>
      <c r="GF352">
        <v>0.83592499999999981</v>
      </c>
      <c r="GG352">
        <v>1.2450000000000021</v>
      </c>
      <c r="GH352">
        <v>17.399999999999999</v>
      </c>
      <c r="GI352">
        <v>6.5679999999999996</v>
      </c>
      <c r="GJ352">
        <v>22.719999999999995</v>
      </c>
      <c r="GK352">
        <v>-1.6200000000000003</v>
      </c>
      <c r="GL352">
        <v>0.15999999999999986</v>
      </c>
    </row>
    <row r="353" spans="1:194" x14ac:dyDescent="0.2">
      <c r="A353" s="39">
        <v>43793</v>
      </c>
      <c r="B353" s="22" t="s">
        <v>242</v>
      </c>
      <c r="C353" s="41" t="s">
        <v>306</v>
      </c>
      <c r="D353" s="22" t="s">
        <v>299</v>
      </c>
      <c r="E353">
        <v>12.2</v>
      </c>
      <c r="F353">
        <v>7.3</v>
      </c>
      <c r="G353">
        <v>1.6</v>
      </c>
      <c r="H353">
        <v>1.4</v>
      </c>
      <c r="I353">
        <v>4</v>
      </c>
      <c r="J353">
        <v>39</v>
      </c>
      <c r="K353" t="s">
        <v>110</v>
      </c>
      <c r="L353" s="1" t="s">
        <v>306</v>
      </c>
      <c r="M353">
        <v>32</v>
      </c>
      <c r="N353">
        <v>-10.224800000000002</v>
      </c>
      <c r="O353">
        <v>9</v>
      </c>
      <c r="P353">
        <v>9</v>
      </c>
      <c r="Q353">
        <v>11</v>
      </c>
      <c r="R353">
        <v>-3.9200000000000008</v>
      </c>
      <c r="S353">
        <v>7</v>
      </c>
      <c r="T353">
        <v>-2.9600000000000022</v>
      </c>
      <c r="U353">
        <v>-1.8800000000000001</v>
      </c>
      <c r="V353">
        <v>19</v>
      </c>
      <c r="W353">
        <v>18</v>
      </c>
      <c r="X353">
        <v>25</v>
      </c>
      <c r="Y353">
        <v>-1.56</v>
      </c>
      <c r="Z353">
        <v>11</v>
      </c>
      <c r="AA353">
        <v>-1.3120000000000001</v>
      </c>
      <c r="AB353">
        <v>-0.67999999999999994</v>
      </c>
      <c r="AC353">
        <v>29</v>
      </c>
      <c r="AD353">
        <v>29</v>
      </c>
      <c r="AE353">
        <v>29</v>
      </c>
      <c r="AF353">
        <v>-5.9568000000000003</v>
      </c>
      <c r="AG353">
        <v>29</v>
      </c>
      <c r="AH353">
        <v>-18.28</v>
      </c>
      <c r="AI353">
        <v>-2.6399999999999997</v>
      </c>
      <c r="AJ353">
        <v>28</v>
      </c>
      <c r="AK353">
        <v>27.5</v>
      </c>
      <c r="AL353">
        <v>30</v>
      </c>
      <c r="AM353">
        <v>-6.7720000000000011</v>
      </c>
      <c r="AN353">
        <v>25</v>
      </c>
      <c r="AO353">
        <v>-16.319999999999997</v>
      </c>
      <c r="AP353">
        <v>-2.6799999999999997</v>
      </c>
      <c r="AQ353">
        <v>30</v>
      </c>
      <c r="AR353">
        <v>29.5</v>
      </c>
      <c r="AS353">
        <v>31</v>
      </c>
      <c r="AT353">
        <v>-5.2880000000000003</v>
      </c>
      <c r="AU353">
        <v>28</v>
      </c>
      <c r="AV353">
        <v>-20.04</v>
      </c>
      <c r="AW353">
        <v>-0.88000000000000012</v>
      </c>
      <c r="AX353">
        <v>30</v>
      </c>
      <c r="AY353">
        <v>30</v>
      </c>
      <c r="AZ353">
        <v>30</v>
      </c>
      <c r="BA353">
        <v>-9.1760000000000002</v>
      </c>
      <c r="BB353">
        <v>30</v>
      </c>
      <c r="BC353">
        <v>-34.96</v>
      </c>
      <c r="BD353">
        <v>-3.0800000000000005</v>
      </c>
      <c r="BE353">
        <v>31</v>
      </c>
      <c r="BF353">
        <v>30</v>
      </c>
      <c r="BG353">
        <v>31</v>
      </c>
      <c r="BH353">
        <v>-4.3719999999999999</v>
      </c>
      <c r="BI353">
        <v>29</v>
      </c>
      <c r="BJ353">
        <v>-21</v>
      </c>
      <c r="BK353">
        <v>-2.88</v>
      </c>
      <c r="BL353">
        <v>1</v>
      </c>
      <c r="BM353">
        <v>1</v>
      </c>
      <c r="BN353">
        <v>1</v>
      </c>
      <c r="BO353">
        <v>0.5199999999999998</v>
      </c>
      <c r="BP353">
        <v>1</v>
      </c>
      <c r="BQ353">
        <v>0.83999999999999986</v>
      </c>
      <c r="BR353">
        <v>2.96</v>
      </c>
      <c r="BS353">
        <v>1</v>
      </c>
      <c r="BT353">
        <v>5.25</v>
      </c>
      <c r="BU353">
        <v>9</v>
      </c>
      <c r="BV353">
        <v>-2.1725943196123587E-2</v>
      </c>
      <c r="BW353">
        <v>1</v>
      </c>
      <c r="BX353">
        <v>5.0374250467202217E-2</v>
      </c>
      <c r="BY353">
        <v>2</v>
      </c>
      <c r="BZ353">
        <v>-5.6</v>
      </c>
      <c r="CA353">
        <v>9</v>
      </c>
      <c r="CB353">
        <v>2.04</v>
      </c>
      <c r="CC353">
        <v>-12.360000000000001</v>
      </c>
      <c r="CD353">
        <v>-10.64</v>
      </c>
      <c r="CE353">
        <v>0.39999999999999986</v>
      </c>
      <c r="CF353">
        <v>-97.11999999999999</v>
      </c>
      <c r="CG353">
        <v>-85.44</v>
      </c>
      <c r="CH353">
        <v>-1.8</v>
      </c>
      <c r="CI353">
        <v>-3.9200000000000004</v>
      </c>
      <c r="CJ353">
        <v>-5.96</v>
      </c>
      <c r="CK353">
        <v>24</v>
      </c>
      <c r="CL353">
        <v>-4.7448000000000015</v>
      </c>
      <c r="CM353">
        <v>-3.7827200000000012</v>
      </c>
      <c r="CN353">
        <v>-83.64</v>
      </c>
      <c r="CO353">
        <v>4.7448000000000015</v>
      </c>
      <c r="CP353">
        <v>-4.6967000000000008</v>
      </c>
      <c r="CQ353">
        <v>-18.016800000000003</v>
      </c>
      <c r="CR353">
        <v>-54.639999999999993</v>
      </c>
      <c r="CS353">
        <v>-5.48</v>
      </c>
      <c r="CT353">
        <v>-4.272000000000002</v>
      </c>
      <c r="CU353">
        <v>-9.0799999999999983</v>
      </c>
      <c r="CV353">
        <v>-2.56</v>
      </c>
      <c r="CW353">
        <v>0.30522500000000019</v>
      </c>
      <c r="CX353">
        <v>-1.8680499999999995</v>
      </c>
      <c r="CY353" t="s">
        <v>299</v>
      </c>
      <c r="CZ353">
        <v>3</v>
      </c>
      <c r="DA353">
        <v>5.96</v>
      </c>
      <c r="DB353">
        <v>14</v>
      </c>
      <c r="DC353">
        <v>16</v>
      </c>
      <c r="DD353">
        <v>14</v>
      </c>
      <c r="DE353">
        <v>2.680000000000001</v>
      </c>
      <c r="DF353">
        <v>18</v>
      </c>
      <c r="DG353">
        <v>-3.1599999999999993</v>
      </c>
      <c r="DH353">
        <v>-1.56</v>
      </c>
      <c r="DI353">
        <v>11</v>
      </c>
      <c r="DJ353">
        <v>14</v>
      </c>
      <c r="DK353">
        <v>3</v>
      </c>
      <c r="DL353">
        <v>4.6719999999999997</v>
      </c>
      <c r="DM353">
        <v>25</v>
      </c>
      <c r="DN353">
        <v>-1.9119999999999997</v>
      </c>
      <c r="DO353">
        <v>0.12</v>
      </c>
      <c r="DP353">
        <v>10</v>
      </c>
      <c r="DQ353">
        <v>9.5</v>
      </c>
      <c r="DR353">
        <v>10</v>
      </c>
      <c r="DS353">
        <v>-0.50000000000000022</v>
      </c>
      <c r="DT353">
        <v>9</v>
      </c>
      <c r="DU353">
        <v>6.5200000000000005</v>
      </c>
      <c r="DV353">
        <v>1.7199999999999995</v>
      </c>
      <c r="DW353">
        <v>3</v>
      </c>
      <c r="DX353">
        <v>3.5</v>
      </c>
      <c r="DY353">
        <v>4</v>
      </c>
      <c r="DZ353">
        <v>4.2439999999999998</v>
      </c>
      <c r="EA353">
        <v>3</v>
      </c>
      <c r="EB353">
        <v>11.400000000000002</v>
      </c>
      <c r="EC353">
        <v>1.04</v>
      </c>
      <c r="ED353">
        <v>15</v>
      </c>
      <c r="EE353">
        <v>3.5</v>
      </c>
      <c r="EF353">
        <v>3</v>
      </c>
      <c r="EG353">
        <v>0.98799999999999932</v>
      </c>
      <c r="EH353">
        <v>4</v>
      </c>
      <c r="EI353">
        <v>3.3999999999999986</v>
      </c>
      <c r="EJ353">
        <v>-0.47999999999999987</v>
      </c>
      <c r="EK353">
        <v>2</v>
      </c>
      <c r="EL353">
        <v>3.5</v>
      </c>
      <c r="EM353">
        <v>3</v>
      </c>
      <c r="EN353">
        <v>8.9280000000000008</v>
      </c>
      <c r="EO353">
        <v>4</v>
      </c>
      <c r="EP353">
        <v>32.480000000000004</v>
      </c>
      <c r="EQ353">
        <v>1.64</v>
      </c>
      <c r="ER353">
        <v>11</v>
      </c>
      <c r="ES353">
        <v>12.5</v>
      </c>
      <c r="ET353">
        <v>8</v>
      </c>
      <c r="EU353">
        <v>1.6240000000000001</v>
      </c>
      <c r="EV353">
        <v>17</v>
      </c>
      <c r="EW353">
        <v>2.7199999999999998</v>
      </c>
      <c r="EX353">
        <v>-0.6399999999999999</v>
      </c>
      <c r="EY353">
        <v>12</v>
      </c>
      <c r="EZ353">
        <v>12.5</v>
      </c>
      <c r="FA353">
        <v>7</v>
      </c>
      <c r="FB353">
        <v>0.15999999999999978</v>
      </c>
      <c r="FC353">
        <v>18</v>
      </c>
      <c r="FD353">
        <v>-0.52</v>
      </c>
      <c r="FE353">
        <v>2.04</v>
      </c>
      <c r="FF353">
        <v>24</v>
      </c>
      <c r="FG353">
        <v>21</v>
      </c>
      <c r="FH353">
        <v>26</v>
      </c>
      <c r="FI353">
        <v>6.3497627772653217E-3</v>
      </c>
      <c r="FJ353">
        <v>23</v>
      </c>
      <c r="FK353">
        <v>-5.7256306569020031E-3</v>
      </c>
      <c r="FL353">
        <v>5</v>
      </c>
      <c r="FM353">
        <v>-9.4</v>
      </c>
      <c r="FN353">
        <v>30</v>
      </c>
      <c r="FO353">
        <v>-3.04</v>
      </c>
      <c r="FP353">
        <v>1.1600000000000001</v>
      </c>
      <c r="FQ353">
        <v>0.84000000000000052</v>
      </c>
      <c r="FR353">
        <v>0.56000000000000016</v>
      </c>
      <c r="FS353">
        <v>2.6</v>
      </c>
      <c r="FT353">
        <v>6.6</v>
      </c>
      <c r="FU353">
        <v>0.27999999999999992</v>
      </c>
      <c r="FV353">
        <v>46.680000000000014</v>
      </c>
      <c r="FW353">
        <v>45.760000000000005</v>
      </c>
      <c r="FX353">
        <v>-0.95999999999999941</v>
      </c>
      <c r="FY353">
        <v>1.8800000000000003</v>
      </c>
      <c r="FZ353">
        <v>0</v>
      </c>
      <c r="GA353">
        <v>22</v>
      </c>
      <c r="GB353">
        <v>-1.3920000000000008</v>
      </c>
      <c r="GC353">
        <v>-1.2128000000000001</v>
      </c>
      <c r="GD353">
        <v>46.720000000000006</v>
      </c>
      <c r="GE353">
        <v>1.3920000000000003</v>
      </c>
      <c r="GF353">
        <v>2.4784999999999999</v>
      </c>
      <c r="GG353">
        <v>4.7319999999999993</v>
      </c>
      <c r="GH353">
        <v>21.32</v>
      </c>
      <c r="GI353">
        <v>7.3520000000000003</v>
      </c>
      <c r="GJ353">
        <v>-5.0719999999999992</v>
      </c>
      <c r="GK353">
        <v>1.64</v>
      </c>
      <c r="GL353">
        <v>-1.44</v>
      </c>
    </row>
    <row r="354" spans="1:194" x14ac:dyDescent="0.2">
      <c r="A354" s="39">
        <v>43800</v>
      </c>
      <c r="B354" s="22" t="s">
        <v>241</v>
      </c>
      <c r="C354" s="41" t="s">
        <v>285</v>
      </c>
      <c r="D354" s="22" t="s">
        <v>304</v>
      </c>
      <c r="E354">
        <v>11.6</v>
      </c>
      <c r="F354">
        <v>5.3</v>
      </c>
      <c r="G354">
        <v>6.6</v>
      </c>
      <c r="H354">
        <v>4.9000000000000004</v>
      </c>
      <c r="I354">
        <v>2.5</v>
      </c>
      <c r="J354">
        <v>47</v>
      </c>
      <c r="K354" t="s">
        <v>109</v>
      </c>
      <c r="L354" s="1" t="s">
        <v>285</v>
      </c>
      <c r="M354">
        <v>15</v>
      </c>
      <c r="N354">
        <v>0.40399999999999958</v>
      </c>
      <c r="O354">
        <v>24</v>
      </c>
      <c r="P354">
        <v>22.5</v>
      </c>
      <c r="Q354">
        <v>22</v>
      </c>
      <c r="R354">
        <v>-2.1389999999999998</v>
      </c>
      <c r="S354">
        <v>23</v>
      </c>
      <c r="T354">
        <v>-10.379999999999999</v>
      </c>
      <c r="U354">
        <v>-0.1</v>
      </c>
      <c r="V354">
        <v>29</v>
      </c>
      <c r="W354">
        <v>29</v>
      </c>
      <c r="X354">
        <v>30</v>
      </c>
      <c r="Y354">
        <v>-3.8789999999999991</v>
      </c>
      <c r="Z354">
        <v>28</v>
      </c>
      <c r="AA354">
        <v>-12.459999999999999</v>
      </c>
      <c r="AB354">
        <v>-1.23</v>
      </c>
      <c r="AC354">
        <v>27</v>
      </c>
      <c r="AD354">
        <v>26.5</v>
      </c>
      <c r="AE354">
        <v>27</v>
      </c>
      <c r="AF354">
        <v>-3.2159999999999989</v>
      </c>
      <c r="AG354">
        <v>26</v>
      </c>
      <c r="AH354">
        <v>-11.48</v>
      </c>
      <c r="AI354">
        <v>-1.6</v>
      </c>
      <c r="AJ354">
        <v>7</v>
      </c>
      <c r="AK354">
        <v>8</v>
      </c>
      <c r="AL354">
        <v>6</v>
      </c>
      <c r="AM354">
        <v>3.0919999999999996</v>
      </c>
      <c r="AN354">
        <v>10</v>
      </c>
      <c r="AO354">
        <v>11.24</v>
      </c>
      <c r="AP354">
        <v>1.0399999999999998</v>
      </c>
      <c r="AQ354">
        <v>11</v>
      </c>
      <c r="AR354">
        <v>10.5</v>
      </c>
      <c r="AS354">
        <v>9</v>
      </c>
      <c r="AT354">
        <v>1.7440000000000004</v>
      </c>
      <c r="AU354">
        <v>12</v>
      </c>
      <c r="AV354">
        <v>6.7200000000000006</v>
      </c>
      <c r="AW354">
        <v>-0.32000000000000012</v>
      </c>
      <c r="AX354">
        <v>16</v>
      </c>
      <c r="AY354">
        <v>16</v>
      </c>
      <c r="AZ354">
        <v>18</v>
      </c>
      <c r="BA354">
        <v>-0.34399999999999975</v>
      </c>
      <c r="BB354">
        <v>14</v>
      </c>
      <c r="BC354">
        <v>5.3599999999999994</v>
      </c>
      <c r="BD354">
        <v>-0.1600000000000005</v>
      </c>
      <c r="BE354">
        <v>24</v>
      </c>
      <c r="BF354">
        <v>23.5</v>
      </c>
      <c r="BG354">
        <v>29</v>
      </c>
      <c r="BH354">
        <v>-4.5959999999999992</v>
      </c>
      <c r="BI354">
        <v>18</v>
      </c>
      <c r="BJ354">
        <v>-5.8799999999999981</v>
      </c>
      <c r="BK354">
        <v>-3.1199999999999997</v>
      </c>
      <c r="BL354">
        <v>21</v>
      </c>
      <c r="BM354">
        <v>20</v>
      </c>
      <c r="BN354">
        <v>17</v>
      </c>
      <c r="BO354">
        <v>0.12000000000000029</v>
      </c>
      <c r="BP354">
        <v>23</v>
      </c>
      <c r="BQ354">
        <v>-0.1999999999999999</v>
      </c>
      <c r="BR354">
        <v>-3.2</v>
      </c>
      <c r="BS354">
        <v>9</v>
      </c>
      <c r="BT354">
        <v>12.25</v>
      </c>
      <c r="BU354">
        <v>20</v>
      </c>
      <c r="BV354">
        <v>-2.177415583147101E-2</v>
      </c>
      <c r="BW354">
        <v>7</v>
      </c>
      <c r="BX354">
        <v>1.3498950159567712E-2</v>
      </c>
      <c r="BY354">
        <v>4</v>
      </c>
      <c r="BZ354">
        <v>-8.6639999999999961</v>
      </c>
      <c r="CA354">
        <v>18</v>
      </c>
      <c r="CB354">
        <v>-0.23999999999999985</v>
      </c>
      <c r="CC354">
        <v>-9.16</v>
      </c>
      <c r="CD354">
        <v>-1.4</v>
      </c>
      <c r="CE354">
        <v>-1.1199999999999999</v>
      </c>
      <c r="CF354">
        <v>-25.679999999999986</v>
      </c>
      <c r="CG354">
        <v>-4.9600000000000026</v>
      </c>
      <c r="CH354">
        <v>-22.279999999999998</v>
      </c>
      <c r="CI354">
        <v>-1.5599999999999998</v>
      </c>
      <c r="CJ354">
        <v>3.1199999999999997</v>
      </c>
      <c r="CK354">
        <v>6</v>
      </c>
      <c r="CL354">
        <v>6.4219999999999988</v>
      </c>
      <c r="CM354">
        <v>2.4945999999999997</v>
      </c>
      <c r="CN354">
        <v>17.319999999999993</v>
      </c>
      <c r="CO354">
        <v>-6.4219999999999988</v>
      </c>
      <c r="CP354">
        <v>-1.0587499999999994</v>
      </c>
      <c r="CQ354">
        <v>1.6200000000000012</v>
      </c>
      <c r="CR354">
        <v>6.48</v>
      </c>
      <c r="CS354">
        <v>-6.0179999999999989</v>
      </c>
      <c r="CT354">
        <v>-22.839999999999996</v>
      </c>
      <c r="CU354">
        <v>-4</v>
      </c>
      <c r="CV354">
        <v>-1.33</v>
      </c>
      <c r="CW354">
        <v>1.6747624999999999</v>
      </c>
      <c r="CX354">
        <v>3.2849999999999997</v>
      </c>
      <c r="CY354" t="s">
        <v>304</v>
      </c>
      <c r="CZ354">
        <v>16</v>
      </c>
      <c r="DA354">
        <v>0.45520000000000138</v>
      </c>
      <c r="DB354">
        <v>17</v>
      </c>
      <c r="DC354">
        <v>18</v>
      </c>
      <c r="DD354">
        <v>20</v>
      </c>
      <c r="DE354">
        <v>-1.7640000000000007</v>
      </c>
      <c r="DF354">
        <v>16</v>
      </c>
      <c r="DG354">
        <v>-7.3500000000000014</v>
      </c>
      <c r="DH354">
        <v>0.69000000000000006</v>
      </c>
      <c r="DI354">
        <v>4</v>
      </c>
      <c r="DJ354">
        <v>6.5</v>
      </c>
      <c r="DK354">
        <v>7</v>
      </c>
      <c r="DL354">
        <v>1.4819999999999995</v>
      </c>
      <c r="DM354">
        <v>6</v>
      </c>
      <c r="DN354">
        <v>6.55</v>
      </c>
      <c r="DO354">
        <v>-7.0000000000000062E-2</v>
      </c>
      <c r="DP354">
        <v>19</v>
      </c>
      <c r="DQ354">
        <v>19.5</v>
      </c>
      <c r="DR354">
        <v>17</v>
      </c>
      <c r="DS354">
        <v>-0.75700000000000001</v>
      </c>
      <c r="DT354">
        <v>22</v>
      </c>
      <c r="DU354">
        <v>-12.299999999999999</v>
      </c>
      <c r="DV354">
        <v>0.75</v>
      </c>
      <c r="DW354">
        <v>11</v>
      </c>
      <c r="DX354">
        <v>13</v>
      </c>
      <c r="DY354">
        <v>10</v>
      </c>
      <c r="DZ354">
        <v>2.1599999999999993</v>
      </c>
      <c r="EA354">
        <v>16</v>
      </c>
      <c r="EB354">
        <v>1.0799999999999983</v>
      </c>
      <c r="EC354">
        <v>2.3199999999999998</v>
      </c>
      <c r="ED354">
        <v>2</v>
      </c>
      <c r="EE354">
        <v>2</v>
      </c>
      <c r="EF354">
        <v>2</v>
      </c>
      <c r="EG354">
        <v>4.3559999999999999</v>
      </c>
      <c r="EH354">
        <v>2</v>
      </c>
      <c r="EI354">
        <v>27.839999999999996</v>
      </c>
      <c r="EJ354">
        <v>2.9200000000000004</v>
      </c>
      <c r="EK354">
        <v>14</v>
      </c>
      <c r="EL354">
        <v>14</v>
      </c>
      <c r="EM354">
        <v>11</v>
      </c>
      <c r="EN354">
        <v>3.8200000000000003</v>
      </c>
      <c r="EO354">
        <v>17</v>
      </c>
      <c r="EP354">
        <v>0.20000000000000143</v>
      </c>
      <c r="EQ354">
        <v>1.92</v>
      </c>
      <c r="ER354">
        <v>25</v>
      </c>
      <c r="ES354">
        <v>24.5</v>
      </c>
      <c r="ET354">
        <v>29</v>
      </c>
      <c r="EU354">
        <v>-2.6160000000000005</v>
      </c>
      <c r="EV354">
        <v>20</v>
      </c>
      <c r="EW354">
        <v>-2.080000000000001</v>
      </c>
      <c r="EX354">
        <v>0.24000000000000005</v>
      </c>
      <c r="EY354">
        <v>28</v>
      </c>
      <c r="EZ354">
        <v>26.5</v>
      </c>
      <c r="FA354">
        <v>29</v>
      </c>
      <c r="FB354">
        <v>-2.8</v>
      </c>
      <c r="FC354">
        <v>24</v>
      </c>
      <c r="FD354">
        <v>-0.6</v>
      </c>
      <c r="FE354">
        <v>0.23999999999999985</v>
      </c>
      <c r="FF354">
        <v>14</v>
      </c>
      <c r="FG354">
        <v>15</v>
      </c>
      <c r="FH354">
        <v>22</v>
      </c>
      <c r="FI354">
        <v>-1.692048736449216E-2</v>
      </c>
      <c r="FJ354">
        <v>10</v>
      </c>
      <c r="FK354">
        <v>9.979740436211651E-3</v>
      </c>
      <c r="FL354">
        <v>22</v>
      </c>
      <c r="FM354">
        <v>2.5599999999999965</v>
      </c>
      <c r="FN354">
        <v>6</v>
      </c>
      <c r="FO354">
        <v>2.9599999999999995</v>
      </c>
      <c r="FP354">
        <v>6.92</v>
      </c>
      <c r="FQ354">
        <v>3.2800000000000011</v>
      </c>
      <c r="FR354">
        <v>-1.56</v>
      </c>
      <c r="FS354">
        <v>9.8000000000000007</v>
      </c>
      <c r="FT354">
        <v>-3.5600000000000009</v>
      </c>
      <c r="FU354">
        <v>-0.08</v>
      </c>
      <c r="FV354">
        <v>14.439999999999987</v>
      </c>
      <c r="FW354">
        <v>16.920000000000005</v>
      </c>
      <c r="FX354">
        <v>3.9199999999999959</v>
      </c>
      <c r="FY354">
        <v>-1.9600000000000002</v>
      </c>
      <c r="FZ354">
        <v>-4.4399999999999995</v>
      </c>
      <c r="GA354">
        <v>14</v>
      </c>
      <c r="GB354">
        <v>0.73720000000000252</v>
      </c>
      <c r="GC354">
        <v>0.8606400000000004</v>
      </c>
      <c r="GD354">
        <v>13.000000000000009</v>
      </c>
      <c r="GE354">
        <v>-0.73720000000000252</v>
      </c>
      <c r="GF354">
        <v>6.4524999999999944E-2</v>
      </c>
      <c r="GG354">
        <v>5.7589999999999986</v>
      </c>
      <c r="GH354">
        <v>16.619999999999997</v>
      </c>
      <c r="GI354">
        <v>-0.28200000000000114</v>
      </c>
      <c r="GJ354">
        <v>-0.8000000000000016</v>
      </c>
      <c r="GK354">
        <v>6.23</v>
      </c>
      <c r="GL354">
        <v>0.62</v>
      </c>
    </row>
    <row r="355" spans="1:194" x14ac:dyDescent="0.2">
      <c r="A355" s="39">
        <v>43800</v>
      </c>
      <c r="B355" s="22" t="s">
        <v>241</v>
      </c>
      <c r="C355" s="41" t="s">
        <v>295</v>
      </c>
      <c r="D355" s="22" t="s">
        <v>307</v>
      </c>
      <c r="E355">
        <v>17.100000000000001</v>
      </c>
      <c r="F355">
        <v>16.2</v>
      </c>
      <c r="G355">
        <v>11.7</v>
      </c>
      <c r="H355">
        <v>14.1</v>
      </c>
      <c r="I355">
        <v>7</v>
      </c>
      <c r="J355">
        <v>48</v>
      </c>
      <c r="L355" s="1" t="s">
        <v>295</v>
      </c>
      <c r="M355">
        <v>22</v>
      </c>
      <c r="N355">
        <v>-0.94799999999999862</v>
      </c>
      <c r="O355">
        <v>29</v>
      </c>
      <c r="P355">
        <v>28</v>
      </c>
      <c r="Q355">
        <v>29</v>
      </c>
      <c r="R355">
        <v>-5.806</v>
      </c>
      <c r="S355">
        <v>27</v>
      </c>
      <c r="T355">
        <v>-16.2</v>
      </c>
      <c r="U355">
        <v>-0.83999999999999986</v>
      </c>
      <c r="V355">
        <v>11</v>
      </c>
      <c r="W355">
        <v>11</v>
      </c>
      <c r="X355">
        <v>10</v>
      </c>
      <c r="Y355">
        <v>1.5620000000000003</v>
      </c>
      <c r="Z355">
        <v>12</v>
      </c>
      <c r="AA355">
        <v>2.2800000000000002</v>
      </c>
      <c r="AB355">
        <v>0.3</v>
      </c>
      <c r="AC355">
        <v>15</v>
      </c>
      <c r="AD355">
        <v>16</v>
      </c>
      <c r="AE355">
        <v>23</v>
      </c>
      <c r="AF355">
        <v>-1.7739999999999998</v>
      </c>
      <c r="AG355">
        <v>9</v>
      </c>
      <c r="AH355">
        <v>10.190000000000001</v>
      </c>
      <c r="AI355">
        <v>0.94000000000000017</v>
      </c>
      <c r="AJ355">
        <v>6</v>
      </c>
      <c r="AK355">
        <v>7</v>
      </c>
      <c r="AL355">
        <v>8</v>
      </c>
      <c r="AM355">
        <v>2.8730000000000016</v>
      </c>
      <c r="AN355">
        <v>6</v>
      </c>
      <c r="AO355">
        <v>17.45</v>
      </c>
      <c r="AP355">
        <v>1.5399999999999998</v>
      </c>
      <c r="AQ355">
        <v>6</v>
      </c>
      <c r="AR355">
        <v>6</v>
      </c>
      <c r="AS355">
        <v>6</v>
      </c>
      <c r="AT355">
        <v>3.0870000000000006</v>
      </c>
      <c r="AU355">
        <v>6</v>
      </c>
      <c r="AV355">
        <v>12.67</v>
      </c>
      <c r="AW355">
        <v>2.44</v>
      </c>
      <c r="AX355">
        <v>7</v>
      </c>
      <c r="AY355">
        <v>6.5</v>
      </c>
      <c r="AZ355">
        <v>7</v>
      </c>
      <c r="BA355">
        <v>3.919999999999999</v>
      </c>
      <c r="BB355">
        <v>6</v>
      </c>
      <c r="BC355">
        <v>25.599999999999998</v>
      </c>
      <c r="BD355">
        <v>1.2799999999999998</v>
      </c>
      <c r="BE355">
        <v>16</v>
      </c>
      <c r="BF355">
        <v>17</v>
      </c>
      <c r="BG355">
        <v>17</v>
      </c>
      <c r="BH355">
        <v>-0.85600000000000098</v>
      </c>
      <c r="BI355">
        <v>17</v>
      </c>
      <c r="BJ355">
        <v>-5.2927999999999997</v>
      </c>
      <c r="BK355">
        <v>-2.3999999999999995</v>
      </c>
      <c r="BL355">
        <v>4</v>
      </c>
      <c r="BM355">
        <v>7</v>
      </c>
      <c r="BN355">
        <v>10</v>
      </c>
      <c r="BO355">
        <v>1.3600000000000005</v>
      </c>
      <c r="BP355">
        <v>4</v>
      </c>
      <c r="BQ355">
        <v>0.92000000000000015</v>
      </c>
      <c r="BR355">
        <v>2</v>
      </c>
      <c r="BS355">
        <v>14</v>
      </c>
      <c r="BT355">
        <v>14</v>
      </c>
      <c r="BU355">
        <v>7</v>
      </c>
      <c r="BV355">
        <v>4.5047186471160516E-2</v>
      </c>
      <c r="BW355">
        <v>9</v>
      </c>
      <c r="BX355">
        <v>8.0550794135657092E-3</v>
      </c>
      <c r="BY355">
        <v>26</v>
      </c>
      <c r="BZ355">
        <v>6.4720000000000013</v>
      </c>
      <c r="CA355">
        <v>14</v>
      </c>
      <c r="CB355">
        <v>0.35999999999999976</v>
      </c>
      <c r="CC355">
        <v>7.240000000000002</v>
      </c>
      <c r="CD355">
        <v>-1.4799999999999998</v>
      </c>
      <c r="CE355">
        <v>0.27999999999999992</v>
      </c>
      <c r="CF355">
        <v>24.360000000000014</v>
      </c>
      <c r="CG355">
        <v>39.399999999999991</v>
      </c>
      <c r="CH355">
        <v>-7.2799999999999958</v>
      </c>
      <c r="CI355">
        <v>-3</v>
      </c>
      <c r="CJ355">
        <v>-4.76</v>
      </c>
      <c r="CK355">
        <v>10</v>
      </c>
      <c r="CL355">
        <v>3.2960000000000012</v>
      </c>
      <c r="CM355">
        <v>2.5984000000000003</v>
      </c>
      <c r="CN355">
        <v>46.679999999999986</v>
      </c>
      <c r="CO355">
        <v>-3.2960000000000012</v>
      </c>
      <c r="CP355">
        <v>-6.2749999999999528E-2</v>
      </c>
      <c r="CQ355">
        <v>4.1860000000000026</v>
      </c>
      <c r="CR355">
        <v>40.31</v>
      </c>
      <c r="CS355">
        <v>-4.2439999999999998</v>
      </c>
      <c r="CT355">
        <v>-13.919999999999998</v>
      </c>
      <c r="CU355">
        <v>2.5200000000000005</v>
      </c>
      <c r="CV355">
        <v>-0.53999999999999981</v>
      </c>
      <c r="CW355">
        <v>-1.396075</v>
      </c>
      <c r="CX355">
        <v>-2.1448999999999998</v>
      </c>
      <c r="CY355" t="s">
        <v>307</v>
      </c>
      <c r="CZ355">
        <v>18</v>
      </c>
      <c r="DA355">
        <v>-1.1999999999999993</v>
      </c>
      <c r="DB355">
        <v>29</v>
      </c>
      <c r="DC355">
        <v>27.5</v>
      </c>
      <c r="DD355">
        <v>26</v>
      </c>
      <c r="DE355">
        <v>-2.5949999999999998</v>
      </c>
      <c r="DF355">
        <v>29</v>
      </c>
      <c r="DG355">
        <v>-10.500000000000002</v>
      </c>
      <c r="DH355">
        <v>0.29999999999999993</v>
      </c>
      <c r="DI355">
        <v>7</v>
      </c>
      <c r="DJ355">
        <v>10</v>
      </c>
      <c r="DK355">
        <v>8</v>
      </c>
      <c r="DL355">
        <v>1.3050000000000002</v>
      </c>
      <c r="DM355">
        <v>12</v>
      </c>
      <c r="DN355">
        <v>3.0499999999999989</v>
      </c>
      <c r="DO355">
        <v>0.3</v>
      </c>
      <c r="DP355">
        <v>15</v>
      </c>
      <c r="DQ355">
        <v>19</v>
      </c>
      <c r="DR355">
        <v>18</v>
      </c>
      <c r="DS355">
        <v>-1.2599999999999996</v>
      </c>
      <c r="DT355">
        <v>20</v>
      </c>
      <c r="DU355">
        <v>-10.320000000000002</v>
      </c>
      <c r="DV355">
        <v>-0.79999999999999982</v>
      </c>
      <c r="DW355">
        <v>29</v>
      </c>
      <c r="DX355">
        <v>29.5</v>
      </c>
      <c r="DY355">
        <v>27</v>
      </c>
      <c r="DZ355">
        <v>-4.0320000000000009</v>
      </c>
      <c r="EA355">
        <v>32</v>
      </c>
      <c r="EB355">
        <v>-23.36</v>
      </c>
      <c r="EC355">
        <v>-1.0399999999999998</v>
      </c>
      <c r="ED355">
        <v>27</v>
      </c>
      <c r="EE355">
        <v>25</v>
      </c>
      <c r="EF355">
        <v>25</v>
      </c>
      <c r="EG355">
        <v>-1.7880000000000003</v>
      </c>
      <c r="EH355">
        <v>25</v>
      </c>
      <c r="EI355">
        <v>-8.8800000000000008</v>
      </c>
      <c r="EJ355">
        <v>-4.0000000000000036E-2</v>
      </c>
      <c r="EK355">
        <v>24</v>
      </c>
      <c r="EL355">
        <v>23.5</v>
      </c>
      <c r="EM355">
        <v>20</v>
      </c>
      <c r="EN355">
        <v>-2.8279999999999998</v>
      </c>
      <c r="EO355">
        <v>27</v>
      </c>
      <c r="EP355">
        <v>-21.080000000000002</v>
      </c>
      <c r="EQ355">
        <v>0.91999999999999993</v>
      </c>
      <c r="ER355">
        <v>3</v>
      </c>
      <c r="ES355">
        <v>3.5</v>
      </c>
      <c r="ET355">
        <v>3</v>
      </c>
      <c r="EU355">
        <v>3.2720000000000007</v>
      </c>
      <c r="EV355">
        <v>4</v>
      </c>
      <c r="EW355">
        <v>10.72</v>
      </c>
      <c r="EX355">
        <v>2.04</v>
      </c>
      <c r="EY355">
        <v>8</v>
      </c>
      <c r="EZ355">
        <v>8.5</v>
      </c>
      <c r="FA355">
        <v>9</v>
      </c>
      <c r="FB355">
        <v>1.1199999999999999</v>
      </c>
      <c r="FC355">
        <v>8</v>
      </c>
      <c r="FD355">
        <v>0.36</v>
      </c>
      <c r="FE355">
        <v>-4.0399999999999991</v>
      </c>
      <c r="FF355">
        <v>17</v>
      </c>
      <c r="FG355">
        <v>16</v>
      </c>
      <c r="FH355">
        <v>6</v>
      </c>
      <c r="FI355">
        <v>3.6511983425626324E-2</v>
      </c>
      <c r="FJ355">
        <v>18</v>
      </c>
      <c r="FK355">
        <v>-1.5946944742100927E-3</v>
      </c>
      <c r="FL355">
        <v>21</v>
      </c>
      <c r="FM355">
        <v>1.4599999999999995</v>
      </c>
      <c r="FN355">
        <v>19</v>
      </c>
      <c r="FO355">
        <v>-0.35999999999999976</v>
      </c>
      <c r="FP355">
        <v>0.16000000000000086</v>
      </c>
      <c r="FQ355">
        <v>-1.5599999999999998</v>
      </c>
      <c r="FR355">
        <v>-0.92000000000000015</v>
      </c>
      <c r="FS355">
        <v>-1.6400000000000019</v>
      </c>
      <c r="FT355">
        <v>-1.6800000000000004</v>
      </c>
      <c r="FU355">
        <v>-1.1199999999999999</v>
      </c>
      <c r="FV355">
        <v>-40</v>
      </c>
      <c r="FW355">
        <v>-33.999999999999993</v>
      </c>
      <c r="FX355">
        <v>-15.84</v>
      </c>
      <c r="FY355">
        <v>11.52</v>
      </c>
      <c r="FZ355">
        <v>-1.6799999999999997</v>
      </c>
      <c r="GA355">
        <v>17</v>
      </c>
      <c r="GB355">
        <v>9.0000000000000302E-2</v>
      </c>
      <c r="GC355">
        <v>-0.35660000000000047</v>
      </c>
      <c r="GD355">
        <v>-18.159999999999993</v>
      </c>
      <c r="GE355">
        <v>-9.0000000000000302E-2</v>
      </c>
      <c r="GF355">
        <v>-0.64724999999999999</v>
      </c>
      <c r="GG355">
        <v>-7.080000000000001</v>
      </c>
      <c r="GH355">
        <v>-42.56</v>
      </c>
      <c r="GI355">
        <v>-1.2899999999999996</v>
      </c>
      <c r="GJ355">
        <v>-7.4500000000000028</v>
      </c>
      <c r="GK355">
        <v>0.16000000000000036</v>
      </c>
      <c r="GL355">
        <v>0.59999999999999987</v>
      </c>
    </row>
    <row r="356" spans="1:194" x14ac:dyDescent="0.2">
      <c r="A356" s="39">
        <v>43800</v>
      </c>
      <c r="B356" s="22" t="s">
        <v>241</v>
      </c>
      <c r="C356" s="41" t="s">
        <v>305</v>
      </c>
      <c r="D356" s="22" t="s">
        <v>256</v>
      </c>
      <c r="E356">
        <v>1.1000000000000001</v>
      </c>
      <c r="F356">
        <v>2.2000000000000002</v>
      </c>
      <c r="G356">
        <v>1.5</v>
      </c>
      <c r="H356">
        <f>14+5.1+1.4</f>
        <v>20.5</v>
      </c>
      <c r="I356">
        <v>-5.5</v>
      </c>
      <c r="J356">
        <v>45</v>
      </c>
      <c r="K356" t="s">
        <v>110</v>
      </c>
      <c r="L356" s="1" t="s">
        <v>305</v>
      </c>
      <c r="M356">
        <v>1</v>
      </c>
      <c r="N356">
        <v>11.3224</v>
      </c>
      <c r="O356">
        <v>4</v>
      </c>
      <c r="P356">
        <v>6.5</v>
      </c>
      <c r="Q356">
        <v>4</v>
      </c>
      <c r="R356">
        <v>4.0120000000000005</v>
      </c>
      <c r="S356">
        <v>9</v>
      </c>
      <c r="T356">
        <v>7.76</v>
      </c>
      <c r="U356">
        <v>-1.1599999999999997</v>
      </c>
      <c r="V356">
        <v>5</v>
      </c>
      <c r="W356">
        <v>8</v>
      </c>
      <c r="X356">
        <v>14</v>
      </c>
      <c r="Y356">
        <v>0.50800000000000023</v>
      </c>
      <c r="Z356">
        <v>2</v>
      </c>
      <c r="AA356">
        <v>19.080000000000002</v>
      </c>
      <c r="AB356">
        <v>-2.4</v>
      </c>
      <c r="AC356">
        <v>26</v>
      </c>
      <c r="AD356">
        <v>25</v>
      </c>
      <c r="AE356">
        <v>22</v>
      </c>
      <c r="AF356">
        <v>-1.4016000000000002</v>
      </c>
      <c r="AG356">
        <v>28</v>
      </c>
      <c r="AH356">
        <v>-14.36</v>
      </c>
      <c r="AI356">
        <v>-2.2800000000000002</v>
      </c>
      <c r="AJ356">
        <v>25</v>
      </c>
      <c r="AK356">
        <v>26</v>
      </c>
      <c r="AL356">
        <v>24</v>
      </c>
      <c r="AM356">
        <v>-3.3639999999999999</v>
      </c>
      <c r="AN356">
        <v>28</v>
      </c>
      <c r="AO356">
        <v>-27.72</v>
      </c>
      <c r="AP356">
        <v>-3.4400000000000004</v>
      </c>
      <c r="AQ356">
        <v>31</v>
      </c>
      <c r="AR356">
        <v>30</v>
      </c>
      <c r="AS356">
        <v>29</v>
      </c>
      <c r="AT356">
        <v>-3.4840000000000004</v>
      </c>
      <c r="AU356">
        <v>31</v>
      </c>
      <c r="AV356">
        <v>-20.84</v>
      </c>
      <c r="AW356">
        <v>-2.52</v>
      </c>
      <c r="AX356">
        <v>10</v>
      </c>
      <c r="AY356">
        <v>11</v>
      </c>
      <c r="AZ356">
        <v>5</v>
      </c>
      <c r="BA356">
        <v>4.5519999999999987</v>
      </c>
      <c r="BB356">
        <v>17</v>
      </c>
      <c r="BC356">
        <v>1.5199999999999989</v>
      </c>
      <c r="BD356">
        <v>-0.64000000000000024</v>
      </c>
      <c r="BE356">
        <v>2</v>
      </c>
      <c r="BF356">
        <v>2</v>
      </c>
      <c r="BG356">
        <v>2</v>
      </c>
      <c r="BH356">
        <v>10.336</v>
      </c>
      <c r="BI356">
        <v>2</v>
      </c>
      <c r="BJ356">
        <v>40.56</v>
      </c>
      <c r="BK356">
        <v>2.96</v>
      </c>
      <c r="BL356">
        <v>8</v>
      </c>
      <c r="BM356">
        <v>8.5</v>
      </c>
      <c r="BN356">
        <v>2</v>
      </c>
      <c r="BO356">
        <v>2.6</v>
      </c>
      <c r="BP356">
        <v>15</v>
      </c>
      <c r="BQ356">
        <v>4.0000000000000036E-2</v>
      </c>
      <c r="BR356">
        <v>6.7200000000000006</v>
      </c>
      <c r="BS356">
        <v>31</v>
      </c>
      <c r="BT356">
        <v>29.25</v>
      </c>
      <c r="BU356">
        <v>27</v>
      </c>
      <c r="BV356">
        <v>-6.8006433271882355E-2</v>
      </c>
      <c r="BW356">
        <v>31</v>
      </c>
      <c r="BX356">
        <v>-3.1046593028629343E-2</v>
      </c>
      <c r="BY356">
        <v>27</v>
      </c>
      <c r="BZ356">
        <v>8.7000000000000046</v>
      </c>
      <c r="CA356">
        <v>32</v>
      </c>
      <c r="CB356">
        <v>-7.4</v>
      </c>
      <c r="CC356">
        <v>-2.0400000000000018</v>
      </c>
      <c r="CD356">
        <v>15.120000000000001</v>
      </c>
      <c r="CE356">
        <v>2.8</v>
      </c>
      <c r="CF356">
        <v>50.44</v>
      </c>
      <c r="CG356">
        <v>-34.4</v>
      </c>
      <c r="CH356">
        <v>33</v>
      </c>
      <c r="CI356">
        <v>-1.3199999999999998</v>
      </c>
      <c r="CJ356">
        <v>53.160000000000004</v>
      </c>
      <c r="CK356">
        <v>5</v>
      </c>
      <c r="CL356">
        <v>6.8023999999999996</v>
      </c>
      <c r="CM356">
        <v>0.42175999999999947</v>
      </c>
      <c r="CN356">
        <v>-67.400000000000006</v>
      </c>
      <c r="CO356">
        <v>-6.8023999999999996</v>
      </c>
      <c r="CP356">
        <v>2.5661000000000005</v>
      </c>
      <c r="CQ356">
        <v>-8.2496000000000009</v>
      </c>
      <c r="CR356">
        <v>-62.92</v>
      </c>
      <c r="CS356">
        <v>4.5200000000000005</v>
      </c>
      <c r="CT356">
        <v>26.840000000000003</v>
      </c>
      <c r="CU356">
        <v>-5.28</v>
      </c>
      <c r="CV356">
        <v>-3.5599999999999996</v>
      </c>
      <c r="CW356">
        <v>-2.0896000000000003</v>
      </c>
      <c r="CX356">
        <v>-2.2250000000000005</v>
      </c>
      <c r="CY356" t="s">
        <v>256</v>
      </c>
      <c r="CZ356">
        <v>22</v>
      </c>
      <c r="DA356">
        <v>-1.7615999999999978</v>
      </c>
      <c r="DB356">
        <v>14</v>
      </c>
      <c r="DC356">
        <v>16</v>
      </c>
      <c r="DD356">
        <v>22</v>
      </c>
      <c r="DE356">
        <v>-1.2200000000000002</v>
      </c>
      <c r="DF356">
        <v>10</v>
      </c>
      <c r="DG356">
        <v>7.2999999999999972</v>
      </c>
      <c r="DH356">
        <v>-0.38</v>
      </c>
      <c r="DI356">
        <v>32</v>
      </c>
      <c r="DJ356">
        <v>32</v>
      </c>
      <c r="DK356">
        <v>32</v>
      </c>
      <c r="DL356">
        <v>-3.3439999999999999</v>
      </c>
      <c r="DM356">
        <v>32</v>
      </c>
      <c r="DN356">
        <v>-16.380000000000003</v>
      </c>
      <c r="DO356">
        <v>0.29999999999999993</v>
      </c>
      <c r="DP356">
        <v>28</v>
      </c>
      <c r="DQ356">
        <v>26.5</v>
      </c>
      <c r="DR356">
        <v>23</v>
      </c>
      <c r="DS356">
        <v>-2.6520000000000001</v>
      </c>
      <c r="DT356">
        <v>30</v>
      </c>
      <c r="DU356">
        <v>-19</v>
      </c>
      <c r="DV356">
        <v>-0.79999999999999982</v>
      </c>
      <c r="DW356">
        <v>31</v>
      </c>
      <c r="DX356">
        <v>30.5</v>
      </c>
      <c r="DY356">
        <v>32</v>
      </c>
      <c r="DZ356">
        <v>-5.6720000000000006</v>
      </c>
      <c r="EA356">
        <v>29</v>
      </c>
      <c r="EB356">
        <v>-18</v>
      </c>
      <c r="EC356">
        <v>-0.16000000000000023</v>
      </c>
      <c r="ED356">
        <v>7</v>
      </c>
      <c r="EE356">
        <v>14</v>
      </c>
      <c r="EF356">
        <v>12</v>
      </c>
      <c r="EG356">
        <v>0.64399999999999991</v>
      </c>
      <c r="EH356">
        <v>16</v>
      </c>
      <c r="EI356">
        <v>0.35999999999999943</v>
      </c>
      <c r="EJ356">
        <v>-0.72</v>
      </c>
      <c r="EK356">
        <v>27</v>
      </c>
      <c r="EL356">
        <v>27</v>
      </c>
      <c r="EM356">
        <v>26</v>
      </c>
      <c r="EN356">
        <v>-4.7639999999999985</v>
      </c>
      <c r="EO356">
        <v>28</v>
      </c>
      <c r="EP356">
        <v>-24.84</v>
      </c>
      <c r="EQ356">
        <v>-0.72000000000000031</v>
      </c>
      <c r="ER356">
        <v>22</v>
      </c>
      <c r="ES356">
        <v>23.5</v>
      </c>
      <c r="ET356">
        <v>19</v>
      </c>
      <c r="EU356">
        <v>-0.66800000000000048</v>
      </c>
      <c r="EV356">
        <v>28</v>
      </c>
      <c r="EW356">
        <v>-10.680000000000003</v>
      </c>
      <c r="EX356">
        <v>0.92000000000000015</v>
      </c>
      <c r="EY356">
        <v>18</v>
      </c>
      <c r="EZ356">
        <v>20</v>
      </c>
      <c r="FA356">
        <v>22</v>
      </c>
      <c r="FB356">
        <v>-0.96000000000000052</v>
      </c>
      <c r="FC356">
        <v>18</v>
      </c>
      <c r="FD356">
        <v>-0.16</v>
      </c>
      <c r="FE356">
        <v>-1.3199999999999998</v>
      </c>
      <c r="FF356">
        <v>13</v>
      </c>
      <c r="FG356">
        <v>14.75</v>
      </c>
      <c r="FH356">
        <v>23</v>
      </c>
      <c r="FI356">
        <v>-2.1686095960207569E-2</v>
      </c>
      <c r="FJ356">
        <v>8</v>
      </c>
      <c r="FK356">
        <v>1.7815116394958905E-2</v>
      </c>
      <c r="FL356">
        <v>24</v>
      </c>
      <c r="FM356">
        <v>6.4040000000000017</v>
      </c>
      <c r="FN356">
        <v>4</v>
      </c>
      <c r="FO356">
        <v>3.6</v>
      </c>
      <c r="FP356">
        <v>-0.7999999999999986</v>
      </c>
      <c r="FQ356">
        <v>0.84000000000000052</v>
      </c>
      <c r="FR356">
        <v>2.0799999999999996</v>
      </c>
      <c r="FS356">
        <v>2.8400000000000007</v>
      </c>
      <c r="FT356">
        <v>-4.3600000000000012</v>
      </c>
      <c r="FU356">
        <v>0.27999999999999992</v>
      </c>
      <c r="FV356">
        <v>-37.720000000000006</v>
      </c>
      <c r="FW356">
        <v>-48.399999999999991</v>
      </c>
      <c r="FX356">
        <v>-7.6800000000000015</v>
      </c>
      <c r="FY356">
        <v>2.88</v>
      </c>
      <c r="FZ356">
        <v>15.48</v>
      </c>
      <c r="GA356">
        <v>10</v>
      </c>
      <c r="GB356">
        <v>2.8024000000000022</v>
      </c>
      <c r="GC356">
        <v>0.26007999999999987</v>
      </c>
      <c r="GD356">
        <v>-40.719999999999992</v>
      </c>
      <c r="GE356">
        <v>-2.8024000000000022</v>
      </c>
      <c r="GF356">
        <v>-1.9542000000000002</v>
      </c>
      <c r="GG356">
        <v>-7.6800000000000015</v>
      </c>
      <c r="GH356">
        <v>-36.64</v>
      </c>
      <c r="GI356">
        <v>-4.5640000000000001</v>
      </c>
      <c r="GJ356">
        <v>-9.0800000000000054</v>
      </c>
      <c r="GK356">
        <v>-0.76</v>
      </c>
      <c r="GL356">
        <v>-8.0000000000000071E-2</v>
      </c>
    </row>
    <row r="357" spans="1:194" x14ac:dyDescent="0.2">
      <c r="A357" s="39">
        <v>43800</v>
      </c>
      <c r="B357" s="22" t="s">
        <v>241</v>
      </c>
      <c r="C357" s="41" t="s">
        <v>276</v>
      </c>
      <c r="D357" s="22" t="s">
        <v>291</v>
      </c>
      <c r="E357">
        <v>10.72</v>
      </c>
      <c r="F357">
        <v>26</v>
      </c>
      <c r="G357">
        <v>6.4</v>
      </c>
      <c r="H357">
        <v>4.7</v>
      </c>
      <c r="I357">
        <v>6.5</v>
      </c>
      <c r="J357">
        <v>46.5</v>
      </c>
      <c r="L357" s="1" t="s">
        <v>276</v>
      </c>
      <c r="M357">
        <v>4</v>
      </c>
      <c r="N357">
        <v>4.6040000000000019</v>
      </c>
      <c r="O357">
        <v>15</v>
      </c>
      <c r="P357">
        <v>16</v>
      </c>
      <c r="Q357">
        <v>21</v>
      </c>
      <c r="R357">
        <v>-1.1639999999999997</v>
      </c>
      <c r="S357">
        <v>11</v>
      </c>
      <c r="T357">
        <v>6.44</v>
      </c>
      <c r="U357">
        <v>-0.23999999999999994</v>
      </c>
      <c r="V357">
        <v>15</v>
      </c>
      <c r="W357">
        <v>14.5</v>
      </c>
      <c r="X357">
        <v>20</v>
      </c>
      <c r="Y357">
        <v>-1.2599999999999998</v>
      </c>
      <c r="Z357">
        <v>9</v>
      </c>
      <c r="AA357">
        <v>4.84</v>
      </c>
      <c r="AB357">
        <v>-1.1599999999999999</v>
      </c>
      <c r="AC357">
        <v>21</v>
      </c>
      <c r="AD357">
        <v>19.5</v>
      </c>
      <c r="AE357">
        <v>14</v>
      </c>
      <c r="AF357">
        <v>0.30320000000000108</v>
      </c>
      <c r="AG357">
        <v>25</v>
      </c>
      <c r="AH357">
        <v>-6.19</v>
      </c>
      <c r="AI357">
        <v>0.21999999999999992</v>
      </c>
      <c r="AJ357">
        <v>9</v>
      </c>
      <c r="AK357">
        <v>8.5</v>
      </c>
      <c r="AL357">
        <v>9</v>
      </c>
      <c r="AM357">
        <v>3.2000000000000015</v>
      </c>
      <c r="AN357">
        <v>8</v>
      </c>
      <c r="AO357">
        <v>15.319999999999999</v>
      </c>
      <c r="AP357">
        <v>-0.4</v>
      </c>
      <c r="AQ357">
        <v>13</v>
      </c>
      <c r="AR357">
        <v>14.5</v>
      </c>
      <c r="AS357">
        <v>15</v>
      </c>
      <c r="AT357">
        <v>0.58399999999999985</v>
      </c>
      <c r="AU357">
        <v>14</v>
      </c>
      <c r="AV357">
        <v>2.0799999999999996</v>
      </c>
      <c r="AW357">
        <v>0.32</v>
      </c>
      <c r="AX357">
        <v>23</v>
      </c>
      <c r="AY357">
        <v>22.5</v>
      </c>
      <c r="AZ357">
        <v>25</v>
      </c>
      <c r="BA357">
        <v>-2.3840000000000017</v>
      </c>
      <c r="BB357">
        <v>20</v>
      </c>
      <c r="BC357">
        <v>-3.8400000000000021</v>
      </c>
      <c r="BD357">
        <v>-1.0800000000000003</v>
      </c>
      <c r="BE357">
        <v>29</v>
      </c>
      <c r="BF357">
        <v>28.5</v>
      </c>
      <c r="BG357">
        <v>30</v>
      </c>
      <c r="BH357">
        <v>-5.6440000000000001</v>
      </c>
      <c r="BI357">
        <v>27</v>
      </c>
      <c r="BJ357">
        <v>-19.560000000000002</v>
      </c>
      <c r="BK357">
        <v>-2.84</v>
      </c>
      <c r="BL357">
        <v>25</v>
      </c>
      <c r="BM357">
        <v>23</v>
      </c>
      <c r="BN357">
        <v>23</v>
      </c>
      <c r="BO357">
        <v>-0.27999999999999992</v>
      </c>
      <c r="BP357">
        <v>23</v>
      </c>
      <c r="BQ357">
        <v>-0.16000000000000006</v>
      </c>
      <c r="BR357">
        <v>3.3200000000000003</v>
      </c>
      <c r="BS357">
        <v>24</v>
      </c>
      <c r="BT357">
        <v>20.75</v>
      </c>
      <c r="BU357">
        <v>25</v>
      </c>
      <c r="BV357">
        <v>-5.4412894026133182E-2</v>
      </c>
      <c r="BW357">
        <v>25</v>
      </c>
      <c r="BX357">
        <v>-1.9035363887131694E-2</v>
      </c>
      <c r="BY357">
        <v>5</v>
      </c>
      <c r="BZ357">
        <v>-8.275999999999998</v>
      </c>
      <c r="CA357">
        <v>28</v>
      </c>
      <c r="CB357">
        <v>-3.8</v>
      </c>
      <c r="CC357">
        <v>1.6400000000000035</v>
      </c>
      <c r="CD357">
        <v>2.0800000000000005</v>
      </c>
      <c r="CE357">
        <v>0.24000000000000005</v>
      </c>
      <c r="CF357">
        <v>11.04000000000001</v>
      </c>
      <c r="CG357">
        <v>-19.999999999999993</v>
      </c>
      <c r="CH357">
        <v>8.8800000000000043</v>
      </c>
      <c r="CI357">
        <v>4.08</v>
      </c>
      <c r="CJ357">
        <v>18.079999999999998</v>
      </c>
      <c r="CK357">
        <v>4</v>
      </c>
      <c r="CL357">
        <v>7.0280000000000014</v>
      </c>
      <c r="CM357">
        <v>1.8214400000000004</v>
      </c>
      <c r="CN357">
        <v>-28.879999999999995</v>
      </c>
      <c r="CO357">
        <v>-7.0280000000000014</v>
      </c>
      <c r="CP357">
        <v>4.2900000000000535E-2</v>
      </c>
      <c r="CQ357">
        <v>4.0872000000000028</v>
      </c>
      <c r="CR357">
        <v>11.209999999999999</v>
      </c>
      <c r="CS357">
        <v>-2.4239999999999995</v>
      </c>
      <c r="CT357">
        <v>11.280000000000001</v>
      </c>
      <c r="CU357">
        <v>-2.7</v>
      </c>
      <c r="CV357">
        <v>-1.4</v>
      </c>
      <c r="CW357">
        <v>-0.97487499999999994</v>
      </c>
      <c r="CX357">
        <v>-1.3582000000000001</v>
      </c>
      <c r="CY357" t="s">
        <v>291</v>
      </c>
      <c r="CZ357">
        <v>19</v>
      </c>
      <c r="DA357">
        <v>-1.3959999999999979</v>
      </c>
      <c r="DB357">
        <v>6</v>
      </c>
      <c r="DC357">
        <v>8</v>
      </c>
      <c r="DD357">
        <v>4</v>
      </c>
      <c r="DE357">
        <v>3.8804000000000003</v>
      </c>
      <c r="DF357">
        <v>12</v>
      </c>
      <c r="DG357">
        <v>5.8799999999999981</v>
      </c>
      <c r="DH357">
        <v>-8.0000000000000071E-2</v>
      </c>
      <c r="DI357">
        <v>22</v>
      </c>
      <c r="DJ357">
        <v>19</v>
      </c>
      <c r="DK357">
        <v>24</v>
      </c>
      <c r="DL357">
        <v>-1.8479999999999994</v>
      </c>
      <c r="DM357">
        <v>14</v>
      </c>
      <c r="DN357">
        <v>0.32000000000000145</v>
      </c>
      <c r="DO357">
        <v>-0.4</v>
      </c>
      <c r="DP357">
        <v>26</v>
      </c>
      <c r="DQ357">
        <v>29.5</v>
      </c>
      <c r="DR357">
        <v>30</v>
      </c>
      <c r="DS357">
        <v>-6.1727999999999996</v>
      </c>
      <c r="DT357">
        <v>29</v>
      </c>
      <c r="DU357">
        <v>-24.360000000000003</v>
      </c>
      <c r="DV357">
        <v>-1.3199999999999998</v>
      </c>
      <c r="DW357">
        <v>15</v>
      </c>
      <c r="DX357">
        <v>14</v>
      </c>
      <c r="DY357">
        <v>13</v>
      </c>
      <c r="DZ357">
        <v>0.50399999999999956</v>
      </c>
      <c r="EA357">
        <v>15</v>
      </c>
      <c r="EB357">
        <v>-2.0000000000000044</v>
      </c>
      <c r="EC357">
        <v>-1.0399999999999998</v>
      </c>
      <c r="ED357">
        <v>19</v>
      </c>
      <c r="EE357">
        <v>10.5</v>
      </c>
      <c r="EF357">
        <v>9</v>
      </c>
      <c r="EG357">
        <v>0.67999999999999994</v>
      </c>
      <c r="EH357">
        <v>12</v>
      </c>
      <c r="EI357">
        <v>2.4799999999999991</v>
      </c>
      <c r="EJ357">
        <v>-0.11999999999999993</v>
      </c>
      <c r="EK357">
        <v>8</v>
      </c>
      <c r="EL357">
        <v>8.5</v>
      </c>
      <c r="EM357">
        <v>10</v>
      </c>
      <c r="EN357">
        <v>3.1600000000000024</v>
      </c>
      <c r="EO357">
        <v>7</v>
      </c>
      <c r="EP357">
        <v>18.8</v>
      </c>
      <c r="EQ357">
        <v>0.64</v>
      </c>
      <c r="ER357">
        <v>27</v>
      </c>
      <c r="ES357">
        <v>26</v>
      </c>
      <c r="ET357">
        <v>22</v>
      </c>
      <c r="EU357">
        <v>-1.3400000000000005</v>
      </c>
      <c r="EV357">
        <v>30</v>
      </c>
      <c r="EW357">
        <v>-14.52</v>
      </c>
      <c r="EX357">
        <v>-0.19999999999999965</v>
      </c>
      <c r="EY357">
        <v>7</v>
      </c>
      <c r="EZ357">
        <v>7</v>
      </c>
      <c r="FA357">
        <v>10</v>
      </c>
      <c r="FB357">
        <v>0.96000000000000019</v>
      </c>
      <c r="FC357">
        <v>4</v>
      </c>
      <c r="FD357">
        <v>0.6</v>
      </c>
      <c r="FE357">
        <v>-1.64</v>
      </c>
      <c r="FF357">
        <v>15</v>
      </c>
      <c r="FG357">
        <v>15.75</v>
      </c>
      <c r="FH357">
        <v>7</v>
      </c>
      <c r="FI357">
        <v>3.4832802812091015E-2</v>
      </c>
      <c r="FJ357">
        <v>7</v>
      </c>
      <c r="FK357">
        <v>1.9370085594713704E-2</v>
      </c>
      <c r="FL357">
        <v>28</v>
      </c>
      <c r="FM357">
        <v>9.8560000000000034</v>
      </c>
      <c r="FN357">
        <v>21</v>
      </c>
      <c r="FO357">
        <v>-0.48000000000000009</v>
      </c>
      <c r="FP357">
        <v>-4.1599999999999993</v>
      </c>
      <c r="FQ357">
        <v>0.6399999999999999</v>
      </c>
      <c r="FR357">
        <v>1.56</v>
      </c>
      <c r="FS357">
        <v>-1.1200000000000003</v>
      </c>
      <c r="FT357">
        <v>1.0399999999999998</v>
      </c>
      <c r="FU357">
        <v>-0.6399999999999999</v>
      </c>
      <c r="FV357">
        <v>-28.24</v>
      </c>
      <c r="FW357">
        <v>-39.799999999999997</v>
      </c>
      <c r="FX357">
        <v>0.52000000000000313</v>
      </c>
      <c r="FY357">
        <v>-0.31999999999999995</v>
      </c>
      <c r="FZ357">
        <v>11.36</v>
      </c>
      <c r="GA357">
        <v>23</v>
      </c>
      <c r="GB357">
        <v>-3.4283999999999986</v>
      </c>
      <c r="GC357">
        <v>-2.5611600000000001</v>
      </c>
      <c r="GD357">
        <v>-40.32</v>
      </c>
      <c r="GE357">
        <v>3.428399999999999</v>
      </c>
      <c r="GF357">
        <v>-0.5915499999999998</v>
      </c>
      <c r="GG357">
        <v>-4.9888000000000003</v>
      </c>
      <c r="GH357">
        <v>-23.880000000000006</v>
      </c>
      <c r="GI357">
        <v>2.0324000000000009</v>
      </c>
      <c r="GJ357">
        <v>6.1999999999999993</v>
      </c>
      <c r="GK357">
        <v>-2.6799999999999993</v>
      </c>
      <c r="GL357">
        <v>-0.48000000000000009</v>
      </c>
    </row>
    <row r="358" spans="1:194" x14ac:dyDescent="0.2">
      <c r="A358" s="39">
        <v>43800</v>
      </c>
      <c r="B358" s="22" t="s">
        <v>241</v>
      </c>
      <c r="C358" s="41" t="s">
        <v>301</v>
      </c>
      <c r="D358" s="22" t="s">
        <v>306</v>
      </c>
      <c r="E358">
        <v>19.2</v>
      </c>
      <c r="F358">
        <v>16.5</v>
      </c>
      <c r="G358">
        <v>6.4</v>
      </c>
      <c r="H358">
        <f>6.4+5.2</f>
        <v>11.600000000000001</v>
      </c>
      <c r="I358">
        <v>10.5</v>
      </c>
      <c r="J358">
        <v>38.5</v>
      </c>
      <c r="K358" t="s">
        <v>110</v>
      </c>
      <c r="L358" s="1" t="s">
        <v>301</v>
      </c>
      <c r="M358">
        <v>13</v>
      </c>
      <c r="N358">
        <v>0.72400000000000164</v>
      </c>
      <c r="O358">
        <v>2</v>
      </c>
      <c r="P358">
        <v>3</v>
      </c>
      <c r="Q358">
        <v>1</v>
      </c>
      <c r="R358">
        <v>12.876999999999999</v>
      </c>
      <c r="S358">
        <v>5</v>
      </c>
      <c r="T358">
        <v>21.740000000000002</v>
      </c>
      <c r="U358">
        <v>3.4200000000000004</v>
      </c>
      <c r="V358">
        <v>32</v>
      </c>
      <c r="W358">
        <v>31.5</v>
      </c>
      <c r="X358">
        <v>31</v>
      </c>
      <c r="Y358">
        <v>-4.1349999999999998</v>
      </c>
      <c r="Z358">
        <v>32</v>
      </c>
      <c r="AA358">
        <v>-19.5</v>
      </c>
      <c r="AB358">
        <v>-0.63</v>
      </c>
      <c r="AC358">
        <v>7</v>
      </c>
      <c r="AD358">
        <v>6.5</v>
      </c>
      <c r="AE358">
        <v>7</v>
      </c>
      <c r="AF358">
        <v>5.1250000000000009</v>
      </c>
      <c r="AG358">
        <v>6</v>
      </c>
      <c r="AH358">
        <v>17.100000000000001</v>
      </c>
      <c r="AI358">
        <v>2.65</v>
      </c>
      <c r="AJ358">
        <v>21</v>
      </c>
      <c r="AK358">
        <v>20.5</v>
      </c>
      <c r="AL358">
        <v>20</v>
      </c>
      <c r="AM358">
        <v>-0.64900000000000024</v>
      </c>
      <c r="AN358">
        <v>21</v>
      </c>
      <c r="AO358">
        <v>-8.59</v>
      </c>
      <c r="AP358">
        <v>0.6</v>
      </c>
      <c r="AQ358">
        <v>23</v>
      </c>
      <c r="AR358">
        <v>23.5</v>
      </c>
      <c r="AS358">
        <v>23</v>
      </c>
      <c r="AT358">
        <v>-2.1259999999999999</v>
      </c>
      <c r="AU358">
        <v>24</v>
      </c>
      <c r="AV358">
        <v>-9.48</v>
      </c>
      <c r="AW358">
        <v>-1.02</v>
      </c>
      <c r="AX358">
        <v>24</v>
      </c>
      <c r="AY358">
        <v>25</v>
      </c>
      <c r="AZ358">
        <v>23</v>
      </c>
      <c r="BA358">
        <v>-1.9880000000000013</v>
      </c>
      <c r="BB358">
        <v>27</v>
      </c>
      <c r="BC358">
        <v>-23.48</v>
      </c>
      <c r="BD358">
        <v>0.9199999999999996</v>
      </c>
      <c r="BE358">
        <v>20</v>
      </c>
      <c r="BF358">
        <v>22</v>
      </c>
      <c r="BG358">
        <v>20</v>
      </c>
      <c r="BH358">
        <v>-2.0000000000000004</v>
      </c>
      <c r="BI358">
        <v>24</v>
      </c>
      <c r="BJ358">
        <v>-6.4</v>
      </c>
      <c r="BK358">
        <v>-2.64</v>
      </c>
      <c r="BL358">
        <v>32</v>
      </c>
      <c r="BM358">
        <v>31.5</v>
      </c>
      <c r="BN358">
        <v>32</v>
      </c>
      <c r="BO358">
        <v>-3.6799999999999997</v>
      </c>
      <c r="BP358">
        <v>31</v>
      </c>
      <c r="BQ358">
        <v>-1.1599999999999999</v>
      </c>
      <c r="BR358">
        <v>-1.4799999999999995</v>
      </c>
      <c r="BS358">
        <v>4</v>
      </c>
      <c r="BT358">
        <v>8.5</v>
      </c>
      <c r="BU358">
        <v>4</v>
      </c>
      <c r="BV358">
        <v>6.6097753161763223E-2</v>
      </c>
      <c r="BW358">
        <v>6</v>
      </c>
      <c r="BX358">
        <v>1.8820344205210567E-2</v>
      </c>
      <c r="BY358">
        <v>17</v>
      </c>
      <c r="BZ358">
        <v>-0.15999999999999942</v>
      </c>
      <c r="CA358">
        <v>7</v>
      </c>
      <c r="CB358">
        <v>2.6399999999999997</v>
      </c>
      <c r="CC358">
        <v>4.1200000000000019</v>
      </c>
      <c r="CD358">
        <v>-1.64</v>
      </c>
      <c r="CE358">
        <v>-0.27999999999999997</v>
      </c>
      <c r="CF358">
        <v>7.4800000000000066</v>
      </c>
      <c r="CG358">
        <v>9.7999999999999936</v>
      </c>
      <c r="CH358">
        <v>-2.3200000000000016</v>
      </c>
      <c r="CI358">
        <v>5.08</v>
      </c>
      <c r="CJ358">
        <v>-5.08</v>
      </c>
      <c r="CK358">
        <v>29</v>
      </c>
      <c r="CL358">
        <v>-8.0179999999999971</v>
      </c>
      <c r="CM358">
        <v>-4.1561999999999992</v>
      </c>
      <c r="CN358">
        <v>12.119999999999996</v>
      </c>
      <c r="CO358">
        <v>8.0179999999999971</v>
      </c>
      <c r="CP358">
        <v>0.76700000000000013</v>
      </c>
      <c r="CQ358">
        <v>2.350000000000001</v>
      </c>
      <c r="CR358">
        <v>-0.96999999999999886</v>
      </c>
      <c r="CS358">
        <v>8.7419999999999991</v>
      </c>
      <c r="CT358">
        <v>2.240000000000002</v>
      </c>
      <c r="CU358">
        <v>-0.41000000000000014</v>
      </c>
      <c r="CV358">
        <v>2.7900000000000005</v>
      </c>
      <c r="CW358">
        <v>0.41262500000000041</v>
      </c>
      <c r="CX358">
        <v>1.1956000000000002</v>
      </c>
      <c r="CY358" t="s">
        <v>306</v>
      </c>
      <c r="CZ358">
        <v>22</v>
      </c>
      <c r="DA358">
        <v>-1.7583999999999982</v>
      </c>
      <c r="DB358">
        <v>11</v>
      </c>
      <c r="DC358">
        <v>11</v>
      </c>
      <c r="DD358">
        <v>16</v>
      </c>
      <c r="DE358">
        <v>0.37240000000000145</v>
      </c>
      <c r="DF358">
        <v>6</v>
      </c>
      <c r="DG358">
        <v>11.799999999999997</v>
      </c>
      <c r="DH358">
        <v>-0.16000000000000006</v>
      </c>
      <c r="DI358">
        <v>10</v>
      </c>
      <c r="DJ358">
        <v>12.5</v>
      </c>
      <c r="DK358">
        <v>16</v>
      </c>
      <c r="DL358">
        <v>-0.64800000000000002</v>
      </c>
      <c r="DM358">
        <v>9</v>
      </c>
      <c r="DN358">
        <v>6.88</v>
      </c>
      <c r="DO358">
        <v>-0.47999999999999987</v>
      </c>
      <c r="DP358">
        <v>13</v>
      </c>
      <c r="DQ358">
        <v>12</v>
      </c>
      <c r="DR358">
        <v>14</v>
      </c>
      <c r="DS358">
        <v>-0.22879999999999967</v>
      </c>
      <c r="DT358">
        <v>10</v>
      </c>
      <c r="DU358">
        <v>9.5599999999999969</v>
      </c>
      <c r="DV358">
        <v>-0.28000000000000008</v>
      </c>
      <c r="DW358">
        <v>26</v>
      </c>
      <c r="DX358">
        <v>26.5</v>
      </c>
      <c r="DY358">
        <v>23</v>
      </c>
      <c r="DZ358">
        <v>-2.9279999999999999</v>
      </c>
      <c r="EA358">
        <v>30</v>
      </c>
      <c r="EB358">
        <v>-19.840000000000003</v>
      </c>
      <c r="EC358">
        <v>-0.8</v>
      </c>
      <c r="ED358">
        <v>32</v>
      </c>
      <c r="EE358">
        <v>15</v>
      </c>
      <c r="EF358">
        <v>15</v>
      </c>
      <c r="EG358">
        <v>0.21600000000000028</v>
      </c>
      <c r="EH358">
        <v>15</v>
      </c>
      <c r="EI358">
        <v>0.23999999999999969</v>
      </c>
      <c r="EJ358">
        <v>-0.27999999999999992</v>
      </c>
      <c r="EK358">
        <v>7</v>
      </c>
      <c r="EL358">
        <v>7.5</v>
      </c>
      <c r="EM358">
        <v>7</v>
      </c>
      <c r="EN358">
        <v>4.5000000000000009</v>
      </c>
      <c r="EO358">
        <v>8</v>
      </c>
      <c r="EP358">
        <v>17.399999999999999</v>
      </c>
      <c r="EQ358">
        <v>4.0000000000000036E-2</v>
      </c>
      <c r="ER358">
        <v>10</v>
      </c>
      <c r="ES358">
        <v>10.5</v>
      </c>
      <c r="ET358">
        <v>6</v>
      </c>
      <c r="EU358">
        <v>1.4520000000000004</v>
      </c>
      <c r="EV358">
        <v>15</v>
      </c>
      <c r="EW358">
        <v>0.27999999999999903</v>
      </c>
      <c r="EX358">
        <v>-1.7599999999999998</v>
      </c>
      <c r="EY358">
        <v>12</v>
      </c>
      <c r="EZ358">
        <v>12.5</v>
      </c>
      <c r="FA358">
        <v>12</v>
      </c>
      <c r="FB358">
        <v>0.56000000000000016</v>
      </c>
      <c r="FC358">
        <v>13</v>
      </c>
      <c r="FD358">
        <v>7.9999999999999988E-2</v>
      </c>
      <c r="FE358">
        <v>1.7200000000000002</v>
      </c>
      <c r="FF358">
        <v>3</v>
      </c>
      <c r="FG358">
        <v>8</v>
      </c>
      <c r="FH358">
        <v>13</v>
      </c>
      <c r="FI358">
        <v>2.5075482480320988E-3</v>
      </c>
      <c r="FJ358">
        <v>2</v>
      </c>
      <c r="FK358">
        <v>3.5944845989316673E-2</v>
      </c>
      <c r="FL358">
        <v>9</v>
      </c>
      <c r="FM358">
        <v>-3.8039999999999976</v>
      </c>
      <c r="FN358">
        <v>8</v>
      </c>
      <c r="FO358">
        <v>2.52</v>
      </c>
      <c r="FP358">
        <v>-4.1599999999999993</v>
      </c>
      <c r="FQ358">
        <v>4.16</v>
      </c>
      <c r="FR358">
        <v>1.1200000000000001</v>
      </c>
      <c r="FS358">
        <v>1.8800000000000026</v>
      </c>
      <c r="FT358">
        <v>0.6</v>
      </c>
      <c r="FU358">
        <v>-1</v>
      </c>
      <c r="FV358">
        <v>-0.11999999999999318</v>
      </c>
      <c r="FW358">
        <v>-16.359999999999996</v>
      </c>
      <c r="FX358">
        <v>19.880000000000003</v>
      </c>
      <c r="FY358">
        <v>-5.6</v>
      </c>
      <c r="FZ358">
        <v>1.9599999999999997</v>
      </c>
      <c r="GA358">
        <v>22</v>
      </c>
      <c r="GB358">
        <v>-1.4827999999999997</v>
      </c>
      <c r="GC358">
        <v>-0.51164000000000021</v>
      </c>
      <c r="GD358">
        <v>-36.239999999999995</v>
      </c>
      <c r="GE358">
        <v>1.4827999999999997</v>
      </c>
      <c r="GF358">
        <v>-0.3703499999999994</v>
      </c>
      <c r="GG358">
        <v>-2.9407999999999994</v>
      </c>
      <c r="GH358">
        <v>-10.040000000000006</v>
      </c>
      <c r="GI358">
        <v>-0.27559999999999857</v>
      </c>
      <c r="GJ358">
        <v>18.679999999999996</v>
      </c>
      <c r="GK358">
        <v>-3.1199999999999997</v>
      </c>
      <c r="GL358">
        <v>-0.6399999999999999</v>
      </c>
    </row>
    <row r="359" spans="1:194" x14ac:dyDescent="0.2">
      <c r="A359" s="39">
        <v>43800</v>
      </c>
      <c r="B359" s="22" t="s">
        <v>241</v>
      </c>
      <c r="C359" s="41" t="s">
        <v>265</v>
      </c>
      <c r="D359" s="22" t="s">
        <v>299</v>
      </c>
      <c r="E359">
        <v>22.6</v>
      </c>
      <c r="F359">
        <v>26</v>
      </c>
      <c r="G359">
        <v>10.6</v>
      </c>
      <c r="H359">
        <v>8.8000000000000007</v>
      </c>
      <c r="I359">
        <v>-5.5</v>
      </c>
      <c r="J359">
        <v>37.5</v>
      </c>
      <c r="L359" s="1" t="s">
        <v>265</v>
      </c>
      <c r="M359">
        <v>23</v>
      </c>
      <c r="N359">
        <v>-3.1352000000000002</v>
      </c>
      <c r="O359">
        <v>20</v>
      </c>
      <c r="P359">
        <v>21</v>
      </c>
      <c r="Q359">
        <v>23</v>
      </c>
      <c r="R359">
        <v>-2.2600000000000002</v>
      </c>
      <c r="S359">
        <v>19</v>
      </c>
      <c r="T359">
        <v>-5.7200000000000033</v>
      </c>
      <c r="U359">
        <v>-0.15999999999999986</v>
      </c>
      <c r="V359">
        <v>13</v>
      </c>
      <c r="W359">
        <v>13.5</v>
      </c>
      <c r="X359">
        <v>7</v>
      </c>
      <c r="Y359">
        <v>1.9359999999999999</v>
      </c>
      <c r="Z359">
        <v>20</v>
      </c>
      <c r="AA359">
        <v>-4.8239999999999998</v>
      </c>
      <c r="AB359">
        <v>1.9600000000000002</v>
      </c>
      <c r="AC359">
        <v>16</v>
      </c>
      <c r="AD359">
        <v>17</v>
      </c>
      <c r="AE359">
        <v>16</v>
      </c>
      <c r="AF359">
        <v>-0.63999999999999846</v>
      </c>
      <c r="AG359">
        <v>18</v>
      </c>
      <c r="AH359">
        <v>-2.0399999999999991</v>
      </c>
      <c r="AI359">
        <v>0.36000000000000015</v>
      </c>
      <c r="AJ359">
        <v>11</v>
      </c>
      <c r="AK359">
        <v>11</v>
      </c>
      <c r="AL359">
        <v>13</v>
      </c>
      <c r="AM359">
        <v>0.88400000000000034</v>
      </c>
      <c r="AN359">
        <v>9</v>
      </c>
      <c r="AO359">
        <v>12.520000000000001</v>
      </c>
      <c r="AP359">
        <v>1.4799999999999998</v>
      </c>
      <c r="AQ359">
        <v>26</v>
      </c>
      <c r="AR359">
        <v>26</v>
      </c>
      <c r="AS359">
        <v>26</v>
      </c>
      <c r="AT359">
        <v>-2.8920000000000003</v>
      </c>
      <c r="AU359">
        <v>26</v>
      </c>
      <c r="AV359">
        <v>-12.68</v>
      </c>
      <c r="AW359">
        <v>0.11999999999999993</v>
      </c>
      <c r="AX359">
        <v>8</v>
      </c>
      <c r="AY359">
        <v>9</v>
      </c>
      <c r="AZ359">
        <v>9</v>
      </c>
      <c r="BA359">
        <v>3.1559999999999997</v>
      </c>
      <c r="BB359">
        <v>9</v>
      </c>
      <c r="BC359">
        <v>13.959999999999999</v>
      </c>
      <c r="BD359">
        <v>2.3599999999999994</v>
      </c>
      <c r="BE359">
        <v>29</v>
      </c>
      <c r="BF359">
        <v>28.5</v>
      </c>
      <c r="BG359">
        <v>25</v>
      </c>
      <c r="BH359">
        <v>-4.4320000000000004</v>
      </c>
      <c r="BI359">
        <v>32</v>
      </c>
      <c r="BJ359">
        <v>-25.119999999999997</v>
      </c>
      <c r="BK359">
        <v>-2.0799999999999996</v>
      </c>
      <c r="BL359">
        <v>30</v>
      </c>
      <c r="BM359">
        <v>29.5</v>
      </c>
      <c r="BN359">
        <v>31</v>
      </c>
      <c r="BO359">
        <v>-3.504</v>
      </c>
      <c r="BP359">
        <v>28</v>
      </c>
      <c r="BQ359">
        <v>-0.64</v>
      </c>
      <c r="BR359">
        <v>-3.88</v>
      </c>
      <c r="BS359">
        <v>18</v>
      </c>
      <c r="BT359">
        <v>15.5</v>
      </c>
      <c r="BU359">
        <v>20</v>
      </c>
      <c r="BV359">
        <v>-2.2299210040452978E-2</v>
      </c>
      <c r="BW359">
        <v>11</v>
      </c>
      <c r="BX359">
        <v>5.0643597799620767E-3</v>
      </c>
      <c r="BY359">
        <v>20</v>
      </c>
      <c r="BZ359">
        <v>0.92399999999999805</v>
      </c>
      <c r="CA359">
        <v>11</v>
      </c>
      <c r="CB359">
        <v>0.75999999999999979</v>
      </c>
      <c r="CC359">
        <v>-3.4800000000000013</v>
      </c>
      <c r="CD359">
        <v>-5.2799999999999994</v>
      </c>
      <c r="CE359">
        <v>-1.6800000000000002</v>
      </c>
      <c r="CF359">
        <v>-57.959999999999994</v>
      </c>
      <c r="CG359">
        <v>-32.04</v>
      </c>
      <c r="CH359">
        <v>-15.640000000000004</v>
      </c>
      <c r="CI359">
        <v>-4.5200000000000005</v>
      </c>
      <c r="CJ359">
        <v>-5.76</v>
      </c>
      <c r="CK359">
        <v>19</v>
      </c>
      <c r="CL359">
        <v>-2.8111999999999999</v>
      </c>
      <c r="CM359">
        <v>-1.8810399999999998</v>
      </c>
      <c r="CN359">
        <v>-16.399999999999995</v>
      </c>
      <c r="CO359">
        <v>2.8111999999999999</v>
      </c>
      <c r="CP359">
        <v>-1.7554000000000001</v>
      </c>
      <c r="CQ359">
        <v>-2.6479999999999984</v>
      </c>
      <c r="CR359">
        <v>-2.1999999999999975</v>
      </c>
      <c r="CS359">
        <v>-0.32400000000000029</v>
      </c>
      <c r="CT359">
        <v>-10.544000000000004</v>
      </c>
      <c r="CU359">
        <v>-0.11999999999999988</v>
      </c>
      <c r="CV359">
        <v>1.8000000000000003</v>
      </c>
      <c r="CW359">
        <v>0.6042500000000004</v>
      </c>
      <c r="CX359">
        <v>-1.3204000000000002</v>
      </c>
      <c r="CY359" t="s">
        <v>299</v>
      </c>
      <c r="CZ359">
        <v>3</v>
      </c>
      <c r="DA359">
        <v>5.4072000000000013</v>
      </c>
      <c r="DB359">
        <v>14</v>
      </c>
      <c r="DC359">
        <v>16</v>
      </c>
      <c r="DD359">
        <v>14</v>
      </c>
      <c r="DE359">
        <v>0.90400000000000136</v>
      </c>
      <c r="DF359">
        <v>18</v>
      </c>
      <c r="DG359">
        <v>-0.55999999999999939</v>
      </c>
      <c r="DH359">
        <v>-1.1599999999999999</v>
      </c>
      <c r="DI359">
        <v>11</v>
      </c>
      <c r="DJ359">
        <v>14</v>
      </c>
      <c r="DK359">
        <v>3</v>
      </c>
      <c r="DL359">
        <v>3.0839999999999996</v>
      </c>
      <c r="DM359">
        <v>25</v>
      </c>
      <c r="DN359">
        <v>-6.0319999999999991</v>
      </c>
      <c r="DO359">
        <v>-7.9999999999999988E-2</v>
      </c>
      <c r="DP359">
        <v>10</v>
      </c>
      <c r="DQ359">
        <v>9.5</v>
      </c>
      <c r="DR359">
        <v>10</v>
      </c>
      <c r="DS359">
        <v>1.092000000000001</v>
      </c>
      <c r="DT359">
        <v>9</v>
      </c>
      <c r="DU359">
        <v>9.7200000000000024</v>
      </c>
      <c r="DV359">
        <v>1.7599999999999998</v>
      </c>
      <c r="DW359">
        <v>3</v>
      </c>
      <c r="DX359">
        <v>3.5</v>
      </c>
      <c r="DY359">
        <v>4</v>
      </c>
      <c r="DZ359">
        <v>5.7119999999999997</v>
      </c>
      <c r="EA359">
        <v>3</v>
      </c>
      <c r="EB359">
        <v>22.08</v>
      </c>
      <c r="EC359">
        <v>1.64</v>
      </c>
      <c r="ED359">
        <v>15</v>
      </c>
      <c r="EE359">
        <v>3.5</v>
      </c>
      <c r="EF359">
        <v>3</v>
      </c>
      <c r="EG359">
        <v>1.94</v>
      </c>
      <c r="EH359">
        <v>4</v>
      </c>
      <c r="EI359">
        <v>9.7200000000000006</v>
      </c>
      <c r="EJ359">
        <v>4.0000000000000126E-2</v>
      </c>
      <c r="EK359">
        <v>2</v>
      </c>
      <c r="EL359">
        <v>3.5</v>
      </c>
      <c r="EM359">
        <v>3</v>
      </c>
      <c r="EN359">
        <v>6.4399999999999995</v>
      </c>
      <c r="EO359">
        <v>4</v>
      </c>
      <c r="EP359">
        <v>31.6</v>
      </c>
      <c r="EQ359">
        <v>1.6800000000000002</v>
      </c>
      <c r="ER359">
        <v>11</v>
      </c>
      <c r="ES359">
        <v>12.5</v>
      </c>
      <c r="ET359">
        <v>8</v>
      </c>
      <c r="EU359">
        <v>0.65200000000000025</v>
      </c>
      <c r="EV359">
        <v>17</v>
      </c>
      <c r="EW359">
        <v>-1.0800000000000005</v>
      </c>
      <c r="EX359">
        <v>-1.4400000000000002</v>
      </c>
      <c r="EY359">
        <v>12</v>
      </c>
      <c r="EZ359">
        <v>12.5</v>
      </c>
      <c r="FA359">
        <v>7</v>
      </c>
      <c r="FB359">
        <v>1.4400000000000002</v>
      </c>
      <c r="FC359">
        <v>18</v>
      </c>
      <c r="FD359">
        <v>-0.2</v>
      </c>
      <c r="FE359">
        <v>1.9600000000000004</v>
      </c>
      <c r="FF359">
        <v>24</v>
      </c>
      <c r="FG359">
        <v>21</v>
      </c>
      <c r="FH359">
        <v>26</v>
      </c>
      <c r="FI359">
        <v>-3.1228005055085616E-2</v>
      </c>
      <c r="FJ359">
        <v>23</v>
      </c>
      <c r="FK359">
        <v>-6.8051663324504878E-3</v>
      </c>
      <c r="FL359">
        <v>5</v>
      </c>
      <c r="FM359">
        <v>-7.0330000000000013</v>
      </c>
      <c r="FN359">
        <v>30</v>
      </c>
      <c r="FO359">
        <v>-4.0400000000000009</v>
      </c>
      <c r="FP359">
        <v>-3.9999999999999147E-2</v>
      </c>
      <c r="FQ359">
        <v>1.2800000000000005</v>
      </c>
      <c r="FR359">
        <v>0.40000000000000008</v>
      </c>
      <c r="FS359">
        <v>1.7599999999999993</v>
      </c>
      <c r="FT359">
        <v>6.8</v>
      </c>
      <c r="FU359">
        <v>0.55999999999999983</v>
      </c>
      <c r="FV359">
        <v>49.919999999999995</v>
      </c>
      <c r="FW359">
        <v>44.56</v>
      </c>
      <c r="FX359">
        <v>-1.2400000000000007</v>
      </c>
      <c r="FY359">
        <v>4.4799999999999995</v>
      </c>
      <c r="FZ359">
        <v>2.12</v>
      </c>
      <c r="GA359">
        <v>13</v>
      </c>
      <c r="GB359">
        <v>1.4192</v>
      </c>
      <c r="GC359">
        <v>0.96664000000000017</v>
      </c>
      <c r="GD359">
        <v>45.800000000000004</v>
      </c>
      <c r="GE359">
        <v>-1.4192000000000005</v>
      </c>
      <c r="GF359">
        <v>2.528900000000001</v>
      </c>
      <c r="GG359">
        <v>8.7439999999999998</v>
      </c>
      <c r="GH359">
        <v>41.52</v>
      </c>
      <c r="GI359">
        <v>3.9880000000000009</v>
      </c>
      <c r="GJ359">
        <v>-6.5919999999999987</v>
      </c>
      <c r="GK359">
        <v>1.9999999999999993</v>
      </c>
      <c r="GL359">
        <v>-1.24</v>
      </c>
    </row>
    <row r="360" spans="1:194" x14ac:dyDescent="0.2">
      <c r="A360" s="39">
        <v>43800</v>
      </c>
      <c r="B360" s="22" t="s">
        <v>241</v>
      </c>
      <c r="C360" s="17" t="s">
        <v>272</v>
      </c>
      <c r="D360" s="22" t="s">
        <v>298</v>
      </c>
      <c r="E360">
        <v>16.899999999999999</v>
      </c>
      <c r="F360">
        <v>10.6</v>
      </c>
      <c r="G360">
        <v>4.0999999999999996</v>
      </c>
      <c r="H360">
        <v>12.3</v>
      </c>
      <c r="I360">
        <v>2.5</v>
      </c>
      <c r="J360">
        <v>43</v>
      </c>
      <c r="K360" t="s">
        <v>109</v>
      </c>
      <c r="L360" s="1" t="s">
        <v>272</v>
      </c>
      <c r="M360">
        <v>27</v>
      </c>
      <c r="N360">
        <v>-3.5823999999999989</v>
      </c>
      <c r="O360">
        <v>29</v>
      </c>
      <c r="P360">
        <v>28</v>
      </c>
      <c r="Q360">
        <v>26</v>
      </c>
      <c r="R360">
        <v>3.944</v>
      </c>
      <c r="S360">
        <v>30</v>
      </c>
      <c r="T360">
        <v>20.28</v>
      </c>
      <c r="U360">
        <v>-7.9999999999999988E-2</v>
      </c>
      <c r="V360">
        <v>24</v>
      </c>
      <c r="W360">
        <v>24</v>
      </c>
      <c r="X360">
        <v>24</v>
      </c>
      <c r="Y360">
        <v>-2.7600000000000002</v>
      </c>
      <c r="Z360">
        <v>24</v>
      </c>
      <c r="AA360">
        <v>-5.1199999999999992</v>
      </c>
      <c r="AB360">
        <v>-0.23999999999999994</v>
      </c>
      <c r="AC360">
        <v>22</v>
      </c>
      <c r="AD360">
        <v>20</v>
      </c>
      <c r="AE360">
        <v>17</v>
      </c>
      <c r="AF360">
        <v>0.72800000000000042</v>
      </c>
      <c r="AG360">
        <v>23</v>
      </c>
      <c r="AH360">
        <v>2.4</v>
      </c>
      <c r="AI360">
        <v>0.19999999999999982</v>
      </c>
      <c r="AJ360">
        <v>20</v>
      </c>
      <c r="AK360">
        <v>19</v>
      </c>
      <c r="AL360">
        <v>23</v>
      </c>
      <c r="AM360">
        <v>-5.4040000000000017</v>
      </c>
      <c r="AN360">
        <v>15</v>
      </c>
      <c r="AO360">
        <v>-11.759999999999996</v>
      </c>
      <c r="AP360">
        <v>-0.44000000000000022</v>
      </c>
      <c r="AQ360">
        <v>2</v>
      </c>
      <c r="AR360">
        <v>2</v>
      </c>
      <c r="AS360">
        <v>2</v>
      </c>
      <c r="AT360">
        <v>0.21599999999999966</v>
      </c>
      <c r="AU360">
        <v>2</v>
      </c>
      <c r="AV360">
        <v>5.7200000000000006</v>
      </c>
      <c r="AW360">
        <v>0.96</v>
      </c>
      <c r="AX360">
        <v>14</v>
      </c>
      <c r="AY360">
        <v>14.5</v>
      </c>
      <c r="AZ360">
        <v>16</v>
      </c>
      <c r="BA360">
        <v>-0.23200000000000146</v>
      </c>
      <c r="BB360">
        <v>13</v>
      </c>
      <c r="BC360">
        <v>15.280000000000001</v>
      </c>
      <c r="BD360">
        <v>0.72</v>
      </c>
      <c r="BE360">
        <v>17</v>
      </c>
      <c r="BF360">
        <v>17.5</v>
      </c>
      <c r="BG360">
        <v>19</v>
      </c>
      <c r="BH360">
        <v>-0.96000000000000063</v>
      </c>
      <c r="BI360">
        <v>16</v>
      </c>
      <c r="BJ360">
        <v>-3.6400000000000006</v>
      </c>
      <c r="BK360">
        <v>0.43999999999999984</v>
      </c>
      <c r="BL360">
        <v>12</v>
      </c>
      <c r="BM360">
        <v>11.5</v>
      </c>
      <c r="BN360">
        <v>12</v>
      </c>
      <c r="BO360">
        <v>0.72</v>
      </c>
      <c r="BP360">
        <v>11</v>
      </c>
      <c r="BQ360">
        <v>0.19999999999999996</v>
      </c>
      <c r="BR360">
        <v>-2</v>
      </c>
      <c r="BS360">
        <v>10</v>
      </c>
      <c r="BT360">
        <v>12.75</v>
      </c>
      <c r="BU360">
        <v>13</v>
      </c>
      <c r="BV360">
        <v>2.0638211933368188E-2</v>
      </c>
      <c r="BW360">
        <v>15</v>
      </c>
      <c r="BX360">
        <v>1.9499198044581416E-3</v>
      </c>
      <c r="BY360">
        <v>11</v>
      </c>
      <c r="BZ360">
        <v>-3.3760000000000021</v>
      </c>
      <c r="CA360">
        <v>12</v>
      </c>
      <c r="CB360">
        <v>0.6</v>
      </c>
      <c r="CC360">
        <v>1.3999999999999986</v>
      </c>
      <c r="CD360">
        <v>-4.2</v>
      </c>
      <c r="CE360">
        <v>-1.0399999999999998</v>
      </c>
      <c r="CF360">
        <v>-1.7599999999999909</v>
      </c>
      <c r="CG360">
        <v>-15.119999999999994</v>
      </c>
      <c r="CH360">
        <v>9.52</v>
      </c>
      <c r="CI360">
        <v>1.0799999999999998</v>
      </c>
      <c r="CJ360">
        <v>2.7599999999999993</v>
      </c>
      <c r="CK360">
        <v>23</v>
      </c>
      <c r="CL360">
        <v>-4.7663999999999991</v>
      </c>
      <c r="CM360">
        <v>-2.3924799999999999</v>
      </c>
      <c r="CN360">
        <v>-24.639999999999993</v>
      </c>
      <c r="CO360">
        <v>4.7663999999999991</v>
      </c>
      <c r="CP360">
        <v>-0.88730000000000031</v>
      </c>
      <c r="CQ360">
        <v>-4.4600000000000017</v>
      </c>
      <c r="CR360">
        <v>-3.6399999999999952</v>
      </c>
      <c r="CS360">
        <v>1.1839999999999997</v>
      </c>
      <c r="CT360">
        <v>15.160000000000002</v>
      </c>
      <c r="CU360">
        <v>1.1599999999999993</v>
      </c>
      <c r="CV360">
        <v>-0.31999999999999995</v>
      </c>
      <c r="CW360">
        <v>0.39348749999999988</v>
      </c>
      <c r="CX360">
        <v>0.45437500000000003</v>
      </c>
      <c r="CY360" t="s">
        <v>298</v>
      </c>
      <c r="CZ360">
        <v>9</v>
      </c>
      <c r="DA360">
        <v>3.1048000000000004</v>
      </c>
      <c r="DB360">
        <v>32</v>
      </c>
      <c r="DC360">
        <v>30.5</v>
      </c>
      <c r="DD360">
        <v>30</v>
      </c>
      <c r="DE360">
        <v>-4.4359999999999999</v>
      </c>
      <c r="DF360">
        <v>31</v>
      </c>
      <c r="DG360">
        <v>-34.720000000000006</v>
      </c>
      <c r="DH360">
        <v>0.1999999999999999</v>
      </c>
      <c r="DI360">
        <v>16</v>
      </c>
      <c r="DJ360">
        <v>16.5</v>
      </c>
      <c r="DK360">
        <v>18</v>
      </c>
      <c r="DL360">
        <v>-0.74800000000000022</v>
      </c>
      <c r="DM360">
        <v>15</v>
      </c>
      <c r="DN360">
        <v>-1.2720000000000007</v>
      </c>
      <c r="DO360">
        <v>0.64</v>
      </c>
      <c r="DP360">
        <v>7</v>
      </c>
      <c r="DQ360">
        <v>10.5</v>
      </c>
      <c r="DR360">
        <v>8</v>
      </c>
      <c r="DS360">
        <v>2.819999999999999</v>
      </c>
      <c r="DT360">
        <v>13</v>
      </c>
      <c r="DU360">
        <v>2.6400000000000006</v>
      </c>
      <c r="DV360">
        <v>8.0000000000000071E-2</v>
      </c>
      <c r="DW360">
        <v>5</v>
      </c>
      <c r="DX360">
        <v>5.5</v>
      </c>
      <c r="DY360">
        <v>5</v>
      </c>
      <c r="DZ360">
        <v>5.1760000000000002</v>
      </c>
      <c r="EA360">
        <v>6</v>
      </c>
      <c r="EB360">
        <v>20.239999999999998</v>
      </c>
      <c r="EC360">
        <v>1.48</v>
      </c>
      <c r="ED360">
        <v>26</v>
      </c>
      <c r="EE360">
        <v>28.5</v>
      </c>
      <c r="EF360">
        <v>28</v>
      </c>
      <c r="EG360">
        <v>-0.91600000000000004</v>
      </c>
      <c r="EH360">
        <v>29</v>
      </c>
      <c r="EI360">
        <v>-8.6</v>
      </c>
      <c r="EJ360">
        <v>-0.64</v>
      </c>
      <c r="EK360">
        <v>25</v>
      </c>
      <c r="EL360">
        <v>26</v>
      </c>
      <c r="EM360">
        <v>26</v>
      </c>
      <c r="EN360">
        <v>-4.1199999999999992</v>
      </c>
      <c r="EO360">
        <v>26</v>
      </c>
      <c r="EP360">
        <v>-17.600000000000001</v>
      </c>
      <c r="EQ360">
        <v>-0.4799999999999997</v>
      </c>
      <c r="ER360">
        <v>13</v>
      </c>
      <c r="ES360">
        <v>13.5</v>
      </c>
      <c r="ET360">
        <v>17</v>
      </c>
      <c r="EU360">
        <v>-0.23600000000000029</v>
      </c>
      <c r="EV360">
        <v>10</v>
      </c>
      <c r="EW360">
        <v>4.3200000000000021</v>
      </c>
      <c r="EX360">
        <v>-0.4</v>
      </c>
      <c r="EY360">
        <v>24</v>
      </c>
      <c r="EZ360">
        <v>23</v>
      </c>
      <c r="FA360">
        <v>28</v>
      </c>
      <c r="FB360">
        <v>-2.1040000000000001</v>
      </c>
      <c r="FC360">
        <v>18</v>
      </c>
      <c r="FD360">
        <v>-0.20000000000000004</v>
      </c>
      <c r="FE360">
        <v>-0.2</v>
      </c>
      <c r="FF360">
        <v>23</v>
      </c>
      <c r="FG360">
        <v>20</v>
      </c>
      <c r="FH360">
        <v>32</v>
      </c>
      <c r="FI360">
        <v>-9.9181619144643671E-2</v>
      </c>
      <c r="FJ360">
        <v>22</v>
      </c>
      <c r="FK360">
        <v>-5.60884888565136E-3</v>
      </c>
      <c r="FL360">
        <v>11</v>
      </c>
      <c r="FM360">
        <v>-2.961000000000003</v>
      </c>
      <c r="FN360">
        <v>15</v>
      </c>
      <c r="FO360">
        <v>0.31999999999999995</v>
      </c>
      <c r="FP360">
        <v>2.4</v>
      </c>
      <c r="FQ360">
        <v>-2.3600000000000003</v>
      </c>
      <c r="FR360">
        <v>0.76</v>
      </c>
      <c r="FS360">
        <v>0.32000000000000028</v>
      </c>
      <c r="FT360">
        <v>0.99999999999999967</v>
      </c>
      <c r="FU360">
        <v>-0.19999999999999996</v>
      </c>
      <c r="FV360">
        <v>-33.559999999999988</v>
      </c>
      <c r="FW360">
        <v>14.8</v>
      </c>
      <c r="FX360">
        <v>-36.44</v>
      </c>
      <c r="FY360">
        <v>-5.44</v>
      </c>
      <c r="FZ360">
        <v>-6.4799999999999995</v>
      </c>
      <c r="GA360">
        <v>3</v>
      </c>
      <c r="GB360">
        <v>8.2888000000000019</v>
      </c>
      <c r="GC360">
        <v>4.5817600000000001</v>
      </c>
      <c r="GD360">
        <v>51.239999999999995</v>
      </c>
      <c r="GE360">
        <v>-8.2888000000000002</v>
      </c>
      <c r="GF360">
        <v>0.33259999999999978</v>
      </c>
      <c r="GG360">
        <v>7.0799999999999983</v>
      </c>
      <c r="GH360">
        <v>14.28</v>
      </c>
      <c r="GI360">
        <v>-5.1840000000000002</v>
      </c>
      <c r="GJ360">
        <v>-35.992000000000004</v>
      </c>
      <c r="GK360">
        <v>0.52</v>
      </c>
      <c r="GL360">
        <v>0.83999999999999986</v>
      </c>
    </row>
    <row r="361" spans="1:194" x14ac:dyDescent="0.2">
      <c r="A361" s="39">
        <v>43800</v>
      </c>
      <c r="B361" s="22" t="s">
        <v>241</v>
      </c>
      <c r="C361" s="41" t="s">
        <v>281</v>
      </c>
      <c r="D361" s="22" t="s">
        <v>309</v>
      </c>
      <c r="E361">
        <v>5.9</v>
      </c>
      <c r="F361">
        <v>13.6</v>
      </c>
      <c r="G361">
        <v>0</v>
      </c>
      <c r="H361">
        <v>8.1</v>
      </c>
      <c r="I361">
        <v>-1</v>
      </c>
      <c r="J361">
        <v>40</v>
      </c>
      <c r="L361" s="1" t="s">
        <v>281</v>
      </c>
      <c r="M361">
        <v>11</v>
      </c>
      <c r="N361">
        <v>2.1839999999999993</v>
      </c>
      <c r="O361">
        <v>5</v>
      </c>
      <c r="P361">
        <v>7</v>
      </c>
      <c r="Q361">
        <v>8</v>
      </c>
      <c r="R361">
        <v>2.4600000000000004</v>
      </c>
      <c r="S361">
        <v>6</v>
      </c>
      <c r="T361">
        <v>10.639999999999997</v>
      </c>
      <c r="U361">
        <v>0.20000000000000009</v>
      </c>
      <c r="V361">
        <v>4</v>
      </c>
      <c r="W361">
        <v>6</v>
      </c>
      <c r="X361">
        <v>6</v>
      </c>
      <c r="Y361">
        <v>4.7359999999999998</v>
      </c>
      <c r="Z361">
        <v>6</v>
      </c>
      <c r="AA361">
        <v>9.5599999999999987</v>
      </c>
      <c r="AB361">
        <v>2.08</v>
      </c>
      <c r="AC361">
        <v>25</v>
      </c>
      <c r="AD361">
        <v>24.5</v>
      </c>
      <c r="AE361">
        <v>25</v>
      </c>
      <c r="AF361">
        <v>-2.8239999999999998</v>
      </c>
      <c r="AG361">
        <v>24</v>
      </c>
      <c r="AH361">
        <v>-4.2800000000000011</v>
      </c>
      <c r="AI361">
        <v>-0.28000000000000008</v>
      </c>
      <c r="AJ361">
        <v>1</v>
      </c>
      <c r="AK361">
        <v>2.5</v>
      </c>
      <c r="AL361">
        <v>1</v>
      </c>
      <c r="AM361">
        <v>9.6920000000000002</v>
      </c>
      <c r="AN361">
        <v>4</v>
      </c>
      <c r="AO361">
        <v>27.48</v>
      </c>
      <c r="AP361">
        <v>3.7599999999999993</v>
      </c>
      <c r="AQ361">
        <v>18</v>
      </c>
      <c r="AR361">
        <v>17.5</v>
      </c>
      <c r="AS361">
        <v>19</v>
      </c>
      <c r="AT361">
        <v>-0.97600000000000053</v>
      </c>
      <c r="AU361">
        <v>16</v>
      </c>
      <c r="AV361">
        <v>-0.6</v>
      </c>
      <c r="AW361">
        <v>-0.72</v>
      </c>
      <c r="AX361">
        <v>15</v>
      </c>
      <c r="AY361">
        <v>15.5</v>
      </c>
      <c r="AZ361">
        <v>15</v>
      </c>
      <c r="BA361">
        <v>-0.12000000000000063</v>
      </c>
      <c r="BB361">
        <v>16</v>
      </c>
      <c r="BC361">
        <v>-1.2000000000000015</v>
      </c>
      <c r="BD361">
        <v>0.35999999999999976</v>
      </c>
      <c r="BE361">
        <v>23</v>
      </c>
      <c r="BF361">
        <v>23</v>
      </c>
      <c r="BG361">
        <v>21</v>
      </c>
      <c r="BH361">
        <v>-4.6520000000000001</v>
      </c>
      <c r="BI361">
        <v>25</v>
      </c>
      <c r="BJ361">
        <v>-15.719999999999999</v>
      </c>
      <c r="BK361">
        <v>-2.9200000000000004</v>
      </c>
      <c r="BL361">
        <v>4</v>
      </c>
      <c r="BM361">
        <v>7</v>
      </c>
      <c r="BN361">
        <v>7</v>
      </c>
      <c r="BO361">
        <v>1.64</v>
      </c>
      <c r="BP361">
        <v>7</v>
      </c>
      <c r="BQ361">
        <v>0.39999999999999991</v>
      </c>
      <c r="BR361">
        <v>-0.35999999999999976</v>
      </c>
      <c r="BS361">
        <v>30</v>
      </c>
      <c r="BT361">
        <v>29</v>
      </c>
      <c r="BU361">
        <v>31</v>
      </c>
      <c r="BV361">
        <v>-8.0699115689901915E-2</v>
      </c>
      <c r="BW361">
        <v>30</v>
      </c>
      <c r="BX361">
        <v>-2.7808466700446888E-2</v>
      </c>
      <c r="BY361">
        <v>24</v>
      </c>
      <c r="BZ361">
        <v>3.3559999999999945</v>
      </c>
      <c r="CA361">
        <v>31</v>
      </c>
      <c r="CB361">
        <v>-5.4399999999999995</v>
      </c>
      <c r="CC361">
        <v>3.88</v>
      </c>
      <c r="CD361">
        <v>5.2</v>
      </c>
      <c r="CE361">
        <v>-1.2400000000000002</v>
      </c>
      <c r="CF361">
        <v>22.04</v>
      </c>
      <c r="CG361">
        <v>11.600000000000005</v>
      </c>
      <c r="CH361">
        <v>19.360000000000003</v>
      </c>
      <c r="CI361">
        <v>-4.32</v>
      </c>
      <c r="CJ361">
        <v>-4.5999999999999996</v>
      </c>
      <c r="CK361">
        <v>24</v>
      </c>
      <c r="CL361">
        <v>-5.0120000000000005</v>
      </c>
      <c r="CM361">
        <v>-2.9132000000000002</v>
      </c>
      <c r="CN361">
        <v>-7.759999999999998</v>
      </c>
      <c r="CO361">
        <v>5.0120000000000005</v>
      </c>
      <c r="CP361">
        <v>1.5324999999999998</v>
      </c>
      <c r="CQ361">
        <v>5.8919999999999995</v>
      </c>
      <c r="CR361">
        <v>22.599999999999998</v>
      </c>
      <c r="CS361">
        <v>7.1959999999999997</v>
      </c>
      <c r="CT361">
        <v>20.199999999999996</v>
      </c>
      <c r="CU361">
        <v>-0.16000000000000147</v>
      </c>
      <c r="CV361">
        <v>2.2800000000000002</v>
      </c>
      <c r="CW361">
        <v>-1.1652281250000001</v>
      </c>
      <c r="CX361">
        <v>-0.47775624999999999</v>
      </c>
      <c r="CY361" t="s">
        <v>309</v>
      </c>
      <c r="CZ361">
        <v>31</v>
      </c>
      <c r="DA361">
        <v>-2.0456000000000008</v>
      </c>
      <c r="DB361">
        <v>22</v>
      </c>
      <c r="DC361">
        <v>21.5</v>
      </c>
      <c r="DD361">
        <v>32</v>
      </c>
      <c r="DE361">
        <v>-6.7640000000000002</v>
      </c>
      <c r="DF361">
        <v>11</v>
      </c>
      <c r="DG361">
        <v>-5.8000000000000025</v>
      </c>
      <c r="DH361">
        <v>-1.1599999999999999</v>
      </c>
      <c r="DI361">
        <v>16</v>
      </c>
      <c r="DJ361">
        <v>16.5</v>
      </c>
      <c r="DK361">
        <v>12</v>
      </c>
      <c r="DL361">
        <v>-0.20800000000000035</v>
      </c>
      <c r="DM361">
        <v>21</v>
      </c>
      <c r="DN361">
        <v>-7.080000000000001</v>
      </c>
      <c r="DO361">
        <v>0.27999999999999992</v>
      </c>
      <c r="DP361">
        <v>26</v>
      </c>
      <c r="DQ361">
        <v>29.5</v>
      </c>
      <c r="DR361">
        <v>28</v>
      </c>
      <c r="DS361">
        <v>-1.0519999999999996</v>
      </c>
      <c r="DT361">
        <v>31</v>
      </c>
      <c r="DU361">
        <v>-8.3999999999999968</v>
      </c>
      <c r="DV361">
        <v>-0.64</v>
      </c>
      <c r="DW361">
        <v>29</v>
      </c>
      <c r="DX361">
        <v>29.5</v>
      </c>
      <c r="DY361">
        <v>31</v>
      </c>
      <c r="DZ361">
        <v>-3.419999999999999</v>
      </c>
      <c r="EA361">
        <v>28</v>
      </c>
      <c r="EB361">
        <v>-12.879999999999999</v>
      </c>
      <c r="EC361">
        <v>-0.96000000000000019</v>
      </c>
      <c r="ED361">
        <v>5</v>
      </c>
      <c r="EE361">
        <v>25</v>
      </c>
      <c r="EF361">
        <v>27</v>
      </c>
      <c r="EG361">
        <v>0.64800000000000002</v>
      </c>
      <c r="EH361">
        <v>23</v>
      </c>
      <c r="EI361">
        <v>5.6</v>
      </c>
      <c r="EJ361">
        <v>1.1600000000000001</v>
      </c>
      <c r="EK361">
        <v>27</v>
      </c>
      <c r="EL361">
        <v>27</v>
      </c>
      <c r="EM361">
        <v>30</v>
      </c>
      <c r="EN361">
        <v>-1.6080000000000012</v>
      </c>
      <c r="EO361">
        <v>24</v>
      </c>
      <c r="EP361">
        <v>-8.4799999999999986</v>
      </c>
      <c r="EQ361">
        <v>-0.84000000000000019</v>
      </c>
      <c r="ER361">
        <v>24</v>
      </c>
      <c r="ES361">
        <v>24</v>
      </c>
      <c r="ET361">
        <v>24</v>
      </c>
      <c r="EU361">
        <v>0.61999999999999889</v>
      </c>
      <c r="EV361">
        <v>24</v>
      </c>
      <c r="EW361">
        <v>-2.6</v>
      </c>
      <c r="EX361">
        <v>1.7763568394002506E-16</v>
      </c>
      <c r="EY361">
        <v>30</v>
      </c>
      <c r="EZ361">
        <v>27.5</v>
      </c>
      <c r="FA361">
        <v>31</v>
      </c>
      <c r="FB361">
        <v>-2.6</v>
      </c>
      <c r="FC361">
        <v>24</v>
      </c>
      <c r="FD361">
        <v>-0.36</v>
      </c>
      <c r="FE361">
        <v>3.04</v>
      </c>
      <c r="FF361">
        <v>1</v>
      </c>
      <c r="FG361">
        <v>5.25</v>
      </c>
      <c r="FH361">
        <v>2</v>
      </c>
      <c r="FI361">
        <v>0.14617023681082211</v>
      </c>
      <c r="FJ361">
        <v>1</v>
      </c>
      <c r="FK361">
        <v>4.1530291182080327E-2</v>
      </c>
      <c r="FL361">
        <v>16</v>
      </c>
      <c r="FM361">
        <v>-0.84000000000000341</v>
      </c>
      <c r="FN361">
        <v>2</v>
      </c>
      <c r="FO361">
        <v>5.88</v>
      </c>
      <c r="FP361">
        <v>-1.8800000000000003</v>
      </c>
      <c r="FQ361">
        <v>-1.2000000000000006</v>
      </c>
      <c r="FR361">
        <v>-0.36000000000000004</v>
      </c>
      <c r="FS361">
        <v>-1.9200000000000004</v>
      </c>
      <c r="FT361">
        <v>-5.28</v>
      </c>
      <c r="FU361">
        <v>1.4</v>
      </c>
      <c r="FV361">
        <v>-42.279999999999987</v>
      </c>
      <c r="FW361">
        <v>-27.959999999999997</v>
      </c>
      <c r="FX361">
        <v>-14.680000000000001</v>
      </c>
      <c r="FY361">
        <v>2.92</v>
      </c>
      <c r="FZ361">
        <v>-2.5599999999999996</v>
      </c>
      <c r="GA361">
        <v>6</v>
      </c>
      <c r="GB361">
        <v>4.9263999999999992</v>
      </c>
      <c r="GC361">
        <v>2.43608</v>
      </c>
      <c r="GD361">
        <v>-13.279999999999996</v>
      </c>
      <c r="GE361">
        <v>-4.9263999999999992</v>
      </c>
      <c r="GF361">
        <v>-1.8527</v>
      </c>
      <c r="GG361">
        <v>-3.8239999999999985</v>
      </c>
      <c r="GH361">
        <v>-15.679999999999994</v>
      </c>
      <c r="GI361">
        <v>-6.9720000000000004</v>
      </c>
      <c r="GJ361">
        <v>-12.880000000000003</v>
      </c>
      <c r="GK361">
        <v>-0.43999999999999978</v>
      </c>
      <c r="GL361">
        <v>-0.88</v>
      </c>
    </row>
    <row r="362" spans="1:194" x14ac:dyDescent="0.2">
      <c r="A362" s="39">
        <v>43800</v>
      </c>
      <c r="B362" s="22" t="s">
        <v>241</v>
      </c>
      <c r="C362" s="41" t="s">
        <v>291</v>
      </c>
      <c r="D362" s="22" t="s">
        <v>276</v>
      </c>
      <c r="E362">
        <v>16.5</v>
      </c>
      <c r="F362">
        <v>9.3000000000000007</v>
      </c>
      <c r="G362">
        <v>8.5</v>
      </c>
      <c r="H362">
        <f>18.2+2.9</f>
        <v>21.099999999999998</v>
      </c>
      <c r="I362">
        <v>-6.5</v>
      </c>
      <c r="J362">
        <v>46.5</v>
      </c>
      <c r="L362" s="1" t="s">
        <v>291</v>
      </c>
      <c r="M362">
        <v>2</v>
      </c>
      <c r="N362">
        <v>5.5495999999999999</v>
      </c>
      <c r="O362">
        <v>5</v>
      </c>
      <c r="P362">
        <v>7</v>
      </c>
      <c r="Q362">
        <v>6</v>
      </c>
      <c r="R362">
        <v>3.0639999999999996</v>
      </c>
      <c r="S362">
        <v>8</v>
      </c>
      <c r="T362">
        <v>8.3999999999999968</v>
      </c>
      <c r="U362">
        <v>1.08</v>
      </c>
      <c r="V362">
        <v>27</v>
      </c>
      <c r="W362">
        <v>27.5</v>
      </c>
      <c r="X362">
        <v>28</v>
      </c>
      <c r="Y362">
        <v>-2.6319999999999997</v>
      </c>
      <c r="Z362">
        <v>27</v>
      </c>
      <c r="AA362">
        <v>-8.1120000000000001</v>
      </c>
      <c r="AB362">
        <v>-0.72000000000000008</v>
      </c>
      <c r="AC362">
        <v>10</v>
      </c>
      <c r="AD362">
        <v>12</v>
      </c>
      <c r="AE362">
        <v>12</v>
      </c>
      <c r="AF362">
        <v>-0.15039999999999978</v>
      </c>
      <c r="AG362">
        <v>12</v>
      </c>
      <c r="AH362">
        <v>-1.0399999999999978</v>
      </c>
      <c r="AI362">
        <v>-0.4799999999999997</v>
      </c>
      <c r="AJ362">
        <v>10</v>
      </c>
      <c r="AK362">
        <v>9</v>
      </c>
      <c r="AL362">
        <v>11</v>
      </c>
      <c r="AM362">
        <v>2.3920000000000012</v>
      </c>
      <c r="AN362">
        <v>7</v>
      </c>
      <c r="AO362">
        <v>13.88</v>
      </c>
      <c r="AP362">
        <v>1.52</v>
      </c>
      <c r="AQ362">
        <v>1</v>
      </c>
      <c r="AR362">
        <v>1</v>
      </c>
      <c r="AS362">
        <v>1</v>
      </c>
      <c r="AT362">
        <v>8.3680000000000003</v>
      </c>
      <c r="AU362">
        <v>1</v>
      </c>
      <c r="AV362">
        <v>39.28</v>
      </c>
      <c r="AW362">
        <v>2.9199999999999995</v>
      </c>
      <c r="AX362">
        <v>2</v>
      </c>
      <c r="AY362">
        <v>3.5</v>
      </c>
      <c r="AZ362">
        <v>3</v>
      </c>
      <c r="BA362">
        <v>6.4719999999999986</v>
      </c>
      <c r="BB362">
        <v>4</v>
      </c>
      <c r="BC362">
        <v>30.319999999999993</v>
      </c>
      <c r="BD362">
        <v>2.96</v>
      </c>
      <c r="BE362">
        <v>8</v>
      </c>
      <c r="BF362">
        <v>7</v>
      </c>
      <c r="BG362">
        <v>7</v>
      </c>
      <c r="BH362">
        <v>4.0759999999999987</v>
      </c>
      <c r="BI362">
        <v>7</v>
      </c>
      <c r="BJ362">
        <v>17.72</v>
      </c>
      <c r="BK362">
        <v>3.2399999999999998</v>
      </c>
      <c r="BL362">
        <v>11</v>
      </c>
      <c r="BM362">
        <v>9.5</v>
      </c>
      <c r="BN362">
        <v>14</v>
      </c>
      <c r="BO362">
        <v>-7.999999999999971E-2</v>
      </c>
      <c r="BP362">
        <v>5</v>
      </c>
      <c r="BQ362">
        <v>0.67999999999999994</v>
      </c>
      <c r="BR362">
        <v>-0.56000000000000016</v>
      </c>
      <c r="BS362">
        <v>26</v>
      </c>
      <c r="BT362">
        <v>22.25</v>
      </c>
      <c r="BU362">
        <v>18</v>
      </c>
      <c r="BV362">
        <v>-5.7842792611446535E-3</v>
      </c>
      <c r="BW362">
        <v>32</v>
      </c>
      <c r="BX362">
        <v>-4.7789913210744134E-2</v>
      </c>
      <c r="BY362">
        <v>16</v>
      </c>
      <c r="BZ362">
        <v>-0.3</v>
      </c>
      <c r="CA362">
        <v>23</v>
      </c>
      <c r="CB362">
        <v>-1.64</v>
      </c>
      <c r="CC362">
        <v>5.68</v>
      </c>
      <c r="CD362">
        <v>2.4</v>
      </c>
      <c r="CE362">
        <v>-0.27999999999999992</v>
      </c>
      <c r="CF362">
        <v>74</v>
      </c>
      <c r="CG362">
        <v>83.919999999999987</v>
      </c>
      <c r="CH362">
        <v>-8.4000000000000021</v>
      </c>
      <c r="CI362">
        <v>-1</v>
      </c>
      <c r="CJ362">
        <v>-0.52000000000000046</v>
      </c>
      <c r="CK362">
        <v>8</v>
      </c>
      <c r="CL362">
        <v>5.1175999999999995</v>
      </c>
      <c r="CM362">
        <v>3.8310399999999998</v>
      </c>
      <c r="CN362">
        <v>92.32</v>
      </c>
      <c r="CO362">
        <v>-5.1175999999999995</v>
      </c>
      <c r="CP362">
        <v>2.5734000000000004</v>
      </c>
      <c r="CQ362">
        <v>10.609600000000002</v>
      </c>
      <c r="CR362">
        <v>52.120000000000005</v>
      </c>
      <c r="CS362">
        <v>0.43199999999999994</v>
      </c>
      <c r="CT362">
        <v>0.2879999999999967</v>
      </c>
      <c r="CU362">
        <v>7.1999999999999993</v>
      </c>
      <c r="CV362">
        <v>0.36</v>
      </c>
      <c r="CW362">
        <v>-0.97487499999999994</v>
      </c>
      <c r="CX362">
        <v>-0.5915499999999998</v>
      </c>
      <c r="CY362" t="s">
        <v>276</v>
      </c>
      <c r="CZ362">
        <v>24</v>
      </c>
      <c r="DA362">
        <v>-2.7328000000000001</v>
      </c>
      <c r="DB362">
        <v>10</v>
      </c>
      <c r="DC362">
        <v>10.5</v>
      </c>
      <c r="DD362">
        <v>8</v>
      </c>
      <c r="DE362">
        <v>1.3680000000000008</v>
      </c>
      <c r="DF362">
        <v>13</v>
      </c>
      <c r="DG362">
        <v>7.3600000000000021</v>
      </c>
      <c r="DH362">
        <v>1.72</v>
      </c>
      <c r="DI362">
        <v>3</v>
      </c>
      <c r="DJ362">
        <v>6</v>
      </c>
      <c r="DK362">
        <v>2</v>
      </c>
      <c r="DL362">
        <v>-0.32399999999999968</v>
      </c>
      <c r="DM362">
        <v>10</v>
      </c>
      <c r="DN362">
        <v>-6.6719999999999997</v>
      </c>
      <c r="DO362">
        <v>1.4</v>
      </c>
      <c r="DP362">
        <v>17</v>
      </c>
      <c r="DQ362">
        <v>19</v>
      </c>
      <c r="DR362">
        <v>20</v>
      </c>
      <c r="DS362">
        <v>-2.1768000000000005</v>
      </c>
      <c r="DT362">
        <v>18</v>
      </c>
      <c r="DU362">
        <v>-4.919999999999999</v>
      </c>
      <c r="DV362">
        <v>4.3600000000000012</v>
      </c>
      <c r="DW362">
        <v>20</v>
      </c>
      <c r="DX362">
        <v>19</v>
      </c>
      <c r="DY362">
        <v>20</v>
      </c>
      <c r="DZ362">
        <v>-1.6199999999999997</v>
      </c>
      <c r="EA362">
        <v>18</v>
      </c>
      <c r="EB362">
        <v>-1.9600000000000009</v>
      </c>
      <c r="EC362">
        <v>-0.56000000000000016</v>
      </c>
      <c r="ED362">
        <v>8</v>
      </c>
      <c r="EE362">
        <v>21</v>
      </c>
      <c r="EF362">
        <v>11</v>
      </c>
      <c r="EG362">
        <v>0.95999999999999974</v>
      </c>
      <c r="EH362">
        <v>31</v>
      </c>
      <c r="EI362">
        <v>-14.560000000000002</v>
      </c>
      <c r="EJ362">
        <v>-1.8399999999999999</v>
      </c>
      <c r="EK362">
        <v>20</v>
      </c>
      <c r="EL362">
        <v>19</v>
      </c>
      <c r="EM362">
        <v>19</v>
      </c>
      <c r="EN362">
        <v>-0.48400000000000054</v>
      </c>
      <c r="EO362">
        <v>19</v>
      </c>
      <c r="EP362">
        <v>3.9600000000000009</v>
      </c>
      <c r="EQ362">
        <v>-0.88000000000000012</v>
      </c>
      <c r="ER362">
        <v>32</v>
      </c>
      <c r="ES362">
        <v>32</v>
      </c>
      <c r="ET362">
        <v>32</v>
      </c>
      <c r="EU362">
        <v>-2.3560000000000008</v>
      </c>
      <c r="EV362">
        <v>32</v>
      </c>
      <c r="EW362">
        <v>-15.040000000000003</v>
      </c>
      <c r="EX362">
        <v>-1.28</v>
      </c>
      <c r="EY362">
        <v>32</v>
      </c>
      <c r="EZ362">
        <v>32</v>
      </c>
      <c r="FA362">
        <v>32</v>
      </c>
      <c r="FB362">
        <v>-3.9839999999999995</v>
      </c>
      <c r="FC362">
        <v>32</v>
      </c>
      <c r="FD362">
        <v>-0.84000000000000008</v>
      </c>
      <c r="FE362">
        <v>-3.8</v>
      </c>
      <c r="FF362">
        <v>7</v>
      </c>
      <c r="FG362">
        <v>12.25</v>
      </c>
      <c r="FH362">
        <v>24</v>
      </c>
      <c r="FI362">
        <v>-2.2562964494103211E-2</v>
      </c>
      <c r="FJ362">
        <v>3</v>
      </c>
      <c r="FK362">
        <v>2.7509753021974403E-2</v>
      </c>
      <c r="FL362">
        <v>17</v>
      </c>
      <c r="FM362">
        <v>-0.3209999999999994</v>
      </c>
      <c r="FN362">
        <v>5</v>
      </c>
      <c r="FO362">
        <v>3.3200000000000003</v>
      </c>
      <c r="FP362">
        <v>1.5200000000000009</v>
      </c>
      <c r="FQ362">
        <v>-3.8400000000000007</v>
      </c>
      <c r="FR362">
        <v>-0.48</v>
      </c>
      <c r="FS362">
        <v>-1.9600000000000022</v>
      </c>
      <c r="FT362">
        <v>-8.4400000000000013</v>
      </c>
      <c r="FU362">
        <v>0.48000000000000009</v>
      </c>
      <c r="FV362">
        <v>-16.95999999999999</v>
      </c>
      <c r="FW362">
        <v>-7.6400000000000032</v>
      </c>
      <c r="FX362">
        <v>-6.9999999999999973</v>
      </c>
      <c r="FY362">
        <v>-0.96000000000000019</v>
      </c>
      <c r="FZ362">
        <v>-1.36</v>
      </c>
      <c r="GA362">
        <v>24</v>
      </c>
      <c r="GB362">
        <v>-3.7768000000000015</v>
      </c>
      <c r="GC362">
        <v>-2.107120000000001</v>
      </c>
      <c r="GD362">
        <v>-0.6400000000000059</v>
      </c>
      <c r="GE362">
        <v>3.7768000000000015</v>
      </c>
      <c r="GF362">
        <v>-1.3582000000000001</v>
      </c>
      <c r="GG362">
        <v>-2.8368000000000002</v>
      </c>
      <c r="GH362">
        <v>-21.44</v>
      </c>
      <c r="GI362">
        <v>1.0440000000000011</v>
      </c>
      <c r="GJ362">
        <v>0.68800000000000239</v>
      </c>
      <c r="GK362">
        <v>0.68000000000000127</v>
      </c>
      <c r="GL362">
        <v>3.12</v>
      </c>
    </row>
    <row r="363" spans="1:194" x14ac:dyDescent="0.2">
      <c r="A363" s="39">
        <v>43800</v>
      </c>
      <c r="B363" t="s">
        <v>241</v>
      </c>
      <c r="C363" s="41" t="s">
        <v>278</v>
      </c>
      <c r="D363" t="s">
        <v>287</v>
      </c>
      <c r="E363">
        <v>23.4</v>
      </c>
      <c r="F363">
        <v>3.2</v>
      </c>
      <c r="G363">
        <v>0</v>
      </c>
      <c r="H363">
        <v>8.1</v>
      </c>
      <c r="I363">
        <v>4.5</v>
      </c>
      <c r="J363">
        <v>39</v>
      </c>
      <c r="K363" t="s">
        <v>110</v>
      </c>
      <c r="L363" s="1" t="s">
        <v>278</v>
      </c>
      <c r="M363">
        <v>28</v>
      </c>
      <c r="N363">
        <v>-4.2231999999999994</v>
      </c>
      <c r="O363">
        <v>17</v>
      </c>
      <c r="P363">
        <v>17</v>
      </c>
      <c r="Q363">
        <v>24</v>
      </c>
      <c r="R363">
        <v>-3.5440000000000014</v>
      </c>
      <c r="S363">
        <v>10</v>
      </c>
      <c r="T363">
        <v>1.0399999999999991</v>
      </c>
      <c r="U363">
        <v>-1.48</v>
      </c>
      <c r="V363">
        <v>18</v>
      </c>
      <c r="W363">
        <v>17.5</v>
      </c>
      <c r="X363">
        <v>22</v>
      </c>
      <c r="Y363">
        <v>-0.48400000000000015</v>
      </c>
      <c r="Z363">
        <v>13</v>
      </c>
      <c r="AA363">
        <v>5.72</v>
      </c>
      <c r="AB363">
        <v>-0.55999999999999994</v>
      </c>
      <c r="AC363">
        <v>11</v>
      </c>
      <c r="AD363">
        <v>12.5</v>
      </c>
      <c r="AE363">
        <v>11</v>
      </c>
      <c r="AF363">
        <v>0.99919999999999864</v>
      </c>
      <c r="AG363">
        <v>14</v>
      </c>
      <c r="AH363">
        <v>-4.1899999999999995</v>
      </c>
      <c r="AI363">
        <v>2.54</v>
      </c>
      <c r="AJ363">
        <v>31</v>
      </c>
      <c r="AK363">
        <v>30.5</v>
      </c>
      <c r="AL363">
        <v>31</v>
      </c>
      <c r="AM363">
        <v>-6.2799999999999994</v>
      </c>
      <c r="AN363">
        <v>30</v>
      </c>
      <c r="AO363">
        <v>-30.32</v>
      </c>
      <c r="AP363">
        <v>-2.2399999999999998</v>
      </c>
      <c r="AQ363">
        <v>32</v>
      </c>
      <c r="AR363">
        <v>32</v>
      </c>
      <c r="AS363">
        <v>32</v>
      </c>
      <c r="AT363">
        <v>-5.2080000000000002</v>
      </c>
      <c r="AU363">
        <v>32</v>
      </c>
      <c r="AV363">
        <v>-18.759999999999998</v>
      </c>
      <c r="AW363">
        <v>-2.1199999999999997</v>
      </c>
      <c r="AX363">
        <v>31</v>
      </c>
      <c r="AY363">
        <v>31.5</v>
      </c>
      <c r="AZ363">
        <v>31</v>
      </c>
      <c r="BA363">
        <v>-10.308000000000002</v>
      </c>
      <c r="BB363">
        <v>32</v>
      </c>
      <c r="BC363">
        <v>-49.08</v>
      </c>
      <c r="BD363">
        <v>-4.6399999999999997</v>
      </c>
      <c r="BE363">
        <v>9</v>
      </c>
      <c r="BF363">
        <v>8.5</v>
      </c>
      <c r="BG363">
        <v>9</v>
      </c>
      <c r="BH363">
        <v>3.5640000000000001</v>
      </c>
      <c r="BI363">
        <v>8</v>
      </c>
      <c r="BJ363">
        <v>16.759999999999998</v>
      </c>
      <c r="BK363">
        <v>2.1599999999999993</v>
      </c>
      <c r="BL363">
        <v>10</v>
      </c>
      <c r="BM363">
        <v>9</v>
      </c>
      <c r="BN363">
        <v>6</v>
      </c>
      <c r="BO363">
        <v>1.2400000000000002</v>
      </c>
      <c r="BP363">
        <v>12</v>
      </c>
      <c r="BQ363">
        <v>-8.8817841970012528E-17</v>
      </c>
      <c r="BR363">
        <v>-8.0000000000000071E-2</v>
      </c>
      <c r="BS363">
        <v>22</v>
      </c>
      <c r="BT363">
        <v>20.25</v>
      </c>
      <c r="BU363">
        <v>15</v>
      </c>
      <c r="BV363">
        <v>1.4336063030227154E-2</v>
      </c>
      <c r="BW363">
        <v>19</v>
      </c>
      <c r="BX363">
        <v>-2.0121090931856933E-3</v>
      </c>
      <c r="BY363">
        <v>28</v>
      </c>
      <c r="BZ363">
        <v>9.620000000000001</v>
      </c>
      <c r="CA363">
        <v>19</v>
      </c>
      <c r="CB363">
        <v>-1</v>
      </c>
      <c r="CC363">
        <v>-3.839999999999999</v>
      </c>
      <c r="CD363">
        <v>-0.88000000000000045</v>
      </c>
      <c r="CE363">
        <v>-1.2</v>
      </c>
      <c r="CF363">
        <v>-53.239999999999995</v>
      </c>
      <c r="CG363">
        <v>-61.4</v>
      </c>
      <c r="CH363">
        <v>7.8799999999999981</v>
      </c>
      <c r="CI363">
        <v>0.43999999999999995</v>
      </c>
      <c r="CJ363">
        <v>-0.1600000000000005</v>
      </c>
      <c r="CK363">
        <v>16</v>
      </c>
      <c r="CL363">
        <v>-0.19519999999999788</v>
      </c>
      <c r="CM363">
        <v>-0.21559999999999935</v>
      </c>
      <c r="CN363">
        <v>-69.28</v>
      </c>
      <c r="CO363">
        <v>0.19519999999999804</v>
      </c>
      <c r="CP363">
        <v>-1.7420000000000002</v>
      </c>
      <c r="CQ363">
        <v>-10.488800000000001</v>
      </c>
      <c r="CR363">
        <v>-53.269999999999996</v>
      </c>
      <c r="CS363">
        <v>-4.0280000000000014</v>
      </c>
      <c r="CT363">
        <v>6.7599999999999989</v>
      </c>
      <c r="CU363">
        <v>0.33999999999999986</v>
      </c>
      <c r="CV363">
        <v>-2.04</v>
      </c>
      <c r="CW363">
        <v>-0.50552499999999989</v>
      </c>
      <c r="CX363">
        <v>1.5500000000004677E-3</v>
      </c>
      <c r="CY363" t="s">
        <v>287</v>
      </c>
      <c r="CZ363">
        <v>26</v>
      </c>
      <c r="DA363">
        <v>-3.2359999999999998</v>
      </c>
      <c r="DB363">
        <v>7</v>
      </c>
      <c r="DC363">
        <v>10</v>
      </c>
      <c r="DD363">
        <v>11</v>
      </c>
      <c r="DE363">
        <v>0.93599999999999994</v>
      </c>
      <c r="DF363">
        <v>9</v>
      </c>
      <c r="DG363">
        <v>3.4400000000000004</v>
      </c>
      <c r="DH363">
        <v>1.48</v>
      </c>
      <c r="DI363">
        <v>21</v>
      </c>
      <c r="DJ363">
        <v>18.5</v>
      </c>
      <c r="DK363">
        <v>9</v>
      </c>
      <c r="DL363">
        <v>1.0879999999999992</v>
      </c>
      <c r="DM363">
        <v>28</v>
      </c>
      <c r="DN363">
        <v>-8.4400000000000013</v>
      </c>
      <c r="DO363">
        <v>0.72</v>
      </c>
      <c r="DP363">
        <v>28</v>
      </c>
      <c r="DQ363">
        <v>26.5</v>
      </c>
      <c r="DR363">
        <v>26</v>
      </c>
      <c r="DS363">
        <v>-2.9328000000000003</v>
      </c>
      <c r="DT363">
        <v>27</v>
      </c>
      <c r="DU363">
        <v>-16.519999999999996</v>
      </c>
      <c r="DV363">
        <v>-2.2800000000000002</v>
      </c>
      <c r="DW363">
        <v>21</v>
      </c>
      <c r="DX363">
        <v>22</v>
      </c>
      <c r="DY363">
        <v>22</v>
      </c>
      <c r="DZ363">
        <v>-2.5880000000000005</v>
      </c>
      <c r="EA363">
        <v>22</v>
      </c>
      <c r="EB363">
        <v>-7.2800000000000011</v>
      </c>
      <c r="EC363">
        <v>-1.64</v>
      </c>
      <c r="ED363">
        <v>18</v>
      </c>
      <c r="EE363">
        <v>20.5</v>
      </c>
      <c r="EF363">
        <v>23</v>
      </c>
      <c r="EG363">
        <v>-0.6399999999999999</v>
      </c>
      <c r="EH363">
        <v>18</v>
      </c>
      <c r="EI363">
        <v>0.59999999999999931</v>
      </c>
      <c r="EJ363">
        <v>-0.27999999999999992</v>
      </c>
      <c r="EK363">
        <v>22</v>
      </c>
      <c r="EL363">
        <v>23</v>
      </c>
      <c r="EM363">
        <v>25</v>
      </c>
      <c r="EN363">
        <v>-4.5920000000000005</v>
      </c>
      <c r="EO363">
        <v>21</v>
      </c>
      <c r="EP363">
        <v>-10.320000000000002</v>
      </c>
      <c r="EQ363">
        <v>-0.24000000000000021</v>
      </c>
      <c r="ER363">
        <v>30</v>
      </c>
      <c r="ES363">
        <v>27.5</v>
      </c>
      <c r="ET363">
        <v>28</v>
      </c>
      <c r="EU363">
        <v>-2.8880000000000008</v>
      </c>
      <c r="EV363">
        <v>27</v>
      </c>
      <c r="EW363">
        <v>-9.7600000000000016</v>
      </c>
      <c r="EX363">
        <v>8.8817841970012528E-17</v>
      </c>
      <c r="EY363">
        <v>3</v>
      </c>
      <c r="EZ363">
        <v>3.5</v>
      </c>
      <c r="FA363">
        <v>4</v>
      </c>
      <c r="FB363">
        <v>2.16</v>
      </c>
      <c r="FC363">
        <v>3</v>
      </c>
      <c r="FD363">
        <v>0.87999999999999989</v>
      </c>
      <c r="FE363">
        <v>1.9600000000000002</v>
      </c>
      <c r="FF363">
        <v>25</v>
      </c>
      <c r="FG363">
        <v>21.5</v>
      </c>
      <c r="FH363">
        <v>20</v>
      </c>
      <c r="FI363">
        <v>-1.3252650849309756E-2</v>
      </c>
      <c r="FJ363">
        <v>25</v>
      </c>
      <c r="FK363">
        <v>-1.1462043950596811E-2</v>
      </c>
      <c r="FL363">
        <v>18</v>
      </c>
      <c r="FM363">
        <v>0.65600000000000025</v>
      </c>
      <c r="FN363">
        <v>23</v>
      </c>
      <c r="FO363">
        <v>-1.4800000000000002</v>
      </c>
      <c r="FP363">
        <v>-0.51999999999999957</v>
      </c>
      <c r="FQ363">
        <v>0.48000000000000043</v>
      </c>
      <c r="FR363">
        <v>4.0000000000000036E-2</v>
      </c>
      <c r="FS363">
        <v>-1</v>
      </c>
      <c r="FT363">
        <v>-1.0800000000000005</v>
      </c>
      <c r="FU363">
        <v>0.83999999999999986</v>
      </c>
      <c r="FV363">
        <v>-31.800000000000011</v>
      </c>
      <c r="FW363">
        <v>-30.799999999999994</v>
      </c>
      <c r="FX363">
        <v>-4.8000000000000025</v>
      </c>
      <c r="FY363">
        <v>-3</v>
      </c>
      <c r="FZ363">
        <v>6.8</v>
      </c>
      <c r="GA363">
        <v>28</v>
      </c>
      <c r="GB363">
        <v>-5.2599999999999989</v>
      </c>
      <c r="GC363">
        <v>-3.4689599999999996</v>
      </c>
      <c r="GD363">
        <v>-25.999999999999993</v>
      </c>
      <c r="GE363">
        <v>5.2599999999999989</v>
      </c>
      <c r="GF363">
        <v>-1.0126000000000002</v>
      </c>
      <c r="GG363">
        <v>-6.1608000000000009</v>
      </c>
      <c r="GH363">
        <v>-23.2</v>
      </c>
      <c r="GI363">
        <v>2.0239999999999991</v>
      </c>
      <c r="GJ363">
        <v>-5.0000000000000009</v>
      </c>
      <c r="GK363">
        <v>-4.2</v>
      </c>
      <c r="GL363">
        <v>2.2000000000000002</v>
      </c>
    </row>
    <row r="364" spans="1:194" x14ac:dyDescent="0.2">
      <c r="A364" s="39">
        <v>43800</v>
      </c>
      <c r="B364" s="22" t="s">
        <v>241</v>
      </c>
      <c r="C364" s="41" t="s">
        <v>299</v>
      </c>
      <c r="D364" s="22" t="s">
        <v>265</v>
      </c>
      <c r="E364">
        <v>28.8</v>
      </c>
      <c r="F364">
        <v>13</v>
      </c>
      <c r="G364">
        <v>6.2</v>
      </c>
      <c r="H364">
        <v>7.8</v>
      </c>
      <c r="I364">
        <v>5.5</v>
      </c>
      <c r="J364">
        <v>37.5</v>
      </c>
      <c r="L364" s="1" t="s">
        <v>299</v>
      </c>
      <c r="M364">
        <v>5</v>
      </c>
      <c r="N364">
        <v>4.3392000000000008</v>
      </c>
      <c r="O364">
        <v>28</v>
      </c>
      <c r="P364">
        <v>26</v>
      </c>
      <c r="Q364">
        <v>31</v>
      </c>
      <c r="R364">
        <v>-6.0200000000000005</v>
      </c>
      <c r="S364">
        <v>21</v>
      </c>
      <c r="T364">
        <v>-8.52</v>
      </c>
      <c r="U364">
        <v>-1.1999999999999997</v>
      </c>
      <c r="V364">
        <v>13</v>
      </c>
      <c r="W364">
        <v>13.5</v>
      </c>
      <c r="X364">
        <v>8</v>
      </c>
      <c r="Y364">
        <v>1.6920000000000002</v>
      </c>
      <c r="Z364">
        <v>19</v>
      </c>
      <c r="AA364">
        <v>-4.76</v>
      </c>
      <c r="AB364">
        <v>1.1199999999999999</v>
      </c>
      <c r="AC364">
        <v>5</v>
      </c>
      <c r="AD364">
        <v>5.5</v>
      </c>
      <c r="AE364">
        <v>8</v>
      </c>
      <c r="AF364">
        <v>3.6472000000000002</v>
      </c>
      <c r="AG364">
        <v>3</v>
      </c>
      <c r="AH364">
        <v>24</v>
      </c>
      <c r="AI364">
        <v>-0.3999999999999998</v>
      </c>
      <c r="AJ364">
        <v>3</v>
      </c>
      <c r="AK364">
        <v>3.5</v>
      </c>
      <c r="AL364">
        <v>2</v>
      </c>
      <c r="AM364">
        <v>5.5279999999999987</v>
      </c>
      <c r="AN364">
        <v>5</v>
      </c>
      <c r="AO364">
        <v>18.72</v>
      </c>
      <c r="AP364">
        <v>1.7600000000000002</v>
      </c>
      <c r="AQ364">
        <v>10</v>
      </c>
      <c r="AR364">
        <v>10</v>
      </c>
      <c r="AS364">
        <v>10</v>
      </c>
      <c r="AT364">
        <v>1.6839999999999999</v>
      </c>
      <c r="AU364">
        <v>10</v>
      </c>
      <c r="AV364">
        <v>8.8000000000000007</v>
      </c>
      <c r="AW364">
        <v>1.52</v>
      </c>
      <c r="AX364">
        <v>9</v>
      </c>
      <c r="AY364">
        <v>10.5</v>
      </c>
      <c r="AZ364">
        <v>13</v>
      </c>
      <c r="BA364">
        <v>1.7399999999999995</v>
      </c>
      <c r="BB364">
        <v>8</v>
      </c>
      <c r="BC364">
        <v>17.399999999999999</v>
      </c>
      <c r="BD364">
        <v>3.28</v>
      </c>
      <c r="BE364">
        <v>20</v>
      </c>
      <c r="BF364">
        <v>22</v>
      </c>
      <c r="BG364">
        <v>23</v>
      </c>
      <c r="BH364">
        <v>-3.7320000000000015</v>
      </c>
      <c r="BI364">
        <v>21</v>
      </c>
      <c r="BJ364">
        <v>-7.6400000000000006</v>
      </c>
      <c r="BK364">
        <v>0.15999999999999961</v>
      </c>
      <c r="BL364">
        <v>23</v>
      </c>
      <c r="BM364">
        <v>22.5</v>
      </c>
      <c r="BN364">
        <v>20</v>
      </c>
      <c r="BO364">
        <v>-7.999999999999971E-2</v>
      </c>
      <c r="BP364">
        <v>25</v>
      </c>
      <c r="BQ364">
        <v>-0.24000000000000005</v>
      </c>
      <c r="BR364">
        <v>-4.0400000000000009</v>
      </c>
      <c r="BS364">
        <v>5</v>
      </c>
      <c r="BT364">
        <v>9</v>
      </c>
      <c r="BU364">
        <v>6</v>
      </c>
      <c r="BV364">
        <v>4.9772128845381715E-2</v>
      </c>
      <c r="BW364">
        <v>12</v>
      </c>
      <c r="BX364">
        <v>4.2962658538756885E-3</v>
      </c>
      <c r="BY364">
        <v>9</v>
      </c>
      <c r="BZ364">
        <v>-4.0719999999999956</v>
      </c>
      <c r="CA364">
        <v>9</v>
      </c>
      <c r="CB364">
        <v>1.72</v>
      </c>
      <c r="CC364">
        <v>1.5200000000000018</v>
      </c>
      <c r="CD364">
        <v>-0.6399999999999999</v>
      </c>
      <c r="CE364">
        <v>-0.55999999999999994</v>
      </c>
      <c r="CF364">
        <v>40.839999999999996</v>
      </c>
      <c r="CG364">
        <v>45.280000000000008</v>
      </c>
      <c r="CH364">
        <v>-9.1599999999999966</v>
      </c>
      <c r="CI364">
        <v>-3.2</v>
      </c>
      <c r="CJ364">
        <v>7.92</v>
      </c>
      <c r="CK364">
        <v>3</v>
      </c>
      <c r="CL364">
        <v>8.6672000000000011</v>
      </c>
      <c r="CM364">
        <v>4.4572799999999999</v>
      </c>
      <c r="CN364">
        <v>54.440000000000005</v>
      </c>
      <c r="CO364">
        <v>-8.6672000000000011</v>
      </c>
      <c r="CP364">
        <v>0.88229999999999964</v>
      </c>
      <c r="CQ364">
        <v>10.859199999999998</v>
      </c>
      <c r="CR364">
        <v>51.519999999999996</v>
      </c>
      <c r="CS364">
        <v>-4.3280000000000003</v>
      </c>
      <c r="CT364">
        <v>-13.28</v>
      </c>
      <c r="CU364">
        <v>3.04</v>
      </c>
      <c r="CV364">
        <v>-7.9999999999999849E-2</v>
      </c>
      <c r="CW364">
        <v>0.6042500000000004</v>
      </c>
      <c r="CX364">
        <v>2.528900000000001</v>
      </c>
      <c r="CY364" t="s">
        <v>265</v>
      </c>
      <c r="CZ364">
        <v>29</v>
      </c>
      <c r="DA364">
        <v>-4.5671999999999997</v>
      </c>
      <c r="DB364">
        <v>12</v>
      </c>
      <c r="DC364">
        <v>11.5</v>
      </c>
      <c r="DD364">
        <v>15</v>
      </c>
      <c r="DE364">
        <v>0.74399999999999944</v>
      </c>
      <c r="DF364">
        <v>8</v>
      </c>
      <c r="DG364">
        <v>10.199999999999998</v>
      </c>
      <c r="DH364">
        <v>-0.12000000000000011</v>
      </c>
      <c r="DI364">
        <v>14</v>
      </c>
      <c r="DJ364">
        <v>15</v>
      </c>
      <c r="DK364">
        <v>14</v>
      </c>
      <c r="DL364">
        <v>-9.9999999999999825E-2</v>
      </c>
      <c r="DM364">
        <v>16</v>
      </c>
      <c r="DN364">
        <v>-0.64000000000000024</v>
      </c>
      <c r="DO364">
        <v>-0.19999999999999996</v>
      </c>
      <c r="DP364">
        <v>25</v>
      </c>
      <c r="DQ364">
        <v>20</v>
      </c>
      <c r="DR364">
        <v>19</v>
      </c>
      <c r="DS364">
        <v>-1.9530000000000001</v>
      </c>
      <c r="DT364">
        <v>21</v>
      </c>
      <c r="DU364">
        <v>-10.93</v>
      </c>
      <c r="DV364">
        <v>-0.66999999999999971</v>
      </c>
      <c r="DW364">
        <v>28</v>
      </c>
      <c r="DX364">
        <v>27</v>
      </c>
      <c r="DY364">
        <v>28</v>
      </c>
      <c r="DZ364">
        <v>-4.3120000000000012</v>
      </c>
      <c r="EA364">
        <v>26</v>
      </c>
      <c r="EB364">
        <v>-13.550000000000002</v>
      </c>
      <c r="EC364">
        <v>-0.99999999999999967</v>
      </c>
      <c r="ED364">
        <v>20</v>
      </c>
      <c r="EE364">
        <v>19.5</v>
      </c>
      <c r="EF364">
        <v>20</v>
      </c>
      <c r="EG364">
        <v>-0.71100000000000019</v>
      </c>
      <c r="EH364">
        <v>19</v>
      </c>
      <c r="EI364">
        <v>-1.8100000000000009</v>
      </c>
      <c r="EJ364">
        <v>1.04</v>
      </c>
      <c r="EK364">
        <v>21</v>
      </c>
      <c r="EL364">
        <v>21.5</v>
      </c>
      <c r="EM364">
        <v>20</v>
      </c>
      <c r="EN364">
        <v>-2.7960000000000007</v>
      </c>
      <c r="EO364">
        <v>23</v>
      </c>
      <c r="EP364">
        <v>-16.759999999999998</v>
      </c>
      <c r="EQ364">
        <v>-0.16000000000000014</v>
      </c>
      <c r="ER364">
        <v>15</v>
      </c>
      <c r="ES364">
        <v>15</v>
      </c>
      <c r="ET364">
        <v>12</v>
      </c>
      <c r="EU364">
        <v>0.21600000000000144</v>
      </c>
      <c r="EV364">
        <v>18</v>
      </c>
      <c r="EW364">
        <v>-2.1727999999999996</v>
      </c>
      <c r="EX364">
        <v>-0.4799999999999997</v>
      </c>
      <c r="EY364">
        <v>15</v>
      </c>
      <c r="EZ364">
        <v>13</v>
      </c>
      <c r="FA364">
        <v>14</v>
      </c>
      <c r="FB364">
        <v>0.11999999999999975</v>
      </c>
      <c r="FC364">
        <v>12</v>
      </c>
      <c r="FD364">
        <v>0.19999999999999996</v>
      </c>
      <c r="FE364">
        <v>0.75999999999999979</v>
      </c>
      <c r="FF364">
        <v>32</v>
      </c>
      <c r="FG364">
        <v>29.25</v>
      </c>
      <c r="FH364">
        <v>28</v>
      </c>
      <c r="FI364">
        <v>-5.2416238103274768E-2</v>
      </c>
      <c r="FJ364">
        <v>29</v>
      </c>
      <c r="FK364">
        <v>-2.4252332160678798E-2</v>
      </c>
      <c r="FL364">
        <v>29</v>
      </c>
      <c r="FM364">
        <v>10.120000000000001</v>
      </c>
      <c r="FN364">
        <v>31</v>
      </c>
      <c r="FO364">
        <v>-4.12</v>
      </c>
      <c r="FP364">
        <v>-1.759999999999998</v>
      </c>
      <c r="FQ364">
        <v>4.4000000000000004</v>
      </c>
      <c r="FR364">
        <v>-0.96</v>
      </c>
      <c r="FS364">
        <v>0.440000000000002</v>
      </c>
      <c r="FT364">
        <v>-2.3200000000000003</v>
      </c>
      <c r="FU364">
        <v>-0.64</v>
      </c>
      <c r="FV364">
        <v>-38.519999999999996</v>
      </c>
      <c r="FW364">
        <v>-41.399999999999991</v>
      </c>
      <c r="FX364">
        <v>9.56</v>
      </c>
      <c r="FY364">
        <v>1.1199999999999997</v>
      </c>
      <c r="FZ364">
        <v>-7.8</v>
      </c>
      <c r="GA364">
        <v>27</v>
      </c>
      <c r="GB364">
        <v>-5.2111999999999998</v>
      </c>
      <c r="GC364">
        <v>-2.5874399999999995</v>
      </c>
      <c r="GD364">
        <v>-50.959999999999994</v>
      </c>
      <c r="GE364">
        <v>5.2111999999999989</v>
      </c>
      <c r="GF364">
        <v>-1.3204000000000002</v>
      </c>
      <c r="GG364">
        <v>-6.9760000000000018</v>
      </c>
      <c r="GH364">
        <v>-26.290000000000006</v>
      </c>
      <c r="GI364">
        <v>0.64399999999999957</v>
      </c>
      <c r="GJ364">
        <v>9.5599999999999969</v>
      </c>
      <c r="GK364">
        <v>-1.1099999999999992</v>
      </c>
      <c r="GL364">
        <v>-0.32000000000000006</v>
      </c>
    </row>
    <row r="365" spans="1:194" x14ac:dyDescent="0.2">
      <c r="A365" s="39">
        <v>43800</v>
      </c>
      <c r="B365" s="22" t="s">
        <v>241</v>
      </c>
      <c r="C365" s="41" t="s">
        <v>300</v>
      </c>
      <c r="D365" s="22" t="s">
        <v>296</v>
      </c>
      <c r="E365">
        <v>24.4</v>
      </c>
      <c r="F365">
        <v>22.3</v>
      </c>
      <c r="G365">
        <v>4</v>
      </c>
      <c r="H365">
        <v>9.6999999999999993</v>
      </c>
      <c r="I365">
        <v>-6.5</v>
      </c>
      <c r="J365">
        <v>43.5</v>
      </c>
      <c r="L365" s="1" t="s">
        <v>300</v>
      </c>
      <c r="M365">
        <v>21</v>
      </c>
      <c r="N365">
        <v>-0.92639999999999922</v>
      </c>
      <c r="O365">
        <v>22</v>
      </c>
      <c r="P365">
        <v>21.5</v>
      </c>
      <c r="Q365">
        <v>14</v>
      </c>
      <c r="R365">
        <v>8.8400000000000742E-2</v>
      </c>
      <c r="S365">
        <v>29</v>
      </c>
      <c r="T365">
        <v>-22.479999999999997</v>
      </c>
      <c r="U365">
        <v>-7.9999999999999988E-2</v>
      </c>
      <c r="V365">
        <v>2</v>
      </c>
      <c r="W365">
        <v>4</v>
      </c>
      <c r="X365">
        <v>4</v>
      </c>
      <c r="Y365">
        <v>4.9959999999999996</v>
      </c>
      <c r="Z365">
        <v>4</v>
      </c>
      <c r="AA365">
        <v>13.2</v>
      </c>
      <c r="AB365">
        <v>1.4</v>
      </c>
      <c r="AC365">
        <v>3</v>
      </c>
      <c r="AD365">
        <v>3.5</v>
      </c>
      <c r="AE365">
        <v>5</v>
      </c>
      <c r="AF365">
        <v>2.3040000000000007</v>
      </c>
      <c r="AG365">
        <v>2</v>
      </c>
      <c r="AH365">
        <v>0.67999999999999972</v>
      </c>
      <c r="AI365">
        <v>2.4800000000000004</v>
      </c>
      <c r="AJ365">
        <v>16</v>
      </c>
      <c r="AK365">
        <v>17</v>
      </c>
      <c r="AL365">
        <v>17</v>
      </c>
      <c r="AM365">
        <v>-0.95600000000000007</v>
      </c>
      <c r="AN365">
        <v>17</v>
      </c>
      <c r="AO365">
        <v>-7.1599999999999993</v>
      </c>
      <c r="AP365">
        <v>-0.95999999999999974</v>
      </c>
      <c r="AQ365">
        <v>20</v>
      </c>
      <c r="AR365">
        <v>19</v>
      </c>
      <c r="AS365">
        <v>18</v>
      </c>
      <c r="AT365">
        <v>-0.97999999999999976</v>
      </c>
      <c r="AU365">
        <v>20</v>
      </c>
      <c r="AV365">
        <v>-6.76</v>
      </c>
      <c r="AW365">
        <v>-0.23999999999999985</v>
      </c>
      <c r="AX365">
        <v>18</v>
      </c>
      <c r="AY365">
        <v>17</v>
      </c>
      <c r="AZ365">
        <v>12</v>
      </c>
      <c r="BA365">
        <v>2.2479999999999984</v>
      </c>
      <c r="BB365">
        <v>22</v>
      </c>
      <c r="BC365">
        <v>-4.3199999999999985</v>
      </c>
      <c r="BD365">
        <v>0.23999999999999985</v>
      </c>
      <c r="BE365">
        <v>27</v>
      </c>
      <c r="BF365">
        <v>27</v>
      </c>
      <c r="BG365">
        <v>26</v>
      </c>
      <c r="BH365">
        <v>-4.4359999999999999</v>
      </c>
      <c r="BI365">
        <v>28</v>
      </c>
      <c r="BJ365">
        <v>-18.600000000000001</v>
      </c>
      <c r="BK365">
        <v>-2.2000000000000002</v>
      </c>
      <c r="BL365">
        <v>31</v>
      </c>
      <c r="BM365">
        <v>31</v>
      </c>
      <c r="BN365">
        <v>30</v>
      </c>
      <c r="BO365">
        <v>-2.6799999999999997</v>
      </c>
      <c r="BP365">
        <v>32</v>
      </c>
      <c r="BQ365">
        <v>-1.3599999999999999</v>
      </c>
      <c r="BR365">
        <v>-3.8400000000000007</v>
      </c>
      <c r="BS365">
        <v>16</v>
      </c>
      <c r="BT365">
        <v>14.5</v>
      </c>
      <c r="BU365">
        <v>17</v>
      </c>
      <c r="BV365">
        <v>-4.3262657141531881E-3</v>
      </c>
      <c r="BW365">
        <v>14</v>
      </c>
      <c r="BX365">
        <v>3.1396143023708382E-3</v>
      </c>
      <c r="BY365">
        <v>3</v>
      </c>
      <c r="BZ365">
        <v>-13.435999999999998</v>
      </c>
      <c r="CA365">
        <v>24</v>
      </c>
      <c r="CB365">
        <v>-1.8399999999999999</v>
      </c>
      <c r="CC365">
        <v>-1.4799999999999982</v>
      </c>
      <c r="CD365">
        <v>-2.0800000000000005</v>
      </c>
      <c r="CE365">
        <v>-1.9600000000000002</v>
      </c>
      <c r="CF365">
        <v>-35.479999999999983</v>
      </c>
      <c r="CG365">
        <v>-18.160000000000004</v>
      </c>
      <c r="CH365">
        <v>-11.959999999999999</v>
      </c>
      <c r="CI365">
        <v>2.2800000000000002</v>
      </c>
      <c r="CJ365">
        <v>-7.6400000000000006</v>
      </c>
      <c r="CK365">
        <v>27</v>
      </c>
      <c r="CL365">
        <v>-6.0107999999999997</v>
      </c>
      <c r="CM365">
        <v>-3.54108</v>
      </c>
      <c r="CN365">
        <v>-6.2000000000000046</v>
      </c>
      <c r="CO365">
        <v>6.0107999999999997</v>
      </c>
      <c r="CP365">
        <v>-0.32374999999999976</v>
      </c>
      <c r="CQ365">
        <v>0.36800000000000099</v>
      </c>
      <c r="CR365">
        <v>-13.239999999999998</v>
      </c>
      <c r="CS365">
        <v>5.0844000000000005</v>
      </c>
      <c r="CT365">
        <v>-9.2799999999999976</v>
      </c>
      <c r="CU365">
        <v>-0.91999999999999926</v>
      </c>
      <c r="CV365">
        <v>1.3199999999999998</v>
      </c>
      <c r="CW365">
        <v>0.60505000000000009</v>
      </c>
      <c r="CX365">
        <v>-0.13850000000000007</v>
      </c>
      <c r="CY365" t="s">
        <v>296</v>
      </c>
      <c r="CZ365">
        <v>5</v>
      </c>
      <c r="DA365">
        <v>3.5568000000000013</v>
      </c>
      <c r="DB365">
        <v>31</v>
      </c>
      <c r="DC365">
        <v>29</v>
      </c>
      <c r="DD365">
        <v>31</v>
      </c>
      <c r="DE365">
        <v>-3.9879999999999987</v>
      </c>
      <c r="DF365">
        <v>27</v>
      </c>
      <c r="DG365">
        <v>-8.5200000000000014</v>
      </c>
      <c r="DH365">
        <v>-0.2</v>
      </c>
      <c r="DI365">
        <v>15</v>
      </c>
      <c r="DJ365">
        <v>16</v>
      </c>
      <c r="DK365">
        <v>24</v>
      </c>
      <c r="DL365">
        <v>-1.7800000000000005</v>
      </c>
      <c r="DM365">
        <v>8</v>
      </c>
      <c r="DN365">
        <v>6.919999999999999</v>
      </c>
      <c r="DO365">
        <v>3.9999999999999945E-2</v>
      </c>
      <c r="DP365">
        <v>4</v>
      </c>
      <c r="DQ365">
        <v>4.5</v>
      </c>
      <c r="DR365">
        <v>4</v>
      </c>
      <c r="DS365">
        <v>9.2919999999999998</v>
      </c>
      <c r="DT365">
        <v>5</v>
      </c>
      <c r="DU365">
        <v>29.96</v>
      </c>
      <c r="DV365">
        <v>0.27999999999999992</v>
      </c>
      <c r="DW365">
        <v>13</v>
      </c>
      <c r="DX365">
        <v>13.5</v>
      </c>
      <c r="DY365">
        <v>14</v>
      </c>
      <c r="DZ365">
        <v>0.17599999999999943</v>
      </c>
      <c r="EA365">
        <v>13</v>
      </c>
      <c r="EB365">
        <v>3.1599999999999979</v>
      </c>
      <c r="EC365">
        <v>-1</v>
      </c>
      <c r="ED365">
        <v>24</v>
      </c>
      <c r="EE365">
        <v>13.5</v>
      </c>
      <c r="EF365">
        <v>16</v>
      </c>
      <c r="EG365">
        <v>0.25200000000000011</v>
      </c>
      <c r="EH365">
        <v>11</v>
      </c>
      <c r="EI365">
        <v>2.9599999999999982</v>
      </c>
      <c r="EJ365">
        <v>-7.9999999999999891E-2</v>
      </c>
      <c r="EK365">
        <v>2</v>
      </c>
      <c r="EL365">
        <v>3.5</v>
      </c>
      <c r="EM365">
        <v>4</v>
      </c>
      <c r="EN365">
        <v>5.2119999999999989</v>
      </c>
      <c r="EO365">
        <v>3</v>
      </c>
      <c r="EP365">
        <v>33.72</v>
      </c>
      <c r="EQ365">
        <v>-1.4000000000000004</v>
      </c>
      <c r="ER365">
        <v>17</v>
      </c>
      <c r="ES365">
        <v>15.5</v>
      </c>
      <c r="ET365">
        <v>15</v>
      </c>
      <c r="EU365">
        <v>-0.15999999999999961</v>
      </c>
      <c r="EV365">
        <v>16</v>
      </c>
      <c r="EW365">
        <v>0.159999999999998</v>
      </c>
      <c r="EX365">
        <v>-1.1199999999999999</v>
      </c>
      <c r="EY365">
        <v>2</v>
      </c>
      <c r="EZ365">
        <v>3</v>
      </c>
      <c r="FA365">
        <v>2</v>
      </c>
      <c r="FB365">
        <v>3.4400000000000004</v>
      </c>
      <c r="FC365">
        <v>4</v>
      </c>
      <c r="FD365">
        <v>0.6</v>
      </c>
      <c r="FE365">
        <v>5.92</v>
      </c>
      <c r="FF365">
        <v>29</v>
      </c>
      <c r="FG365">
        <v>24</v>
      </c>
      <c r="FH365">
        <v>11</v>
      </c>
      <c r="FI365">
        <v>4.8248048271195441E-3</v>
      </c>
      <c r="FJ365">
        <v>27</v>
      </c>
      <c r="FK365">
        <v>-1.8441992382289586E-2</v>
      </c>
      <c r="FL365">
        <v>31</v>
      </c>
      <c r="FM365">
        <v>13.284000000000002</v>
      </c>
      <c r="FN365">
        <v>27</v>
      </c>
      <c r="FO365">
        <v>-2.3199999999999994</v>
      </c>
      <c r="FP365">
        <v>-2.0399999999999991</v>
      </c>
      <c r="FQ365">
        <v>1.8000000000000007</v>
      </c>
      <c r="FR365">
        <v>0.56000000000000016</v>
      </c>
      <c r="FS365">
        <v>-0.51999999999999891</v>
      </c>
      <c r="FT365">
        <v>5.6</v>
      </c>
      <c r="FU365">
        <v>3.28</v>
      </c>
      <c r="FV365">
        <v>4.1599999999999913</v>
      </c>
      <c r="FW365">
        <v>8.1200000000000099</v>
      </c>
      <c r="FX365">
        <v>-3.1599999999999993</v>
      </c>
      <c r="FY365">
        <v>-0.84000000000000008</v>
      </c>
      <c r="FZ365">
        <v>3.9999999999999147E-2</v>
      </c>
      <c r="GA365">
        <v>2</v>
      </c>
      <c r="GB365">
        <v>9.3248000000000015</v>
      </c>
      <c r="GC365">
        <v>5.5073600000000003</v>
      </c>
      <c r="GD365">
        <v>11.280000000000008</v>
      </c>
      <c r="GE365">
        <v>-9.3247999999999998</v>
      </c>
      <c r="GF365">
        <v>1.3486000000000002</v>
      </c>
      <c r="GG365">
        <v>9.7200000000000006</v>
      </c>
      <c r="GH365">
        <v>36.08</v>
      </c>
      <c r="GI365">
        <v>-5.7679999999999989</v>
      </c>
      <c r="GJ365">
        <v>-1.6000000000000023</v>
      </c>
      <c r="GK365">
        <v>-1.92</v>
      </c>
      <c r="GL365">
        <v>-0.16000000000000006</v>
      </c>
    </row>
    <row r="366" spans="1:194" x14ac:dyDescent="0.2">
      <c r="A366" s="39">
        <v>43800</v>
      </c>
      <c r="B366" s="22" t="s">
        <v>241</v>
      </c>
      <c r="C366" s="41" t="s">
        <v>311</v>
      </c>
      <c r="D366" s="22" t="s">
        <v>302</v>
      </c>
      <c r="E366">
        <v>15.64</v>
      </c>
      <c r="F366">
        <v>15.1</v>
      </c>
      <c r="G366">
        <v>1.8</v>
      </c>
      <c r="H366">
        <f>10.3+2.9</f>
        <v>13.200000000000001</v>
      </c>
      <c r="I366">
        <v>3.5</v>
      </c>
      <c r="J366">
        <v>47</v>
      </c>
      <c r="L366" s="4" t="s">
        <v>311</v>
      </c>
      <c r="M366" s="3">
        <v>6</v>
      </c>
      <c r="N366" s="3">
        <v>3.8351999999999995</v>
      </c>
      <c r="O366" s="3">
        <v>22</v>
      </c>
      <c r="P366" s="3">
        <v>21.5</v>
      </c>
      <c r="Q366" s="3">
        <v>30</v>
      </c>
      <c r="R366" s="3">
        <v>-5.9960000000000004</v>
      </c>
      <c r="S366" s="3">
        <v>13</v>
      </c>
      <c r="T366" s="3">
        <v>0.91999999999999882</v>
      </c>
      <c r="U366" s="3">
        <v>-2.3199999999999998</v>
      </c>
      <c r="V366" s="3">
        <v>8</v>
      </c>
      <c r="W366" s="3">
        <v>9.5</v>
      </c>
      <c r="X366" s="3">
        <v>3</v>
      </c>
      <c r="Y366" s="3">
        <v>5.4239999999999995</v>
      </c>
      <c r="Z366" s="3">
        <v>16</v>
      </c>
      <c r="AA366">
        <v>1.2</v>
      </c>
      <c r="AB366">
        <v>1.8399999999999999</v>
      </c>
      <c r="AC366">
        <v>2</v>
      </c>
      <c r="AD366">
        <v>2.5</v>
      </c>
      <c r="AE366">
        <v>1</v>
      </c>
      <c r="AF366">
        <v>8.5723999999999982</v>
      </c>
      <c r="AG366">
        <v>4</v>
      </c>
      <c r="AH366">
        <v>22.48</v>
      </c>
      <c r="AI366">
        <v>3</v>
      </c>
      <c r="AJ366">
        <v>15</v>
      </c>
      <c r="AK366">
        <v>15</v>
      </c>
      <c r="AL366">
        <v>16</v>
      </c>
      <c r="AM366">
        <v>0.44999999999999807</v>
      </c>
      <c r="AN366">
        <v>14</v>
      </c>
      <c r="AO366">
        <v>4.7</v>
      </c>
      <c r="AP366">
        <v>9.9999999999999638E-3</v>
      </c>
      <c r="AQ366">
        <v>21</v>
      </c>
      <c r="AR366">
        <v>21</v>
      </c>
      <c r="AS366">
        <v>21</v>
      </c>
      <c r="AT366">
        <v>-1.6620000000000004</v>
      </c>
      <c r="AU366">
        <v>21</v>
      </c>
      <c r="AV366">
        <v>-6.3800000000000008</v>
      </c>
      <c r="AW366">
        <v>-1.1100000000000001</v>
      </c>
      <c r="AX366">
        <v>17</v>
      </c>
      <c r="AY366">
        <v>16.5</v>
      </c>
      <c r="AZ366">
        <v>21</v>
      </c>
      <c r="BA366">
        <v>-0.94799999999999862</v>
      </c>
      <c r="BB366">
        <v>12</v>
      </c>
      <c r="BC366">
        <v>9.3199999999999985</v>
      </c>
      <c r="BD366">
        <v>-0.48000000000000009</v>
      </c>
      <c r="BE366">
        <v>11</v>
      </c>
      <c r="BF366">
        <v>12</v>
      </c>
      <c r="BG366">
        <v>11</v>
      </c>
      <c r="BH366">
        <v>2.468</v>
      </c>
      <c r="BI366">
        <v>13</v>
      </c>
      <c r="BJ366">
        <v>2.96</v>
      </c>
      <c r="BK366">
        <v>-1.7763568394002506E-16</v>
      </c>
      <c r="BL366">
        <v>22</v>
      </c>
      <c r="BM366">
        <v>20.5</v>
      </c>
      <c r="BN366">
        <v>22</v>
      </c>
      <c r="BO366">
        <v>-0.31999999999999995</v>
      </c>
      <c r="BP366">
        <v>19</v>
      </c>
      <c r="BQ366">
        <v>-8.0000000000000113E-2</v>
      </c>
      <c r="BR366">
        <v>-3.6</v>
      </c>
      <c r="BS366">
        <v>20</v>
      </c>
      <c r="BT366">
        <v>17.5</v>
      </c>
      <c r="BU366">
        <v>1</v>
      </c>
      <c r="BV366">
        <v>9.7473807654720274E-2</v>
      </c>
      <c r="BW366">
        <v>24</v>
      </c>
      <c r="BX366">
        <v>-1.8166648276536801E-2</v>
      </c>
      <c r="BY366">
        <v>15</v>
      </c>
      <c r="BZ366">
        <v>-0.50799999999999979</v>
      </c>
      <c r="CA366">
        <v>30</v>
      </c>
      <c r="CB366">
        <v>-4</v>
      </c>
      <c r="CC366">
        <v>0.48000000000000115</v>
      </c>
      <c r="CD366">
        <v>1.4400000000000002</v>
      </c>
      <c r="CE366">
        <v>-1.6799999999999997</v>
      </c>
      <c r="CF366">
        <v>20.919999999999995</v>
      </c>
      <c r="CG366">
        <v>17.68</v>
      </c>
      <c r="CH366">
        <v>0.75999999999999657</v>
      </c>
      <c r="CI366">
        <v>-3.16</v>
      </c>
      <c r="CJ366">
        <v>5.6400000000000006</v>
      </c>
      <c r="CK366">
        <v>9</v>
      </c>
      <c r="CL366">
        <v>4.4071999999999996</v>
      </c>
      <c r="CM366">
        <v>3.0187199999999996</v>
      </c>
      <c r="CN366">
        <v>16.920000000000002</v>
      </c>
      <c r="CO366">
        <v>-4.4072000000000005</v>
      </c>
      <c r="CP366">
        <v>1.596449999999999</v>
      </c>
      <c r="CQ366">
        <v>7.3603999999999949</v>
      </c>
      <c r="CR366">
        <v>20.799999999999997</v>
      </c>
      <c r="CS366">
        <v>-0.57200000000000095</v>
      </c>
      <c r="CT366">
        <v>2.1199999999999988</v>
      </c>
      <c r="CU366">
        <v>1.8999999999999995</v>
      </c>
      <c r="CV366">
        <v>-0.48</v>
      </c>
      <c r="CW366">
        <v>-1.03685</v>
      </c>
      <c r="CX366">
        <v>0.48669999999999985</v>
      </c>
      <c r="CY366" t="s">
        <v>302</v>
      </c>
      <c r="CZ366">
        <v>28</v>
      </c>
      <c r="DA366">
        <v>-4.2055999999999996</v>
      </c>
      <c r="DB366">
        <v>20</v>
      </c>
      <c r="DC366">
        <v>21</v>
      </c>
      <c r="DD366">
        <v>26</v>
      </c>
      <c r="DE366">
        <v>-2.6079999999999997</v>
      </c>
      <c r="DF366">
        <v>16</v>
      </c>
      <c r="DG366">
        <v>-0.44000000000000339</v>
      </c>
      <c r="DH366">
        <v>-4.0000000000000036E-2</v>
      </c>
      <c r="DI366">
        <v>19</v>
      </c>
      <c r="DJ366">
        <v>17</v>
      </c>
      <c r="DK366">
        <v>15</v>
      </c>
      <c r="DL366">
        <v>-0.22800000000000048</v>
      </c>
      <c r="DM366">
        <v>19</v>
      </c>
      <c r="DN366">
        <v>-4.0400000000000009</v>
      </c>
      <c r="DO366">
        <v>0.2</v>
      </c>
      <c r="DP366">
        <v>31</v>
      </c>
      <c r="DQ366">
        <v>29</v>
      </c>
      <c r="DR366">
        <v>30</v>
      </c>
      <c r="DS366">
        <v>-6.1945999999999994</v>
      </c>
      <c r="DT366">
        <v>28</v>
      </c>
      <c r="DU366">
        <v>-23.29</v>
      </c>
      <c r="DV366">
        <v>-2.23</v>
      </c>
      <c r="DW366">
        <v>24</v>
      </c>
      <c r="DX366">
        <v>25</v>
      </c>
      <c r="DY366">
        <v>26</v>
      </c>
      <c r="DZ366">
        <v>-3.6920000000000002</v>
      </c>
      <c r="EA366">
        <v>24</v>
      </c>
      <c r="EB366">
        <v>-9.6699999999999982</v>
      </c>
      <c r="EC366">
        <v>-1.2000000000000004</v>
      </c>
      <c r="ED366">
        <v>23</v>
      </c>
      <c r="EE366">
        <v>21</v>
      </c>
      <c r="EF366">
        <v>25</v>
      </c>
      <c r="EG366">
        <v>-1.8470000000000002</v>
      </c>
      <c r="EH366">
        <v>17</v>
      </c>
      <c r="EI366">
        <v>-0.77000000000000168</v>
      </c>
      <c r="EJ366">
        <v>3.9999999999999945E-2</v>
      </c>
      <c r="EK366">
        <v>22</v>
      </c>
      <c r="EL366">
        <v>23</v>
      </c>
      <c r="EM366">
        <v>24</v>
      </c>
      <c r="EN366">
        <v>-4.4160000000000004</v>
      </c>
      <c r="EO366">
        <v>22</v>
      </c>
      <c r="EP366">
        <v>-11.359999999999996</v>
      </c>
      <c r="EQ366">
        <v>0</v>
      </c>
      <c r="ER366">
        <v>20</v>
      </c>
      <c r="ES366">
        <v>20</v>
      </c>
      <c r="ET366">
        <v>18</v>
      </c>
      <c r="EU366">
        <v>-0.58799999999999919</v>
      </c>
      <c r="EV366">
        <v>22</v>
      </c>
      <c r="EW366">
        <v>-6.6528000000000009</v>
      </c>
      <c r="EX366">
        <v>-0.6000000000000002</v>
      </c>
      <c r="EY366">
        <v>24</v>
      </c>
      <c r="EZ366">
        <v>23</v>
      </c>
      <c r="FA366">
        <v>24</v>
      </c>
      <c r="FB366">
        <v>-1.1199999999999999</v>
      </c>
      <c r="FC366">
        <v>22</v>
      </c>
      <c r="FD366">
        <v>-0.48</v>
      </c>
      <c r="FE366">
        <v>-1.52</v>
      </c>
      <c r="FF366">
        <v>5</v>
      </c>
      <c r="FG366">
        <v>9.75</v>
      </c>
      <c r="FH366">
        <v>1</v>
      </c>
      <c r="FI366">
        <v>0.17537797312214998</v>
      </c>
      <c r="FJ366">
        <v>12</v>
      </c>
      <c r="FK366">
        <v>6.0378223884453687E-3</v>
      </c>
      <c r="FL366">
        <v>23</v>
      </c>
      <c r="FM366">
        <v>2.8119999999999976</v>
      </c>
      <c r="FN366">
        <v>3</v>
      </c>
      <c r="FO366">
        <v>4.5600000000000005</v>
      </c>
      <c r="FP366">
        <v>-3.6799999999999984</v>
      </c>
      <c r="FQ366">
        <v>-1.8799999999999997</v>
      </c>
      <c r="FR366">
        <v>-0.28000000000000008</v>
      </c>
      <c r="FS366">
        <v>-5.4400000000000031</v>
      </c>
      <c r="FT366">
        <v>-5.6800000000000015</v>
      </c>
      <c r="FU366">
        <v>0.27999999999999997</v>
      </c>
      <c r="FV366">
        <v>-59.52</v>
      </c>
      <c r="FW366">
        <v>-45.399999999999991</v>
      </c>
      <c r="FX366">
        <v>-5.3200000000000021</v>
      </c>
      <c r="FY366">
        <v>-0.59999999999999987</v>
      </c>
      <c r="FZ366">
        <v>-8.1999999999999993</v>
      </c>
      <c r="GA366">
        <v>21</v>
      </c>
      <c r="GB366">
        <v>-1.3695999999999995</v>
      </c>
      <c r="GC366">
        <v>-1.8874399999999993</v>
      </c>
      <c r="GD366">
        <v>-40.079999999999991</v>
      </c>
      <c r="GE366">
        <v>1.3695999999999993</v>
      </c>
      <c r="GF366">
        <v>-2.5604</v>
      </c>
      <c r="GG366">
        <v>-11.733599999999999</v>
      </c>
      <c r="GH366">
        <v>-33.729999999999997</v>
      </c>
      <c r="GI366">
        <v>-2.8360000000000003</v>
      </c>
      <c r="GJ366">
        <v>-4.480000000000004</v>
      </c>
      <c r="GK366">
        <v>-3.9900000000000007</v>
      </c>
      <c r="GL366">
        <v>0.15999999999999998</v>
      </c>
    </row>
    <row r="367" spans="1:194" x14ac:dyDescent="0.2">
      <c r="A367" s="39">
        <v>43800</v>
      </c>
      <c r="B367" s="22" t="s">
        <v>241</v>
      </c>
      <c r="C367" s="41" t="s">
        <v>289</v>
      </c>
      <c r="D367" s="22" t="s">
        <v>310</v>
      </c>
      <c r="E367" s="3">
        <v>20.9</v>
      </c>
      <c r="F367" s="3">
        <v>9.5</v>
      </c>
      <c r="G367" s="3">
        <v>2.2999999999999998</v>
      </c>
      <c r="H367">
        <f>19.3+4.1</f>
        <v>23.4</v>
      </c>
      <c r="I367">
        <v>1</v>
      </c>
      <c r="J367">
        <v>41.5</v>
      </c>
      <c r="L367" s="4" t="s">
        <v>289</v>
      </c>
      <c r="M367" s="3">
        <v>29</v>
      </c>
      <c r="N367" s="3">
        <v>-4.7607999999999988</v>
      </c>
      <c r="O367" s="3">
        <v>11</v>
      </c>
      <c r="P367" s="3">
        <v>11.5</v>
      </c>
      <c r="Q367" s="3">
        <v>19</v>
      </c>
      <c r="R367" s="3">
        <v>2.7999999999999404E-2</v>
      </c>
      <c r="S367" s="3">
        <v>4</v>
      </c>
      <c r="T367" s="3">
        <v>18.080000000000002</v>
      </c>
      <c r="U367" s="3">
        <v>-1.7600000000000002</v>
      </c>
      <c r="V367" s="3">
        <v>23</v>
      </c>
      <c r="W367" s="3">
        <v>20.5</v>
      </c>
      <c r="X367" s="3">
        <v>18</v>
      </c>
      <c r="Y367" s="3">
        <v>1.4719999999999998</v>
      </c>
      <c r="Z367" s="3">
        <v>23</v>
      </c>
      <c r="AA367">
        <v>-0.36000000000000049</v>
      </c>
      <c r="AB367">
        <v>0.91999999999999971</v>
      </c>
      <c r="AC367">
        <v>18</v>
      </c>
      <c r="AD367">
        <v>18</v>
      </c>
      <c r="AE367">
        <v>21</v>
      </c>
      <c r="AF367">
        <v>-6.2399999999999984</v>
      </c>
      <c r="AG367">
        <v>15</v>
      </c>
      <c r="AH367">
        <v>-26.866666666666671</v>
      </c>
      <c r="AI367">
        <v>-2.0000000000000004</v>
      </c>
      <c r="AJ367">
        <v>18</v>
      </c>
      <c r="AK367">
        <v>18.5</v>
      </c>
      <c r="AL367">
        <v>14</v>
      </c>
      <c r="AM367">
        <v>-4.1399999999999997</v>
      </c>
      <c r="AN367">
        <v>23</v>
      </c>
      <c r="AO367">
        <v>-18.600000000000001</v>
      </c>
      <c r="AP367">
        <v>-2.6666666666666665</v>
      </c>
      <c r="AQ367">
        <v>22</v>
      </c>
      <c r="AR367">
        <v>22</v>
      </c>
      <c r="AS367">
        <v>22</v>
      </c>
      <c r="AT367">
        <v>-1.333333333333333</v>
      </c>
      <c r="AU367">
        <v>22</v>
      </c>
      <c r="AV367">
        <v>-13.333333333333334</v>
      </c>
      <c r="AW367">
        <v>-0.53333333333333321</v>
      </c>
      <c r="AX367">
        <v>12</v>
      </c>
      <c r="AY367">
        <v>12</v>
      </c>
      <c r="AZ367">
        <v>14</v>
      </c>
      <c r="BA367">
        <v>1.448</v>
      </c>
      <c r="BB367">
        <v>10</v>
      </c>
      <c r="BC367">
        <v>1.2799999999999983</v>
      </c>
      <c r="BD367">
        <v>1.8799999999999997</v>
      </c>
      <c r="BE367">
        <v>7</v>
      </c>
      <c r="BF367">
        <v>6.5</v>
      </c>
      <c r="BG367">
        <v>8</v>
      </c>
      <c r="BH367">
        <v>4.2039999999999988</v>
      </c>
      <c r="BI367">
        <v>5</v>
      </c>
      <c r="BJ367">
        <v>17.84</v>
      </c>
      <c r="BK367">
        <v>3.0799999999999996</v>
      </c>
      <c r="BL367">
        <v>19</v>
      </c>
      <c r="BM367">
        <v>19.5</v>
      </c>
      <c r="BN367">
        <v>24</v>
      </c>
      <c r="BO367">
        <v>-2.2400000000000002</v>
      </c>
      <c r="BP367">
        <v>15</v>
      </c>
      <c r="BQ367">
        <v>-0.16000000000000006</v>
      </c>
      <c r="BR367">
        <v>-0.4799999999999997</v>
      </c>
      <c r="BS367">
        <v>3</v>
      </c>
      <c r="BT367">
        <v>7.75</v>
      </c>
      <c r="BU367">
        <v>4</v>
      </c>
      <c r="BV367">
        <v>6.635663515963923E-2</v>
      </c>
      <c r="BW367">
        <v>8</v>
      </c>
      <c r="BX367">
        <v>8.7917790673854163E-3</v>
      </c>
      <c r="BY367">
        <v>13</v>
      </c>
      <c r="BZ367">
        <v>-2.0400000000000063</v>
      </c>
      <c r="CA367">
        <v>6</v>
      </c>
      <c r="CB367">
        <v>2.8</v>
      </c>
      <c r="CC367">
        <v>0.11999999999999886</v>
      </c>
      <c r="CD367">
        <v>-2.6799999999999988</v>
      </c>
      <c r="CE367">
        <v>-0.4</v>
      </c>
      <c r="CF367">
        <v>-24.880000000000006</v>
      </c>
      <c r="CG367">
        <v>-48.919999999999995</v>
      </c>
      <c r="CH367">
        <v>26.879999999999995</v>
      </c>
      <c r="CI367">
        <v>5.6800000000000006</v>
      </c>
      <c r="CJ367">
        <v>-8.5200000000000014</v>
      </c>
      <c r="CK367">
        <v>28</v>
      </c>
      <c r="CL367">
        <v>-6.2607999999999979</v>
      </c>
      <c r="CM367">
        <v>-3.2040266666666661</v>
      </c>
      <c r="CN367">
        <v>-75.799999999999983</v>
      </c>
      <c r="CO367">
        <v>6.2607999999999979</v>
      </c>
      <c r="CP367">
        <v>-1.6262666666666665</v>
      </c>
      <c r="CQ367">
        <v>-11.713333333333331</v>
      </c>
      <c r="CR367">
        <v>-58.800000000000004</v>
      </c>
      <c r="CS367">
        <v>1.4999999999999991</v>
      </c>
      <c r="CT367">
        <v>17.720000000000002</v>
      </c>
      <c r="CU367">
        <v>-2.1200000000000006</v>
      </c>
      <c r="CV367">
        <v>-0.84000000000000052</v>
      </c>
      <c r="CW367">
        <v>0.32849999999999985</v>
      </c>
      <c r="CX367">
        <v>-0.96802500000000025</v>
      </c>
      <c r="CY367" t="s">
        <v>310</v>
      </c>
      <c r="CZ367">
        <v>11</v>
      </c>
      <c r="DA367">
        <v>2.6912000000000003</v>
      </c>
      <c r="DB367">
        <v>7</v>
      </c>
      <c r="DC367">
        <v>10</v>
      </c>
      <c r="DD367">
        <v>13</v>
      </c>
      <c r="DE367">
        <v>0.73600000000000099</v>
      </c>
      <c r="DF367">
        <v>7</v>
      </c>
      <c r="DG367">
        <v>3.9999999999999987</v>
      </c>
      <c r="DH367">
        <v>-0.23999999999999994</v>
      </c>
      <c r="DI367">
        <v>23</v>
      </c>
      <c r="DJ367">
        <v>19.5</v>
      </c>
      <c r="DK367">
        <v>22</v>
      </c>
      <c r="DL367">
        <v>-1.296</v>
      </c>
      <c r="DM367">
        <v>17</v>
      </c>
      <c r="DN367">
        <v>-1</v>
      </c>
      <c r="DO367">
        <v>-4.0000000000000036E-2</v>
      </c>
      <c r="DP367">
        <v>3</v>
      </c>
      <c r="DQ367">
        <v>1.5</v>
      </c>
      <c r="DR367">
        <v>2</v>
      </c>
      <c r="DS367">
        <v>11.09</v>
      </c>
      <c r="DT367">
        <v>1</v>
      </c>
      <c r="DU367">
        <v>41.85</v>
      </c>
      <c r="DV367">
        <v>2.7</v>
      </c>
      <c r="DW367">
        <v>11</v>
      </c>
      <c r="DX367">
        <v>13</v>
      </c>
      <c r="DY367">
        <v>14</v>
      </c>
      <c r="DZ367">
        <v>-0.49500000000000055</v>
      </c>
      <c r="EA367">
        <v>12</v>
      </c>
      <c r="EB367">
        <v>1.4500000000000011</v>
      </c>
      <c r="EC367">
        <v>-1.2499999999999998</v>
      </c>
      <c r="ED367">
        <v>28</v>
      </c>
      <c r="EE367">
        <v>30</v>
      </c>
      <c r="EF367">
        <v>30</v>
      </c>
      <c r="EG367">
        <v>-2.4500000000000006</v>
      </c>
      <c r="EH367">
        <v>30</v>
      </c>
      <c r="EI367">
        <v>-13.950000000000001</v>
      </c>
      <c r="EJ367">
        <v>2.3999999999999995</v>
      </c>
      <c r="EK367">
        <v>6</v>
      </c>
      <c r="EL367">
        <v>5.5</v>
      </c>
      <c r="EM367">
        <v>6</v>
      </c>
      <c r="EN367">
        <v>4.6680000000000001</v>
      </c>
      <c r="EO367">
        <v>5</v>
      </c>
      <c r="EP367">
        <v>33.480000000000004</v>
      </c>
      <c r="EQ367">
        <v>2.3199999999999998</v>
      </c>
      <c r="ER367">
        <v>6</v>
      </c>
      <c r="ES367">
        <v>8</v>
      </c>
      <c r="ET367">
        <v>7</v>
      </c>
      <c r="EU367">
        <v>0.92399999999999971</v>
      </c>
      <c r="EV367">
        <v>9</v>
      </c>
      <c r="EW367">
        <v>4.839999999999999</v>
      </c>
      <c r="EX367">
        <v>-0.11999999999999993</v>
      </c>
      <c r="EY367">
        <v>3</v>
      </c>
      <c r="EZ367">
        <v>3.5</v>
      </c>
      <c r="FA367">
        <v>6</v>
      </c>
      <c r="FB367">
        <v>1.8</v>
      </c>
      <c r="FC367">
        <v>1</v>
      </c>
      <c r="FD367">
        <v>1.28</v>
      </c>
      <c r="FE367">
        <v>-1.1999999999999997</v>
      </c>
      <c r="FF367">
        <v>15</v>
      </c>
      <c r="FG367">
        <v>15.75</v>
      </c>
      <c r="FH367">
        <v>16</v>
      </c>
      <c r="FI367">
        <v>-5.0599095405159059E-3</v>
      </c>
      <c r="FJ367">
        <v>21</v>
      </c>
      <c r="FK367">
        <v>-4.9110954486394796E-3</v>
      </c>
      <c r="FL367">
        <v>13</v>
      </c>
      <c r="FM367">
        <v>-2.0120000000000005</v>
      </c>
      <c r="FN367">
        <v>13</v>
      </c>
      <c r="FO367">
        <v>0.52000000000000024</v>
      </c>
      <c r="FP367">
        <v>3.8400000000000012</v>
      </c>
      <c r="FQ367">
        <v>2.6799999999999997</v>
      </c>
      <c r="FR367">
        <v>0.12000000000000002</v>
      </c>
      <c r="FS367">
        <v>6.7200000000000006</v>
      </c>
      <c r="FT367">
        <v>2.2800000000000002</v>
      </c>
      <c r="FU367">
        <v>-0.91999999999999993</v>
      </c>
      <c r="FV367">
        <v>46.440000000000012</v>
      </c>
      <c r="FW367">
        <v>43.879999999999995</v>
      </c>
      <c r="FX367">
        <v>6.5200000000000005</v>
      </c>
      <c r="FY367">
        <v>-1.8399999999999999</v>
      </c>
      <c r="FZ367">
        <v>-2.1199999999999997</v>
      </c>
      <c r="GA367">
        <v>9</v>
      </c>
      <c r="GB367">
        <v>3.251199999999999</v>
      </c>
      <c r="GC367">
        <v>2.632039999999999</v>
      </c>
      <c r="GD367">
        <v>37.359999999999992</v>
      </c>
      <c r="GE367">
        <v>-3.2511999999999994</v>
      </c>
      <c r="GF367">
        <v>1.6250249999999999</v>
      </c>
      <c r="GG367">
        <v>8.1449999999999978</v>
      </c>
      <c r="GH367">
        <v>29.35</v>
      </c>
      <c r="GI367">
        <v>-0.55999999999999905</v>
      </c>
      <c r="GJ367">
        <v>2.9999999999999987</v>
      </c>
      <c r="GK367">
        <v>3.7299999999999995</v>
      </c>
      <c r="GL367">
        <v>-0.27999999999999997</v>
      </c>
    </row>
    <row r="368" spans="1:194" x14ac:dyDescent="0.2">
      <c r="A368" s="39">
        <v>43800</v>
      </c>
      <c r="B368" s="22" t="s">
        <v>241</v>
      </c>
      <c r="C368" s="41" t="s">
        <v>297</v>
      </c>
      <c r="D368" s="22" t="s">
        <v>284</v>
      </c>
      <c r="E368">
        <v>6.7</v>
      </c>
      <c r="F368">
        <v>19</v>
      </c>
      <c r="G368">
        <v>9.6999999999999993</v>
      </c>
      <c r="H368">
        <v>1.6</v>
      </c>
      <c r="I368">
        <v>3</v>
      </c>
      <c r="J368">
        <v>46.5</v>
      </c>
      <c r="K368" t="s">
        <v>109</v>
      </c>
      <c r="L368" s="1" t="s">
        <v>297</v>
      </c>
      <c r="M368">
        <v>24</v>
      </c>
      <c r="N368">
        <v>-3.1927999999999992</v>
      </c>
      <c r="O368">
        <v>10</v>
      </c>
      <c r="P368">
        <v>9.5</v>
      </c>
      <c r="Q368">
        <v>3</v>
      </c>
      <c r="R368">
        <v>4.8839999999999995</v>
      </c>
      <c r="S368">
        <v>16</v>
      </c>
      <c r="T368">
        <v>4.000000000000057E-2</v>
      </c>
      <c r="U368">
        <v>4.04</v>
      </c>
      <c r="V368">
        <v>28</v>
      </c>
      <c r="W368">
        <v>28.5</v>
      </c>
      <c r="X368">
        <v>26</v>
      </c>
      <c r="Y368">
        <v>-2.1759999999999997</v>
      </c>
      <c r="Z368">
        <v>31</v>
      </c>
      <c r="AA368">
        <v>-17.919999999999998</v>
      </c>
      <c r="AB368">
        <v>-0.76000000000000012</v>
      </c>
      <c r="AC368">
        <v>31</v>
      </c>
      <c r="AD368">
        <v>31.5</v>
      </c>
      <c r="AE368">
        <v>32</v>
      </c>
      <c r="AF368">
        <v>-7.3710000000000004</v>
      </c>
      <c r="AG368">
        <v>31</v>
      </c>
      <c r="AH368">
        <v>-32.9</v>
      </c>
      <c r="AI368">
        <v>-0.99000000000000021</v>
      </c>
      <c r="AJ368">
        <v>7</v>
      </c>
      <c r="AK368">
        <v>8</v>
      </c>
      <c r="AL368">
        <v>4</v>
      </c>
      <c r="AM368">
        <v>3.819</v>
      </c>
      <c r="AN368">
        <v>12</v>
      </c>
      <c r="AO368">
        <v>9.370000000000001</v>
      </c>
      <c r="AP368">
        <v>2.3600000000000003</v>
      </c>
      <c r="AQ368">
        <v>3</v>
      </c>
      <c r="AR368">
        <v>3</v>
      </c>
      <c r="AS368">
        <v>3</v>
      </c>
      <c r="AT368">
        <v>4.7460000000000004</v>
      </c>
      <c r="AU368">
        <v>3</v>
      </c>
      <c r="AV368">
        <v>25.240000000000002</v>
      </c>
      <c r="AW368">
        <v>1.9</v>
      </c>
      <c r="AX368">
        <v>13</v>
      </c>
      <c r="AY368">
        <v>12.5</v>
      </c>
      <c r="AZ368">
        <v>10</v>
      </c>
      <c r="BA368">
        <v>3.1400000000000015</v>
      </c>
      <c r="BB368">
        <v>15</v>
      </c>
      <c r="BC368">
        <v>4.9999999999999973</v>
      </c>
      <c r="BD368">
        <v>8.0000000000000071E-2</v>
      </c>
      <c r="BE368">
        <v>32</v>
      </c>
      <c r="BF368">
        <v>31</v>
      </c>
      <c r="BG368">
        <v>32</v>
      </c>
      <c r="BH368">
        <v>-5.9600000000000009</v>
      </c>
      <c r="BI368">
        <v>30</v>
      </c>
      <c r="BJ368">
        <v>-23.2</v>
      </c>
      <c r="BK368">
        <v>-2.04</v>
      </c>
      <c r="BL368">
        <v>27</v>
      </c>
      <c r="BM368">
        <v>27</v>
      </c>
      <c r="BN368">
        <v>27</v>
      </c>
      <c r="BO368">
        <v>-1.6799999999999997</v>
      </c>
      <c r="BP368">
        <v>27</v>
      </c>
      <c r="BQ368">
        <v>-0.6</v>
      </c>
      <c r="BR368">
        <v>-0.88000000000000045</v>
      </c>
      <c r="BS368">
        <v>7</v>
      </c>
      <c r="BT368">
        <v>11.25</v>
      </c>
      <c r="BU368">
        <v>7</v>
      </c>
      <c r="BV368">
        <v>4.4517621140186495E-2</v>
      </c>
      <c r="BW368">
        <v>17</v>
      </c>
      <c r="BX368">
        <v>-1.197444969262277E-3</v>
      </c>
      <c r="BY368">
        <v>18</v>
      </c>
      <c r="BZ368">
        <v>3.9999999999992038E-3</v>
      </c>
      <c r="CA368">
        <v>3</v>
      </c>
      <c r="CB368">
        <v>3.6800000000000006</v>
      </c>
      <c r="CC368">
        <v>1.5599999999999981</v>
      </c>
      <c r="CD368">
        <v>-6.3599999999999985</v>
      </c>
      <c r="CE368">
        <v>-0.99999999999999978</v>
      </c>
      <c r="CF368">
        <v>-9.1999999999999993</v>
      </c>
      <c r="CG368">
        <v>11.680000000000007</v>
      </c>
      <c r="CH368">
        <v>-22.920000000000005</v>
      </c>
      <c r="CI368">
        <v>-1.36</v>
      </c>
      <c r="CJ368">
        <v>3.4000000000000008</v>
      </c>
      <c r="CK368">
        <v>26</v>
      </c>
      <c r="CL368">
        <v>-5.9007999999999985</v>
      </c>
      <c r="CM368">
        <v>-2.9457599999999999</v>
      </c>
      <c r="CN368">
        <v>34.600000000000009</v>
      </c>
      <c r="CO368">
        <v>5.9007999999999985</v>
      </c>
      <c r="CP368">
        <v>-0.86635000000000006</v>
      </c>
      <c r="CQ368">
        <v>1.194</v>
      </c>
      <c r="CR368">
        <v>1.7100000000000044</v>
      </c>
      <c r="CS368">
        <v>2.7079999999999997</v>
      </c>
      <c r="CT368">
        <v>-17.88</v>
      </c>
      <c r="CU368">
        <v>1.23</v>
      </c>
      <c r="CV368">
        <v>3.28</v>
      </c>
      <c r="CW368">
        <v>0.9220624999999999</v>
      </c>
      <c r="CX368">
        <v>9.0774999999999689E-2</v>
      </c>
      <c r="CY368" t="s">
        <v>284</v>
      </c>
      <c r="CZ368">
        <v>4</v>
      </c>
      <c r="DA368">
        <v>3.6528000000000005</v>
      </c>
      <c r="DB368">
        <v>25</v>
      </c>
      <c r="DC368">
        <v>23.5</v>
      </c>
      <c r="DD368">
        <v>24</v>
      </c>
      <c r="DE368">
        <v>-1.2920000000000005</v>
      </c>
      <c r="DF368">
        <v>23</v>
      </c>
      <c r="DG368">
        <v>-4.7500000000000018</v>
      </c>
      <c r="DH368">
        <v>9.9999999999998753E-3</v>
      </c>
      <c r="DI368">
        <v>31</v>
      </c>
      <c r="DJ368">
        <v>31</v>
      </c>
      <c r="DK368">
        <v>31</v>
      </c>
      <c r="DL368">
        <v>-3.2459999999999996</v>
      </c>
      <c r="DM368">
        <v>31</v>
      </c>
      <c r="DN368">
        <v>-12.21</v>
      </c>
      <c r="DO368">
        <v>0.45</v>
      </c>
      <c r="DP368">
        <v>9</v>
      </c>
      <c r="DQ368">
        <v>6</v>
      </c>
      <c r="DR368">
        <v>6</v>
      </c>
      <c r="DS368">
        <v>5.5120000000000005</v>
      </c>
      <c r="DT368">
        <v>6</v>
      </c>
      <c r="DU368">
        <v>19.919999999999998</v>
      </c>
      <c r="DV368">
        <v>2.12</v>
      </c>
      <c r="DW368">
        <v>1</v>
      </c>
      <c r="DX368">
        <v>1.5</v>
      </c>
      <c r="DY368">
        <v>1</v>
      </c>
      <c r="DZ368">
        <v>9.4160000000000004</v>
      </c>
      <c r="EA368">
        <v>2</v>
      </c>
      <c r="EB368">
        <v>26.120000000000005</v>
      </c>
      <c r="EC368">
        <v>1.7600000000000002</v>
      </c>
      <c r="ED368">
        <v>8</v>
      </c>
      <c r="EE368">
        <v>12.5</v>
      </c>
      <c r="EF368">
        <v>17</v>
      </c>
      <c r="EG368">
        <v>-7.2000000000000244E-2</v>
      </c>
      <c r="EH368">
        <v>8</v>
      </c>
      <c r="EI368">
        <v>5.9599999999999991</v>
      </c>
      <c r="EJ368">
        <v>3.9999999999999945E-2</v>
      </c>
      <c r="EK368">
        <v>2</v>
      </c>
      <c r="EL368">
        <v>3.5</v>
      </c>
      <c r="EM368">
        <v>1</v>
      </c>
      <c r="EN368">
        <v>9.92</v>
      </c>
      <c r="EO368">
        <v>6</v>
      </c>
      <c r="EP368">
        <v>25.2</v>
      </c>
      <c r="EQ368">
        <v>3.3200000000000003</v>
      </c>
      <c r="ER368">
        <v>21</v>
      </c>
      <c r="ES368">
        <v>20.5</v>
      </c>
      <c r="ET368">
        <v>15</v>
      </c>
      <c r="EU368">
        <v>-0.184</v>
      </c>
      <c r="EV368">
        <v>26</v>
      </c>
      <c r="EW368">
        <v>-8.6400000000000023</v>
      </c>
      <c r="EX368">
        <v>-4.160000000000001</v>
      </c>
      <c r="EY368">
        <v>16</v>
      </c>
      <c r="EZ368">
        <v>14</v>
      </c>
      <c r="FA368">
        <v>13</v>
      </c>
      <c r="FB368">
        <v>0.23999999999999985</v>
      </c>
      <c r="FC368">
        <v>15</v>
      </c>
      <c r="FD368">
        <v>3.9999999999999945E-2</v>
      </c>
      <c r="FE368">
        <v>0.28000000000000008</v>
      </c>
      <c r="FF368">
        <v>10</v>
      </c>
      <c r="FG368">
        <v>13.25</v>
      </c>
      <c r="FH368">
        <v>9</v>
      </c>
      <c r="FI368">
        <v>2.7111846225719161E-2</v>
      </c>
      <c r="FJ368">
        <v>26</v>
      </c>
      <c r="FK368">
        <v>-1.2543018236525103E-2</v>
      </c>
      <c r="FL368">
        <v>6</v>
      </c>
      <c r="FM368">
        <v>-5.3680000000000039</v>
      </c>
      <c r="FN368">
        <v>12</v>
      </c>
      <c r="FO368">
        <v>0.76000000000000012</v>
      </c>
      <c r="FP368">
        <v>5.3600000000000012</v>
      </c>
      <c r="FQ368">
        <v>-1.7599999999999998</v>
      </c>
      <c r="FR368">
        <v>-1.1600000000000001</v>
      </c>
      <c r="FS368">
        <v>3</v>
      </c>
      <c r="FT368">
        <v>3.56</v>
      </c>
      <c r="FU368">
        <v>0.55999999999999983</v>
      </c>
      <c r="FV368">
        <v>11.880000000000006</v>
      </c>
      <c r="FW368">
        <v>30.520000000000003</v>
      </c>
      <c r="FX368">
        <v>-17.72</v>
      </c>
      <c r="FY368">
        <v>1.6</v>
      </c>
      <c r="FZ368">
        <v>-2.52</v>
      </c>
      <c r="GA368">
        <v>4</v>
      </c>
      <c r="GB368">
        <v>8.1907999999999994</v>
      </c>
      <c r="GC368">
        <v>5.9339600000000008</v>
      </c>
      <c r="GD368">
        <v>48.24</v>
      </c>
      <c r="GE368">
        <v>-8.1908000000000012</v>
      </c>
      <c r="GF368">
        <v>1.7533500000000002</v>
      </c>
      <c r="GG368">
        <v>14.856</v>
      </c>
      <c r="GH368">
        <v>52.000000000000007</v>
      </c>
      <c r="GI368">
        <v>-4.5380000000000003</v>
      </c>
      <c r="GJ368">
        <v>-16.96</v>
      </c>
      <c r="GK368">
        <v>-0.24000000000000066</v>
      </c>
      <c r="GL368">
        <v>0.45999999999999991</v>
      </c>
    </row>
    <row r="369" spans="1:194" x14ac:dyDescent="0.2">
      <c r="A369" s="39">
        <v>43800</v>
      </c>
      <c r="B369" s="22" t="s">
        <v>241</v>
      </c>
      <c r="C369" s="41" t="s">
        <v>288</v>
      </c>
      <c r="D369" s="22" t="s">
        <v>303</v>
      </c>
      <c r="E369">
        <v>10.1</v>
      </c>
      <c r="F369">
        <v>0</v>
      </c>
      <c r="G369">
        <v>0.9</v>
      </c>
      <c r="H369">
        <v>14</v>
      </c>
      <c r="I369">
        <v>-11.5</v>
      </c>
      <c r="J369">
        <v>49.5</v>
      </c>
      <c r="L369" s="1" t="s">
        <v>288</v>
      </c>
      <c r="M369">
        <v>9</v>
      </c>
      <c r="N369">
        <v>3.1288000000000014</v>
      </c>
      <c r="O369">
        <v>32</v>
      </c>
      <c r="P369">
        <v>30</v>
      </c>
      <c r="Q369">
        <v>28</v>
      </c>
      <c r="R369">
        <v>-1.6279999999999997</v>
      </c>
      <c r="S369">
        <v>32</v>
      </c>
      <c r="T369">
        <v>-13.440000000000001</v>
      </c>
      <c r="U369">
        <v>0</v>
      </c>
      <c r="V369">
        <v>17</v>
      </c>
      <c r="W369">
        <v>16.5</v>
      </c>
      <c r="X369">
        <v>19</v>
      </c>
      <c r="Y369">
        <v>-0.53599999999999981</v>
      </c>
      <c r="Z369">
        <v>14</v>
      </c>
      <c r="AA369">
        <v>4.0799999999999992</v>
      </c>
      <c r="AB369">
        <v>-1.2</v>
      </c>
      <c r="AC369">
        <v>8</v>
      </c>
      <c r="AD369">
        <v>7</v>
      </c>
      <c r="AE369">
        <v>6</v>
      </c>
      <c r="AF369">
        <v>2.4641999999999991</v>
      </c>
      <c r="AG369">
        <v>8</v>
      </c>
      <c r="AH369">
        <v>17.100000000000001</v>
      </c>
      <c r="AI369">
        <v>1.5299999999999998</v>
      </c>
      <c r="AJ369">
        <v>26</v>
      </c>
      <c r="AK369">
        <v>26.5</v>
      </c>
      <c r="AL369">
        <v>27</v>
      </c>
      <c r="AM369">
        <v>-3.7570000000000006</v>
      </c>
      <c r="AN369">
        <v>26</v>
      </c>
      <c r="AO369">
        <v>-19.589999999999996</v>
      </c>
      <c r="AP369">
        <v>-0.64</v>
      </c>
      <c r="AQ369">
        <v>9</v>
      </c>
      <c r="AR369">
        <v>9.5</v>
      </c>
      <c r="AS369">
        <v>11</v>
      </c>
      <c r="AT369">
        <v>0.62999999999999967</v>
      </c>
      <c r="AU369">
        <v>8</v>
      </c>
      <c r="AV369">
        <v>-2.04</v>
      </c>
      <c r="AW369">
        <v>-0.7</v>
      </c>
      <c r="AX369">
        <v>2</v>
      </c>
      <c r="AY369">
        <v>3.5</v>
      </c>
      <c r="AZ369">
        <v>4</v>
      </c>
      <c r="BA369">
        <v>6.6400000000000006</v>
      </c>
      <c r="BB369">
        <v>3</v>
      </c>
      <c r="BC369">
        <v>32.4</v>
      </c>
      <c r="BD369">
        <v>1.08</v>
      </c>
      <c r="BE369">
        <v>3</v>
      </c>
      <c r="BF369">
        <v>3.5</v>
      </c>
      <c r="BG369">
        <v>4</v>
      </c>
      <c r="BH369">
        <v>5.355999999999999</v>
      </c>
      <c r="BI369">
        <v>3</v>
      </c>
      <c r="BJ369">
        <v>21.68</v>
      </c>
      <c r="BK369">
        <v>1.3599999999999999</v>
      </c>
      <c r="BL369">
        <v>15</v>
      </c>
      <c r="BM369">
        <v>14.5</v>
      </c>
      <c r="BN369">
        <v>12</v>
      </c>
      <c r="BO369">
        <v>1.8400000000000003</v>
      </c>
      <c r="BP369">
        <v>17</v>
      </c>
      <c r="BQ369">
        <v>-4.0000000000000126E-2</v>
      </c>
      <c r="BR369">
        <v>1.8</v>
      </c>
      <c r="BS369">
        <v>29</v>
      </c>
      <c r="BT369">
        <v>25</v>
      </c>
      <c r="BU369">
        <v>26</v>
      </c>
      <c r="BV369">
        <v>-6.4993978365306654E-2</v>
      </c>
      <c r="BW369">
        <v>23</v>
      </c>
      <c r="BX369">
        <v>-1.3590842354220475E-2</v>
      </c>
      <c r="BY369">
        <v>25</v>
      </c>
      <c r="BZ369">
        <v>6.2239999999999993</v>
      </c>
      <c r="CA369">
        <v>26</v>
      </c>
      <c r="CB369">
        <v>-1.9599999999999997</v>
      </c>
      <c r="CC369">
        <v>-1.0400000000000005</v>
      </c>
      <c r="CD369">
        <v>5.08</v>
      </c>
      <c r="CE369">
        <v>0.56000000000000005</v>
      </c>
      <c r="CF369">
        <v>10.080000000000007</v>
      </c>
      <c r="CG369">
        <v>12.4</v>
      </c>
      <c r="CH369">
        <v>-10.960000000000003</v>
      </c>
      <c r="CI369">
        <v>3.72</v>
      </c>
      <c r="CJ369">
        <v>4.919999999999999</v>
      </c>
      <c r="CK369">
        <v>7</v>
      </c>
      <c r="CL369">
        <v>5.2928000000000006</v>
      </c>
      <c r="CM369">
        <v>2.6463999999999994</v>
      </c>
      <c r="CN369">
        <v>23.360000000000003</v>
      </c>
      <c r="CO369">
        <v>-5.2928000000000015</v>
      </c>
      <c r="CP369">
        <v>0.93724999999999992</v>
      </c>
      <c r="CQ369">
        <v>-0.66280000000000183</v>
      </c>
      <c r="CR369">
        <v>-4.5299999999999949</v>
      </c>
      <c r="CS369">
        <v>-2.1639999999999997</v>
      </c>
      <c r="CT369">
        <v>-9.360000000000003</v>
      </c>
      <c r="CU369">
        <v>1.5499999999999998</v>
      </c>
      <c r="CV369">
        <v>-1.2</v>
      </c>
      <c r="CW369">
        <v>9.1500000000000137E-2</v>
      </c>
      <c r="CX369">
        <v>0.58230000000000026</v>
      </c>
      <c r="CY369" t="s">
        <v>303</v>
      </c>
      <c r="CZ369">
        <v>13</v>
      </c>
      <c r="DA369">
        <v>2.1455999999999991</v>
      </c>
      <c r="DB369">
        <v>13</v>
      </c>
      <c r="DC369">
        <v>12</v>
      </c>
      <c r="DD369">
        <v>10</v>
      </c>
      <c r="DE369">
        <v>0.25600000000000128</v>
      </c>
      <c r="DF369">
        <v>14</v>
      </c>
      <c r="DG369">
        <v>-7.5200000000000014</v>
      </c>
      <c r="DH369">
        <v>-0.44000000000000006</v>
      </c>
      <c r="DI369">
        <v>6</v>
      </c>
      <c r="DJ369">
        <v>8.5</v>
      </c>
      <c r="DK369">
        <v>6</v>
      </c>
      <c r="DL369">
        <v>2.1519999999999992</v>
      </c>
      <c r="DM369">
        <v>11</v>
      </c>
      <c r="DN369">
        <v>5.36</v>
      </c>
      <c r="DO369">
        <v>-0.28000000000000008</v>
      </c>
      <c r="DP369">
        <v>18</v>
      </c>
      <c r="DQ369">
        <v>25</v>
      </c>
      <c r="DR369">
        <v>25</v>
      </c>
      <c r="DS369">
        <v>-3.7760000000000007</v>
      </c>
      <c r="DT369">
        <v>25</v>
      </c>
      <c r="DU369">
        <v>-16.720000000000002</v>
      </c>
      <c r="DV369">
        <v>-0.72</v>
      </c>
      <c r="DW369">
        <v>9</v>
      </c>
      <c r="DX369">
        <v>10</v>
      </c>
      <c r="DY369">
        <v>11</v>
      </c>
      <c r="DZ369">
        <v>1.7720000000000007</v>
      </c>
      <c r="EA369">
        <v>9</v>
      </c>
      <c r="EB369">
        <v>8.0400000000000009</v>
      </c>
      <c r="EC369">
        <v>-0.55999999999999994</v>
      </c>
      <c r="ED369">
        <v>25</v>
      </c>
      <c r="EE369">
        <v>32</v>
      </c>
      <c r="EF369">
        <v>32</v>
      </c>
      <c r="EG369">
        <v>-2.7079999999999997</v>
      </c>
      <c r="EH369">
        <v>32</v>
      </c>
      <c r="EI369">
        <v>-15.239999999999998</v>
      </c>
      <c r="EJ369">
        <v>-0.6399999999999999</v>
      </c>
      <c r="EK369">
        <v>31</v>
      </c>
      <c r="EL369">
        <v>31</v>
      </c>
      <c r="EM369">
        <v>31</v>
      </c>
      <c r="EN369">
        <v>-5.4760000000000009</v>
      </c>
      <c r="EO369">
        <v>31</v>
      </c>
      <c r="EP369">
        <v>-38.36</v>
      </c>
      <c r="EQ369">
        <v>-1.8000000000000003</v>
      </c>
      <c r="ER369">
        <v>22</v>
      </c>
      <c r="ES369">
        <v>23.5</v>
      </c>
      <c r="ET369">
        <v>26</v>
      </c>
      <c r="EU369">
        <v>-1.796</v>
      </c>
      <c r="EV369">
        <v>21</v>
      </c>
      <c r="EW369">
        <v>-5.0000000000000018</v>
      </c>
      <c r="EX369">
        <v>0.56000000000000028</v>
      </c>
      <c r="EY369">
        <v>27</v>
      </c>
      <c r="EZ369">
        <v>25.5</v>
      </c>
      <c r="FA369">
        <v>22</v>
      </c>
      <c r="FB369">
        <v>-1.2399999999999998</v>
      </c>
      <c r="FC369">
        <v>29</v>
      </c>
      <c r="FD369">
        <v>-0.76</v>
      </c>
      <c r="FE369">
        <v>3.9600000000000009</v>
      </c>
      <c r="FF369">
        <v>10</v>
      </c>
      <c r="FG369">
        <v>13.25</v>
      </c>
      <c r="FH369">
        <v>12</v>
      </c>
      <c r="FI369">
        <v>3.7147401616125842E-3</v>
      </c>
      <c r="FJ369">
        <v>11</v>
      </c>
      <c r="FK369">
        <v>6.6932740277190301E-3</v>
      </c>
      <c r="FL369">
        <v>12</v>
      </c>
      <c r="FM369">
        <v>-2.0840000000000019</v>
      </c>
      <c r="FN369">
        <v>18</v>
      </c>
      <c r="FO369">
        <v>-0.28000000000000008</v>
      </c>
      <c r="FP369">
        <v>-3.28</v>
      </c>
      <c r="FQ369">
        <v>0.12000000000000029</v>
      </c>
      <c r="FR369">
        <v>7.9999999999999891E-2</v>
      </c>
      <c r="FS369">
        <v>-2.7199999999999975</v>
      </c>
      <c r="FT369">
        <v>2.96</v>
      </c>
      <c r="FU369">
        <v>1.7999999999999996</v>
      </c>
      <c r="FV369">
        <v>-0.72000000000000453</v>
      </c>
      <c r="FW369">
        <v>-13.159999999999991</v>
      </c>
      <c r="FX369">
        <v>2.9200000000000017</v>
      </c>
      <c r="FY369">
        <v>4.5200000000000005</v>
      </c>
      <c r="FZ369">
        <v>5.0000000000000009</v>
      </c>
      <c r="GA369">
        <v>18</v>
      </c>
      <c r="GB369">
        <v>-0.26240000000000152</v>
      </c>
      <c r="GC369">
        <v>-2.0764800000000001</v>
      </c>
      <c r="GD369">
        <v>-16.079999999999991</v>
      </c>
      <c r="GE369">
        <v>0.2624000000000013</v>
      </c>
      <c r="GF369">
        <v>-0.39929999999999999</v>
      </c>
      <c r="GG369">
        <v>-4.7119999999999997</v>
      </c>
      <c r="GH369">
        <v>-23.92</v>
      </c>
      <c r="GI369">
        <v>2.4080000000000004</v>
      </c>
      <c r="GJ369">
        <v>-2.160000000000001</v>
      </c>
      <c r="GK369">
        <v>-1.3599999999999994</v>
      </c>
      <c r="GL369">
        <v>-0.7200000000000002</v>
      </c>
    </row>
    <row r="370" spans="1:194" x14ac:dyDescent="0.2">
      <c r="A370" s="39">
        <v>43800</v>
      </c>
      <c r="B370" s="22" t="s">
        <v>241</v>
      </c>
      <c r="C370" s="41" t="s">
        <v>303</v>
      </c>
      <c r="D370" s="22" t="s">
        <v>288</v>
      </c>
      <c r="E370">
        <v>1.9</v>
      </c>
      <c r="F370">
        <v>3.4</v>
      </c>
      <c r="G370">
        <v>2.1</v>
      </c>
      <c r="H370">
        <f>20+9+2.5</f>
        <v>31.5</v>
      </c>
      <c r="I370">
        <v>11.5</v>
      </c>
      <c r="J370">
        <v>49.5</v>
      </c>
      <c r="L370" s="1" t="s">
        <v>303</v>
      </c>
      <c r="M370">
        <v>30</v>
      </c>
      <c r="N370">
        <v>-4.8327999999999989</v>
      </c>
      <c r="O370">
        <v>7</v>
      </c>
      <c r="P370">
        <v>7.5</v>
      </c>
      <c r="Q370">
        <v>12</v>
      </c>
      <c r="R370">
        <v>0.97240000000000038</v>
      </c>
      <c r="S370">
        <v>3</v>
      </c>
      <c r="T370">
        <v>24.160000000000004</v>
      </c>
      <c r="U370">
        <v>-0.96000000000000019</v>
      </c>
      <c r="V370">
        <v>22</v>
      </c>
      <c r="W370">
        <v>19.5</v>
      </c>
      <c r="X370">
        <v>17</v>
      </c>
      <c r="Y370">
        <v>-0.52799999999999991</v>
      </c>
      <c r="Z370">
        <v>22</v>
      </c>
      <c r="AA370">
        <v>-8.3520000000000003</v>
      </c>
      <c r="AB370">
        <v>0.6399999999999999</v>
      </c>
      <c r="AC370">
        <v>30</v>
      </c>
      <c r="AD370">
        <v>30.5</v>
      </c>
      <c r="AE370">
        <v>31</v>
      </c>
      <c r="AF370">
        <v>-6.5039999999999996</v>
      </c>
      <c r="AG370">
        <v>30</v>
      </c>
      <c r="AH370">
        <v>-22.559999999999995</v>
      </c>
      <c r="AI370">
        <v>-2.3200000000000003</v>
      </c>
      <c r="AJ370">
        <v>24</v>
      </c>
      <c r="AK370">
        <v>23</v>
      </c>
      <c r="AL370">
        <v>22</v>
      </c>
      <c r="AM370">
        <v>-1.9680000000000006</v>
      </c>
      <c r="AN370">
        <v>24</v>
      </c>
      <c r="AO370">
        <v>-12.719999999999999</v>
      </c>
      <c r="AP370">
        <v>-0.6399999999999999</v>
      </c>
      <c r="AQ370">
        <v>25</v>
      </c>
      <c r="AR370">
        <v>25</v>
      </c>
      <c r="AS370">
        <v>25</v>
      </c>
      <c r="AT370">
        <v>-2.008</v>
      </c>
      <c r="AU370">
        <v>25</v>
      </c>
      <c r="AV370">
        <v>-10.199999999999999</v>
      </c>
      <c r="AW370">
        <v>-0.44000000000000006</v>
      </c>
      <c r="AX370">
        <v>24</v>
      </c>
      <c r="AY370">
        <v>25</v>
      </c>
      <c r="AZ370">
        <v>27</v>
      </c>
      <c r="BA370">
        <v>-3.9840000000000018</v>
      </c>
      <c r="BB370">
        <v>23</v>
      </c>
      <c r="BC370">
        <v>-9.4400000000000013</v>
      </c>
      <c r="BD370">
        <v>-1.5199999999999996</v>
      </c>
      <c r="BE370">
        <v>5</v>
      </c>
      <c r="BF370">
        <v>6</v>
      </c>
      <c r="BG370">
        <v>6</v>
      </c>
      <c r="BH370">
        <v>4.2479999999999993</v>
      </c>
      <c r="BI370">
        <v>6</v>
      </c>
      <c r="BJ370">
        <v>19.279999999999998</v>
      </c>
      <c r="BK370">
        <v>0.75999999999999968</v>
      </c>
      <c r="BL370">
        <v>19</v>
      </c>
      <c r="BM370">
        <v>19.5</v>
      </c>
      <c r="BN370">
        <v>26</v>
      </c>
      <c r="BO370">
        <v>-1.2799999999999998</v>
      </c>
      <c r="BP370">
        <v>13</v>
      </c>
      <c r="BQ370">
        <v>0.15999999999999998</v>
      </c>
      <c r="BR370">
        <v>-0.36000000000000015</v>
      </c>
      <c r="BS370">
        <v>19</v>
      </c>
      <c r="BT370">
        <v>17.25</v>
      </c>
      <c r="BU370">
        <v>14</v>
      </c>
      <c r="BV370">
        <v>1.6683900279687879E-2</v>
      </c>
      <c r="BW370">
        <v>21</v>
      </c>
      <c r="BX370">
        <v>-9.2494740612268679E-3</v>
      </c>
      <c r="BY370">
        <v>32</v>
      </c>
      <c r="BZ370">
        <v>23.04</v>
      </c>
      <c r="CA370">
        <v>2</v>
      </c>
      <c r="CB370">
        <v>3.9600000000000009</v>
      </c>
      <c r="CC370">
        <v>-0.4799999999999997</v>
      </c>
      <c r="CD370">
        <v>-4.76</v>
      </c>
      <c r="CE370">
        <v>-0.16000000000000006</v>
      </c>
      <c r="CF370">
        <v>-1.9199999999999933</v>
      </c>
      <c r="CG370">
        <v>-13.52</v>
      </c>
      <c r="CH370">
        <v>17.559999999999999</v>
      </c>
      <c r="CI370">
        <v>3.6399999999999997</v>
      </c>
      <c r="CJ370">
        <v>-9.6</v>
      </c>
      <c r="CK370">
        <v>25</v>
      </c>
      <c r="CL370">
        <v>-5.2771999999999997</v>
      </c>
      <c r="CM370">
        <v>-2.4351600000000002</v>
      </c>
      <c r="CN370">
        <v>-31.08</v>
      </c>
      <c r="CO370">
        <v>5.2771999999999997</v>
      </c>
      <c r="CP370">
        <v>-1.4875499999999997</v>
      </c>
      <c r="CQ370">
        <v>-10.48</v>
      </c>
      <c r="CR370">
        <v>-45.47999999999999</v>
      </c>
      <c r="CS370">
        <v>0.44440000000000046</v>
      </c>
      <c r="CT370">
        <v>15.808000000000003</v>
      </c>
      <c r="CU370">
        <v>-2.64</v>
      </c>
      <c r="CV370">
        <v>-0.32000000000000028</v>
      </c>
      <c r="CW370">
        <v>9.1500000000000137E-2</v>
      </c>
      <c r="CX370">
        <v>-0.39929999999999999</v>
      </c>
      <c r="CY370" t="s">
        <v>288</v>
      </c>
      <c r="CZ370">
        <v>7</v>
      </c>
      <c r="DA370">
        <v>2.3560000000000021</v>
      </c>
      <c r="DB370">
        <v>3</v>
      </c>
      <c r="DC370">
        <v>3</v>
      </c>
      <c r="DD370">
        <v>3</v>
      </c>
      <c r="DE370">
        <v>4.7824000000000009</v>
      </c>
      <c r="DF370">
        <v>3</v>
      </c>
      <c r="DG370">
        <v>18.639999999999997</v>
      </c>
      <c r="DH370">
        <v>0.96</v>
      </c>
      <c r="DI370">
        <v>20</v>
      </c>
      <c r="DJ370">
        <v>17.5</v>
      </c>
      <c r="DK370">
        <v>5</v>
      </c>
      <c r="DL370">
        <v>2.2799999999999998</v>
      </c>
      <c r="DM370">
        <v>30</v>
      </c>
      <c r="DN370">
        <v>-11.24</v>
      </c>
      <c r="DO370">
        <v>0.76</v>
      </c>
      <c r="DP370">
        <v>32</v>
      </c>
      <c r="DQ370">
        <v>32</v>
      </c>
      <c r="DR370">
        <v>32</v>
      </c>
      <c r="DS370">
        <v>-6.1599999999999993</v>
      </c>
      <c r="DT370">
        <v>32</v>
      </c>
      <c r="DU370">
        <v>-31.360000000000003</v>
      </c>
      <c r="DV370">
        <v>-1.44</v>
      </c>
      <c r="DW370">
        <v>24</v>
      </c>
      <c r="DX370">
        <v>25</v>
      </c>
      <c r="DY370">
        <v>23</v>
      </c>
      <c r="DZ370">
        <v>-2.6679999999999993</v>
      </c>
      <c r="EA370">
        <v>27</v>
      </c>
      <c r="EB370">
        <v>-12.36</v>
      </c>
      <c r="EC370">
        <v>-0.96000000000000019</v>
      </c>
      <c r="ED370">
        <v>13</v>
      </c>
      <c r="EE370">
        <v>12.5</v>
      </c>
      <c r="EF370">
        <v>12</v>
      </c>
      <c r="EG370">
        <v>0.58399999999999985</v>
      </c>
      <c r="EH370">
        <v>13</v>
      </c>
      <c r="EI370">
        <v>1.6</v>
      </c>
      <c r="EJ370">
        <v>-0.15999999999999998</v>
      </c>
      <c r="EK370">
        <v>12</v>
      </c>
      <c r="EL370">
        <v>12</v>
      </c>
      <c r="EM370">
        <v>8</v>
      </c>
      <c r="EN370">
        <v>3.3480000000000003</v>
      </c>
      <c r="EO370">
        <v>16</v>
      </c>
      <c r="EP370">
        <v>-0.11999999999999886</v>
      </c>
      <c r="EQ370">
        <v>0.43999999999999984</v>
      </c>
      <c r="ER370">
        <v>2</v>
      </c>
      <c r="ES370">
        <v>2</v>
      </c>
      <c r="ET370">
        <v>2</v>
      </c>
      <c r="EU370">
        <v>4.6839999999999993</v>
      </c>
      <c r="EV370">
        <v>2</v>
      </c>
      <c r="EW370">
        <v>18.399999999999999</v>
      </c>
      <c r="EX370">
        <v>2.5200000000000005</v>
      </c>
      <c r="EY370">
        <v>20</v>
      </c>
      <c r="EZ370">
        <v>21</v>
      </c>
      <c r="FA370">
        <v>25</v>
      </c>
      <c r="FB370">
        <v>-1.1999999999999997</v>
      </c>
      <c r="FC370">
        <v>17</v>
      </c>
      <c r="FD370">
        <v>-0.12000000000000002</v>
      </c>
      <c r="FE370">
        <v>-1.9599999999999997</v>
      </c>
      <c r="FF370">
        <v>2</v>
      </c>
      <c r="FG370">
        <v>7.25</v>
      </c>
      <c r="FH370">
        <v>4</v>
      </c>
      <c r="FI370">
        <v>6.7932592092711505E-2</v>
      </c>
      <c r="FJ370">
        <v>13</v>
      </c>
      <c r="FK370">
        <v>4.3741768634998068E-3</v>
      </c>
      <c r="FL370">
        <v>3</v>
      </c>
      <c r="FM370">
        <v>-12.372</v>
      </c>
      <c r="FN370">
        <v>9</v>
      </c>
      <c r="FO370">
        <v>1.8</v>
      </c>
      <c r="FP370">
        <v>2.7600000000000016</v>
      </c>
      <c r="FQ370">
        <v>-1.44</v>
      </c>
      <c r="FR370">
        <v>0.23999999999999991</v>
      </c>
      <c r="FS370">
        <v>1.6</v>
      </c>
      <c r="FT370">
        <v>-0.44000000000000056</v>
      </c>
      <c r="FU370">
        <v>0.28000000000000008</v>
      </c>
      <c r="FV370">
        <v>28.839999999999996</v>
      </c>
      <c r="FW370">
        <v>15.600000000000005</v>
      </c>
      <c r="FX370">
        <v>8.6</v>
      </c>
      <c r="FY370">
        <v>-1.8800000000000001</v>
      </c>
      <c r="FZ370">
        <v>6.5199999999999987</v>
      </c>
      <c r="GA370">
        <v>26</v>
      </c>
      <c r="GB370">
        <v>-4.7063999999999986</v>
      </c>
      <c r="GC370">
        <v>-3.7719999999999994</v>
      </c>
      <c r="GD370">
        <v>7.0000000000000053</v>
      </c>
      <c r="GE370">
        <v>4.7063999999999986</v>
      </c>
      <c r="GF370">
        <v>0.58230000000000026</v>
      </c>
      <c r="GG370">
        <v>-8.2439999999999998</v>
      </c>
      <c r="GH370">
        <v>-42.12</v>
      </c>
      <c r="GI370">
        <v>7.0624000000000002</v>
      </c>
      <c r="GJ370">
        <v>7.3999999999999968</v>
      </c>
      <c r="GK370">
        <v>-4.0000000000000036E-2</v>
      </c>
      <c r="GL370">
        <v>1.72</v>
      </c>
    </row>
    <row r="371" spans="1:194" x14ac:dyDescent="0.2">
      <c r="A371" s="39">
        <v>43800</v>
      </c>
      <c r="B371" s="22" t="s">
        <v>241</v>
      </c>
      <c r="C371" s="41" t="s">
        <v>287</v>
      </c>
      <c r="D371" s="22" t="s">
        <v>278</v>
      </c>
      <c r="E371">
        <v>18.8</v>
      </c>
      <c r="F371">
        <v>19.7</v>
      </c>
      <c r="G371">
        <v>1.8</v>
      </c>
      <c r="H371">
        <v>3</v>
      </c>
      <c r="I371">
        <v>-4.5</v>
      </c>
      <c r="J371">
        <v>39</v>
      </c>
      <c r="K371" t="s">
        <v>110</v>
      </c>
      <c r="L371" s="1" t="s">
        <v>287</v>
      </c>
      <c r="M371">
        <v>26</v>
      </c>
      <c r="N371">
        <v>-3.528</v>
      </c>
      <c r="O371">
        <v>17</v>
      </c>
      <c r="P371">
        <v>17</v>
      </c>
      <c r="Q371">
        <v>17</v>
      </c>
      <c r="R371">
        <v>3.6400000000000786E-2</v>
      </c>
      <c r="S371">
        <v>17</v>
      </c>
      <c r="T371">
        <v>2.9999999999999987</v>
      </c>
      <c r="U371">
        <v>-0.56000000000000005</v>
      </c>
      <c r="V371">
        <v>3</v>
      </c>
      <c r="W371">
        <v>4.5</v>
      </c>
      <c r="X371">
        <v>1</v>
      </c>
      <c r="Y371">
        <v>7.1079999999999997</v>
      </c>
      <c r="Z371">
        <v>8</v>
      </c>
      <c r="AA371">
        <v>5.5600000000000014</v>
      </c>
      <c r="AB371">
        <v>2.84</v>
      </c>
      <c r="AC371">
        <v>9</v>
      </c>
      <c r="AD371">
        <v>10</v>
      </c>
      <c r="AE371">
        <v>9</v>
      </c>
      <c r="AF371">
        <v>3.3800000000000012</v>
      </c>
      <c r="AG371">
        <v>11</v>
      </c>
      <c r="AH371">
        <v>7.5600000000000023</v>
      </c>
      <c r="AI371">
        <v>2.44</v>
      </c>
      <c r="AJ371">
        <v>5</v>
      </c>
      <c r="AK371">
        <v>5.5</v>
      </c>
      <c r="AL371">
        <v>10</v>
      </c>
      <c r="AM371">
        <v>1.5839999999999992</v>
      </c>
      <c r="AN371">
        <v>1</v>
      </c>
      <c r="AO371">
        <v>33.760000000000005</v>
      </c>
      <c r="AP371">
        <v>-0.91999999999999993</v>
      </c>
      <c r="AQ371">
        <v>28</v>
      </c>
      <c r="AR371">
        <v>28.5</v>
      </c>
      <c r="AS371">
        <v>30</v>
      </c>
      <c r="AT371">
        <v>-3.8879999999999995</v>
      </c>
      <c r="AU371">
        <v>27</v>
      </c>
      <c r="AV371">
        <v>-18.839999999999996</v>
      </c>
      <c r="AW371">
        <v>-1.52</v>
      </c>
      <c r="AX371">
        <v>10</v>
      </c>
      <c r="AY371">
        <v>11</v>
      </c>
      <c r="AZ371">
        <v>11</v>
      </c>
      <c r="BA371">
        <v>2.2839999999999998</v>
      </c>
      <c r="BB371">
        <v>11</v>
      </c>
      <c r="BC371">
        <v>9.6399999999999988</v>
      </c>
      <c r="BD371">
        <v>0.68</v>
      </c>
      <c r="BE371">
        <v>26</v>
      </c>
      <c r="BF371">
        <v>26.5</v>
      </c>
      <c r="BG371">
        <v>27</v>
      </c>
      <c r="BH371">
        <v>-3.2680000000000016</v>
      </c>
      <c r="BI371">
        <v>26</v>
      </c>
      <c r="BJ371">
        <v>-11.48</v>
      </c>
      <c r="BK371">
        <v>-0.6000000000000002</v>
      </c>
      <c r="BL371">
        <v>4</v>
      </c>
      <c r="BM371">
        <v>7</v>
      </c>
      <c r="BN371">
        <v>11</v>
      </c>
      <c r="BO371">
        <v>1.3599999999999999</v>
      </c>
      <c r="BP371">
        <v>3</v>
      </c>
      <c r="BQ371">
        <v>0.91999999999999993</v>
      </c>
      <c r="BR371">
        <v>-1.4800000000000002</v>
      </c>
      <c r="BS371">
        <v>10</v>
      </c>
      <c r="BT371">
        <v>12.75</v>
      </c>
      <c r="BU371">
        <v>24</v>
      </c>
      <c r="BV371">
        <v>-3.6876266192844724E-2</v>
      </c>
      <c r="BW371">
        <v>12</v>
      </c>
      <c r="BX371">
        <v>4.4126193681262001E-3</v>
      </c>
      <c r="BY371">
        <v>7</v>
      </c>
      <c r="BZ371">
        <v>-5.3840000000000003</v>
      </c>
      <c r="CA371">
        <v>8</v>
      </c>
      <c r="CB371">
        <v>2.0400000000000005</v>
      </c>
      <c r="CC371">
        <v>-0.95999999999999941</v>
      </c>
      <c r="CD371">
        <v>-0.43999999999999984</v>
      </c>
      <c r="CE371">
        <v>-0.83999999999999986</v>
      </c>
      <c r="CF371">
        <v>6.3200000000000047</v>
      </c>
      <c r="CG371">
        <v>15.400000000000006</v>
      </c>
      <c r="CH371">
        <v>4.8000000000000025</v>
      </c>
      <c r="CI371">
        <v>0.52000000000000013</v>
      </c>
      <c r="CJ371">
        <v>-14.4</v>
      </c>
      <c r="CK371">
        <v>32</v>
      </c>
      <c r="CL371">
        <v>-10.6724</v>
      </c>
      <c r="CM371">
        <v>-4.7162000000000006</v>
      </c>
      <c r="CN371">
        <v>10.600000000000003</v>
      </c>
      <c r="CO371">
        <v>10.6724</v>
      </c>
      <c r="CP371">
        <v>0.34804999999999992</v>
      </c>
      <c r="CQ371">
        <v>1.076000000000001</v>
      </c>
      <c r="CR371">
        <v>22.480000000000011</v>
      </c>
      <c r="CS371">
        <v>7.1444000000000001</v>
      </c>
      <c r="CT371">
        <v>8.56</v>
      </c>
      <c r="CU371">
        <v>-0.6000000000000002</v>
      </c>
      <c r="CV371">
        <v>2.2799999999999998</v>
      </c>
      <c r="CW371">
        <v>-0.50552499999999989</v>
      </c>
      <c r="CX371">
        <v>-1.0126000000000002</v>
      </c>
      <c r="CY371" t="s">
        <v>278</v>
      </c>
      <c r="CZ371">
        <v>15</v>
      </c>
      <c r="DA371">
        <v>2.4800000000001533E-2</v>
      </c>
      <c r="DB371">
        <v>28</v>
      </c>
      <c r="DC371">
        <v>24.5</v>
      </c>
      <c r="DD371">
        <v>25</v>
      </c>
      <c r="DE371">
        <v>-2.2475999999999994</v>
      </c>
      <c r="DF371">
        <v>24</v>
      </c>
      <c r="DG371">
        <v>-6.8800000000000043</v>
      </c>
      <c r="DH371">
        <v>-4.0000000000000077E-2</v>
      </c>
      <c r="DI371">
        <v>28</v>
      </c>
      <c r="DJ371">
        <v>25.5</v>
      </c>
      <c r="DK371">
        <v>28</v>
      </c>
      <c r="DL371">
        <v>-2.1920000000000006</v>
      </c>
      <c r="DM371">
        <v>23</v>
      </c>
      <c r="DN371">
        <v>-5.68</v>
      </c>
      <c r="DO371">
        <v>-1.2</v>
      </c>
      <c r="DP371">
        <v>14</v>
      </c>
      <c r="DQ371">
        <v>8.5</v>
      </c>
      <c r="DR371">
        <v>9</v>
      </c>
      <c r="DS371">
        <v>1.7872000000000003</v>
      </c>
      <c r="DT371">
        <v>8</v>
      </c>
      <c r="DU371">
        <v>10.999999999999998</v>
      </c>
      <c r="DV371">
        <v>-2.2399999999999998</v>
      </c>
      <c r="DW371">
        <v>17</v>
      </c>
      <c r="DX371">
        <v>16.5</v>
      </c>
      <c r="DY371">
        <v>14</v>
      </c>
      <c r="DZ371">
        <v>0.24000000000000093</v>
      </c>
      <c r="EA371">
        <v>19</v>
      </c>
      <c r="EB371">
        <v>-4.839999999999999</v>
      </c>
      <c r="EC371">
        <v>2.04</v>
      </c>
      <c r="ED371">
        <v>15</v>
      </c>
      <c r="EE371">
        <v>7.5</v>
      </c>
      <c r="EF371">
        <v>9</v>
      </c>
      <c r="EG371">
        <v>0.52800000000000014</v>
      </c>
      <c r="EH371">
        <v>6</v>
      </c>
      <c r="EI371">
        <v>7.2800000000000011</v>
      </c>
      <c r="EJ371">
        <v>-0.1999999999999999</v>
      </c>
      <c r="EK371">
        <v>30</v>
      </c>
      <c r="EL371">
        <v>28.5</v>
      </c>
      <c r="EM371">
        <v>28</v>
      </c>
      <c r="EN371">
        <v>-5.3280000000000012</v>
      </c>
      <c r="EO371">
        <v>29</v>
      </c>
      <c r="EP371">
        <v>-28.079999999999995</v>
      </c>
      <c r="EQ371">
        <v>-2.5200000000000005</v>
      </c>
      <c r="ER371">
        <v>6</v>
      </c>
      <c r="ES371">
        <v>8</v>
      </c>
      <c r="ET371">
        <v>9</v>
      </c>
      <c r="EU371">
        <v>0.31199999999999972</v>
      </c>
      <c r="EV371">
        <v>7</v>
      </c>
      <c r="EW371">
        <v>5.5199999999999978</v>
      </c>
      <c r="EX371">
        <v>-0.31999999999999973</v>
      </c>
      <c r="EY371">
        <v>9</v>
      </c>
      <c r="EZ371">
        <v>9.5</v>
      </c>
      <c r="FA371">
        <v>8</v>
      </c>
      <c r="FB371">
        <v>1.5600000000000003</v>
      </c>
      <c r="FC371">
        <v>11</v>
      </c>
      <c r="FD371">
        <v>0.31999999999999995</v>
      </c>
      <c r="FE371">
        <v>-1</v>
      </c>
      <c r="FF371">
        <v>12</v>
      </c>
      <c r="FG371">
        <v>14.5</v>
      </c>
      <c r="FH371">
        <v>25</v>
      </c>
      <c r="FI371">
        <v>-2.5615673163275166E-2</v>
      </c>
      <c r="FJ371">
        <v>6</v>
      </c>
      <c r="FK371">
        <v>2.0068736684871667E-2</v>
      </c>
      <c r="FL371">
        <v>10</v>
      </c>
      <c r="FM371">
        <v>-3.0720000000000001</v>
      </c>
      <c r="FN371">
        <v>17</v>
      </c>
      <c r="FO371">
        <v>-8.0000000000000071E-2</v>
      </c>
      <c r="FP371">
        <v>-1.5999999999999992</v>
      </c>
      <c r="FQ371">
        <v>0.19999999999999929</v>
      </c>
      <c r="FR371">
        <v>1.04</v>
      </c>
      <c r="FS371">
        <v>0.27999999999999969</v>
      </c>
      <c r="FT371">
        <v>-2.2800000000000002</v>
      </c>
      <c r="FU371">
        <v>-0.43999999999999995</v>
      </c>
      <c r="FV371">
        <v>4.5200000000000049</v>
      </c>
      <c r="FW371">
        <v>9.1199999999999992</v>
      </c>
      <c r="FX371">
        <v>-13.199999999999998</v>
      </c>
      <c r="FY371">
        <v>-2.9200000000000004</v>
      </c>
      <c r="FZ371">
        <v>11.52</v>
      </c>
      <c r="GA371">
        <v>7</v>
      </c>
      <c r="GB371">
        <v>4.4644000000000013</v>
      </c>
      <c r="GC371">
        <v>2.7982000000000005</v>
      </c>
      <c r="GD371">
        <v>22.319999999999997</v>
      </c>
      <c r="GE371">
        <v>-4.4644000000000021</v>
      </c>
      <c r="GF371">
        <v>1.5500000000004677E-3</v>
      </c>
      <c r="GG371">
        <v>2.5552000000000015</v>
      </c>
      <c r="GH371">
        <v>13.440000000000001</v>
      </c>
      <c r="GI371">
        <v>-4.4396000000000004</v>
      </c>
      <c r="GJ371">
        <v>-12.560000000000004</v>
      </c>
      <c r="GK371">
        <v>-0.71999999999999931</v>
      </c>
      <c r="GL371">
        <v>-1.24</v>
      </c>
    </row>
    <row r="372" spans="1:194" x14ac:dyDescent="0.2">
      <c r="A372" s="39">
        <v>43800</v>
      </c>
      <c r="B372" s="22" t="s">
        <v>241</v>
      </c>
      <c r="C372" s="41" t="s">
        <v>304</v>
      </c>
      <c r="D372" s="22" t="s">
        <v>285</v>
      </c>
      <c r="E372" s="14">
        <v>18.5</v>
      </c>
      <c r="F372">
        <v>33.200000000000003</v>
      </c>
      <c r="G372">
        <v>7.9</v>
      </c>
      <c r="H372">
        <v>26.7</v>
      </c>
      <c r="I372">
        <v>-2.5</v>
      </c>
      <c r="J372">
        <v>47</v>
      </c>
      <c r="K372" t="s">
        <v>109</v>
      </c>
      <c r="L372" s="1" t="s">
        <v>304</v>
      </c>
      <c r="M372">
        <v>25</v>
      </c>
      <c r="N372">
        <v>-3.3136000000000001</v>
      </c>
      <c r="O372">
        <v>12</v>
      </c>
      <c r="P372">
        <v>14.5</v>
      </c>
      <c r="Q372">
        <v>15</v>
      </c>
      <c r="R372">
        <v>-0.19199999999999964</v>
      </c>
      <c r="S372">
        <v>14</v>
      </c>
      <c r="T372">
        <v>-1.8800000000000012</v>
      </c>
      <c r="U372">
        <v>-0.39999999999999991</v>
      </c>
      <c r="V372">
        <v>21</v>
      </c>
      <c r="W372">
        <v>19</v>
      </c>
      <c r="X372">
        <v>21</v>
      </c>
      <c r="Y372">
        <v>-1.5640000000000001</v>
      </c>
      <c r="Z372">
        <v>17</v>
      </c>
      <c r="AA372">
        <v>0.87999999999999967</v>
      </c>
      <c r="AB372">
        <v>-1.2</v>
      </c>
      <c r="AC372">
        <v>12</v>
      </c>
      <c r="AD372">
        <v>13</v>
      </c>
      <c r="AE372">
        <v>13</v>
      </c>
      <c r="AF372">
        <v>-0.88799999999999957</v>
      </c>
      <c r="AG372">
        <v>13</v>
      </c>
      <c r="AH372">
        <v>-0.35999999999999943</v>
      </c>
      <c r="AI372">
        <v>-1.1599999999999999</v>
      </c>
      <c r="AJ372">
        <v>4</v>
      </c>
      <c r="AK372">
        <v>4.5</v>
      </c>
      <c r="AL372">
        <v>7</v>
      </c>
      <c r="AM372">
        <v>2.88</v>
      </c>
      <c r="AN372">
        <v>2</v>
      </c>
      <c r="AO372">
        <v>33.04</v>
      </c>
      <c r="AP372">
        <v>2</v>
      </c>
      <c r="AQ372">
        <v>8</v>
      </c>
      <c r="AR372">
        <v>8.5</v>
      </c>
      <c r="AS372">
        <v>8</v>
      </c>
      <c r="AT372">
        <v>1.8559999999999999</v>
      </c>
      <c r="AU372">
        <v>9</v>
      </c>
      <c r="AV372">
        <v>9.120000000000001</v>
      </c>
      <c r="AW372">
        <v>0.95999999999999974</v>
      </c>
      <c r="AX372">
        <v>5</v>
      </c>
      <c r="AY372">
        <v>5</v>
      </c>
      <c r="AZ372">
        <v>8</v>
      </c>
      <c r="BA372">
        <v>3.3360000000000012</v>
      </c>
      <c r="BB372">
        <v>2</v>
      </c>
      <c r="BC372">
        <v>34.56</v>
      </c>
      <c r="BD372">
        <v>-8.0000000000000071E-2</v>
      </c>
      <c r="BE372">
        <v>12</v>
      </c>
      <c r="BF372">
        <v>12.5</v>
      </c>
      <c r="BG372">
        <v>14</v>
      </c>
      <c r="BH372">
        <v>0.40399999999999991</v>
      </c>
      <c r="BI372">
        <v>11</v>
      </c>
      <c r="BJ372">
        <v>8.639999999999997</v>
      </c>
      <c r="BK372">
        <v>0.59999999999999964</v>
      </c>
      <c r="BL372">
        <v>16</v>
      </c>
      <c r="BM372">
        <v>15.5</v>
      </c>
      <c r="BN372">
        <v>18</v>
      </c>
      <c r="BO372">
        <v>0</v>
      </c>
      <c r="BP372">
        <v>13</v>
      </c>
      <c r="BQ372">
        <v>7.9999999999999988E-2</v>
      </c>
      <c r="BR372">
        <v>2.8400000000000007</v>
      </c>
      <c r="BS372">
        <v>23</v>
      </c>
      <c r="BT372">
        <v>20.5</v>
      </c>
      <c r="BU372">
        <v>32</v>
      </c>
      <c r="BV372">
        <v>-8.5004429442833082E-2</v>
      </c>
      <c r="BW372">
        <v>29</v>
      </c>
      <c r="BX372">
        <v>-2.7434284153857937E-2</v>
      </c>
      <c r="BY372">
        <v>8</v>
      </c>
      <c r="BZ372">
        <v>-4.4800000000000013</v>
      </c>
      <c r="CA372">
        <v>13</v>
      </c>
      <c r="CB372">
        <v>0.44000000000000006</v>
      </c>
      <c r="CC372">
        <v>-3.3599999999999994</v>
      </c>
      <c r="CD372">
        <v>-1.3199999999999998</v>
      </c>
      <c r="CE372">
        <v>1.64</v>
      </c>
      <c r="CF372">
        <v>14.119999999999994</v>
      </c>
      <c r="CG372">
        <v>30.440000000000005</v>
      </c>
      <c r="CH372">
        <v>-2.8799999999999981</v>
      </c>
      <c r="CI372">
        <v>-2.52</v>
      </c>
      <c r="CJ372">
        <v>-10.920000000000002</v>
      </c>
      <c r="CK372">
        <v>17</v>
      </c>
      <c r="CL372">
        <v>-1.5576000000000003</v>
      </c>
      <c r="CM372">
        <v>1.0656799999999997</v>
      </c>
      <c r="CN372">
        <v>33.32</v>
      </c>
      <c r="CO372">
        <v>1.5576000000000003</v>
      </c>
      <c r="CP372">
        <v>-0.10219999999999996</v>
      </c>
      <c r="CQ372">
        <v>3.8480000000000003</v>
      </c>
      <c r="CR372">
        <v>41.8</v>
      </c>
      <c r="CS372">
        <v>-1.7559999999999998</v>
      </c>
      <c r="CT372">
        <v>-1.0000000000000016</v>
      </c>
      <c r="CU372">
        <v>2.3999999999999995</v>
      </c>
      <c r="CV372">
        <v>-1.5999999999999999</v>
      </c>
      <c r="CW372">
        <v>1.6747624999999999</v>
      </c>
      <c r="CX372">
        <v>6.4524999999999944E-2</v>
      </c>
      <c r="CY372" t="s">
        <v>285</v>
      </c>
      <c r="CZ372">
        <v>1</v>
      </c>
      <c r="DA372">
        <v>10.772000000000002</v>
      </c>
      <c r="DB372">
        <v>16</v>
      </c>
      <c r="DC372">
        <v>16.5</v>
      </c>
      <c r="DD372">
        <v>12</v>
      </c>
      <c r="DE372">
        <v>1.4520000000000006</v>
      </c>
      <c r="DF372">
        <v>21</v>
      </c>
      <c r="DG372">
        <v>-3.12</v>
      </c>
      <c r="DH372">
        <v>1.0399999999999998</v>
      </c>
      <c r="DI372">
        <v>11</v>
      </c>
      <c r="DJ372">
        <v>14</v>
      </c>
      <c r="DK372">
        <v>23</v>
      </c>
      <c r="DL372">
        <v>-1.3479999999999992</v>
      </c>
      <c r="DM372">
        <v>5</v>
      </c>
      <c r="DN372">
        <v>7.7199999999999989</v>
      </c>
      <c r="DO372">
        <v>-4.0000000000000077E-2</v>
      </c>
      <c r="DP372">
        <v>8</v>
      </c>
      <c r="DQ372">
        <v>7</v>
      </c>
      <c r="DR372">
        <v>7</v>
      </c>
      <c r="DS372">
        <v>4.9679999999999982</v>
      </c>
      <c r="DT372">
        <v>7</v>
      </c>
      <c r="DU372">
        <v>12.320000000000002</v>
      </c>
      <c r="DV372">
        <v>0.76</v>
      </c>
      <c r="DW372">
        <v>1</v>
      </c>
      <c r="DX372">
        <v>1.5</v>
      </c>
      <c r="DY372">
        <v>2</v>
      </c>
      <c r="DZ372">
        <v>7.1239999999999997</v>
      </c>
      <c r="EA372">
        <v>1</v>
      </c>
      <c r="EB372">
        <v>29.6</v>
      </c>
      <c r="EC372">
        <v>2.4400000000000004</v>
      </c>
      <c r="ED372">
        <v>4</v>
      </c>
      <c r="EE372">
        <v>5.5</v>
      </c>
      <c r="EF372">
        <v>4</v>
      </c>
      <c r="EG372">
        <v>1.1159999999999999</v>
      </c>
      <c r="EH372">
        <v>7</v>
      </c>
      <c r="EI372">
        <v>6.2800000000000011</v>
      </c>
      <c r="EJ372">
        <v>-1.08</v>
      </c>
      <c r="EK372">
        <v>1</v>
      </c>
      <c r="EL372">
        <v>1.5</v>
      </c>
      <c r="EM372">
        <v>2</v>
      </c>
      <c r="EN372">
        <v>8.36</v>
      </c>
      <c r="EO372">
        <v>1</v>
      </c>
      <c r="EP372">
        <v>41.599999999999994</v>
      </c>
      <c r="EQ372">
        <v>3.12</v>
      </c>
      <c r="ER372">
        <v>5</v>
      </c>
      <c r="ES372">
        <v>6</v>
      </c>
      <c r="ET372">
        <v>4</v>
      </c>
      <c r="EU372">
        <v>2.9959999999999996</v>
      </c>
      <c r="EV372">
        <v>8</v>
      </c>
      <c r="EW372">
        <v>3.72</v>
      </c>
      <c r="EX372">
        <v>-3.16</v>
      </c>
      <c r="EY372">
        <v>19</v>
      </c>
      <c r="EZ372">
        <v>20.5</v>
      </c>
      <c r="FA372">
        <v>19</v>
      </c>
      <c r="FB372">
        <v>-0.8</v>
      </c>
      <c r="FC372">
        <v>22</v>
      </c>
      <c r="FD372">
        <v>-0.48000000000000009</v>
      </c>
      <c r="FE372">
        <v>0.36000000000000015</v>
      </c>
      <c r="FF372">
        <v>26</v>
      </c>
      <c r="FG372">
        <v>22</v>
      </c>
      <c r="FH372">
        <v>5</v>
      </c>
      <c r="FI372">
        <v>5.741172916876254E-2</v>
      </c>
      <c r="FJ372">
        <v>31</v>
      </c>
      <c r="FK372">
        <v>-2.5969953460242889E-2</v>
      </c>
      <c r="FL372">
        <v>20</v>
      </c>
      <c r="FM372">
        <v>1.1240000000000065</v>
      </c>
      <c r="FN372">
        <v>32</v>
      </c>
      <c r="FO372">
        <v>-4.4799999999999995</v>
      </c>
      <c r="FP372">
        <v>6.4800000000000022</v>
      </c>
      <c r="FQ372">
        <v>2.0799999999999996</v>
      </c>
      <c r="FR372">
        <v>-0.40000000000000008</v>
      </c>
      <c r="FS372">
        <v>6.8</v>
      </c>
      <c r="FT372">
        <v>6.16</v>
      </c>
      <c r="FU372">
        <v>0.20000000000000009</v>
      </c>
      <c r="FV372">
        <v>81.160000000000011</v>
      </c>
      <c r="FW372">
        <v>83.880000000000024</v>
      </c>
      <c r="FX372">
        <v>1.4400000000000006</v>
      </c>
      <c r="FY372">
        <v>-3.28</v>
      </c>
      <c r="FZ372">
        <v>-0.88000000000000012</v>
      </c>
      <c r="GA372">
        <v>1</v>
      </c>
      <c r="GB372">
        <v>10.668000000000001</v>
      </c>
      <c r="GC372">
        <v>5.3431999999999995</v>
      </c>
      <c r="GD372">
        <v>82.440000000000026</v>
      </c>
      <c r="GE372">
        <v>-10.668000000000001</v>
      </c>
      <c r="GF372">
        <v>3.2849999999999997</v>
      </c>
      <c r="GG372">
        <v>13.207999999999998</v>
      </c>
      <c r="GH372">
        <v>48.2</v>
      </c>
      <c r="GI372">
        <v>0.10400000000000142</v>
      </c>
      <c r="GJ372">
        <v>4.5999999999999988</v>
      </c>
      <c r="GK372">
        <v>-1.04</v>
      </c>
      <c r="GL372">
        <v>0.99999999999999978</v>
      </c>
    </row>
    <row r="373" spans="1:194" x14ac:dyDescent="0.2">
      <c r="A373" s="39">
        <v>43800</v>
      </c>
      <c r="B373" s="22" t="s">
        <v>241</v>
      </c>
      <c r="C373" s="41" t="s">
        <v>293</v>
      </c>
      <c r="D373" s="22" t="s">
        <v>294</v>
      </c>
      <c r="E373">
        <v>37.9</v>
      </c>
      <c r="F373">
        <v>11.3</v>
      </c>
      <c r="G373">
        <v>6.3</v>
      </c>
      <c r="H373">
        <f>18.9+3.3</f>
        <v>22.2</v>
      </c>
      <c r="I373">
        <v>10.5</v>
      </c>
      <c r="J373">
        <v>45</v>
      </c>
      <c r="L373" s="1" t="s">
        <v>293</v>
      </c>
      <c r="M373">
        <v>3</v>
      </c>
      <c r="N373">
        <v>5.5136000000000003</v>
      </c>
      <c r="O373">
        <v>31</v>
      </c>
      <c r="P373">
        <v>29</v>
      </c>
      <c r="Q373">
        <v>27</v>
      </c>
      <c r="R373">
        <v>-3.4920000000000018</v>
      </c>
      <c r="S373">
        <v>31</v>
      </c>
      <c r="T373">
        <v>-26.360000000000003</v>
      </c>
      <c r="U373">
        <v>-0.27999999999999997</v>
      </c>
      <c r="V373">
        <v>26</v>
      </c>
      <c r="W373">
        <v>24.5</v>
      </c>
      <c r="X373">
        <v>23</v>
      </c>
      <c r="Y373">
        <v>-0.85200000000000009</v>
      </c>
      <c r="Z373">
        <v>26</v>
      </c>
      <c r="AA373">
        <v>-8.7199999999999989</v>
      </c>
      <c r="AB373">
        <v>-0.31999999999999995</v>
      </c>
      <c r="AC373">
        <v>1</v>
      </c>
      <c r="AD373">
        <v>1.5</v>
      </c>
      <c r="AE373">
        <v>2</v>
      </c>
      <c r="AF373">
        <v>8.2680000000000007</v>
      </c>
      <c r="AG373">
        <v>1</v>
      </c>
      <c r="AH373">
        <v>38.17</v>
      </c>
      <c r="AI373">
        <v>1.5</v>
      </c>
      <c r="AJ373">
        <v>18</v>
      </c>
      <c r="AK373">
        <v>18.5</v>
      </c>
      <c r="AL373">
        <v>18</v>
      </c>
      <c r="AM373">
        <v>-0.66000000000000048</v>
      </c>
      <c r="AN373">
        <v>19</v>
      </c>
      <c r="AO373">
        <v>-9.3599999999999977</v>
      </c>
      <c r="AP373">
        <v>-0.64</v>
      </c>
      <c r="AQ373">
        <v>5</v>
      </c>
      <c r="AR373">
        <v>5.5</v>
      </c>
      <c r="AS373">
        <v>4</v>
      </c>
      <c r="AT373">
        <v>3.2519999999999998</v>
      </c>
      <c r="AU373">
        <v>7</v>
      </c>
      <c r="AV373">
        <v>10.84</v>
      </c>
      <c r="AW373">
        <v>1.44</v>
      </c>
      <c r="AX373">
        <v>1</v>
      </c>
      <c r="AY373">
        <v>1</v>
      </c>
      <c r="AZ373">
        <v>1</v>
      </c>
      <c r="BA373">
        <v>10.512</v>
      </c>
      <c r="BB373">
        <v>1</v>
      </c>
      <c r="BC373">
        <v>35.92</v>
      </c>
      <c r="BD373">
        <v>5.3600000000000012</v>
      </c>
      <c r="BE373">
        <v>10</v>
      </c>
      <c r="BF373">
        <v>11</v>
      </c>
      <c r="BG373">
        <v>12</v>
      </c>
      <c r="BH373">
        <v>2.7</v>
      </c>
      <c r="BI373">
        <v>10</v>
      </c>
      <c r="BJ373">
        <v>12.6</v>
      </c>
      <c r="BK373">
        <v>1.64</v>
      </c>
      <c r="BL373">
        <v>13</v>
      </c>
      <c r="BM373">
        <v>12</v>
      </c>
      <c r="BN373">
        <v>3</v>
      </c>
      <c r="BO373">
        <v>2.2159999999999997</v>
      </c>
      <c r="BP373">
        <v>21</v>
      </c>
      <c r="BQ373">
        <v>-0.24000000000000007</v>
      </c>
      <c r="BR373">
        <v>-1.8399999999999999</v>
      </c>
      <c r="BS373">
        <v>16</v>
      </c>
      <c r="BT373">
        <v>14.5</v>
      </c>
      <c r="BU373">
        <v>12</v>
      </c>
      <c r="BV373">
        <v>2.6271949346686814E-2</v>
      </c>
      <c r="BW373">
        <v>10</v>
      </c>
      <c r="BX373">
        <v>5.5679443149534626E-3</v>
      </c>
      <c r="BY373">
        <v>14</v>
      </c>
      <c r="BZ373">
        <v>-1.231999999999998</v>
      </c>
      <c r="CA373">
        <v>22</v>
      </c>
      <c r="CB373">
        <v>-1.56</v>
      </c>
      <c r="CC373">
        <v>4.1599999999999993</v>
      </c>
      <c r="CD373">
        <v>5.64</v>
      </c>
      <c r="CE373">
        <v>0.72</v>
      </c>
      <c r="CF373">
        <v>21</v>
      </c>
      <c r="CG373">
        <v>45.440000000000005</v>
      </c>
      <c r="CH373">
        <v>-32.32</v>
      </c>
      <c r="CI373">
        <v>5.2</v>
      </c>
      <c r="CJ373">
        <v>2.6799999999999997</v>
      </c>
      <c r="CK373">
        <v>1</v>
      </c>
      <c r="CL373">
        <v>9.8576000000000015</v>
      </c>
      <c r="CM373">
        <v>5.9867200000000009</v>
      </c>
      <c r="CN373">
        <v>77.760000000000005</v>
      </c>
      <c r="CO373">
        <v>-9.8576000000000015</v>
      </c>
      <c r="CP373">
        <v>2.1181999999999999</v>
      </c>
      <c r="CQ373">
        <v>10.86</v>
      </c>
      <c r="CR373">
        <v>39.650000000000006</v>
      </c>
      <c r="CS373">
        <v>-4.3440000000000021</v>
      </c>
      <c r="CT373">
        <v>-35.08</v>
      </c>
      <c r="CU373">
        <v>3.9399999999999995</v>
      </c>
      <c r="CV373">
        <v>-0.59999999999999987</v>
      </c>
      <c r="CW373">
        <v>0.35110000000000019</v>
      </c>
      <c r="CX373">
        <v>2.2844000000000002</v>
      </c>
      <c r="CY373" t="s">
        <v>294</v>
      </c>
      <c r="CZ373">
        <v>30</v>
      </c>
      <c r="DA373">
        <v>-4.9687999999999981</v>
      </c>
      <c r="DB373">
        <v>18</v>
      </c>
      <c r="DC373">
        <v>19.5</v>
      </c>
      <c r="DD373">
        <v>7</v>
      </c>
      <c r="DE373">
        <v>2.3880000000000008</v>
      </c>
      <c r="DF373">
        <v>32</v>
      </c>
      <c r="DG373">
        <v>-30.4</v>
      </c>
      <c r="DH373">
        <v>1.72</v>
      </c>
      <c r="DI373">
        <v>5</v>
      </c>
      <c r="DJ373">
        <v>8</v>
      </c>
      <c r="DK373">
        <v>13</v>
      </c>
      <c r="DL373">
        <v>1.9999999999999751E-2</v>
      </c>
      <c r="DM373">
        <v>3</v>
      </c>
      <c r="DN373">
        <v>14.080000000000002</v>
      </c>
      <c r="DO373">
        <v>-0.32000000000000006</v>
      </c>
      <c r="DP373">
        <v>30</v>
      </c>
      <c r="DQ373">
        <v>24</v>
      </c>
      <c r="DR373">
        <v>24</v>
      </c>
      <c r="DS373">
        <v>-3.8808000000000007</v>
      </c>
      <c r="DT373">
        <v>24</v>
      </c>
      <c r="DU373">
        <v>-15.6</v>
      </c>
      <c r="DV373">
        <v>-1.8</v>
      </c>
      <c r="DW373">
        <v>31</v>
      </c>
      <c r="DX373">
        <v>30.5</v>
      </c>
      <c r="DY373">
        <v>30</v>
      </c>
      <c r="DZ373">
        <v>-4.6319999999999997</v>
      </c>
      <c r="EA373">
        <v>31</v>
      </c>
      <c r="EB373">
        <v>-22.720000000000002</v>
      </c>
      <c r="EC373">
        <v>-2.12</v>
      </c>
      <c r="ED373">
        <v>29</v>
      </c>
      <c r="EE373">
        <v>20</v>
      </c>
      <c r="EF373">
        <v>18</v>
      </c>
      <c r="EG373">
        <v>-0.35599999999999976</v>
      </c>
      <c r="EH373">
        <v>22</v>
      </c>
      <c r="EI373">
        <v>-4.5599999999999996</v>
      </c>
      <c r="EJ373">
        <v>-1.2</v>
      </c>
      <c r="EK373">
        <v>32</v>
      </c>
      <c r="EL373">
        <v>32</v>
      </c>
      <c r="EM373">
        <v>32</v>
      </c>
      <c r="EN373">
        <v>-8.6120000000000001</v>
      </c>
      <c r="EO373">
        <v>32</v>
      </c>
      <c r="EP373">
        <v>-43.72</v>
      </c>
      <c r="EQ373">
        <v>-2.6399999999999997</v>
      </c>
      <c r="ER373">
        <v>8</v>
      </c>
      <c r="ES373">
        <v>8.5</v>
      </c>
      <c r="ET373">
        <v>12</v>
      </c>
      <c r="EU373">
        <v>0.15599999999999969</v>
      </c>
      <c r="EV373">
        <v>5</v>
      </c>
      <c r="EW373">
        <v>7.56</v>
      </c>
      <c r="EX373">
        <v>0.88000000000000012</v>
      </c>
      <c r="EY373">
        <v>31</v>
      </c>
      <c r="EZ373">
        <v>28.5</v>
      </c>
      <c r="FA373">
        <v>26</v>
      </c>
      <c r="FB373">
        <v>-1.3840000000000003</v>
      </c>
      <c r="FC373">
        <v>31</v>
      </c>
      <c r="FD373">
        <v>-0.76</v>
      </c>
      <c r="FE373">
        <v>1.7763568394002506E-16</v>
      </c>
      <c r="FF373">
        <v>4</v>
      </c>
      <c r="FG373">
        <v>8.75</v>
      </c>
      <c r="FH373">
        <v>3</v>
      </c>
      <c r="FI373">
        <v>6.8284932758726116E-2</v>
      </c>
      <c r="FJ373">
        <v>4</v>
      </c>
      <c r="FK373">
        <v>2.3489460581433919E-2</v>
      </c>
      <c r="FL373">
        <v>14</v>
      </c>
      <c r="FM373">
        <v>-1.6559999999999959</v>
      </c>
      <c r="FN373">
        <v>14</v>
      </c>
      <c r="FO373">
        <v>0.4</v>
      </c>
      <c r="FP373">
        <v>-1.6400000000000006</v>
      </c>
      <c r="FQ373">
        <v>-5.3599999999999994</v>
      </c>
      <c r="FR373">
        <v>-0.48000000000000009</v>
      </c>
      <c r="FS373">
        <v>-6.68</v>
      </c>
      <c r="FT373">
        <v>-2.4799999999999995</v>
      </c>
      <c r="FU373">
        <v>-1</v>
      </c>
      <c r="FV373">
        <v>-43.56</v>
      </c>
      <c r="FW373">
        <v>-28.119999999999997</v>
      </c>
      <c r="FX373">
        <v>-18.32</v>
      </c>
      <c r="FY373">
        <v>5.0400000000000009</v>
      </c>
      <c r="FZ373">
        <v>-2.16</v>
      </c>
      <c r="GA373">
        <v>31</v>
      </c>
      <c r="GB373">
        <v>-7.3767999999999985</v>
      </c>
      <c r="GC373">
        <v>-3.9403200000000003</v>
      </c>
      <c r="GD373">
        <v>-9.7999999999999972</v>
      </c>
      <c r="GE373">
        <v>7.3767999999999985</v>
      </c>
      <c r="GF373">
        <v>-1.5821999999999998</v>
      </c>
      <c r="GG373">
        <v>-8.8688000000000002</v>
      </c>
      <c r="GH373">
        <v>-42.88</v>
      </c>
      <c r="GI373">
        <v>2.4080000000000004</v>
      </c>
      <c r="GJ373">
        <v>-16.319999999999997</v>
      </c>
      <c r="GK373">
        <v>-4.24</v>
      </c>
      <c r="GL373">
        <v>1.4</v>
      </c>
    </row>
    <row r="374" spans="1:194" x14ac:dyDescent="0.2">
      <c r="A374" s="39">
        <v>43800</v>
      </c>
      <c r="B374" s="22" t="s">
        <v>241</v>
      </c>
      <c r="C374" s="41" t="s">
        <v>312</v>
      </c>
      <c r="D374" s="22" t="s">
        <v>308</v>
      </c>
      <c r="E374" s="3">
        <v>9.1999999999999993</v>
      </c>
      <c r="F374">
        <v>12.8</v>
      </c>
      <c r="G374">
        <v>1.1000000000000001</v>
      </c>
      <c r="H374">
        <f>15+2.8+1.6</f>
        <v>19.400000000000002</v>
      </c>
      <c r="I374">
        <v>2.5</v>
      </c>
      <c r="J374">
        <v>48</v>
      </c>
      <c r="L374" s="1" t="s">
        <v>312</v>
      </c>
      <c r="M374">
        <v>16</v>
      </c>
      <c r="N374">
        <v>0.23520000000000074</v>
      </c>
      <c r="O374">
        <v>12</v>
      </c>
      <c r="P374">
        <v>14.5</v>
      </c>
      <c r="Q374">
        <v>7</v>
      </c>
      <c r="R374">
        <v>3.3664000000000001</v>
      </c>
      <c r="S374">
        <v>22</v>
      </c>
      <c r="T374">
        <v>-9.0399999999999974</v>
      </c>
      <c r="U374">
        <v>1.8399999999999999</v>
      </c>
      <c r="V374">
        <v>5</v>
      </c>
      <c r="W374">
        <v>8</v>
      </c>
      <c r="X374">
        <v>13</v>
      </c>
      <c r="Y374">
        <v>0.59200000000000019</v>
      </c>
      <c r="Z374">
        <v>3</v>
      </c>
      <c r="AA374">
        <v>15</v>
      </c>
      <c r="AB374">
        <v>0.43999999999999984</v>
      </c>
      <c r="AC374">
        <v>16</v>
      </c>
      <c r="AD374">
        <v>17</v>
      </c>
      <c r="AE374">
        <v>18</v>
      </c>
      <c r="AF374">
        <v>-0.79080000000000017</v>
      </c>
      <c r="AG374">
        <v>16</v>
      </c>
      <c r="AH374">
        <v>-1.4099999999999995</v>
      </c>
      <c r="AI374">
        <v>-0.65999999999999992</v>
      </c>
      <c r="AJ374">
        <v>23</v>
      </c>
      <c r="AK374">
        <v>22</v>
      </c>
      <c r="AL374">
        <v>26</v>
      </c>
      <c r="AM374">
        <v>-3.4790000000000001</v>
      </c>
      <c r="AN374">
        <v>18</v>
      </c>
      <c r="AO374">
        <v>-6.1099999999999994</v>
      </c>
      <c r="AP374">
        <v>-1.3</v>
      </c>
      <c r="AQ374">
        <v>27</v>
      </c>
      <c r="AR374">
        <v>28</v>
      </c>
      <c r="AS374">
        <v>27</v>
      </c>
      <c r="AT374">
        <v>-3.141</v>
      </c>
      <c r="AU374">
        <v>29</v>
      </c>
      <c r="AV374">
        <v>-19.330000000000002</v>
      </c>
      <c r="AW374">
        <v>-2.04</v>
      </c>
      <c r="AX374">
        <v>29</v>
      </c>
      <c r="AY374">
        <v>29</v>
      </c>
      <c r="AZ374">
        <v>29</v>
      </c>
      <c r="BA374">
        <v>-7.3960000000000008</v>
      </c>
      <c r="BB374">
        <v>29</v>
      </c>
      <c r="BC374">
        <v>-32.36</v>
      </c>
      <c r="BD374">
        <v>-4.2</v>
      </c>
      <c r="BE374">
        <v>5</v>
      </c>
      <c r="BF374">
        <v>6</v>
      </c>
      <c r="BG374">
        <v>3</v>
      </c>
      <c r="BH374">
        <v>7.0280000000000005</v>
      </c>
      <c r="BI374">
        <v>9</v>
      </c>
      <c r="BJ374">
        <v>12.027200000000001</v>
      </c>
      <c r="BK374">
        <v>2.44</v>
      </c>
      <c r="BL374">
        <v>26</v>
      </c>
      <c r="BM374">
        <v>25</v>
      </c>
      <c r="BN374">
        <v>21</v>
      </c>
      <c r="BO374">
        <v>-0.11999999999999958</v>
      </c>
      <c r="BP374">
        <v>29</v>
      </c>
      <c r="BQ374">
        <v>-0.68</v>
      </c>
      <c r="BR374">
        <v>0.24000000000000021</v>
      </c>
      <c r="BS374">
        <v>28</v>
      </c>
      <c r="BT374">
        <v>24.5</v>
      </c>
      <c r="BU374">
        <v>22</v>
      </c>
      <c r="BV374">
        <v>-2.3518700930387999E-2</v>
      </c>
      <c r="BW374">
        <v>27</v>
      </c>
      <c r="BX374">
        <v>-2.2740671519998597E-2</v>
      </c>
      <c r="BY374">
        <v>22</v>
      </c>
      <c r="BZ374">
        <v>1.656000000000003</v>
      </c>
      <c r="CA374">
        <v>27</v>
      </c>
      <c r="CB374">
        <v>-3.72</v>
      </c>
      <c r="CC374">
        <v>-3.1599999999999966</v>
      </c>
      <c r="CD374">
        <v>2.7600000000000002</v>
      </c>
      <c r="CE374">
        <v>0.56000000000000005</v>
      </c>
      <c r="CF374">
        <v>-4.0399999999999974</v>
      </c>
      <c r="CG374">
        <v>8.6800000000000015</v>
      </c>
      <c r="CH374">
        <v>-1.1199999999999961</v>
      </c>
      <c r="CI374">
        <v>4.7200000000000006</v>
      </c>
      <c r="CJ374">
        <v>-16.32</v>
      </c>
      <c r="CK374">
        <v>20</v>
      </c>
      <c r="CL374">
        <v>-3.7231999999999994</v>
      </c>
      <c r="CM374">
        <v>-2.0087199999999998</v>
      </c>
      <c r="CN374">
        <v>9.7999999999999972</v>
      </c>
      <c r="CO374">
        <v>3.7231999999999994</v>
      </c>
      <c r="CP374">
        <v>0.4613500000000002</v>
      </c>
      <c r="CQ374">
        <v>-7.4108000000000001</v>
      </c>
      <c r="CR374">
        <v>-26.85</v>
      </c>
      <c r="CS374">
        <v>3.9584000000000001</v>
      </c>
      <c r="CT374">
        <v>5.9600000000000026</v>
      </c>
      <c r="CU374">
        <v>-1.56</v>
      </c>
      <c r="CV374">
        <v>2.2799999999999998</v>
      </c>
      <c r="CW374">
        <v>0.98753750000000018</v>
      </c>
      <c r="CX374">
        <v>1.0906000000000002</v>
      </c>
      <c r="CY374" t="s">
        <v>308</v>
      </c>
      <c r="CZ374">
        <v>17</v>
      </c>
      <c r="DA374">
        <v>-0.96160000000000034</v>
      </c>
      <c r="DB374">
        <v>24</v>
      </c>
      <c r="DC374">
        <v>22</v>
      </c>
      <c r="DD374">
        <v>18</v>
      </c>
      <c r="DE374">
        <v>-0.75560000000000083</v>
      </c>
      <c r="DF374">
        <v>26</v>
      </c>
      <c r="DG374">
        <v>-7.4000000000000012</v>
      </c>
      <c r="DH374">
        <v>0.48</v>
      </c>
      <c r="DI374">
        <v>25</v>
      </c>
      <c r="DJ374">
        <v>22.5</v>
      </c>
      <c r="DK374">
        <v>16</v>
      </c>
      <c r="DL374">
        <v>-0.59599999999999942</v>
      </c>
      <c r="DM374">
        <v>29</v>
      </c>
      <c r="DN374">
        <v>-9.68</v>
      </c>
      <c r="DO374">
        <v>-0.24</v>
      </c>
      <c r="DP374">
        <v>5</v>
      </c>
      <c r="DQ374">
        <v>3.5</v>
      </c>
      <c r="DR374">
        <v>3</v>
      </c>
      <c r="DS374">
        <v>8.82</v>
      </c>
      <c r="DT374">
        <v>4</v>
      </c>
      <c r="DU374">
        <v>33.700000000000003</v>
      </c>
      <c r="DV374">
        <v>1.75</v>
      </c>
      <c r="DW374">
        <v>19</v>
      </c>
      <c r="DX374">
        <v>17.5</v>
      </c>
      <c r="DY374">
        <v>18</v>
      </c>
      <c r="DZ374">
        <v>-0.29000000000000048</v>
      </c>
      <c r="EA374">
        <v>17</v>
      </c>
      <c r="EB374">
        <v>-2.2999999999999989</v>
      </c>
      <c r="EC374">
        <v>-0.14999999999999991</v>
      </c>
      <c r="ED374">
        <v>13</v>
      </c>
      <c r="EE374">
        <v>13.5</v>
      </c>
      <c r="EF374">
        <v>6</v>
      </c>
      <c r="EG374">
        <v>0.87500000000000022</v>
      </c>
      <c r="EH374">
        <v>21</v>
      </c>
      <c r="EI374">
        <v>-4.3</v>
      </c>
      <c r="EJ374">
        <v>2.0499999999999998</v>
      </c>
      <c r="EK374">
        <v>18</v>
      </c>
      <c r="EL374">
        <v>18</v>
      </c>
      <c r="EM374">
        <v>16</v>
      </c>
      <c r="EN374">
        <v>-0.3149999999999995</v>
      </c>
      <c r="EO374">
        <v>20</v>
      </c>
      <c r="EP374">
        <v>-7.1500000000000021</v>
      </c>
      <c r="EQ374">
        <v>2.3000000000000003</v>
      </c>
      <c r="ER374">
        <v>15</v>
      </c>
      <c r="ES374">
        <v>15</v>
      </c>
      <c r="ET374">
        <v>11</v>
      </c>
      <c r="EU374">
        <v>0.26400000000000184</v>
      </c>
      <c r="EV374">
        <v>19</v>
      </c>
      <c r="EW374">
        <v>-3.0288000000000013</v>
      </c>
      <c r="EX374">
        <v>1.8800000000000001</v>
      </c>
      <c r="EY374">
        <v>12</v>
      </c>
      <c r="EZ374">
        <v>12.5</v>
      </c>
      <c r="FA374">
        <v>17</v>
      </c>
      <c r="FB374">
        <v>-0.28000000000000008</v>
      </c>
      <c r="FC374">
        <v>8</v>
      </c>
      <c r="FD374">
        <v>0.36</v>
      </c>
      <c r="FE374">
        <v>-3.9999999999999501E-2</v>
      </c>
      <c r="FF374">
        <v>21</v>
      </c>
      <c r="FG374">
        <v>17.25</v>
      </c>
      <c r="FH374">
        <v>30</v>
      </c>
      <c r="FI374">
        <v>-6.6113792660117549E-2</v>
      </c>
      <c r="FJ374">
        <v>28</v>
      </c>
      <c r="FK374">
        <v>-2.0125681400008821E-2</v>
      </c>
      <c r="FL374">
        <v>4</v>
      </c>
      <c r="FM374">
        <v>-7.7720000000000002</v>
      </c>
      <c r="FN374">
        <v>7</v>
      </c>
      <c r="FO374">
        <v>2.88</v>
      </c>
      <c r="FP374">
        <v>6.6400000000000023</v>
      </c>
      <c r="FQ374">
        <v>-3.4799999999999995</v>
      </c>
      <c r="FR374">
        <v>-0.88000000000000012</v>
      </c>
      <c r="FS374">
        <v>1.5999999999999985</v>
      </c>
      <c r="FT374">
        <v>-2.120000000000001</v>
      </c>
      <c r="FU374">
        <v>1.1200000000000003</v>
      </c>
      <c r="FV374">
        <v>17.04</v>
      </c>
      <c r="FW374">
        <v>31.160000000000014</v>
      </c>
      <c r="FX374">
        <v>-12.64</v>
      </c>
      <c r="FY374">
        <v>3.04</v>
      </c>
      <c r="FZ374">
        <v>-4.5200000000000005</v>
      </c>
      <c r="GA374">
        <v>16</v>
      </c>
      <c r="GB374">
        <v>0.3899999999999999</v>
      </c>
      <c r="GC374">
        <v>2.4172799999999999</v>
      </c>
      <c r="GD374">
        <v>43.800000000000011</v>
      </c>
      <c r="GE374">
        <v>-0.39</v>
      </c>
      <c r="GF374">
        <v>0.88447500000000012</v>
      </c>
      <c r="GG374">
        <v>9.4049999999999994</v>
      </c>
      <c r="GH374">
        <v>27.100000000000005</v>
      </c>
      <c r="GI374">
        <v>-1.3516000000000004</v>
      </c>
      <c r="GJ374">
        <v>-17.080000000000002</v>
      </c>
      <c r="GK374">
        <v>5.53</v>
      </c>
      <c r="GL374">
        <v>0.24</v>
      </c>
    </row>
    <row r="375" spans="1:194" x14ac:dyDescent="0.2">
      <c r="A375" s="39">
        <v>43800</v>
      </c>
      <c r="B375" s="22" t="s">
        <v>241</v>
      </c>
      <c r="C375" s="41" t="s">
        <v>302</v>
      </c>
      <c r="D375" s="22" t="s">
        <v>311</v>
      </c>
      <c r="E375">
        <v>24.9</v>
      </c>
      <c r="F375">
        <v>7.6</v>
      </c>
      <c r="G375">
        <v>4.4000000000000004</v>
      </c>
      <c r="H375">
        <v>6.7</v>
      </c>
      <c r="I375">
        <v>-3.5</v>
      </c>
      <c r="J375">
        <v>47</v>
      </c>
      <c r="L375" s="1" t="s">
        <v>302</v>
      </c>
      <c r="M375">
        <v>19</v>
      </c>
      <c r="N375">
        <v>-0.70799999999999907</v>
      </c>
      <c r="O375">
        <v>27</v>
      </c>
      <c r="P375">
        <v>25</v>
      </c>
      <c r="Q375">
        <v>32</v>
      </c>
      <c r="R375">
        <v>-8.1280000000000019</v>
      </c>
      <c r="S375">
        <v>18</v>
      </c>
      <c r="T375">
        <v>-3.6</v>
      </c>
      <c r="U375">
        <v>-2.12</v>
      </c>
      <c r="V375">
        <v>12</v>
      </c>
      <c r="W375">
        <v>11.5</v>
      </c>
      <c r="X375">
        <v>5</v>
      </c>
      <c r="Y375">
        <v>4.3</v>
      </c>
      <c r="Z375">
        <v>18</v>
      </c>
      <c r="AA375">
        <v>-0.6399999999999999</v>
      </c>
      <c r="AB375">
        <v>3.7199999999999998</v>
      </c>
      <c r="AC375">
        <v>4</v>
      </c>
      <c r="AD375">
        <v>4</v>
      </c>
      <c r="AE375">
        <v>3</v>
      </c>
      <c r="AF375">
        <v>7.2912000000000008</v>
      </c>
      <c r="AG375">
        <v>5</v>
      </c>
      <c r="AH375">
        <v>21.810000000000002</v>
      </c>
      <c r="AI375">
        <v>3.2599999999999993</v>
      </c>
      <c r="AJ375">
        <v>14</v>
      </c>
      <c r="AK375">
        <v>14</v>
      </c>
      <c r="AL375">
        <v>15</v>
      </c>
      <c r="AM375">
        <v>0.46000000000000013</v>
      </c>
      <c r="AN375">
        <v>13</v>
      </c>
      <c r="AO375">
        <v>5.88</v>
      </c>
      <c r="AP375">
        <v>2.3600000000000003</v>
      </c>
      <c r="AQ375">
        <v>16</v>
      </c>
      <c r="AR375">
        <v>16</v>
      </c>
      <c r="AS375">
        <v>13</v>
      </c>
      <c r="AT375">
        <v>0.94400000000000028</v>
      </c>
      <c r="AU375">
        <v>19</v>
      </c>
      <c r="AV375">
        <v>-5.2</v>
      </c>
      <c r="AW375">
        <v>1.32</v>
      </c>
      <c r="AX375">
        <v>4</v>
      </c>
      <c r="AY375">
        <v>4.5</v>
      </c>
      <c r="AZ375">
        <v>2</v>
      </c>
      <c r="BA375">
        <v>6.0119999999999996</v>
      </c>
      <c r="BB375">
        <v>7</v>
      </c>
      <c r="BC375">
        <v>18.52</v>
      </c>
      <c r="BD375">
        <v>3.7199999999999998</v>
      </c>
      <c r="BE375">
        <v>25</v>
      </c>
      <c r="BF375">
        <v>25.5</v>
      </c>
      <c r="BG375">
        <v>28</v>
      </c>
      <c r="BH375">
        <v>-4.5879999999999992</v>
      </c>
      <c r="BI375">
        <v>23</v>
      </c>
      <c r="BJ375">
        <v>-10.320000000000002</v>
      </c>
      <c r="BK375">
        <v>-3</v>
      </c>
      <c r="BL375">
        <v>2</v>
      </c>
      <c r="BM375">
        <v>5</v>
      </c>
      <c r="BN375">
        <v>8</v>
      </c>
      <c r="BO375">
        <v>1.5760000000000001</v>
      </c>
      <c r="BP375">
        <v>2</v>
      </c>
      <c r="BQ375">
        <v>1.1199999999999999</v>
      </c>
      <c r="BR375">
        <v>4.5600000000000005</v>
      </c>
      <c r="BS375">
        <v>27</v>
      </c>
      <c r="BT375">
        <v>23.25</v>
      </c>
      <c r="BU375">
        <v>23</v>
      </c>
      <c r="BV375">
        <v>-2.5821579633769087E-2</v>
      </c>
      <c r="BW375">
        <v>26</v>
      </c>
      <c r="BX375">
        <v>-2.1226091553984167E-2</v>
      </c>
      <c r="BY375">
        <v>23</v>
      </c>
      <c r="BZ375">
        <v>2.4160000000000026</v>
      </c>
      <c r="CA375">
        <v>21</v>
      </c>
      <c r="CB375">
        <v>-1.52</v>
      </c>
      <c r="CC375">
        <v>8.4</v>
      </c>
      <c r="CD375">
        <v>-0.35999999999999976</v>
      </c>
      <c r="CE375">
        <v>1.3199999999999998</v>
      </c>
      <c r="CF375">
        <v>14.840000000000009</v>
      </c>
      <c r="CG375">
        <v>34.200000000000003</v>
      </c>
      <c r="CH375">
        <v>4.5999999999999996</v>
      </c>
      <c r="CI375">
        <v>-5</v>
      </c>
      <c r="CJ375">
        <v>-18.959999999999997</v>
      </c>
      <c r="CK375">
        <v>11</v>
      </c>
      <c r="CL375">
        <v>3.1200000000000028</v>
      </c>
      <c r="CM375">
        <v>2.5938400000000015</v>
      </c>
      <c r="CN375">
        <v>29.6</v>
      </c>
      <c r="CO375">
        <v>-3.1200000000000028</v>
      </c>
      <c r="CP375">
        <v>0.14340000000000014</v>
      </c>
      <c r="CQ375">
        <v>8.6952000000000016</v>
      </c>
      <c r="CR375">
        <v>22.490000000000002</v>
      </c>
      <c r="CS375">
        <v>-3.8280000000000021</v>
      </c>
      <c r="CT375">
        <v>-4.24</v>
      </c>
      <c r="CU375">
        <v>3.9399999999999995</v>
      </c>
      <c r="CV375">
        <v>1.5999999999999996</v>
      </c>
      <c r="CW375">
        <v>-1.03685</v>
      </c>
      <c r="CX375">
        <v>-2.5604</v>
      </c>
      <c r="CY375" t="s">
        <v>311</v>
      </c>
      <c r="CZ375">
        <v>6</v>
      </c>
      <c r="DA375">
        <v>3.7656000000000001</v>
      </c>
      <c r="DB375">
        <v>27</v>
      </c>
      <c r="DC375">
        <v>24</v>
      </c>
      <c r="DD375">
        <v>18</v>
      </c>
      <c r="DE375">
        <v>-0.49600000000000044</v>
      </c>
      <c r="DF375">
        <v>30</v>
      </c>
      <c r="DG375">
        <v>-13.120000000000001</v>
      </c>
      <c r="DH375">
        <v>-3.9999999999999945E-2</v>
      </c>
      <c r="DI375">
        <v>1</v>
      </c>
      <c r="DJ375">
        <v>1</v>
      </c>
      <c r="DK375">
        <v>1</v>
      </c>
      <c r="DL375">
        <v>3.8519999999999994</v>
      </c>
      <c r="DM375">
        <v>1</v>
      </c>
      <c r="DN375">
        <v>28.68</v>
      </c>
      <c r="DO375">
        <v>1.2399999999999998</v>
      </c>
      <c r="DP375">
        <v>15</v>
      </c>
      <c r="DQ375">
        <v>11.5</v>
      </c>
      <c r="DR375">
        <v>11</v>
      </c>
      <c r="DS375">
        <v>0.24000000000000021</v>
      </c>
      <c r="DT375">
        <v>12</v>
      </c>
      <c r="DU375">
        <v>3.2400000000000007</v>
      </c>
      <c r="DV375">
        <v>0.32000000000000012</v>
      </c>
      <c r="DW375">
        <v>23</v>
      </c>
      <c r="DX375">
        <v>23</v>
      </c>
      <c r="DY375">
        <v>25</v>
      </c>
      <c r="DZ375">
        <v>-3.2719999999999998</v>
      </c>
      <c r="EA375">
        <v>21</v>
      </c>
      <c r="EB375">
        <v>-4.8799999999999981</v>
      </c>
      <c r="EC375">
        <v>-1.4</v>
      </c>
      <c r="ED375">
        <v>10</v>
      </c>
      <c r="EE375">
        <v>8.5</v>
      </c>
      <c r="EF375">
        <v>8</v>
      </c>
      <c r="EG375">
        <v>0.59599999999999986</v>
      </c>
      <c r="EH375">
        <v>9</v>
      </c>
      <c r="EI375">
        <v>5.1999999999999984</v>
      </c>
      <c r="EJ375">
        <v>-0.31999999999999995</v>
      </c>
      <c r="EK375">
        <v>15</v>
      </c>
      <c r="EL375">
        <v>15.5</v>
      </c>
      <c r="EM375">
        <v>18</v>
      </c>
      <c r="EN375">
        <v>-1.4959999999999987</v>
      </c>
      <c r="EO375">
        <v>13</v>
      </c>
      <c r="EP375">
        <v>7.0400000000000009</v>
      </c>
      <c r="EQ375">
        <v>-0.23999999999999985</v>
      </c>
      <c r="ER375">
        <v>14</v>
      </c>
      <c r="ES375">
        <v>14</v>
      </c>
      <c r="ET375">
        <v>14</v>
      </c>
      <c r="EU375">
        <v>-0.27200000000000008</v>
      </c>
      <c r="EV375">
        <v>14</v>
      </c>
      <c r="EW375">
        <v>1.8799999999999968</v>
      </c>
      <c r="EX375">
        <v>0.6399999999999999</v>
      </c>
      <c r="EY375">
        <v>22</v>
      </c>
      <c r="EZ375">
        <v>21.5</v>
      </c>
      <c r="FA375">
        <v>19</v>
      </c>
      <c r="FB375">
        <v>-0.52000000000000013</v>
      </c>
      <c r="FC375">
        <v>24</v>
      </c>
      <c r="FD375">
        <v>-0.55999999999999994</v>
      </c>
      <c r="FE375">
        <v>-3.3200000000000003</v>
      </c>
      <c r="FF375">
        <v>27</v>
      </c>
      <c r="FG375">
        <v>22.75</v>
      </c>
      <c r="FH375">
        <v>31</v>
      </c>
      <c r="FI375">
        <v>-9.4418545042288998E-2</v>
      </c>
      <c r="FJ375">
        <v>30</v>
      </c>
      <c r="FK375">
        <v>-2.5076412149959905E-2</v>
      </c>
      <c r="FL375">
        <v>2</v>
      </c>
      <c r="FM375">
        <v>-17.844000000000001</v>
      </c>
      <c r="FN375">
        <v>28</v>
      </c>
      <c r="FO375">
        <v>-3.6</v>
      </c>
      <c r="FP375">
        <v>0.56000000000000016</v>
      </c>
      <c r="FQ375">
        <v>0.87999999999999967</v>
      </c>
      <c r="FR375">
        <v>-0.39999999999999997</v>
      </c>
      <c r="FS375">
        <v>0.39999999999999858</v>
      </c>
      <c r="FT375">
        <v>0.6399999999999999</v>
      </c>
      <c r="FU375">
        <v>-1.48</v>
      </c>
      <c r="FV375">
        <v>44.44</v>
      </c>
      <c r="FW375">
        <v>24.280000000000008</v>
      </c>
      <c r="FX375">
        <v>17.279999999999998</v>
      </c>
      <c r="FY375">
        <v>-4.4399999999999995</v>
      </c>
      <c r="FZ375">
        <v>7.32</v>
      </c>
      <c r="GA375">
        <v>15</v>
      </c>
      <c r="GB375">
        <v>0.40960000000000107</v>
      </c>
      <c r="GC375">
        <v>-1.4664799999999993</v>
      </c>
      <c r="GD375">
        <v>7.0000000000000107</v>
      </c>
      <c r="GE375">
        <v>-0.40960000000000107</v>
      </c>
      <c r="GF375">
        <v>0.48669999999999985</v>
      </c>
      <c r="GG375">
        <v>-2.4359999999999999</v>
      </c>
      <c r="GH375">
        <v>3.5600000000000009</v>
      </c>
      <c r="GI375">
        <v>3.355999999999999</v>
      </c>
      <c r="GJ375">
        <v>15.559999999999999</v>
      </c>
      <c r="GK375">
        <v>-0.76</v>
      </c>
      <c r="GL375">
        <v>1.1999999999999997</v>
      </c>
    </row>
    <row r="376" spans="1:194" x14ac:dyDescent="0.2">
      <c r="A376" s="39">
        <v>43800</v>
      </c>
      <c r="B376" s="22" t="s">
        <v>241</v>
      </c>
      <c r="C376" s="41" t="s">
        <v>307</v>
      </c>
      <c r="D376" s="22" t="s">
        <v>295</v>
      </c>
      <c r="E376">
        <v>10.8</v>
      </c>
      <c r="F376">
        <v>3.4</v>
      </c>
      <c r="G376">
        <v>0</v>
      </c>
      <c r="H376">
        <v>12.7</v>
      </c>
      <c r="I376">
        <v>-7</v>
      </c>
      <c r="J376">
        <v>48</v>
      </c>
      <c r="L376" s="1" t="s">
        <v>307</v>
      </c>
      <c r="M376">
        <v>18</v>
      </c>
      <c r="N376">
        <v>-0.66319999999999912</v>
      </c>
      <c r="O376">
        <v>8</v>
      </c>
      <c r="P376">
        <v>8.5</v>
      </c>
      <c r="Q376">
        <v>5</v>
      </c>
      <c r="R376">
        <v>3.7560000000000002</v>
      </c>
      <c r="S376">
        <v>12</v>
      </c>
      <c r="T376">
        <v>3.0799999999999996</v>
      </c>
      <c r="U376">
        <v>3.88</v>
      </c>
      <c r="V376">
        <v>16</v>
      </c>
      <c r="W376">
        <v>15</v>
      </c>
      <c r="X376">
        <v>15</v>
      </c>
      <c r="Y376">
        <v>0.34000000000000014</v>
      </c>
      <c r="Z376">
        <v>15</v>
      </c>
      <c r="AA376">
        <v>1.6</v>
      </c>
      <c r="AB376">
        <v>-0.43999999999999995</v>
      </c>
      <c r="AC376">
        <v>5</v>
      </c>
      <c r="AD376">
        <v>5.5</v>
      </c>
      <c r="AE376">
        <v>4</v>
      </c>
      <c r="AF376">
        <v>7.0439999999999996</v>
      </c>
      <c r="AG376">
        <v>7</v>
      </c>
      <c r="AH376">
        <v>17.32</v>
      </c>
      <c r="AI376">
        <v>1.6000000000000003</v>
      </c>
      <c r="AJ376">
        <v>32</v>
      </c>
      <c r="AK376">
        <v>32</v>
      </c>
      <c r="AL376">
        <v>32</v>
      </c>
      <c r="AM376">
        <v>-11.111999999999998</v>
      </c>
      <c r="AN376">
        <v>32</v>
      </c>
      <c r="AO376">
        <v>-47.040000000000006</v>
      </c>
      <c r="AP376">
        <v>-4</v>
      </c>
      <c r="AQ376">
        <v>29</v>
      </c>
      <c r="AR376">
        <v>29</v>
      </c>
      <c r="AS376">
        <v>28</v>
      </c>
      <c r="AT376">
        <v>-3.3759999999999999</v>
      </c>
      <c r="AU376">
        <v>30</v>
      </c>
      <c r="AV376">
        <v>-20.6</v>
      </c>
      <c r="AW376">
        <v>-0.6</v>
      </c>
      <c r="AX376">
        <v>28</v>
      </c>
      <c r="AY376">
        <v>28</v>
      </c>
      <c r="AZ376">
        <v>28</v>
      </c>
      <c r="BA376">
        <v>-4.5120000000000005</v>
      </c>
      <c r="BB376">
        <v>28</v>
      </c>
      <c r="BC376">
        <v>-25.52</v>
      </c>
      <c r="BD376">
        <v>-1.8800000000000001</v>
      </c>
      <c r="BE376">
        <v>4</v>
      </c>
      <c r="BF376">
        <v>4.5</v>
      </c>
      <c r="BG376">
        <v>5</v>
      </c>
      <c r="BH376">
        <v>4.2880000000000011</v>
      </c>
      <c r="BI376">
        <v>4</v>
      </c>
      <c r="BJ376">
        <v>25.68</v>
      </c>
      <c r="BK376">
        <v>11.84</v>
      </c>
      <c r="BL376">
        <v>4</v>
      </c>
      <c r="BM376">
        <v>7</v>
      </c>
      <c r="BN376">
        <v>4</v>
      </c>
      <c r="BO376">
        <v>2.3200000000000003</v>
      </c>
      <c r="BP376">
        <v>10</v>
      </c>
      <c r="BQ376">
        <v>0.36</v>
      </c>
      <c r="BR376">
        <v>0.20000000000000034</v>
      </c>
      <c r="BS376">
        <v>32</v>
      </c>
      <c r="BT376">
        <v>29.5</v>
      </c>
      <c r="BU376">
        <v>30</v>
      </c>
      <c r="BV376">
        <v>-7.926933932533814E-2</v>
      </c>
      <c r="BW376">
        <v>28</v>
      </c>
      <c r="BX376">
        <v>-2.5315156705118559E-2</v>
      </c>
      <c r="BY376">
        <v>31</v>
      </c>
      <c r="BZ376">
        <v>16.747999999999994</v>
      </c>
      <c r="CA376">
        <v>29</v>
      </c>
      <c r="CB376">
        <v>-3.919999999999999</v>
      </c>
      <c r="CC376">
        <v>-2.1199999999999974</v>
      </c>
      <c r="CD376">
        <v>1.2399999999999998</v>
      </c>
      <c r="CE376">
        <v>-0.27999999999999997</v>
      </c>
      <c r="CF376">
        <v>-12.439999999999987</v>
      </c>
      <c r="CG376">
        <v>-12.400000000000011</v>
      </c>
      <c r="CH376">
        <v>6.8800000000000008</v>
      </c>
      <c r="CI376">
        <v>-1.56</v>
      </c>
      <c r="CJ376">
        <v>-5.3599999999999994</v>
      </c>
      <c r="CK376">
        <v>22</v>
      </c>
      <c r="CL376">
        <v>-4.759199999999999</v>
      </c>
      <c r="CM376">
        <v>-2.8118399999999992</v>
      </c>
      <c r="CN376">
        <v>-19.280000000000012</v>
      </c>
      <c r="CO376">
        <v>4.759199999999999</v>
      </c>
      <c r="CP376">
        <v>0.32460000000000055</v>
      </c>
      <c r="CQ376">
        <v>-7.4439999999999991</v>
      </c>
      <c r="CR376">
        <v>-50.320000000000007</v>
      </c>
      <c r="CS376">
        <v>4.0960000000000001</v>
      </c>
      <c r="CT376">
        <v>4.68</v>
      </c>
      <c r="CU376">
        <v>8.84</v>
      </c>
      <c r="CV376">
        <v>3.44</v>
      </c>
      <c r="CW376">
        <v>-1.396075</v>
      </c>
      <c r="CX376">
        <v>-0.64724999999999999</v>
      </c>
      <c r="CY376" t="s">
        <v>295</v>
      </c>
      <c r="CZ376">
        <v>27</v>
      </c>
      <c r="DA376">
        <v>-3.9112</v>
      </c>
      <c r="DB376">
        <v>30</v>
      </c>
      <c r="DC376">
        <v>28</v>
      </c>
      <c r="DD376">
        <v>28</v>
      </c>
      <c r="DE376">
        <v>-2.9359999999999991</v>
      </c>
      <c r="DF376">
        <v>28</v>
      </c>
      <c r="DG376">
        <v>-9.9200000000000035</v>
      </c>
      <c r="DH376">
        <v>0.27999999999999969</v>
      </c>
      <c r="DI376">
        <v>28</v>
      </c>
      <c r="DJ376">
        <v>25.5</v>
      </c>
      <c r="DK376">
        <v>30</v>
      </c>
      <c r="DL376">
        <v>-2.6679999999999993</v>
      </c>
      <c r="DM376">
        <v>21</v>
      </c>
      <c r="DN376">
        <v>-4.160000000000001</v>
      </c>
      <c r="DO376">
        <v>0.16000000000000006</v>
      </c>
      <c r="DP376">
        <v>22</v>
      </c>
      <c r="DQ376">
        <v>18.5</v>
      </c>
      <c r="DR376">
        <v>21</v>
      </c>
      <c r="DS376">
        <v>-3.624000000000001</v>
      </c>
      <c r="DT376">
        <v>16</v>
      </c>
      <c r="DU376">
        <v>-3.8400000000000034</v>
      </c>
      <c r="DV376">
        <v>0.64</v>
      </c>
      <c r="DW376">
        <v>9</v>
      </c>
      <c r="DX376">
        <v>10</v>
      </c>
      <c r="DY376">
        <v>9</v>
      </c>
      <c r="DZ376">
        <v>2.3519999999999999</v>
      </c>
      <c r="EA376">
        <v>11</v>
      </c>
      <c r="EB376">
        <v>4.919999999999999</v>
      </c>
      <c r="EC376">
        <v>-0.64</v>
      </c>
      <c r="ED376">
        <v>17</v>
      </c>
      <c r="EE376">
        <v>26.5</v>
      </c>
      <c r="EF376">
        <v>29</v>
      </c>
      <c r="EG376">
        <v>-2.3840000000000003</v>
      </c>
      <c r="EH376">
        <v>24</v>
      </c>
      <c r="EI376">
        <v>-8.36</v>
      </c>
      <c r="EJ376">
        <v>-0.91999999999999971</v>
      </c>
      <c r="EK376">
        <v>10</v>
      </c>
      <c r="EL376">
        <v>11.5</v>
      </c>
      <c r="EM376">
        <v>14</v>
      </c>
      <c r="EN376">
        <v>0.53200000000000036</v>
      </c>
      <c r="EO376">
        <v>9</v>
      </c>
      <c r="EP376">
        <v>12.519999999999998</v>
      </c>
      <c r="EQ376">
        <v>-0.91999999999999993</v>
      </c>
      <c r="ER376">
        <v>29</v>
      </c>
      <c r="ES376">
        <v>26.5</v>
      </c>
      <c r="ET376">
        <v>30</v>
      </c>
      <c r="EU376">
        <v>-4.1080000000000005</v>
      </c>
      <c r="EV376">
        <v>23</v>
      </c>
      <c r="EW376">
        <v>-7.4800000000000013</v>
      </c>
      <c r="EX376">
        <v>8.120000000000001</v>
      </c>
      <c r="EY376">
        <v>17</v>
      </c>
      <c r="EZ376">
        <v>14.5</v>
      </c>
      <c r="FA376">
        <v>14</v>
      </c>
      <c r="FB376">
        <v>0.12000000000000029</v>
      </c>
      <c r="FC376">
        <v>15</v>
      </c>
      <c r="FD376">
        <v>0</v>
      </c>
      <c r="FE376">
        <v>0.35999999999999976</v>
      </c>
      <c r="FF376">
        <v>19</v>
      </c>
      <c r="FG376">
        <v>16.5</v>
      </c>
      <c r="FH376">
        <v>10</v>
      </c>
      <c r="FI376">
        <v>1.3493023923273211E-2</v>
      </c>
      <c r="FJ376">
        <v>20</v>
      </c>
      <c r="FK376">
        <v>-4.012887209230198E-3</v>
      </c>
      <c r="FL376">
        <v>25</v>
      </c>
      <c r="FM376">
        <v>7.0879999999999965</v>
      </c>
      <c r="FN376">
        <v>11</v>
      </c>
      <c r="FO376">
        <v>1.3200000000000003</v>
      </c>
      <c r="FP376">
        <v>-3.0799999999999983</v>
      </c>
      <c r="FQ376">
        <v>-2.6399999999999992</v>
      </c>
      <c r="FR376">
        <v>0.55999999999999994</v>
      </c>
      <c r="FS376">
        <v>-5.5199999999999987</v>
      </c>
      <c r="FT376">
        <v>-6.6799999999999979</v>
      </c>
      <c r="FU376">
        <v>8.8817841970012528E-17</v>
      </c>
      <c r="FV376">
        <v>-28.399999999999977</v>
      </c>
      <c r="FW376">
        <v>-19.080000000000002</v>
      </c>
      <c r="FX376">
        <v>-11.559999999999997</v>
      </c>
      <c r="FY376">
        <v>-1.48</v>
      </c>
      <c r="FZ376">
        <v>3.719999999999998</v>
      </c>
      <c r="GA376">
        <v>12</v>
      </c>
      <c r="GB376">
        <v>1.6927999999999983</v>
      </c>
      <c r="GC376">
        <v>0.46695999999999893</v>
      </c>
      <c r="GD376">
        <v>-7.5200000000000049</v>
      </c>
      <c r="GE376">
        <v>-1.6927999999999983</v>
      </c>
      <c r="GF376">
        <v>-2.1448999999999998</v>
      </c>
      <c r="GG376">
        <v>-3.6560000000000015</v>
      </c>
      <c r="GH376">
        <v>-7.2800000000000038</v>
      </c>
      <c r="GI376">
        <v>-5.6039999999999983</v>
      </c>
      <c r="GJ376">
        <v>-14.080000000000005</v>
      </c>
      <c r="GK376">
        <v>7.2000000000000011</v>
      </c>
      <c r="GL376">
        <v>0.43999999999999972</v>
      </c>
    </row>
    <row r="377" spans="1:194" x14ac:dyDescent="0.2">
      <c r="A377" s="39">
        <v>43800</v>
      </c>
      <c r="B377" s="22" t="s">
        <v>241</v>
      </c>
      <c r="C377" s="41" t="s">
        <v>296</v>
      </c>
      <c r="D377" s="22" t="s">
        <v>300</v>
      </c>
      <c r="E377">
        <v>13</v>
      </c>
      <c r="F377">
        <v>10.4</v>
      </c>
      <c r="G377">
        <v>5.3</v>
      </c>
      <c r="H377">
        <v>13</v>
      </c>
      <c r="I377">
        <v>6.5</v>
      </c>
      <c r="J377">
        <v>43.5</v>
      </c>
      <c r="L377" s="1" t="s">
        <v>296</v>
      </c>
      <c r="M377">
        <v>8</v>
      </c>
      <c r="N377">
        <v>3.5287999999999995</v>
      </c>
      <c r="O377">
        <v>20</v>
      </c>
      <c r="P377">
        <v>21</v>
      </c>
      <c r="Q377">
        <v>16</v>
      </c>
      <c r="R377">
        <v>0.13599999999999959</v>
      </c>
      <c r="S377">
        <v>26</v>
      </c>
      <c r="T377">
        <v>-12.760000000000002</v>
      </c>
      <c r="U377">
        <v>1.1600000000000001</v>
      </c>
      <c r="V377">
        <v>31</v>
      </c>
      <c r="W377">
        <v>31</v>
      </c>
      <c r="X377">
        <v>32</v>
      </c>
      <c r="Y377">
        <v>-5.516</v>
      </c>
      <c r="Z377">
        <v>30</v>
      </c>
      <c r="AA377">
        <v>-16.591999999999999</v>
      </c>
      <c r="AB377">
        <v>-1.8800000000000001</v>
      </c>
      <c r="AC377">
        <v>14</v>
      </c>
      <c r="AD377">
        <v>15.5</v>
      </c>
      <c r="AE377">
        <v>10</v>
      </c>
      <c r="AF377">
        <v>1.9352</v>
      </c>
      <c r="AG377">
        <v>21</v>
      </c>
      <c r="AH377">
        <v>-4.4799999999999995</v>
      </c>
      <c r="AI377">
        <v>0.6</v>
      </c>
      <c r="AJ377">
        <v>13</v>
      </c>
      <c r="AK377">
        <v>13.5</v>
      </c>
      <c r="AL377">
        <v>5</v>
      </c>
      <c r="AM377">
        <v>3.2600000000000007</v>
      </c>
      <c r="AN377">
        <v>22</v>
      </c>
      <c r="AO377">
        <v>-9.7199999999999989</v>
      </c>
      <c r="AP377">
        <v>0.60000000000000031</v>
      </c>
      <c r="AQ377">
        <v>12</v>
      </c>
      <c r="AR377">
        <v>12.5</v>
      </c>
      <c r="AS377">
        <v>14</v>
      </c>
      <c r="AT377">
        <v>0.26799999999999924</v>
      </c>
      <c r="AU377">
        <v>11</v>
      </c>
      <c r="AV377">
        <v>7.2000000000000011</v>
      </c>
      <c r="AW377">
        <v>0.72</v>
      </c>
      <c r="AX377">
        <v>22</v>
      </c>
      <c r="AY377">
        <v>21</v>
      </c>
      <c r="AZ377">
        <v>17</v>
      </c>
      <c r="BA377">
        <v>-0.17600000000000088</v>
      </c>
      <c r="BB377">
        <v>25</v>
      </c>
      <c r="BC377">
        <v>-20.560000000000002</v>
      </c>
      <c r="BD377">
        <v>-2.12</v>
      </c>
      <c r="BE377">
        <v>19</v>
      </c>
      <c r="BF377">
        <v>19</v>
      </c>
      <c r="BG377">
        <v>18</v>
      </c>
      <c r="BH377">
        <v>0.3439999999999987</v>
      </c>
      <c r="BI377">
        <v>20</v>
      </c>
      <c r="BJ377">
        <v>-2.2000000000000015</v>
      </c>
      <c r="BK377">
        <v>1.48</v>
      </c>
      <c r="BL377">
        <v>28</v>
      </c>
      <c r="BM377">
        <v>27.5</v>
      </c>
      <c r="BN377">
        <v>29</v>
      </c>
      <c r="BO377">
        <v>-2.4799999999999995</v>
      </c>
      <c r="BP377">
        <v>26</v>
      </c>
      <c r="BQ377">
        <v>-0.56000000000000016</v>
      </c>
      <c r="BR377">
        <v>-2.3999999999999995</v>
      </c>
      <c r="BS377">
        <v>2</v>
      </c>
      <c r="BT377">
        <v>7.5</v>
      </c>
      <c r="BU377">
        <v>3</v>
      </c>
      <c r="BV377">
        <v>7.720312519554437E-2</v>
      </c>
      <c r="BW377">
        <v>16</v>
      </c>
      <c r="BX377">
        <v>1.4705007259229116E-3</v>
      </c>
      <c r="BY377">
        <v>10</v>
      </c>
      <c r="BZ377">
        <v>-3.5840000000000032</v>
      </c>
      <c r="CA377">
        <v>1</v>
      </c>
      <c r="CB377">
        <v>6.0000000000000009</v>
      </c>
      <c r="CC377">
        <v>1.2000000000000015</v>
      </c>
      <c r="CD377">
        <v>-1.4799999999999991</v>
      </c>
      <c r="CE377">
        <v>-0.44000000000000006</v>
      </c>
      <c r="CF377">
        <v>-16.04</v>
      </c>
      <c r="CG377">
        <v>0.72000000000000453</v>
      </c>
      <c r="CH377">
        <v>-33.04</v>
      </c>
      <c r="CI377">
        <v>5.08</v>
      </c>
      <c r="CJ377">
        <v>11.2</v>
      </c>
      <c r="CK377">
        <v>2</v>
      </c>
      <c r="CL377">
        <v>8.9087999999999994</v>
      </c>
      <c r="CM377">
        <v>4.5571999999999999</v>
      </c>
      <c r="CN377">
        <v>33.760000000000005</v>
      </c>
      <c r="CO377">
        <v>-8.9087999999999994</v>
      </c>
      <c r="CP377">
        <v>0.18449999999999978</v>
      </c>
      <c r="CQ377">
        <v>5.4631999999999996</v>
      </c>
      <c r="CR377">
        <v>-6.9999999999999982</v>
      </c>
      <c r="CS377">
        <v>-5.3800000000000008</v>
      </c>
      <c r="CT377">
        <v>-29.352</v>
      </c>
      <c r="CU377">
        <v>3.4000000000000004</v>
      </c>
      <c r="CV377">
        <v>-0.72</v>
      </c>
      <c r="CW377">
        <v>0.60505000000000009</v>
      </c>
      <c r="CX377">
        <v>1.3486000000000002</v>
      </c>
      <c r="CY377" t="s">
        <v>300</v>
      </c>
      <c r="CZ377">
        <v>21</v>
      </c>
      <c r="DA377">
        <v>-3.7079999999999997</v>
      </c>
      <c r="DB377">
        <v>5</v>
      </c>
      <c r="DC377">
        <v>6</v>
      </c>
      <c r="DD377">
        <v>8</v>
      </c>
      <c r="DE377">
        <v>0.12800000000000153</v>
      </c>
      <c r="DF377">
        <v>4</v>
      </c>
      <c r="DG377">
        <v>6.1199999999999974</v>
      </c>
      <c r="DH377">
        <v>0.35999999999999988</v>
      </c>
      <c r="DI377">
        <v>9</v>
      </c>
      <c r="DJ377">
        <v>11.5</v>
      </c>
      <c r="DK377">
        <v>19</v>
      </c>
      <c r="DL377">
        <v>0.84800000000000009</v>
      </c>
      <c r="DM377">
        <v>4</v>
      </c>
      <c r="DN377">
        <v>12.559999999999999</v>
      </c>
      <c r="DO377">
        <v>-0.52000000000000013</v>
      </c>
      <c r="DP377">
        <v>23</v>
      </c>
      <c r="DQ377">
        <v>27.5</v>
      </c>
      <c r="DR377">
        <v>29</v>
      </c>
      <c r="DS377">
        <v>-5.6480000000000006</v>
      </c>
      <c r="DT377">
        <v>26</v>
      </c>
      <c r="DU377">
        <v>-20.68</v>
      </c>
      <c r="DV377">
        <v>-2.7199999999999998</v>
      </c>
      <c r="DW377">
        <v>13</v>
      </c>
      <c r="DX377">
        <v>13.5</v>
      </c>
      <c r="DY377">
        <v>17</v>
      </c>
      <c r="DZ377">
        <v>0.17199999999999954</v>
      </c>
      <c r="EA377">
        <v>10</v>
      </c>
      <c r="EB377">
        <v>6.2000000000000011</v>
      </c>
      <c r="EC377">
        <v>0.27999999999999992</v>
      </c>
      <c r="ED377">
        <v>12</v>
      </c>
      <c r="EE377">
        <v>17</v>
      </c>
      <c r="EF377">
        <v>20</v>
      </c>
      <c r="EG377">
        <v>1.032</v>
      </c>
      <c r="EH377">
        <v>14</v>
      </c>
      <c r="EI377">
        <v>7.5199999999999987</v>
      </c>
      <c r="EJ377">
        <v>-0.91999999999999993</v>
      </c>
      <c r="EK377">
        <v>16</v>
      </c>
      <c r="EL377">
        <v>16</v>
      </c>
      <c r="EM377">
        <v>17</v>
      </c>
      <c r="EN377">
        <v>-2.4599999999999995</v>
      </c>
      <c r="EO377">
        <v>15</v>
      </c>
      <c r="EP377">
        <v>1.8000000000000014</v>
      </c>
      <c r="EQ377">
        <v>-2.44</v>
      </c>
      <c r="ER377">
        <v>1</v>
      </c>
      <c r="ES377">
        <v>1</v>
      </c>
      <c r="ET377">
        <v>1</v>
      </c>
      <c r="EU377">
        <v>3.9879999999999995</v>
      </c>
      <c r="EV377">
        <v>1</v>
      </c>
      <c r="EW377">
        <v>30.639999999999997</v>
      </c>
      <c r="EX377">
        <v>0.72000000000000031</v>
      </c>
      <c r="EY377">
        <v>6</v>
      </c>
      <c r="EZ377">
        <v>5</v>
      </c>
      <c r="FA377">
        <v>2</v>
      </c>
      <c r="FB377">
        <v>2.08</v>
      </c>
      <c r="FC377">
        <v>8</v>
      </c>
      <c r="FD377">
        <v>0.48</v>
      </c>
      <c r="FE377">
        <v>-1.8399999999999999</v>
      </c>
      <c r="FF377">
        <v>29</v>
      </c>
      <c r="FG377">
        <v>24</v>
      </c>
      <c r="FH377">
        <v>17</v>
      </c>
      <c r="FI377">
        <v>-7.5143537273633931E-3</v>
      </c>
      <c r="FJ377">
        <v>23</v>
      </c>
      <c r="FK377">
        <v>-6.6855087310842415E-3</v>
      </c>
      <c r="FL377">
        <v>27</v>
      </c>
      <c r="FM377">
        <v>8.7959999999999994</v>
      </c>
      <c r="FN377">
        <v>29</v>
      </c>
      <c r="FO377">
        <v>-3.8400000000000007</v>
      </c>
      <c r="FP377">
        <v>-4.0799999999999983</v>
      </c>
      <c r="FQ377">
        <v>1.4399999999999991</v>
      </c>
      <c r="FR377">
        <v>0.55999999999999994</v>
      </c>
      <c r="FS377">
        <v>-3.3200000000000003</v>
      </c>
      <c r="FT377">
        <v>0.3999999999999993</v>
      </c>
      <c r="FU377">
        <v>-0.83999999999999986</v>
      </c>
      <c r="FV377">
        <v>16.760000000000002</v>
      </c>
      <c r="FW377">
        <v>4.2</v>
      </c>
      <c r="FX377">
        <v>23.96</v>
      </c>
      <c r="FY377">
        <v>-5.08</v>
      </c>
      <c r="FZ377">
        <v>-6.3199999999999994</v>
      </c>
      <c r="GA377">
        <v>25</v>
      </c>
      <c r="GB377">
        <v>-4.6840000000000011</v>
      </c>
      <c r="GC377">
        <v>-1.3208000000000011</v>
      </c>
      <c r="GD377">
        <v>-19.760000000000002</v>
      </c>
      <c r="GE377">
        <v>4.6840000000000011</v>
      </c>
      <c r="GF377">
        <v>-0.13850000000000007</v>
      </c>
      <c r="GG377">
        <v>-4.4440000000000008</v>
      </c>
      <c r="GH377">
        <v>-6.96</v>
      </c>
      <c r="GI377">
        <v>0.97600000000000164</v>
      </c>
      <c r="GJ377">
        <v>18.679999999999996</v>
      </c>
      <c r="GK377">
        <v>-2.6399999999999997</v>
      </c>
      <c r="GL377">
        <v>-0.16000000000000025</v>
      </c>
    </row>
    <row r="378" spans="1:194" x14ac:dyDescent="0.2">
      <c r="A378" s="39">
        <v>43800</v>
      </c>
      <c r="B378" s="22" t="s">
        <v>241</v>
      </c>
      <c r="C378" s="41" t="s">
        <v>298</v>
      </c>
      <c r="D378" s="22" t="s">
        <v>272</v>
      </c>
      <c r="E378">
        <v>2.8</v>
      </c>
      <c r="F378">
        <v>20.100000000000001</v>
      </c>
      <c r="G378">
        <v>5.3</v>
      </c>
      <c r="H378">
        <v>9.9</v>
      </c>
      <c r="I378">
        <v>-2.5</v>
      </c>
      <c r="J378">
        <v>43</v>
      </c>
      <c r="K378" t="s">
        <v>109</v>
      </c>
      <c r="L378" s="1" t="s">
        <v>298</v>
      </c>
      <c r="M378">
        <v>17</v>
      </c>
      <c r="N378">
        <v>-0.66319999999999835</v>
      </c>
      <c r="O378">
        <v>19</v>
      </c>
      <c r="P378">
        <v>20.5</v>
      </c>
      <c r="Q378">
        <v>13</v>
      </c>
      <c r="R378">
        <v>1.4280000000000004</v>
      </c>
      <c r="S378">
        <v>28</v>
      </c>
      <c r="T378">
        <v>-17.52</v>
      </c>
      <c r="U378">
        <v>1.52</v>
      </c>
      <c r="V378">
        <v>24</v>
      </c>
      <c r="W378">
        <v>24</v>
      </c>
      <c r="X378">
        <v>27</v>
      </c>
      <c r="Y378">
        <v>-2.944</v>
      </c>
      <c r="Z378">
        <v>21</v>
      </c>
      <c r="AA378">
        <v>-5.4799999999999995</v>
      </c>
      <c r="AB378">
        <v>-1</v>
      </c>
      <c r="AC378">
        <v>31</v>
      </c>
      <c r="AD378">
        <v>31</v>
      </c>
      <c r="AE378">
        <v>30</v>
      </c>
      <c r="AF378">
        <v>-5.4759999999999982</v>
      </c>
      <c r="AG378">
        <v>32</v>
      </c>
      <c r="AH378">
        <v>-32.08</v>
      </c>
      <c r="AI378">
        <v>-0.91999999999999993</v>
      </c>
      <c r="AJ378">
        <v>21</v>
      </c>
      <c r="AK378">
        <v>20.5</v>
      </c>
      <c r="AL378">
        <v>21</v>
      </c>
      <c r="AM378">
        <v>-1.0200000000000002</v>
      </c>
      <c r="AN378">
        <v>20</v>
      </c>
      <c r="AO378">
        <v>-5.839999999999999</v>
      </c>
      <c r="AP378">
        <v>-0.56000000000000016</v>
      </c>
      <c r="AQ378">
        <v>6</v>
      </c>
      <c r="AR378">
        <v>6</v>
      </c>
      <c r="AS378">
        <v>7</v>
      </c>
      <c r="AT378">
        <v>2.008</v>
      </c>
      <c r="AU378">
        <v>5</v>
      </c>
      <c r="AV378">
        <v>14.800000000000002</v>
      </c>
      <c r="AW378">
        <v>1.4</v>
      </c>
      <c r="AX378">
        <v>24</v>
      </c>
      <c r="AY378">
        <v>25</v>
      </c>
      <c r="AZ378">
        <v>24</v>
      </c>
      <c r="BA378">
        <v>-2.0000000000000009</v>
      </c>
      <c r="BB378">
        <v>26</v>
      </c>
      <c r="BC378">
        <v>-20</v>
      </c>
      <c r="BD378">
        <v>-0.11999999999999993</v>
      </c>
      <c r="BE378">
        <v>14</v>
      </c>
      <c r="BF378">
        <v>13.5</v>
      </c>
      <c r="BG378">
        <v>13</v>
      </c>
      <c r="BH378">
        <v>1.08</v>
      </c>
      <c r="BI378">
        <v>14</v>
      </c>
      <c r="BJ378">
        <v>-0.32000000000000028</v>
      </c>
      <c r="BK378">
        <v>-1.0000000000000002</v>
      </c>
      <c r="BL378">
        <v>14</v>
      </c>
      <c r="BM378">
        <v>13.5</v>
      </c>
      <c r="BN378">
        <v>19</v>
      </c>
      <c r="BO378">
        <v>0.24000000000000005</v>
      </c>
      <c r="BP378">
        <v>8</v>
      </c>
      <c r="BQ378">
        <v>0.48</v>
      </c>
      <c r="BR378">
        <v>0.31999999999999995</v>
      </c>
      <c r="BS378">
        <v>8</v>
      </c>
      <c r="BT378">
        <v>12</v>
      </c>
      <c r="BU378">
        <v>2</v>
      </c>
      <c r="BV378">
        <v>7.7811455412185065E-2</v>
      </c>
      <c r="BW378">
        <v>17</v>
      </c>
      <c r="BX378">
        <v>-1.4097456669437819E-3</v>
      </c>
      <c r="BY378">
        <v>12</v>
      </c>
      <c r="BZ378">
        <v>-3.0959999999999979</v>
      </c>
      <c r="CA378">
        <v>17</v>
      </c>
      <c r="CB378">
        <v>-0.2</v>
      </c>
      <c r="CC378">
        <v>-0.11999999999999886</v>
      </c>
      <c r="CD378">
        <v>-1.9200000000000004</v>
      </c>
      <c r="CE378">
        <v>1.1600000000000001</v>
      </c>
      <c r="CF378">
        <v>-21.679999999999996</v>
      </c>
      <c r="CG378">
        <v>7.5200000000000049</v>
      </c>
      <c r="CH378">
        <v>-20.64</v>
      </c>
      <c r="CI378">
        <v>-1.6800000000000002</v>
      </c>
      <c r="CJ378">
        <v>-6.8799999999999981</v>
      </c>
      <c r="CK378">
        <v>15</v>
      </c>
      <c r="CL378">
        <v>0.85280000000000111</v>
      </c>
      <c r="CM378">
        <v>-5.6239999999999513E-2</v>
      </c>
      <c r="CN378">
        <v>28.160000000000004</v>
      </c>
      <c r="CO378">
        <v>-0.85280000000000122</v>
      </c>
      <c r="CP378">
        <v>-0.66839999999999955</v>
      </c>
      <c r="CQ378">
        <v>-4.4879999999999987</v>
      </c>
      <c r="CR378">
        <v>-23.11999999999999</v>
      </c>
      <c r="CS378">
        <v>-1.5159999999999996</v>
      </c>
      <c r="CT378">
        <v>-23</v>
      </c>
      <c r="CU378">
        <v>-1.0800000000000003</v>
      </c>
      <c r="CV378">
        <v>0.52</v>
      </c>
      <c r="CW378">
        <v>0.39348749999999988</v>
      </c>
      <c r="CX378">
        <v>0.33259999999999978</v>
      </c>
      <c r="CY378" t="s">
        <v>272</v>
      </c>
      <c r="CZ378">
        <v>10</v>
      </c>
      <c r="DA378">
        <v>1.9240000000000019</v>
      </c>
      <c r="DB378">
        <v>25</v>
      </c>
      <c r="DC378">
        <v>23.5</v>
      </c>
      <c r="DD378">
        <v>29</v>
      </c>
      <c r="DE378">
        <v>-3.4480000000000004</v>
      </c>
      <c r="DF378">
        <v>18</v>
      </c>
      <c r="DG378">
        <v>-0.60000000000000286</v>
      </c>
      <c r="DH378">
        <v>-1.52</v>
      </c>
      <c r="DI378">
        <v>24</v>
      </c>
      <c r="DJ378">
        <v>21.5</v>
      </c>
      <c r="DK378">
        <v>19</v>
      </c>
      <c r="DL378">
        <v>-1.1080000000000005</v>
      </c>
      <c r="DM378">
        <v>24</v>
      </c>
      <c r="DN378">
        <v>-5.4800000000000022</v>
      </c>
      <c r="DO378">
        <v>0.32</v>
      </c>
      <c r="DP378">
        <v>1</v>
      </c>
      <c r="DQ378">
        <v>4</v>
      </c>
      <c r="DR378">
        <v>5</v>
      </c>
      <c r="DS378">
        <v>6.2349999999999994</v>
      </c>
      <c r="DT378">
        <v>3</v>
      </c>
      <c r="DU378">
        <v>40.9</v>
      </c>
      <c r="DV378">
        <v>1.23</v>
      </c>
      <c r="DW378">
        <v>17</v>
      </c>
      <c r="DX378">
        <v>16.5</v>
      </c>
      <c r="DY378">
        <v>19</v>
      </c>
      <c r="DZ378">
        <v>-0.85600000000000021</v>
      </c>
      <c r="EA378">
        <v>14</v>
      </c>
      <c r="EB378">
        <v>-0.28000000000000114</v>
      </c>
      <c r="EC378">
        <v>-8.0000000000000071E-2</v>
      </c>
      <c r="ED378">
        <v>6</v>
      </c>
      <c r="EE378">
        <v>8</v>
      </c>
      <c r="EF378">
        <v>6</v>
      </c>
      <c r="EG378">
        <v>0.90400000000000014</v>
      </c>
      <c r="EH378">
        <v>10</v>
      </c>
      <c r="EI378">
        <v>3.4400000000000004</v>
      </c>
      <c r="EJ378">
        <v>0.16000000000000006</v>
      </c>
      <c r="EK378">
        <v>2</v>
      </c>
      <c r="EL378">
        <v>3.5</v>
      </c>
      <c r="EM378">
        <v>5</v>
      </c>
      <c r="EN378">
        <v>4.9520000000000026</v>
      </c>
      <c r="EO378">
        <v>2</v>
      </c>
      <c r="EP378">
        <v>39.119999999999997</v>
      </c>
      <c r="EQ378">
        <v>1.1600000000000001</v>
      </c>
      <c r="ER378">
        <v>9</v>
      </c>
      <c r="ES378">
        <v>10</v>
      </c>
      <c r="ET378">
        <v>9</v>
      </c>
      <c r="EU378">
        <v>0.42399999999999982</v>
      </c>
      <c r="EV378">
        <v>11</v>
      </c>
      <c r="EW378">
        <v>1.4799999999999982</v>
      </c>
      <c r="EX378">
        <v>-7.9999999999999891E-2</v>
      </c>
      <c r="EY378">
        <v>20</v>
      </c>
      <c r="EZ378">
        <v>21</v>
      </c>
      <c r="FA378">
        <v>18</v>
      </c>
      <c r="FB378">
        <v>-0.43999999999999984</v>
      </c>
      <c r="FC378">
        <v>24</v>
      </c>
      <c r="FD378">
        <v>-0.6</v>
      </c>
      <c r="FE378">
        <v>0.6</v>
      </c>
      <c r="FF378">
        <v>22</v>
      </c>
      <c r="FG378">
        <v>18.25</v>
      </c>
      <c r="FH378">
        <v>13</v>
      </c>
      <c r="FI378">
        <v>2.5442784003915529E-3</v>
      </c>
      <c r="FJ378">
        <v>15</v>
      </c>
      <c r="FK378">
        <v>1.551280699644038E-3</v>
      </c>
      <c r="FL378">
        <v>19</v>
      </c>
      <c r="FM378">
        <v>0.95999999999999375</v>
      </c>
      <c r="FN378">
        <v>26</v>
      </c>
      <c r="FO378">
        <v>-2</v>
      </c>
      <c r="FP378">
        <v>0</v>
      </c>
      <c r="FQ378">
        <v>-1.2799999999999998</v>
      </c>
      <c r="FR378">
        <v>-0.23999999999999994</v>
      </c>
      <c r="FS378">
        <v>-0.8</v>
      </c>
      <c r="FT378">
        <v>-1.1600000000000006</v>
      </c>
      <c r="FU378">
        <v>-0.15999999999999998</v>
      </c>
      <c r="FV378">
        <v>26.439999999999998</v>
      </c>
      <c r="FW378">
        <v>31.52000000000001</v>
      </c>
      <c r="FX378">
        <v>-1.4400000000000035</v>
      </c>
      <c r="FY378">
        <v>-1.48</v>
      </c>
      <c r="FZ378">
        <v>-2.1599999999999988</v>
      </c>
      <c r="GA378">
        <v>5</v>
      </c>
      <c r="GB378">
        <v>6.4800000000000031</v>
      </c>
      <c r="GC378">
        <v>4.0042000000000009</v>
      </c>
      <c r="GD378">
        <v>32.960000000000015</v>
      </c>
      <c r="GE378">
        <v>-6.4800000000000031</v>
      </c>
      <c r="GF378">
        <v>0.45437500000000003</v>
      </c>
      <c r="GG378">
        <v>6.2829999999999995</v>
      </c>
      <c r="GH378">
        <v>44.059999999999995</v>
      </c>
      <c r="GI378">
        <v>-4.5560000000000009</v>
      </c>
      <c r="GJ378">
        <v>-6.0800000000000054</v>
      </c>
      <c r="GK378">
        <v>1.2300000000000002</v>
      </c>
      <c r="GL378">
        <v>-1.2</v>
      </c>
    </row>
    <row r="379" spans="1:194" x14ac:dyDescent="0.2">
      <c r="A379" s="39">
        <v>43800</v>
      </c>
      <c r="B379" s="22" t="s">
        <v>241</v>
      </c>
      <c r="C379" s="41" t="s">
        <v>294</v>
      </c>
      <c r="D379" s="22" t="s">
        <v>293</v>
      </c>
      <c r="E379">
        <v>31.7</v>
      </c>
      <c r="F379">
        <v>9.1</v>
      </c>
      <c r="G379">
        <v>8.5</v>
      </c>
      <c r="H379">
        <v>18</v>
      </c>
      <c r="I379">
        <v>-10.5</v>
      </c>
      <c r="J379">
        <v>45</v>
      </c>
      <c r="L379" s="1" t="s">
        <v>294</v>
      </c>
      <c r="M379">
        <v>20</v>
      </c>
      <c r="N379">
        <v>-0.91520000000000012</v>
      </c>
      <c r="O379">
        <v>16</v>
      </c>
      <c r="P379">
        <v>16.5</v>
      </c>
      <c r="Q379">
        <v>18</v>
      </c>
      <c r="R379">
        <v>0.27599999999999997</v>
      </c>
      <c r="S379">
        <v>15</v>
      </c>
      <c r="T379">
        <v>2.5199999999999974</v>
      </c>
      <c r="U379">
        <v>-0.35999999999999988</v>
      </c>
      <c r="V379">
        <v>9</v>
      </c>
      <c r="W379">
        <v>10.5</v>
      </c>
      <c r="X379">
        <v>16</v>
      </c>
      <c r="Y379">
        <v>0.8600000000000001</v>
      </c>
      <c r="Z379">
        <v>5</v>
      </c>
      <c r="AA379">
        <v>14.919999999999998</v>
      </c>
      <c r="AB379">
        <v>-1.2799999999999998</v>
      </c>
      <c r="AC379">
        <v>19</v>
      </c>
      <c r="AD379">
        <v>18.5</v>
      </c>
      <c r="AE379">
        <v>20</v>
      </c>
      <c r="AF379">
        <v>-1.1999999999999122E-2</v>
      </c>
      <c r="AG379">
        <v>17</v>
      </c>
      <c r="AH379">
        <v>3.5500000000000007</v>
      </c>
      <c r="AI379">
        <v>0.54999999999999982</v>
      </c>
      <c r="AJ379">
        <v>30</v>
      </c>
      <c r="AK379">
        <v>30</v>
      </c>
      <c r="AL379">
        <v>29</v>
      </c>
      <c r="AM379">
        <v>-5.26</v>
      </c>
      <c r="AN379">
        <v>31</v>
      </c>
      <c r="AO379">
        <v>-30.1</v>
      </c>
      <c r="AP379">
        <v>-0.14999999999999991</v>
      </c>
      <c r="AQ379">
        <v>23</v>
      </c>
      <c r="AR379">
        <v>23.5</v>
      </c>
      <c r="AS379">
        <v>24</v>
      </c>
      <c r="AT379">
        <v>-1.8900000000000003</v>
      </c>
      <c r="AU379">
        <v>23</v>
      </c>
      <c r="AV379">
        <v>-8.0500000000000007</v>
      </c>
      <c r="AW379">
        <v>-2.1</v>
      </c>
      <c r="AX379">
        <v>20</v>
      </c>
      <c r="AY379">
        <v>20</v>
      </c>
      <c r="AZ379">
        <v>19</v>
      </c>
      <c r="BA379">
        <v>-0.35600000000000132</v>
      </c>
      <c r="BB379">
        <v>21</v>
      </c>
      <c r="BC379">
        <v>-5.5600000000000023</v>
      </c>
      <c r="BD379">
        <v>1</v>
      </c>
      <c r="BE379">
        <v>1</v>
      </c>
      <c r="BF379">
        <v>1</v>
      </c>
      <c r="BG379">
        <v>1</v>
      </c>
      <c r="BH379">
        <v>13.012</v>
      </c>
      <c r="BI379">
        <v>1</v>
      </c>
      <c r="BJ379">
        <v>47.051200000000001</v>
      </c>
      <c r="BK379">
        <v>7.0399999999999991</v>
      </c>
      <c r="BL379">
        <v>23</v>
      </c>
      <c r="BM379">
        <v>22.5</v>
      </c>
      <c r="BN379">
        <v>24</v>
      </c>
      <c r="BO379">
        <v>-0.47999999999999987</v>
      </c>
      <c r="BP379">
        <v>21</v>
      </c>
      <c r="BQ379">
        <v>-0.20000000000000009</v>
      </c>
      <c r="BR379">
        <v>0.4</v>
      </c>
      <c r="BS379">
        <v>6</v>
      </c>
      <c r="BT379">
        <v>10.25</v>
      </c>
      <c r="BU379">
        <v>16</v>
      </c>
      <c r="BV379">
        <v>9.6250397225153828E-3</v>
      </c>
      <c r="BW379">
        <v>4</v>
      </c>
      <c r="BX379">
        <v>2.1977118153226109E-2</v>
      </c>
      <c r="BY379">
        <v>6</v>
      </c>
      <c r="BZ379">
        <v>-6.044000000000004</v>
      </c>
      <c r="CA379">
        <v>15</v>
      </c>
      <c r="CB379">
        <v>8.0000000000000251E-2</v>
      </c>
      <c r="CC379">
        <v>5.8000000000000016</v>
      </c>
      <c r="CD379">
        <v>1.2</v>
      </c>
      <c r="CE379">
        <v>-1.2</v>
      </c>
      <c r="CF379">
        <v>12.999999999999989</v>
      </c>
      <c r="CG379">
        <v>-9.8799999999999955</v>
      </c>
      <c r="CH379">
        <v>17.360000000000003</v>
      </c>
      <c r="CI379">
        <v>-1.3199999999999998</v>
      </c>
      <c r="CJ379">
        <v>6.8400000000000007</v>
      </c>
      <c r="CK379">
        <v>18</v>
      </c>
      <c r="CL379">
        <v>-2.0512000000000001</v>
      </c>
      <c r="CM379">
        <v>0.41896000000000011</v>
      </c>
      <c r="CN379">
        <v>-27.24</v>
      </c>
      <c r="CO379">
        <v>2.0512000000000001</v>
      </c>
      <c r="CP379">
        <v>0.69885000000000019</v>
      </c>
      <c r="CQ379">
        <v>-7.161999999999999</v>
      </c>
      <c r="CR379">
        <v>-34.6</v>
      </c>
      <c r="CS379">
        <v>1.1360000000000001</v>
      </c>
      <c r="CT379">
        <v>17.439999999999994</v>
      </c>
      <c r="CU379">
        <v>5.339999999999999</v>
      </c>
      <c r="CV379">
        <v>-1.6399999999999997</v>
      </c>
      <c r="CW379">
        <v>0.35110000000000019</v>
      </c>
      <c r="CX379">
        <v>-1.5821999999999998</v>
      </c>
      <c r="CY379" t="s">
        <v>293</v>
      </c>
      <c r="CZ379">
        <v>2</v>
      </c>
      <c r="DA379">
        <v>3.3720000000000012</v>
      </c>
      <c r="DB379">
        <v>1</v>
      </c>
      <c r="DC379">
        <v>1.5</v>
      </c>
      <c r="DD379">
        <v>1</v>
      </c>
      <c r="DE379">
        <v>2.0519999999999996</v>
      </c>
      <c r="DF379">
        <v>2</v>
      </c>
      <c r="DG379">
        <v>3.7599999999999967</v>
      </c>
      <c r="DH379">
        <v>0.72</v>
      </c>
      <c r="DI379">
        <v>30</v>
      </c>
      <c r="DJ379">
        <v>27</v>
      </c>
      <c r="DK379">
        <v>27</v>
      </c>
      <c r="DL379">
        <v>-1.3280000000000001</v>
      </c>
      <c r="DM379">
        <v>27</v>
      </c>
      <c r="DN379">
        <v>-4.3600000000000003</v>
      </c>
      <c r="DO379">
        <v>-8.0000000000000029E-2</v>
      </c>
      <c r="DP379">
        <v>2</v>
      </c>
      <c r="DQ379">
        <v>1.5</v>
      </c>
      <c r="DR379">
        <v>1</v>
      </c>
      <c r="DS379">
        <v>9.8941999999999997</v>
      </c>
      <c r="DT379">
        <v>2</v>
      </c>
      <c r="DU379">
        <v>32.19</v>
      </c>
      <c r="DV379">
        <v>2.7299999999999995</v>
      </c>
      <c r="DW379">
        <v>8</v>
      </c>
      <c r="DX379">
        <v>7</v>
      </c>
      <c r="DY379">
        <v>6</v>
      </c>
      <c r="DZ379">
        <v>1.1239999999999997</v>
      </c>
      <c r="EA379">
        <v>8</v>
      </c>
      <c r="EB379">
        <v>8.370000000000001</v>
      </c>
      <c r="EC379">
        <v>-8.0000000000000071E-2</v>
      </c>
      <c r="ED379">
        <v>29</v>
      </c>
      <c r="EE379">
        <v>24</v>
      </c>
      <c r="EF379">
        <v>22</v>
      </c>
      <c r="EG379">
        <v>-0.73899999999999966</v>
      </c>
      <c r="EH379">
        <v>26</v>
      </c>
      <c r="EI379">
        <v>-8.09</v>
      </c>
      <c r="EJ379">
        <v>0.16000000000000006</v>
      </c>
      <c r="EK379">
        <v>9</v>
      </c>
      <c r="EL379">
        <v>9</v>
      </c>
      <c r="EM379">
        <v>8</v>
      </c>
      <c r="EN379">
        <v>0.12399999999999914</v>
      </c>
      <c r="EO379">
        <v>10</v>
      </c>
      <c r="EP379">
        <v>0.43999999999999917</v>
      </c>
      <c r="EQ379">
        <v>0.27999999999999992</v>
      </c>
      <c r="ER379">
        <v>19</v>
      </c>
      <c r="ES379">
        <v>18.5</v>
      </c>
      <c r="ET379">
        <v>25</v>
      </c>
      <c r="EU379">
        <v>-0.17999999999999935</v>
      </c>
      <c r="EV379">
        <v>12</v>
      </c>
      <c r="EW379">
        <v>5.1471999999999989</v>
      </c>
      <c r="EX379">
        <v>1.04</v>
      </c>
      <c r="EY379">
        <v>1</v>
      </c>
      <c r="EZ379">
        <v>1.5</v>
      </c>
      <c r="FA379">
        <v>1</v>
      </c>
      <c r="FB379">
        <v>4.08</v>
      </c>
      <c r="FC379">
        <v>2</v>
      </c>
      <c r="FD379">
        <v>0.91999999999999993</v>
      </c>
      <c r="FE379">
        <v>-1.56</v>
      </c>
      <c r="FF379">
        <v>31</v>
      </c>
      <c r="FG379">
        <v>29</v>
      </c>
      <c r="FH379">
        <v>29</v>
      </c>
      <c r="FI379">
        <v>-6.3585029344177035E-2</v>
      </c>
      <c r="FJ379">
        <v>32</v>
      </c>
      <c r="FK379">
        <v>-3.1586937526708284E-2</v>
      </c>
      <c r="FL379">
        <v>30</v>
      </c>
      <c r="FM379">
        <v>10.563999999999998</v>
      </c>
      <c r="FN379">
        <v>25</v>
      </c>
      <c r="FO379">
        <v>-1.8399999999999999</v>
      </c>
      <c r="FP379">
        <v>4.1199999999999992</v>
      </c>
      <c r="FQ379">
        <v>-1.4</v>
      </c>
      <c r="FR379">
        <v>-1.1199999999999999</v>
      </c>
      <c r="FS379">
        <v>0</v>
      </c>
      <c r="FT379">
        <v>5.4799999999999986</v>
      </c>
      <c r="FU379">
        <v>-0.4</v>
      </c>
      <c r="FV379">
        <v>29.080000000000005</v>
      </c>
      <c r="FW379">
        <v>36.200000000000003</v>
      </c>
      <c r="FX379">
        <v>-1.7599999999999993</v>
      </c>
      <c r="FY379">
        <v>-1.3199999999999998</v>
      </c>
      <c r="FZ379">
        <v>-4.0400000000000009</v>
      </c>
      <c r="GA379">
        <v>11</v>
      </c>
      <c r="GB379">
        <v>2.6480000000000015</v>
      </c>
      <c r="GC379">
        <v>2.3322400000000005</v>
      </c>
      <c r="GD379">
        <v>37.96</v>
      </c>
      <c r="GE379">
        <v>-2.6480000000000015</v>
      </c>
      <c r="GF379">
        <v>2.2844000000000002</v>
      </c>
      <c r="GG379">
        <v>10.279200000000001</v>
      </c>
      <c r="GH379">
        <v>32.47</v>
      </c>
      <c r="GI379">
        <v>0.72399999999999953</v>
      </c>
      <c r="GJ379">
        <v>-0.60000000000000364</v>
      </c>
      <c r="GK379">
        <v>3.8499999999999996</v>
      </c>
      <c r="GL379">
        <v>0.6399999999999999</v>
      </c>
    </row>
    <row r="380" spans="1:194" x14ac:dyDescent="0.2">
      <c r="A380" s="39">
        <v>43800</v>
      </c>
      <c r="B380" s="22" t="s">
        <v>241</v>
      </c>
      <c r="C380" s="41" t="s">
        <v>309</v>
      </c>
      <c r="D380" s="22" t="s">
        <v>281</v>
      </c>
      <c r="E380">
        <v>24.1</v>
      </c>
      <c r="F380">
        <v>4.0999999999999996</v>
      </c>
      <c r="G380">
        <v>3.8</v>
      </c>
      <c r="H380">
        <v>6.8</v>
      </c>
      <c r="I380">
        <v>1</v>
      </c>
      <c r="J380">
        <v>40</v>
      </c>
      <c r="L380" s="1" t="s">
        <v>309</v>
      </c>
      <c r="M380">
        <v>31</v>
      </c>
      <c r="N380">
        <v>-6.5783999999999994</v>
      </c>
      <c r="O380">
        <v>12</v>
      </c>
      <c r="P380">
        <v>14.5</v>
      </c>
      <c r="Q380">
        <v>9</v>
      </c>
      <c r="R380">
        <v>1.3679999999999997</v>
      </c>
      <c r="S380">
        <v>20</v>
      </c>
      <c r="T380">
        <v>-7.6800000000000015</v>
      </c>
      <c r="U380">
        <v>2.2399999999999998</v>
      </c>
      <c r="V380">
        <v>9</v>
      </c>
      <c r="W380">
        <v>10.5</v>
      </c>
      <c r="X380">
        <v>11</v>
      </c>
      <c r="Y380">
        <v>1.1599999999999999</v>
      </c>
      <c r="Z380">
        <v>10</v>
      </c>
      <c r="AA380">
        <v>4.96</v>
      </c>
      <c r="AB380">
        <v>0.51999999999999991</v>
      </c>
      <c r="AC380">
        <v>13</v>
      </c>
      <c r="AD380">
        <v>14.5</v>
      </c>
      <c r="AE380">
        <v>19</v>
      </c>
      <c r="AF380">
        <v>-0.94499999999999984</v>
      </c>
      <c r="AG380">
        <v>10</v>
      </c>
      <c r="AH380">
        <v>8.5625000000000018</v>
      </c>
      <c r="AI380">
        <v>-1.925</v>
      </c>
      <c r="AJ380">
        <v>17</v>
      </c>
      <c r="AK380">
        <v>17.5</v>
      </c>
      <c r="AL380">
        <v>19</v>
      </c>
      <c r="AM380">
        <v>-0.79600000000000048</v>
      </c>
      <c r="AN380">
        <v>16</v>
      </c>
      <c r="AO380">
        <v>0.9600000000000023</v>
      </c>
      <c r="AP380">
        <v>-0.9600000000000003</v>
      </c>
      <c r="AQ380">
        <v>18</v>
      </c>
      <c r="AR380">
        <v>17.5</v>
      </c>
      <c r="AS380">
        <v>20</v>
      </c>
      <c r="AT380">
        <v>-1.212</v>
      </c>
      <c r="AU380">
        <v>15</v>
      </c>
      <c r="AV380">
        <v>0.6399999999999999</v>
      </c>
      <c r="AW380">
        <v>-1.08</v>
      </c>
      <c r="AX380">
        <v>31</v>
      </c>
      <c r="AY380">
        <v>31.5</v>
      </c>
      <c r="AZ380">
        <v>32</v>
      </c>
      <c r="BA380">
        <v>-10.824000000000002</v>
      </c>
      <c r="BB380">
        <v>31</v>
      </c>
      <c r="BC380">
        <v>-41.84</v>
      </c>
      <c r="BD380">
        <v>-3.84</v>
      </c>
      <c r="BE380">
        <v>28</v>
      </c>
      <c r="BF380">
        <v>27.5</v>
      </c>
      <c r="BG380">
        <v>24</v>
      </c>
      <c r="BH380">
        <v>-3.8319999999999999</v>
      </c>
      <c r="BI380">
        <v>31</v>
      </c>
      <c r="BJ380">
        <v>-23.919999999999998</v>
      </c>
      <c r="BK380">
        <v>-0.55999999999999983</v>
      </c>
      <c r="BL380">
        <v>3</v>
      </c>
      <c r="BM380">
        <v>5.5</v>
      </c>
      <c r="BN380">
        <v>5</v>
      </c>
      <c r="BO380">
        <v>2.2399999999999998</v>
      </c>
      <c r="BP380">
        <v>6</v>
      </c>
      <c r="BQ380">
        <v>0.72</v>
      </c>
      <c r="BR380">
        <v>5.88</v>
      </c>
      <c r="BS380">
        <v>12</v>
      </c>
      <c r="BT380">
        <v>13.25</v>
      </c>
      <c r="BU380">
        <v>9</v>
      </c>
      <c r="BV380">
        <v>3.7675928640916991E-2</v>
      </c>
      <c r="BW380">
        <v>20</v>
      </c>
      <c r="BX380">
        <v>-6.4737062702296191E-3</v>
      </c>
      <c r="BY380">
        <v>19</v>
      </c>
      <c r="BZ380">
        <v>0.58800000000000385</v>
      </c>
      <c r="CA380">
        <v>5</v>
      </c>
      <c r="CB380">
        <v>3.04</v>
      </c>
      <c r="CC380">
        <v>1.5599999999999994</v>
      </c>
      <c r="CD380">
        <v>-3.4800000000000004</v>
      </c>
      <c r="CE380">
        <v>1.24</v>
      </c>
      <c r="CF380">
        <v>-27.320000000000004</v>
      </c>
      <c r="CG380">
        <v>-19.719999999999992</v>
      </c>
      <c r="CH380">
        <v>4.0799999999999983</v>
      </c>
      <c r="CI380">
        <v>1.56</v>
      </c>
      <c r="CJ380">
        <v>-13.24</v>
      </c>
      <c r="CK380">
        <v>31</v>
      </c>
      <c r="CL380">
        <v>-9.1063999999999989</v>
      </c>
      <c r="CM380">
        <v>-3.9366799999999995</v>
      </c>
      <c r="CN380">
        <v>-23.79999999999999</v>
      </c>
      <c r="CO380">
        <v>9.1063999999999989</v>
      </c>
      <c r="CP380">
        <v>-1.074425</v>
      </c>
      <c r="CQ380">
        <v>-2.9530000000000003</v>
      </c>
      <c r="CR380">
        <v>10.162500000000005</v>
      </c>
      <c r="CS380">
        <v>2.5279999999999996</v>
      </c>
      <c r="CT380">
        <v>-2.7200000000000015</v>
      </c>
      <c r="CU380">
        <v>-4.5250000000000004</v>
      </c>
      <c r="CV380">
        <v>2.76</v>
      </c>
      <c r="CW380">
        <v>-1.1652281250000001</v>
      </c>
      <c r="CX380">
        <v>-1.8527</v>
      </c>
      <c r="CY380" t="s">
        <v>281</v>
      </c>
      <c r="CZ380">
        <v>11</v>
      </c>
      <c r="DA380">
        <v>1.7832000000000015</v>
      </c>
      <c r="DB380">
        <v>19</v>
      </c>
      <c r="DC380">
        <v>20</v>
      </c>
      <c r="DD380">
        <v>20</v>
      </c>
      <c r="DE380">
        <v>-1.0080000000000013</v>
      </c>
      <c r="DF380">
        <v>20</v>
      </c>
      <c r="DG380">
        <v>-2.2000000000000002</v>
      </c>
      <c r="DH380">
        <v>-1.04</v>
      </c>
      <c r="DI380">
        <v>25</v>
      </c>
      <c r="DJ380">
        <v>22.5</v>
      </c>
      <c r="DK380">
        <v>19</v>
      </c>
      <c r="DL380">
        <v>-1.0840000000000001</v>
      </c>
      <c r="DM380">
        <v>26</v>
      </c>
      <c r="DN380">
        <v>-6.12</v>
      </c>
      <c r="DO380">
        <v>-0.28000000000000014</v>
      </c>
      <c r="DP380">
        <v>10</v>
      </c>
      <c r="DQ380">
        <v>12</v>
      </c>
      <c r="DR380">
        <v>13</v>
      </c>
      <c r="DS380">
        <v>0.18674999999999908</v>
      </c>
      <c r="DT380">
        <v>11</v>
      </c>
      <c r="DU380">
        <v>3.4250000000000007</v>
      </c>
      <c r="DV380">
        <v>-6.25E-2</v>
      </c>
      <c r="DW380">
        <v>21</v>
      </c>
      <c r="DX380">
        <v>22</v>
      </c>
      <c r="DY380">
        <v>21</v>
      </c>
      <c r="DZ380">
        <v>-2.3559999999999999</v>
      </c>
      <c r="EA380">
        <v>23</v>
      </c>
      <c r="EB380">
        <v>-9.5200000000000014</v>
      </c>
      <c r="EC380">
        <v>4.0000000000000036E-2</v>
      </c>
      <c r="ED380">
        <v>21</v>
      </c>
      <c r="EE380">
        <v>19.5</v>
      </c>
      <c r="EF380">
        <v>19</v>
      </c>
      <c r="EG380">
        <v>-0.58800000000000008</v>
      </c>
      <c r="EH380">
        <v>20</v>
      </c>
      <c r="EI380">
        <v>-2.4</v>
      </c>
      <c r="EJ380">
        <v>0.44000000000000006</v>
      </c>
      <c r="EK380">
        <v>10</v>
      </c>
      <c r="EL380">
        <v>11.5</v>
      </c>
      <c r="EM380">
        <v>12</v>
      </c>
      <c r="EN380">
        <v>1.5719999999999998</v>
      </c>
      <c r="EO380">
        <v>11</v>
      </c>
      <c r="EP380">
        <v>6.919999999999999</v>
      </c>
      <c r="EQ380">
        <v>-0.12000000000000011</v>
      </c>
      <c r="ER380">
        <v>4</v>
      </c>
      <c r="ES380">
        <v>4</v>
      </c>
      <c r="ET380">
        <v>5</v>
      </c>
      <c r="EU380">
        <v>2.8280000000000003</v>
      </c>
      <c r="EV380">
        <v>3</v>
      </c>
      <c r="EW380">
        <v>17.36</v>
      </c>
      <c r="EX380">
        <v>-0.19999999999999982</v>
      </c>
      <c r="EY380">
        <v>29</v>
      </c>
      <c r="EZ380">
        <v>27</v>
      </c>
      <c r="FA380">
        <v>30</v>
      </c>
      <c r="FB380">
        <v>-3.5839999999999996</v>
      </c>
      <c r="FC380">
        <v>24</v>
      </c>
      <c r="FD380">
        <v>-0.64000000000000012</v>
      </c>
      <c r="FE380">
        <v>-5.4399999999999995</v>
      </c>
      <c r="FF380">
        <v>9</v>
      </c>
      <c r="FG380">
        <v>12.5</v>
      </c>
      <c r="FH380">
        <v>8</v>
      </c>
      <c r="FI380">
        <v>3.1966416667051599E-2</v>
      </c>
      <c r="FJ380">
        <v>16</v>
      </c>
      <c r="FK380">
        <v>4.1445162678672569E-4</v>
      </c>
      <c r="FL380">
        <v>7</v>
      </c>
      <c r="FM380">
        <v>-4.6960000000000033</v>
      </c>
      <c r="FN380">
        <v>19</v>
      </c>
      <c r="FO380">
        <v>-0.35999999999999976</v>
      </c>
      <c r="FP380">
        <v>0.6399999999999999</v>
      </c>
      <c r="FQ380">
        <v>-5.4399999999999995</v>
      </c>
      <c r="FR380">
        <v>0.20000000000000009</v>
      </c>
      <c r="FS380">
        <v>-4.2799999999999994</v>
      </c>
      <c r="FT380">
        <v>-0.8</v>
      </c>
      <c r="FU380">
        <v>-1.1599999999999997</v>
      </c>
      <c r="FV380">
        <v>0.31999999999999318</v>
      </c>
      <c r="FW380">
        <v>4.4799999999999951</v>
      </c>
      <c r="FX380">
        <v>-9.5599999999999987</v>
      </c>
      <c r="FY380">
        <v>0.28000000000000008</v>
      </c>
      <c r="FZ380">
        <v>5.12</v>
      </c>
      <c r="GA380">
        <v>8</v>
      </c>
      <c r="GB380">
        <v>3.8752000000000026</v>
      </c>
      <c r="GC380">
        <v>1.4167900000000009</v>
      </c>
      <c r="GD380">
        <v>14.039999999999994</v>
      </c>
      <c r="GE380">
        <v>-3.8752000000000031</v>
      </c>
      <c r="GF380">
        <v>-0.47775624999999999</v>
      </c>
      <c r="GG380">
        <v>-2.7572500000000009</v>
      </c>
      <c r="GH380">
        <v>-8.495000000000001</v>
      </c>
      <c r="GI380">
        <v>-2.0920000000000014</v>
      </c>
      <c r="GJ380">
        <v>-8.32</v>
      </c>
      <c r="GK380">
        <v>0.21750000000000028</v>
      </c>
      <c r="GL380">
        <v>-1.3200000000000003</v>
      </c>
    </row>
    <row r="381" spans="1:194" x14ac:dyDescent="0.2">
      <c r="A381" s="39">
        <v>43800</v>
      </c>
      <c r="B381" s="22" t="s">
        <v>241</v>
      </c>
      <c r="C381" s="40" t="s">
        <v>256</v>
      </c>
      <c r="D381" s="22" t="s">
        <v>305</v>
      </c>
      <c r="E381">
        <v>8.1</v>
      </c>
      <c r="F381">
        <v>14.1</v>
      </c>
      <c r="G381">
        <v>7.2</v>
      </c>
      <c r="H381">
        <v>3.4</v>
      </c>
      <c r="I381">
        <v>5.5</v>
      </c>
      <c r="J381">
        <v>45</v>
      </c>
      <c r="K381" t="s">
        <v>110</v>
      </c>
      <c r="L381" s="1" t="s">
        <v>256</v>
      </c>
      <c r="M381">
        <v>14</v>
      </c>
      <c r="N381">
        <v>0.4431999999999981</v>
      </c>
      <c r="O381">
        <v>26</v>
      </c>
      <c r="P381">
        <v>24.5</v>
      </c>
      <c r="Q381">
        <v>25</v>
      </c>
      <c r="R381">
        <v>-2.7960000000000003</v>
      </c>
      <c r="S381">
        <v>24</v>
      </c>
      <c r="T381">
        <v>-7.2399999999999993</v>
      </c>
      <c r="U381">
        <v>-1.0399999999999998</v>
      </c>
      <c r="V381">
        <v>5</v>
      </c>
      <c r="W381">
        <v>8</v>
      </c>
      <c r="X381">
        <v>9</v>
      </c>
      <c r="Y381">
        <v>1.5399999999999996</v>
      </c>
      <c r="Z381">
        <v>7</v>
      </c>
      <c r="AA381">
        <v>6.0399999999999991</v>
      </c>
      <c r="AB381">
        <v>0.76</v>
      </c>
      <c r="AC381">
        <v>23</v>
      </c>
      <c r="AD381">
        <v>22</v>
      </c>
      <c r="AE381">
        <v>24</v>
      </c>
      <c r="AF381">
        <v>-2.2220000000000018</v>
      </c>
      <c r="AG381">
        <v>20</v>
      </c>
      <c r="AH381">
        <v>-4.089999999999999</v>
      </c>
      <c r="AI381">
        <v>-1.1400000000000006</v>
      </c>
      <c r="AJ381">
        <v>27</v>
      </c>
      <c r="AK381">
        <v>27</v>
      </c>
      <c r="AL381">
        <v>25</v>
      </c>
      <c r="AM381">
        <v>-3.2549999999999999</v>
      </c>
      <c r="AN381">
        <v>29</v>
      </c>
      <c r="AO381">
        <v>-27.27</v>
      </c>
      <c r="AP381">
        <v>-2.1799999999999997</v>
      </c>
      <c r="AQ381">
        <v>13</v>
      </c>
      <c r="AR381">
        <v>14.5</v>
      </c>
      <c r="AS381">
        <v>16</v>
      </c>
      <c r="AT381">
        <v>-0.25300000000000011</v>
      </c>
      <c r="AU381">
        <v>13</v>
      </c>
      <c r="AV381">
        <v>0.87000000000000033</v>
      </c>
      <c r="AW381">
        <v>-0.96000000000000019</v>
      </c>
      <c r="AX381">
        <v>19</v>
      </c>
      <c r="AY381">
        <v>19.5</v>
      </c>
      <c r="AZ381">
        <v>20</v>
      </c>
      <c r="BA381">
        <v>-0.95599999999999774</v>
      </c>
      <c r="BB381">
        <v>19</v>
      </c>
      <c r="BC381">
        <v>-3.5600000000000009</v>
      </c>
      <c r="BD381">
        <v>-2.3200000000000003</v>
      </c>
      <c r="BE381">
        <v>17</v>
      </c>
      <c r="BF381">
        <v>17.5</v>
      </c>
      <c r="BG381">
        <v>16</v>
      </c>
      <c r="BH381">
        <v>0.58399999999999896</v>
      </c>
      <c r="BI381">
        <v>19</v>
      </c>
      <c r="BJ381">
        <v>-2.0127999999999999</v>
      </c>
      <c r="BK381">
        <v>-1.0000000000000002</v>
      </c>
      <c r="BL381">
        <v>17</v>
      </c>
      <c r="BM381">
        <v>16</v>
      </c>
      <c r="BN381">
        <v>15</v>
      </c>
      <c r="BO381">
        <v>0.48000000000000026</v>
      </c>
      <c r="BP381">
        <v>17</v>
      </c>
      <c r="BQ381">
        <v>-4.0000000000000077E-2</v>
      </c>
      <c r="BR381">
        <v>3.3600000000000008</v>
      </c>
      <c r="BS381">
        <v>21</v>
      </c>
      <c r="BT381">
        <v>17.75</v>
      </c>
      <c r="BU381">
        <v>19</v>
      </c>
      <c r="BV381">
        <v>-1.1491454585293404E-2</v>
      </c>
      <c r="BW381">
        <v>3</v>
      </c>
      <c r="BX381">
        <v>2.4590179160782849E-2</v>
      </c>
      <c r="BY381">
        <v>29</v>
      </c>
      <c r="BZ381">
        <v>11.867999999999995</v>
      </c>
      <c r="CA381">
        <v>20</v>
      </c>
      <c r="CB381">
        <v>-1.08</v>
      </c>
      <c r="CC381">
        <v>-3.519999999999996</v>
      </c>
      <c r="CD381">
        <v>1.920000000000001</v>
      </c>
      <c r="CE381">
        <v>1.1200000000000001</v>
      </c>
      <c r="CF381">
        <v>-24.360000000000003</v>
      </c>
      <c r="CG381">
        <v>-25.159999999999997</v>
      </c>
      <c r="CH381">
        <v>3.0400000000000036</v>
      </c>
      <c r="CI381">
        <v>1.2000000000000002</v>
      </c>
      <c r="CJ381">
        <v>-3.44</v>
      </c>
      <c r="CK381">
        <v>13</v>
      </c>
      <c r="CL381">
        <v>1.6991999999999989</v>
      </c>
      <c r="CM381">
        <v>-0.31256000000000073</v>
      </c>
      <c r="CN381">
        <v>-28.2</v>
      </c>
      <c r="CO381">
        <v>-1.6991999999999987</v>
      </c>
      <c r="CP381">
        <v>-0.68485000000000062</v>
      </c>
      <c r="CQ381">
        <v>-5.7300000000000022</v>
      </c>
      <c r="CR381">
        <v>-30.49</v>
      </c>
      <c r="CS381">
        <v>-1.2560000000000007</v>
      </c>
      <c r="CT381">
        <v>-1.2000000000000002</v>
      </c>
      <c r="CU381">
        <v>-5.28</v>
      </c>
      <c r="CV381">
        <v>-0.2799999999999998</v>
      </c>
      <c r="CW381">
        <v>-2.0896000000000003</v>
      </c>
      <c r="CX381">
        <v>-1.9542000000000002</v>
      </c>
      <c r="CY381" t="s">
        <v>305</v>
      </c>
      <c r="CZ381">
        <v>32</v>
      </c>
      <c r="DA381">
        <v>-7.5903999999999998</v>
      </c>
      <c r="DB381">
        <v>4</v>
      </c>
      <c r="DC381">
        <v>5.5</v>
      </c>
      <c r="DD381">
        <v>6</v>
      </c>
      <c r="DE381">
        <v>2.0920000000000001</v>
      </c>
      <c r="DF381">
        <v>5</v>
      </c>
      <c r="DG381">
        <v>7.8399999999999981</v>
      </c>
      <c r="DH381">
        <v>8.0000000000000043E-2</v>
      </c>
      <c r="DI381">
        <v>27</v>
      </c>
      <c r="DJ381">
        <v>24.5</v>
      </c>
      <c r="DK381">
        <v>29</v>
      </c>
      <c r="DL381">
        <v>-2.6440000000000001</v>
      </c>
      <c r="DM381">
        <v>20</v>
      </c>
      <c r="DN381">
        <v>-5.04</v>
      </c>
      <c r="DO381">
        <v>-1.64</v>
      </c>
      <c r="DP381">
        <v>20</v>
      </c>
      <c r="DQ381">
        <v>25</v>
      </c>
      <c r="DR381">
        <v>27</v>
      </c>
      <c r="DS381">
        <v>-4.6816000000000013</v>
      </c>
      <c r="DT381">
        <v>23</v>
      </c>
      <c r="DU381">
        <v>-14.119999999999996</v>
      </c>
      <c r="DV381">
        <v>0.76</v>
      </c>
      <c r="DW381">
        <v>16</v>
      </c>
      <c r="DX381">
        <v>16</v>
      </c>
      <c r="DY381">
        <v>12</v>
      </c>
      <c r="DZ381">
        <v>1.5159999999999998</v>
      </c>
      <c r="EA381">
        <v>20</v>
      </c>
      <c r="EB381">
        <v>-1.2799999999999998</v>
      </c>
      <c r="EC381">
        <v>0.84000000000000008</v>
      </c>
      <c r="ED381">
        <v>22</v>
      </c>
      <c r="EE381">
        <v>29</v>
      </c>
      <c r="EF381">
        <v>31</v>
      </c>
      <c r="EG381">
        <v>-1.3160000000000003</v>
      </c>
      <c r="EH381">
        <v>27</v>
      </c>
      <c r="EI381">
        <v>-4.8</v>
      </c>
      <c r="EJ381">
        <v>-0.2</v>
      </c>
      <c r="EK381">
        <v>26</v>
      </c>
      <c r="EL381">
        <v>26.5</v>
      </c>
      <c r="EM381">
        <v>23</v>
      </c>
      <c r="EN381">
        <v>-3.5759999999999992</v>
      </c>
      <c r="EO381">
        <v>30</v>
      </c>
      <c r="EP381">
        <v>-37.36</v>
      </c>
      <c r="EQ381">
        <v>8.0000000000000071E-2</v>
      </c>
      <c r="ER381">
        <v>31</v>
      </c>
      <c r="ES381">
        <v>30.5</v>
      </c>
      <c r="ET381">
        <v>30</v>
      </c>
      <c r="EU381">
        <v>-3.8959999999999999</v>
      </c>
      <c r="EV381">
        <v>31</v>
      </c>
      <c r="EW381">
        <v>-17.240000000000002</v>
      </c>
      <c r="EX381">
        <v>-0.76</v>
      </c>
      <c r="EY381">
        <v>23</v>
      </c>
      <c r="EZ381">
        <v>22.5</v>
      </c>
      <c r="FA381">
        <v>27</v>
      </c>
      <c r="FB381">
        <v>-1.2800000000000002</v>
      </c>
      <c r="FC381">
        <v>18</v>
      </c>
      <c r="FD381">
        <v>-0.2</v>
      </c>
      <c r="FE381">
        <v>-7.4</v>
      </c>
      <c r="FF381">
        <v>5</v>
      </c>
      <c r="FG381">
        <v>9.75</v>
      </c>
      <c r="FH381">
        <v>15</v>
      </c>
      <c r="FI381">
        <v>-7.4433024707271089E-4</v>
      </c>
      <c r="FJ381">
        <v>8</v>
      </c>
      <c r="FK381">
        <v>1.8019051186429734E-2</v>
      </c>
      <c r="FL381">
        <v>15</v>
      </c>
      <c r="FM381">
        <v>-1.1039999999999979</v>
      </c>
      <c r="FN381">
        <v>1</v>
      </c>
      <c r="FO381">
        <v>6.7200000000000006</v>
      </c>
      <c r="FP381">
        <v>-2.4799999999999995</v>
      </c>
      <c r="FQ381">
        <v>-2.2800000000000002</v>
      </c>
      <c r="FR381">
        <v>-0.20000000000000012</v>
      </c>
      <c r="FS381">
        <v>-4.5200000000000005</v>
      </c>
      <c r="FT381">
        <v>-6.5200000000000005</v>
      </c>
      <c r="FU381">
        <v>-1.56</v>
      </c>
      <c r="FV381">
        <v>-48.64</v>
      </c>
      <c r="FW381">
        <v>-53.879999999999981</v>
      </c>
      <c r="FX381">
        <v>1.319999999999999</v>
      </c>
      <c r="FY381">
        <v>4.2799999999999994</v>
      </c>
      <c r="FZ381">
        <v>-0.36000000000000038</v>
      </c>
      <c r="GA381">
        <v>30</v>
      </c>
      <c r="GB381">
        <v>-7.0383999999999993</v>
      </c>
      <c r="GC381">
        <v>-2.9176000000000011</v>
      </c>
      <c r="GD381">
        <v>-55.199999999999982</v>
      </c>
      <c r="GE381">
        <v>7.0383999999999993</v>
      </c>
      <c r="GF381">
        <v>-2.2250000000000005</v>
      </c>
      <c r="GG381">
        <v>-4.481600000000002</v>
      </c>
      <c r="GH381">
        <v>-20.199999999999996</v>
      </c>
      <c r="GI381">
        <v>-0.55200000000000005</v>
      </c>
      <c r="GJ381">
        <v>2.799999999999998</v>
      </c>
      <c r="GK381">
        <v>0.64000000000000012</v>
      </c>
      <c r="GL381">
        <v>-1.5599999999999998</v>
      </c>
    </row>
    <row r="382" spans="1:194" x14ac:dyDescent="0.2">
      <c r="A382" s="39">
        <v>43800</v>
      </c>
      <c r="B382" s="22" t="s">
        <v>241</v>
      </c>
      <c r="C382" s="41" t="s">
        <v>308</v>
      </c>
      <c r="D382" s="22" t="s">
        <v>312</v>
      </c>
      <c r="E382">
        <v>0</v>
      </c>
      <c r="F382">
        <v>12.5</v>
      </c>
      <c r="G382">
        <v>14.5</v>
      </c>
      <c r="H382">
        <v>10.4</v>
      </c>
      <c r="I382">
        <v>-2.5</v>
      </c>
      <c r="J382">
        <v>48</v>
      </c>
      <c r="L382" s="1" t="s">
        <v>308</v>
      </c>
      <c r="M382">
        <v>10</v>
      </c>
      <c r="N382">
        <v>2.5223999999999993</v>
      </c>
      <c r="O382">
        <v>3</v>
      </c>
      <c r="P382">
        <v>6</v>
      </c>
      <c r="Q382">
        <v>10</v>
      </c>
      <c r="R382">
        <v>0.77999999999999969</v>
      </c>
      <c r="S382">
        <v>2</v>
      </c>
      <c r="T382">
        <v>23.52</v>
      </c>
      <c r="U382">
        <v>-2.16</v>
      </c>
      <c r="V382">
        <v>1</v>
      </c>
      <c r="W382">
        <v>1.5</v>
      </c>
      <c r="X382">
        <v>2</v>
      </c>
      <c r="Y382">
        <v>5.9999999999999991</v>
      </c>
      <c r="Z382">
        <v>1</v>
      </c>
      <c r="AA382">
        <v>31.880000000000003</v>
      </c>
      <c r="AB382">
        <v>-0.47999999999999987</v>
      </c>
      <c r="AC382">
        <v>19</v>
      </c>
      <c r="AD382">
        <v>18.5</v>
      </c>
      <c r="AE382">
        <v>15</v>
      </c>
      <c r="AF382">
        <v>-1.5807999999999993</v>
      </c>
      <c r="AG382">
        <v>22</v>
      </c>
      <c r="AH382">
        <v>-8.4400000000000013</v>
      </c>
      <c r="AI382">
        <v>-1.5599999999999998</v>
      </c>
      <c r="AJ382">
        <v>12</v>
      </c>
      <c r="AK382">
        <v>11.5</v>
      </c>
      <c r="AL382">
        <v>12</v>
      </c>
      <c r="AM382">
        <v>2.3600000000000008</v>
      </c>
      <c r="AN382">
        <v>11</v>
      </c>
      <c r="AO382">
        <v>10.6</v>
      </c>
      <c r="AP382">
        <v>0.88000000000000012</v>
      </c>
      <c r="AQ382">
        <v>17</v>
      </c>
      <c r="AR382">
        <v>17</v>
      </c>
      <c r="AS382">
        <v>17</v>
      </c>
      <c r="AT382">
        <v>0.82400000000000018</v>
      </c>
      <c r="AU382">
        <v>17</v>
      </c>
      <c r="AV382">
        <v>3.56</v>
      </c>
      <c r="AW382">
        <v>0.16000000000000006</v>
      </c>
      <c r="AX382">
        <v>24</v>
      </c>
      <c r="AY382">
        <v>25</v>
      </c>
      <c r="AZ382">
        <v>26</v>
      </c>
      <c r="BA382">
        <v>-2.4359999999999999</v>
      </c>
      <c r="BB382">
        <v>24</v>
      </c>
      <c r="BC382">
        <v>-7.5599999999999969</v>
      </c>
      <c r="BD382">
        <v>-1.2400000000000002</v>
      </c>
      <c r="BE382">
        <v>12</v>
      </c>
      <c r="BF382">
        <v>12.5</v>
      </c>
      <c r="BG382">
        <v>10</v>
      </c>
      <c r="BH382">
        <v>2.992</v>
      </c>
      <c r="BI382">
        <v>15</v>
      </c>
      <c r="BJ382">
        <v>-0.35999999999999943</v>
      </c>
      <c r="BK382">
        <v>-2.72</v>
      </c>
      <c r="BL382">
        <v>8</v>
      </c>
      <c r="BM382">
        <v>8.5</v>
      </c>
      <c r="BN382">
        <v>9</v>
      </c>
      <c r="BO382">
        <v>1.0960000000000001</v>
      </c>
      <c r="BP382">
        <v>8</v>
      </c>
      <c r="BQ382">
        <v>0.31999999999999995</v>
      </c>
      <c r="BR382">
        <v>3.56</v>
      </c>
      <c r="BS382">
        <v>12</v>
      </c>
      <c r="BT382">
        <v>13.25</v>
      </c>
      <c r="BU382">
        <v>11</v>
      </c>
      <c r="BV382">
        <v>2.9340344583819178E-2</v>
      </c>
      <c r="BW382">
        <v>5</v>
      </c>
      <c r="BX382">
        <v>2.1107189561680405E-2</v>
      </c>
      <c r="BY382">
        <v>21</v>
      </c>
      <c r="BZ382">
        <v>1.4039999999999992</v>
      </c>
      <c r="CA382">
        <v>16</v>
      </c>
      <c r="CB382">
        <v>-3.9999999999999501E-2</v>
      </c>
      <c r="CC382">
        <v>3.12</v>
      </c>
      <c r="CD382">
        <v>6.76</v>
      </c>
      <c r="CE382">
        <v>0.55999999999999983</v>
      </c>
      <c r="CF382">
        <v>60.08000000000002</v>
      </c>
      <c r="CG382">
        <v>4.6399999999999917</v>
      </c>
      <c r="CH382">
        <v>57.919999999999995</v>
      </c>
      <c r="CI382">
        <v>-1.8</v>
      </c>
      <c r="CJ382">
        <v>-0.67999999999999972</v>
      </c>
      <c r="CK382">
        <v>21</v>
      </c>
      <c r="CL382">
        <v>-4.2576000000000001</v>
      </c>
      <c r="CM382">
        <v>-1.9664799999999991</v>
      </c>
      <c r="CN382">
        <v>-53.28</v>
      </c>
      <c r="CO382">
        <v>4.2575999999999992</v>
      </c>
      <c r="CP382">
        <v>1.8742000000000001</v>
      </c>
      <c r="CQ382">
        <v>1.6032000000000015</v>
      </c>
      <c r="CR382">
        <v>5.7199999999999989</v>
      </c>
      <c r="CS382">
        <v>6.7799999999999985</v>
      </c>
      <c r="CT382">
        <v>55.400000000000006</v>
      </c>
      <c r="CU382">
        <v>-3.2399999999999998</v>
      </c>
      <c r="CV382">
        <v>-2.64</v>
      </c>
      <c r="CW382">
        <v>0.98753750000000018</v>
      </c>
      <c r="CX382">
        <v>0.88447500000000012</v>
      </c>
      <c r="CY382" t="s">
        <v>312</v>
      </c>
      <c r="CZ382">
        <v>7</v>
      </c>
      <c r="DA382">
        <v>-0.8344000000000007</v>
      </c>
      <c r="DB382">
        <v>22</v>
      </c>
      <c r="DC382">
        <v>21.5</v>
      </c>
      <c r="DD382">
        <v>22</v>
      </c>
      <c r="DE382">
        <v>-2.3999999999998779E-2</v>
      </c>
      <c r="DF382">
        <v>21</v>
      </c>
      <c r="DG382">
        <v>12.280000000000001</v>
      </c>
      <c r="DH382">
        <v>-0.76</v>
      </c>
      <c r="DI382">
        <v>8</v>
      </c>
      <c r="DJ382">
        <v>11</v>
      </c>
      <c r="DK382">
        <v>9</v>
      </c>
      <c r="DL382">
        <v>-3.6000000000000122E-2</v>
      </c>
      <c r="DM382">
        <v>13</v>
      </c>
      <c r="DN382">
        <v>-3.9120000000000004</v>
      </c>
      <c r="DO382">
        <v>4.0000000000000036E-2</v>
      </c>
      <c r="DP382">
        <v>6</v>
      </c>
      <c r="DQ382">
        <v>14.5</v>
      </c>
      <c r="DR382">
        <v>15</v>
      </c>
      <c r="DS382">
        <v>4.3712000000000009</v>
      </c>
      <c r="DT382">
        <v>14</v>
      </c>
      <c r="DU382">
        <v>21</v>
      </c>
      <c r="DV382">
        <v>-0.36000000000000015</v>
      </c>
      <c r="DW382">
        <v>4</v>
      </c>
      <c r="DX382">
        <v>5</v>
      </c>
      <c r="DY382">
        <v>3</v>
      </c>
      <c r="DZ382">
        <v>2.2200000000000006</v>
      </c>
      <c r="EA382">
        <v>7</v>
      </c>
      <c r="EB382">
        <v>16.68</v>
      </c>
      <c r="EC382">
        <v>1.8</v>
      </c>
      <c r="ED382">
        <v>3</v>
      </c>
      <c r="EE382">
        <v>1</v>
      </c>
      <c r="EF382">
        <v>1</v>
      </c>
      <c r="EG382">
        <v>2.1840000000000002</v>
      </c>
      <c r="EH382">
        <v>1</v>
      </c>
      <c r="EI382">
        <v>9.16</v>
      </c>
      <c r="EJ382">
        <v>0.27999999999999997</v>
      </c>
      <c r="EK382">
        <v>13</v>
      </c>
      <c r="EL382">
        <v>12.5</v>
      </c>
      <c r="EM382">
        <v>13</v>
      </c>
      <c r="EN382">
        <v>-2.6360000000000015</v>
      </c>
      <c r="EO382">
        <v>12</v>
      </c>
      <c r="EP382">
        <v>-11.959999999999999</v>
      </c>
      <c r="EQ382">
        <v>0.23999999999999985</v>
      </c>
      <c r="ER382">
        <v>18</v>
      </c>
      <c r="ES382">
        <v>16</v>
      </c>
      <c r="ET382">
        <v>20</v>
      </c>
      <c r="EU382">
        <v>-1.4759999999999998</v>
      </c>
      <c r="EV382">
        <v>12</v>
      </c>
      <c r="EW382">
        <v>-1.6400000000000006</v>
      </c>
      <c r="EX382">
        <v>1.4000000000000001</v>
      </c>
      <c r="EY382">
        <v>11</v>
      </c>
      <c r="EZ382">
        <v>12</v>
      </c>
      <c r="FA382">
        <v>11</v>
      </c>
      <c r="FB382">
        <v>2.3199999999999998</v>
      </c>
      <c r="FC382">
        <v>13</v>
      </c>
      <c r="FD382">
        <v>0.55999999999999994</v>
      </c>
      <c r="FE382">
        <v>-3.72</v>
      </c>
      <c r="FF382">
        <v>7</v>
      </c>
      <c r="FG382">
        <v>12.25</v>
      </c>
      <c r="FH382">
        <v>19</v>
      </c>
      <c r="FI382">
        <v>-1.1548375348583096E-2</v>
      </c>
      <c r="FJ382">
        <v>13</v>
      </c>
      <c r="FK382">
        <v>3.7729236709435178E-3</v>
      </c>
      <c r="FL382">
        <v>1</v>
      </c>
      <c r="FM382">
        <v>-20.317</v>
      </c>
      <c r="FN382">
        <v>16</v>
      </c>
      <c r="FO382">
        <v>0.24000000000000021</v>
      </c>
      <c r="FP382">
        <v>1.6000000000000008</v>
      </c>
      <c r="FQ382">
        <v>1.8799999999999997</v>
      </c>
      <c r="FR382">
        <v>-1.44</v>
      </c>
      <c r="FS382">
        <v>2.919999999999999</v>
      </c>
      <c r="FT382">
        <v>1.4400000000000006</v>
      </c>
      <c r="FU382">
        <v>-1.1199999999999999</v>
      </c>
      <c r="FV382">
        <v>32.120000000000005</v>
      </c>
      <c r="FW382">
        <v>27.919999999999998</v>
      </c>
      <c r="FX382">
        <v>11.240000000000004</v>
      </c>
      <c r="FY382">
        <v>1.4</v>
      </c>
      <c r="FZ382">
        <v>-8.44</v>
      </c>
      <c r="GA382">
        <v>20</v>
      </c>
      <c r="GB382">
        <v>-0.77440000000000175</v>
      </c>
      <c r="GC382">
        <v>1.3229599999999997</v>
      </c>
      <c r="GD382">
        <v>16.679999999999993</v>
      </c>
      <c r="GE382">
        <v>0.77440000000000175</v>
      </c>
      <c r="GF382">
        <v>1.0906000000000002</v>
      </c>
      <c r="GG382">
        <v>8.7752000000000017</v>
      </c>
      <c r="GH382">
        <v>46.84</v>
      </c>
      <c r="GI382">
        <v>-5.9999999999998901E-2</v>
      </c>
      <c r="GJ382">
        <v>8.3680000000000003</v>
      </c>
      <c r="GK382">
        <v>3.12</v>
      </c>
      <c r="GL382">
        <v>-0.72</v>
      </c>
    </row>
    <row r="383" spans="1:194" x14ac:dyDescent="0.2">
      <c r="A383" s="39">
        <v>43800</v>
      </c>
      <c r="B383" s="22" t="s">
        <v>241</v>
      </c>
      <c r="C383" s="41" t="s">
        <v>284</v>
      </c>
      <c r="D383" s="22" t="s">
        <v>297</v>
      </c>
      <c r="E383">
        <v>9.3000000000000007</v>
      </c>
      <c r="F383">
        <v>9</v>
      </c>
      <c r="G383">
        <v>13.7</v>
      </c>
      <c r="H383">
        <v>12.6</v>
      </c>
      <c r="I383">
        <v>-3</v>
      </c>
      <c r="J383">
        <v>46.5</v>
      </c>
      <c r="K383" t="s">
        <v>109</v>
      </c>
      <c r="L383" s="1" t="s">
        <v>284</v>
      </c>
      <c r="M383">
        <v>12</v>
      </c>
      <c r="N383">
        <v>1.2327999999999999</v>
      </c>
      <c r="O383">
        <v>24</v>
      </c>
      <c r="P383">
        <v>22.5</v>
      </c>
      <c r="Q383">
        <v>20</v>
      </c>
      <c r="R383">
        <v>-1.7069999999999994</v>
      </c>
      <c r="S383">
        <v>25</v>
      </c>
      <c r="T383">
        <v>-14.460000000000003</v>
      </c>
      <c r="U383">
        <v>-1.4599999999999997</v>
      </c>
      <c r="V383">
        <v>20</v>
      </c>
      <c r="W383">
        <v>18.5</v>
      </c>
      <c r="X383">
        <v>12</v>
      </c>
      <c r="Y383">
        <v>0.60899999999999965</v>
      </c>
      <c r="Z383">
        <v>25</v>
      </c>
      <c r="AA383">
        <v>-10.940000000000001</v>
      </c>
      <c r="AB383">
        <v>-0.63000000000000012</v>
      </c>
      <c r="AC383">
        <v>24</v>
      </c>
      <c r="AD383">
        <v>22.5</v>
      </c>
      <c r="AE383">
        <v>26</v>
      </c>
      <c r="AF383">
        <v>-3.0439999999999996</v>
      </c>
      <c r="AG383">
        <v>19</v>
      </c>
      <c r="AH383">
        <v>-2.1299999999999981</v>
      </c>
      <c r="AI383">
        <v>-1.1000000000000001</v>
      </c>
      <c r="AJ383">
        <v>2</v>
      </c>
      <c r="AK383">
        <v>3</v>
      </c>
      <c r="AL383">
        <v>3</v>
      </c>
      <c r="AM383">
        <v>4.4550000000000001</v>
      </c>
      <c r="AN383">
        <v>3</v>
      </c>
      <c r="AO383">
        <v>27.47</v>
      </c>
      <c r="AP383">
        <v>1.8700000000000003</v>
      </c>
      <c r="AQ383">
        <v>4</v>
      </c>
      <c r="AR383">
        <v>4.5</v>
      </c>
      <c r="AS383">
        <v>5</v>
      </c>
      <c r="AT383">
        <v>3.3329999999999997</v>
      </c>
      <c r="AU383">
        <v>4</v>
      </c>
      <c r="AV383">
        <v>21.609999999999996</v>
      </c>
      <c r="AW383">
        <v>0.92999999999999994</v>
      </c>
      <c r="AX383">
        <v>6</v>
      </c>
      <c r="AY383">
        <v>5.5</v>
      </c>
      <c r="AZ383">
        <v>6</v>
      </c>
      <c r="BA383">
        <v>4.26</v>
      </c>
      <c r="BB383">
        <v>5</v>
      </c>
      <c r="BC383">
        <v>26.2</v>
      </c>
      <c r="BD383">
        <v>-0.24000000000000021</v>
      </c>
      <c r="BE383">
        <v>20</v>
      </c>
      <c r="BF383">
        <v>22</v>
      </c>
      <c r="BG383">
        <v>22</v>
      </c>
      <c r="BH383">
        <v>-3.6960000000000002</v>
      </c>
      <c r="BI383">
        <v>22</v>
      </c>
      <c r="BJ383">
        <v>-9.8927999999999994</v>
      </c>
      <c r="BK383">
        <v>-3.4400000000000004</v>
      </c>
      <c r="BL383">
        <v>18</v>
      </c>
      <c r="BM383">
        <v>17.5</v>
      </c>
      <c r="BN383">
        <v>16</v>
      </c>
      <c r="BO383">
        <v>0.28000000000000025</v>
      </c>
      <c r="BP383">
        <v>19</v>
      </c>
      <c r="BQ383">
        <v>-8.0000000000000071E-2</v>
      </c>
      <c r="BR383">
        <v>0.64000000000000024</v>
      </c>
      <c r="BS383">
        <v>14</v>
      </c>
      <c r="BT383">
        <v>14</v>
      </c>
      <c r="BU383">
        <v>29</v>
      </c>
      <c r="BV383">
        <v>-6.9563665252126955E-2</v>
      </c>
      <c r="BW383">
        <v>22</v>
      </c>
      <c r="BX383">
        <v>-9.6128771024582057E-3</v>
      </c>
      <c r="BY383">
        <v>1</v>
      </c>
      <c r="BZ383">
        <v>-29.584000000000003</v>
      </c>
      <c r="CA383">
        <v>4</v>
      </c>
      <c r="CB383">
        <v>3.1200000000000006</v>
      </c>
      <c r="CC383">
        <v>3.2400000000000033</v>
      </c>
      <c r="CD383">
        <v>3.5200000000000005</v>
      </c>
      <c r="CE383">
        <v>1.1199999999999997</v>
      </c>
      <c r="CF383">
        <v>16.399999999999999</v>
      </c>
      <c r="CG383">
        <v>32.399999999999991</v>
      </c>
      <c r="CH383">
        <v>-22.96</v>
      </c>
      <c r="CI383">
        <v>-4.92</v>
      </c>
      <c r="CJ383">
        <v>11.879999999999999</v>
      </c>
      <c r="CK383">
        <v>12</v>
      </c>
      <c r="CL383">
        <v>2.3307999999999995</v>
      </c>
      <c r="CM383">
        <v>1.0051600000000001</v>
      </c>
      <c r="CN383">
        <v>55.359999999999992</v>
      </c>
      <c r="CO383">
        <v>-2.3308</v>
      </c>
      <c r="CP383">
        <v>0.18285000000000001</v>
      </c>
      <c r="CQ383">
        <v>4.7439999999999998</v>
      </c>
      <c r="CR383">
        <v>46.949999999999996</v>
      </c>
      <c r="CS383">
        <v>-1.0979999999999999</v>
      </c>
      <c r="CT383">
        <v>-25.400000000000006</v>
      </c>
      <c r="CU383">
        <v>-1.7400000000000002</v>
      </c>
      <c r="CV383">
        <v>-2.09</v>
      </c>
      <c r="CW383">
        <v>0.9220624999999999</v>
      </c>
      <c r="CX383">
        <v>1.7533500000000002</v>
      </c>
      <c r="CY383" t="s">
        <v>297</v>
      </c>
      <c r="CZ383">
        <v>20</v>
      </c>
      <c r="DA383">
        <v>-0.99280000000000013</v>
      </c>
      <c r="DB383">
        <v>1</v>
      </c>
      <c r="DC383">
        <v>1.5</v>
      </c>
      <c r="DD383">
        <v>2</v>
      </c>
      <c r="DE383">
        <v>5.9879999999999978</v>
      </c>
      <c r="DF383">
        <v>1</v>
      </c>
      <c r="DG383">
        <v>41.239999999999995</v>
      </c>
      <c r="DH383">
        <v>-1.04</v>
      </c>
      <c r="DI383">
        <v>13</v>
      </c>
      <c r="DJ383">
        <v>14.5</v>
      </c>
      <c r="DK383">
        <v>11</v>
      </c>
      <c r="DL383">
        <v>0.81600000000000039</v>
      </c>
      <c r="DM383">
        <v>18</v>
      </c>
      <c r="DN383">
        <v>-3.84</v>
      </c>
      <c r="DO383">
        <v>-0.11999999999999993</v>
      </c>
      <c r="DP383">
        <v>12</v>
      </c>
      <c r="DQ383">
        <v>13</v>
      </c>
      <c r="DR383">
        <v>11</v>
      </c>
      <c r="DS383">
        <v>0.26299999999999901</v>
      </c>
      <c r="DT383">
        <v>15</v>
      </c>
      <c r="DU383">
        <v>-2.5</v>
      </c>
      <c r="DV383">
        <v>0.44999999999999996</v>
      </c>
      <c r="DW383">
        <v>26</v>
      </c>
      <c r="DX383">
        <v>26.5</v>
      </c>
      <c r="DY383">
        <v>28</v>
      </c>
      <c r="DZ383">
        <v>-4.3000000000000007</v>
      </c>
      <c r="EA383">
        <v>25</v>
      </c>
      <c r="EB383">
        <v>-12.6</v>
      </c>
      <c r="EC383">
        <v>-0.89999999999999991</v>
      </c>
      <c r="ED383">
        <v>1</v>
      </c>
      <c r="EE383">
        <v>5</v>
      </c>
      <c r="EF383">
        <v>5</v>
      </c>
      <c r="EG383">
        <v>0.95999999999999974</v>
      </c>
      <c r="EH383">
        <v>5</v>
      </c>
      <c r="EI383">
        <v>9.6000000000000014</v>
      </c>
      <c r="EJ383">
        <v>9.9999999999999978E-2</v>
      </c>
      <c r="EK383">
        <v>27</v>
      </c>
      <c r="EL383">
        <v>27</v>
      </c>
      <c r="EM383">
        <v>29</v>
      </c>
      <c r="EN383">
        <v>-5.492</v>
      </c>
      <c r="EO383">
        <v>25</v>
      </c>
      <c r="EP383">
        <v>-16.520000000000003</v>
      </c>
      <c r="EQ383">
        <v>-2.96</v>
      </c>
      <c r="ER383">
        <v>26</v>
      </c>
      <c r="ES383">
        <v>25.5</v>
      </c>
      <c r="ET383">
        <v>22</v>
      </c>
      <c r="EU383">
        <v>-1.4079999999999995</v>
      </c>
      <c r="EV383">
        <v>29</v>
      </c>
      <c r="EW383">
        <v>-10.720000000000002</v>
      </c>
      <c r="EX383">
        <v>-2.7600000000000002</v>
      </c>
      <c r="EY383">
        <v>26</v>
      </c>
      <c r="EZ383">
        <v>25</v>
      </c>
      <c r="FA383">
        <v>21</v>
      </c>
      <c r="FB383">
        <v>-0.59999999999999987</v>
      </c>
      <c r="FC383">
        <v>29</v>
      </c>
      <c r="FD383">
        <v>-0.68</v>
      </c>
      <c r="FE383">
        <v>3.6800000000000006</v>
      </c>
      <c r="FF383">
        <v>20</v>
      </c>
      <c r="FG383">
        <v>16.75</v>
      </c>
      <c r="FH383">
        <v>21</v>
      </c>
      <c r="FI383">
        <v>-1.6407304147473073E-2</v>
      </c>
      <c r="FJ383">
        <v>5</v>
      </c>
      <c r="FK383">
        <v>2.1520678244637874E-2</v>
      </c>
      <c r="FL383">
        <v>32</v>
      </c>
      <c r="FM383">
        <v>13.908000000000001</v>
      </c>
      <c r="FN383">
        <v>9</v>
      </c>
      <c r="FO383">
        <v>1.8399999999999999</v>
      </c>
      <c r="FP383">
        <v>-6.2799999999999994</v>
      </c>
      <c r="FQ383">
        <v>0.92000000000000026</v>
      </c>
      <c r="FR383">
        <v>1.1199999999999999</v>
      </c>
      <c r="FS383">
        <v>-3</v>
      </c>
      <c r="FT383">
        <v>3.16</v>
      </c>
      <c r="FU383">
        <v>-0.43999999999999995</v>
      </c>
      <c r="FV383">
        <v>8.9600000000000133</v>
      </c>
      <c r="FW383">
        <v>-32.319999999999986</v>
      </c>
      <c r="FX383">
        <v>32.679999999999993</v>
      </c>
      <c r="FY383">
        <v>4.88</v>
      </c>
      <c r="FZ383">
        <v>3.72</v>
      </c>
      <c r="GA383">
        <v>32</v>
      </c>
      <c r="GB383">
        <v>-7.7967999999999984</v>
      </c>
      <c r="GC383">
        <v>-4.49756</v>
      </c>
      <c r="GD383">
        <v>-64.999999999999972</v>
      </c>
      <c r="GE383">
        <v>7.7967999999999984</v>
      </c>
      <c r="GF383">
        <v>9.0774999999999689E-2</v>
      </c>
      <c r="GG383">
        <v>-3.0770000000000017</v>
      </c>
      <c r="GH383">
        <v>-5.4999999999999982</v>
      </c>
      <c r="GI383">
        <v>6.8039999999999985</v>
      </c>
      <c r="GJ383">
        <v>37.399999999999991</v>
      </c>
      <c r="GK383">
        <v>-3.1100000000000003</v>
      </c>
      <c r="GL383">
        <v>-1.1599999999999999</v>
      </c>
    </row>
    <row r="384" spans="1:194" x14ac:dyDescent="0.2">
      <c r="A384" s="39">
        <v>43800</v>
      </c>
      <c r="B384" s="22" t="s">
        <v>241</v>
      </c>
      <c r="C384" s="41" t="s">
        <v>310</v>
      </c>
      <c r="D384" s="22" t="s">
        <v>289</v>
      </c>
      <c r="E384">
        <v>7.5</v>
      </c>
      <c r="F384">
        <v>3.3</v>
      </c>
      <c r="G384">
        <v>8.3000000000000007</v>
      </c>
      <c r="H384">
        <v>7.2</v>
      </c>
      <c r="I384">
        <v>-1</v>
      </c>
      <c r="J384">
        <v>41.5</v>
      </c>
      <c r="L384" s="1" t="s">
        <v>310</v>
      </c>
      <c r="M384">
        <v>7</v>
      </c>
      <c r="N384">
        <v>3.7800000000000002</v>
      </c>
      <c r="O384">
        <v>1</v>
      </c>
      <c r="P384">
        <v>1.5</v>
      </c>
      <c r="Q384">
        <v>2</v>
      </c>
      <c r="R384">
        <v>6.0444000000000004</v>
      </c>
      <c r="S384">
        <v>1</v>
      </c>
      <c r="T384">
        <v>45.040000000000006</v>
      </c>
      <c r="U384">
        <v>-2.16</v>
      </c>
      <c r="V384">
        <v>29</v>
      </c>
      <c r="W384">
        <v>29</v>
      </c>
      <c r="X384">
        <v>29</v>
      </c>
      <c r="Y384">
        <v>-3.7640000000000007</v>
      </c>
      <c r="Z384">
        <v>29</v>
      </c>
      <c r="AA384">
        <v>-12.919999999999998</v>
      </c>
      <c r="AB384">
        <v>-0.44000000000000022</v>
      </c>
      <c r="AC384">
        <v>28</v>
      </c>
      <c r="AD384">
        <v>27.5</v>
      </c>
      <c r="AE384">
        <v>28</v>
      </c>
      <c r="AF384">
        <v>-4.1779999999999999</v>
      </c>
      <c r="AG384">
        <v>27</v>
      </c>
      <c r="AH384">
        <v>-11.720000000000002</v>
      </c>
      <c r="AI384">
        <v>-2.6799999999999997</v>
      </c>
      <c r="AJ384">
        <v>28</v>
      </c>
      <c r="AK384">
        <v>27.5</v>
      </c>
      <c r="AL384">
        <v>28</v>
      </c>
      <c r="AM384">
        <v>-5.6820000000000004</v>
      </c>
      <c r="AN384">
        <v>27</v>
      </c>
      <c r="AO384">
        <v>-26.5</v>
      </c>
      <c r="AP384">
        <v>-2.8299999999999996</v>
      </c>
      <c r="AQ384">
        <v>15</v>
      </c>
      <c r="AR384">
        <v>15</v>
      </c>
      <c r="AS384">
        <v>12</v>
      </c>
      <c r="AT384">
        <v>1.1300000000000003</v>
      </c>
      <c r="AU384">
        <v>18</v>
      </c>
      <c r="AV384">
        <v>-5.0199999999999987</v>
      </c>
      <c r="AW384">
        <v>-0.86999999999999988</v>
      </c>
      <c r="AX384">
        <v>20</v>
      </c>
      <c r="AY384">
        <v>20</v>
      </c>
      <c r="AZ384">
        <v>22</v>
      </c>
      <c r="BA384">
        <v>-1.0160000000000005</v>
      </c>
      <c r="BB384">
        <v>18</v>
      </c>
      <c r="BC384">
        <v>-0.55999999999999939</v>
      </c>
      <c r="BD384">
        <v>-0.4</v>
      </c>
      <c r="BE384">
        <v>14</v>
      </c>
      <c r="BF384">
        <v>13.5</v>
      </c>
      <c r="BG384">
        <v>15</v>
      </c>
      <c r="BH384">
        <v>0.82000000000000095</v>
      </c>
      <c r="BI384">
        <v>12</v>
      </c>
      <c r="BJ384">
        <v>4</v>
      </c>
      <c r="BK384">
        <v>0.99999999999999978</v>
      </c>
      <c r="BL384">
        <v>29</v>
      </c>
      <c r="BM384">
        <v>29</v>
      </c>
      <c r="BN384">
        <v>28</v>
      </c>
      <c r="BO384">
        <v>-1.7999999999999996</v>
      </c>
      <c r="BP384">
        <v>30</v>
      </c>
      <c r="BQ384">
        <v>-0.83999999999999986</v>
      </c>
      <c r="BR384">
        <v>1.2000000000000004</v>
      </c>
      <c r="BS384">
        <v>25</v>
      </c>
      <c r="BT384">
        <v>21</v>
      </c>
      <c r="BU384">
        <v>27</v>
      </c>
      <c r="BV384">
        <v>-6.7819928718210409E-2</v>
      </c>
      <c r="BW384">
        <v>2</v>
      </c>
      <c r="BX384">
        <v>3.6456782648287153E-2</v>
      </c>
      <c r="BY384">
        <v>30</v>
      </c>
      <c r="BZ384">
        <v>12.879999999999999</v>
      </c>
      <c r="CA384">
        <v>25</v>
      </c>
      <c r="CB384">
        <v>-1.8799999999999997</v>
      </c>
      <c r="CC384">
        <v>-5.759999999999998</v>
      </c>
      <c r="CD384">
        <v>6.0000000000000009</v>
      </c>
      <c r="CE384">
        <v>1.1199999999999999</v>
      </c>
      <c r="CF384">
        <v>11.639999999999997</v>
      </c>
      <c r="CG384">
        <v>-24.4</v>
      </c>
      <c r="CH384">
        <v>29.839999999999996</v>
      </c>
      <c r="CI384">
        <v>-2.92</v>
      </c>
      <c r="CJ384">
        <v>9.1199999999999992</v>
      </c>
      <c r="CK384">
        <v>14</v>
      </c>
      <c r="CL384">
        <v>1.4996000000000005</v>
      </c>
      <c r="CM384">
        <v>-1.9661999999999995</v>
      </c>
      <c r="CN384">
        <v>-54.239999999999995</v>
      </c>
      <c r="CO384">
        <v>-1.4996000000000005</v>
      </c>
      <c r="CP384">
        <v>-0.45619999999999988</v>
      </c>
      <c r="CQ384">
        <v>-8.7299999999999986</v>
      </c>
      <c r="CR384">
        <v>-43.239999999999995</v>
      </c>
      <c r="CS384">
        <v>2.2803999999999998</v>
      </c>
      <c r="CT384">
        <v>32.120000000000005</v>
      </c>
      <c r="CU384">
        <v>-5.38</v>
      </c>
      <c r="CV384">
        <v>-2.6000000000000005</v>
      </c>
      <c r="CW384">
        <v>0.32849999999999985</v>
      </c>
      <c r="CX384">
        <v>1.6250249999999999</v>
      </c>
      <c r="CY384" t="s">
        <v>289</v>
      </c>
      <c r="CZ384">
        <v>25</v>
      </c>
      <c r="DA384">
        <v>-3.1295999999999995</v>
      </c>
      <c r="DB384">
        <v>20</v>
      </c>
      <c r="DC384">
        <v>21</v>
      </c>
      <c r="DD384">
        <v>17</v>
      </c>
      <c r="DE384">
        <v>-0.74800000000000078</v>
      </c>
      <c r="DF384">
        <v>25</v>
      </c>
      <c r="DG384">
        <v>-7</v>
      </c>
      <c r="DH384">
        <v>1.1600000000000001</v>
      </c>
      <c r="DI384">
        <v>16</v>
      </c>
      <c r="DJ384">
        <v>16.5</v>
      </c>
      <c r="DK384">
        <v>26</v>
      </c>
      <c r="DL384">
        <v>-1.8800000000000003</v>
      </c>
      <c r="DM384">
        <v>7</v>
      </c>
      <c r="DN384">
        <v>7.2799999999999994</v>
      </c>
      <c r="DO384">
        <v>-1.1199999999999999</v>
      </c>
      <c r="DP384">
        <v>24</v>
      </c>
      <c r="DQ384">
        <v>20</v>
      </c>
      <c r="DR384">
        <v>21</v>
      </c>
      <c r="DS384">
        <v>-3.6306000000000012</v>
      </c>
      <c r="DT384">
        <v>19</v>
      </c>
      <c r="DU384">
        <v>-10.260000000000002</v>
      </c>
      <c r="DV384">
        <v>-1.21</v>
      </c>
      <c r="DW384">
        <v>5</v>
      </c>
      <c r="DX384">
        <v>5.5</v>
      </c>
      <c r="DY384">
        <v>7</v>
      </c>
      <c r="DZ384">
        <v>3.4319999999999995</v>
      </c>
      <c r="EA384">
        <v>4</v>
      </c>
      <c r="EB384">
        <v>21.559999999999995</v>
      </c>
      <c r="EC384">
        <v>1.28</v>
      </c>
      <c r="ED384">
        <v>29</v>
      </c>
      <c r="EE384">
        <v>26</v>
      </c>
      <c r="EF384">
        <v>24</v>
      </c>
      <c r="EG384">
        <v>-1.6920000000000002</v>
      </c>
      <c r="EH384">
        <v>28</v>
      </c>
      <c r="EI384">
        <v>-12.4</v>
      </c>
      <c r="EJ384">
        <v>-0.36000000000000004</v>
      </c>
      <c r="EK384">
        <v>17</v>
      </c>
      <c r="EL384">
        <v>16.5</v>
      </c>
      <c r="EM384">
        <v>15</v>
      </c>
      <c r="EN384">
        <v>-0.10399999999999884</v>
      </c>
      <c r="EO384">
        <v>18</v>
      </c>
      <c r="EP384">
        <v>-5.4399999999999995</v>
      </c>
      <c r="EQ384">
        <v>-0.68</v>
      </c>
      <c r="ER384">
        <v>27</v>
      </c>
      <c r="ES384">
        <v>26</v>
      </c>
      <c r="ET384">
        <v>27</v>
      </c>
      <c r="EU384">
        <v>-2.0720000000000001</v>
      </c>
      <c r="EV384">
        <v>25</v>
      </c>
      <c r="EW384">
        <v>-8.44</v>
      </c>
      <c r="EX384">
        <v>-0.28000000000000008</v>
      </c>
      <c r="EY384">
        <v>5</v>
      </c>
      <c r="EZ384">
        <v>4.5</v>
      </c>
      <c r="FA384">
        <v>5</v>
      </c>
      <c r="FB384">
        <v>1.9759999999999998</v>
      </c>
      <c r="FC384">
        <v>4</v>
      </c>
      <c r="FD384">
        <v>0.6</v>
      </c>
      <c r="FE384">
        <v>3.4799999999999995</v>
      </c>
      <c r="FF384">
        <v>28</v>
      </c>
      <c r="FG384">
        <v>23</v>
      </c>
      <c r="FH384">
        <v>27</v>
      </c>
      <c r="FI384">
        <v>-4.606336331833797E-2</v>
      </c>
      <c r="FJ384">
        <v>18</v>
      </c>
      <c r="FK384">
        <v>-1.5322623700895488E-3</v>
      </c>
      <c r="FL384">
        <v>26</v>
      </c>
      <c r="FM384">
        <v>7.1839999999999957</v>
      </c>
      <c r="FN384">
        <v>21</v>
      </c>
      <c r="FO384">
        <v>-0.4799999999999997</v>
      </c>
      <c r="FP384">
        <v>-0.87999999999999901</v>
      </c>
      <c r="FQ384">
        <v>0.16000000000000014</v>
      </c>
      <c r="FR384">
        <v>-1.24</v>
      </c>
      <c r="FS384">
        <v>-3.12</v>
      </c>
      <c r="FT384">
        <v>-2.4400000000000004</v>
      </c>
      <c r="FU384">
        <v>1.32</v>
      </c>
      <c r="FV384">
        <v>-32.839999999999996</v>
      </c>
      <c r="FW384">
        <v>-18.839999999999996</v>
      </c>
      <c r="FX384">
        <v>-3.6399999999999992</v>
      </c>
      <c r="FY384">
        <v>-2.3200000000000003</v>
      </c>
      <c r="FZ384">
        <v>-8.0399999999999991</v>
      </c>
      <c r="GA384">
        <v>19</v>
      </c>
      <c r="GB384">
        <v>-0.50159999999999849</v>
      </c>
      <c r="GC384">
        <v>-0.10443999999999987</v>
      </c>
      <c r="GD384">
        <v>-15.199999999999998</v>
      </c>
      <c r="GE384">
        <v>0.50159999999999849</v>
      </c>
      <c r="GF384">
        <v>-0.96802500000000025</v>
      </c>
      <c r="GG384">
        <v>-1.8906000000000018</v>
      </c>
      <c r="GH384">
        <v>-1.1000000000000068</v>
      </c>
      <c r="GI384">
        <v>-2.628000000000001</v>
      </c>
      <c r="GJ384">
        <v>0.27999999999999936</v>
      </c>
      <c r="GK384">
        <v>-0.57000000000000006</v>
      </c>
      <c r="GL384">
        <v>4.0000000000000258E-2</v>
      </c>
    </row>
    <row r="385" spans="1:194" x14ac:dyDescent="0.2">
      <c r="A385" s="39">
        <v>43800</v>
      </c>
      <c r="B385" s="22" t="s">
        <v>241</v>
      </c>
      <c r="C385" s="41" t="s">
        <v>306</v>
      </c>
      <c r="D385" s="22" t="s">
        <v>301</v>
      </c>
      <c r="E385">
        <v>2.8</v>
      </c>
      <c r="F385">
        <v>8.1</v>
      </c>
      <c r="G385">
        <v>5.9</v>
      </c>
      <c r="H385">
        <v>5.6</v>
      </c>
      <c r="I385">
        <v>-10.5</v>
      </c>
      <c r="J385">
        <v>38.5</v>
      </c>
      <c r="K385" t="s">
        <v>110</v>
      </c>
      <c r="L385" s="1" t="s">
        <v>306</v>
      </c>
      <c r="M385">
        <v>32</v>
      </c>
      <c r="N385">
        <v>-9.2279999999999998</v>
      </c>
      <c r="O385">
        <v>9</v>
      </c>
      <c r="P385">
        <v>9</v>
      </c>
      <c r="Q385">
        <v>11</v>
      </c>
      <c r="R385">
        <v>0.61599999999999899</v>
      </c>
      <c r="S385">
        <v>7</v>
      </c>
      <c r="T385">
        <v>8.5599999999999987</v>
      </c>
      <c r="U385">
        <v>-1.44</v>
      </c>
      <c r="V385">
        <v>19</v>
      </c>
      <c r="W385">
        <v>18</v>
      </c>
      <c r="X385">
        <v>25</v>
      </c>
      <c r="Y385">
        <v>-0.85999999999999965</v>
      </c>
      <c r="Z385">
        <v>11</v>
      </c>
      <c r="AA385">
        <v>6.3679999999999994</v>
      </c>
      <c r="AB385">
        <v>-0.8</v>
      </c>
      <c r="AC385">
        <v>29</v>
      </c>
      <c r="AD385">
        <v>29</v>
      </c>
      <c r="AE385">
        <v>29</v>
      </c>
      <c r="AF385">
        <v>-6.9287999999999998</v>
      </c>
      <c r="AG385">
        <v>29</v>
      </c>
      <c r="AH385">
        <v>-25.479999999999997</v>
      </c>
      <c r="AI385">
        <v>-2.6399999999999997</v>
      </c>
      <c r="AJ385">
        <v>28</v>
      </c>
      <c r="AK385">
        <v>27.5</v>
      </c>
      <c r="AL385">
        <v>30</v>
      </c>
      <c r="AM385">
        <v>-5.9359999999999991</v>
      </c>
      <c r="AN385">
        <v>25</v>
      </c>
      <c r="AO385">
        <v>-21.4</v>
      </c>
      <c r="AP385">
        <v>-2.0799999999999996</v>
      </c>
      <c r="AQ385">
        <v>30</v>
      </c>
      <c r="AR385">
        <v>29.5</v>
      </c>
      <c r="AS385">
        <v>31</v>
      </c>
      <c r="AT385">
        <v>-3.8320000000000007</v>
      </c>
      <c r="AU385">
        <v>28</v>
      </c>
      <c r="AV385">
        <v>-15.120000000000001</v>
      </c>
      <c r="AW385">
        <v>-0.4</v>
      </c>
      <c r="AX385">
        <v>30</v>
      </c>
      <c r="AY385">
        <v>30</v>
      </c>
      <c r="AZ385">
        <v>30</v>
      </c>
      <c r="BA385">
        <v>-8.2119999999999997</v>
      </c>
      <c r="BB385">
        <v>30</v>
      </c>
      <c r="BC385">
        <v>-38.92</v>
      </c>
      <c r="BD385">
        <v>-3.1599999999999997</v>
      </c>
      <c r="BE385">
        <v>31</v>
      </c>
      <c r="BF385">
        <v>30</v>
      </c>
      <c r="BG385">
        <v>31</v>
      </c>
      <c r="BH385">
        <v>-4.8880000000000008</v>
      </c>
      <c r="BI385">
        <v>29</v>
      </c>
      <c r="BJ385">
        <v>-22.880000000000003</v>
      </c>
      <c r="BK385">
        <v>-2.5200000000000005</v>
      </c>
      <c r="BL385">
        <v>1</v>
      </c>
      <c r="BM385">
        <v>1</v>
      </c>
      <c r="BN385">
        <v>1</v>
      </c>
      <c r="BO385">
        <v>2.2399999999999998</v>
      </c>
      <c r="BP385">
        <v>1</v>
      </c>
      <c r="BQ385">
        <v>0.96</v>
      </c>
      <c r="BR385">
        <v>2.4400000000000004</v>
      </c>
      <c r="BS385">
        <v>1</v>
      </c>
      <c r="BT385">
        <v>5.25</v>
      </c>
      <c r="BU385">
        <v>9</v>
      </c>
      <c r="BV385">
        <v>3.7777355512700325E-2</v>
      </c>
      <c r="BW385">
        <v>1</v>
      </c>
      <c r="BX385">
        <v>5.145945063823508E-2</v>
      </c>
      <c r="BY385">
        <v>2</v>
      </c>
      <c r="BZ385">
        <v>-15.596000000000004</v>
      </c>
      <c r="CA385">
        <v>9</v>
      </c>
      <c r="CB385">
        <v>1.7200000000000002</v>
      </c>
      <c r="CC385">
        <v>-7.92</v>
      </c>
      <c r="CD385">
        <v>-6</v>
      </c>
      <c r="CE385">
        <v>0.39999999999999991</v>
      </c>
      <c r="CF385">
        <v>-71.399999999999991</v>
      </c>
      <c r="CG385">
        <v>-90.320000000000007</v>
      </c>
      <c r="CH385">
        <v>19.64</v>
      </c>
      <c r="CI385">
        <v>-2.16</v>
      </c>
      <c r="CJ385">
        <v>1.4399999999999997</v>
      </c>
      <c r="CK385">
        <v>30</v>
      </c>
      <c r="CL385">
        <v>-8.984</v>
      </c>
      <c r="CM385">
        <v>-6.040560000000001</v>
      </c>
      <c r="CN385">
        <v>-109.96000000000001</v>
      </c>
      <c r="CO385">
        <v>8.9839999999999982</v>
      </c>
      <c r="CP385">
        <v>-3.6021000000000005</v>
      </c>
      <c r="CQ385">
        <v>-16.6968</v>
      </c>
      <c r="CR385">
        <v>-62</v>
      </c>
      <c r="CS385">
        <v>-0.24400000000000066</v>
      </c>
      <c r="CT385">
        <v>14.927999999999997</v>
      </c>
      <c r="CU385">
        <v>-7.64</v>
      </c>
      <c r="CV385">
        <v>-2.2400000000000002</v>
      </c>
      <c r="CW385">
        <v>0.41262500000000041</v>
      </c>
      <c r="CX385">
        <v>-0.3703499999999994</v>
      </c>
      <c r="CY385" t="s">
        <v>301</v>
      </c>
      <c r="CZ385">
        <v>14</v>
      </c>
      <c r="DA385">
        <v>0.26880000000000132</v>
      </c>
      <c r="DB385">
        <v>7</v>
      </c>
      <c r="DC385">
        <v>10</v>
      </c>
      <c r="DD385">
        <v>5</v>
      </c>
      <c r="DE385">
        <v>3.1919999999999988</v>
      </c>
      <c r="DF385">
        <v>15</v>
      </c>
      <c r="DG385">
        <v>4.2799999999999985</v>
      </c>
      <c r="DH385">
        <v>-0.88000000000000012</v>
      </c>
      <c r="DI385">
        <v>2</v>
      </c>
      <c r="DJ385">
        <v>3</v>
      </c>
      <c r="DK385">
        <v>4</v>
      </c>
      <c r="DL385">
        <v>2.6160000000000005</v>
      </c>
      <c r="DM385">
        <v>2</v>
      </c>
      <c r="DN385">
        <v>25.968</v>
      </c>
      <c r="DO385">
        <v>-0.64</v>
      </c>
      <c r="DP385">
        <v>20</v>
      </c>
      <c r="DQ385">
        <v>16.5</v>
      </c>
      <c r="DR385">
        <v>16</v>
      </c>
      <c r="DS385">
        <v>0.25600000000000078</v>
      </c>
      <c r="DT385">
        <v>17</v>
      </c>
      <c r="DU385">
        <v>2.7999999999999985</v>
      </c>
      <c r="DV385">
        <v>-0.55999999999999994</v>
      </c>
      <c r="DW385">
        <v>7</v>
      </c>
      <c r="DX385">
        <v>6.5</v>
      </c>
      <c r="DY385">
        <v>8</v>
      </c>
      <c r="DZ385">
        <v>3.5080000000000005</v>
      </c>
      <c r="EA385">
        <v>5</v>
      </c>
      <c r="EB385">
        <v>20.840000000000003</v>
      </c>
      <c r="EC385">
        <v>1.08</v>
      </c>
      <c r="ED385">
        <v>11</v>
      </c>
      <c r="EE385">
        <v>7.5</v>
      </c>
      <c r="EF385">
        <v>12</v>
      </c>
      <c r="EG385">
        <v>0.67200000000000004</v>
      </c>
      <c r="EH385">
        <v>3</v>
      </c>
      <c r="EI385">
        <v>12.559999999999999</v>
      </c>
      <c r="EJ385">
        <v>0.2</v>
      </c>
      <c r="EK385">
        <v>18</v>
      </c>
      <c r="EL385">
        <v>18</v>
      </c>
      <c r="EM385">
        <v>22</v>
      </c>
      <c r="EN385">
        <v>-3.580000000000001</v>
      </c>
      <c r="EO385">
        <v>14</v>
      </c>
      <c r="EP385">
        <v>3</v>
      </c>
      <c r="EQ385">
        <v>-0.76000000000000012</v>
      </c>
      <c r="ER385">
        <v>12</v>
      </c>
      <c r="ES385">
        <v>13</v>
      </c>
      <c r="ET385">
        <v>20</v>
      </c>
      <c r="EU385">
        <v>-0.98799999999999977</v>
      </c>
      <c r="EV385">
        <v>6</v>
      </c>
      <c r="EW385">
        <v>5.88</v>
      </c>
      <c r="EX385">
        <v>-3.6799999999999997</v>
      </c>
      <c r="EY385">
        <v>10</v>
      </c>
      <c r="EZ385">
        <v>11.5</v>
      </c>
      <c r="FA385">
        <v>16</v>
      </c>
      <c r="FB385">
        <v>3.9999999999999855E-2</v>
      </c>
      <c r="FC385">
        <v>7</v>
      </c>
      <c r="FD385">
        <v>0.51999999999999991</v>
      </c>
      <c r="FE385">
        <v>2.6399999999999997</v>
      </c>
      <c r="FF385">
        <v>18</v>
      </c>
      <c r="FG385">
        <v>16.25</v>
      </c>
      <c r="FH385">
        <v>18</v>
      </c>
      <c r="FI385">
        <v>-1.0518956577681638E-2</v>
      </c>
      <c r="FJ385">
        <v>16</v>
      </c>
      <c r="FK385">
        <v>2.2970746642336364E-4</v>
      </c>
      <c r="FL385">
        <v>8</v>
      </c>
      <c r="FM385">
        <v>-4.6490000000000009</v>
      </c>
      <c r="FN385">
        <v>23</v>
      </c>
      <c r="FO385">
        <v>-1.4799999999999995</v>
      </c>
      <c r="FP385">
        <v>-1.2799999999999989</v>
      </c>
      <c r="FQ385">
        <v>1.5200000000000002</v>
      </c>
      <c r="FR385">
        <v>-0.48000000000000009</v>
      </c>
      <c r="FS385">
        <v>-0.48000000000000115</v>
      </c>
      <c r="FT385">
        <v>5.16</v>
      </c>
      <c r="FU385">
        <v>0</v>
      </c>
      <c r="FV385">
        <v>51.92</v>
      </c>
      <c r="FW385">
        <v>25.600000000000005</v>
      </c>
      <c r="FX385">
        <v>32.040000000000006</v>
      </c>
      <c r="FY385">
        <v>-2.6399999999999997</v>
      </c>
      <c r="FZ385">
        <v>-3.0799999999999996</v>
      </c>
      <c r="GA385">
        <v>29</v>
      </c>
      <c r="GB385">
        <v>-5.5391999999999975</v>
      </c>
      <c r="GC385">
        <v>-2.1606399999999994</v>
      </c>
      <c r="GD385">
        <v>-6.4400000000000013</v>
      </c>
      <c r="GE385">
        <v>5.5391999999999983</v>
      </c>
      <c r="GF385">
        <v>1.1956000000000002</v>
      </c>
      <c r="GG385">
        <v>4.4360000000000008</v>
      </c>
      <c r="GH385">
        <v>36.200000000000003</v>
      </c>
      <c r="GI385">
        <v>5.8079999999999998</v>
      </c>
      <c r="GJ385">
        <v>30.247999999999998</v>
      </c>
      <c r="GK385">
        <v>-2.9599999999999995</v>
      </c>
      <c r="GL385">
        <v>-1.52</v>
      </c>
    </row>
  </sheetData>
  <autoFilter ref="A1:K385" xr:uid="{8CFBA0E8-8F7F-394A-9FE9-A1D77DD22F53}">
    <sortState xmlns:xlrd2="http://schemas.microsoft.com/office/spreadsheetml/2017/richdata2" ref="A2:K385">
      <sortCondition ref="A1:A385"/>
    </sortState>
  </autoFilter>
  <conditionalFormatting sqref="C26:C37">
    <cfRule type="cellIs" dxfId="59" priority="9" operator="between">
      <formula>21</formula>
      <formula>26</formula>
    </cfRule>
    <cfRule type="cellIs" dxfId="58" priority="10" operator="between">
      <formula>27</formula>
      <formula>32</formula>
    </cfRule>
    <cfRule type="cellIs" dxfId="57" priority="11" operator="between">
      <formula>7</formula>
      <formula>12</formula>
    </cfRule>
    <cfRule type="cellIs" dxfId="56" priority="12" operator="between">
      <formula>1</formula>
      <formula>6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EB89C-169E-E041-888B-1A935AB562FD}">
  <dimension ref="A1:GK289"/>
  <sheetViews>
    <sheetView topLeftCell="AY1" workbookViewId="0">
      <selection activeCell="A31" sqref="A31:XFD31"/>
    </sheetView>
  </sheetViews>
  <sheetFormatPr baseColWidth="10" defaultRowHeight="16" x14ac:dyDescent="0.2"/>
  <sheetData>
    <row r="1" spans="1:193" x14ac:dyDescent="0.2">
      <c r="A1" t="s">
        <v>226</v>
      </c>
      <c r="B1" t="s">
        <v>255</v>
      </c>
      <c r="C1" s="41" t="s">
        <v>254</v>
      </c>
      <c r="D1" t="s">
        <v>227</v>
      </c>
      <c r="E1" t="s">
        <v>191</v>
      </c>
      <c r="F1" t="s">
        <v>192</v>
      </c>
      <c r="G1" t="s">
        <v>395</v>
      </c>
      <c r="H1" t="s">
        <v>193</v>
      </c>
      <c r="I1" t="s">
        <v>9</v>
      </c>
      <c r="J1" t="s">
        <v>13</v>
      </c>
      <c r="K1" t="s">
        <v>108</v>
      </c>
      <c r="L1" s="1" t="s">
        <v>254</v>
      </c>
      <c r="M1" t="s">
        <v>736</v>
      </c>
      <c r="N1" t="s">
        <v>228</v>
      </c>
      <c r="O1" t="s">
        <v>737</v>
      </c>
      <c r="P1" t="s">
        <v>738</v>
      </c>
      <c r="Q1" t="s">
        <v>739</v>
      </c>
      <c r="R1" t="s">
        <v>385</v>
      </c>
      <c r="S1" t="s">
        <v>740</v>
      </c>
      <c r="T1" t="s">
        <v>386</v>
      </c>
      <c r="U1" t="s">
        <v>387</v>
      </c>
      <c r="V1" t="s">
        <v>741</v>
      </c>
      <c r="W1" t="s">
        <v>742</v>
      </c>
      <c r="X1" t="s">
        <v>743</v>
      </c>
      <c r="Y1" t="s">
        <v>388</v>
      </c>
      <c r="Z1" t="s">
        <v>744</v>
      </c>
      <c r="AA1" t="s">
        <v>389</v>
      </c>
      <c r="AB1" t="s">
        <v>390</v>
      </c>
      <c r="AC1" t="s">
        <v>745</v>
      </c>
      <c r="AD1" t="s">
        <v>746</v>
      </c>
      <c r="AE1" t="s">
        <v>747</v>
      </c>
      <c r="AF1" t="s">
        <v>191</v>
      </c>
      <c r="AG1" t="s">
        <v>748</v>
      </c>
      <c r="AH1" t="s">
        <v>391</v>
      </c>
      <c r="AI1" t="s">
        <v>392</v>
      </c>
      <c r="AJ1" t="s">
        <v>749</v>
      </c>
      <c r="AK1" t="s">
        <v>750</v>
      </c>
      <c r="AL1" t="s">
        <v>751</v>
      </c>
      <c r="AM1" t="s">
        <v>192</v>
      </c>
      <c r="AN1" t="s">
        <v>752</v>
      </c>
      <c r="AO1" t="s">
        <v>393</v>
      </c>
      <c r="AP1" t="s">
        <v>394</v>
      </c>
      <c r="AQ1" t="s">
        <v>753</v>
      </c>
      <c r="AR1" t="s">
        <v>754</v>
      </c>
      <c r="AS1" t="s">
        <v>755</v>
      </c>
      <c r="AT1" t="s">
        <v>395</v>
      </c>
      <c r="AU1" t="s">
        <v>756</v>
      </c>
      <c r="AV1" t="s">
        <v>396</v>
      </c>
      <c r="AW1" t="s">
        <v>397</v>
      </c>
      <c r="AX1" t="s">
        <v>757</v>
      </c>
      <c r="AY1" t="s">
        <v>758</v>
      </c>
      <c r="AZ1" t="s">
        <v>759</v>
      </c>
      <c r="BA1" t="s">
        <v>230</v>
      </c>
      <c r="BB1" t="s">
        <v>760</v>
      </c>
      <c r="BC1" t="s">
        <v>398</v>
      </c>
      <c r="BD1" t="s">
        <v>761</v>
      </c>
      <c r="BE1" t="s">
        <v>762</v>
      </c>
      <c r="BF1" t="s">
        <v>763</v>
      </c>
      <c r="BG1" t="s">
        <v>764</v>
      </c>
      <c r="BH1" t="s">
        <v>193</v>
      </c>
      <c r="BI1" t="s">
        <v>400</v>
      </c>
      <c r="BJ1" t="s">
        <v>401</v>
      </c>
      <c r="BK1" t="s">
        <v>766</v>
      </c>
      <c r="BL1" t="s">
        <v>767</v>
      </c>
      <c r="BM1" t="s">
        <v>768</v>
      </c>
      <c r="BN1" t="s">
        <v>231</v>
      </c>
      <c r="BO1" t="s">
        <v>769</v>
      </c>
      <c r="BP1" t="s">
        <v>402</v>
      </c>
      <c r="BQ1" t="s">
        <v>232</v>
      </c>
      <c r="BR1" t="s">
        <v>770</v>
      </c>
      <c r="BS1" t="s">
        <v>771</v>
      </c>
      <c r="BT1" t="s">
        <v>772</v>
      </c>
      <c r="BU1" t="s">
        <v>233</v>
      </c>
      <c r="BV1" t="s">
        <v>773</v>
      </c>
      <c r="BW1" t="s">
        <v>234</v>
      </c>
      <c r="BX1" t="s">
        <v>774</v>
      </c>
      <c r="BY1" t="s">
        <v>403</v>
      </c>
      <c r="BZ1" t="s">
        <v>775</v>
      </c>
      <c r="CA1" t="s">
        <v>404</v>
      </c>
      <c r="CB1" t="s">
        <v>408</v>
      </c>
      <c r="CC1" t="s">
        <v>409</v>
      </c>
      <c r="CD1" t="s">
        <v>410</v>
      </c>
      <c r="CE1" t="s">
        <v>411</v>
      </c>
      <c r="CF1" t="s">
        <v>412</v>
      </c>
      <c r="CG1" t="s">
        <v>413</v>
      </c>
      <c r="CH1" t="s">
        <v>414</v>
      </c>
      <c r="CI1" t="s">
        <v>415</v>
      </c>
      <c r="CJ1" t="s">
        <v>776</v>
      </c>
      <c r="CK1" t="s">
        <v>777</v>
      </c>
      <c r="CL1" t="s">
        <v>778</v>
      </c>
      <c r="CM1" t="s">
        <v>779</v>
      </c>
      <c r="CN1" t="s">
        <v>780</v>
      </c>
      <c r="CO1" t="s">
        <v>781</v>
      </c>
      <c r="CP1" t="s">
        <v>782</v>
      </c>
      <c r="CQ1" t="s">
        <v>783</v>
      </c>
      <c r="CR1" t="s">
        <v>784</v>
      </c>
      <c r="CS1" t="s">
        <v>785</v>
      </c>
      <c r="CT1" t="s">
        <v>786</v>
      </c>
      <c r="CU1" t="s">
        <v>787</v>
      </c>
      <c r="CV1" t="s">
        <v>788</v>
      </c>
      <c r="CW1" t="s">
        <v>789</v>
      </c>
      <c r="CX1" s="1" t="s">
        <v>227</v>
      </c>
      <c r="CY1" t="s">
        <v>790</v>
      </c>
      <c r="CZ1" t="s">
        <v>228</v>
      </c>
      <c r="DA1" t="s">
        <v>791</v>
      </c>
      <c r="DB1" t="s">
        <v>792</v>
      </c>
      <c r="DC1" t="s">
        <v>739</v>
      </c>
      <c r="DD1" t="s">
        <v>385</v>
      </c>
      <c r="DE1" t="s">
        <v>793</v>
      </c>
      <c r="DF1" t="s">
        <v>386</v>
      </c>
      <c r="DG1" t="s">
        <v>387</v>
      </c>
      <c r="DH1" t="s">
        <v>741</v>
      </c>
      <c r="DI1" t="s">
        <v>742</v>
      </c>
      <c r="DJ1" t="s">
        <v>743</v>
      </c>
      <c r="DK1" t="s">
        <v>388</v>
      </c>
      <c r="DL1" t="s">
        <v>794</v>
      </c>
      <c r="DM1" t="s">
        <v>389</v>
      </c>
      <c r="DN1" t="s">
        <v>390</v>
      </c>
      <c r="DO1" t="s">
        <v>795</v>
      </c>
      <c r="DP1" t="s">
        <v>796</v>
      </c>
      <c r="DQ1" t="s">
        <v>747</v>
      </c>
      <c r="DR1" t="s">
        <v>191</v>
      </c>
      <c r="DS1" t="s">
        <v>797</v>
      </c>
      <c r="DT1" t="s">
        <v>391</v>
      </c>
      <c r="DU1" t="s">
        <v>392</v>
      </c>
      <c r="DV1" t="s">
        <v>798</v>
      </c>
      <c r="DW1" t="s">
        <v>799</v>
      </c>
      <c r="DX1" t="s">
        <v>751</v>
      </c>
      <c r="DY1" t="s">
        <v>192</v>
      </c>
      <c r="DZ1" t="s">
        <v>800</v>
      </c>
      <c r="EA1" t="s">
        <v>393</v>
      </c>
      <c r="EB1" t="s">
        <v>394</v>
      </c>
      <c r="EC1" t="s">
        <v>801</v>
      </c>
      <c r="ED1" t="s">
        <v>802</v>
      </c>
      <c r="EE1" t="s">
        <v>755</v>
      </c>
      <c r="EF1" t="s">
        <v>395</v>
      </c>
      <c r="EG1" t="s">
        <v>756</v>
      </c>
      <c r="EH1" t="s">
        <v>396</v>
      </c>
      <c r="EI1" t="s">
        <v>397</v>
      </c>
      <c r="EJ1" t="s">
        <v>803</v>
      </c>
      <c r="EK1" t="s">
        <v>804</v>
      </c>
      <c r="EL1" t="s">
        <v>805</v>
      </c>
      <c r="EM1" t="s">
        <v>230</v>
      </c>
      <c r="EN1" t="s">
        <v>806</v>
      </c>
      <c r="EO1" t="s">
        <v>398</v>
      </c>
      <c r="EP1" t="s">
        <v>399</v>
      </c>
      <c r="EQ1" t="s">
        <v>807</v>
      </c>
      <c r="ER1" t="s">
        <v>808</v>
      </c>
      <c r="ES1" t="s">
        <v>764</v>
      </c>
      <c r="ET1" t="s">
        <v>193</v>
      </c>
      <c r="EU1" t="s">
        <v>809</v>
      </c>
      <c r="EV1" t="s">
        <v>400</v>
      </c>
      <c r="EW1" t="s">
        <v>401</v>
      </c>
      <c r="EX1" t="s">
        <v>810</v>
      </c>
      <c r="EY1" t="s">
        <v>767</v>
      </c>
      <c r="EZ1" t="s">
        <v>768</v>
      </c>
      <c r="FA1" t="s">
        <v>231</v>
      </c>
      <c r="FB1" t="s">
        <v>769</v>
      </c>
      <c r="FC1" t="s">
        <v>402</v>
      </c>
      <c r="FD1" t="s">
        <v>232</v>
      </c>
      <c r="FE1" t="s">
        <v>811</v>
      </c>
      <c r="FF1" t="s">
        <v>812</v>
      </c>
      <c r="FG1" t="s">
        <v>772</v>
      </c>
      <c r="FH1" s="48" t="s">
        <v>233</v>
      </c>
      <c r="FI1" s="14" t="s">
        <v>773</v>
      </c>
      <c r="FJ1" s="48" t="s">
        <v>234</v>
      </c>
      <c r="FK1" t="s">
        <v>774</v>
      </c>
      <c r="FL1" t="s">
        <v>403</v>
      </c>
      <c r="FM1" t="s">
        <v>813</v>
      </c>
      <c r="FN1" t="s">
        <v>404</v>
      </c>
      <c r="FO1" t="s">
        <v>405</v>
      </c>
      <c r="FP1" t="s">
        <v>406</v>
      </c>
      <c r="FQ1" t="s">
        <v>407</v>
      </c>
      <c r="FR1" t="s">
        <v>408</v>
      </c>
      <c r="FS1" t="s">
        <v>409</v>
      </c>
      <c r="FT1" t="s">
        <v>410</v>
      </c>
      <c r="FU1" t="s">
        <v>411</v>
      </c>
      <c r="FV1" t="s">
        <v>412</v>
      </c>
      <c r="FW1" t="s">
        <v>413</v>
      </c>
      <c r="FX1" t="s">
        <v>414</v>
      </c>
      <c r="FY1" t="s">
        <v>415</v>
      </c>
      <c r="FZ1" t="s">
        <v>776</v>
      </c>
      <c r="GA1" t="s">
        <v>777</v>
      </c>
      <c r="GB1" t="s">
        <v>778</v>
      </c>
      <c r="GC1" t="s">
        <v>814</v>
      </c>
      <c r="GD1" t="s">
        <v>780</v>
      </c>
      <c r="GE1" t="s">
        <v>815</v>
      </c>
      <c r="GF1" t="s">
        <v>782</v>
      </c>
      <c r="GG1" t="s">
        <v>783</v>
      </c>
      <c r="GH1" t="s">
        <v>784</v>
      </c>
      <c r="GI1" t="s">
        <v>785</v>
      </c>
      <c r="GJ1" t="s">
        <v>786</v>
      </c>
      <c r="GK1" t="s">
        <v>787</v>
      </c>
    </row>
    <row r="2" spans="1:193" x14ac:dyDescent="0.2">
      <c r="A2" s="39">
        <v>43737</v>
      </c>
      <c r="B2" s="26" t="s">
        <v>417</v>
      </c>
      <c r="C2" s="41" t="s">
        <v>285</v>
      </c>
      <c r="D2" s="26" t="s">
        <v>308</v>
      </c>
      <c r="E2">
        <v>9.6999999999999993</v>
      </c>
      <c r="F2">
        <v>8.3000000000000007</v>
      </c>
      <c r="G2" s="14">
        <v>3.9</v>
      </c>
      <c r="H2" s="14">
        <v>4.4000000000000004</v>
      </c>
      <c r="I2">
        <v>5.5</v>
      </c>
      <c r="J2">
        <v>49</v>
      </c>
      <c r="K2" t="s">
        <v>109</v>
      </c>
      <c r="L2" s="1" t="s">
        <v>285</v>
      </c>
      <c r="M2">
        <v>14</v>
      </c>
      <c r="N2">
        <v>3.3666666666666671</v>
      </c>
      <c r="O2">
        <v>24</v>
      </c>
      <c r="P2">
        <v>22.5</v>
      </c>
      <c r="Q2">
        <v>22</v>
      </c>
      <c r="R2">
        <v>1.4000000000000004</v>
      </c>
      <c r="S2">
        <v>23</v>
      </c>
      <c r="T2">
        <v>-10.888888888888891</v>
      </c>
      <c r="U2">
        <v>1.7777777777777777</v>
      </c>
      <c r="V2">
        <v>29</v>
      </c>
      <c r="W2">
        <v>29</v>
      </c>
      <c r="X2">
        <v>30</v>
      </c>
      <c r="Y2">
        <v>-4.2222222222222223</v>
      </c>
      <c r="Z2">
        <v>28</v>
      </c>
      <c r="AA2">
        <v>-19.444444444444443</v>
      </c>
      <c r="AB2">
        <v>1.1102230246251565E-16</v>
      </c>
      <c r="AC2">
        <v>27</v>
      </c>
      <c r="AD2">
        <v>26.5</v>
      </c>
      <c r="AE2">
        <v>27</v>
      </c>
      <c r="AF2">
        <v>4.0333333333333341</v>
      </c>
      <c r="AG2">
        <v>26</v>
      </c>
      <c r="AH2">
        <v>18.111111111111111</v>
      </c>
      <c r="AI2">
        <v>0.44444444444444403</v>
      </c>
      <c r="AJ2">
        <v>7</v>
      </c>
      <c r="AK2">
        <v>8</v>
      </c>
      <c r="AL2">
        <v>6</v>
      </c>
      <c r="AM2">
        <v>0.26666666666666572</v>
      </c>
      <c r="AN2">
        <v>10</v>
      </c>
      <c r="AO2">
        <v>-4.8888888888888857</v>
      </c>
      <c r="AP2">
        <v>2.1111111111111112</v>
      </c>
      <c r="AQ2">
        <v>11</v>
      </c>
      <c r="AR2">
        <v>10.5</v>
      </c>
      <c r="AS2">
        <v>9</v>
      </c>
      <c r="AT2">
        <v>1.3888888888888893</v>
      </c>
      <c r="AU2">
        <v>12</v>
      </c>
      <c r="AV2">
        <v>1.6666666666666667</v>
      </c>
      <c r="AW2">
        <v>2</v>
      </c>
      <c r="AX2">
        <v>16</v>
      </c>
      <c r="AY2">
        <v>16</v>
      </c>
      <c r="AZ2">
        <v>18</v>
      </c>
      <c r="BA2">
        <v>6.7333333333333343</v>
      </c>
      <c r="BB2">
        <v>14</v>
      </c>
      <c r="BC2">
        <v>34</v>
      </c>
      <c r="BD2">
        <v>5.5555555555555545</v>
      </c>
      <c r="BE2">
        <v>24</v>
      </c>
      <c r="BF2">
        <v>23.5</v>
      </c>
      <c r="BG2">
        <v>29</v>
      </c>
      <c r="BH2">
        <v>-3.3222222222222215</v>
      </c>
      <c r="BI2">
        <v>-13.222222222222223</v>
      </c>
      <c r="BJ2">
        <v>-2.2222222222222219</v>
      </c>
      <c r="BK2">
        <v>21</v>
      </c>
      <c r="BL2">
        <v>20</v>
      </c>
      <c r="BM2">
        <v>17</v>
      </c>
      <c r="BN2">
        <v>1.5555555555555554</v>
      </c>
      <c r="BO2">
        <v>23</v>
      </c>
      <c r="BP2">
        <v>0.44444444444444448</v>
      </c>
      <c r="BQ2">
        <v>-1</v>
      </c>
      <c r="BR2">
        <v>9</v>
      </c>
      <c r="BS2">
        <v>12.25</v>
      </c>
      <c r="BT2">
        <v>20</v>
      </c>
      <c r="BU2">
        <v>-5.1070390420544141E-2</v>
      </c>
      <c r="BV2">
        <v>7</v>
      </c>
      <c r="BW2">
        <v>2.9384362811953973E-2</v>
      </c>
      <c r="BX2">
        <v>4</v>
      </c>
      <c r="BY2">
        <v>-3.6111111111111072</v>
      </c>
      <c r="BZ2">
        <v>18</v>
      </c>
      <c r="CA2">
        <v>0.33333333333333331</v>
      </c>
      <c r="CB2">
        <v>5</v>
      </c>
      <c r="CC2">
        <v>0.1111111111111119</v>
      </c>
      <c r="CD2">
        <v>0</v>
      </c>
      <c r="CE2">
        <v>-3.555555555555562</v>
      </c>
      <c r="CF2">
        <v>16.666666666666668</v>
      </c>
      <c r="CG2">
        <v>-31.444444444444446</v>
      </c>
      <c r="CH2">
        <v>0</v>
      </c>
      <c r="CI2">
        <v>11.222222222222223</v>
      </c>
      <c r="CJ2">
        <v>5</v>
      </c>
      <c r="CK2">
        <v>6.1888888888888891</v>
      </c>
      <c r="CL2">
        <v>2.5577777777777779</v>
      </c>
      <c r="CM2">
        <v>48.111111111111114</v>
      </c>
      <c r="CN2">
        <v>-6.1888888888888891</v>
      </c>
      <c r="CO2">
        <v>0.55833333333333357</v>
      </c>
      <c r="CP2">
        <v>5.6888888888888891</v>
      </c>
      <c r="CQ2">
        <v>14.888888888888891</v>
      </c>
      <c r="CR2">
        <v>-2.822222222222222</v>
      </c>
      <c r="CS2">
        <v>-30.333333333333336</v>
      </c>
      <c r="CT2">
        <v>2.3333333333333335</v>
      </c>
      <c r="CU2">
        <v>1.7777777777777777</v>
      </c>
      <c r="CV2">
        <v>1.2626388888888886</v>
      </c>
      <c r="CW2">
        <v>1.5663888888888884</v>
      </c>
      <c r="CX2" t="s">
        <v>308</v>
      </c>
      <c r="CY2">
        <v>17</v>
      </c>
      <c r="CZ2">
        <v>1.4155555555555548</v>
      </c>
      <c r="DA2">
        <v>24</v>
      </c>
      <c r="DB2">
        <v>22</v>
      </c>
      <c r="DC2">
        <v>18</v>
      </c>
      <c r="DD2">
        <v>3.9222222222222221</v>
      </c>
      <c r="DE2">
        <v>26</v>
      </c>
      <c r="DF2">
        <v>-6.6666666666666652</v>
      </c>
      <c r="DG2">
        <v>0.77777777777777779</v>
      </c>
      <c r="DH2">
        <v>25</v>
      </c>
      <c r="DI2">
        <v>22.5</v>
      </c>
      <c r="DJ2">
        <v>16</v>
      </c>
      <c r="DK2">
        <v>0.12222222222222208</v>
      </c>
      <c r="DL2">
        <v>29</v>
      </c>
      <c r="DM2">
        <v>1.555555555555556</v>
      </c>
      <c r="DN2">
        <v>-0.33333333333333326</v>
      </c>
      <c r="DO2">
        <v>5</v>
      </c>
      <c r="DP2">
        <v>3.5</v>
      </c>
      <c r="DQ2">
        <v>3</v>
      </c>
      <c r="DR2">
        <v>-2.755555555555556</v>
      </c>
      <c r="DS2">
        <v>4</v>
      </c>
      <c r="DT2">
        <v>-18.222222222222225</v>
      </c>
      <c r="DU2">
        <v>-1.1111111111111109</v>
      </c>
      <c r="DV2">
        <v>19</v>
      </c>
      <c r="DW2">
        <v>17.5</v>
      </c>
      <c r="DX2">
        <v>18</v>
      </c>
      <c r="DY2">
        <v>1.9222222222222218</v>
      </c>
      <c r="DZ2">
        <v>17</v>
      </c>
      <c r="EA2">
        <v>5.4444444444444473</v>
      </c>
      <c r="EB2">
        <v>2.9605947323337506E-16</v>
      </c>
      <c r="EC2">
        <v>13</v>
      </c>
      <c r="ED2">
        <v>13.5</v>
      </c>
      <c r="EE2">
        <v>6</v>
      </c>
      <c r="EF2">
        <v>-1.6777777777777778</v>
      </c>
      <c r="EG2">
        <v>21</v>
      </c>
      <c r="EH2">
        <v>-11.444444444444443</v>
      </c>
      <c r="EI2">
        <v>-0.77777777777777779</v>
      </c>
      <c r="EJ2">
        <v>18</v>
      </c>
      <c r="EK2">
        <v>18</v>
      </c>
      <c r="EL2">
        <v>16</v>
      </c>
      <c r="EM2">
        <v>-5.2888888888888888</v>
      </c>
      <c r="EN2">
        <v>20</v>
      </c>
      <c r="EO2">
        <v>-32.888888888888886</v>
      </c>
      <c r="EP2">
        <v>-1.6666666666666661</v>
      </c>
      <c r="EQ2">
        <v>15</v>
      </c>
      <c r="ER2">
        <v>15</v>
      </c>
      <c r="ES2">
        <v>11</v>
      </c>
      <c r="ET2">
        <v>5.833333333333333</v>
      </c>
      <c r="EU2">
        <v>19</v>
      </c>
      <c r="EV2">
        <v>13.222222222222221</v>
      </c>
      <c r="EW2">
        <v>1.7777777777777779</v>
      </c>
      <c r="EX2">
        <v>12</v>
      </c>
      <c r="EY2">
        <v>12.5</v>
      </c>
      <c r="EZ2">
        <v>17</v>
      </c>
      <c r="FA2">
        <v>-1.1111111111111109</v>
      </c>
      <c r="FB2">
        <v>8</v>
      </c>
      <c r="FC2">
        <v>-0.33333333333333331</v>
      </c>
      <c r="FD2">
        <v>3.1111111111111112</v>
      </c>
      <c r="FE2">
        <v>21</v>
      </c>
      <c r="FF2">
        <v>17.25</v>
      </c>
      <c r="FG2">
        <v>30</v>
      </c>
      <c r="FH2">
        <v>3.4214371210566773E-2</v>
      </c>
      <c r="FI2">
        <v>28</v>
      </c>
      <c r="FJ2">
        <v>-1.0483201266009351E-2</v>
      </c>
      <c r="FK2">
        <v>4</v>
      </c>
      <c r="FL2">
        <v>10.688888888888885</v>
      </c>
      <c r="FM2">
        <v>7</v>
      </c>
      <c r="FN2">
        <v>-1.2222222222222223</v>
      </c>
      <c r="FO2">
        <v>-0.66666666666666663</v>
      </c>
      <c r="FP2">
        <v>-0.44444444444444464</v>
      </c>
      <c r="FQ2">
        <v>-0.22222222222222218</v>
      </c>
      <c r="FR2">
        <v>-1.5555555555555571</v>
      </c>
      <c r="FS2">
        <v>3.7777777777777786</v>
      </c>
      <c r="FT2">
        <v>3.1111111111111107</v>
      </c>
      <c r="FU2">
        <v>-2.3333333333333335</v>
      </c>
      <c r="FV2">
        <v>-2.1111111111111143</v>
      </c>
      <c r="FW2">
        <v>-0.3333333333333357</v>
      </c>
      <c r="FX2">
        <v>-1</v>
      </c>
      <c r="FY2">
        <v>1.1111111111111114</v>
      </c>
      <c r="FZ2">
        <v>20</v>
      </c>
      <c r="GA2">
        <v>-2.6288888888888895</v>
      </c>
      <c r="GB2">
        <v>-1.0746666666666669</v>
      </c>
      <c r="GC2">
        <v>-1.7777777777777786</v>
      </c>
      <c r="GD2">
        <v>2.6288888888888895</v>
      </c>
      <c r="GE2">
        <v>0.95888888888888868</v>
      </c>
      <c r="GF2">
        <v>-2.511111111111112</v>
      </c>
      <c r="GG2">
        <v>-24.222222222222221</v>
      </c>
      <c r="GH2">
        <v>4.0444444444444443</v>
      </c>
      <c r="GI2">
        <v>-5.1111111111111089</v>
      </c>
      <c r="GJ2">
        <v>-0.11111111111111049</v>
      </c>
      <c r="GK2">
        <v>0.44444444444444453</v>
      </c>
    </row>
    <row r="3" spans="1:193" x14ac:dyDescent="0.2">
      <c r="A3" s="39">
        <v>43737</v>
      </c>
      <c r="B3" s="26" t="s">
        <v>417</v>
      </c>
      <c r="C3" s="41" t="s">
        <v>295</v>
      </c>
      <c r="D3" s="27" t="s">
        <v>310</v>
      </c>
      <c r="E3">
        <v>9.3000000000000007</v>
      </c>
      <c r="F3">
        <v>6.2</v>
      </c>
      <c r="G3" s="14">
        <v>18.100000000000001</v>
      </c>
      <c r="H3" s="14">
        <v>25</v>
      </c>
      <c r="I3">
        <v>-3.5</v>
      </c>
      <c r="J3">
        <v>46</v>
      </c>
      <c r="L3" s="1" t="s">
        <v>295</v>
      </c>
      <c r="M3">
        <v>20</v>
      </c>
      <c r="N3">
        <v>3.8422222222222224</v>
      </c>
      <c r="O3">
        <v>29</v>
      </c>
      <c r="P3">
        <v>28</v>
      </c>
      <c r="Q3">
        <v>29</v>
      </c>
      <c r="R3">
        <v>-5.9111111111111114</v>
      </c>
      <c r="S3">
        <v>27</v>
      </c>
      <c r="T3">
        <v>-6.666666666666667</v>
      </c>
      <c r="U3">
        <v>0.16666666666666652</v>
      </c>
      <c r="V3">
        <v>11</v>
      </c>
      <c r="W3">
        <v>11</v>
      </c>
      <c r="X3">
        <v>10</v>
      </c>
      <c r="Y3">
        <v>-2.1111111111111112</v>
      </c>
      <c r="Z3">
        <v>12</v>
      </c>
      <c r="AA3">
        <v>0.22222222222222263</v>
      </c>
      <c r="AB3">
        <v>-1.4444444444444446</v>
      </c>
      <c r="AC3">
        <v>15</v>
      </c>
      <c r="AD3">
        <v>16</v>
      </c>
      <c r="AE3">
        <v>23</v>
      </c>
      <c r="AF3">
        <v>5.8</v>
      </c>
      <c r="AG3">
        <v>9</v>
      </c>
      <c r="AH3">
        <v>10.222222222222221</v>
      </c>
      <c r="AI3">
        <v>1.9999999999999998</v>
      </c>
      <c r="AJ3">
        <v>6</v>
      </c>
      <c r="AK3">
        <v>7</v>
      </c>
      <c r="AL3">
        <v>8</v>
      </c>
      <c r="AM3">
        <v>4.1333333333333329</v>
      </c>
      <c r="AN3">
        <v>6</v>
      </c>
      <c r="AO3">
        <v>12.444444444444443</v>
      </c>
      <c r="AP3">
        <v>2.9605947323337506E-16</v>
      </c>
      <c r="AQ3">
        <v>6</v>
      </c>
      <c r="AR3">
        <v>6</v>
      </c>
      <c r="AS3">
        <v>6</v>
      </c>
      <c r="AT3">
        <v>0.96666666666666645</v>
      </c>
      <c r="AU3">
        <v>6</v>
      </c>
      <c r="AV3">
        <v>17.111111111111107</v>
      </c>
      <c r="AW3">
        <v>1.3333333333333333</v>
      </c>
      <c r="AX3">
        <v>7</v>
      </c>
      <c r="AY3">
        <v>6.5</v>
      </c>
      <c r="AZ3">
        <v>7</v>
      </c>
      <c r="BA3">
        <v>0.45555555555555455</v>
      </c>
      <c r="BB3">
        <v>6</v>
      </c>
      <c r="BC3">
        <v>-1</v>
      </c>
      <c r="BD3">
        <v>1.1111111111111109</v>
      </c>
      <c r="BE3">
        <v>16</v>
      </c>
      <c r="BF3">
        <v>17</v>
      </c>
      <c r="BG3">
        <v>17</v>
      </c>
      <c r="BH3">
        <v>3.8333333333333326</v>
      </c>
      <c r="BI3">
        <v>5.7777777777777759</v>
      </c>
      <c r="BJ3">
        <v>1.2222222222222223</v>
      </c>
      <c r="BK3">
        <v>4</v>
      </c>
      <c r="BL3">
        <v>7</v>
      </c>
      <c r="BM3">
        <v>10</v>
      </c>
      <c r="BN3">
        <v>-1.1111111111111114</v>
      </c>
      <c r="BO3">
        <v>4</v>
      </c>
      <c r="BP3">
        <v>-0.33333333333333331</v>
      </c>
      <c r="BQ3">
        <v>-1.3333333333333333</v>
      </c>
      <c r="BR3">
        <v>14</v>
      </c>
      <c r="BS3">
        <v>14</v>
      </c>
      <c r="BT3">
        <v>7</v>
      </c>
      <c r="BU3">
        <v>-3.2837872775953271E-2</v>
      </c>
      <c r="BV3">
        <v>9</v>
      </c>
      <c r="BW3">
        <v>-2.2233183636692411E-2</v>
      </c>
      <c r="BX3">
        <v>26</v>
      </c>
      <c r="BY3">
        <v>-3.0555555555555522</v>
      </c>
      <c r="BZ3">
        <v>14</v>
      </c>
      <c r="CA3">
        <v>2.4444444444444446</v>
      </c>
      <c r="CB3">
        <v>0.44444444444444287</v>
      </c>
      <c r="CC3">
        <v>-1.0000000000000007</v>
      </c>
      <c r="CD3">
        <v>-0.77777777777777779</v>
      </c>
      <c r="CE3">
        <v>21.000000000000018</v>
      </c>
      <c r="CF3">
        <v>37.44444444444445</v>
      </c>
      <c r="CG3">
        <v>-18.111111111111111</v>
      </c>
      <c r="CH3">
        <v>-0.66666666666666663</v>
      </c>
      <c r="CI3">
        <v>2.3333333333333335</v>
      </c>
      <c r="CJ3">
        <v>1</v>
      </c>
      <c r="CK3">
        <v>11.864444444444445</v>
      </c>
      <c r="CL3">
        <v>7.7262222222222228</v>
      </c>
      <c r="CM3">
        <v>55.555555555555557</v>
      </c>
      <c r="CN3">
        <v>-11.864444444444445</v>
      </c>
      <c r="CO3">
        <v>1.1802777777777778</v>
      </c>
      <c r="CP3">
        <v>10.9</v>
      </c>
      <c r="CQ3">
        <v>39.777777777777771</v>
      </c>
      <c r="CR3">
        <v>-8.0222222222222221</v>
      </c>
      <c r="CS3">
        <v>-6.4444444444444446</v>
      </c>
      <c r="CT3">
        <v>4.5555555555555554</v>
      </c>
      <c r="CU3">
        <v>-1.2777777777777781</v>
      </c>
      <c r="CV3">
        <v>-0.95666666666666678</v>
      </c>
      <c r="CW3">
        <v>-0.26166666666666699</v>
      </c>
      <c r="CX3" t="s">
        <v>310</v>
      </c>
      <c r="CY3">
        <v>11</v>
      </c>
      <c r="CZ3">
        <v>-2.0355555555555553</v>
      </c>
      <c r="DA3">
        <v>7</v>
      </c>
      <c r="DB3">
        <v>10</v>
      </c>
      <c r="DC3">
        <v>13</v>
      </c>
      <c r="DD3">
        <v>-4.1333333333333337</v>
      </c>
      <c r="DE3">
        <v>7</v>
      </c>
      <c r="DF3">
        <v>-15.000000000000002</v>
      </c>
      <c r="DG3">
        <v>0.44444444444444436</v>
      </c>
      <c r="DH3">
        <v>23</v>
      </c>
      <c r="DI3">
        <v>19.5</v>
      </c>
      <c r="DJ3">
        <v>22</v>
      </c>
      <c r="DK3">
        <v>0.23333333333333325</v>
      </c>
      <c r="DL3">
        <v>17</v>
      </c>
      <c r="DM3">
        <v>-0.5555555555555558</v>
      </c>
      <c r="DN3">
        <v>-0.55555555555555558</v>
      </c>
      <c r="DO3">
        <v>3</v>
      </c>
      <c r="DP3">
        <v>1.5</v>
      </c>
      <c r="DQ3">
        <v>2</v>
      </c>
      <c r="DR3">
        <v>-3.4000000000000004</v>
      </c>
      <c r="DS3">
        <v>1</v>
      </c>
      <c r="DT3">
        <v>-8.4444444444444446</v>
      </c>
      <c r="DU3">
        <v>0.33333333333333304</v>
      </c>
      <c r="DV3">
        <v>11</v>
      </c>
      <c r="DW3">
        <v>13</v>
      </c>
      <c r="DX3">
        <v>14</v>
      </c>
      <c r="DY3">
        <v>-0.66666666666666663</v>
      </c>
      <c r="DZ3">
        <v>12</v>
      </c>
      <c r="EA3">
        <v>-7.7777777777777759</v>
      </c>
      <c r="EB3">
        <v>-1.2222222222222223</v>
      </c>
      <c r="EC3">
        <v>28</v>
      </c>
      <c r="ED3">
        <v>30</v>
      </c>
      <c r="EE3">
        <v>30</v>
      </c>
      <c r="EF3">
        <v>-2.4999999999999996</v>
      </c>
      <c r="EG3">
        <v>30</v>
      </c>
      <c r="EH3">
        <v>-16.333333333333336</v>
      </c>
      <c r="EI3">
        <v>3.8888888888888893</v>
      </c>
      <c r="EJ3">
        <v>6</v>
      </c>
      <c r="EK3">
        <v>5.5</v>
      </c>
      <c r="EL3">
        <v>6</v>
      </c>
      <c r="EM3">
        <v>-4.6777777777777789</v>
      </c>
      <c r="EN3">
        <v>5</v>
      </c>
      <c r="EO3">
        <v>-19.000000000000004</v>
      </c>
      <c r="EP3">
        <v>-0.33333333333333304</v>
      </c>
      <c r="EQ3">
        <v>6</v>
      </c>
      <c r="ER3">
        <v>8</v>
      </c>
      <c r="ES3">
        <v>7</v>
      </c>
      <c r="ET3">
        <v>2.1777777777777776</v>
      </c>
      <c r="EU3">
        <v>9</v>
      </c>
      <c r="EV3">
        <v>-4.666666666666667</v>
      </c>
      <c r="EW3">
        <v>-0.22222222222222218</v>
      </c>
      <c r="EX3">
        <v>3</v>
      </c>
      <c r="EY3">
        <v>3.5</v>
      </c>
      <c r="EZ3">
        <v>6</v>
      </c>
      <c r="FA3">
        <v>-2.8888888888888893</v>
      </c>
      <c r="FB3">
        <v>1</v>
      </c>
      <c r="FC3">
        <v>-1.1111111111111112</v>
      </c>
      <c r="FD3">
        <v>0.55555555555555569</v>
      </c>
      <c r="FE3">
        <v>15</v>
      </c>
      <c r="FF3">
        <v>15.75</v>
      </c>
      <c r="FG3">
        <v>16</v>
      </c>
      <c r="FH3">
        <v>-7.6362473526896207E-2</v>
      </c>
      <c r="FI3">
        <v>21</v>
      </c>
      <c r="FJ3">
        <v>-3.0467477427901742E-3</v>
      </c>
      <c r="FK3">
        <v>13</v>
      </c>
      <c r="FL3">
        <v>2.9888888888888943</v>
      </c>
      <c r="FM3">
        <v>13</v>
      </c>
      <c r="FN3">
        <v>3.5555555555555558</v>
      </c>
      <c r="FO3">
        <v>-1.0000000000000011</v>
      </c>
      <c r="FP3">
        <v>-0.11111111111111131</v>
      </c>
      <c r="FQ3">
        <v>0.88888888888888895</v>
      </c>
      <c r="FR3">
        <v>0.22222222222222379</v>
      </c>
      <c r="FS3">
        <v>-2.3333333333333321</v>
      </c>
      <c r="FT3">
        <v>0</v>
      </c>
      <c r="FU3">
        <v>-25.555555555555543</v>
      </c>
      <c r="FV3">
        <v>-34.777777777777771</v>
      </c>
      <c r="FW3">
        <v>5.7777777777777812</v>
      </c>
      <c r="FX3">
        <v>2.1111111111111107</v>
      </c>
      <c r="FY3">
        <v>1.3333333333333333</v>
      </c>
      <c r="FZ3">
        <v>11</v>
      </c>
      <c r="GA3">
        <v>1.8644444444444452</v>
      </c>
      <c r="GB3">
        <v>0.66511111111111121</v>
      </c>
      <c r="GC3">
        <v>-40.55555555555555</v>
      </c>
      <c r="GD3">
        <v>-1.864444444444445</v>
      </c>
      <c r="GE3">
        <v>-1.6516666666666666</v>
      </c>
      <c r="GF3">
        <v>-6.5666666666666664</v>
      </c>
      <c r="GG3">
        <v>-32.555555555555557</v>
      </c>
      <c r="GH3">
        <v>-3.9000000000000004</v>
      </c>
      <c r="GI3">
        <v>-15.555555555555557</v>
      </c>
      <c r="GJ3">
        <v>2.7777777777777777</v>
      </c>
      <c r="GK3">
        <v>-0.11111111111111122</v>
      </c>
    </row>
    <row r="4" spans="1:193" x14ac:dyDescent="0.2">
      <c r="A4" s="39">
        <v>43737</v>
      </c>
      <c r="B4" s="26" t="s">
        <v>417</v>
      </c>
      <c r="C4" s="41" t="s">
        <v>305</v>
      </c>
      <c r="D4" s="27" t="s">
        <v>281</v>
      </c>
      <c r="E4">
        <v>6.2</v>
      </c>
      <c r="F4">
        <v>14.1</v>
      </c>
      <c r="G4" s="14">
        <v>7.6</v>
      </c>
      <c r="H4" s="14">
        <f>13.1+5.9+1.9</f>
        <v>20.9</v>
      </c>
      <c r="I4">
        <v>-7.5</v>
      </c>
      <c r="J4">
        <v>47</v>
      </c>
      <c r="K4" t="s">
        <v>110</v>
      </c>
      <c r="L4" s="1" t="s">
        <v>305</v>
      </c>
      <c r="M4">
        <v>1</v>
      </c>
      <c r="N4">
        <v>5.797777777777779</v>
      </c>
      <c r="O4">
        <v>4</v>
      </c>
      <c r="P4">
        <v>6.5</v>
      </c>
      <c r="Q4">
        <v>4</v>
      </c>
      <c r="R4">
        <v>6.011111111111112</v>
      </c>
      <c r="S4">
        <v>9</v>
      </c>
      <c r="T4">
        <v>-7</v>
      </c>
      <c r="U4">
        <v>-0.33333333333333331</v>
      </c>
      <c r="V4">
        <v>5</v>
      </c>
      <c r="W4">
        <v>8</v>
      </c>
      <c r="X4">
        <v>14</v>
      </c>
      <c r="Y4">
        <v>-1.555555555555556</v>
      </c>
      <c r="Z4">
        <v>2</v>
      </c>
      <c r="AA4">
        <v>8.6666666666666661</v>
      </c>
      <c r="AB4">
        <v>-0.88888888888888895</v>
      </c>
      <c r="AC4">
        <v>26</v>
      </c>
      <c r="AD4">
        <v>25</v>
      </c>
      <c r="AE4">
        <v>22</v>
      </c>
      <c r="AF4">
        <v>1.5666666666666671</v>
      </c>
      <c r="AG4">
        <v>28</v>
      </c>
      <c r="AH4">
        <v>27</v>
      </c>
      <c r="AI4">
        <v>1.6666666666666667</v>
      </c>
      <c r="AJ4">
        <v>25</v>
      </c>
      <c r="AK4">
        <v>26</v>
      </c>
      <c r="AL4">
        <v>24</v>
      </c>
      <c r="AM4">
        <v>-3.7111111111111117</v>
      </c>
      <c r="AN4">
        <v>28</v>
      </c>
      <c r="AO4">
        <v>-20.555555555555554</v>
      </c>
      <c r="AP4">
        <v>-1.5555555555555556</v>
      </c>
      <c r="AQ4">
        <v>31</v>
      </c>
      <c r="AR4">
        <v>30</v>
      </c>
      <c r="AS4">
        <v>29</v>
      </c>
      <c r="AT4">
        <v>-5.2777777777777777</v>
      </c>
      <c r="AU4">
        <v>31</v>
      </c>
      <c r="AV4">
        <v>-20.555555555555557</v>
      </c>
      <c r="AW4">
        <v>-3.3333333333333335</v>
      </c>
      <c r="AX4">
        <v>10</v>
      </c>
      <c r="AY4">
        <v>11</v>
      </c>
      <c r="AZ4">
        <v>5</v>
      </c>
      <c r="BA4">
        <v>0.76666666666666927</v>
      </c>
      <c r="BB4">
        <v>17</v>
      </c>
      <c r="BC4">
        <v>16.555555555555557</v>
      </c>
      <c r="BD4">
        <v>1</v>
      </c>
      <c r="BE4">
        <v>2</v>
      </c>
      <c r="BF4">
        <v>2</v>
      </c>
      <c r="BG4">
        <v>2</v>
      </c>
      <c r="BH4">
        <v>9.9333333333333318</v>
      </c>
      <c r="BI4">
        <v>35.777777777777779</v>
      </c>
      <c r="BJ4">
        <v>4.5555555555555562</v>
      </c>
      <c r="BK4">
        <v>8</v>
      </c>
      <c r="BL4">
        <v>8.5</v>
      </c>
      <c r="BM4">
        <v>2</v>
      </c>
      <c r="BN4">
        <v>1.2222222222222223</v>
      </c>
      <c r="BO4">
        <v>15</v>
      </c>
      <c r="BP4">
        <v>-0.11111111111111116</v>
      </c>
      <c r="BQ4">
        <v>-3.7777777777777781</v>
      </c>
      <c r="BR4">
        <v>31</v>
      </c>
      <c r="BS4">
        <v>29.25</v>
      </c>
      <c r="BT4">
        <v>27</v>
      </c>
      <c r="BU4">
        <v>-1.2336664744011017E-2</v>
      </c>
      <c r="BV4">
        <v>31</v>
      </c>
      <c r="BW4">
        <v>-4.3416705918081777E-3</v>
      </c>
      <c r="BX4">
        <v>27</v>
      </c>
      <c r="BY4">
        <v>6.5999999999999988</v>
      </c>
      <c r="BZ4">
        <v>32</v>
      </c>
      <c r="CA4">
        <v>-2.8888888888888888</v>
      </c>
      <c r="CB4">
        <v>7.2222222222222259</v>
      </c>
      <c r="CC4">
        <v>6.5555555555555571</v>
      </c>
      <c r="CD4">
        <v>-1.5555555555555556</v>
      </c>
      <c r="CE4">
        <v>38.666666666666664</v>
      </c>
      <c r="CF4">
        <v>2.444444444444438</v>
      </c>
      <c r="CG4">
        <v>4.5555555555555527</v>
      </c>
      <c r="CH4">
        <v>-2.6666666666666665</v>
      </c>
      <c r="CI4">
        <v>34.333333333333336</v>
      </c>
      <c r="CJ4">
        <v>15</v>
      </c>
      <c r="CK4">
        <v>1.3422222222222231</v>
      </c>
      <c r="CL4">
        <v>-0.56600000000000006</v>
      </c>
      <c r="CM4">
        <v>-2.1111111111111147</v>
      </c>
      <c r="CN4">
        <v>-1.3422222222222233</v>
      </c>
      <c r="CO4">
        <v>1.7483333333333331</v>
      </c>
      <c r="CP4">
        <v>-7.4222222222222225</v>
      </c>
      <c r="CQ4">
        <v>-14.111111111111111</v>
      </c>
      <c r="CR4">
        <v>4.4555555555555557</v>
      </c>
      <c r="CS4">
        <v>1.6666666666666661</v>
      </c>
      <c r="CT4">
        <v>1.3333333333333339</v>
      </c>
      <c r="CU4">
        <v>-1.2222222222222223</v>
      </c>
      <c r="CV4">
        <v>0.66152777777777805</v>
      </c>
      <c r="CW4">
        <v>-0.30194444444444396</v>
      </c>
      <c r="CX4" t="s">
        <v>281</v>
      </c>
      <c r="CY4">
        <v>11</v>
      </c>
      <c r="CZ4">
        <v>2.2888888888888892</v>
      </c>
      <c r="DA4">
        <v>19</v>
      </c>
      <c r="DB4">
        <v>20</v>
      </c>
      <c r="DC4">
        <v>20</v>
      </c>
      <c r="DD4">
        <v>2.3333333333333317</v>
      </c>
      <c r="DE4">
        <v>20</v>
      </c>
      <c r="DF4">
        <v>1.1111111111111072</v>
      </c>
      <c r="DG4">
        <v>0.3333333333333332</v>
      </c>
      <c r="DH4">
        <v>25</v>
      </c>
      <c r="DI4">
        <v>22.5</v>
      </c>
      <c r="DJ4">
        <v>19</v>
      </c>
      <c r="DK4">
        <v>-0.54444444444444473</v>
      </c>
      <c r="DL4">
        <v>26</v>
      </c>
      <c r="DM4">
        <v>-4.3333333333333339</v>
      </c>
      <c r="DN4">
        <v>1.3333333333333333</v>
      </c>
      <c r="DO4">
        <v>10</v>
      </c>
      <c r="DP4">
        <v>12</v>
      </c>
      <c r="DQ4">
        <v>13</v>
      </c>
      <c r="DR4">
        <v>1.4666666666666677</v>
      </c>
      <c r="DS4">
        <v>11</v>
      </c>
      <c r="DT4">
        <v>-9.777777777777775</v>
      </c>
      <c r="DU4">
        <v>-0.88888888888888928</v>
      </c>
      <c r="DV4">
        <v>21</v>
      </c>
      <c r="DW4">
        <v>22</v>
      </c>
      <c r="DX4">
        <v>21</v>
      </c>
      <c r="DY4">
        <v>2.3111111111111113</v>
      </c>
      <c r="DZ4">
        <v>23</v>
      </c>
      <c r="EA4">
        <v>20.777777777777775</v>
      </c>
      <c r="EB4">
        <v>-0.55555555555555569</v>
      </c>
      <c r="EC4">
        <v>21</v>
      </c>
      <c r="ED4">
        <v>19.5</v>
      </c>
      <c r="EE4">
        <v>19</v>
      </c>
      <c r="EF4">
        <v>2.4</v>
      </c>
      <c r="EG4">
        <v>20</v>
      </c>
      <c r="EH4">
        <v>11.444444444444445</v>
      </c>
      <c r="EI4">
        <v>0.44444444444444464</v>
      </c>
      <c r="EJ4">
        <v>10</v>
      </c>
      <c r="EK4">
        <v>11.5</v>
      </c>
      <c r="EL4">
        <v>12</v>
      </c>
      <c r="EM4">
        <v>-2.6888888888888869</v>
      </c>
      <c r="EN4">
        <v>11</v>
      </c>
      <c r="EO4">
        <v>-28</v>
      </c>
      <c r="EP4">
        <v>-2</v>
      </c>
      <c r="EQ4">
        <v>4</v>
      </c>
      <c r="ER4">
        <v>4</v>
      </c>
      <c r="ES4">
        <v>5</v>
      </c>
      <c r="ET4">
        <v>0.4111111111111117</v>
      </c>
      <c r="EU4">
        <v>3</v>
      </c>
      <c r="EV4">
        <v>-5.8888888888888884</v>
      </c>
      <c r="EW4">
        <v>-1.6666666666666663</v>
      </c>
      <c r="EX4">
        <v>29</v>
      </c>
      <c r="EY4">
        <v>27</v>
      </c>
      <c r="EZ4">
        <v>30</v>
      </c>
      <c r="FA4">
        <v>2.333333333333333</v>
      </c>
      <c r="FB4">
        <v>24</v>
      </c>
      <c r="FC4">
        <v>0.33333333333333331</v>
      </c>
      <c r="FD4">
        <v>1.555555555555556</v>
      </c>
      <c r="FE4">
        <v>9</v>
      </c>
      <c r="FF4">
        <v>12.5</v>
      </c>
      <c r="FG4">
        <v>8</v>
      </c>
      <c r="FH4">
        <v>-8.2226814052850927E-3</v>
      </c>
      <c r="FI4">
        <v>16</v>
      </c>
      <c r="FJ4">
        <v>-8.3821000018702001E-3</v>
      </c>
      <c r="FK4">
        <v>7</v>
      </c>
      <c r="FL4">
        <v>5.6666666666666643</v>
      </c>
      <c r="FM4">
        <v>19</v>
      </c>
      <c r="FN4">
        <v>-0.66666666666666696</v>
      </c>
      <c r="FO4">
        <v>-1.3333333333333333</v>
      </c>
      <c r="FP4">
        <v>0.11111111111111072</v>
      </c>
      <c r="FQ4">
        <v>-0.66666666666666685</v>
      </c>
      <c r="FR4">
        <v>-2.1111111111111143</v>
      </c>
      <c r="FS4">
        <v>1.4444444444444435</v>
      </c>
      <c r="FT4">
        <v>-0.55555555555555569</v>
      </c>
      <c r="FU4">
        <v>28.111111111111114</v>
      </c>
      <c r="FV4">
        <v>26.222222222222218</v>
      </c>
      <c r="FW4">
        <v>-3.2222222222222192</v>
      </c>
      <c r="FX4">
        <v>3.7777777777777772</v>
      </c>
      <c r="FY4">
        <v>1.3333333333333333</v>
      </c>
      <c r="FZ4">
        <v>13</v>
      </c>
      <c r="GA4">
        <v>0.50000000000000222</v>
      </c>
      <c r="GB4">
        <v>0.88111111111111251</v>
      </c>
      <c r="GC4">
        <v>29.444444444444436</v>
      </c>
      <c r="GD4">
        <v>-0.50000000000000222</v>
      </c>
      <c r="GE4">
        <v>1.625</v>
      </c>
      <c r="GF4">
        <v>6.1777777777777789</v>
      </c>
      <c r="GG4">
        <v>22.444444444444443</v>
      </c>
      <c r="GH4">
        <v>1.788888888888887</v>
      </c>
      <c r="GI4">
        <v>-3.2222222222222268</v>
      </c>
      <c r="GJ4">
        <v>-2.666666666666667</v>
      </c>
      <c r="GK4">
        <v>1.6666666666666665</v>
      </c>
    </row>
    <row r="5" spans="1:193" x14ac:dyDescent="0.2">
      <c r="A5" s="39">
        <v>43737</v>
      </c>
      <c r="B5" s="26" t="s">
        <v>417</v>
      </c>
      <c r="C5" s="41" t="s">
        <v>276</v>
      </c>
      <c r="D5" s="27" t="s">
        <v>302</v>
      </c>
      <c r="E5">
        <v>11.9</v>
      </c>
      <c r="F5">
        <v>14.5</v>
      </c>
      <c r="G5" s="14">
        <v>2.4</v>
      </c>
      <c r="H5" s="14">
        <v>8.8000000000000007</v>
      </c>
      <c r="I5">
        <v>7</v>
      </c>
      <c r="J5">
        <v>41.5</v>
      </c>
      <c r="L5" s="1" t="s">
        <v>276</v>
      </c>
      <c r="M5">
        <v>5</v>
      </c>
      <c r="N5">
        <v>-2.7688888888888896</v>
      </c>
      <c r="O5">
        <v>15</v>
      </c>
      <c r="P5">
        <v>16</v>
      </c>
      <c r="Q5">
        <v>21</v>
      </c>
      <c r="R5">
        <v>-0.97777777777777664</v>
      </c>
      <c r="S5">
        <v>11</v>
      </c>
      <c r="T5">
        <v>3.6666666666666665</v>
      </c>
      <c r="U5">
        <v>0</v>
      </c>
      <c r="V5">
        <v>15</v>
      </c>
      <c r="W5">
        <v>14.5</v>
      </c>
      <c r="X5">
        <v>20</v>
      </c>
      <c r="Y5">
        <v>-1.5888888888888879</v>
      </c>
      <c r="Z5">
        <v>9</v>
      </c>
      <c r="AA5">
        <v>0.8888888888888905</v>
      </c>
      <c r="AB5">
        <v>-0.77777777777777768</v>
      </c>
      <c r="AC5">
        <v>21</v>
      </c>
      <c r="AD5">
        <v>19.5</v>
      </c>
      <c r="AE5">
        <v>14</v>
      </c>
      <c r="AF5">
        <v>-5.7444444444444445</v>
      </c>
      <c r="AG5">
        <v>25</v>
      </c>
      <c r="AH5">
        <v>-17.555555555555554</v>
      </c>
      <c r="AI5">
        <v>-0.77777777777777768</v>
      </c>
      <c r="AJ5">
        <v>9</v>
      </c>
      <c r="AK5">
        <v>8.5</v>
      </c>
      <c r="AL5">
        <v>9</v>
      </c>
      <c r="AM5">
        <v>-1.2</v>
      </c>
      <c r="AN5">
        <v>8</v>
      </c>
      <c r="AO5">
        <v>-15.222222222222221</v>
      </c>
      <c r="AP5">
        <v>0.88888888888888895</v>
      </c>
      <c r="AQ5">
        <v>13</v>
      </c>
      <c r="AR5">
        <v>14.5</v>
      </c>
      <c r="AS5">
        <v>15</v>
      </c>
      <c r="AT5">
        <v>-0.44444444444444492</v>
      </c>
      <c r="AU5">
        <v>14</v>
      </c>
      <c r="AV5">
        <v>-0.3333333333333357</v>
      </c>
      <c r="AW5">
        <v>-0.11111111111111116</v>
      </c>
      <c r="AX5">
        <v>23</v>
      </c>
      <c r="AY5">
        <v>22.5</v>
      </c>
      <c r="AZ5">
        <v>25</v>
      </c>
      <c r="BA5">
        <v>-6.3111111111111127</v>
      </c>
      <c r="BB5">
        <v>20</v>
      </c>
      <c r="BC5">
        <v>-30.888888888888889</v>
      </c>
      <c r="BD5">
        <v>0.33333333333333331</v>
      </c>
      <c r="BE5">
        <v>29</v>
      </c>
      <c r="BF5">
        <v>28.5</v>
      </c>
      <c r="BG5">
        <v>30</v>
      </c>
      <c r="BH5">
        <v>0.20000000000000076</v>
      </c>
      <c r="BI5">
        <v>1.1111111111111118</v>
      </c>
      <c r="BJ5">
        <v>1</v>
      </c>
      <c r="BK5">
        <v>25</v>
      </c>
      <c r="BL5">
        <v>23</v>
      </c>
      <c r="BM5">
        <v>23</v>
      </c>
      <c r="BN5">
        <v>-2.0000000000000004</v>
      </c>
      <c r="BO5">
        <v>23</v>
      </c>
      <c r="BP5">
        <v>-0.77777777777777779</v>
      </c>
      <c r="BQ5">
        <v>-0.33333333333333365</v>
      </c>
      <c r="BR5">
        <v>24</v>
      </c>
      <c r="BS5">
        <v>20.75</v>
      </c>
      <c r="BT5">
        <v>25</v>
      </c>
      <c r="BU5">
        <v>6.1993532630206571E-2</v>
      </c>
      <c r="BV5">
        <v>25</v>
      </c>
      <c r="BW5">
        <v>-8.6372878861758432E-3</v>
      </c>
      <c r="BX5">
        <v>5</v>
      </c>
      <c r="BY5">
        <v>14.066666666666668</v>
      </c>
      <c r="BZ5">
        <v>28</v>
      </c>
      <c r="CA5">
        <v>2.3333333333333335</v>
      </c>
      <c r="CB5">
        <v>2.4444444444444451</v>
      </c>
      <c r="CC5">
        <v>-5.4444444444444438</v>
      </c>
      <c r="CD5">
        <v>0</v>
      </c>
      <c r="CE5">
        <v>-26</v>
      </c>
      <c r="CF5">
        <v>-47.000000000000007</v>
      </c>
      <c r="CG5">
        <v>0.55555555555555713</v>
      </c>
      <c r="CH5">
        <v>0.44444444444444436</v>
      </c>
      <c r="CI5">
        <v>19.999999999999996</v>
      </c>
      <c r="CJ5">
        <v>18</v>
      </c>
      <c r="CK5">
        <v>-0.20222222222222519</v>
      </c>
      <c r="CL5">
        <v>-0.70822222222222297</v>
      </c>
      <c r="CM5">
        <v>-47.555555555555564</v>
      </c>
      <c r="CN5">
        <v>0.20222222222222497</v>
      </c>
      <c r="CO5">
        <v>-1.8155555555555551</v>
      </c>
      <c r="CP5">
        <v>-7.3888888888888893</v>
      </c>
      <c r="CQ5">
        <v>-33.111111111111107</v>
      </c>
      <c r="CR5">
        <v>-2.5666666666666647</v>
      </c>
      <c r="CS5">
        <v>4.5555555555555571</v>
      </c>
      <c r="CT5">
        <v>1</v>
      </c>
      <c r="CU5">
        <v>-0.77777777777777768</v>
      </c>
      <c r="CV5">
        <v>-1.9338194444444445</v>
      </c>
      <c r="CW5">
        <v>-1.7031944444444447</v>
      </c>
      <c r="CX5" t="s">
        <v>302</v>
      </c>
      <c r="CY5">
        <v>28</v>
      </c>
      <c r="CZ5">
        <v>-4.2155555555555564</v>
      </c>
      <c r="DA5">
        <v>20</v>
      </c>
      <c r="DB5">
        <v>21</v>
      </c>
      <c r="DC5">
        <v>26</v>
      </c>
      <c r="DD5">
        <v>-2.2222222222222223</v>
      </c>
      <c r="DE5">
        <v>16</v>
      </c>
      <c r="DF5">
        <v>-11.555555555555557</v>
      </c>
      <c r="DG5">
        <v>-1</v>
      </c>
      <c r="DH5">
        <v>19</v>
      </c>
      <c r="DI5">
        <v>17</v>
      </c>
      <c r="DJ5">
        <v>15</v>
      </c>
      <c r="DK5">
        <v>-1.6111111111111107</v>
      </c>
      <c r="DL5">
        <v>19</v>
      </c>
      <c r="DM5">
        <v>-4.8888888888888884</v>
      </c>
      <c r="DN5">
        <v>0.88888888888888895</v>
      </c>
      <c r="DO5">
        <v>31</v>
      </c>
      <c r="DP5">
        <v>29</v>
      </c>
      <c r="DQ5">
        <v>30</v>
      </c>
      <c r="DR5">
        <v>-3.0888888888888881</v>
      </c>
      <c r="DS5">
        <v>28</v>
      </c>
      <c r="DT5">
        <v>-7.1111111111111098</v>
      </c>
      <c r="DU5">
        <v>-1.8888888888888893</v>
      </c>
      <c r="DV5">
        <v>24</v>
      </c>
      <c r="DW5">
        <v>25</v>
      </c>
      <c r="DX5">
        <v>26</v>
      </c>
      <c r="DY5">
        <v>-4.4444444444444446</v>
      </c>
      <c r="DZ5">
        <v>24</v>
      </c>
      <c r="EA5">
        <v>-30.444444444444443</v>
      </c>
      <c r="EB5">
        <v>1</v>
      </c>
      <c r="EC5">
        <v>23</v>
      </c>
      <c r="ED5">
        <v>21</v>
      </c>
      <c r="EE5">
        <v>25</v>
      </c>
      <c r="EF5">
        <v>2.3555555555555556</v>
      </c>
      <c r="EG5">
        <v>17</v>
      </c>
      <c r="EH5">
        <v>11.222222222222221</v>
      </c>
      <c r="EI5">
        <v>1.5555555555555554</v>
      </c>
      <c r="EJ5">
        <v>22</v>
      </c>
      <c r="EK5">
        <v>23</v>
      </c>
      <c r="EL5">
        <v>24</v>
      </c>
      <c r="EM5">
        <v>1.1888888888888889</v>
      </c>
      <c r="EN5">
        <v>22</v>
      </c>
      <c r="EO5">
        <v>11.888888888888891</v>
      </c>
      <c r="EP5">
        <v>1.7777777777777779</v>
      </c>
      <c r="EQ5">
        <v>20</v>
      </c>
      <c r="ER5">
        <v>20</v>
      </c>
      <c r="ES5">
        <v>18</v>
      </c>
      <c r="ET5">
        <v>-1.4222222222222225</v>
      </c>
      <c r="EU5">
        <v>22</v>
      </c>
      <c r="EV5">
        <v>5.7777777777777777</v>
      </c>
      <c r="EW5">
        <v>-1.1111111111111109</v>
      </c>
      <c r="EX5">
        <v>24</v>
      </c>
      <c r="EY5">
        <v>23</v>
      </c>
      <c r="EZ5">
        <v>24</v>
      </c>
      <c r="FA5">
        <v>-2.6666666666666665</v>
      </c>
      <c r="FB5">
        <v>22</v>
      </c>
      <c r="FC5">
        <v>-0.88888888888888895</v>
      </c>
      <c r="FD5">
        <v>-0.22222222222222202</v>
      </c>
      <c r="FE5">
        <v>5</v>
      </c>
      <c r="FF5">
        <v>9.75</v>
      </c>
      <c r="FG5">
        <v>1</v>
      </c>
      <c r="FH5">
        <v>-1.829281353090877E-2</v>
      </c>
      <c r="FI5">
        <v>12</v>
      </c>
      <c r="FJ5">
        <v>2.9238302237289068E-2</v>
      </c>
      <c r="FK5">
        <v>23</v>
      </c>
      <c r="FL5">
        <v>-4.4111111111111088</v>
      </c>
      <c r="FM5">
        <v>3</v>
      </c>
      <c r="FN5">
        <v>6.4444444444444438</v>
      </c>
      <c r="FO5">
        <v>1.1111111111111107</v>
      </c>
      <c r="FP5">
        <v>-1.555555555555556</v>
      </c>
      <c r="FQ5">
        <v>-0.66666666666666663</v>
      </c>
      <c r="FR5">
        <v>-0.44444444444444525</v>
      </c>
      <c r="FS5">
        <v>-7.333333333333333</v>
      </c>
      <c r="FT5">
        <v>2.1111111111111112</v>
      </c>
      <c r="FU5">
        <v>-25.555555555555543</v>
      </c>
      <c r="FV5">
        <v>-4</v>
      </c>
      <c r="FW5">
        <v>-16.111111111111111</v>
      </c>
      <c r="FX5">
        <v>-3.5555555555555554</v>
      </c>
      <c r="FY5">
        <v>-1.8888888888888886</v>
      </c>
      <c r="FZ5">
        <v>15</v>
      </c>
      <c r="GA5">
        <v>-0.38222222222222335</v>
      </c>
      <c r="GB5">
        <v>-0.24644444444444469</v>
      </c>
      <c r="GC5">
        <v>12.111111111111111</v>
      </c>
      <c r="GD5">
        <v>0.38222222222222335</v>
      </c>
      <c r="GE5">
        <v>-2.1644444444444444</v>
      </c>
      <c r="GF5">
        <v>-5.1777777777777771</v>
      </c>
      <c r="GG5">
        <v>-26.333333333333329</v>
      </c>
      <c r="GH5">
        <v>-3.833333333333333</v>
      </c>
      <c r="GI5">
        <v>-16.444444444444446</v>
      </c>
      <c r="GJ5">
        <v>-0.44444444444444486</v>
      </c>
      <c r="GK5">
        <v>-0.11111111111111105</v>
      </c>
    </row>
    <row r="6" spans="1:193" x14ac:dyDescent="0.2">
      <c r="A6" s="39">
        <v>43737</v>
      </c>
      <c r="B6" s="26" t="s">
        <v>417</v>
      </c>
      <c r="C6" s="41" t="s">
        <v>301</v>
      </c>
      <c r="D6" s="27" t="s">
        <v>311</v>
      </c>
      <c r="E6">
        <v>7.4</v>
      </c>
      <c r="F6">
        <v>6.3</v>
      </c>
      <c r="G6">
        <v>10.9</v>
      </c>
      <c r="H6" s="14">
        <v>2.5</v>
      </c>
      <c r="I6">
        <v>5.5</v>
      </c>
      <c r="J6">
        <v>47.5</v>
      </c>
      <c r="K6" t="s">
        <v>109</v>
      </c>
      <c r="L6" s="1" t="s">
        <v>301</v>
      </c>
      <c r="M6">
        <v>13</v>
      </c>
      <c r="N6">
        <v>-4.6666666666666652</v>
      </c>
      <c r="O6">
        <v>2</v>
      </c>
      <c r="P6">
        <v>3</v>
      </c>
      <c r="Q6">
        <v>1</v>
      </c>
      <c r="R6">
        <v>12.744444444444445</v>
      </c>
      <c r="S6">
        <v>5</v>
      </c>
      <c r="T6">
        <v>37.666666666666664</v>
      </c>
      <c r="U6">
        <v>2.7777777777777781</v>
      </c>
      <c r="V6">
        <v>32</v>
      </c>
      <c r="W6">
        <v>31.5</v>
      </c>
      <c r="X6">
        <v>31</v>
      </c>
      <c r="Y6">
        <v>0.23333333333333295</v>
      </c>
      <c r="Z6">
        <v>32</v>
      </c>
      <c r="AA6">
        <v>-9.2222222222222232</v>
      </c>
      <c r="AB6">
        <v>3.7007434154171883E-17</v>
      </c>
      <c r="AC6">
        <v>7</v>
      </c>
      <c r="AD6">
        <v>6.5</v>
      </c>
      <c r="AE6">
        <v>7</v>
      </c>
      <c r="AF6">
        <v>-0.81111111111111178</v>
      </c>
      <c r="AG6">
        <v>6</v>
      </c>
      <c r="AH6">
        <v>4.5555555555555527</v>
      </c>
      <c r="AI6">
        <v>-0.44444444444444403</v>
      </c>
      <c r="AJ6">
        <v>21</v>
      </c>
      <c r="AK6">
        <v>20.5</v>
      </c>
      <c r="AL6">
        <v>20</v>
      </c>
      <c r="AM6">
        <v>3.5666666666666669</v>
      </c>
      <c r="AN6">
        <v>21</v>
      </c>
      <c r="AO6">
        <v>10.111111111111112</v>
      </c>
      <c r="AP6">
        <v>2.5555555555555558</v>
      </c>
      <c r="AQ6">
        <v>23</v>
      </c>
      <c r="AR6">
        <v>23.5</v>
      </c>
      <c r="AS6">
        <v>23</v>
      </c>
      <c r="AT6">
        <v>-2.3444444444444441</v>
      </c>
      <c r="AU6">
        <v>24</v>
      </c>
      <c r="AV6">
        <v>-4.5555555555555562</v>
      </c>
      <c r="AW6">
        <v>-0.77777777777777768</v>
      </c>
      <c r="AX6">
        <v>24</v>
      </c>
      <c r="AY6">
        <v>25</v>
      </c>
      <c r="AZ6">
        <v>23</v>
      </c>
      <c r="BA6">
        <v>-7.6999999999999984</v>
      </c>
      <c r="BB6">
        <v>27</v>
      </c>
      <c r="BC6">
        <v>-35.888888888888886</v>
      </c>
      <c r="BD6">
        <v>-4.1111111111111116</v>
      </c>
      <c r="BE6">
        <v>20</v>
      </c>
      <c r="BF6">
        <v>22</v>
      </c>
      <c r="BG6">
        <v>20</v>
      </c>
      <c r="BH6">
        <v>-1.9111111111111105</v>
      </c>
      <c r="BI6">
        <v>-4.6666666666666652</v>
      </c>
      <c r="BJ6">
        <v>-0.33333333333333365</v>
      </c>
      <c r="BK6">
        <v>32</v>
      </c>
      <c r="BL6">
        <v>31.5</v>
      </c>
      <c r="BM6">
        <v>32</v>
      </c>
      <c r="BN6">
        <v>1.2222222222222221</v>
      </c>
      <c r="BO6">
        <v>31</v>
      </c>
      <c r="BP6">
        <v>0</v>
      </c>
      <c r="BQ6">
        <v>-1.4444444444444446</v>
      </c>
      <c r="BR6">
        <v>4</v>
      </c>
      <c r="BS6">
        <v>8.5</v>
      </c>
      <c r="BT6">
        <v>4</v>
      </c>
      <c r="BU6">
        <v>-3.4218211211845373E-2</v>
      </c>
      <c r="BV6">
        <v>6</v>
      </c>
      <c r="BW6">
        <v>-3.6591025562411083E-3</v>
      </c>
      <c r="BX6">
        <v>17</v>
      </c>
      <c r="BY6">
        <v>-5.6888888888888927</v>
      </c>
      <c r="BZ6">
        <v>7</v>
      </c>
      <c r="CA6">
        <v>-1.1111111111111107</v>
      </c>
      <c r="CB6">
        <v>2.3684757858670005E-15</v>
      </c>
      <c r="CC6">
        <v>3.6666666666666679</v>
      </c>
      <c r="CD6">
        <v>-1.1111111111111109</v>
      </c>
      <c r="CE6">
        <v>19</v>
      </c>
      <c r="CF6">
        <v>12.111111111111114</v>
      </c>
      <c r="CG6">
        <v>26.333333333333332</v>
      </c>
      <c r="CH6">
        <v>0.33333333333333331</v>
      </c>
      <c r="CI6">
        <v>-19.777777777777775</v>
      </c>
      <c r="CJ6">
        <v>32</v>
      </c>
      <c r="CK6">
        <v>-17.644444444444446</v>
      </c>
      <c r="CL6">
        <v>-7.7222222222222214</v>
      </c>
      <c r="CM6">
        <v>-14.222222222222218</v>
      </c>
      <c r="CN6">
        <v>17.644444444444442</v>
      </c>
      <c r="CO6">
        <v>1.0041666666666667</v>
      </c>
      <c r="CP6">
        <v>0.41111111111111098</v>
      </c>
      <c r="CQ6">
        <v>10.111111111111107</v>
      </c>
      <c r="CR6">
        <v>12.977777777777778</v>
      </c>
      <c r="CS6">
        <v>28.444444444444443</v>
      </c>
      <c r="CT6">
        <v>1.0000000000000002</v>
      </c>
      <c r="CU6">
        <v>2.7777777777777781</v>
      </c>
      <c r="CV6">
        <v>7.4861111111111489E-2</v>
      </c>
      <c r="CW6">
        <v>-1.0888888888888884</v>
      </c>
      <c r="CX6" t="s">
        <v>311</v>
      </c>
      <c r="CY6">
        <v>6</v>
      </c>
      <c r="CZ6">
        <v>2.2866666666666675</v>
      </c>
      <c r="DA6">
        <v>27</v>
      </c>
      <c r="DB6">
        <v>24</v>
      </c>
      <c r="DC6">
        <v>18</v>
      </c>
      <c r="DD6">
        <v>-3.5555555555555558</v>
      </c>
      <c r="DE6">
        <v>30</v>
      </c>
      <c r="DF6">
        <v>-1.1111111111111096</v>
      </c>
      <c r="DG6">
        <v>0.22222222222222202</v>
      </c>
      <c r="DH6">
        <v>1</v>
      </c>
      <c r="DI6">
        <v>1</v>
      </c>
      <c r="DJ6">
        <v>1</v>
      </c>
      <c r="DK6">
        <v>2.2555555555555551</v>
      </c>
      <c r="DL6">
        <v>1</v>
      </c>
      <c r="DM6">
        <v>0.66666666666666663</v>
      </c>
      <c r="DN6">
        <v>0.88888888888888895</v>
      </c>
      <c r="DO6">
        <v>15</v>
      </c>
      <c r="DP6">
        <v>11.5</v>
      </c>
      <c r="DQ6">
        <v>11</v>
      </c>
      <c r="DR6">
        <v>4.4222222222222234</v>
      </c>
      <c r="DS6">
        <v>12</v>
      </c>
      <c r="DT6">
        <v>19.444444444444446</v>
      </c>
      <c r="DU6">
        <v>1.1111111111111109</v>
      </c>
      <c r="DV6">
        <v>23</v>
      </c>
      <c r="DW6">
        <v>23</v>
      </c>
      <c r="DX6">
        <v>25</v>
      </c>
      <c r="DY6">
        <v>2.1555555555555554</v>
      </c>
      <c r="DZ6">
        <v>21</v>
      </c>
      <c r="EA6">
        <v>0.44444444444444525</v>
      </c>
      <c r="EB6">
        <v>2.3333333333333335</v>
      </c>
      <c r="EC6">
        <v>10</v>
      </c>
      <c r="ED6">
        <v>8.5</v>
      </c>
      <c r="EE6">
        <v>8</v>
      </c>
      <c r="EF6">
        <v>1.3</v>
      </c>
      <c r="EG6">
        <v>9</v>
      </c>
      <c r="EH6">
        <v>8.5555555555555554</v>
      </c>
      <c r="EI6">
        <v>0.55555555555555569</v>
      </c>
      <c r="EJ6">
        <v>15</v>
      </c>
      <c r="EK6">
        <v>15.5</v>
      </c>
      <c r="EL6">
        <v>18</v>
      </c>
      <c r="EM6">
        <v>2.2111111111111099</v>
      </c>
      <c r="EN6">
        <v>13</v>
      </c>
      <c r="EO6">
        <v>9.8888888888888875</v>
      </c>
      <c r="EP6">
        <v>-0.44444444444444403</v>
      </c>
      <c r="EQ6">
        <v>14</v>
      </c>
      <c r="ER6">
        <v>14</v>
      </c>
      <c r="ES6">
        <v>14</v>
      </c>
      <c r="ET6">
        <v>-0.95555555555555605</v>
      </c>
      <c r="EU6">
        <v>14</v>
      </c>
      <c r="EV6">
        <v>-0.44444444444444525</v>
      </c>
      <c r="EW6">
        <v>-0.55555555555555547</v>
      </c>
      <c r="EX6">
        <v>22</v>
      </c>
      <c r="EY6">
        <v>21.5</v>
      </c>
      <c r="EZ6">
        <v>19</v>
      </c>
      <c r="FA6">
        <v>1.9999999999999998</v>
      </c>
      <c r="FB6">
        <v>24</v>
      </c>
      <c r="FC6">
        <v>0.55555555555555547</v>
      </c>
      <c r="FD6">
        <v>-0.22222222222222202</v>
      </c>
      <c r="FE6">
        <v>27</v>
      </c>
      <c r="FF6">
        <v>22.75</v>
      </c>
      <c r="FG6">
        <v>31</v>
      </c>
      <c r="FH6">
        <v>2.4838427582504263E-2</v>
      </c>
      <c r="FI6">
        <v>30</v>
      </c>
      <c r="FJ6">
        <v>2.3582286807539501E-2</v>
      </c>
      <c r="FK6">
        <v>2</v>
      </c>
      <c r="FL6">
        <v>-11.211111111111114</v>
      </c>
      <c r="FM6">
        <v>28</v>
      </c>
      <c r="FN6">
        <v>0.88888888888888895</v>
      </c>
      <c r="FO6">
        <v>5.4444444444444455</v>
      </c>
      <c r="FP6">
        <v>-1.5555555555555554</v>
      </c>
      <c r="FQ6">
        <v>0.77777777777777779</v>
      </c>
      <c r="FR6">
        <v>6.2222222222222214</v>
      </c>
      <c r="FS6">
        <v>1.1111111111111118</v>
      </c>
      <c r="FT6">
        <v>-1.5555555555555556</v>
      </c>
      <c r="FU6">
        <v>35.222222222222229</v>
      </c>
      <c r="FV6">
        <v>26.888888888888886</v>
      </c>
      <c r="FW6">
        <v>-0.7777777777777809</v>
      </c>
      <c r="FX6">
        <v>0</v>
      </c>
      <c r="FY6">
        <v>9.1111111111111107</v>
      </c>
      <c r="FZ6">
        <v>10</v>
      </c>
      <c r="GA6">
        <v>3.5866666666666682</v>
      </c>
      <c r="GB6">
        <v>2.4917777777777785</v>
      </c>
      <c r="GC6">
        <v>27.666666666666668</v>
      </c>
      <c r="GD6">
        <v>-3.5866666666666682</v>
      </c>
      <c r="GE6">
        <v>1.2386111111111113</v>
      </c>
      <c r="GF6">
        <v>7.8777777777777791</v>
      </c>
      <c r="GG6">
        <v>28.44444444444445</v>
      </c>
      <c r="GH6">
        <v>-1.3000000000000007</v>
      </c>
      <c r="GI6">
        <v>-0.44444444444444298</v>
      </c>
      <c r="GJ6">
        <v>3.4444444444444446</v>
      </c>
      <c r="GK6">
        <v>1.1111111111111109</v>
      </c>
    </row>
    <row r="7" spans="1:193" x14ac:dyDescent="0.2">
      <c r="A7" s="39">
        <v>43737</v>
      </c>
      <c r="B7" s="26" t="s">
        <v>417</v>
      </c>
      <c r="C7" s="41" t="s">
        <v>265</v>
      </c>
      <c r="D7" s="27" t="s">
        <v>312</v>
      </c>
      <c r="E7">
        <v>14.7</v>
      </c>
      <c r="F7">
        <v>9.6</v>
      </c>
      <c r="G7">
        <v>3.1</v>
      </c>
      <c r="H7" s="14">
        <f>3.6+3.3+1.7</f>
        <v>8.6</v>
      </c>
      <c r="I7">
        <v>1</v>
      </c>
      <c r="J7">
        <v>38</v>
      </c>
      <c r="K7" t="s">
        <v>110</v>
      </c>
      <c r="L7" s="1" t="s">
        <v>265</v>
      </c>
      <c r="M7">
        <v>26</v>
      </c>
      <c r="N7">
        <v>-3.66</v>
      </c>
      <c r="O7">
        <v>20</v>
      </c>
      <c r="P7">
        <v>21</v>
      </c>
      <c r="Q7">
        <v>23</v>
      </c>
      <c r="R7">
        <v>-7.2888888888888888</v>
      </c>
      <c r="S7">
        <v>19</v>
      </c>
      <c r="T7">
        <v>-20.111111111111111</v>
      </c>
      <c r="U7">
        <v>-7.4014868308343765E-17</v>
      </c>
      <c r="V7">
        <v>13</v>
      </c>
      <c r="W7">
        <v>13.5</v>
      </c>
      <c r="X7">
        <v>7</v>
      </c>
      <c r="Y7">
        <v>0.4555555555555551</v>
      </c>
      <c r="Z7">
        <v>20</v>
      </c>
      <c r="AA7">
        <v>-20.777777777777775</v>
      </c>
      <c r="AB7">
        <v>3</v>
      </c>
      <c r="AC7">
        <v>16</v>
      </c>
      <c r="AD7">
        <v>17</v>
      </c>
      <c r="AE7">
        <v>16</v>
      </c>
      <c r="AF7">
        <v>-0.38888888888888989</v>
      </c>
      <c r="AG7">
        <v>18</v>
      </c>
      <c r="AH7">
        <v>8.5555555555555571</v>
      </c>
      <c r="AI7">
        <v>2.6666666666666665</v>
      </c>
      <c r="AJ7">
        <v>11</v>
      </c>
      <c r="AK7">
        <v>11</v>
      </c>
      <c r="AL7">
        <v>13</v>
      </c>
      <c r="AM7">
        <v>-3.0888888888888899</v>
      </c>
      <c r="AN7">
        <v>9</v>
      </c>
      <c r="AO7">
        <v>-27.777777777777782</v>
      </c>
      <c r="AP7">
        <v>-2</v>
      </c>
      <c r="AQ7">
        <v>26</v>
      </c>
      <c r="AR7">
        <v>26</v>
      </c>
      <c r="AS7">
        <v>26</v>
      </c>
      <c r="AT7">
        <v>-1.6777777777777778</v>
      </c>
      <c r="AU7">
        <v>26</v>
      </c>
      <c r="AV7">
        <v>-8.2222222222222232</v>
      </c>
      <c r="AW7">
        <v>-1.0000000000000002</v>
      </c>
      <c r="AX7">
        <v>8</v>
      </c>
      <c r="AY7">
        <v>9</v>
      </c>
      <c r="AZ7">
        <v>9</v>
      </c>
      <c r="BA7">
        <v>-4.4777777777777787</v>
      </c>
      <c r="BB7">
        <v>9</v>
      </c>
      <c r="BC7">
        <v>-14.77777777777778</v>
      </c>
      <c r="BD7">
        <v>2.333333333333333</v>
      </c>
      <c r="BE7">
        <v>29</v>
      </c>
      <c r="BF7">
        <v>28.5</v>
      </c>
      <c r="BG7">
        <v>25</v>
      </c>
      <c r="BH7">
        <v>-2.5888888888888886</v>
      </c>
      <c r="BI7">
        <v>-13.666666666666666</v>
      </c>
      <c r="BJ7">
        <v>-1.1111111111111114</v>
      </c>
      <c r="BK7">
        <v>30</v>
      </c>
      <c r="BL7">
        <v>29.5</v>
      </c>
      <c r="BM7">
        <v>31</v>
      </c>
      <c r="BN7">
        <v>1.3333333333333333</v>
      </c>
      <c r="BO7">
        <v>28</v>
      </c>
      <c r="BP7">
        <v>0.33333333333333331</v>
      </c>
      <c r="BQ7">
        <v>5</v>
      </c>
      <c r="BR7">
        <v>18</v>
      </c>
      <c r="BS7">
        <v>15.5</v>
      </c>
      <c r="BT7">
        <v>20</v>
      </c>
      <c r="BU7">
        <v>-3.5161517787359708E-2</v>
      </c>
      <c r="BV7">
        <v>11</v>
      </c>
      <c r="BW7">
        <v>1.2802051563860939E-2</v>
      </c>
      <c r="BX7">
        <v>20</v>
      </c>
      <c r="BY7">
        <v>-19.499999999999996</v>
      </c>
      <c r="BZ7">
        <v>11</v>
      </c>
      <c r="CA7">
        <v>1.4444444444444444</v>
      </c>
      <c r="CB7">
        <v>-1.8888888888888904</v>
      </c>
      <c r="CC7">
        <v>-6.666666666666667</v>
      </c>
      <c r="CD7">
        <v>1.5555555555555554</v>
      </c>
      <c r="CE7">
        <v>-71.222222222222229</v>
      </c>
      <c r="CF7">
        <v>-40.111111111111107</v>
      </c>
      <c r="CG7">
        <v>-42</v>
      </c>
      <c r="CH7">
        <v>17</v>
      </c>
      <c r="CI7">
        <v>-6.1111111111111107</v>
      </c>
      <c r="CJ7">
        <v>12</v>
      </c>
      <c r="CK7">
        <v>3.1733333333333333</v>
      </c>
      <c r="CL7">
        <v>1.1357777777777778</v>
      </c>
      <c r="CM7">
        <v>1.8888888888888928</v>
      </c>
      <c r="CN7">
        <v>-3.1733333333333338</v>
      </c>
      <c r="CO7">
        <v>-2.1130555555555559</v>
      </c>
      <c r="CP7">
        <v>-5.1555555555555577</v>
      </c>
      <c r="CQ7">
        <v>-27.44444444444445</v>
      </c>
      <c r="CR7">
        <v>-6.8333333333333339</v>
      </c>
      <c r="CS7">
        <v>-40.888888888888886</v>
      </c>
      <c r="CT7">
        <v>-1.4444444444444451</v>
      </c>
      <c r="CU7">
        <v>3</v>
      </c>
      <c r="CV7">
        <v>-0.35375000000000001</v>
      </c>
      <c r="CW7">
        <v>-0.77333333333333287</v>
      </c>
      <c r="CX7" t="s">
        <v>312</v>
      </c>
      <c r="CY7">
        <v>7</v>
      </c>
      <c r="CZ7">
        <v>0.79333333333333178</v>
      </c>
      <c r="DA7">
        <v>22</v>
      </c>
      <c r="DB7">
        <v>21.5</v>
      </c>
      <c r="DC7">
        <v>22</v>
      </c>
      <c r="DD7">
        <v>-0.14444444444444451</v>
      </c>
      <c r="DE7">
        <v>21</v>
      </c>
      <c r="DF7">
        <v>0.66666666666666663</v>
      </c>
      <c r="DG7">
        <v>1.4444444444444446</v>
      </c>
      <c r="DH7">
        <v>8</v>
      </c>
      <c r="DI7">
        <v>11</v>
      </c>
      <c r="DJ7">
        <v>9</v>
      </c>
      <c r="DK7">
        <v>2.5777777777777779</v>
      </c>
      <c r="DL7">
        <v>13</v>
      </c>
      <c r="DM7">
        <v>5.666666666666667</v>
      </c>
      <c r="DN7">
        <v>0.55555555555555558</v>
      </c>
      <c r="DO7">
        <v>6</v>
      </c>
      <c r="DP7">
        <v>14.5</v>
      </c>
      <c r="DQ7">
        <v>15</v>
      </c>
      <c r="DR7">
        <v>-2.611111111111112</v>
      </c>
      <c r="DS7">
        <v>14</v>
      </c>
      <c r="DT7">
        <v>-16.111111111111111</v>
      </c>
      <c r="DU7">
        <v>0.11111111111111101</v>
      </c>
      <c r="DV7">
        <v>4</v>
      </c>
      <c r="DW7">
        <v>5</v>
      </c>
      <c r="DX7">
        <v>3</v>
      </c>
      <c r="DY7">
        <v>-1.9555555555555557</v>
      </c>
      <c r="DZ7">
        <v>7</v>
      </c>
      <c r="EA7">
        <v>-9.5555555555555554</v>
      </c>
      <c r="EB7">
        <v>-0.77777777777777768</v>
      </c>
      <c r="EC7">
        <v>3</v>
      </c>
      <c r="ED7">
        <v>1</v>
      </c>
      <c r="EE7">
        <v>1</v>
      </c>
      <c r="EF7">
        <v>5.3</v>
      </c>
      <c r="EG7">
        <v>1</v>
      </c>
      <c r="EH7">
        <v>15</v>
      </c>
      <c r="EI7">
        <v>0.88888888888888917</v>
      </c>
      <c r="EJ7">
        <v>13</v>
      </c>
      <c r="EK7">
        <v>12.5</v>
      </c>
      <c r="EL7">
        <v>13</v>
      </c>
      <c r="EM7">
        <v>4.6777777777777771</v>
      </c>
      <c r="EN7">
        <v>12</v>
      </c>
      <c r="EO7">
        <v>27.888888888888889</v>
      </c>
      <c r="EP7">
        <v>2.888888888888888</v>
      </c>
      <c r="EQ7">
        <v>18</v>
      </c>
      <c r="ER7">
        <v>16</v>
      </c>
      <c r="ES7">
        <v>20</v>
      </c>
      <c r="ET7">
        <v>-0.21111111111111125</v>
      </c>
      <c r="EU7">
        <v>12</v>
      </c>
      <c r="EV7">
        <v>3.0000000000000013</v>
      </c>
      <c r="EW7">
        <v>0.44444444444444436</v>
      </c>
      <c r="EX7">
        <v>11</v>
      </c>
      <c r="EY7">
        <v>12</v>
      </c>
      <c r="EZ7">
        <v>11</v>
      </c>
      <c r="FA7">
        <v>-3.2222222222222228</v>
      </c>
      <c r="FB7">
        <v>13</v>
      </c>
      <c r="FC7">
        <v>-0.77777777777777768</v>
      </c>
      <c r="FD7">
        <v>-2.5555555555555554</v>
      </c>
      <c r="FE7">
        <v>7</v>
      </c>
      <c r="FF7">
        <v>12.25</v>
      </c>
      <c r="FG7">
        <v>19</v>
      </c>
      <c r="FH7">
        <v>6.3690128019434092E-2</v>
      </c>
      <c r="FI7">
        <v>13</v>
      </c>
      <c r="FJ7">
        <v>2.684466941912882E-2</v>
      </c>
      <c r="FK7">
        <v>1</v>
      </c>
      <c r="FL7">
        <v>-8.9222222222222189</v>
      </c>
      <c r="FM7">
        <v>16</v>
      </c>
      <c r="FN7">
        <v>3.2222222222222219</v>
      </c>
      <c r="FO7">
        <v>3.111111111111112</v>
      </c>
      <c r="FP7">
        <v>1.3333333333333339</v>
      </c>
      <c r="FQ7">
        <v>-0.44444444444444448</v>
      </c>
      <c r="FR7">
        <v>5.5555555555555545</v>
      </c>
      <c r="FS7">
        <v>-2.7777777777777772</v>
      </c>
      <c r="FT7">
        <v>0</v>
      </c>
      <c r="FU7">
        <v>11.111111111111105</v>
      </c>
      <c r="FV7">
        <v>-0.99999999999999056</v>
      </c>
      <c r="FW7">
        <v>9.3333333333333339</v>
      </c>
      <c r="FX7">
        <v>1.1111111111111109</v>
      </c>
      <c r="FY7">
        <v>1.6666666666666667</v>
      </c>
      <c r="FZ7">
        <v>19</v>
      </c>
      <c r="GA7">
        <v>-1.6400000000000017</v>
      </c>
      <c r="GB7">
        <v>-0.95355555555555627</v>
      </c>
      <c r="GC7">
        <v>-10.333333333333325</v>
      </c>
      <c r="GD7">
        <v>1.6400000000000019</v>
      </c>
      <c r="GE7">
        <v>6.5833333333332911E-2</v>
      </c>
      <c r="GF7">
        <v>0.73333333333333162</v>
      </c>
      <c r="GG7">
        <v>-10.666666666666664</v>
      </c>
      <c r="GH7">
        <v>2.4333333333333336</v>
      </c>
      <c r="GI7">
        <v>6.3333333333333339</v>
      </c>
      <c r="GJ7">
        <v>0.66666666666666696</v>
      </c>
      <c r="GK7">
        <v>2</v>
      </c>
    </row>
    <row r="8" spans="1:193" x14ac:dyDescent="0.2">
      <c r="A8" s="39">
        <v>43737</v>
      </c>
      <c r="B8" s="26" t="s">
        <v>417</v>
      </c>
      <c r="C8" s="17" t="s">
        <v>272</v>
      </c>
      <c r="D8" s="27" t="s">
        <v>309</v>
      </c>
      <c r="E8">
        <v>6.3</v>
      </c>
      <c r="F8">
        <v>6.6</v>
      </c>
      <c r="G8">
        <v>4</v>
      </c>
      <c r="H8" s="14">
        <v>4.7</v>
      </c>
      <c r="I8">
        <v>3.5</v>
      </c>
      <c r="J8">
        <v>45.5</v>
      </c>
      <c r="L8" s="1" t="s">
        <v>272</v>
      </c>
      <c r="M8">
        <v>24</v>
      </c>
      <c r="N8">
        <v>5.3466666666666667</v>
      </c>
      <c r="O8">
        <v>29</v>
      </c>
      <c r="P8">
        <v>28</v>
      </c>
      <c r="Q8">
        <v>26</v>
      </c>
      <c r="R8">
        <v>-7.166666666666667</v>
      </c>
      <c r="S8">
        <v>30</v>
      </c>
      <c r="T8">
        <v>-23.444444444444446</v>
      </c>
      <c r="U8">
        <v>-1.7777777777777779</v>
      </c>
      <c r="V8">
        <v>24</v>
      </c>
      <c r="W8">
        <v>24</v>
      </c>
      <c r="X8">
        <v>24</v>
      </c>
      <c r="Y8">
        <v>1.7555555555555558</v>
      </c>
      <c r="Z8">
        <v>24</v>
      </c>
      <c r="AA8">
        <v>0.44444444444444464</v>
      </c>
      <c r="AB8">
        <v>1.1111111111111109</v>
      </c>
      <c r="AC8">
        <v>22</v>
      </c>
      <c r="AD8">
        <v>20</v>
      </c>
      <c r="AE8">
        <v>17</v>
      </c>
      <c r="AF8">
        <v>1.8111111111111136</v>
      </c>
      <c r="AG8">
        <v>23</v>
      </c>
      <c r="AH8">
        <v>11.222222222222223</v>
      </c>
      <c r="AI8">
        <v>1.1111111111111116</v>
      </c>
      <c r="AJ8">
        <v>20</v>
      </c>
      <c r="AK8">
        <v>19</v>
      </c>
      <c r="AL8">
        <v>23</v>
      </c>
      <c r="AM8">
        <v>9.1333333333333346</v>
      </c>
      <c r="AN8">
        <v>15</v>
      </c>
      <c r="AO8">
        <v>43.111111111111114</v>
      </c>
      <c r="AP8">
        <v>2.2222222222222219</v>
      </c>
      <c r="AQ8">
        <v>2</v>
      </c>
      <c r="AR8">
        <v>2</v>
      </c>
      <c r="AS8">
        <v>2</v>
      </c>
      <c r="AT8">
        <v>2.1777777777777776</v>
      </c>
      <c r="AU8">
        <v>2</v>
      </c>
      <c r="AV8">
        <v>22.444444444444446</v>
      </c>
      <c r="AW8">
        <v>1.7777777777777777</v>
      </c>
      <c r="AX8">
        <v>14</v>
      </c>
      <c r="AY8">
        <v>14.5</v>
      </c>
      <c r="AZ8">
        <v>16</v>
      </c>
      <c r="BA8">
        <v>4.3777777777777791</v>
      </c>
      <c r="BB8">
        <v>13</v>
      </c>
      <c r="BC8">
        <v>21.555555555555554</v>
      </c>
      <c r="BD8">
        <v>1.4444444444444444</v>
      </c>
      <c r="BE8">
        <v>17</v>
      </c>
      <c r="BF8">
        <v>17.5</v>
      </c>
      <c r="BG8">
        <v>19</v>
      </c>
      <c r="BH8">
        <v>2.1111111111111112</v>
      </c>
      <c r="BI8">
        <v>13.555555555555555</v>
      </c>
      <c r="BJ8">
        <v>0.44444444444444436</v>
      </c>
      <c r="BK8">
        <v>12</v>
      </c>
      <c r="BL8">
        <v>11.5</v>
      </c>
      <c r="BM8">
        <v>12</v>
      </c>
      <c r="BN8">
        <v>1.1111111111111112</v>
      </c>
      <c r="BO8">
        <v>11</v>
      </c>
      <c r="BP8">
        <v>0.55555555555555547</v>
      </c>
      <c r="BQ8">
        <v>-5.1111111111111116</v>
      </c>
      <c r="BR8">
        <v>10</v>
      </c>
      <c r="BS8">
        <v>12.75</v>
      </c>
      <c r="BT8">
        <v>13</v>
      </c>
      <c r="BU8">
        <v>-3.4031099041706794E-3</v>
      </c>
      <c r="BV8">
        <v>15</v>
      </c>
      <c r="BW8">
        <v>1.6852793720378963E-2</v>
      </c>
      <c r="BX8">
        <v>11</v>
      </c>
      <c r="BY8">
        <v>18.400000000000002</v>
      </c>
      <c r="BZ8">
        <v>12</v>
      </c>
      <c r="CA8">
        <v>0.55555555555555569</v>
      </c>
      <c r="CB8">
        <v>4.1111111111111116</v>
      </c>
      <c r="CC8">
        <v>1.3333333333333333</v>
      </c>
      <c r="CD8">
        <v>-3.3333333333333335</v>
      </c>
      <c r="CE8">
        <v>53.888888888888893</v>
      </c>
      <c r="CF8">
        <v>88.777777777777771</v>
      </c>
      <c r="CG8">
        <v>-25.888888888888886</v>
      </c>
      <c r="CH8">
        <v>-3.6666666666666665</v>
      </c>
      <c r="CI8">
        <v>-5.333333333333333</v>
      </c>
      <c r="CJ8">
        <v>2</v>
      </c>
      <c r="CK8">
        <v>10.757777777777777</v>
      </c>
      <c r="CL8">
        <v>6.8215555555555563</v>
      </c>
      <c r="CM8">
        <v>114.66666666666666</v>
      </c>
      <c r="CN8">
        <v>-10.757777777777779</v>
      </c>
      <c r="CO8">
        <v>2.0350000000000006</v>
      </c>
      <c r="CP8">
        <v>13.122222222222225</v>
      </c>
      <c r="CQ8">
        <v>76.777777777777786</v>
      </c>
      <c r="CR8">
        <v>-5.4111111111111114</v>
      </c>
      <c r="CS8">
        <v>-23</v>
      </c>
      <c r="CT8">
        <v>5.5555555555555554</v>
      </c>
      <c r="CU8">
        <v>-0.66666666666666696</v>
      </c>
      <c r="CV8">
        <v>0.19138888888888889</v>
      </c>
      <c r="CW8">
        <v>0.13861111111111113</v>
      </c>
      <c r="CX8" t="s">
        <v>309</v>
      </c>
      <c r="CY8">
        <v>31</v>
      </c>
      <c r="CZ8">
        <v>-0.55333333333333401</v>
      </c>
      <c r="DA8">
        <v>22</v>
      </c>
      <c r="DB8">
        <v>21.5</v>
      </c>
      <c r="DC8">
        <v>32</v>
      </c>
      <c r="DD8">
        <v>-3.7222222222222219</v>
      </c>
      <c r="DE8">
        <v>11</v>
      </c>
      <c r="DF8">
        <v>-10.222222222222221</v>
      </c>
      <c r="DG8">
        <v>-0.1111111111111111</v>
      </c>
      <c r="DH8">
        <v>16</v>
      </c>
      <c r="DI8">
        <v>16.5</v>
      </c>
      <c r="DJ8">
        <v>12</v>
      </c>
      <c r="DK8">
        <v>-0.4222222222222225</v>
      </c>
      <c r="DL8">
        <v>21</v>
      </c>
      <c r="DM8">
        <v>14.555555555555557</v>
      </c>
      <c r="DN8">
        <v>-0.33333333333333331</v>
      </c>
      <c r="DO8">
        <v>26</v>
      </c>
      <c r="DP8">
        <v>29.5</v>
      </c>
      <c r="DQ8">
        <v>28</v>
      </c>
      <c r="DR8">
        <v>-2.7599999999999993</v>
      </c>
      <c r="DS8">
        <v>31</v>
      </c>
      <c r="DT8">
        <v>-0.88888888888888806</v>
      </c>
      <c r="DU8">
        <v>1.1111111111111109</v>
      </c>
      <c r="DV8">
        <v>29</v>
      </c>
      <c r="DW8">
        <v>29.5</v>
      </c>
      <c r="DX8">
        <v>31</v>
      </c>
      <c r="DY8">
        <v>2.5777777777777775</v>
      </c>
      <c r="DZ8">
        <v>28</v>
      </c>
      <c r="EA8">
        <v>-7.3333333333333313</v>
      </c>
      <c r="EB8">
        <v>-0.11111111111111087</v>
      </c>
      <c r="EC8">
        <v>5</v>
      </c>
      <c r="ED8">
        <v>25</v>
      </c>
      <c r="EE8">
        <v>27</v>
      </c>
      <c r="EF8">
        <v>4.333333333333333</v>
      </c>
      <c r="EG8">
        <v>23</v>
      </c>
      <c r="EH8">
        <v>26</v>
      </c>
      <c r="EI8">
        <v>-0.66666666666666652</v>
      </c>
      <c r="EJ8">
        <v>27</v>
      </c>
      <c r="EK8">
        <v>27</v>
      </c>
      <c r="EL8">
        <v>30</v>
      </c>
      <c r="EM8">
        <v>6.0444444444444452</v>
      </c>
      <c r="EN8">
        <v>24</v>
      </c>
      <c r="EO8">
        <v>34.888888888888886</v>
      </c>
      <c r="EP8">
        <v>2</v>
      </c>
      <c r="EQ8">
        <v>24</v>
      </c>
      <c r="ER8">
        <v>24</v>
      </c>
      <c r="ES8">
        <v>24</v>
      </c>
      <c r="ET8">
        <v>1.3888888888888893</v>
      </c>
      <c r="EU8">
        <v>24</v>
      </c>
      <c r="EV8">
        <v>-3.8888888888888893</v>
      </c>
      <c r="EW8">
        <v>0.33333333333333343</v>
      </c>
      <c r="EX8">
        <v>30</v>
      </c>
      <c r="EY8">
        <v>27.5</v>
      </c>
      <c r="EZ8">
        <v>31</v>
      </c>
      <c r="FA8">
        <v>1.1111111111111114</v>
      </c>
      <c r="FB8">
        <v>24</v>
      </c>
      <c r="FC8">
        <v>-0.11111111111111109</v>
      </c>
      <c r="FD8">
        <v>-6.2222222222222214</v>
      </c>
      <c r="FE8">
        <v>1</v>
      </c>
      <c r="FF8">
        <v>5.25</v>
      </c>
      <c r="FG8">
        <v>2</v>
      </c>
      <c r="FH8">
        <v>4.4741636543804586E-2</v>
      </c>
      <c r="FI8">
        <v>1</v>
      </c>
      <c r="FJ8">
        <v>4.5260496480008724E-3</v>
      </c>
      <c r="FK8">
        <v>16</v>
      </c>
      <c r="FL8">
        <v>3.2333333333333392</v>
      </c>
      <c r="FM8">
        <v>2</v>
      </c>
      <c r="FN8">
        <v>-1.4444444444444444</v>
      </c>
      <c r="FO8">
        <v>1.2222222222222214</v>
      </c>
      <c r="FP8">
        <v>2.1111111111111107</v>
      </c>
      <c r="FQ8">
        <v>0.33333333333333326</v>
      </c>
      <c r="FR8">
        <v>3.6666666666666665</v>
      </c>
      <c r="FS8">
        <v>0.55555555555555591</v>
      </c>
      <c r="FT8">
        <v>-3.1111111111111112</v>
      </c>
      <c r="FU8">
        <v>30.666666666666668</v>
      </c>
      <c r="FV8">
        <v>20.777777777777782</v>
      </c>
      <c r="FW8">
        <v>14.333333333333334</v>
      </c>
      <c r="FX8">
        <v>-2.7777777777777781</v>
      </c>
      <c r="FY8">
        <v>-1.6666666666666667</v>
      </c>
      <c r="FZ8">
        <v>9</v>
      </c>
      <c r="GA8">
        <v>3.5911111111111103</v>
      </c>
      <c r="GB8">
        <v>3.0695555555555551</v>
      </c>
      <c r="GC8">
        <v>6.4444444444444482</v>
      </c>
      <c r="GD8">
        <v>-3.5911111111111098</v>
      </c>
      <c r="GE8">
        <v>0.24416666666666662</v>
      </c>
      <c r="GF8">
        <v>4.1511111111111116</v>
      </c>
      <c r="GG8">
        <v>17.777777777777779</v>
      </c>
      <c r="GH8">
        <v>-4.1444444444444439</v>
      </c>
      <c r="GI8">
        <v>4.3333333333333357</v>
      </c>
      <c r="GJ8">
        <v>0.66666666666666696</v>
      </c>
      <c r="GK8">
        <v>-0.44444444444444442</v>
      </c>
    </row>
    <row r="9" spans="1:193" x14ac:dyDescent="0.2">
      <c r="A9" s="39">
        <v>43737</v>
      </c>
      <c r="B9" s="26" t="s">
        <v>417</v>
      </c>
      <c r="C9" s="41" t="s">
        <v>281</v>
      </c>
      <c r="D9" s="27" t="s">
        <v>305</v>
      </c>
      <c r="E9">
        <v>4</v>
      </c>
      <c r="F9">
        <v>27.7</v>
      </c>
      <c r="G9">
        <v>2</v>
      </c>
      <c r="H9" s="14">
        <v>20</v>
      </c>
      <c r="I9">
        <v>7.5</v>
      </c>
      <c r="J9">
        <v>47</v>
      </c>
      <c r="K9" t="s">
        <v>110</v>
      </c>
      <c r="L9" s="1" t="s">
        <v>281</v>
      </c>
      <c r="M9">
        <v>10</v>
      </c>
      <c r="N9">
        <v>-1.4822222222222219</v>
      </c>
      <c r="O9">
        <v>5</v>
      </c>
      <c r="P9">
        <v>7</v>
      </c>
      <c r="Q9">
        <v>8</v>
      </c>
      <c r="R9">
        <v>-0.16666666666666549</v>
      </c>
      <c r="S9">
        <v>6</v>
      </c>
      <c r="T9">
        <v>10.555555555555555</v>
      </c>
      <c r="U9">
        <v>-0.22222222222222218</v>
      </c>
      <c r="V9">
        <v>4</v>
      </c>
      <c r="W9">
        <v>6</v>
      </c>
      <c r="X9">
        <v>6</v>
      </c>
      <c r="Y9">
        <v>5.5555555555555358E-2</v>
      </c>
      <c r="Z9">
        <v>6</v>
      </c>
      <c r="AA9">
        <v>-6.666666666666667</v>
      </c>
      <c r="AB9">
        <v>0.22222222222222232</v>
      </c>
      <c r="AC9">
        <v>25</v>
      </c>
      <c r="AD9">
        <v>24.5</v>
      </c>
      <c r="AE9">
        <v>25</v>
      </c>
      <c r="AF9">
        <v>1.0333333333333339</v>
      </c>
      <c r="AG9">
        <v>24</v>
      </c>
      <c r="AH9">
        <v>14.888888888888888</v>
      </c>
      <c r="AI9">
        <v>0.22222222222222263</v>
      </c>
      <c r="AJ9">
        <v>1</v>
      </c>
      <c r="AK9">
        <v>2.5</v>
      </c>
      <c r="AL9">
        <v>1</v>
      </c>
      <c r="AM9">
        <v>-1.0111111111111117</v>
      </c>
      <c r="AN9">
        <v>4</v>
      </c>
      <c r="AO9">
        <v>3.3333333333333357</v>
      </c>
      <c r="AP9">
        <v>1.4444444444444446</v>
      </c>
      <c r="AQ9">
        <v>18</v>
      </c>
      <c r="AR9">
        <v>17.5</v>
      </c>
      <c r="AS9">
        <v>19</v>
      </c>
      <c r="AT9">
        <v>0.36666666666666609</v>
      </c>
      <c r="AU9">
        <v>16</v>
      </c>
      <c r="AV9">
        <v>14</v>
      </c>
      <c r="AW9">
        <v>-2</v>
      </c>
      <c r="AX9">
        <v>15</v>
      </c>
      <c r="AY9">
        <v>15.5</v>
      </c>
      <c r="AZ9">
        <v>15</v>
      </c>
      <c r="BA9">
        <v>0.77777777777777735</v>
      </c>
      <c r="BB9">
        <v>16</v>
      </c>
      <c r="BC9">
        <v>5.5555555555555545</v>
      </c>
      <c r="BD9">
        <v>-1.555555555555556</v>
      </c>
      <c r="BE9">
        <v>23</v>
      </c>
      <c r="BF9">
        <v>23</v>
      </c>
      <c r="BG9">
        <v>21</v>
      </c>
      <c r="BH9">
        <v>-0.17777777777777848</v>
      </c>
      <c r="BI9">
        <v>-10.66666666666667</v>
      </c>
      <c r="BJ9">
        <v>-1.2222222222222223</v>
      </c>
      <c r="BK9">
        <v>4</v>
      </c>
      <c r="BL9">
        <v>7</v>
      </c>
      <c r="BM9">
        <v>7</v>
      </c>
      <c r="BN9">
        <v>-0.55555555555555591</v>
      </c>
      <c r="BO9">
        <v>7</v>
      </c>
      <c r="BP9">
        <v>3.7007434154171883E-17</v>
      </c>
      <c r="BQ9">
        <v>-0.66666666666666696</v>
      </c>
      <c r="BR9">
        <v>30</v>
      </c>
      <c r="BS9">
        <v>29</v>
      </c>
      <c r="BT9">
        <v>31</v>
      </c>
      <c r="BU9">
        <v>7.7855185749922604E-2</v>
      </c>
      <c r="BV9">
        <v>30</v>
      </c>
      <c r="BW9">
        <v>4.0026932132195291E-2</v>
      </c>
      <c r="BX9">
        <v>24</v>
      </c>
      <c r="BY9">
        <v>-11.766666666666667</v>
      </c>
      <c r="BZ9">
        <v>31</v>
      </c>
      <c r="CA9">
        <v>1.555555555555556</v>
      </c>
      <c r="CB9">
        <v>-0.22222222222222379</v>
      </c>
      <c r="CC9">
        <v>-2.6666666666666656</v>
      </c>
      <c r="CD9">
        <v>0</v>
      </c>
      <c r="CE9">
        <v>16.111111111111104</v>
      </c>
      <c r="CF9">
        <v>27.111111111111104</v>
      </c>
      <c r="CG9">
        <v>-2</v>
      </c>
      <c r="CH9">
        <v>0.44444444444444436</v>
      </c>
      <c r="CI9">
        <v>-9.4444444444444446</v>
      </c>
      <c r="CJ9">
        <v>20</v>
      </c>
      <c r="CK9">
        <v>-1.3711111111111118</v>
      </c>
      <c r="CL9">
        <v>-0.19866666666666738</v>
      </c>
      <c r="CM9">
        <v>29.111111111111104</v>
      </c>
      <c r="CN9">
        <v>1.3711111111111118</v>
      </c>
      <c r="CO9">
        <v>-0.24222222222222228</v>
      </c>
      <c r="CP9">
        <v>0.38888888888888823</v>
      </c>
      <c r="CQ9">
        <v>32.222222222222221</v>
      </c>
      <c r="CR9">
        <v>-0.11111111111111013</v>
      </c>
      <c r="CS9">
        <v>3.8888888888888884</v>
      </c>
      <c r="CT9">
        <v>-1.5555555555555551</v>
      </c>
      <c r="CU9">
        <v>0</v>
      </c>
      <c r="CV9">
        <v>0.66152777777777805</v>
      </c>
      <c r="CW9">
        <v>1.625</v>
      </c>
      <c r="CX9" t="s">
        <v>305</v>
      </c>
      <c r="CY9">
        <v>32</v>
      </c>
      <c r="CZ9">
        <v>-0.3377777777777749</v>
      </c>
      <c r="DA9">
        <v>4</v>
      </c>
      <c r="DB9">
        <v>5.5</v>
      </c>
      <c r="DC9">
        <v>6</v>
      </c>
      <c r="DD9">
        <v>-2.0111111111111097</v>
      </c>
      <c r="DE9">
        <v>5</v>
      </c>
      <c r="DF9">
        <v>-5.5555555555555562</v>
      </c>
      <c r="DG9">
        <v>-2.7777777777777781</v>
      </c>
      <c r="DH9">
        <v>27</v>
      </c>
      <c r="DI9">
        <v>24.5</v>
      </c>
      <c r="DJ9">
        <v>29</v>
      </c>
      <c r="DK9">
        <v>1.5333333333333334</v>
      </c>
      <c r="DL9">
        <v>20</v>
      </c>
      <c r="DM9">
        <v>-2.3333333333333335</v>
      </c>
      <c r="DN9">
        <v>0.22222222222222232</v>
      </c>
      <c r="DO9">
        <v>20</v>
      </c>
      <c r="DP9">
        <v>25</v>
      </c>
      <c r="DQ9">
        <v>27</v>
      </c>
      <c r="DR9">
        <v>-4.7</v>
      </c>
      <c r="DS9">
        <v>23</v>
      </c>
      <c r="DT9">
        <v>-15.888888888888888</v>
      </c>
      <c r="DU9">
        <v>-1.5555555555555556</v>
      </c>
      <c r="DV9">
        <v>16</v>
      </c>
      <c r="DW9">
        <v>16</v>
      </c>
      <c r="DX9">
        <v>12</v>
      </c>
      <c r="DY9">
        <v>1.2444444444444442</v>
      </c>
      <c r="DZ9">
        <v>20</v>
      </c>
      <c r="EA9">
        <v>14.333333333333336</v>
      </c>
      <c r="EB9">
        <v>-0.77777777777777768</v>
      </c>
      <c r="EC9">
        <v>22</v>
      </c>
      <c r="ED9">
        <v>29</v>
      </c>
      <c r="EE9">
        <v>31</v>
      </c>
      <c r="EF9">
        <v>2.5666666666666664</v>
      </c>
      <c r="EG9">
        <v>27</v>
      </c>
      <c r="EH9">
        <v>15.333333333333334</v>
      </c>
      <c r="EI9">
        <v>-0.44444444444444436</v>
      </c>
      <c r="EJ9">
        <v>26</v>
      </c>
      <c r="EK9">
        <v>26.5</v>
      </c>
      <c r="EL9">
        <v>23</v>
      </c>
      <c r="EM9">
        <v>1.5333333333333314</v>
      </c>
      <c r="EN9">
        <v>30</v>
      </c>
      <c r="EO9">
        <v>29.777777777777771</v>
      </c>
      <c r="EP9">
        <v>-2.2222222222222228</v>
      </c>
      <c r="EQ9">
        <v>31</v>
      </c>
      <c r="ER9">
        <v>30.5</v>
      </c>
      <c r="ES9">
        <v>30</v>
      </c>
      <c r="ET9">
        <v>-0.71111111111111092</v>
      </c>
      <c r="EU9">
        <v>31</v>
      </c>
      <c r="EV9">
        <v>-0.44444444444444403</v>
      </c>
      <c r="EW9">
        <v>0.66666666666666663</v>
      </c>
      <c r="EX9">
        <v>23</v>
      </c>
      <c r="EY9">
        <v>22.5</v>
      </c>
      <c r="EZ9">
        <v>27</v>
      </c>
      <c r="FA9">
        <v>0</v>
      </c>
      <c r="FB9">
        <v>18</v>
      </c>
      <c r="FC9">
        <v>-0.11111111111111109</v>
      </c>
      <c r="FD9">
        <v>-2.8888888888888888</v>
      </c>
      <c r="FE9">
        <v>5</v>
      </c>
      <c r="FF9">
        <v>9.75</v>
      </c>
      <c r="FG9">
        <v>15</v>
      </c>
      <c r="FH9">
        <v>4.9308211162426514E-2</v>
      </c>
      <c r="FI9">
        <v>8</v>
      </c>
      <c r="FJ9">
        <v>-1.5181852963881526E-2</v>
      </c>
      <c r="FK9">
        <v>15</v>
      </c>
      <c r="FL9">
        <v>6.6555555555555559</v>
      </c>
      <c r="FM9">
        <v>1</v>
      </c>
      <c r="FN9">
        <v>-3.7777777777777781</v>
      </c>
      <c r="FO9">
        <v>-4</v>
      </c>
      <c r="FP9">
        <v>-3.5555555555555558</v>
      </c>
      <c r="FQ9">
        <v>-0.2222222222222224</v>
      </c>
      <c r="FR9">
        <v>-9.1111111111111125</v>
      </c>
      <c r="FS9">
        <v>-0.11111111111110983</v>
      </c>
      <c r="FT9">
        <v>0</v>
      </c>
      <c r="FU9">
        <v>-2.3333333333333237</v>
      </c>
      <c r="FV9">
        <v>12.111111111111114</v>
      </c>
      <c r="FW9">
        <v>-7.666666666666667</v>
      </c>
      <c r="FX9">
        <v>-0.11111111111111109</v>
      </c>
      <c r="FY9">
        <v>-6.666666666666667</v>
      </c>
      <c r="FZ9">
        <v>14</v>
      </c>
      <c r="GA9">
        <v>0.14000000000000146</v>
      </c>
      <c r="GB9">
        <v>-0.14866666666666678</v>
      </c>
      <c r="GC9">
        <v>19.777777777777782</v>
      </c>
      <c r="GD9">
        <v>-0.1400000000000014</v>
      </c>
      <c r="GE9">
        <v>-0.30194444444444396</v>
      </c>
      <c r="GF9">
        <v>-0.88888888888888928</v>
      </c>
      <c r="GG9">
        <v>13.777777777777782</v>
      </c>
      <c r="GH9">
        <v>-0.4777777777777763</v>
      </c>
      <c r="GI9">
        <v>-7.8888888888888893</v>
      </c>
      <c r="GJ9">
        <v>-2.1111111111111107</v>
      </c>
      <c r="GK9">
        <v>-2.5555555555555558</v>
      </c>
    </row>
    <row r="10" spans="1:193" x14ac:dyDescent="0.2">
      <c r="A10" s="39">
        <v>43737</v>
      </c>
      <c r="B10" s="26" t="s">
        <v>417</v>
      </c>
      <c r="C10" s="41" t="s">
        <v>291</v>
      </c>
      <c r="D10" s="27" t="s">
        <v>307</v>
      </c>
      <c r="E10">
        <v>9.8000000000000007</v>
      </c>
      <c r="F10">
        <v>0</v>
      </c>
      <c r="G10" s="14">
        <v>4.3</v>
      </c>
      <c r="H10" s="14">
        <v>15.9</v>
      </c>
      <c r="I10">
        <v>-2.5</v>
      </c>
      <c r="J10">
        <v>47</v>
      </c>
      <c r="L10" s="1" t="s">
        <v>291</v>
      </c>
      <c r="M10">
        <v>3</v>
      </c>
      <c r="N10">
        <v>0.96666666666666379</v>
      </c>
      <c r="O10">
        <v>5</v>
      </c>
      <c r="P10">
        <v>7</v>
      </c>
      <c r="Q10">
        <v>6</v>
      </c>
      <c r="R10">
        <v>3.5111111111111124</v>
      </c>
      <c r="S10">
        <v>8</v>
      </c>
      <c r="T10">
        <v>17.444444444444439</v>
      </c>
      <c r="U10">
        <v>0.88888888888888884</v>
      </c>
      <c r="V10">
        <v>27</v>
      </c>
      <c r="W10">
        <v>27.5</v>
      </c>
      <c r="X10">
        <v>28</v>
      </c>
      <c r="Y10">
        <v>0.48888888888888865</v>
      </c>
      <c r="Z10">
        <v>27</v>
      </c>
      <c r="AA10">
        <v>7.8888888888888884</v>
      </c>
      <c r="AB10">
        <v>-0.77777777777777768</v>
      </c>
      <c r="AC10">
        <v>10</v>
      </c>
      <c r="AD10">
        <v>12</v>
      </c>
      <c r="AE10">
        <v>12</v>
      </c>
      <c r="AF10">
        <v>-1.3888888888888899</v>
      </c>
      <c r="AG10">
        <v>12</v>
      </c>
      <c r="AH10">
        <v>-10.888888888888891</v>
      </c>
      <c r="AI10">
        <v>-0.77777777777777768</v>
      </c>
      <c r="AJ10">
        <v>10</v>
      </c>
      <c r="AK10">
        <v>9</v>
      </c>
      <c r="AL10">
        <v>11</v>
      </c>
      <c r="AM10">
        <v>1.177777777777776</v>
      </c>
      <c r="AN10">
        <v>7</v>
      </c>
      <c r="AO10">
        <v>26</v>
      </c>
      <c r="AP10">
        <v>1.5555555555555554</v>
      </c>
      <c r="AQ10">
        <v>1</v>
      </c>
      <c r="AR10">
        <v>1</v>
      </c>
      <c r="AS10">
        <v>1</v>
      </c>
      <c r="AT10">
        <v>3.6222222222222213</v>
      </c>
      <c r="AU10">
        <v>1</v>
      </c>
      <c r="AV10">
        <v>14.555555555555555</v>
      </c>
      <c r="AW10">
        <v>1.3333333333333333</v>
      </c>
      <c r="AX10">
        <v>2</v>
      </c>
      <c r="AY10">
        <v>3.5</v>
      </c>
      <c r="AZ10">
        <v>3</v>
      </c>
      <c r="BA10">
        <v>-4.211111111111113</v>
      </c>
      <c r="BB10">
        <v>4</v>
      </c>
      <c r="BC10">
        <v>-9.8888888888888911</v>
      </c>
      <c r="BD10">
        <v>0</v>
      </c>
      <c r="BE10">
        <v>8</v>
      </c>
      <c r="BF10">
        <v>7</v>
      </c>
      <c r="BG10">
        <v>7</v>
      </c>
      <c r="BH10">
        <v>1.4666666666666661</v>
      </c>
      <c r="BI10">
        <v>-9.7777777777777768</v>
      </c>
      <c r="BJ10">
        <v>-0.55555555555555569</v>
      </c>
      <c r="BK10">
        <v>11</v>
      </c>
      <c r="BL10">
        <v>9.5</v>
      </c>
      <c r="BM10">
        <v>14</v>
      </c>
      <c r="BN10">
        <v>-1.4444444444444449</v>
      </c>
      <c r="BO10">
        <v>5</v>
      </c>
      <c r="BP10">
        <v>-0.55555555555555558</v>
      </c>
      <c r="BQ10">
        <v>-5.3333333333333348</v>
      </c>
      <c r="BR10">
        <v>26</v>
      </c>
      <c r="BS10">
        <v>22.25</v>
      </c>
      <c r="BT10">
        <v>18</v>
      </c>
      <c r="BU10">
        <v>-7.1518775401973614E-2</v>
      </c>
      <c r="BV10">
        <v>32</v>
      </c>
      <c r="BW10">
        <v>-3.021483217005555E-2</v>
      </c>
      <c r="BX10">
        <v>16</v>
      </c>
      <c r="BY10">
        <v>-7.6999999999999984</v>
      </c>
      <c r="BZ10">
        <v>23</v>
      </c>
      <c r="CA10">
        <v>-1.6666666666666667</v>
      </c>
      <c r="CB10">
        <v>-2.1111111111111094</v>
      </c>
      <c r="CC10">
        <v>-0.99999999999999878</v>
      </c>
      <c r="CD10">
        <v>-2.3333333333333335</v>
      </c>
      <c r="CE10">
        <v>34.444444444444436</v>
      </c>
      <c r="CF10">
        <v>8.3333333333333339</v>
      </c>
      <c r="CG10">
        <v>14.444444444444448</v>
      </c>
      <c r="CH10">
        <v>-2.6666666666666665</v>
      </c>
      <c r="CI10">
        <v>14.333333333333336</v>
      </c>
      <c r="CJ10">
        <v>25</v>
      </c>
      <c r="CK10">
        <v>-3.0333333333333372</v>
      </c>
      <c r="CL10">
        <v>-0.83111111111111313</v>
      </c>
      <c r="CM10">
        <v>-6.1111111111111143</v>
      </c>
      <c r="CN10">
        <v>3.0333333333333372</v>
      </c>
      <c r="CO10">
        <v>1.0499999999999994</v>
      </c>
      <c r="CP10">
        <v>3.4111111111111074</v>
      </c>
      <c r="CQ10">
        <v>29.666666666666664</v>
      </c>
      <c r="CR10">
        <v>4.0000000000000009</v>
      </c>
      <c r="CS10">
        <v>25.333333333333329</v>
      </c>
      <c r="CT10">
        <v>1.5555555555555549</v>
      </c>
      <c r="CU10">
        <v>0.11111111111111116</v>
      </c>
      <c r="CV10">
        <v>0.80895833333333367</v>
      </c>
      <c r="CW10">
        <v>-6.4305555555555644E-2</v>
      </c>
      <c r="CX10" t="s">
        <v>307</v>
      </c>
      <c r="CY10">
        <v>18</v>
      </c>
      <c r="CZ10">
        <v>8.58</v>
      </c>
      <c r="DA10">
        <v>29</v>
      </c>
      <c r="DB10">
        <v>27.5</v>
      </c>
      <c r="DC10">
        <v>26</v>
      </c>
      <c r="DD10">
        <v>-0.83333333333333337</v>
      </c>
      <c r="DE10">
        <v>29</v>
      </c>
      <c r="DF10">
        <v>4.7777777777777759</v>
      </c>
      <c r="DG10">
        <v>7.4014868308343765E-17</v>
      </c>
      <c r="DH10">
        <v>7</v>
      </c>
      <c r="DI10">
        <v>10</v>
      </c>
      <c r="DJ10">
        <v>8</v>
      </c>
      <c r="DK10">
        <v>1.6888888888888884</v>
      </c>
      <c r="DL10">
        <v>12</v>
      </c>
      <c r="DM10">
        <v>2.7777777777777772</v>
      </c>
      <c r="DN10">
        <v>1.7777777777777779</v>
      </c>
      <c r="DO10">
        <v>15</v>
      </c>
      <c r="DP10">
        <v>19</v>
      </c>
      <c r="DQ10">
        <v>18</v>
      </c>
      <c r="DR10">
        <v>9.0444444444444461</v>
      </c>
      <c r="DS10">
        <v>20</v>
      </c>
      <c r="DT10">
        <v>43.555555555555564</v>
      </c>
      <c r="DU10">
        <v>2.3333333333333326</v>
      </c>
      <c r="DV10">
        <v>29</v>
      </c>
      <c r="DW10">
        <v>29.5</v>
      </c>
      <c r="DX10">
        <v>27</v>
      </c>
      <c r="DY10">
        <v>-2.6555555555555554</v>
      </c>
      <c r="DZ10">
        <v>32</v>
      </c>
      <c r="EA10">
        <v>-1.4444444444444429</v>
      </c>
      <c r="EB10">
        <v>-2.8888888888888893</v>
      </c>
      <c r="EC10">
        <v>27</v>
      </c>
      <c r="ED10">
        <v>25</v>
      </c>
      <c r="EE10">
        <v>25</v>
      </c>
      <c r="EF10">
        <v>1.6222222222222227</v>
      </c>
      <c r="EG10">
        <v>25</v>
      </c>
      <c r="EH10">
        <v>-5.5555555555555545</v>
      </c>
      <c r="EI10">
        <v>-0.44444444444444436</v>
      </c>
      <c r="EJ10">
        <v>24</v>
      </c>
      <c r="EK10">
        <v>23.5</v>
      </c>
      <c r="EL10">
        <v>20</v>
      </c>
      <c r="EM10">
        <v>6.7666666666666684</v>
      </c>
      <c r="EN10">
        <v>27</v>
      </c>
      <c r="EO10">
        <v>30.999999999999996</v>
      </c>
      <c r="EP10">
        <v>0.55555555555555536</v>
      </c>
      <c r="EQ10">
        <v>3</v>
      </c>
      <c r="ER10">
        <v>3.5</v>
      </c>
      <c r="ES10">
        <v>3</v>
      </c>
      <c r="ET10">
        <v>-2.8777777777777782</v>
      </c>
      <c r="EU10">
        <v>4</v>
      </c>
      <c r="EV10">
        <v>-3.2222222222222214</v>
      </c>
      <c r="EW10">
        <v>0.55555555555555569</v>
      </c>
      <c r="EX10">
        <v>8</v>
      </c>
      <c r="EY10">
        <v>8.5</v>
      </c>
      <c r="EZ10">
        <v>9</v>
      </c>
      <c r="FA10">
        <v>-1.1111111111111114</v>
      </c>
      <c r="FB10">
        <v>8</v>
      </c>
      <c r="FC10">
        <v>-1.1111111111111109</v>
      </c>
      <c r="FD10">
        <v>-3</v>
      </c>
      <c r="FE10">
        <v>17</v>
      </c>
      <c r="FF10">
        <v>16</v>
      </c>
      <c r="FG10">
        <v>6</v>
      </c>
      <c r="FH10">
        <v>4.4562022339800132E-2</v>
      </c>
      <c r="FI10">
        <v>18</v>
      </c>
      <c r="FJ10">
        <v>4.4292642174541957E-4</v>
      </c>
      <c r="FK10">
        <v>21</v>
      </c>
      <c r="FL10">
        <v>-0.31111111111110529</v>
      </c>
      <c r="FM10">
        <v>19</v>
      </c>
      <c r="FN10">
        <v>1.5555555555555556</v>
      </c>
      <c r="FO10">
        <v>2.3333333333333335</v>
      </c>
      <c r="FP10">
        <v>-1</v>
      </c>
      <c r="FQ10">
        <v>0.11111111111111101</v>
      </c>
      <c r="FR10">
        <v>1.8888888888888857</v>
      </c>
      <c r="FS10">
        <v>2.7777777777777772</v>
      </c>
      <c r="FT10">
        <v>0</v>
      </c>
      <c r="FU10">
        <v>68.555555555555557</v>
      </c>
      <c r="FV10">
        <v>50.333333333333336</v>
      </c>
      <c r="FW10">
        <v>6.7777777777777759</v>
      </c>
      <c r="FX10">
        <v>-0.88888888888888928</v>
      </c>
      <c r="FY10">
        <v>12.333333333333334</v>
      </c>
      <c r="FZ10">
        <v>5</v>
      </c>
      <c r="GA10">
        <v>7.7244444444444458</v>
      </c>
      <c r="GB10">
        <v>2.3148888888888899</v>
      </c>
      <c r="GC10">
        <v>43.555555555555557</v>
      </c>
      <c r="GD10">
        <v>-7.7244444444444449</v>
      </c>
      <c r="GE10">
        <v>1.682222222222223</v>
      </c>
      <c r="GF10">
        <v>8.0111111111111128</v>
      </c>
      <c r="GG10">
        <v>36.555555555555564</v>
      </c>
      <c r="GH10">
        <v>0.85555555555555507</v>
      </c>
      <c r="GI10">
        <v>7.5555555555555536</v>
      </c>
      <c r="GJ10">
        <v>-0.44444444444444542</v>
      </c>
      <c r="GK10">
        <v>1.7777777777777779</v>
      </c>
    </row>
    <row r="11" spans="1:193" x14ac:dyDescent="0.2">
      <c r="A11" s="39">
        <v>43737</v>
      </c>
      <c r="B11" t="s">
        <v>417</v>
      </c>
      <c r="C11" s="41" t="s">
        <v>278</v>
      </c>
      <c r="D11" t="s">
        <v>297</v>
      </c>
      <c r="E11">
        <v>24.2</v>
      </c>
      <c r="F11">
        <v>18.399999999999999</v>
      </c>
      <c r="G11">
        <v>8.6999999999999993</v>
      </c>
      <c r="H11">
        <v>11.1</v>
      </c>
      <c r="I11">
        <v>-2.5</v>
      </c>
      <c r="J11">
        <v>37</v>
      </c>
      <c r="L11" s="1" t="s">
        <v>278</v>
      </c>
      <c r="M11">
        <v>30</v>
      </c>
      <c r="N11">
        <v>-2.7511111111111117</v>
      </c>
      <c r="O11">
        <v>17</v>
      </c>
      <c r="P11">
        <v>17</v>
      </c>
      <c r="Q11">
        <v>24</v>
      </c>
      <c r="R11">
        <v>2.0666666666666678</v>
      </c>
      <c r="S11">
        <v>10</v>
      </c>
      <c r="T11">
        <v>-5.1111111111111098</v>
      </c>
      <c r="U11">
        <v>2.0000000000000004</v>
      </c>
      <c r="V11">
        <v>18</v>
      </c>
      <c r="W11">
        <v>17.5</v>
      </c>
      <c r="X11">
        <v>22</v>
      </c>
      <c r="Y11">
        <v>1.8222222222222217</v>
      </c>
      <c r="Z11">
        <v>13</v>
      </c>
      <c r="AA11">
        <v>23.444444444444446</v>
      </c>
      <c r="AB11">
        <v>0.66666666666666663</v>
      </c>
      <c r="AC11">
        <v>11</v>
      </c>
      <c r="AD11">
        <v>12.5</v>
      </c>
      <c r="AE11">
        <v>11</v>
      </c>
      <c r="AF11">
        <v>4.477777777777777</v>
      </c>
      <c r="AG11">
        <v>14</v>
      </c>
      <c r="AH11">
        <v>39.333333333333336</v>
      </c>
      <c r="AI11">
        <v>1.5555555555555556</v>
      </c>
      <c r="AJ11">
        <v>31</v>
      </c>
      <c r="AK11">
        <v>30.5</v>
      </c>
      <c r="AL11">
        <v>31</v>
      </c>
      <c r="AM11">
        <v>1.4555555555555559</v>
      </c>
      <c r="AN11">
        <v>30</v>
      </c>
      <c r="AO11">
        <v>-0.77777777777777979</v>
      </c>
      <c r="AP11">
        <v>1.3333333333333333</v>
      </c>
      <c r="AQ11">
        <v>32</v>
      </c>
      <c r="AR11">
        <v>32</v>
      </c>
      <c r="AS11">
        <v>32</v>
      </c>
      <c r="AT11">
        <v>-2.1333333333333333</v>
      </c>
      <c r="AU11">
        <v>32</v>
      </c>
      <c r="AV11">
        <v>-12.777777777777777</v>
      </c>
      <c r="AW11">
        <v>0.44444444444444448</v>
      </c>
      <c r="AX11">
        <v>31</v>
      </c>
      <c r="AY11">
        <v>31.5</v>
      </c>
      <c r="AZ11">
        <v>31</v>
      </c>
      <c r="BA11">
        <v>-7.8999999999999995</v>
      </c>
      <c r="BB11">
        <v>32</v>
      </c>
      <c r="BC11">
        <v>-29</v>
      </c>
      <c r="BD11">
        <v>-1.4444444444444446</v>
      </c>
      <c r="BE11">
        <v>9</v>
      </c>
      <c r="BF11">
        <v>8.5</v>
      </c>
      <c r="BG11">
        <v>9</v>
      </c>
      <c r="BH11">
        <v>-1.544444444444445</v>
      </c>
      <c r="BI11">
        <v>-2.111111111111112</v>
      </c>
      <c r="BJ11">
        <v>0.11111111111111101</v>
      </c>
      <c r="BK11">
        <v>10</v>
      </c>
      <c r="BL11">
        <v>9</v>
      </c>
      <c r="BM11">
        <v>6</v>
      </c>
      <c r="BN11">
        <v>1.3333333333333333</v>
      </c>
      <c r="BO11">
        <v>12</v>
      </c>
      <c r="BP11">
        <v>0.66666666666666663</v>
      </c>
      <c r="BQ11">
        <v>-5.5555555555555562</v>
      </c>
      <c r="BR11">
        <v>22</v>
      </c>
      <c r="BS11">
        <v>20.25</v>
      </c>
      <c r="BT11">
        <v>15</v>
      </c>
      <c r="BU11">
        <v>-2.0131300757497508E-3</v>
      </c>
      <c r="BV11">
        <v>19</v>
      </c>
      <c r="BW11">
        <v>2.1452605264472912E-2</v>
      </c>
      <c r="BX11">
        <v>28</v>
      </c>
      <c r="BY11">
        <v>9.3555555555555614</v>
      </c>
      <c r="BZ11">
        <v>19</v>
      </c>
      <c r="CA11">
        <v>-1.5555555555555554</v>
      </c>
      <c r="CB11">
        <v>3.888888888888888</v>
      </c>
      <c r="CC11">
        <v>-1.5555555555555554</v>
      </c>
      <c r="CD11">
        <v>0</v>
      </c>
      <c r="CE11">
        <v>0.22222222222222854</v>
      </c>
      <c r="CF11">
        <v>-7.1111111111111143</v>
      </c>
      <c r="CG11">
        <v>12.777777777777777</v>
      </c>
      <c r="CH11">
        <v>-1.0000000000000002</v>
      </c>
      <c r="CI11">
        <v>-4.4444444444444438</v>
      </c>
      <c r="CJ11">
        <v>28</v>
      </c>
      <c r="CK11">
        <v>-6.6400000000000015</v>
      </c>
      <c r="CL11">
        <v>-2.0435555555555558</v>
      </c>
      <c r="CM11">
        <v>-19.888888888888893</v>
      </c>
      <c r="CN11">
        <v>6.6400000000000006</v>
      </c>
      <c r="CO11">
        <v>0.5908333333333331</v>
      </c>
      <c r="CP11">
        <v>3.7999999999999994</v>
      </c>
      <c r="CQ11">
        <v>25.777777777777779</v>
      </c>
      <c r="CR11">
        <v>3.8888888888888893</v>
      </c>
      <c r="CS11">
        <v>18.333333333333336</v>
      </c>
      <c r="CT11">
        <v>3.4444444444444446</v>
      </c>
      <c r="CU11">
        <v>2.666666666666667</v>
      </c>
      <c r="CV11">
        <v>-0.77874999999999983</v>
      </c>
      <c r="CW11">
        <v>0.28583333333333316</v>
      </c>
      <c r="CX11" t="s">
        <v>297</v>
      </c>
      <c r="CY11">
        <v>20</v>
      </c>
      <c r="CZ11">
        <v>-4.691111111111109</v>
      </c>
      <c r="DA11">
        <v>1</v>
      </c>
      <c r="DB11">
        <v>1.5</v>
      </c>
      <c r="DC11">
        <v>2</v>
      </c>
      <c r="DD11">
        <v>-1.8888888888888882</v>
      </c>
      <c r="DE11">
        <v>1</v>
      </c>
      <c r="DF11">
        <v>-1.0000000000000011</v>
      </c>
      <c r="DG11">
        <v>0.2222222222222221</v>
      </c>
      <c r="DH11">
        <v>13</v>
      </c>
      <c r="DI11">
        <v>14.5</v>
      </c>
      <c r="DJ11">
        <v>11</v>
      </c>
      <c r="DK11">
        <v>-1.3888888888888884</v>
      </c>
      <c r="DL11">
        <v>18</v>
      </c>
      <c r="DM11">
        <v>10</v>
      </c>
      <c r="DN11">
        <v>-1.6666666666666667</v>
      </c>
      <c r="DO11">
        <v>12</v>
      </c>
      <c r="DP11">
        <v>13</v>
      </c>
      <c r="DQ11">
        <v>11</v>
      </c>
      <c r="DR11">
        <v>6.2777777777777786</v>
      </c>
      <c r="DS11">
        <v>15</v>
      </c>
      <c r="DT11">
        <v>26.111111111111111</v>
      </c>
      <c r="DU11">
        <v>-0.33333333333333331</v>
      </c>
      <c r="DV11">
        <v>26</v>
      </c>
      <c r="DW11">
        <v>26.5</v>
      </c>
      <c r="DX11">
        <v>28</v>
      </c>
      <c r="DY11">
        <v>-4.1333333333333337</v>
      </c>
      <c r="DZ11">
        <v>25</v>
      </c>
      <c r="EA11">
        <v>-18.000000000000004</v>
      </c>
      <c r="EB11">
        <v>0.77777777777777768</v>
      </c>
      <c r="EC11">
        <v>1</v>
      </c>
      <c r="ED11">
        <v>5</v>
      </c>
      <c r="EE11">
        <v>5</v>
      </c>
      <c r="EF11">
        <v>-5.2444444444444445</v>
      </c>
      <c r="EG11">
        <v>5</v>
      </c>
      <c r="EH11">
        <v>-22.777777777777775</v>
      </c>
      <c r="EI11">
        <v>-0.3333333333333332</v>
      </c>
      <c r="EJ11">
        <v>27</v>
      </c>
      <c r="EK11">
        <v>27</v>
      </c>
      <c r="EL11">
        <v>29</v>
      </c>
      <c r="EM11">
        <v>-8.4777777777777761</v>
      </c>
      <c r="EN11">
        <v>25</v>
      </c>
      <c r="EO11">
        <v>-35.888888888888893</v>
      </c>
      <c r="EP11">
        <v>-0.77777777777777801</v>
      </c>
      <c r="EQ11">
        <v>26</v>
      </c>
      <c r="ER11">
        <v>25.5</v>
      </c>
      <c r="ES11">
        <v>22</v>
      </c>
      <c r="ET11">
        <v>-4.7888888888888888</v>
      </c>
      <c r="EU11">
        <v>29</v>
      </c>
      <c r="EV11">
        <v>-1.222222222222219</v>
      </c>
      <c r="EW11">
        <v>0.88888888888888895</v>
      </c>
      <c r="EX11">
        <v>26</v>
      </c>
      <c r="EY11">
        <v>25</v>
      </c>
      <c r="EZ11">
        <v>21</v>
      </c>
      <c r="FA11">
        <v>1.1111111111111107</v>
      </c>
      <c r="FB11">
        <v>29</v>
      </c>
      <c r="FC11">
        <v>0.55555555555555558</v>
      </c>
      <c r="FD11">
        <v>-2.4444444444444442</v>
      </c>
      <c r="FE11">
        <v>20</v>
      </c>
      <c r="FF11">
        <v>16.75</v>
      </c>
      <c r="FG11">
        <v>21</v>
      </c>
      <c r="FH11">
        <v>6.905806273540714E-3</v>
      </c>
      <c r="FI11">
        <v>5</v>
      </c>
      <c r="FJ11">
        <v>4.9756123671378556E-3</v>
      </c>
      <c r="FK11">
        <v>32</v>
      </c>
      <c r="FL11">
        <v>-9.5222222222222239</v>
      </c>
      <c r="FM11">
        <v>9</v>
      </c>
      <c r="FN11">
        <v>2.1111111111111112</v>
      </c>
      <c r="FO11">
        <v>0.77777777777777735</v>
      </c>
      <c r="FP11">
        <v>2.7777777777777772</v>
      </c>
      <c r="FQ11">
        <v>-1.4802973661668753E-16</v>
      </c>
      <c r="FR11">
        <v>4.2222222222222214</v>
      </c>
      <c r="FS11">
        <v>-2.3333333333333335</v>
      </c>
      <c r="FT11">
        <v>-1</v>
      </c>
      <c r="FU11">
        <v>-14.666666666666648</v>
      </c>
      <c r="FV11">
        <v>-17.333333333333325</v>
      </c>
      <c r="FW11">
        <v>8</v>
      </c>
      <c r="FX11">
        <v>-0.88888888888888884</v>
      </c>
      <c r="FY11">
        <v>-4.4444444444444446</v>
      </c>
      <c r="FZ11">
        <v>18</v>
      </c>
      <c r="GA11">
        <v>-1.4133333333333322</v>
      </c>
      <c r="GB11">
        <v>-0.87711111111111117</v>
      </c>
      <c r="GC11">
        <v>-25.333333333333325</v>
      </c>
      <c r="GD11">
        <v>1.4133333333333322</v>
      </c>
      <c r="GE11">
        <v>-1.8433333333333328</v>
      </c>
      <c r="GF11">
        <v>-3.0999999999999996</v>
      </c>
      <c r="GG11">
        <v>-14.666666666666668</v>
      </c>
      <c r="GH11">
        <v>-3.2777777777777768</v>
      </c>
      <c r="GI11">
        <v>8.9999999999999982</v>
      </c>
      <c r="GJ11">
        <v>1</v>
      </c>
      <c r="GK11">
        <v>-1.4444444444444446</v>
      </c>
    </row>
    <row r="12" spans="1:193" x14ac:dyDescent="0.2">
      <c r="A12" s="39">
        <v>43737</v>
      </c>
      <c r="B12" s="26" t="s">
        <v>417</v>
      </c>
      <c r="C12" s="41" t="s">
        <v>299</v>
      </c>
      <c r="D12" s="27" t="s">
        <v>288</v>
      </c>
      <c r="E12">
        <v>23.7</v>
      </c>
      <c r="F12" s="14">
        <v>10.7</v>
      </c>
      <c r="G12">
        <v>6.7</v>
      </c>
      <c r="H12" s="14">
        <f>11.7+5.5</f>
        <v>17.2</v>
      </c>
      <c r="I12">
        <v>7.5</v>
      </c>
      <c r="J12">
        <v>54.5</v>
      </c>
      <c r="L12" s="1" t="s">
        <v>299</v>
      </c>
      <c r="M12">
        <v>4</v>
      </c>
      <c r="N12">
        <v>-4.3533333333333308</v>
      </c>
      <c r="O12">
        <v>28</v>
      </c>
      <c r="P12">
        <v>26</v>
      </c>
      <c r="Q12">
        <v>31</v>
      </c>
      <c r="R12">
        <v>-2.2666666666666671</v>
      </c>
      <c r="S12">
        <v>21</v>
      </c>
      <c r="T12">
        <v>-27.888888888888886</v>
      </c>
      <c r="U12">
        <v>0</v>
      </c>
      <c r="V12">
        <v>13</v>
      </c>
      <c r="W12">
        <v>13.5</v>
      </c>
      <c r="X12">
        <v>8</v>
      </c>
      <c r="Y12">
        <v>-2.5</v>
      </c>
      <c r="Z12">
        <v>19</v>
      </c>
      <c r="AA12">
        <v>2.6666666666666665</v>
      </c>
      <c r="AB12">
        <v>-1.8888888888888891</v>
      </c>
      <c r="AC12">
        <v>5</v>
      </c>
      <c r="AD12">
        <v>5.5</v>
      </c>
      <c r="AE12">
        <v>8</v>
      </c>
      <c r="AF12">
        <v>-3.9222222222222229</v>
      </c>
      <c r="AG12">
        <v>3</v>
      </c>
      <c r="AH12">
        <v>-18.333333333333332</v>
      </c>
      <c r="AI12">
        <v>0.66666666666666663</v>
      </c>
      <c r="AJ12">
        <v>3</v>
      </c>
      <c r="AK12">
        <v>3.5</v>
      </c>
      <c r="AL12">
        <v>2</v>
      </c>
      <c r="AM12">
        <v>2.1777777777777785</v>
      </c>
      <c r="AN12">
        <v>5</v>
      </c>
      <c r="AO12">
        <v>13.111111111111109</v>
      </c>
      <c r="AP12">
        <v>0.11111111111111131</v>
      </c>
      <c r="AQ12">
        <v>10</v>
      </c>
      <c r="AR12">
        <v>10</v>
      </c>
      <c r="AS12">
        <v>10</v>
      </c>
      <c r="AT12">
        <v>2.7888888888888892</v>
      </c>
      <c r="AU12">
        <v>10</v>
      </c>
      <c r="AV12">
        <v>7.8888888888888884</v>
      </c>
      <c r="AW12">
        <v>1.6666666666666667</v>
      </c>
      <c r="AX12">
        <v>9</v>
      </c>
      <c r="AY12">
        <v>10.5</v>
      </c>
      <c r="AZ12">
        <v>13</v>
      </c>
      <c r="BA12">
        <v>-0.2222222222222244</v>
      </c>
      <c r="BB12">
        <v>8</v>
      </c>
      <c r="BC12">
        <v>8.8888888888888911</v>
      </c>
      <c r="BD12">
        <v>0.44444444444444436</v>
      </c>
      <c r="BE12">
        <v>20</v>
      </c>
      <c r="BF12">
        <v>22</v>
      </c>
      <c r="BG12">
        <v>23</v>
      </c>
      <c r="BH12">
        <v>-4.9555555555555557</v>
      </c>
      <c r="BI12">
        <v>-5.1111111111111098</v>
      </c>
      <c r="BJ12">
        <v>-0.44444444444444464</v>
      </c>
      <c r="BK12">
        <v>23</v>
      </c>
      <c r="BL12">
        <v>22.5</v>
      </c>
      <c r="BM12">
        <v>20</v>
      </c>
      <c r="BN12">
        <v>-0.66666666666666663</v>
      </c>
      <c r="BO12">
        <v>25</v>
      </c>
      <c r="BP12">
        <v>0.2222222222222221</v>
      </c>
      <c r="BQ12">
        <v>1.7777777777777777</v>
      </c>
      <c r="BR12">
        <v>5</v>
      </c>
      <c r="BS12">
        <v>9</v>
      </c>
      <c r="BT12">
        <v>6</v>
      </c>
      <c r="BU12">
        <v>2.7048694867672549E-3</v>
      </c>
      <c r="BV12">
        <v>12</v>
      </c>
      <c r="BW12">
        <v>-1.7407178087598282E-2</v>
      </c>
      <c r="BX12">
        <v>9</v>
      </c>
      <c r="BY12">
        <v>-9.6333333333333346</v>
      </c>
      <c r="BZ12">
        <v>9</v>
      </c>
      <c r="CA12">
        <v>2</v>
      </c>
      <c r="CB12">
        <v>3.2222222222222237</v>
      </c>
      <c r="CC12">
        <v>-4.7777777777777777</v>
      </c>
      <c r="CD12">
        <v>1.5555555555555554</v>
      </c>
      <c r="CE12">
        <v>-23.777777777777771</v>
      </c>
      <c r="CF12">
        <v>-12.444444444444438</v>
      </c>
      <c r="CG12">
        <v>-1.5555555555555547</v>
      </c>
      <c r="CH12">
        <v>-1.2222222222222221</v>
      </c>
      <c r="CI12">
        <v>-8.5555555555555554</v>
      </c>
      <c r="CJ12">
        <v>17</v>
      </c>
      <c r="CK12">
        <v>0.41333333333333622</v>
      </c>
      <c r="CL12">
        <v>0.73044444444444556</v>
      </c>
      <c r="CM12">
        <v>-10.888888888888882</v>
      </c>
      <c r="CN12">
        <v>-0.41333333333333666</v>
      </c>
      <c r="CO12">
        <v>-1.7122222222222216</v>
      </c>
      <c r="CP12">
        <v>1.0444444444444447</v>
      </c>
      <c r="CQ12">
        <v>2.6666666666666652</v>
      </c>
      <c r="CR12">
        <v>-4.7666666666666675</v>
      </c>
      <c r="CS12">
        <v>-25.222222222222218</v>
      </c>
      <c r="CT12">
        <v>2</v>
      </c>
      <c r="CU12">
        <v>-1.8888888888888891</v>
      </c>
      <c r="CV12">
        <v>-0.53541666666666665</v>
      </c>
      <c r="CW12">
        <v>-0.67555555555555535</v>
      </c>
      <c r="CX12" t="s">
        <v>288</v>
      </c>
      <c r="CY12">
        <v>7</v>
      </c>
      <c r="CZ12">
        <v>-2.295555555555556</v>
      </c>
      <c r="DA12">
        <v>3</v>
      </c>
      <c r="DB12">
        <v>3</v>
      </c>
      <c r="DC12">
        <v>3</v>
      </c>
      <c r="DD12">
        <v>3.2888888888888883</v>
      </c>
      <c r="DE12">
        <v>3</v>
      </c>
      <c r="DF12">
        <v>15.555555555555555</v>
      </c>
      <c r="DG12">
        <v>0.11111111111111101</v>
      </c>
      <c r="DH12">
        <v>20</v>
      </c>
      <c r="DI12">
        <v>17.5</v>
      </c>
      <c r="DJ12">
        <v>5</v>
      </c>
      <c r="DK12">
        <v>1.2333333333333334</v>
      </c>
      <c r="DL12">
        <v>30</v>
      </c>
      <c r="DM12">
        <v>4.5555555555555554</v>
      </c>
      <c r="DN12">
        <v>1</v>
      </c>
      <c r="DO12">
        <v>32</v>
      </c>
      <c r="DP12">
        <v>32</v>
      </c>
      <c r="DQ12">
        <v>32</v>
      </c>
      <c r="DR12">
        <v>-2.844444444444445</v>
      </c>
      <c r="DS12">
        <v>32</v>
      </c>
      <c r="DT12">
        <v>-19.222222222222218</v>
      </c>
      <c r="DU12">
        <v>0.22222222222222202</v>
      </c>
      <c r="DV12">
        <v>24</v>
      </c>
      <c r="DW12">
        <v>25</v>
      </c>
      <c r="DX12">
        <v>23</v>
      </c>
      <c r="DY12">
        <v>2.7222222222222228</v>
      </c>
      <c r="DZ12">
        <v>27</v>
      </c>
      <c r="EA12">
        <v>25.444444444444446</v>
      </c>
      <c r="EB12">
        <v>0.88888888888888895</v>
      </c>
      <c r="EC12">
        <v>13</v>
      </c>
      <c r="ED12">
        <v>12.5</v>
      </c>
      <c r="EE12">
        <v>12</v>
      </c>
      <c r="EF12">
        <v>2.3555555555555556</v>
      </c>
      <c r="EG12">
        <v>13</v>
      </c>
      <c r="EH12">
        <v>11.333333333333334</v>
      </c>
      <c r="EI12">
        <v>1.2222222222222223</v>
      </c>
      <c r="EJ12">
        <v>12</v>
      </c>
      <c r="EK12">
        <v>12</v>
      </c>
      <c r="EL12">
        <v>8</v>
      </c>
      <c r="EM12">
        <v>9.9999999999999048E-2</v>
      </c>
      <c r="EN12">
        <v>16</v>
      </c>
      <c r="EO12">
        <v>-9.0000000000000018</v>
      </c>
      <c r="EP12">
        <v>0.33333333333333331</v>
      </c>
      <c r="EQ12">
        <v>2</v>
      </c>
      <c r="ER12">
        <v>2</v>
      </c>
      <c r="ES12">
        <v>2</v>
      </c>
      <c r="ET12">
        <v>-5.7333333333333343</v>
      </c>
      <c r="EU12">
        <v>2</v>
      </c>
      <c r="EV12">
        <v>-14.555555555555552</v>
      </c>
      <c r="EW12">
        <v>1.1111111111111116</v>
      </c>
      <c r="EX12">
        <v>20</v>
      </c>
      <c r="EY12">
        <v>21</v>
      </c>
      <c r="EZ12">
        <v>25</v>
      </c>
      <c r="FA12">
        <v>-1.8888888888888893</v>
      </c>
      <c r="FB12">
        <v>17</v>
      </c>
      <c r="FC12">
        <v>-0.22222222222222224</v>
      </c>
      <c r="FD12">
        <v>-5</v>
      </c>
      <c r="FE12">
        <v>2</v>
      </c>
      <c r="FF12">
        <v>7.25</v>
      </c>
      <c r="FG12">
        <v>4</v>
      </c>
      <c r="FH12">
        <v>2.972728522164127E-2</v>
      </c>
      <c r="FI12">
        <v>13</v>
      </c>
      <c r="FJ12">
        <v>3.959466044329364E-3</v>
      </c>
      <c r="FK12">
        <v>3</v>
      </c>
      <c r="FL12">
        <v>7.2888888888888914</v>
      </c>
      <c r="FM12">
        <v>9</v>
      </c>
      <c r="FN12">
        <v>2.1111111111111112</v>
      </c>
      <c r="FO12">
        <v>5.333333333333333</v>
      </c>
      <c r="FP12">
        <v>-2.1111111111111103</v>
      </c>
      <c r="FQ12">
        <v>-1.555555555555556</v>
      </c>
      <c r="FR12">
        <v>1.2222222222222239</v>
      </c>
      <c r="FS12">
        <v>-2.6666666666666656</v>
      </c>
      <c r="FT12">
        <v>0</v>
      </c>
      <c r="FU12">
        <v>19.777777777777789</v>
      </c>
      <c r="FV12">
        <v>12.888888888888886</v>
      </c>
      <c r="FW12">
        <v>15.555555555555552</v>
      </c>
      <c r="FX12">
        <v>-0.77777777777777779</v>
      </c>
      <c r="FY12">
        <v>-7.8888888888888902</v>
      </c>
      <c r="FZ12">
        <v>29</v>
      </c>
      <c r="GA12">
        <v>-6.8177777777777777</v>
      </c>
      <c r="GB12">
        <v>-3.4202222222222223</v>
      </c>
      <c r="GC12">
        <v>-2.6666666666666661</v>
      </c>
      <c r="GD12">
        <v>6.8177777777777777</v>
      </c>
      <c r="GE12">
        <v>-0.39527777777777806</v>
      </c>
      <c r="GF12">
        <v>2.2333333333333334</v>
      </c>
      <c r="GG12">
        <v>17.555555555555564</v>
      </c>
      <c r="GH12">
        <v>4.5222222222222221</v>
      </c>
      <c r="GI12">
        <v>20.111111111111111</v>
      </c>
      <c r="GJ12">
        <v>3.4444444444444446</v>
      </c>
      <c r="GK12">
        <v>1.1111111111111109</v>
      </c>
    </row>
    <row r="13" spans="1:193" x14ac:dyDescent="0.2">
      <c r="A13" s="39">
        <v>43737</v>
      </c>
      <c r="B13" s="26" t="s">
        <v>417</v>
      </c>
      <c r="C13" s="41" t="s">
        <v>300</v>
      </c>
      <c r="D13" s="27" t="s">
        <v>294</v>
      </c>
      <c r="E13">
        <v>31</v>
      </c>
      <c r="F13">
        <v>7.7</v>
      </c>
      <c r="G13" s="14">
        <v>14.9</v>
      </c>
      <c r="H13" s="14">
        <f>18.1+3.9+2.1</f>
        <v>24.1</v>
      </c>
      <c r="I13">
        <v>-3.5</v>
      </c>
      <c r="J13">
        <v>46</v>
      </c>
      <c r="L13" s="1" t="s">
        <v>300</v>
      </c>
      <c r="M13">
        <v>19</v>
      </c>
      <c r="N13">
        <v>-1.5</v>
      </c>
      <c r="O13">
        <v>22</v>
      </c>
      <c r="P13">
        <v>21.5</v>
      </c>
      <c r="Q13">
        <v>14</v>
      </c>
      <c r="R13">
        <v>3.755555555555556</v>
      </c>
      <c r="S13">
        <v>29</v>
      </c>
      <c r="T13">
        <v>7.2222222222222214</v>
      </c>
      <c r="U13">
        <v>-0.44444444444444442</v>
      </c>
      <c r="V13">
        <v>2</v>
      </c>
      <c r="W13">
        <v>4</v>
      </c>
      <c r="X13">
        <v>4</v>
      </c>
      <c r="Y13">
        <v>0.96666666666666679</v>
      </c>
      <c r="Z13">
        <v>4</v>
      </c>
      <c r="AA13">
        <v>2.666666666666663</v>
      </c>
      <c r="AB13">
        <v>-0.55555555555555569</v>
      </c>
      <c r="AC13">
        <v>3</v>
      </c>
      <c r="AD13">
        <v>3.5</v>
      </c>
      <c r="AE13">
        <v>5</v>
      </c>
      <c r="AF13">
        <v>-0.44444444444444464</v>
      </c>
      <c r="AG13">
        <v>2</v>
      </c>
      <c r="AH13">
        <v>13.333333333333334</v>
      </c>
      <c r="AI13">
        <v>0.66666666666666663</v>
      </c>
      <c r="AJ13">
        <v>16</v>
      </c>
      <c r="AK13">
        <v>17</v>
      </c>
      <c r="AL13">
        <v>17</v>
      </c>
      <c r="AM13">
        <v>-1.0444444444444443</v>
      </c>
      <c r="AN13">
        <v>17</v>
      </c>
      <c r="AO13">
        <v>4.4444444444444429</v>
      </c>
      <c r="AP13">
        <v>0.66666666666666663</v>
      </c>
      <c r="AQ13">
        <v>20</v>
      </c>
      <c r="AR13">
        <v>19</v>
      </c>
      <c r="AS13">
        <v>18</v>
      </c>
      <c r="AT13">
        <v>-1.8111111111111107</v>
      </c>
      <c r="AU13">
        <v>20</v>
      </c>
      <c r="AV13">
        <v>-11.666666666666666</v>
      </c>
      <c r="AW13">
        <v>-1.3333333333333333</v>
      </c>
      <c r="AX13">
        <v>18</v>
      </c>
      <c r="AY13">
        <v>17</v>
      </c>
      <c r="AZ13">
        <v>12</v>
      </c>
      <c r="BA13">
        <v>-3.2444444444444454</v>
      </c>
      <c r="BB13">
        <v>22</v>
      </c>
      <c r="BC13">
        <v>-18.000000000000004</v>
      </c>
      <c r="BD13">
        <v>-3.4444444444444451</v>
      </c>
      <c r="BE13">
        <v>27</v>
      </c>
      <c r="BF13">
        <v>27</v>
      </c>
      <c r="BG13">
        <v>26</v>
      </c>
      <c r="BH13">
        <v>-6.1333333333333355</v>
      </c>
      <c r="BI13">
        <v>-30.555555555555554</v>
      </c>
      <c r="BJ13">
        <v>-3.2222222222222219</v>
      </c>
      <c r="BK13">
        <v>31</v>
      </c>
      <c r="BL13">
        <v>31</v>
      </c>
      <c r="BM13">
        <v>30</v>
      </c>
      <c r="BN13">
        <v>0.33333333333333343</v>
      </c>
      <c r="BO13">
        <v>32</v>
      </c>
      <c r="BP13">
        <v>-0.11111111111111117</v>
      </c>
      <c r="BQ13">
        <v>7.1111111111111107</v>
      </c>
      <c r="BR13">
        <v>16</v>
      </c>
      <c r="BS13">
        <v>14.5</v>
      </c>
      <c r="BT13">
        <v>17</v>
      </c>
      <c r="BU13">
        <v>8.5286119491604487E-2</v>
      </c>
      <c r="BV13">
        <v>14</v>
      </c>
      <c r="BW13">
        <v>9.1005310303555933E-3</v>
      </c>
      <c r="BX13">
        <v>3</v>
      </c>
      <c r="BY13">
        <v>-3.4111111111111092</v>
      </c>
      <c r="BZ13">
        <v>24</v>
      </c>
      <c r="CA13">
        <v>-2.2222222222222219</v>
      </c>
      <c r="CB13">
        <v>-2.5555555555555571</v>
      </c>
      <c r="CC13">
        <v>2.3333333333333339</v>
      </c>
      <c r="CD13">
        <v>0</v>
      </c>
      <c r="CE13">
        <v>-32.222222222222207</v>
      </c>
      <c r="CF13">
        <v>-28.333333333333332</v>
      </c>
      <c r="CG13">
        <v>6.4444444444444429</v>
      </c>
      <c r="CH13">
        <v>-7.7777777777777777</v>
      </c>
      <c r="CI13">
        <v>-2.5555555555555554</v>
      </c>
      <c r="CJ13">
        <v>27</v>
      </c>
      <c r="CK13">
        <v>-6.2222222222222232</v>
      </c>
      <c r="CL13">
        <v>-4.5477777777777781</v>
      </c>
      <c r="CM13">
        <v>-34.777777777777771</v>
      </c>
      <c r="CN13">
        <v>6.2222222222222232</v>
      </c>
      <c r="CO13">
        <v>-0.73472222222222239</v>
      </c>
      <c r="CP13">
        <v>-3.3</v>
      </c>
      <c r="CQ13">
        <v>6.1111111111111125</v>
      </c>
      <c r="CR13">
        <v>4.7222222222222232</v>
      </c>
      <c r="CS13">
        <v>9.888888888888884</v>
      </c>
      <c r="CT13">
        <v>-3.2222222222222219</v>
      </c>
      <c r="CU13">
        <v>-1</v>
      </c>
      <c r="CV13">
        <v>-0.66527777777777741</v>
      </c>
      <c r="CW13">
        <v>-1.8408333333333331</v>
      </c>
      <c r="CX13" t="s">
        <v>294</v>
      </c>
      <c r="CY13">
        <v>30</v>
      </c>
      <c r="CZ13">
        <v>-1.7777777777778187E-2</v>
      </c>
      <c r="DA13">
        <v>18</v>
      </c>
      <c r="DB13">
        <v>19.5</v>
      </c>
      <c r="DC13">
        <v>7</v>
      </c>
      <c r="DD13">
        <v>-0.3555555555555549</v>
      </c>
      <c r="DE13">
        <v>32</v>
      </c>
      <c r="DF13">
        <v>-19.666666666666668</v>
      </c>
      <c r="DG13">
        <v>-0.11111111111111101</v>
      </c>
      <c r="DH13">
        <v>5</v>
      </c>
      <c r="DI13">
        <v>8</v>
      </c>
      <c r="DJ13">
        <v>13</v>
      </c>
      <c r="DK13">
        <v>1.1000000000000005</v>
      </c>
      <c r="DL13">
        <v>3</v>
      </c>
      <c r="DM13">
        <v>-1.3333333333333333</v>
      </c>
      <c r="DN13">
        <v>1.6666666666666667</v>
      </c>
      <c r="DO13">
        <v>30</v>
      </c>
      <c r="DP13">
        <v>24</v>
      </c>
      <c r="DQ13">
        <v>24</v>
      </c>
      <c r="DR13">
        <v>-0.26666666666666689</v>
      </c>
      <c r="DS13">
        <v>24</v>
      </c>
      <c r="DT13">
        <v>4.7777777777777786</v>
      </c>
      <c r="DU13">
        <v>-0.66666666666666663</v>
      </c>
      <c r="DV13">
        <v>31</v>
      </c>
      <c r="DW13">
        <v>30.5</v>
      </c>
      <c r="DX13">
        <v>30</v>
      </c>
      <c r="DY13">
        <v>5.5777777777777784</v>
      </c>
      <c r="DZ13">
        <v>31</v>
      </c>
      <c r="EA13">
        <v>24</v>
      </c>
      <c r="EB13">
        <v>2.5555555555555558</v>
      </c>
      <c r="EC13">
        <v>29</v>
      </c>
      <c r="ED13">
        <v>20</v>
      </c>
      <c r="EE13">
        <v>18</v>
      </c>
      <c r="EF13">
        <v>-1.4666666666666661</v>
      </c>
      <c r="EG13">
        <v>22</v>
      </c>
      <c r="EH13">
        <v>-14.444444444444445</v>
      </c>
      <c r="EI13">
        <v>-0.44444444444444436</v>
      </c>
      <c r="EJ13">
        <v>32</v>
      </c>
      <c r="EK13">
        <v>32</v>
      </c>
      <c r="EL13">
        <v>32</v>
      </c>
      <c r="EM13">
        <v>-8.1444444444444439</v>
      </c>
      <c r="EN13">
        <v>32</v>
      </c>
      <c r="EO13">
        <v>-34.777777777777779</v>
      </c>
      <c r="EP13">
        <v>-3.3333333333333335</v>
      </c>
      <c r="EQ13">
        <v>8</v>
      </c>
      <c r="ER13">
        <v>8.5</v>
      </c>
      <c r="ES13">
        <v>12</v>
      </c>
      <c r="ET13">
        <v>-4.0444444444444434</v>
      </c>
      <c r="EU13">
        <v>5</v>
      </c>
      <c r="EV13">
        <v>-17.111111111111111</v>
      </c>
      <c r="EW13">
        <v>-1.1111111111111114</v>
      </c>
      <c r="EX13">
        <v>31</v>
      </c>
      <c r="EY13">
        <v>28.5</v>
      </c>
      <c r="EZ13">
        <v>26</v>
      </c>
      <c r="FA13">
        <v>3.5555555555555554</v>
      </c>
      <c r="FB13">
        <v>31</v>
      </c>
      <c r="FC13">
        <v>0.77777777777777768</v>
      </c>
      <c r="FD13">
        <v>2.4444444444444446</v>
      </c>
      <c r="FE13">
        <v>4</v>
      </c>
      <c r="FF13">
        <v>8.75</v>
      </c>
      <c r="FG13">
        <v>3</v>
      </c>
      <c r="FH13">
        <v>5.2407494609506999E-2</v>
      </c>
      <c r="FI13">
        <v>4</v>
      </c>
      <c r="FJ13">
        <v>-1.7389648916996698E-2</v>
      </c>
      <c r="FK13">
        <v>14</v>
      </c>
      <c r="FL13">
        <v>-6.3333333333333313</v>
      </c>
      <c r="FM13">
        <v>14</v>
      </c>
      <c r="FN13">
        <v>-3.8888888888888893</v>
      </c>
      <c r="FO13">
        <v>-1.3333333333333333</v>
      </c>
      <c r="FP13">
        <v>-0.88888888888888873</v>
      </c>
      <c r="FQ13">
        <v>-0.44444444444444448</v>
      </c>
      <c r="FR13">
        <v>-2.6666666666666665</v>
      </c>
      <c r="FS13">
        <v>3.3333333333333335</v>
      </c>
      <c r="FT13">
        <v>1.5555555555555554</v>
      </c>
      <c r="FU13">
        <v>-14.777777777777791</v>
      </c>
      <c r="FV13">
        <v>1.2222222222222285</v>
      </c>
      <c r="FW13">
        <v>-7.4444444444444429</v>
      </c>
      <c r="FX13">
        <v>-2.3333333333333335</v>
      </c>
      <c r="FY13">
        <v>-6.2222222222222223</v>
      </c>
      <c r="FZ13">
        <v>16</v>
      </c>
      <c r="GA13">
        <v>-0.7622222222222238</v>
      </c>
      <c r="GB13">
        <v>-0.41577777777777802</v>
      </c>
      <c r="GC13">
        <v>8.6666666666666714</v>
      </c>
      <c r="GD13">
        <v>0.7622222222222238</v>
      </c>
      <c r="GE13">
        <v>0.51027777777777816</v>
      </c>
      <c r="GF13">
        <v>3.8444444444444459</v>
      </c>
      <c r="GG13">
        <v>14.333333333333334</v>
      </c>
      <c r="GH13">
        <v>0.74444444444444557</v>
      </c>
      <c r="GI13">
        <v>-21</v>
      </c>
      <c r="GJ13">
        <v>0.33333333333333348</v>
      </c>
      <c r="GK13">
        <v>1.5555555555555558</v>
      </c>
    </row>
    <row r="14" spans="1:193" x14ac:dyDescent="0.2">
      <c r="A14" s="39">
        <v>43737</v>
      </c>
      <c r="B14" s="26" t="s">
        <v>417</v>
      </c>
      <c r="C14" s="41" t="s">
        <v>311</v>
      </c>
      <c r="D14" s="27" t="s">
        <v>301</v>
      </c>
      <c r="E14">
        <v>8.1</v>
      </c>
      <c r="F14" s="14">
        <v>5.3</v>
      </c>
      <c r="G14">
        <v>4.4000000000000004</v>
      </c>
      <c r="H14" s="14">
        <v>7.3</v>
      </c>
      <c r="I14">
        <v>-5.5</v>
      </c>
      <c r="J14">
        <v>47.5</v>
      </c>
      <c r="K14" t="s">
        <v>109</v>
      </c>
      <c r="L14" s="1" t="s">
        <v>311</v>
      </c>
      <c r="M14">
        <v>6</v>
      </c>
      <c r="N14">
        <v>0.21111111111111094</v>
      </c>
      <c r="O14">
        <v>22</v>
      </c>
      <c r="P14">
        <v>21.5</v>
      </c>
      <c r="Q14">
        <v>30</v>
      </c>
      <c r="R14">
        <v>-4.8111111111111109</v>
      </c>
      <c r="S14">
        <v>13</v>
      </c>
      <c r="T14">
        <v>-1.8888888888888882</v>
      </c>
      <c r="U14">
        <v>-1.5555555555555554</v>
      </c>
      <c r="V14">
        <v>8</v>
      </c>
      <c r="W14">
        <v>9.5</v>
      </c>
      <c r="X14">
        <v>3</v>
      </c>
      <c r="Y14">
        <v>0.68888888888888911</v>
      </c>
      <c r="Z14">
        <v>16</v>
      </c>
      <c r="AA14">
        <v>2.5555555555555558</v>
      </c>
      <c r="AB14">
        <v>0.66666666666666663</v>
      </c>
      <c r="AC14">
        <v>2</v>
      </c>
      <c r="AD14">
        <v>2.5</v>
      </c>
      <c r="AE14">
        <v>1</v>
      </c>
      <c r="AF14">
        <v>-6.5555555555555527</v>
      </c>
      <c r="AG14">
        <v>4</v>
      </c>
      <c r="AH14">
        <v>-31.555555555555557</v>
      </c>
      <c r="AI14">
        <v>-0.11111111111111101</v>
      </c>
      <c r="AJ14">
        <v>15</v>
      </c>
      <c r="AK14">
        <v>15</v>
      </c>
      <c r="AL14">
        <v>16</v>
      </c>
      <c r="AM14">
        <v>0.46666666666666706</v>
      </c>
      <c r="AN14">
        <v>14</v>
      </c>
      <c r="AO14">
        <v>4</v>
      </c>
      <c r="AP14">
        <v>0.44444444444444448</v>
      </c>
      <c r="AQ14">
        <v>21</v>
      </c>
      <c r="AR14">
        <v>21</v>
      </c>
      <c r="AS14">
        <v>21</v>
      </c>
      <c r="AT14">
        <v>3.588888888888889</v>
      </c>
      <c r="AU14">
        <v>21</v>
      </c>
      <c r="AV14">
        <v>20.555555555555554</v>
      </c>
      <c r="AW14">
        <v>0.44444444444444448</v>
      </c>
      <c r="AX14">
        <v>17</v>
      </c>
      <c r="AY14">
        <v>16.5</v>
      </c>
      <c r="AZ14">
        <v>21</v>
      </c>
      <c r="BA14">
        <v>0.18888888888888644</v>
      </c>
      <c r="BB14">
        <v>12</v>
      </c>
      <c r="BC14">
        <v>-0.33333333333333331</v>
      </c>
      <c r="BD14">
        <v>-1</v>
      </c>
      <c r="BE14">
        <v>11</v>
      </c>
      <c r="BF14">
        <v>12</v>
      </c>
      <c r="BG14">
        <v>11</v>
      </c>
      <c r="BH14">
        <v>2.2333333333333338</v>
      </c>
      <c r="BI14">
        <v>-1</v>
      </c>
      <c r="BJ14">
        <v>-1.3333333333333337</v>
      </c>
      <c r="BK14">
        <v>22</v>
      </c>
      <c r="BL14">
        <v>20.5</v>
      </c>
      <c r="BM14">
        <v>22</v>
      </c>
      <c r="BN14">
        <v>-0.88888888888888895</v>
      </c>
      <c r="BO14">
        <v>19</v>
      </c>
      <c r="BP14">
        <v>-0.44444444444444448</v>
      </c>
      <c r="BQ14">
        <v>0.88888888888888895</v>
      </c>
      <c r="BR14">
        <v>20</v>
      </c>
      <c r="BS14">
        <v>17.5</v>
      </c>
      <c r="BT14">
        <v>1</v>
      </c>
      <c r="BU14">
        <v>0.10107117619804891</v>
      </c>
      <c r="BV14">
        <v>24</v>
      </c>
      <c r="BW14">
        <v>3.4632654493779058E-2</v>
      </c>
      <c r="BX14">
        <v>15</v>
      </c>
      <c r="BY14">
        <v>-0.44444444444444287</v>
      </c>
      <c r="BZ14">
        <v>30</v>
      </c>
      <c r="CA14">
        <v>-0.22222222222222202</v>
      </c>
      <c r="CB14">
        <v>-4.2222222222222214</v>
      </c>
      <c r="CC14">
        <v>-1.6666666666666654</v>
      </c>
      <c r="CD14">
        <v>0</v>
      </c>
      <c r="CE14">
        <v>-31.777777777777789</v>
      </c>
      <c r="CF14">
        <v>-27.777777777777771</v>
      </c>
      <c r="CG14">
        <v>-2.8888888888888857</v>
      </c>
      <c r="CH14">
        <v>-3.2222222222222228</v>
      </c>
      <c r="CI14">
        <v>2.1111111111111107</v>
      </c>
      <c r="CJ14">
        <v>10</v>
      </c>
      <c r="CK14">
        <v>4.333333333333333</v>
      </c>
      <c r="CL14">
        <v>2.0500000000000007</v>
      </c>
      <c r="CM14">
        <v>-24.888888888888886</v>
      </c>
      <c r="CN14">
        <v>-4.333333333333333</v>
      </c>
      <c r="CO14">
        <v>-0.63333333333333286</v>
      </c>
      <c r="CP14">
        <v>-2.4999999999999969</v>
      </c>
      <c r="CQ14">
        <v>-7.0000000000000036</v>
      </c>
      <c r="CR14">
        <v>-4.1222222222222218</v>
      </c>
      <c r="CS14">
        <v>0.66666666666666763</v>
      </c>
      <c r="CT14">
        <v>-0.5555555555555558</v>
      </c>
      <c r="CU14">
        <v>-0.88888888888888873</v>
      </c>
      <c r="CV14">
        <v>7.4861111111111489E-2</v>
      </c>
      <c r="CW14">
        <v>1.2386111111111113</v>
      </c>
      <c r="CX14" t="s">
        <v>301</v>
      </c>
      <c r="CY14">
        <v>14</v>
      </c>
      <c r="CZ14">
        <v>-3.9333333333333322</v>
      </c>
      <c r="DA14">
        <v>7</v>
      </c>
      <c r="DB14">
        <v>10</v>
      </c>
      <c r="DC14">
        <v>5</v>
      </c>
      <c r="DD14">
        <v>1.5000000000000007</v>
      </c>
      <c r="DE14">
        <v>15</v>
      </c>
      <c r="DF14">
        <v>8.3333333333333304</v>
      </c>
      <c r="DG14">
        <v>0.77777777777777768</v>
      </c>
      <c r="DH14">
        <v>2</v>
      </c>
      <c r="DI14">
        <v>3</v>
      </c>
      <c r="DJ14">
        <v>4</v>
      </c>
      <c r="DK14">
        <v>2.0888888888888886</v>
      </c>
      <c r="DL14">
        <v>2</v>
      </c>
      <c r="DM14">
        <v>2.4444444444444442</v>
      </c>
      <c r="DN14">
        <v>-0.66666666666666663</v>
      </c>
      <c r="DO14">
        <v>20</v>
      </c>
      <c r="DP14">
        <v>16.5</v>
      </c>
      <c r="DQ14">
        <v>16</v>
      </c>
      <c r="DR14">
        <v>-9.2999999999999989</v>
      </c>
      <c r="DS14">
        <v>17</v>
      </c>
      <c r="DT14">
        <v>-41.222222222222221</v>
      </c>
      <c r="DU14">
        <v>-1.6666666666666672</v>
      </c>
      <c r="DV14">
        <v>7</v>
      </c>
      <c r="DW14">
        <v>6.5</v>
      </c>
      <c r="DX14">
        <v>8</v>
      </c>
      <c r="DY14">
        <v>6.2333333333333343</v>
      </c>
      <c r="DZ14">
        <v>5</v>
      </c>
      <c r="EA14">
        <v>20.888888888888893</v>
      </c>
      <c r="EB14">
        <v>3.1111111111111112</v>
      </c>
      <c r="EC14">
        <v>11</v>
      </c>
      <c r="ED14">
        <v>7.5</v>
      </c>
      <c r="EE14">
        <v>12</v>
      </c>
      <c r="EF14">
        <v>-5.333333333333333</v>
      </c>
      <c r="EG14">
        <v>3</v>
      </c>
      <c r="EH14">
        <v>-21.888888888888889</v>
      </c>
      <c r="EI14">
        <v>-1.3333333333333333</v>
      </c>
      <c r="EJ14">
        <v>18</v>
      </c>
      <c r="EK14">
        <v>18</v>
      </c>
      <c r="EL14">
        <v>22</v>
      </c>
      <c r="EM14">
        <v>-4.6555555555555577</v>
      </c>
      <c r="EN14">
        <v>14</v>
      </c>
      <c r="EO14">
        <v>-28.777777777777782</v>
      </c>
      <c r="EP14">
        <v>1.2222222222222217</v>
      </c>
      <c r="EQ14">
        <v>12</v>
      </c>
      <c r="ER14">
        <v>13</v>
      </c>
      <c r="ES14">
        <v>20</v>
      </c>
      <c r="ET14">
        <v>-0.3000000000000001</v>
      </c>
      <c r="EU14">
        <v>6</v>
      </c>
      <c r="EV14">
        <v>-13.888888888888891</v>
      </c>
      <c r="EW14">
        <v>-1</v>
      </c>
      <c r="EX14">
        <v>10</v>
      </c>
      <c r="EY14">
        <v>11.5</v>
      </c>
      <c r="EZ14">
        <v>16</v>
      </c>
      <c r="FA14">
        <v>0.33333333333333331</v>
      </c>
      <c r="FB14">
        <v>7</v>
      </c>
      <c r="FC14">
        <v>0</v>
      </c>
      <c r="FD14">
        <v>-1.1111111111111107</v>
      </c>
      <c r="FE14">
        <v>18</v>
      </c>
      <c r="FF14">
        <v>16.25</v>
      </c>
      <c r="FG14">
        <v>18</v>
      </c>
      <c r="FH14">
        <v>-4.7521502819219035E-3</v>
      </c>
      <c r="FI14">
        <v>16</v>
      </c>
      <c r="FJ14">
        <v>9.7597416314279765E-3</v>
      </c>
      <c r="FK14">
        <v>8</v>
      </c>
      <c r="FL14">
        <v>1.8444444444444461</v>
      </c>
      <c r="FM14">
        <v>23</v>
      </c>
      <c r="FN14">
        <v>-1.5555555555555554</v>
      </c>
      <c r="FO14">
        <v>-2.1111111111111094</v>
      </c>
      <c r="FP14">
        <v>2.2222222222222219</v>
      </c>
      <c r="FQ14">
        <v>1</v>
      </c>
      <c r="FR14">
        <v>1.222222222222219</v>
      </c>
      <c r="FS14">
        <v>0.88888888888888928</v>
      </c>
      <c r="FT14">
        <v>-0.77777777777777779</v>
      </c>
      <c r="FU14">
        <v>-53</v>
      </c>
      <c r="FV14">
        <v>-72.111111111111128</v>
      </c>
      <c r="FW14">
        <v>10.777777777777779</v>
      </c>
      <c r="FX14">
        <v>-4</v>
      </c>
      <c r="FY14">
        <v>12.33333333333333</v>
      </c>
      <c r="FZ14">
        <v>31</v>
      </c>
      <c r="GA14">
        <v>-7.5222222222222213</v>
      </c>
      <c r="GB14">
        <v>-4.3211111111111107</v>
      </c>
      <c r="GC14">
        <v>-82.888888888888914</v>
      </c>
      <c r="GD14">
        <v>7.5222222222222221</v>
      </c>
      <c r="GE14">
        <v>-1.0888888888888884</v>
      </c>
      <c r="GF14">
        <v>-8.3999999999999986</v>
      </c>
      <c r="GG14">
        <v>-42.222222222222214</v>
      </c>
      <c r="GH14">
        <v>3.5888888888888895</v>
      </c>
      <c r="GI14">
        <v>10.777777777777775</v>
      </c>
      <c r="GJ14">
        <v>-0.88888888888888928</v>
      </c>
      <c r="GK14">
        <v>0.11111111111111105</v>
      </c>
    </row>
    <row r="15" spans="1:193" x14ac:dyDescent="0.2">
      <c r="A15" s="39">
        <v>43737</v>
      </c>
      <c r="B15" s="26" t="s">
        <v>417</v>
      </c>
      <c r="C15" s="41" t="s">
        <v>289</v>
      </c>
      <c r="D15" s="27" t="s">
        <v>303</v>
      </c>
      <c r="E15">
        <v>11.2</v>
      </c>
      <c r="F15">
        <v>13.8</v>
      </c>
      <c r="G15">
        <v>6.5</v>
      </c>
      <c r="H15" s="14">
        <f>12.2+11.8</f>
        <v>24</v>
      </c>
      <c r="I15">
        <v>-5</v>
      </c>
      <c r="J15">
        <v>46</v>
      </c>
      <c r="K15" t="s">
        <v>110</v>
      </c>
      <c r="L15" s="1" t="s">
        <v>289</v>
      </c>
      <c r="M15">
        <v>22</v>
      </c>
      <c r="N15">
        <v>0.57333333333333536</v>
      </c>
      <c r="O15">
        <v>11</v>
      </c>
      <c r="P15">
        <v>11.5</v>
      </c>
      <c r="Q15">
        <v>19</v>
      </c>
      <c r="R15">
        <v>2.2111111111111117</v>
      </c>
      <c r="S15">
        <v>4</v>
      </c>
      <c r="T15">
        <v>28.666666666666668</v>
      </c>
      <c r="U15">
        <v>-1</v>
      </c>
      <c r="V15">
        <v>23</v>
      </c>
      <c r="W15">
        <v>20.5</v>
      </c>
      <c r="X15">
        <v>18</v>
      </c>
      <c r="Y15">
        <v>0.73333333333333328</v>
      </c>
      <c r="Z15">
        <v>23</v>
      </c>
      <c r="AA15">
        <v>-1.4444444444444438</v>
      </c>
      <c r="AB15">
        <v>1.3333333333333333</v>
      </c>
      <c r="AC15">
        <v>18</v>
      </c>
      <c r="AD15">
        <v>18</v>
      </c>
      <c r="AE15">
        <v>21</v>
      </c>
      <c r="AF15">
        <v>2.277777777777779</v>
      </c>
      <c r="AG15">
        <v>15</v>
      </c>
      <c r="AH15">
        <v>-7.1111111111111116</v>
      </c>
      <c r="AI15">
        <v>-0.11111111111111072</v>
      </c>
      <c r="AJ15">
        <v>18</v>
      </c>
      <c r="AK15">
        <v>18.5</v>
      </c>
      <c r="AL15">
        <v>14</v>
      </c>
      <c r="AM15">
        <v>-0.99999999999999967</v>
      </c>
      <c r="AN15">
        <v>23</v>
      </c>
      <c r="AO15">
        <v>-14.444444444444443</v>
      </c>
      <c r="AP15">
        <v>-1.8888888888888886</v>
      </c>
      <c r="AQ15">
        <v>22</v>
      </c>
      <c r="AR15">
        <v>22</v>
      </c>
      <c r="AS15">
        <v>22</v>
      </c>
      <c r="AT15">
        <v>0.53333333333333355</v>
      </c>
      <c r="AU15">
        <v>22</v>
      </c>
      <c r="AV15">
        <v>-6</v>
      </c>
      <c r="AW15">
        <v>4.4444444444444446</v>
      </c>
      <c r="AX15">
        <v>12</v>
      </c>
      <c r="AY15">
        <v>12</v>
      </c>
      <c r="AZ15">
        <v>14</v>
      </c>
      <c r="BA15">
        <v>3.68888888888889</v>
      </c>
      <c r="BB15">
        <v>10</v>
      </c>
      <c r="BC15">
        <v>-4.2222222222222214</v>
      </c>
      <c r="BD15">
        <v>-1.4444444444444446</v>
      </c>
      <c r="BE15">
        <v>7</v>
      </c>
      <c r="BF15">
        <v>6.5</v>
      </c>
      <c r="BG15">
        <v>8</v>
      </c>
      <c r="BH15">
        <v>-0.38888888888889106</v>
      </c>
      <c r="BI15">
        <v>11.222222222222221</v>
      </c>
      <c r="BJ15">
        <v>-0.11111111111111131</v>
      </c>
      <c r="BK15">
        <v>19</v>
      </c>
      <c r="BL15">
        <v>19.5</v>
      </c>
      <c r="BM15">
        <v>24</v>
      </c>
      <c r="BN15">
        <v>0.66666666666666663</v>
      </c>
      <c r="BO15">
        <v>15</v>
      </c>
      <c r="BP15">
        <v>0.44444444444444448</v>
      </c>
      <c r="BQ15">
        <v>-3</v>
      </c>
      <c r="BR15">
        <v>3</v>
      </c>
      <c r="BS15">
        <v>7.75</v>
      </c>
      <c r="BT15">
        <v>4</v>
      </c>
      <c r="BU15">
        <v>-4.3274460607674377E-2</v>
      </c>
      <c r="BV15">
        <v>8</v>
      </c>
      <c r="BW15">
        <v>-1.4720414289998267E-3</v>
      </c>
      <c r="BX15">
        <v>13</v>
      </c>
      <c r="BY15">
        <v>-9.9111111111111132</v>
      </c>
      <c r="BZ15">
        <v>6</v>
      </c>
      <c r="CA15">
        <v>-2.6666666666666665</v>
      </c>
      <c r="CB15">
        <v>3.4444444444444429</v>
      </c>
      <c r="CC15">
        <v>2.111111111111112</v>
      </c>
      <c r="CD15">
        <v>0</v>
      </c>
      <c r="CE15">
        <v>23.111111111111104</v>
      </c>
      <c r="CF15">
        <v>-16.222222222222218</v>
      </c>
      <c r="CG15">
        <v>37.111111111111114</v>
      </c>
      <c r="CH15">
        <v>-2.9605947323337506E-16</v>
      </c>
      <c r="CI15">
        <v>2.2222222222222219</v>
      </c>
      <c r="CJ15">
        <v>23</v>
      </c>
      <c r="CK15">
        <v>-2.3711111111111096</v>
      </c>
      <c r="CL15">
        <v>-1.0731111111111109</v>
      </c>
      <c r="CM15">
        <v>-53.333333333333329</v>
      </c>
      <c r="CN15">
        <v>2.3711111111111096</v>
      </c>
      <c r="CO15">
        <v>0.70083333333333353</v>
      </c>
      <c r="CP15">
        <v>1.8111111111111131</v>
      </c>
      <c r="CQ15">
        <v>-27.555555555555554</v>
      </c>
      <c r="CR15">
        <v>2.9444444444444451</v>
      </c>
      <c r="CS15">
        <v>27.222222222222225</v>
      </c>
      <c r="CT15">
        <v>2.3333333333333344</v>
      </c>
      <c r="CU15">
        <v>0.33333333333333326</v>
      </c>
      <c r="CV15">
        <v>3.6250000000000282E-2</v>
      </c>
      <c r="CW15">
        <v>0.32944444444444476</v>
      </c>
      <c r="CX15" t="s">
        <v>303</v>
      </c>
      <c r="CY15">
        <v>13</v>
      </c>
      <c r="CZ15">
        <v>1.6555555555555579</v>
      </c>
      <c r="DA15">
        <v>13</v>
      </c>
      <c r="DB15">
        <v>12</v>
      </c>
      <c r="DC15">
        <v>10</v>
      </c>
      <c r="DD15">
        <v>-5.355555555555557</v>
      </c>
      <c r="DE15">
        <v>14</v>
      </c>
      <c r="DF15">
        <v>-15.555555555555555</v>
      </c>
      <c r="DG15">
        <v>0.66666666666666652</v>
      </c>
      <c r="DH15">
        <v>6</v>
      </c>
      <c r="DI15">
        <v>8.5</v>
      </c>
      <c r="DJ15">
        <v>6</v>
      </c>
      <c r="DK15">
        <v>-1.3000000000000007</v>
      </c>
      <c r="DL15">
        <v>11</v>
      </c>
      <c r="DM15">
        <v>-6.666666666666667</v>
      </c>
      <c r="DN15">
        <v>-1.1111111111111109</v>
      </c>
      <c r="DO15">
        <v>18</v>
      </c>
      <c r="DP15">
        <v>25</v>
      </c>
      <c r="DQ15">
        <v>25</v>
      </c>
      <c r="DR15">
        <v>-7.5222222222222221</v>
      </c>
      <c r="DS15">
        <v>25</v>
      </c>
      <c r="DT15">
        <v>-46.55555555555555</v>
      </c>
      <c r="DU15">
        <v>-1.8888888888888886</v>
      </c>
      <c r="DV15">
        <v>9</v>
      </c>
      <c r="DW15">
        <v>10</v>
      </c>
      <c r="DX15">
        <v>11</v>
      </c>
      <c r="DY15">
        <v>6.511111111111112</v>
      </c>
      <c r="DZ15">
        <v>9</v>
      </c>
      <c r="EA15">
        <v>32.555555555555557</v>
      </c>
      <c r="EB15">
        <v>0</v>
      </c>
      <c r="EC15">
        <v>25</v>
      </c>
      <c r="ED15">
        <v>32</v>
      </c>
      <c r="EE15">
        <v>32</v>
      </c>
      <c r="EF15">
        <v>0.58888888888888913</v>
      </c>
      <c r="EG15">
        <v>32</v>
      </c>
      <c r="EH15">
        <v>-4.666666666666667</v>
      </c>
      <c r="EI15">
        <v>0.44444444444444448</v>
      </c>
      <c r="EJ15">
        <v>31</v>
      </c>
      <c r="EK15">
        <v>31</v>
      </c>
      <c r="EL15">
        <v>31</v>
      </c>
      <c r="EM15">
        <v>6.6222222222222227</v>
      </c>
      <c r="EN15">
        <v>31</v>
      </c>
      <c r="EO15">
        <v>17.333333333333329</v>
      </c>
      <c r="EP15">
        <v>1.7777777777777783</v>
      </c>
      <c r="EQ15">
        <v>22</v>
      </c>
      <c r="ER15">
        <v>23.5</v>
      </c>
      <c r="ES15">
        <v>26</v>
      </c>
      <c r="ET15">
        <v>2.7000000000000006</v>
      </c>
      <c r="EU15">
        <v>21</v>
      </c>
      <c r="EV15">
        <v>11.444444444444448</v>
      </c>
      <c r="EW15">
        <v>-0.55555555555555569</v>
      </c>
      <c r="EX15">
        <v>27</v>
      </c>
      <c r="EY15">
        <v>25.5</v>
      </c>
      <c r="EZ15">
        <v>22</v>
      </c>
      <c r="FA15">
        <v>0.66666666666666641</v>
      </c>
      <c r="FB15">
        <v>29</v>
      </c>
      <c r="FC15">
        <v>0.11111111111111109</v>
      </c>
      <c r="FD15">
        <v>0.66666666666666685</v>
      </c>
      <c r="FE15">
        <v>10</v>
      </c>
      <c r="FF15">
        <v>13.25</v>
      </c>
      <c r="FG15">
        <v>12</v>
      </c>
      <c r="FH15">
        <v>-8.6705940329128775E-2</v>
      </c>
      <c r="FI15">
        <v>11</v>
      </c>
      <c r="FJ15">
        <v>-1.0207184120227595E-2</v>
      </c>
      <c r="FK15">
        <v>12</v>
      </c>
      <c r="FL15">
        <v>-2.9111111111111163</v>
      </c>
      <c r="FM15">
        <v>18</v>
      </c>
      <c r="FN15">
        <v>-1.5555555555555554</v>
      </c>
      <c r="FO15">
        <v>0.1111111111111119</v>
      </c>
      <c r="FP15">
        <v>-1.6666666666666667</v>
      </c>
      <c r="FQ15">
        <v>-1.4802973661668753E-16</v>
      </c>
      <c r="FR15">
        <v>-1.5555555555555571</v>
      </c>
      <c r="FS15">
        <v>1.0000000000000007</v>
      </c>
      <c r="FT15">
        <v>0</v>
      </c>
      <c r="FU15">
        <v>-0.44444444444443815</v>
      </c>
      <c r="FV15">
        <v>20.555555555555554</v>
      </c>
      <c r="FW15">
        <v>-17.777777777777775</v>
      </c>
      <c r="FX15">
        <v>-2.2222222222222219</v>
      </c>
      <c r="FY15">
        <v>-1</v>
      </c>
      <c r="FZ15">
        <v>4</v>
      </c>
      <c r="GA15">
        <v>8.3111111111111153</v>
      </c>
      <c r="GB15">
        <v>4.1144444444444463</v>
      </c>
      <c r="GC15">
        <v>38.333333333333329</v>
      </c>
      <c r="GD15">
        <v>-8.3111111111111153</v>
      </c>
      <c r="GE15">
        <v>-0.2569444444444442</v>
      </c>
      <c r="GF15">
        <v>-0.42222222222222106</v>
      </c>
      <c r="GG15">
        <v>-18.666666666666661</v>
      </c>
      <c r="GH15">
        <v>-6.6555555555555577</v>
      </c>
      <c r="GI15">
        <v>-22.222222222222221</v>
      </c>
      <c r="GJ15">
        <v>-2</v>
      </c>
      <c r="GK15">
        <v>-0.44444444444444442</v>
      </c>
    </row>
    <row r="16" spans="1:193" x14ac:dyDescent="0.2">
      <c r="A16" s="39">
        <v>43737</v>
      </c>
      <c r="B16" s="26" t="s">
        <v>417</v>
      </c>
      <c r="C16" s="41" t="s">
        <v>297</v>
      </c>
      <c r="D16" s="27" t="s">
        <v>278</v>
      </c>
      <c r="E16">
        <v>11.6</v>
      </c>
      <c r="F16">
        <v>8.4</v>
      </c>
      <c r="G16">
        <v>2.7</v>
      </c>
      <c r="H16" s="14">
        <f>8.8+4.7</f>
        <v>13.5</v>
      </c>
      <c r="I16">
        <v>2.5</v>
      </c>
      <c r="J16">
        <v>37</v>
      </c>
      <c r="L16" s="1" t="s">
        <v>297</v>
      </c>
      <c r="M16">
        <v>27</v>
      </c>
      <c r="N16">
        <v>1.3888888888888893</v>
      </c>
      <c r="O16">
        <v>10</v>
      </c>
      <c r="P16">
        <v>9.5</v>
      </c>
      <c r="Q16">
        <v>3</v>
      </c>
      <c r="R16">
        <v>-2.9555555555555544</v>
      </c>
      <c r="S16">
        <v>16</v>
      </c>
      <c r="T16">
        <v>-11.444444444444443</v>
      </c>
      <c r="U16">
        <v>1.5555555555555554</v>
      </c>
      <c r="V16">
        <v>28</v>
      </c>
      <c r="W16">
        <v>28.5</v>
      </c>
      <c r="X16">
        <v>26</v>
      </c>
      <c r="Y16">
        <v>-4.5333333333333341</v>
      </c>
      <c r="Z16">
        <v>31</v>
      </c>
      <c r="AA16">
        <v>-13.777777777777777</v>
      </c>
      <c r="AB16">
        <v>-1.5555555555555556</v>
      </c>
      <c r="AC16">
        <v>31</v>
      </c>
      <c r="AD16">
        <v>31.5</v>
      </c>
      <c r="AE16">
        <v>32</v>
      </c>
      <c r="AF16">
        <v>-7.9777777777777779</v>
      </c>
      <c r="AG16">
        <v>31</v>
      </c>
      <c r="AH16">
        <v>-38.777777777777779</v>
      </c>
      <c r="AI16">
        <v>-2.5555555555555549</v>
      </c>
      <c r="AJ16">
        <v>7</v>
      </c>
      <c r="AK16">
        <v>8</v>
      </c>
      <c r="AL16">
        <v>4</v>
      </c>
      <c r="AM16">
        <v>7.2444444444444445</v>
      </c>
      <c r="AN16">
        <v>12</v>
      </c>
      <c r="AO16">
        <v>27.777777777777782</v>
      </c>
      <c r="AP16">
        <v>0.11111111111111101</v>
      </c>
      <c r="AQ16">
        <v>3</v>
      </c>
      <c r="AR16">
        <v>3</v>
      </c>
      <c r="AS16">
        <v>3</v>
      </c>
      <c r="AT16">
        <v>4.8444444444444441</v>
      </c>
      <c r="AU16">
        <v>3</v>
      </c>
      <c r="AV16">
        <v>29.666666666666668</v>
      </c>
      <c r="AW16">
        <v>-1.0000000000000002</v>
      </c>
      <c r="AX16">
        <v>13</v>
      </c>
      <c r="AY16">
        <v>12.5</v>
      </c>
      <c r="AZ16">
        <v>10</v>
      </c>
      <c r="BA16">
        <v>-4.2777777777777777</v>
      </c>
      <c r="BB16">
        <v>15</v>
      </c>
      <c r="BC16">
        <v>-26.111111111111111</v>
      </c>
      <c r="BD16">
        <v>-1.3333333333333333</v>
      </c>
      <c r="BE16">
        <v>32</v>
      </c>
      <c r="BF16">
        <v>31</v>
      </c>
      <c r="BG16">
        <v>32</v>
      </c>
      <c r="BH16">
        <v>-0.16666666666666666</v>
      </c>
      <c r="BI16">
        <v>-8.8888888888888875</v>
      </c>
      <c r="BJ16">
        <v>-0.44444444444444436</v>
      </c>
      <c r="BK16">
        <v>27</v>
      </c>
      <c r="BL16">
        <v>27</v>
      </c>
      <c r="BM16">
        <v>27</v>
      </c>
      <c r="BN16">
        <v>1.7777777777777777</v>
      </c>
      <c r="BO16">
        <v>27</v>
      </c>
      <c r="BP16">
        <v>0.44444444444444459</v>
      </c>
      <c r="BQ16">
        <v>2.1111111111111112</v>
      </c>
      <c r="BR16">
        <v>7</v>
      </c>
      <c r="BS16">
        <v>11.25</v>
      </c>
      <c r="BT16">
        <v>7</v>
      </c>
      <c r="BU16">
        <v>2.342107916190117E-2</v>
      </c>
      <c r="BV16">
        <v>17</v>
      </c>
      <c r="BW16">
        <v>-1.9556832313889508E-2</v>
      </c>
      <c r="BX16">
        <v>18</v>
      </c>
      <c r="BY16">
        <v>1.6444444444444457</v>
      </c>
      <c r="BZ16">
        <v>3</v>
      </c>
      <c r="CA16">
        <v>-2.4444444444444442</v>
      </c>
      <c r="CB16">
        <v>-9.3333333333333339</v>
      </c>
      <c r="CC16">
        <v>-0.44444444444444403</v>
      </c>
      <c r="CD16">
        <v>0</v>
      </c>
      <c r="CE16">
        <v>-36.444444444444436</v>
      </c>
      <c r="CF16">
        <v>-5.5555555555555527</v>
      </c>
      <c r="CG16">
        <v>-36.777777777777779</v>
      </c>
      <c r="CH16">
        <v>-0.11111111111111116</v>
      </c>
      <c r="CI16">
        <v>6.0000000000000009</v>
      </c>
      <c r="CJ16">
        <v>3</v>
      </c>
      <c r="CK16">
        <v>8.8777777777777764</v>
      </c>
      <c r="CL16">
        <v>4.8111111111111109</v>
      </c>
      <c r="CM16">
        <v>31.222222222222225</v>
      </c>
      <c r="CN16">
        <v>-8.8777777777777782</v>
      </c>
      <c r="CO16">
        <v>-4.7222222222222221E-2</v>
      </c>
      <c r="CP16">
        <v>4.1111111111111107</v>
      </c>
      <c r="CQ16">
        <v>18.666666666666671</v>
      </c>
      <c r="CR16">
        <v>-7.4888888888888889</v>
      </c>
      <c r="CS16">
        <v>-25.222222222222221</v>
      </c>
      <c r="CT16">
        <v>-3.888888888888888</v>
      </c>
      <c r="CU16">
        <v>0</v>
      </c>
      <c r="CV16">
        <v>-0.77874999999999983</v>
      </c>
      <c r="CW16">
        <v>-1.8433333333333328</v>
      </c>
      <c r="CX16" t="s">
        <v>278</v>
      </c>
      <c r="CY16">
        <v>15</v>
      </c>
      <c r="CZ16">
        <v>-2.1577777777777771</v>
      </c>
      <c r="DA16">
        <v>28</v>
      </c>
      <c r="DB16">
        <v>24.5</v>
      </c>
      <c r="DC16">
        <v>25</v>
      </c>
      <c r="DD16">
        <v>4.7777777777777786</v>
      </c>
      <c r="DE16">
        <v>24</v>
      </c>
      <c r="DF16">
        <v>-5.666666666666667</v>
      </c>
      <c r="DG16">
        <v>-0.33333333333333331</v>
      </c>
      <c r="DH16">
        <v>28</v>
      </c>
      <c r="DI16">
        <v>25.5</v>
      </c>
      <c r="DJ16">
        <v>28</v>
      </c>
      <c r="DK16">
        <v>-1.2777777777777779</v>
      </c>
      <c r="DL16">
        <v>23</v>
      </c>
      <c r="DM16">
        <v>12.888888888888891</v>
      </c>
      <c r="DN16">
        <v>-1.3333333333333333</v>
      </c>
      <c r="DO16">
        <v>14</v>
      </c>
      <c r="DP16">
        <v>8.5</v>
      </c>
      <c r="DQ16">
        <v>9</v>
      </c>
      <c r="DR16">
        <v>-0.16666666666666727</v>
      </c>
      <c r="DS16">
        <v>8</v>
      </c>
      <c r="DT16">
        <v>2.7777777777777763</v>
      </c>
      <c r="DU16">
        <v>-1.2222222222222223</v>
      </c>
      <c r="DV16">
        <v>17</v>
      </c>
      <c r="DW16">
        <v>16.5</v>
      </c>
      <c r="DX16">
        <v>14</v>
      </c>
      <c r="DY16">
        <v>-0.38888888888888956</v>
      </c>
      <c r="DZ16">
        <v>19</v>
      </c>
      <c r="EA16">
        <v>2.6666666666666679</v>
      </c>
      <c r="EB16">
        <v>-0.44444444444444436</v>
      </c>
      <c r="EC16">
        <v>15</v>
      </c>
      <c r="ED16">
        <v>7.5</v>
      </c>
      <c r="EE16">
        <v>9</v>
      </c>
      <c r="EF16">
        <v>-2.0444444444444443</v>
      </c>
      <c r="EG16">
        <v>6</v>
      </c>
      <c r="EH16">
        <v>-5.1111111111111116</v>
      </c>
      <c r="EI16">
        <v>-0.55555555555555547</v>
      </c>
      <c r="EJ16">
        <v>30</v>
      </c>
      <c r="EK16">
        <v>28.5</v>
      </c>
      <c r="EL16">
        <v>28</v>
      </c>
      <c r="EM16">
        <v>-2.5111111111111115</v>
      </c>
      <c r="EN16">
        <v>29</v>
      </c>
      <c r="EO16">
        <v>-6.2222222222222214</v>
      </c>
      <c r="EP16">
        <v>-2.2222222222222223</v>
      </c>
      <c r="EQ16">
        <v>6</v>
      </c>
      <c r="ER16">
        <v>8</v>
      </c>
      <c r="ES16">
        <v>9</v>
      </c>
      <c r="ET16">
        <v>-1.0111111111111126</v>
      </c>
      <c r="EU16">
        <v>7</v>
      </c>
      <c r="EV16">
        <v>-0.44444444444444525</v>
      </c>
      <c r="EW16">
        <v>0.11111111111111131</v>
      </c>
      <c r="EX16">
        <v>9</v>
      </c>
      <c r="EY16">
        <v>9.5</v>
      </c>
      <c r="EZ16">
        <v>8</v>
      </c>
      <c r="FA16">
        <v>4.5555555555555554</v>
      </c>
      <c r="FB16">
        <v>11</v>
      </c>
      <c r="FC16">
        <v>0.88888888888888895</v>
      </c>
      <c r="FD16">
        <v>-1.5555555555555554</v>
      </c>
      <c r="FE16">
        <v>12</v>
      </c>
      <c r="FF16">
        <v>14.5</v>
      </c>
      <c r="FG16">
        <v>25</v>
      </c>
      <c r="FH16">
        <v>-5.7999190067827743E-2</v>
      </c>
      <c r="FI16">
        <v>6</v>
      </c>
      <c r="FJ16">
        <v>-6.1172051050811277E-2</v>
      </c>
      <c r="FK16">
        <v>10</v>
      </c>
      <c r="FL16">
        <v>-5.4555555555555557</v>
      </c>
      <c r="FM16">
        <v>17</v>
      </c>
      <c r="FN16">
        <v>-5.5555555555555562</v>
      </c>
      <c r="FO16">
        <v>-5.333333333333333</v>
      </c>
      <c r="FP16">
        <v>3.3333333333333344</v>
      </c>
      <c r="FQ16">
        <v>-0.33333333333333343</v>
      </c>
      <c r="FR16">
        <v>-4.7777777777777786</v>
      </c>
      <c r="FS16">
        <v>5.7777777777777786</v>
      </c>
      <c r="FT16">
        <v>-0.77777777777777779</v>
      </c>
      <c r="FU16">
        <v>3.2222222222222285</v>
      </c>
      <c r="FV16">
        <v>-9.2222222222222197</v>
      </c>
      <c r="FW16">
        <v>3.4444444444444451</v>
      </c>
      <c r="FX16">
        <v>11.33333333333333</v>
      </c>
      <c r="FY16">
        <v>-2.3333333333333335</v>
      </c>
      <c r="FZ16">
        <v>25</v>
      </c>
      <c r="GA16">
        <v>-5.6577777777777785</v>
      </c>
      <c r="GB16">
        <v>-2.9037777777777789</v>
      </c>
      <c r="GC16">
        <v>-12.666666666666664</v>
      </c>
      <c r="GD16">
        <v>5.6577777777777776</v>
      </c>
      <c r="GE16">
        <v>0.28583333333333316</v>
      </c>
      <c r="GF16">
        <v>-2.600000000000001</v>
      </c>
      <c r="GG16">
        <v>0.33333333333333304</v>
      </c>
      <c r="GH16">
        <v>3.5000000000000009</v>
      </c>
      <c r="GI16">
        <v>7.2222222222222241</v>
      </c>
      <c r="GJ16">
        <v>-2.1111111111111112</v>
      </c>
      <c r="GK16">
        <v>-1.6666666666666665</v>
      </c>
    </row>
    <row r="17" spans="1:193" x14ac:dyDescent="0.2">
      <c r="A17" s="39">
        <v>43737</v>
      </c>
      <c r="B17" s="26" t="s">
        <v>417</v>
      </c>
      <c r="C17" s="41" t="s">
        <v>288</v>
      </c>
      <c r="D17" s="27" t="s">
        <v>299</v>
      </c>
      <c r="E17">
        <v>7.4</v>
      </c>
      <c r="F17">
        <v>7.5</v>
      </c>
      <c r="G17" s="14">
        <v>1.9</v>
      </c>
      <c r="H17" s="14">
        <v>21.8</v>
      </c>
      <c r="I17">
        <v>-7.5</v>
      </c>
      <c r="J17">
        <v>54.5</v>
      </c>
      <c r="L17" s="1" t="s">
        <v>288</v>
      </c>
      <c r="M17">
        <v>8</v>
      </c>
      <c r="N17">
        <v>11.582222222222223</v>
      </c>
      <c r="O17">
        <v>32</v>
      </c>
      <c r="P17">
        <v>30</v>
      </c>
      <c r="Q17">
        <v>28</v>
      </c>
      <c r="R17">
        <v>3.1777777777777776</v>
      </c>
      <c r="S17">
        <v>32</v>
      </c>
      <c r="T17">
        <v>-15.222222222222223</v>
      </c>
      <c r="U17">
        <v>1.2222222222222223</v>
      </c>
      <c r="V17">
        <v>17</v>
      </c>
      <c r="W17">
        <v>16.5</v>
      </c>
      <c r="X17">
        <v>19</v>
      </c>
      <c r="Y17">
        <v>3.5666666666666664</v>
      </c>
      <c r="Z17">
        <v>14</v>
      </c>
      <c r="AA17">
        <v>19.222222222222225</v>
      </c>
      <c r="AB17">
        <v>1.3333333333333333</v>
      </c>
      <c r="AC17">
        <v>8</v>
      </c>
      <c r="AD17">
        <v>7</v>
      </c>
      <c r="AE17">
        <v>6</v>
      </c>
      <c r="AF17">
        <v>8.6000000000000014</v>
      </c>
      <c r="AG17">
        <v>8</v>
      </c>
      <c r="AH17">
        <v>39.44444444444445</v>
      </c>
      <c r="AI17">
        <v>3.4444444444444442</v>
      </c>
      <c r="AJ17">
        <v>26</v>
      </c>
      <c r="AK17">
        <v>26.5</v>
      </c>
      <c r="AL17">
        <v>27</v>
      </c>
      <c r="AM17">
        <v>3.6666666666666674</v>
      </c>
      <c r="AN17">
        <v>26</v>
      </c>
      <c r="AO17">
        <v>4.3333333333333357</v>
      </c>
      <c r="AP17">
        <v>-1.8888888888888886</v>
      </c>
      <c r="AQ17">
        <v>9</v>
      </c>
      <c r="AR17">
        <v>9.5</v>
      </c>
      <c r="AS17">
        <v>11</v>
      </c>
      <c r="AT17">
        <v>5.2666666666666675</v>
      </c>
      <c r="AU17">
        <v>8</v>
      </c>
      <c r="AV17">
        <v>23.666666666666668</v>
      </c>
      <c r="AW17">
        <v>0.33333333333333331</v>
      </c>
      <c r="AX17">
        <v>2</v>
      </c>
      <c r="AY17">
        <v>3.5</v>
      </c>
      <c r="AZ17">
        <v>4</v>
      </c>
      <c r="BA17">
        <v>10.977777777777776</v>
      </c>
      <c r="BB17">
        <v>3</v>
      </c>
      <c r="BC17">
        <v>49.777777777777771</v>
      </c>
      <c r="BD17">
        <v>3.8888888888888888</v>
      </c>
      <c r="BE17">
        <v>3</v>
      </c>
      <c r="BF17">
        <v>3.5</v>
      </c>
      <c r="BG17">
        <v>4</v>
      </c>
      <c r="BH17">
        <v>7.2555555555555573</v>
      </c>
      <c r="BI17">
        <v>34.222222222222221</v>
      </c>
      <c r="BJ17">
        <v>2</v>
      </c>
      <c r="BK17">
        <v>15</v>
      </c>
      <c r="BL17">
        <v>14.5</v>
      </c>
      <c r="BM17">
        <v>12</v>
      </c>
      <c r="BN17">
        <v>1.8888888888888886</v>
      </c>
      <c r="BO17">
        <v>17</v>
      </c>
      <c r="BP17">
        <v>0</v>
      </c>
      <c r="BQ17">
        <v>2.1111111111111112</v>
      </c>
      <c r="BR17">
        <v>29</v>
      </c>
      <c r="BS17">
        <v>25</v>
      </c>
      <c r="BT17">
        <v>26</v>
      </c>
      <c r="BU17">
        <v>-0.10158049686351572</v>
      </c>
      <c r="BV17">
        <v>23</v>
      </c>
      <c r="BW17">
        <v>-4.2315071888492727E-2</v>
      </c>
      <c r="BX17">
        <v>25</v>
      </c>
      <c r="BY17">
        <v>18.255555555555556</v>
      </c>
      <c r="BZ17">
        <v>26</v>
      </c>
      <c r="CA17">
        <v>-5</v>
      </c>
      <c r="CB17">
        <v>3.2222222222222214</v>
      </c>
      <c r="CC17">
        <v>10.222222222222223</v>
      </c>
      <c r="CD17">
        <v>0</v>
      </c>
      <c r="CE17">
        <v>105.77777777777777</v>
      </c>
      <c r="CF17">
        <v>105.11111111111113</v>
      </c>
      <c r="CG17">
        <v>2.7777777777777808</v>
      </c>
      <c r="CH17">
        <v>3</v>
      </c>
      <c r="CI17">
        <v>-5.1111111111111107</v>
      </c>
      <c r="CJ17">
        <v>7</v>
      </c>
      <c r="CK17">
        <v>4.8377777777777791</v>
      </c>
      <c r="CL17">
        <v>3.9020000000000019</v>
      </c>
      <c r="CM17">
        <v>102.33333333333334</v>
      </c>
      <c r="CN17">
        <v>-4.8377777777777791</v>
      </c>
      <c r="CO17">
        <v>5.6255555555555565</v>
      </c>
      <c r="CP17">
        <v>17.533333333333339</v>
      </c>
      <c r="CQ17">
        <v>67.444444444444457</v>
      </c>
      <c r="CR17">
        <v>6.7444444444444436</v>
      </c>
      <c r="CS17">
        <v>4.0000000000000018</v>
      </c>
      <c r="CT17">
        <v>3.8888888888888888</v>
      </c>
      <c r="CU17">
        <v>2.5555555555555554</v>
      </c>
      <c r="CV17">
        <v>-0.53541666666666665</v>
      </c>
      <c r="CW17">
        <v>-0.39527777777777806</v>
      </c>
      <c r="CX17" t="s">
        <v>299</v>
      </c>
      <c r="CY17">
        <v>3</v>
      </c>
      <c r="CZ17">
        <v>-2.3155555555555534</v>
      </c>
      <c r="DA17">
        <v>14</v>
      </c>
      <c r="DB17">
        <v>16</v>
      </c>
      <c r="DC17">
        <v>14</v>
      </c>
      <c r="DD17">
        <v>3.933333333333334</v>
      </c>
      <c r="DE17">
        <v>18</v>
      </c>
      <c r="DF17">
        <v>22.666666666666668</v>
      </c>
      <c r="DG17">
        <v>0.4444444444444442</v>
      </c>
      <c r="DH17">
        <v>11</v>
      </c>
      <c r="DI17">
        <v>14</v>
      </c>
      <c r="DJ17">
        <v>3</v>
      </c>
      <c r="DK17">
        <v>1.1111111111110924E-2</v>
      </c>
      <c r="DL17">
        <v>25</v>
      </c>
      <c r="DM17">
        <v>6.1111111111111107</v>
      </c>
      <c r="DN17">
        <v>-1.4444444444444444</v>
      </c>
      <c r="DO17">
        <v>10</v>
      </c>
      <c r="DP17">
        <v>9.5</v>
      </c>
      <c r="DQ17">
        <v>10</v>
      </c>
      <c r="DR17">
        <v>-2.0555555555555571</v>
      </c>
      <c r="DS17">
        <v>9</v>
      </c>
      <c r="DT17">
        <v>-8.8888888888888857</v>
      </c>
      <c r="DU17">
        <v>2</v>
      </c>
      <c r="DV17">
        <v>3</v>
      </c>
      <c r="DW17">
        <v>3.5</v>
      </c>
      <c r="DX17">
        <v>4</v>
      </c>
      <c r="DY17">
        <v>-3.6999999999999993</v>
      </c>
      <c r="DZ17">
        <v>3</v>
      </c>
      <c r="EA17">
        <v>-10.777777777777779</v>
      </c>
      <c r="EB17">
        <v>0</v>
      </c>
      <c r="EC17">
        <v>15</v>
      </c>
      <c r="ED17">
        <v>3.5</v>
      </c>
      <c r="EE17">
        <v>3</v>
      </c>
      <c r="EF17">
        <v>0.71111111111111081</v>
      </c>
      <c r="EG17">
        <v>4</v>
      </c>
      <c r="EH17">
        <v>7.1111111111111098</v>
      </c>
      <c r="EI17">
        <v>0.44444444444444448</v>
      </c>
      <c r="EJ17">
        <v>2</v>
      </c>
      <c r="EK17">
        <v>3.5</v>
      </c>
      <c r="EL17">
        <v>3</v>
      </c>
      <c r="EM17">
        <v>-0.88888888888888928</v>
      </c>
      <c r="EN17">
        <v>4</v>
      </c>
      <c r="EO17">
        <v>-12.222222222222229</v>
      </c>
      <c r="EP17">
        <v>0.66666666666666663</v>
      </c>
      <c r="EQ17">
        <v>11</v>
      </c>
      <c r="ER17">
        <v>12.5</v>
      </c>
      <c r="ES17">
        <v>8</v>
      </c>
      <c r="ET17">
        <v>-2.1</v>
      </c>
      <c r="EU17">
        <v>17</v>
      </c>
      <c r="EV17">
        <v>-7.6666666666666687</v>
      </c>
      <c r="EW17">
        <v>-1.7777777777777779</v>
      </c>
      <c r="EX17">
        <v>12</v>
      </c>
      <c r="EY17">
        <v>12.5</v>
      </c>
      <c r="EZ17">
        <v>7</v>
      </c>
      <c r="FA17">
        <v>0.11111111111111131</v>
      </c>
      <c r="FB17">
        <v>18</v>
      </c>
      <c r="FC17">
        <v>0.55555555555555558</v>
      </c>
      <c r="FD17">
        <v>2</v>
      </c>
      <c r="FE17">
        <v>24</v>
      </c>
      <c r="FF17">
        <v>21</v>
      </c>
      <c r="FG17">
        <v>26</v>
      </c>
      <c r="FH17">
        <v>-3.1128417857400632E-2</v>
      </c>
      <c r="FI17">
        <v>23</v>
      </c>
      <c r="FJ17">
        <v>-1.4308179436437694E-2</v>
      </c>
      <c r="FK17">
        <v>5</v>
      </c>
      <c r="FL17">
        <v>-13.433333333333332</v>
      </c>
      <c r="FM17">
        <v>30</v>
      </c>
      <c r="FN17">
        <v>1.7777777777777777</v>
      </c>
      <c r="FO17">
        <v>0.22222222222222379</v>
      </c>
      <c r="FP17">
        <v>4.2222222222222232</v>
      </c>
      <c r="FQ17">
        <v>-0.55555555555555558</v>
      </c>
      <c r="FR17">
        <v>3.1111111111111072</v>
      </c>
      <c r="FS17">
        <v>-1.8888888888888882</v>
      </c>
      <c r="FT17">
        <v>0</v>
      </c>
      <c r="FU17">
        <v>23.777777777777789</v>
      </c>
      <c r="FV17">
        <v>-2.3333333333333521</v>
      </c>
      <c r="FW17">
        <v>21.777777777777782</v>
      </c>
      <c r="FX17">
        <v>2.1111111111111112</v>
      </c>
      <c r="FY17">
        <v>2.2222222222222228</v>
      </c>
      <c r="FZ17">
        <v>27</v>
      </c>
      <c r="GA17">
        <v>-6.259999999999998</v>
      </c>
      <c r="GB17">
        <v>-3.8642222222222227</v>
      </c>
      <c r="GC17">
        <v>-24.111111111111136</v>
      </c>
      <c r="GD17">
        <v>6.259999999999998</v>
      </c>
      <c r="GE17">
        <v>-0.67555555555555535</v>
      </c>
      <c r="GF17">
        <v>-5.0444444444444461</v>
      </c>
      <c r="GG17">
        <v>-12.555555555555554</v>
      </c>
      <c r="GH17">
        <v>3.9444444444444451</v>
      </c>
      <c r="GI17">
        <v>28.777777777777779</v>
      </c>
      <c r="GJ17">
        <v>0.66666666666666674</v>
      </c>
      <c r="GK17">
        <v>-1.0000000000000002</v>
      </c>
    </row>
    <row r="18" spans="1:193" x14ac:dyDescent="0.2">
      <c r="A18" s="39">
        <v>43737</v>
      </c>
      <c r="B18" s="26" t="s">
        <v>417</v>
      </c>
      <c r="C18" s="41" t="s">
        <v>303</v>
      </c>
      <c r="D18" s="27" t="s">
        <v>289</v>
      </c>
      <c r="E18">
        <v>12.6</v>
      </c>
      <c r="F18">
        <v>3.8</v>
      </c>
      <c r="G18">
        <v>13.4</v>
      </c>
      <c r="H18" s="14">
        <f>12.3+12</f>
        <v>24.3</v>
      </c>
      <c r="I18">
        <v>5</v>
      </c>
      <c r="J18">
        <v>46</v>
      </c>
      <c r="K18" t="s">
        <v>110</v>
      </c>
      <c r="L18" s="1" t="s">
        <v>303</v>
      </c>
      <c r="M18">
        <v>29</v>
      </c>
      <c r="N18">
        <v>-2.42</v>
      </c>
      <c r="O18">
        <v>7</v>
      </c>
      <c r="P18">
        <v>7.5</v>
      </c>
      <c r="Q18">
        <v>12</v>
      </c>
      <c r="R18">
        <v>-3.9888888888888885</v>
      </c>
      <c r="S18">
        <v>3</v>
      </c>
      <c r="T18">
        <v>7.8888888888888902</v>
      </c>
      <c r="U18">
        <v>-2.0000000000000004</v>
      </c>
      <c r="V18">
        <v>22</v>
      </c>
      <c r="W18">
        <v>19.5</v>
      </c>
      <c r="X18">
        <v>17</v>
      </c>
      <c r="Y18">
        <v>-2.8111111111111113</v>
      </c>
      <c r="Z18">
        <v>22</v>
      </c>
      <c r="AA18">
        <v>-17.111111111111111</v>
      </c>
      <c r="AB18">
        <v>-0.33333333333333331</v>
      </c>
      <c r="AC18">
        <v>30</v>
      </c>
      <c r="AD18">
        <v>30.5</v>
      </c>
      <c r="AE18">
        <v>31</v>
      </c>
      <c r="AF18">
        <v>3.4999999999999996</v>
      </c>
      <c r="AG18">
        <v>30</v>
      </c>
      <c r="AH18">
        <v>5.4444444444444455</v>
      </c>
      <c r="AI18">
        <v>-1.3333333333333333</v>
      </c>
      <c r="AJ18">
        <v>24</v>
      </c>
      <c r="AK18">
        <v>23</v>
      </c>
      <c r="AL18">
        <v>22</v>
      </c>
      <c r="AM18">
        <v>-5.2444444444444445</v>
      </c>
      <c r="AN18">
        <v>24</v>
      </c>
      <c r="AO18">
        <v>-26.666666666666668</v>
      </c>
      <c r="AP18">
        <v>-0.11111111111111101</v>
      </c>
      <c r="AQ18">
        <v>25</v>
      </c>
      <c r="AR18">
        <v>25</v>
      </c>
      <c r="AS18">
        <v>25</v>
      </c>
      <c r="AT18">
        <v>-1.7666666666666664</v>
      </c>
      <c r="AU18">
        <v>25</v>
      </c>
      <c r="AV18">
        <v>-13.666666666666666</v>
      </c>
      <c r="AW18">
        <v>0.22222222222222218</v>
      </c>
      <c r="AX18">
        <v>24</v>
      </c>
      <c r="AY18">
        <v>25</v>
      </c>
      <c r="AZ18">
        <v>27</v>
      </c>
      <c r="BA18">
        <v>1.0333333333333339</v>
      </c>
      <c r="BB18">
        <v>23</v>
      </c>
      <c r="BC18">
        <v>-8.5555555555555554</v>
      </c>
      <c r="BD18">
        <v>0.33333333333333304</v>
      </c>
      <c r="BE18">
        <v>5</v>
      </c>
      <c r="BF18">
        <v>6</v>
      </c>
      <c r="BG18">
        <v>6</v>
      </c>
      <c r="BH18">
        <v>7.9555555555555557</v>
      </c>
      <c r="BI18">
        <v>39.222222222222221</v>
      </c>
      <c r="BJ18">
        <v>2.5555555555555558</v>
      </c>
      <c r="BK18">
        <v>19</v>
      </c>
      <c r="BL18">
        <v>19.5</v>
      </c>
      <c r="BM18">
        <v>26</v>
      </c>
      <c r="BN18">
        <v>-1.8888888888888886</v>
      </c>
      <c r="BO18">
        <v>13</v>
      </c>
      <c r="BP18">
        <v>-0.33333333333333331</v>
      </c>
      <c r="BQ18">
        <v>-1.5555555555555554</v>
      </c>
      <c r="BR18">
        <v>19</v>
      </c>
      <c r="BS18">
        <v>17.25</v>
      </c>
      <c r="BT18">
        <v>14</v>
      </c>
      <c r="BU18">
        <v>-7.8911514042612305E-2</v>
      </c>
      <c r="BV18">
        <v>21</v>
      </c>
      <c r="BW18">
        <v>1.4589587861721679E-2</v>
      </c>
      <c r="BX18">
        <v>32</v>
      </c>
      <c r="BY18">
        <v>13.333333333333337</v>
      </c>
      <c r="BZ18">
        <v>2</v>
      </c>
      <c r="CA18">
        <v>0.66666666666666685</v>
      </c>
      <c r="CB18">
        <v>-3.111111111111112</v>
      </c>
      <c r="CC18">
        <v>-3.7777777777777768</v>
      </c>
      <c r="CD18">
        <v>0</v>
      </c>
      <c r="CE18">
        <v>-20.888888888888875</v>
      </c>
      <c r="CF18">
        <v>-9.6666666666666661</v>
      </c>
      <c r="CG18">
        <v>-0.7777777777777809</v>
      </c>
      <c r="CH18">
        <v>-5.666666666666667</v>
      </c>
      <c r="CI18">
        <v>-4.7777777777777777</v>
      </c>
      <c r="CJ18">
        <v>9</v>
      </c>
      <c r="CK18">
        <v>4.38</v>
      </c>
      <c r="CL18">
        <v>3.8048888888888888</v>
      </c>
      <c r="CM18">
        <v>-8.8888888888888857</v>
      </c>
      <c r="CN18">
        <v>-4.38</v>
      </c>
      <c r="CO18">
        <v>-0.83305555555555555</v>
      </c>
      <c r="CP18">
        <v>-3.5111111111111111</v>
      </c>
      <c r="CQ18">
        <v>-34.888888888888886</v>
      </c>
      <c r="CR18">
        <v>-6.8</v>
      </c>
      <c r="CS18">
        <v>-9.2222222222222214</v>
      </c>
      <c r="CT18">
        <v>1.3333333333333337</v>
      </c>
      <c r="CU18">
        <v>-2.3333333333333339</v>
      </c>
      <c r="CV18">
        <v>3.6250000000000282E-2</v>
      </c>
      <c r="CW18">
        <v>-0.2569444444444442</v>
      </c>
      <c r="CX18" t="s">
        <v>289</v>
      </c>
      <c r="CY18">
        <v>25</v>
      </c>
      <c r="CZ18">
        <v>0.93555555555555614</v>
      </c>
      <c r="DA18">
        <v>20</v>
      </c>
      <c r="DB18">
        <v>21</v>
      </c>
      <c r="DC18">
        <v>17</v>
      </c>
      <c r="DD18">
        <v>4.8888888888888893</v>
      </c>
      <c r="DE18">
        <v>25</v>
      </c>
      <c r="DF18">
        <v>20.333333333333332</v>
      </c>
      <c r="DG18">
        <v>0.3333333333333332</v>
      </c>
      <c r="DH18">
        <v>16</v>
      </c>
      <c r="DI18">
        <v>16.5</v>
      </c>
      <c r="DJ18">
        <v>26</v>
      </c>
      <c r="DK18">
        <v>-1.2666666666666668</v>
      </c>
      <c r="DL18">
        <v>7</v>
      </c>
      <c r="DM18">
        <v>-4</v>
      </c>
      <c r="DN18">
        <v>-0.44444444444444442</v>
      </c>
      <c r="DO18">
        <v>24</v>
      </c>
      <c r="DP18">
        <v>20</v>
      </c>
      <c r="DQ18">
        <v>21</v>
      </c>
      <c r="DR18">
        <v>1.5888888888888886</v>
      </c>
      <c r="DS18">
        <v>19</v>
      </c>
      <c r="DT18">
        <v>12.888888888888895</v>
      </c>
      <c r="DU18">
        <v>-1.3333333333333333</v>
      </c>
      <c r="DV18">
        <v>5</v>
      </c>
      <c r="DW18">
        <v>5.5</v>
      </c>
      <c r="DX18">
        <v>7</v>
      </c>
      <c r="DY18">
        <v>-7.7777777777777777</v>
      </c>
      <c r="DZ18">
        <v>4</v>
      </c>
      <c r="EA18">
        <v>-41.111111111111114</v>
      </c>
      <c r="EB18">
        <v>-2.5555555555555558</v>
      </c>
      <c r="EC18">
        <v>29</v>
      </c>
      <c r="ED18">
        <v>26</v>
      </c>
      <c r="EE18">
        <v>24</v>
      </c>
      <c r="EF18">
        <v>1.2777777777777779</v>
      </c>
      <c r="EG18">
        <v>28</v>
      </c>
      <c r="EH18">
        <v>4.3333333333333321</v>
      </c>
      <c r="EI18">
        <v>-0.22222222222222202</v>
      </c>
      <c r="EJ18">
        <v>17</v>
      </c>
      <c r="EK18">
        <v>16.5</v>
      </c>
      <c r="EL18">
        <v>15</v>
      </c>
      <c r="EM18">
        <v>4.8555555555555552</v>
      </c>
      <c r="EN18">
        <v>18</v>
      </c>
      <c r="EO18">
        <v>23</v>
      </c>
      <c r="EP18">
        <v>0.44444444444444403</v>
      </c>
      <c r="EQ18">
        <v>27</v>
      </c>
      <c r="ER18">
        <v>26</v>
      </c>
      <c r="ES18">
        <v>27</v>
      </c>
      <c r="ET18">
        <v>2.6555555555555572</v>
      </c>
      <c r="EU18">
        <v>25</v>
      </c>
      <c r="EV18">
        <v>8.7777777777777786</v>
      </c>
      <c r="EW18">
        <v>0.55555555555555547</v>
      </c>
      <c r="EX18">
        <v>5</v>
      </c>
      <c r="EY18">
        <v>4.5</v>
      </c>
      <c r="EZ18">
        <v>5</v>
      </c>
      <c r="FA18">
        <v>0.33333333333333304</v>
      </c>
      <c r="FB18">
        <v>4</v>
      </c>
      <c r="FC18">
        <v>-0.11111111111111109</v>
      </c>
      <c r="FD18">
        <v>-2.6666666666666665</v>
      </c>
      <c r="FE18">
        <v>28</v>
      </c>
      <c r="FF18">
        <v>23</v>
      </c>
      <c r="FG18">
        <v>27</v>
      </c>
      <c r="FH18">
        <v>-5.3848962439806913E-2</v>
      </c>
      <c r="FI18">
        <v>18</v>
      </c>
      <c r="FJ18">
        <v>-9.9161924054343795E-3</v>
      </c>
      <c r="FK18">
        <v>26</v>
      </c>
      <c r="FL18">
        <v>21.211111111111112</v>
      </c>
      <c r="FM18">
        <v>21</v>
      </c>
      <c r="FN18">
        <v>-3</v>
      </c>
      <c r="FO18">
        <v>-4.7777777777777777</v>
      </c>
      <c r="FP18">
        <v>0.11111111111111131</v>
      </c>
      <c r="FQ18">
        <v>-7.4014868308343765E-17</v>
      </c>
      <c r="FR18">
        <v>-5.7777777777777786</v>
      </c>
      <c r="FS18">
        <v>2.4444444444444442</v>
      </c>
      <c r="FT18">
        <v>-1</v>
      </c>
      <c r="FU18">
        <v>-8.4444444444444375</v>
      </c>
      <c r="FV18">
        <v>-22.777777777777782</v>
      </c>
      <c r="FW18">
        <v>17.666666666666668</v>
      </c>
      <c r="FX18">
        <v>-0.66666666666666663</v>
      </c>
      <c r="FY18">
        <v>-2.6666666666666665</v>
      </c>
      <c r="FZ18">
        <v>21</v>
      </c>
      <c r="GA18">
        <v>-2.6866666666666665</v>
      </c>
      <c r="GB18">
        <v>-2.0751111111111111</v>
      </c>
      <c r="GC18">
        <v>-40.44444444444445</v>
      </c>
      <c r="GD18">
        <v>2.6866666666666665</v>
      </c>
      <c r="GE18">
        <v>0.32944444444444476</v>
      </c>
      <c r="GF18">
        <v>-4.9111111111111114</v>
      </c>
      <c r="GG18">
        <v>-23.888888888888889</v>
      </c>
      <c r="GH18">
        <v>3.6222222222222227</v>
      </c>
      <c r="GI18">
        <v>16.333333333333332</v>
      </c>
      <c r="GJ18">
        <v>-3.5555555555555562</v>
      </c>
      <c r="GK18">
        <v>-0.11111111111111122</v>
      </c>
    </row>
    <row r="19" spans="1:193" x14ac:dyDescent="0.2">
      <c r="A19" s="39">
        <v>43737</v>
      </c>
      <c r="B19" s="26" t="s">
        <v>417</v>
      </c>
      <c r="C19" s="41" t="s">
        <v>287</v>
      </c>
      <c r="D19" s="26" t="s">
        <v>293</v>
      </c>
      <c r="E19">
        <v>9.8000000000000007</v>
      </c>
      <c r="F19">
        <v>12.6</v>
      </c>
      <c r="G19">
        <v>4.5</v>
      </c>
      <c r="H19" s="14">
        <f>5.7+2.2</f>
        <v>7.9</v>
      </c>
      <c r="I19" s="8">
        <v>-15</v>
      </c>
      <c r="J19" s="8">
        <v>43.5</v>
      </c>
      <c r="L19" s="1" t="s">
        <v>287</v>
      </c>
      <c r="M19">
        <v>28</v>
      </c>
      <c r="N19">
        <v>-0.53333333333333444</v>
      </c>
      <c r="O19">
        <v>17</v>
      </c>
      <c r="P19">
        <v>17</v>
      </c>
      <c r="Q19">
        <v>17</v>
      </c>
      <c r="R19">
        <v>5.7666666666666684</v>
      </c>
      <c r="S19">
        <v>17</v>
      </c>
      <c r="T19">
        <v>-14.222222222222223</v>
      </c>
      <c r="U19">
        <v>0.88888888888888873</v>
      </c>
      <c r="V19">
        <v>3</v>
      </c>
      <c r="W19">
        <v>4.5</v>
      </c>
      <c r="X19">
        <v>1</v>
      </c>
      <c r="Y19">
        <v>1.8111111111111111</v>
      </c>
      <c r="Z19">
        <v>8</v>
      </c>
      <c r="AA19">
        <v>21.111111111111111</v>
      </c>
      <c r="AB19">
        <v>1.1111111111111109</v>
      </c>
      <c r="AC19">
        <v>9</v>
      </c>
      <c r="AD19">
        <v>10</v>
      </c>
      <c r="AE19">
        <v>9</v>
      </c>
      <c r="AF19">
        <v>7.9888888888888898</v>
      </c>
      <c r="AG19">
        <v>11</v>
      </c>
      <c r="AH19">
        <v>39.222222222222221</v>
      </c>
      <c r="AI19">
        <v>3</v>
      </c>
      <c r="AJ19">
        <v>5</v>
      </c>
      <c r="AK19">
        <v>5.5</v>
      </c>
      <c r="AL19">
        <v>10</v>
      </c>
      <c r="AM19">
        <v>-2.0999999999999996</v>
      </c>
      <c r="AN19">
        <v>1</v>
      </c>
      <c r="AO19">
        <v>3.6666666666666665</v>
      </c>
      <c r="AP19">
        <v>-1.2222222222222223</v>
      </c>
      <c r="AQ19">
        <v>28</v>
      </c>
      <c r="AR19">
        <v>28.5</v>
      </c>
      <c r="AS19">
        <v>30</v>
      </c>
      <c r="AT19">
        <v>-3.1777777777777776</v>
      </c>
      <c r="AU19">
        <v>27</v>
      </c>
      <c r="AV19">
        <v>-11.444444444444443</v>
      </c>
      <c r="AW19">
        <v>-1.3333333333333333</v>
      </c>
      <c r="AX19">
        <v>10</v>
      </c>
      <c r="AY19">
        <v>11</v>
      </c>
      <c r="AZ19">
        <v>11</v>
      </c>
      <c r="BA19">
        <v>-5.5444444444444434</v>
      </c>
      <c r="BB19">
        <v>11</v>
      </c>
      <c r="BC19">
        <v>-15.444444444444448</v>
      </c>
      <c r="BD19">
        <v>-1.7777777777777779</v>
      </c>
      <c r="BE19">
        <v>26</v>
      </c>
      <c r="BF19">
        <v>26.5</v>
      </c>
      <c r="BG19">
        <v>27</v>
      </c>
      <c r="BH19">
        <v>-4.0000000000000009</v>
      </c>
      <c r="BI19">
        <v>-11.777777777777779</v>
      </c>
      <c r="BJ19">
        <v>-2.0000000000000004</v>
      </c>
      <c r="BK19">
        <v>4</v>
      </c>
      <c r="BL19">
        <v>7</v>
      </c>
      <c r="BM19">
        <v>11</v>
      </c>
      <c r="BN19">
        <v>-1.5555555555555556</v>
      </c>
      <c r="BO19">
        <v>3</v>
      </c>
      <c r="BP19">
        <v>-0.2222222222222221</v>
      </c>
      <c r="BQ19">
        <v>-0.55555555555555547</v>
      </c>
      <c r="BR19">
        <v>10</v>
      </c>
      <c r="BS19">
        <v>12.75</v>
      </c>
      <c r="BT19">
        <v>24</v>
      </c>
      <c r="BU19">
        <v>5.5579323250103653E-2</v>
      </c>
      <c r="BV19">
        <v>12</v>
      </c>
      <c r="BW19">
        <v>6.6920502656906758E-3</v>
      </c>
      <c r="BX19">
        <v>7</v>
      </c>
      <c r="BY19">
        <v>7.1444444444444484</v>
      </c>
      <c r="BZ19">
        <v>8</v>
      </c>
      <c r="CA19">
        <v>1</v>
      </c>
      <c r="CB19">
        <v>-0.44444444444444525</v>
      </c>
      <c r="CC19">
        <v>-1.555555555555556</v>
      </c>
      <c r="CD19">
        <v>0</v>
      </c>
      <c r="CE19">
        <v>26.444444444444457</v>
      </c>
      <c r="CF19">
        <v>31.111111111111104</v>
      </c>
      <c r="CG19">
        <v>6.4444444444444429</v>
      </c>
      <c r="CH19">
        <v>-1</v>
      </c>
      <c r="CI19">
        <v>-10.111111111111109</v>
      </c>
      <c r="CJ19">
        <v>29</v>
      </c>
      <c r="CK19">
        <v>-8.1111111111111143</v>
      </c>
      <c r="CL19">
        <v>-4.1533333333333342</v>
      </c>
      <c r="CM19">
        <v>24.666666666666661</v>
      </c>
      <c r="CN19">
        <v>8.1111111111111143</v>
      </c>
      <c r="CO19">
        <v>0.52500000000000024</v>
      </c>
      <c r="CP19">
        <v>2.7111111111111126</v>
      </c>
      <c r="CQ19">
        <v>31.444444444444443</v>
      </c>
      <c r="CR19">
        <v>7.5777777777777793</v>
      </c>
      <c r="CS19">
        <v>6.8888888888888875</v>
      </c>
      <c r="CT19">
        <v>-1.555555555555556</v>
      </c>
      <c r="CU19">
        <v>1.9999999999999996</v>
      </c>
      <c r="CV19">
        <v>0.45972222222222225</v>
      </c>
      <c r="CW19">
        <v>0.36416666666666669</v>
      </c>
      <c r="CX19" t="s">
        <v>293</v>
      </c>
      <c r="CY19">
        <v>2</v>
      </c>
      <c r="CZ19">
        <v>1.3511111111111116</v>
      </c>
      <c r="DA19">
        <v>1</v>
      </c>
      <c r="DB19">
        <v>1.5</v>
      </c>
      <c r="DC19">
        <v>1</v>
      </c>
      <c r="DD19">
        <v>2.5777777777777753</v>
      </c>
      <c r="DE19">
        <v>2</v>
      </c>
      <c r="DF19">
        <v>32.777777777777779</v>
      </c>
      <c r="DG19">
        <v>-0.55555555555555558</v>
      </c>
      <c r="DH19">
        <v>30</v>
      </c>
      <c r="DI19">
        <v>27</v>
      </c>
      <c r="DJ19">
        <v>27</v>
      </c>
      <c r="DK19">
        <v>4.0777777777777784</v>
      </c>
      <c r="DL19">
        <v>27</v>
      </c>
      <c r="DM19">
        <v>17.222222222222225</v>
      </c>
      <c r="DN19">
        <v>-0.33333333333333331</v>
      </c>
      <c r="DO19">
        <v>2</v>
      </c>
      <c r="DP19">
        <v>1.5</v>
      </c>
      <c r="DQ19">
        <v>1</v>
      </c>
      <c r="DR19">
        <v>6.0133333333333354</v>
      </c>
      <c r="DS19">
        <v>2</v>
      </c>
      <c r="DT19">
        <v>17.111111111111114</v>
      </c>
      <c r="DU19">
        <v>-1.8888888888888886</v>
      </c>
      <c r="DV19">
        <v>8</v>
      </c>
      <c r="DW19">
        <v>7</v>
      </c>
      <c r="DX19">
        <v>6</v>
      </c>
      <c r="DY19">
        <v>-4.5000000000000009</v>
      </c>
      <c r="DZ19">
        <v>8</v>
      </c>
      <c r="EA19">
        <v>-27.555555555555557</v>
      </c>
      <c r="EB19">
        <v>-1.6666666666666667</v>
      </c>
      <c r="EC19">
        <v>29</v>
      </c>
      <c r="ED19">
        <v>24</v>
      </c>
      <c r="EE19">
        <v>22</v>
      </c>
      <c r="EF19">
        <v>-6.0777777777777784</v>
      </c>
      <c r="EG19">
        <v>26</v>
      </c>
      <c r="EH19">
        <v>-19.333333333333332</v>
      </c>
      <c r="EI19">
        <v>-0.44444444444444436</v>
      </c>
      <c r="EJ19">
        <v>9</v>
      </c>
      <c r="EK19">
        <v>9</v>
      </c>
      <c r="EL19">
        <v>8</v>
      </c>
      <c r="EM19">
        <v>-1.4111111111111114</v>
      </c>
      <c r="EN19">
        <v>10</v>
      </c>
      <c r="EO19">
        <v>10.333333333333329</v>
      </c>
      <c r="EP19">
        <v>-2.3333333333333335</v>
      </c>
      <c r="EQ19">
        <v>19</v>
      </c>
      <c r="ER19">
        <v>18.5</v>
      </c>
      <c r="ES19">
        <v>25</v>
      </c>
      <c r="ET19">
        <v>1.1111111111111114</v>
      </c>
      <c r="EU19">
        <v>12</v>
      </c>
      <c r="EV19">
        <v>19.000000000000004</v>
      </c>
      <c r="EW19">
        <v>0.11111111111111138</v>
      </c>
      <c r="EX19">
        <v>1</v>
      </c>
      <c r="EY19">
        <v>1.5</v>
      </c>
      <c r="EZ19">
        <v>1</v>
      </c>
      <c r="FA19">
        <v>-0.11111111111111101</v>
      </c>
      <c r="FB19">
        <v>2</v>
      </c>
      <c r="FC19">
        <v>-7.4014868308343765E-17</v>
      </c>
      <c r="FD19">
        <v>10.222222222222223</v>
      </c>
      <c r="FE19">
        <v>31</v>
      </c>
      <c r="FF19">
        <v>29</v>
      </c>
      <c r="FG19">
        <v>29</v>
      </c>
      <c r="FH19">
        <v>-4.5517251399603459E-4</v>
      </c>
      <c r="FI19">
        <v>32</v>
      </c>
      <c r="FJ19">
        <v>1.1200092376562968E-2</v>
      </c>
      <c r="FK19">
        <v>30</v>
      </c>
      <c r="FL19">
        <v>2.8000000000000043</v>
      </c>
      <c r="FM19">
        <v>25</v>
      </c>
      <c r="FN19">
        <v>-1.5555555555555554</v>
      </c>
      <c r="FO19">
        <v>-7.0000000000000009</v>
      </c>
      <c r="FP19">
        <v>6.4444444444444455</v>
      </c>
      <c r="FQ19">
        <v>-1.4444444444444446</v>
      </c>
      <c r="FR19">
        <v>-0.77777777777777624</v>
      </c>
      <c r="FS19">
        <v>6.4444444444444438</v>
      </c>
      <c r="FT19">
        <v>3.1111111111111107</v>
      </c>
      <c r="FU19">
        <v>9</v>
      </c>
      <c r="FV19">
        <v>-22.888888888888896</v>
      </c>
      <c r="FW19">
        <v>55.333333333333336</v>
      </c>
      <c r="FX19">
        <v>-1.2222222222222221</v>
      </c>
      <c r="FY19">
        <v>-22.222222222222225</v>
      </c>
      <c r="FZ19">
        <v>24</v>
      </c>
      <c r="GA19">
        <v>-5.3044444444444423</v>
      </c>
      <c r="GB19">
        <v>-3.7482222222222208</v>
      </c>
      <c r="GC19">
        <v>-78.222222222222229</v>
      </c>
      <c r="GD19">
        <v>5.3044444444444414</v>
      </c>
      <c r="GE19">
        <v>0.55527777777777776</v>
      </c>
      <c r="GF19">
        <v>-4.5644444444444439</v>
      </c>
      <c r="GG19">
        <v>-29.777777777777775</v>
      </c>
      <c r="GH19">
        <v>6.6555555555555532</v>
      </c>
      <c r="GI19">
        <v>50</v>
      </c>
      <c r="GJ19">
        <v>-3.8888888888888884</v>
      </c>
      <c r="GK19">
        <v>-0.88888888888888884</v>
      </c>
    </row>
    <row r="20" spans="1:193" x14ac:dyDescent="0.2">
      <c r="A20" s="39">
        <v>43737</v>
      </c>
      <c r="B20" s="26" t="s">
        <v>417</v>
      </c>
      <c r="C20" s="41" t="s">
        <v>304</v>
      </c>
      <c r="D20" s="27" t="s">
        <v>284</v>
      </c>
      <c r="E20" s="14">
        <v>29.9</v>
      </c>
      <c r="F20">
        <v>32.4</v>
      </c>
      <c r="G20">
        <v>13.1</v>
      </c>
      <c r="H20" s="14">
        <f>15.4+8.1</f>
        <v>23.5</v>
      </c>
      <c r="I20">
        <v>-9</v>
      </c>
      <c r="J20">
        <v>48.5</v>
      </c>
      <c r="K20" t="s">
        <v>109</v>
      </c>
      <c r="L20" s="1" t="s">
        <v>304</v>
      </c>
      <c r="M20">
        <v>25</v>
      </c>
      <c r="N20">
        <v>-5.1111111111111116</v>
      </c>
      <c r="O20">
        <v>12</v>
      </c>
      <c r="P20">
        <v>14.5</v>
      </c>
      <c r="Q20">
        <v>15</v>
      </c>
      <c r="R20">
        <v>-4.1777777777777763</v>
      </c>
      <c r="S20">
        <v>14</v>
      </c>
      <c r="T20">
        <v>-0.11111111111110954</v>
      </c>
      <c r="U20">
        <v>-1.3333333333333333</v>
      </c>
      <c r="V20">
        <v>21</v>
      </c>
      <c r="W20">
        <v>19</v>
      </c>
      <c r="X20">
        <v>21</v>
      </c>
      <c r="Y20">
        <v>1.0444444444444443</v>
      </c>
      <c r="Z20">
        <v>17</v>
      </c>
      <c r="AA20">
        <v>8.4444444444444446</v>
      </c>
      <c r="AB20">
        <v>-1.6666666666666667</v>
      </c>
      <c r="AC20">
        <v>12</v>
      </c>
      <c r="AD20">
        <v>13</v>
      </c>
      <c r="AE20">
        <v>13</v>
      </c>
      <c r="AF20">
        <v>3.8444444444444463</v>
      </c>
      <c r="AG20">
        <v>13</v>
      </c>
      <c r="AH20">
        <v>14.888888888888886</v>
      </c>
      <c r="AI20">
        <v>1.2222222222222221</v>
      </c>
      <c r="AJ20">
        <v>4</v>
      </c>
      <c r="AK20">
        <v>4.5</v>
      </c>
      <c r="AL20">
        <v>7</v>
      </c>
      <c r="AM20">
        <v>-3.0555555555555549</v>
      </c>
      <c r="AN20">
        <v>2</v>
      </c>
      <c r="AO20">
        <v>-23.444444444444446</v>
      </c>
      <c r="AP20">
        <v>0.66666666666666652</v>
      </c>
      <c r="AQ20">
        <v>8</v>
      </c>
      <c r="AR20">
        <v>8.5</v>
      </c>
      <c r="AS20">
        <v>8</v>
      </c>
      <c r="AT20">
        <v>7.37777777777778</v>
      </c>
      <c r="AU20">
        <v>9</v>
      </c>
      <c r="AV20">
        <v>40.44444444444445</v>
      </c>
      <c r="AW20">
        <v>2.6666666666666665</v>
      </c>
      <c r="AX20">
        <v>5</v>
      </c>
      <c r="AY20">
        <v>5</v>
      </c>
      <c r="AZ20">
        <v>8</v>
      </c>
      <c r="BA20">
        <v>0.66666666666666663</v>
      </c>
      <c r="BB20">
        <v>2</v>
      </c>
      <c r="BC20">
        <v>11.111111111111112</v>
      </c>
      <c r="BD20">
        <v>1.4444444444444446</v>
      </c>
      <c r="BE20">
        <v>12</v>
      </c>
      <c r="BF20">
        <v>12.5</v>
      </c>
      <c r="BG20">
        <v>14</v>
      </c>
      <c r="BH20">
        <v>-1.1111111111111368E-2</v>
      </c>
      <c r="BI20">
        <v>-0.11111111111111249</v>
      </c>
      <c r="BJ20">
        <v>0.88888888888888884</v>
      </c>
      <c r="BK20">
        <v>16</v>
      </c>
      <c r="BL20">
        <v>15.5</v>
      </c>
      <c r="BM20">
        <v>18</v>
      </c>
      <c r="BN20">
        <v>2.8888888888888893</v>
      </c>
      <c r="BO20">
        <v>13</v>
      </c>
      <c r="BP20">
        <v>1.1111111111111112</v>
      </c>
      <c r="BQ20">
        <v>1.2222222222222221</v>
      </c>
      <c r="BR20">
        <v>23</v>
      </c>
      <c r="BS20">
        <v>20.5</v>
      </c>
      <c r="BT20">
        <v>32</v>
      </c>
      <c r="BU20">
        <v>1.6943779085167737E-2</v>
      </c>
      <c r="BV20">
        <v>29</v>
      </c>
      <c r="BW20">
        <v>-3.5877558081643772E-2</v>
      </c>
      <c r="BX20">
        <v>8</v>
      </c>
      <c r="BY20">
        <v>-8.5888888888888868</v>
      </c>
      <c r="BZ20">
        <v>13</v>
      </c>
      <c r="CA20">
        <v>-1.8888888888888886</v>
      </c>
      <c r="CB20">
        <v>1.3333333333333357</v>
      </c>
      <c r="CC20">
        <v>2.4444444444444451</v>
      </c>
      <c r="CD20">
        <v>-1</v>
      </c>
      <c r="CE20">
        <v>-1.5555555555555618</v>
      </c>
      <c r="CF20">
        <v>-3.1111111111111143</v>
      </c>
      <c r="CG20">
        <v>8.3333333333333339</v>
      </c>
      <c r="CH20">
        <v>12</v>
      </c>
      <c r="CI20">
        <v>-18.777777777777779</v>
      </c>
      <c r="CJ20">
        <v>22</v>
      </c>
      <c r="CK20">
        <v>-1.9777777777777796</v>
      </c>
      <c r="CL20">
        <v>2.1755555555555555</v>
      </c>
      <c r="CM20">
        <v>-11.444444444444448</v>
      </c>
      <c r="CN20">
        <v>1.9777777777777796</v>
      </c>
      <c r="CO20">
        <v>0.3500000000000007</v>
      </c>
      <c r="CP20">
        <v>8.1666666666666714</v>
      </c>
      <c r="CQ20">
        <v>31.888888888888889</v>
      </c>
      <c r="CR20">
        <v>-3.133333333333332</v>
      </c>
      <c r="CS20">
        <v>8.3333333333333357</v>
      </c>
      <c r="CT20">
        <v>5.4444444444444446</v>
      </c>
      <c r="CU20">
        <v>-3</v>
      </c>
      <c r="CV20">
        <v>-1.4768055555555555</v>
      </c>
      <c r="CW20">
        <v>-2.2025000000000001</v>
      </c>
      <c r="CX20" t="s">
        <v>284</v>
      </c>
      <c r="CY20">
        <v>4</v>
      </c>
      <c r="CZ20">
        <v>3.5688888888888908</v>
      </c>
      <c r="DA20">
        <v>25</v>
      </c>
      <c r="DB20">
        <v>23.5</v>
      </c>
      <c r="DC20">
        <v>24</v>
      </c>
      <c r="DD20">
        <v>-11.25</v>
      </c>
      <c r="DE20">
        <v>23</v>
      </c>
      <c r="DF20">
        <v>-46</v>
      </c>
      <c r="DG20">
        <v>-0.16666666666666674</v>
      </c>
      <c r="DH20">
        <v>31</v>
      </c>
      <c r="DI20">
        <v>31</v>
      </c>
      <c r="DJ20">
        <v>31</v>
      </c>
      <c r="DK20">
        <v>-4.7833333333333332</v>
      </c>
      <c r="DL20">
        <v>31</v>
      </c>
      <c r="DM20">
        <v>-14.499999999999998</v>
      </c>
      <c r="DN20">
        <v>-0.66666666666666663</v>
      </c>
      <c r="DO20">
        <v>9</v>
      </c>
      <c r="DP20">
        <v>6</v>
      </c>
      <c r="DQ20">
        <v>6</v>
      </c>
      <c r="DR20">
        <v>3.3666666666666658</v>
      </c>
      <c r="DS20">
        <v>6</v>
      </c>
      <c r="DT20">
        <v>6.3333333333333357</v>
      </c>
      <c r="DU20">
        <v>1.3333333333333337</v>
      </c>
      <c r="DV20">
        <v>1</v>
      </c>
      <c r="DW20">
        <v>1.5</v>
      </c>
      <c r="DX20">
        <v>1</v>
      </c>
      <c r="DY20">
        <v>-1.4666666666666675</v>
      </c>
      <c r="DZ20">
        <v>2</v>
      </c>
      <c r="EA20">
        <v>8.2222222222222232</v>
      </c>
      <c r="EB20">
        <v>1.1111111111111112</v>
      </c>
      <c r="EC20">
        <v>8</v>
      </c>
      <c r="ED20">
        <v>12.5</v>
      </c>
      <c r="EE20">
        <v>17</v>
      </c>
      <c r="EF20">
        <v>-0.64444444444444426</v>
      </c>
      <c r="EG20">
        <v>8</v>
      </c>
      <c r="EH20">
        <v>-6.5555555555555545</v>
      </c>
      <c r="EI20">
        <v>0.88888888888888884</v>
      </c>
      <c r="EJ20">
        <v>2</v>
      </c>
      <c r="EK20">
        <v>3.5</v>
      </c>
      <c r="EL20">
        <v>1</v>
      </c>
      <c r="EM20">
        <v>0.44444444444444642</v>
      </c>
      <c r="EN20">
        <v>6</v>
      </c>
      <c r="EO20">
        <v>6.666666666666667</v>
      </c>
      <c r="EP20">
        <v>0.33333333333333331</v>
      </c>
      <c r="EQ20">
        <v>21</v>
      </c>
      <c r="ER20">
        <v>20.5</v>
      </c>
      <c r="ES20">
        <v>15</v>
      </c>
      <c r="ET20">
        <v>2.533333333333335</v>
      </c>
      <c r="EU20">
        <v>26</v>
      </c>
      <c r="EV20">
        <v>17.555555555555554</v>
      </c>
      <c r="EW20">
        <v>0.44444444444444403</v>
      </c>
      <c r="EX20">
        <v>16</v>
      </c>
      <c r="EY20">
        <v>14</v>
      </c>
      <c r="EZ20">
        <v>13</v>
      </c>
      <c r="FA20">
        <v>2.6666666666666665</v>
      </c>
      <c r="FB20">
        <v>15</v>
      </c>
      <c r="FC20">
        <v>0.88888888888888895</v>
      </c>
      <c r="FD20">
        <v>5.666666666666667</v>
      </c>
      <c r="FE20">
        <v>10</v>
      </c>
      <c r="FF20">
        <v>13.25</v>
      </c>
      <c r="FG20">
        <v>9</v>
      </c>
      <c r="FH20">
        <v>4.8739003752895228E-2</v>
      </c>
      <c r="FI20">
        <v>26</v>
      </c>
      <c r="FJ20">
        <v>2.4291530231678918E-2</v>
      </c>
      <c r="FK20">
        <v>6</v>
      </c>
      <c r="FL20">
        <v>5.8999999999999986</v>
      </c>
      <c r="FM20">
        <v>12</v>
      </c>
      <c r="FN20">
        <v>3.1111111111111107</v>
      </c>
      <c r="FO20">
        <v>1.5555555555555547</v>
      </c>
      <c r="FP20">
        <v>-3.5555555555555567</v>
      </c>
      <c r="FQ20">
        <v>-0.33333333333333331</v>
      </c>
      <c r="FR20">
        <v>-1.1111111111111096</v>
      </c>
      <c r="FS20">
        <v>-4.333333333333333</v>
      </c>
      <c r="FT20">
        <v>3.5555555555555554</v>
      </c>
      <c r="FU20">
        <v>-62.777777777777771</v>
      </c>
      <c r="FV20">
        <v>2.5555555555555522</v>
      </c>
      <c r="FW20">
        <v>-69.555555555555557</v>
      </c>
      <c r="FX20">
        <v>0.77777777777777779</v>
      </c>
      <c r="FY20">
        <v>3.4444444444444446</v>
      </c>
      <c r="FZ20">
        <v>1</v>
      </c>
      <c r="GA20">
        <v>19.602222222222224</v>
      </c>
      <c r="GB20">
        <v>9.4882222222222214</v>
      </c>
      <c r="GC20">
        <v>72.111111111111114</v>
      </c>
      <c r="GD20">
        <v>-19.602222222222224</v>
      </c>
      <c r="GE20">
        <v>-0.75111111111111084</v>
      </c>
      <c r="GF20">
        <v>1.2555555555555542</v>
      </c>
      <c r="GG20">
        <v>8.0000000000000036</v>
      </c>
      <c r="GH20">
        <v>-16.033333333333331</v>
      </c>
      <c r="GI20">
        <v>-60.5</v>
      </c>
      <c r="GJ20">
        <v>3.7777777777777777</v>
      </c>
      <c r="GK20">
        <v>-0.83333333333333337</v>
      </c>
    </row>
    <row r="21" spans="1:193" x14ac:dyDescent="0.2">
      <c r="A21" s="39">
        <v>43737</v>
      </c>
      <c r="B21" s="31" t="s">
        <v>417</v>
      </c>
      <c r="C21" s="41" t="s">
        <v>293</v>
      </c>
      <c r="D21" s="32" t="s">
        <v>287</v>
      </c>
      <c r="E21" s="30">
        <v>8.6</v>
      </c>
      <c r="F21" s="3">
        <v>17</v>
      </c>
      <c r="G21" s="30">
        <v>1.4</v>
      </c>
      <c r="H21" s="30">
        <v>1.9</v>
      </c>
      <c r="I21" s="3">
        <v>15</v>
      </c>
      <c r="J21" s="3">
        <v>43.5</v>
      </c>
      <c r="K21" s="3"/>
      <c r="L21" s="1" t="s">
        <v>293</v>
      </c>
      <c r="M21">
        <v>2</v>
      </c>
      <c r="N21">
        <v>-5.339999999999999</v>
      </c>
      <c r="O21">
        <v>31</v>
      </c>
      <c r="P21">
        <v>29</v>
      </c>
      <c r="Q21">
        <v>27</v>
      </c>
      <c r="R21">
        <v>-4.1000000000000005</v>
      </c>
      <c r="S21">
        <v>31</v>
      </c>
      <c r="T21">
        <v>-14.555555555555557</v>
      </c>
      <c r="U21">
        <v>1.1111111111111109</v>
      </c>
      <c r="V21">
        <v>26</v>
      </c>
      <c r="W21">
        <v>24.5</v>
      </c>
      <c r="X21">
        <v>23</v>
      </c>
      <c r="Y21">
        <v>-2.1999999999999993</v>
      </c>
      <c r="Z21">
        <v>26</v>
      </c>
      <c r="AA21">
        <v>-5</v>
      </c>
      <c r="AB21">
        <v>-0.33333333333333331</v>
      </c>
      <c r="AC21">
        <v>1</v>
      </c>
      <c r="AD21">
        <v>1.5</v>
      </c>
      <c r="AE21">
        <v>2</v>
      </c>
      <c r="AF21">
        <v>-1.1666666666666661</v>
      </c>
      <c r="AG21">
        <v>1</v>
      </c>
      <c r="AH21">
        <v>-7.5555555555555571</v>
      </c>
      <c r="AI21">
        <v>-0.22222222222222232</v>
      </c>
      <c r="AJ21">
        <v>18</v>
      </c>
      <c r="AK21">
        <v>18.5</v>
      </c>
      <c r="AL21">
        <v>18</v>
      </c>
      <c r="AM21">
        <v>-2.7000000000000006</v>
      </c>
      <c r="AN21">
        <v>19</v>
      </c>
      <c r="AO21">
        <v>-0.33333333333333098</v>
      </c>
      <c r="AP21">
        <v>0.22222222222222232</v>
      </c>
      <c r="AQ21">
        <v>5</v>
      </c>
      <c r="AR21">
        <v>5.5</v>
      </c>
      <c r="AS21">
        <v>4</v>
      </c>
      <c r="AT21">
        <v>-3.1888888888888887</v>
      </c>
      <c r="AU21">
        <v>7</v>
      </c>
      <c r="AV21">
        <v>-16.666666666666668</v>
      </c>
      <c r="AW21">
        <v>2.9605947323337506E-16</v>
      </c>
      <c r="AX21">
        <v>1</v>
      </c>
      <c r="AY21">
        <v>1</v>
      </c>
      <c r="AZ21">
        <v>1</v>
      </c>
      <c r="BA21">
        <v>-8.3333333333333339</v>
      </c>
      <c r="BB21">
        <v>1</v>
      </c>
      <c r="BC21">
        <v>-46.666666666666664</v>
      </c>
      <c r="BD21">
        <v>-3</v>
      </c>
      <c r="BE21">
        <v>10</v>
      </c>
      <c r="BF21">
        <v>11</v>
      </c>
      <c r="BG21">
        <v>12</v>
      </c>
      <c r="BH21">
        <v>-3.6222222222222213</v>
      </c>
      <c r="BI21">
        <v>-14</v>
      </c>
      <c r="BJ21">
        <v>-0.88888888888888873</v>
      </c>
      <c r="BK21">
        <v>13</v>
      </c>
      <c r="BL21">
        <v>12</v>
      </c>
      <c r="BM21">
        <v>3</v>
      </c>
      <c r="BN21">
        <v>-0.88888888888888928</v>
      </c>
      <c r="BO21">
        <v>21</v>
      </c>
      <c r="BP21">
        <v>0.11111111111111116</v>
      </c>
      <c r="BQ21">
        <v>-1.5555555555555554</v>
      </c>
      <c r="BR21">
        <v>16</v>
      </c>
      <c r="BS21">
        <v>14.5</v>
      </c>
      <c r="BT21">
        <v>12</v>
      </c>
      <c r="BU21">
        <v>8.8135235478719362E-2</v>
      </c>
      <c r="BV21">
        <v>10</v>
      </c>
      <c r="BW21">
        <v>2.7663112087251276E-2</v>
      </c>
      <c r="BX21">
        <v>14</v>
      </c>
      <c r="BY21">
        <v>-20.599999999999998</v>
      </c>
      <c r="BZ21">
        <v>22</v>
      </c>
      <c r="CA21">
        <v>10.222222222222223</v>
      </c>
      <c r="CB21">
        <v>0.5555555555555548</v>
      </c>
      <c r="CC21">
        <v>-6.5555555555555545</v>
      </c>
      <c r="CD21">
        <v>-1.5555555555555556</v>
      </c>
      <c r="CE21">
        <v>-65.222222222222243</v>
      </c>
      <c r="CF21">
        <v>-47.888888888888886</v>
      </c>
      <c r="CG21">
        <v>-17.666666666666668</v>
      </c>
      <c r="CH21">
        <v>-2.3333333333333335</v>
      </c>
      <c r="CI21">
        <v>2.6666666666666665</v>
      </c>
      <c r="CJ21">
        <v>16</v>
      </c>
      <c r="CK21">
        <v>0.96000000000000085</v>
      </c>
      <c r="CL21">
        <v>-5.355555555555469E-2</v>
      </c>
      <c r="CM21">
        <v>-30.222222222222218</v>
      </c>
      <c r="CN21">
        <v>-0.96000000000000085</v>
      </c>
      <c r="CO21">
        <v>-2.9008333333333329</v>
      </c>
      <c r="CP21">
        <v>-7.0555555555555554</v>
      </c>
      <c r="CQ21">
        <v>-24.555555555555557</v>
      </c>
      <c r="CR21">
        <v>-6.3</v>
      </c>
      <c r="CS21">
        <v>-19.555555555555557</v>
      </c>
      <c r="CT21">
        <v>-0.8888888888888884</v>
      </c>
      <c r="CU21">
        <v>0.77777777777777768</v>
      </c>
      <c r="CV21">
        <v>0.45972222222222225</v>
      </c>
      <c r="CW21">
        <v>0.55527777777777776</v>
      </c>
      <c r="CX21" t="s">
        <v>287</v>
      </c>
      <c r="CY21">
        <v>26</v>
      </c>
      <c r="CZ21">
        <v>-0.3977777777777784</v>
      </c>
      <c r="DA21">
        <v>7</v>
      </c>
      <c r="DB21">
        <v>10</v>
      </c>
      <c r="DC21">
        <v>11</v>
      </c>
      <c r="DD21">
        <v>4.7888888888888896</v>
      </c>
      <c r="DE21">
        <v>9</v>
      </c>
      <c r="DF21">
        <v>13.333333333333334</v>
      </c>
      <c r="DG21">
        <v>-0.49999999999999994</v>
      </c>
      <c r="DH21">
        <v>21</v>
      </c>
      <c r="DI21">
        <v>18.5</v>
      </c>
      <c r="DJ21">
        <v>9</v>
      </c>
      <c r="DK21">
        <v>-0.84444444444444422</v>
      </c>
      <c r="DL21">
        <v>28</v>
      </c>
      <c r="DM21">
        <v>-10.444444444444445</v>
      </c>
      <c r="DN21">
        <v>-3.7007434154171883E-17</v>
      </c>
      <c r="DO21">
        <v>28</v>
      </c>
      <c r="DP21">
        <v>26.5</v>
      </c>
      <c r="DQ21">
        <v>26</v>
      </c>
      <c r="DR21">
        <v>4.9333333333333336</v>
      </c>
      <c r="DS21">
        <v>27</v>
      </c>
      <c r="DT21">
        <v>24.555555555555554</v>
      </c>
      <c r="DU21">
        <v>-0.22222222222222263</v>
      </c>
      <c r="DV21">
        <v>21</v>
      </c>
      <c r="DW21">
        <v>22</v>
      </c>
      <c r="DX21">
        <v>22</v>
      </c>
      <c r="DY21">
        <v>-2.4777777777777783</v>
      </c>
      <c r="DZ21">
        <v>22</v>
      </c>
      <c r="EA21">
        <v>-8.7777777777777803</v>
      </c>
      <c r="EB21">
        <v>1</v>
      </c>
      <c r="EC21">
        <v>18</v>
      </c>
      <c r="ED21">
        <v>20.5</v>
      </c>
      <c r="EE21">
        <v>23</v>
      </c>
      <c r="EF21">
        <v>-2.9555555555555557</v>
      </c>
      <c r="EG21">
        <v>18</v>
      </c>
      <c r="EH21">
        <v>0.55555555555555591</v>
      </c>
      <c r="EI21">
        <v>-3.6666666666666665</v>
      </c>
      <c r="EJ21">
        <v>22</v>
      </c>
      <c r="EK21">
        <v>23</v>
      </c>
      <c r="EL21">
        <v>25</v>
      </c>
      <c r="EM21">
        <v>-4.9222222222222198</v>
      </c>
      <c r="EN21">
        <v>21</v>
      </c>
      <c r="EO21">
        <v>-10.333333333333334</v>
      </c>
      <c r="EP21">
        <v>-1.1111111111111109</v>
      </c>
      <c r="EQ21">
        <v>30</v>
      </c>
      <c r="ER21">
        <v>27.5</v>
      </c>
      <c r="ES21">
        <v>28</v>
      </c>
      <c r="ET21">
        <v>2.5333333333333337</v>
      </c>
      <c r="EU21">
        <v>27</v>
      </c>
      <c r="EV21">
        <v>-2.2222222222222192</v>
      </c>
      <c r="EW21">
        <v>0.88888888888888873</v>
      </c>
      <c r="EX21">
        <v>3</v>
      </c>
      <c r="EY21">
        <v>3.5</v>
      </c>
      <c r="EZ21">
        <v>4</v>
      </c>
      <c r="FA21">
        <v>-2.6666666666666665</v>
      </c>
      <c r="FB21">
        <v>3</v>
      </c>
      <c r="FC21">
        <v>-7.4014868308343765E-17</v>
      </c>
      <c r="FD21">
        <v>1</v>
      </c>
      <c r="FE21">
        <v>25</v>
      </c>
      <c r="FF21">
        <v>21.5</v>
      </c>
      <c r="FG21">
        <v>20</v>
      </c>
      <c r="FH21">
        <v>-5.6021144884129105E-2</v>
      </c>
      <c r="FI21">
        <v>25</v>
      </c>
      <c r="FJ21">
        <v>-2.0321506042264178E-2</v>
      </c>
      <c r="FK21">
        <v>18</v>
      </c>
      <c r="FL21">
        <v>3.8555555555555592</v>
      </c>
      <c r="FM21">
        <v>23</v>
      </c>
      <c r="FN21">
        <v>-0.55555555555555547</v>
      </c>
      <c r="FO21">
        <v>1.2222222222222225</v>
      </c>
      <c r="FP21">
        <v>-1.6666666666666667</v>
      </c>
      <c r="FQ21">
        <v>0.44444444444444448</v>
      </c>
      <c r="FR21">
        <v>-4.333333333333333</v>
      </c>
      <c r="FS21">
        <v>-0.66666666666666663</v>
      </c>
      <c r="FT21">
        <v>-0.77777777777777779</v>
      </c>
      <c r="FU21">
        <v>3</v>
      </c>
      <c r="FV21">
        <v>11.444444444444448</v>
      </c>
      <c r="FW21">
        <v>-7.6666666666666616</v>
      </c>
      <c r="FX21">
        <v>1.1111111111111109</v>
      </c>
      <c r="FY21">
        <v>-1.8888888888888886</v>
      </c>
      <c r="FZ21">
        <v>22</v>
      </c>
      <c r="GA21">
        <v>-4.3422222222222242</v>
      </c>
      <c r="GB21">
        <v>-1.6451111111111119</v>
      </c>
      <c r="GC21">
        <v>19.111111111111111</v>
      </c>
      <c r="GD21">
        <v>4.3422222222222242</v>
      </c>
      <c r="GE21">
        <v>0.36416666666666669</v>
      </c>
      <c r="GF21">
        <v>-0.50000000000000044</v>
      </c>
      <c r="GG21">
        <v>16.333333333333329</v>
      </c>
      <c r="GH21">
        <v>3.9444444444444455</v>
      </c>
      <c r="GI21">
        <v>2.8888888888888893</v>
      </c>
      <c r="GJ21">
        <v>-2.0000000000000004</v>
      </c>
      <c r="GK21">
        <v>-0.5</v>
      </c>
    </row>
    <row r="22" spans="1:193" x14ac:dyDescent="0.2">
      <c r="A22" s="39">
        <v>43737</v>
      </c>
      <c r="B22" s="26" t="s">
        <v>417</v>
      </c>
      <c r="C22" s="41" t="s">
        <v>312</v>
      </c>
      <c r="D22" s="27" t="s">
        <v>265</v>
      </c>
      <c r="E22">
        <v>2.6</v>
      </c>
      <c r="F22">
        <v>19.8</v>
      </c>
      <c r="G22">
        <v>7.5</v>
      </c>
      <c r="H22" s="14">
        <f>2.2+1.5</f>
        <v>3.7</v>
      </c>
      <c r="I22">
        <v>-1</v>
      </c>
      <c r="J22">
        <v>38</v>
      </c>
      <c r="K22" t="s">
        <v>110</v>
      </c>
      <c r="L22" s="1" t="s">
        <v>312</v>
      </c>
      <c r="M22">
        <v>16</v>
      </c>
      <c r="N22">
        <v>-3.7133333333333329</v>
      </c>
      <c r="O22">
        <v>12</v>
      </c>
      <c r="P22">
        <v>14.5</v>
      </c>
      <c r="Q22">
        <v>7</v>
      </c>
      <c r="R22">
        <v>10.844444444444447</v>
      </c>
      <c r="S22">
        <v>22</v>
      </c>
      <c r="T22">
        <v>55.333333333333336</v>
      </c>
      <c r="U22">
        <v>-0.44444444444444436</v>
      </c>
      <c r="V22">
        <v>5</v>
      </c>
      <c r="W22">
        <v>8</v>
      </c>
      <c r="X22">
        <v>13</v>
      </c>
      <c r="Y22">
        <v>-0.73333333333333373</v>
      </c>
      <c r="Z22">
        <v>3</v>
      </c>
      <c r="AA22">
        <v>13.222222222222223</v>
      </c>
      <c r="AB22">
        <v>-2.8888888888888888</v>
      </c>
      <c r="AC22">
        <v>16</v>
      </c>
      <c r="AD22">
        <v>17</v>
      </c>
      <c r="AE22">
        <v>18</v>
      </c>
      <c r="AF22">
        <v>1.5000000000000007</v>
      </c>
      <c r="AG22">
        <v>16</v>
      </c>
      <c r="AH22">
        <v>2.5555555555555549</v>
      </c>
      <c r="AI22">
        <v>-1.6666666666666667</v>
      </c>
      <c r="AJ22">
        <v>23</v>
      </c>
      <c r="AK22">
        <v>22</v>
      </c>
      <c r="AL22">
        <v>26</v>
      </c>
      <c r="AM22">
        <v>-5.1333333333333329</v>
      </c>
      <c r="AN22">
        <v>18</v>
      </c>
      <c r="AO22">
        <v>-21.444444444444446</v>
      </c>
      <c r="AP22">
        <v>-0.99999999999999967</v>
      </c>
      <c r="AQ22">
        <v>27</v>
      </c>
      <c r="AR22">
        <v>28</v>
      </c>
      <c r="AS22">
        <v>27</v>
      </c>
      <c r="AT22">
        <v>-0.82222222222222274</v>
      </c>
      <c r="AU22">
        <v>29</v>
      </c>
      <c r="AV22">
        <v>4.7777777777777795</v>
      </c>
      <c r="AW22">
        <v>-1.3333333333333333</v>
      </c>
      <c r="AX22">
        <v>29</v>
      </c>
      <c r="AY22">
        <v>29</v>
      </c>
      <c r="AZ22">
        <v>29</v>
      </c>
      <c r="BA22">
        <v>-7.9666666666666659</v>
      </c>
      <c r="BB22">
        <v>29</v>
      </c>
      <c r="BC22">
        <v>-24.111111111111114</v>
      </c>
      <c r="BD22">
        <v>-5.666666666666667</v>
      </c>
      <c r="BE22">
        <v>5</v>
      </c>
      <c r="BF22">
        <v>6</v>
      </c>
      <c r="BG22">
        <v>3</v>
      </c>
      <c r="BH22">
        <v>-5.4222222222222216</v>
      </c>
      <c r="BI22">
        <v>-25.666666666666668</v>
      </c>
      <c r="BJ22">
        <v>-2.5555555555555558</v>
      </c>
      <c r="BK22">
        <v>26</v>
      </c>
      <c r="BL22">
        <v>25</v>
      </c>
      <c r="BM22">
        <v>21</v>
      </c>
      <c r="BN22">
        <v>0.22222222222222246</v>
      </c>
      <c r="BO22">
        <v>29</v>
      </c>
      <c r="BP22">
        <v>-0.22222222222222218</v>
      </c>
      <c r="BQ22">
        <v>3.2222222222222219</v>
      </c>
      <c r="BR22">
        <v>28</v>
      </c>
      <c r="BS22">
        <v>24.5</v>
      </c>
      <c r="BT22">
        <v>22</v>
      </c>
      <c r="BU22">
        <v>0.10612963571833745</v>
      </c>
      <c r="BV22">
        <v>27</v>
      </c>
      <c r="BW22">
        <v>-2.6189150220419826E-2</v>
      </c>
      <c r="BX22">
        <v>22</v>
      </c>
      <c r="BY22">
        <v>7.5555555555555527</v>
      </c>
      <c r="BZ22">
        <v>27</v>
      </c>
      <c r="CA22">
        <v>-2.5555555555555554</v>
      </c>
      <c r="CB22">
        <v>-6.7777777777777786</v>
      </c>
      <c r="CC22">
        <v>5.1111111111111116</v>
      </c>
      <c r="CD22">
        <v>0</v>
      </c>
      <c r="CE22">
        <v>0</v>
      </c>
      <c r="CF22">
        <v>-79.222222222222214</v>
      </c>
      <c r="CG22">
        <v>73</v>
      </c>
      <c r="CH22">
        <v>0.99999999999999989</v>
      </c>
      <c r="CI22">
        <v>5.2222222222222223</v>
      </c>
      <c r="CJ22">
        <v>31</v>
      </c>
      <c r="CK22">
        <v>-13.824444444444445</v>
      </c>
      <c r="CL22">
        <v>-7.7737777777777772</v>
      </c>
      <c r="CM22">
        <v>-152.22222222222223</v>
      </c>
      <c r="CN22">
        <v>13.824444444444445</v>
      </c>
      <c r="CO22">
        <v>-0.40722222222222171</v>
      </c>
      <c r="CP22">
        <v>-4.4555555555555548</v>
      </c>
      <c r="CQ22">
        <v>-14.111111111111114</v>
      </c>
      <c r="CR22">
        <v>10.111111111111112</v>
      </c>
      <c r="CS22">
        <v>68.555555555555557</v>
      </c>
      <c r="CT22">
        <v>-6.5555555555555554</v>
      </c>
      <c r="CU22">
        <v>-3.333333333333333</v>
      </c>
      <c r="CV22">
        <v>-0.35375000000000001</v>
      </c>
      <c r="CW22">
        <v>6.5833333333332911E-2</v>
      </c>
      <c r="CX22" t="s">
        <v>265</v>
      </c>
      <c r="CY22">
        <v>29</v>
      </c>
      <c r="CZ22">
        <v>0.10222222222222281</v>
      </c>
      <c r="DA22">
        <v>12</v>
      </c>
      <c r="DB22">
        <v>11.5</v>
      </c>
      <c r="DC22">
        <v>15</v>
      </c>
      <c r="DD22">
        <v>-6.7888888888888888</v>
      </c>
      <c r="DE22">
        <v>8</v>
      </c>
      <c r="DF22">
        <v>-8.6666666666666679</v>
      </c>
      <c r="DG22">
        <v>-0.11111111111111101</v>
      </c>
      <c r="DH22">
        <v>14</v>
      </c>
      <c r="DI22">
        <v>15</v>
      </c>
      <c r="DJ22">
        <v>14</v>
      </c>
      <c r="DK22">
        <v>-1.1111111111111072E-2</v>
      </c>
      <c r="DL22">
        <v>16</v>
      </c>
      <c r="DM22">
        <v>-5.8888888888888884</v>
      </c>
      <c r="DN22">
        <v>-0.22222222222222218</v>
      </c>
      <c r="DO22">
        <v>25</v>
      </c>
      <c r="DP22">
        <v>20</v>
      </c>
      <c r="DQ22">
        <v>19</v>
      </c>
      <c r="DR22">
        <v>-7.1555555555555559</v>
      </c>
      <c r="DS22">
        <v>21</v>
      </c>
      <c r="DT22">
        <v>-42.666666666666664</v>
      </c>
      <c r="DU22">
        <v>-2.2222222222222223</v>
      </c>
      <c r="DV22">
        <v>28</v>
      </c>
      <c r="DW22">
        <v>27</v>
      </c>
      <c r="DX22">
        <v>28</v>
      </c>
      <c r="DY22">
        <v>5.9000000000000012</v>
      </c>
      <c r="DZ22">
        <v>26</v>
      </c>
      <c r="EA22">
        <v>22.222222222222218</v>
      </c>
      <c r="EB22">
        <v>2.1111111111111112</v>
      </c>
      <c r="EC22">
        <v>20</v>
      </c>
      <c r="ED22">
        <v>19.5</v>
      </c>
      <c r="EE22">
        <v>20</v>
      </c>
      <c r="EF22">
        <v>-1.3777777777777775</v>
      </c>
      <c r="EG22">
        <v>19</v>
      </c>
      <c r="EH22">
        <v>-0.88888888888888928</v>
      </c>
      <c r="EI22">
        <v>0.11111111111111101</v>
      </c>
      <c r="EJ22">
        <v>21</v>
      </c>
      <c r="EK22">
        <v>21.5</v>
      </c>
      <c r="EL22">
        <v>20</v>
      </c>
      <c r="EM22">
        <v>5.9222222222222216</v>
      </c>
      <c r="EN22">
        <v>23</v>
      </c>
      <c r="EO22">
        <v>18.111111111111114</v>
      </c>
      <c r="EP22">
        <v>3.3333333333333335</v>
      </c>
      <c r="EQ22">
        <v>15</v>
      </c>
      <c r="ER22">
        <v>15</v>
      </c>
      <c r="ES22">
        <v>12</v>
      </c>
      <c r="ET22">
        <v>4.7</v>
      </c>
      <c r="EU22">
        <v>18</v>
      </c>
      <c r="EV22">
        <v>16.444444444444443</v>
      </c>
      <c r="EW22">
        <v>2.5555555555555554</v>
      </c>
      <c r="EX22">
        <v>15</v>
      </c>
      <c r="EY22">
        <v>13</v>
      </c>
      <c r="EZ22">
        <v>14</v>
      </c>
      <c r="FA22">
        <v>-1.5555555555555556</v>
      </c>
      <c r="FB22">
        <v>12</v>
      </c>
      <c r="FC22">
        <v>0</v>
      </c>
      <c r="FD22">
        <v>1.4444444444444444</v>
      </c>
      <c r="FE22">
        <v>32</v>
      </c>
      <c r="FF22">
        <v>29.25</v>
      </c>
      <c r="FG22">
        <v>28</v>
      </c>
      <c r="FH22">
        <v>-4.8340381159497924E-2</v>
      </c>
      <c r="FI22">
        <v>29</v>
      </c>
      <c r="FJ22">
        <v>1.8488278137400949E-2</v>
      </c>
      <c r="FK22">
        <v>29</v>
      </c>
      <c r="FL22">
        <v>-4.9666666666666712</v>
      </c>
      <c r="FM22">
        <v>31</v>
      </c>
      <c r="FN22">
        <v>5</v>
      </c>
      <c r="FO22">
        <v>4.666666666666667</v>
      </c>
      <c r="FP22">
        <v>-1.444444444444444</v>
      </c>
      <c r="FQ22">
        <v>0.44444444444444442</v>
      </c>
      <c r="FR22">
        <v>4.2222222222222188</v>
      </c>
      <c r="FS22">
        <v>-5.5555555555555545</v>
      </c>
      <c r="FT22">
        <v>0</v>
      </c>
      <c r="FU22">
        <v>0</v>
      </c>
      <c r="FV22">
        <v>14.22222222222222</v>
      </c>
      <c r="FW22">
        <v>-15</v>
      </c>
      <c r="FX22">
        <v>-1.2222222222222221</v>
      </c>
      <c r="FY22">
        <v>2</v>
      </c>
      <c r="FZ22">
        <v>6</v>
      </c>
      <c r="GA22">
        <v>6.9022222222222229</v>
      </c>
      <c r="GB22">
        <v>3.8337777777777782</v>
      </c>
      <c r="GC22">
        <v>29.222222222222221</v>
      </c>
      <c r="GD22">
        <v>-6.9022222222222229</v>
      </c>
      <c r="GE22">
        <v>-0.77333333333333287</v>
      </c>
      <c r="GF22">
        <v>-2.633333333333332</v>
      </c>
      <c r="GG22">
        <v>-21.333333333333336</v>
      </c>
      <c r="GH22">
        <v>-6.8</v>
      </c>
      <c r="GI22">
        <v>-14.555555555555557</v>
      </c>
      <c r="GJ22">
        <v>2.5555555555555554</v>
      </c>
      <c r="GK22">
        <v>-0.3333333333333332</v>
      </c>
    </row>
    <row r="23" spans="1:193" x14ac:dyDescent="0.2">
      <c r="A23" s="39">
        <v>43737</v>
      </c>
      <c r="B23" s="26" t="s">
        <v>417</v>
      </c>
      <c r="C23" s="41" t="s">
        <v>302</v>
      </c>
      <c r="D23" s="27" t="s">
        <v>276</v>
      </c>
      <c r="E23">
        <v>7</v>
      </c>
      <c r="F23" s="14">
        <v>7.6</v>
      </c>
      <c r="G23">
        <v>3.9</v>
      </c>
      <c r="H23" s="14">
        <v>0</v>
      </c>
      <c r="I23">
        <v>-7</v>
      </c>
      <c r="J23">
        <v>41.5</v>
      </c>
      <c r="L23" s="1" t="s">
        <v>302</v>
      </c>
      <c r="M23">
        <v>18</v>
      </c>
      <c r="N23">
        <v>0.58444444444444221</v>
      </c>
      <c r="O23">
        <v>27</v>
      </c>
      <c r="P23">
        <v>25</v>
      </c>
      <c r="Q23">
        <v>32</v>
      </c>
      <c r="R23">
        <v>-6.3</v>
      </c>
      <c r="S23">
        <v>18</v>
      </c>
      <c r="T23">
        <v>-30.222222222222225</v>
      </c>
      <c r="U23">
        <v>-1.8888888888888886</v>
      </c>
      <c r="V23">
        <v>12</v>
      </c>
      <c r="W23">
        <v>11.5</v>
      </c>
      <c r="X23">
        <v>5</v>
      </c>
      <c r="Y23">
        <v>3.0222222222222221</v>
      </c>
      <c r="Z23">
        <v>18</v>
      </c>
      <c r="AA23">
        <v>-18</v>
      </c>
      <c r="AB23">
        <v>3</v>
      </c>
      <c r="AC23">
        <v>4</v>
      </c>
      <c r="AD23">
        <v>4</v>
      </c>
      <c r="AE23">
        <v>3</v>
      </c>
      <c r="AF23">
        <v>-4.6488888888888882</v>
      </c>
      <c r="AG23">
        <v>5</v>
      </c>
      <c r="AH23">
        <v>-26.666666666666668</v>
      </c>
      <c r="AI23">
        <v>1.1111111111111109</v>
      </c>
      <c r="AJ23">
        <v>14</v>
      </c>
      <c r="AK23">
        <v>14</v>
      </c>
      <c r="AL23">
        <v>15</v>
      </c>
      <c r="AM23">
        <v>2.1666666666666661</v>
      </c>
      <c r="AN23">
        <v>13</v>
      </c>
      <c r="AO23">
        <v>20.111111111111111</v>
      </c>
      <c r="AP23">
        <v>0.22222222222222232</v>
      </c>
      <c r="AQ23">
        <v>16</v>
      </c>
      <c r="AR23">
        <v>16</v>
      </c>
      <c r="AS23">
        <v>13</v>
      </c>
      <c r="AT23">
        <v>7.1333333333333329</v>
      </c>
      <c r="AU23">
        <v>19</v>
      </c>
      <c r="AV23">
        <v>15.222222222222223</v>
      </c>
      <c r="AW23">
        <v>1.5555555555555554</v>
      </c>
      <c r="AX23">
        <v>4</v>
      </c>
      <c r="AY23">
        <v>4.5</v>
      </c>
      <c r="AZ23">
        <v>2</v>
      </c>
      <c r="BA23">
        <v>9.8777777777777747</v>
      </c>
      <c r="BB23">
        <v>7</v>
      </c>
      <c r="BC23">
        <v>33.222222222222221</v>
      </c>
      <c r="BD23">
        <v>2.3333333333333335</v>
      </c>
      <c r="BE23">
        <v>25</v>
      </c>
      <c r="BF23">
        <v>25.5</v>
      </c>
      <c r="BG23">
        <v>28</v>
      </c>
      <c r="BH23">
        <v>-7.644444444444443</v>
      </c>
      <c r="BI23">
        <v>-26.444444444444443</v>
      </c>
      <c r="BJ23">
        <v>-3.3333333333333335</v>
      </c>
      <c r="BK23">
        <v>2</v>
      </c>
      <c r="BL23">
        <v>5</v>
      </c>
      <c r="BM23">
        <v>8</v>
      </c>
      <c r="BN23">
        <v>1.2222222222222221</v>
      </c>
      <c r="BO23">
        <v>2</v>
      </c>
      <c r="BP23">
        <v>0.55555555555555547</v>
      </c>
      <c r="BQ23">
        <v>6.4444444444444438</v>
      </c>
      <c r="BR23">
        <v>27</v>
      </c>
      <c r="BS23">
        <v>23.25</v>
      </c>
      <c r="BT23">
        <v>23</v>
      </c>
      <c r="BU23">
        <v>-3.5195760125911912E-2</v>
      </c>
      <c r="BV23">
        <v>26</v>
      </c>
      <c r="BW23">
        <v>-1.1919701121543601E-2</v>
      </c>
      <c r="BX23">
        <v>23</v>
      </c>
      <c r="BY23">
        <v>-17.633333333333333</v>
      </c>
      <c r="BZ23">
        <v>21</v>
      </c>
      <c r="CA23">
        <v>-0.22222222222222202</v>
      </c>
      <c r="CB23">
        <v>0.33333333333333331</v>
      </c>
      <c r="CC23">
        <v>0.22222222222222379</v>
      </c>
      <c r="CD23">
        <v>3.1111111111111107</v>
      </c>
      <c r="CE23">
        <v>-29.444444444444457</v>
      </c>
      <c r="CF23">
        <v>13.777777777777771</v>
      </c>
      <c r="CG23">
        <v>-37.777777777777779</v>
      </c>
      <c r="CH23">
        <v>4</v>
      </c>
      <c r="CI23">
        <v>-9.4444444444444446</v>
      </c>
      <c r="CJ23">
        <v>11</v>
      </c>
      <c r="CK23">
        <v>3.8622222222222202</v>
      </c>
      <c r="CL23">
        <v>1.157111111111111</v>
      </c>
      <c r="CM23">
        <v>51.55555555555555</v>
      </c>
      <c r="CN23">
        <v>-3.8622222222222198</v>
      </c>
      <c r="CO23">
        <v>-0.55805555555555564</v>
      </c>
      <c r="CP23">
        <v>4.6511111111111108</v>
      </c>
      <c r="CQ23">
        <v>8.6666666666666661</v>
      </c>
      <c r="CR23">
        <v>-3.2777777777777777</v>
      </c>
      <c r="CS23">
        <v>-48.222222222222229</v>
      </c>
      <c r="CT23">
        <v>-0.44444444444444509</v>
      </c>
      <c r="CU23">
        <v>1.1111111111111114</v>
      </c>
      <c r="CV23">
        <v>-1.9338194444444445</v>
      </c>
      <c r="CW23">
        <v>-2.1644444444444444</v>
      </c>
      <c r="CX23" t="s">
        <v>276</v>
      </c>
      <c r="CY23">
        <v>24</v>
      </c>
      <c r="CZ23">
        <v>-3.4311111111111123</v>
      </c>
      <c r="DA23">
        <v>10</v>
      </c>
      <c r="DB23">
        <v>10.5</v>
      </c>
      <c r="DC23">
        <v>8</v>
      </c>
      <c r="DD23">
        <v>5.1888888888888882</v>
      </c>
      <c r="DE23">
        <v>13</v>
      </c>
      <c r="DF23">
        <v>10.277777777777777</v>
      </c>
      <c r="DG23">
        <v>0.16666666666666652</v>
      </c>
      <c r="DH23">
        <v>3</v>
      </c>
      <c r="DI23">
        <v>6</v>
      </c>
      <c r="DJ23">
        <v>2</v>
      </c>
      <c r="DK23">
        <v>-3.35</v>
      </c>
      <c r="DL23">
        <v>10</v>
      </c>
      <c r="DM23">
        <v>-6.7222222222222214</v>
      </c>
      <c r="DN23">
        <v>-1</v>
      </c>
      <c r="DO23">
        <v>17</v>
      </c>
      <c r="DP23">
        <v>19</v>
      </c>
      <c r="DQ23">
        <v>20</v>
      </c>
      <c r="DR23">
        <v>0.65555555555555445</v>
      </c>
      <c r="DS23">
        <v>18</v>
      </c>
      <c r="DT23">
        <v>4.6666666666666687</v>
      </c>
      <c r="DU23">
        <v>3.1111111111111112</v>
      </c>
      <c r="DV23">
        <v>20</v>
      </c>
      <c r="DW23">
        <v>19</v>
      </c>
      <c r="DX23">
        <v>20</v>
      </c>
      <c r="DY23">
        <v>-7.8666666666666671</v>
      </c>
      <c r="DZ23">
        <v>18</v>
      </c>
      <c r="EA23">
        <v>-40.888888888888886</v>
      </c>
      <c r="EB23">
        <v>-0.88888888888888873</v>
      </c>
      <c r="EC23">
        <v>8</v>
      </c>
      <c r="ED23">
        <v>21</v>
      </c>
      <c r="EE23">
        <v>11</v>
      </c>
      <c r="EF23">
        <v>3.0000000000000004</v>
      </c>
      <c r="EG23">
        <v>31</v>
      </c>
      <c r="EH23">
        <v>13.333333333333334</v>
      </c>
      <c r="EI23">
        <v>0.88888888888888884</v>
      </c>
      <c r="EJ23">
        <v>20</v>
      </c>
      <c r="EK23">
        <v>19</v>
      </c>
      <c r="EL23">
        <v>19</v>
      </c>
      <c r="EM23">
        <v>-3.4666666666666655</v>
      </c>
      <c r="EN23">
        <v>19</v>
      </c>
      <c r="EO23">
        <v>-18</v>
      </c>
      <c r="EP23">
        <v>-0.44444444444444403</v>
      </c>
      <c r="EQ23">
        <v>32</v>
      </c>
      <c r="ER23">
        <v>32</v>
      </c>
      <c r="ES23">
        <v>32</v>
      </c>
      <c r="ET23">
        <v>-6.2666666666666657</v>
      </c>
      <c r="EU23">
        <v>32</v>
      </c>
      <c r="EV23">
        <v>-22.666666666666668</v>
      </c>
      <c r="EW23">
        <v>-1.8888888888888891</v>
      </c>
      <c r="EX23">
        <v>32</v>
      </c>
      <c r="EY23">
        <v>32</v>
      </c>
      <c r="EZ23">
        <v>32</v>
      </c>
      <c r="FA23">
        <v>-1.5555555555555554</v>
      </c>
      <c r="FB23">
        <v>32</v>
      </c>
      <c r="FC23">
        <v>-0.22222222222222221</v>
      </c>
      <c r="FD23">
        <v>2.4444444444444442</v>
      </c>
      <c r="FE23">
        <v>7</v>
      </c>
      <c r="FF23">
        <v>12.25</v>
      </c>
      <c r="FG23">
        <v>24</v>
      </c>
      <c r="FH23">
        <v>-5.4327220246194102E-2</v>
      </c>
      <c r="FI23">
        <v>3</v>
      </c>
      <c r="FJ23">
        <v>-2.9017429643450537E-2</v>
      </c>
      <c r="FK23">
        <v>17</v>
      </c>
      <c r="FL23">
        <v>-20.211111111111112</v>
      </c>
      <c r="FM23">
        <v>5</v>
      </c>
      <c r="FN23">
        <v>-0.33333333333333365</v>
      </c>
      <c r="FO23">
        <v>1.555555555555556</v>
      </c>
      <c r="FP23">
        <v>0.77777777777777801</v>
      </c>
      <c r="FQ23">
        <v>-0.22222222222222224</v>
      </c>
      <c r="FR23">
        <v>1.2222222222222214</v>
      </c>
      <c r="FS23">
        <v>-1.4444444444444446</v>
      </c>
      <c r="FT23">
        <v>0.44444444444444436</v>
      </c>
      <c r="FU23">
        <v>-24.666666666666657</v>
      </c>
      <c r="FV23">
        <v>-37.666666666666664</v>
      </c>
      <c r="FW23">
        <v>14.222222222222223</v>
      </c>
      <c r="FX23">
        <v>2.6666666666666665</v>
      </c>
      <c r="FY23">
        <v>-3.8888888888888888</v>
      </c>
      <c r="FZ23">
        <v>23</v>
      </c>
      <c r="GA23">
        <v>-5.2700000000000014</v>
      </c>
      <c r="GB23">
        <v>-3.7012222222222224</v>
      </c>
      <c r="GC23">
        <v>-51.888888888888886</v>
      </c>
      <c r="GD23">
        <v>5.2700000000000005</v>
      </c>
      <c r="GE23">
        <v>-1.7031944444444447</v>
      </c>
      <c r="GF23">
        <v>-4.2111111111111121</v>
      </c>
      <c r="GG23">
        <v>-22.888888888888879</v>
      </c>
      <c r="GH23">
        <v>1.8388888888888881</v>
      </c>
      <c r="GI23">
        <v>3.5555555555555554</v>
      </c>
      <c r="GJ23">
        <v>1.2222222222222221</v>
      </c>
      <c r="GK23">
        <v>-0.83333333333333348</v>
      </c>
    </row>
    <row r="24" spans="1:193" x14ac:dyDescent="0.2">
      <c r="A24" s="39">
        <v>43737</v>
      </c>
      <c r="B24" s="26" t="s">
        <v>417</v>
      </c>
      <c r="C24" s="41" t="s">
        <v>307</v>
      </c>
      <c r="D24" s="27" t="s">
        <v>291</v>
      </c>
      <c r="E24">
        <v>18.5</v>
      </c>
      <c r="F24">
        <v>4.9000000000000004</v>
      </c>
      <c r="G24">
        <v>1</v>
      </c>
      <c r="H24" s="14">
        <v>11</v>
      </c>
      <c r="I24">
        <v>2.5</v>
      </c>
      <c r="J24">
        <v>47</v>
      </c>
      <c r="L24" s="1" t="s">
        <v>307</v>
      </c>
      <c r="M24">
        <v>17</v>
      </c>
      <c r="N24">
        <v>1.5888888888888879</v>
      </c>
      <c r="O24">
        <v>8</v>
      </c>
      <c r="P24">
        <v>8.5</v>
      </c>
      <c r="Q24">
        <v>5</v>
      </c>
      <c r="R24">
        <v>3.111111111111112</v>
      </c>
      <c r="S24">
        <v>12</v>
      </c>
      <c r="T24">
        <v>7.9999999999999973</v>
      </c>
      <c r="U24">
        <v>0.44444444444444436</v>
      </c>
      <c r="V24">
        <v>16</v>
      </c>
      <c r="W24">
        <v>15</v>
      </c>
      <c r="X24">
        <v>15</v>
      </c>
      <c r="Y24">
        <v>0.85555555555555529</v>
      </c>
      <c r="Z24">
        <v>15</v>
      </c>
      <c r="AA24">
        <v>4.2222222222222223</v>
      </c>
      <c r="AB24">
        <v>0</v>
      </c>
      <c r="AC24">
        <v>5</v>
      </c>
      <c r="AD24">
        <v>5.5</v>
      </c>
      <c r="AE24">
        <v>4</v>
      </c>
      <c r="AF24">
        <v>2.2666666666666657</v>
      </c>
      <c r="AG24">
        <v>7</v>
      </c>
      <c r="AH24">
        <v>7.7777777777777759</v>
      </c>
      <c r="AI24">
        <v>0.6666666666666673</v>
      </c>
      <c r="AJ24">
        <v>32</v>
      </c>
      <c r="AK24">
        <v>32</v>
      </c>
      <c r="AL24">
        <v>32</v>
      </c>
      <c r="AM24">
        <v>-2.2777777777777763</v>
      </c>
      <c r="AN24">
        <v>32</v>
      </c>
      <c r="AO24">
        <v>-4.9999999999999973</v>
      </c>
      <c r="AP24">
        <v>-1.5555555555555556</v>
      </c>
      <c r="AQ24">
        <v>29</v>
      </c>
      <c r="AR24">
        <v>29</v>
      </c>
      <c r="AS24">
        <v>28</v>
      </c>
      <c r="AT24">
        <v>0.17777777777777759</v>
      </c>
      <c r="AU24">
        <v>30</v>
      </c>
      <c r="AV24">
        <v>-13.111111111111109</v>
      </c>
      <c r="AW24">
        <v>-2.1111111111111112</v>
      </c>
      <c r="AX24">
        <v>28</v>
      </c>
      <c r="AY24">
        <v>28</v>
      </c>
      <c r="AZ24">
        <v>28</v>
      </c>
      <c r="BA24">
        <v>6.1777777777777771</v>
      </c>
      <c r="BB24">
        <v>28</v>
      </c>
      <c r="BC24">
        <v>40.666666666666664</v>
      </c>
      <c r="BD24">
        <v>2</v>
      </c>
      <c r="BE24">
        <v>4</v>
      </c>
      <c r="BF24">
        <v>4.5</v>
      </c>
      <c r="BG24">
        <v>5</v>
      </c>
      <c r="BH24">
        <v>-5.2</v>
      </c>
      <c r="BI24">
        <v>-10.666666666666666</v>
      </c>
      <c r="BJ24">
        <v>-1.2222222222222223</v>
      </c>
      <c r="BK24">
        <v>4</v>
      </c>
      <c r="BL24">
        <v>7</v>
      </c>
      <c r="BM24">
        <v>4</v>
      </c>
      <c r="BN24">
        <v>0.8888888888888884</v>
      </c>
      <c r="BO24">
        <v>10</v>
      </c>
      <c r="BP24">
        <v>7.4014868308343765E-17</v>
      </c>
      <c r="BQ24">
        <v>1.5555555555555556</v>
      </c>
      <c r="BR24">
        <v>32</v>
      </c>
      <c r="BS24">
        <v>29.5</v>
      </c>
      <c r="BT24">
        <v>30</v>
      </c>
      <c r="BU24">
        <v>-3.9288092822865606E-2</v>
      </c>
      <c r="BV24">
        <v>28</v>
      </c>
      <c r="BW24">
        <v>-2.9232522687254292E-2</v>
      </c>
      <c r="BX24">
        <v>31</v>
      </c>
      <c r="BY24">
        <v>3.1444444444444435</v>
      </c>
      <c r="BZ24">
        <v>29</v>
      </c>
      <c r="CA24">
        <v>-3</v>
      </c>
      <c r="CB24">
        <v>-3.4444444444444451</v>
      </c>
      <c r="CC24">
        <v>-0.22222222222222263</v>
      </c>
      <c r="CD24">
        <v>3.1111111111111107</v>
      </c>
      <c r="CE24">
        <v>0.44444444444445708</v>
      </c>
      <c r="CF24">
        <v>-7.7777777777777812</v>
      </c>
      <c r="CG24">
        <v>9.8888888888888875</v>
      </c>
      <c r="CH24">
        <v>-0.66666666666666663</v>
      </c>
      <c r="CI24">
        <v>-1</v>
      </c>
      <c r="CJ24">
        <v>24</v>
      </c>
      <c r="CK24">
        <v>-2.3777777777777795</v>
      </c>
      <c r="CL24">
        <v>-2.6722222222222225</v>
      </c>
      <c r="CM24">
        <v>-17.666666666666668</v>
      </c>
      <c r="CN24">
        <v>2.3777777777777791</v>
      </c>
      <c r="CO24">
        <v>0.17638888888888871</v>
      </c>
      <c r="CP24">
        <v>0.16666666666666696</v>
      </c>
      <c r="CQ24">
        <v>-10.33333333333333</v>
      </c>
      <c r="CR24">
        <v>3.9666666666666672</v>
      </c>
      <c r="CS24">
        <v>12.22222222222222</v>
      </c>
      <c r="CT24">
        <v>-4.2222222222222214</v>
      </c>
      <c r="CU24">
        <v>0.44444444444444436</v>
      </c>
      <c r="CV24">
        <v>0.80895833333333367</v>
      </c>
      <c r="CW24">
        <v>1.682222222222223</v>
      </c>
      <c r="CX24" t="s">
        <v>291</v>
      </c>
      <c r="CY24">
        <v>19</v>
      </c>
      <c r="CZ24">
        <v>-2.7088888888888882</v>
      </c>
      <c r="DA24">
        <v>6</v>
      </c>
      <c r="DB24">
        <v>8</v>
      </c>
      <c r="DC24">
        <v>4</v>
      </c>
      <c r="DD24">
        <v>0.91111111111111087</v>
      </c>
      <c r="DE24">
        <v>12</v>
      </c>
      <c r="DF24">
        <v>6.6111111111111107</v>
      </c>
      <c r="DG24">
        <v>-5.5555555555555504E-2</v>
      </c>
      <c r="DH24">
        <v>22</v>
      </c>
      <c r="DI24">
        <v>19</v>
      </c>
      <c r="DJ24">
        <v>24</v>
      </c>
      <c r="DK24">
        <v>2.4500000000000002</v>
      </c>
      <c r="DL24">
        <v>14</v>
      </c>
      <c r="DM24">
        <v>2.3888888888888893</v>
      </c>
      <c r="DN24">
        <v>0.44444444444444436</v>
      </c>
      <c r="DO24">
        <v>26</v>
      </c>
      <c r="DP24">
        <v>29.5</v>
      </c>
      <c r="DQ24">
        <v>30</v>
      </c>
      <c r="DR24">
        <v>-3.6666666666666683</v>
      </c>
      <c r="DS24">
        <v>29</v>
      </c>
      <c r="DT24">
        <v>-9.2222222222222214</v>
      </c>
      <c r="DU24">
        <v>1.2222222222222223</v>
      </c>
      <c r="DV24">
        <v>15</v>
      </c>
      <c r="DW24">
        <v>14</v>
      </c>
      <c r="DX24">
        <v>13</v>
      </c>
      <c r="DY24">
        <v>0.17777777777777715</v>
      </c>
      <c r="DZ24">
        <v>15</v>
      </c>
      <c r="EA24">
        <v>-1.5555555555555547</v>
      </c>
      <c r="EB24">
        <v>-0.66666666666666663</v>
      </c>
      <c r="EC24">
        <v>19</v>
      </c>
      <c r="ED24">
        <v>10.5</v>
      </c>
      <c r="EE24">
        <v>9</v>
      </c>
      <c r="EF24">
        <v>0.38888888888888901</v>
      </c>
      <c r="EG24">
        <v>12</v>
      </c>
      <c r="EH24">
        <v>7.1111111111111107</v>
      </c>
      <c r="EI24">
        <v>0.55555555555555536</v>
      </c>
      <c r="EJ24">
        <v>8</v>
      </c>
      <c r="EK24">
        <v>8.5</v>
      </c>
      <c r="EL24">
        <v>10</v>
      </c>
      <c r="EM24">
        <v>-3.0666666666666664</v>
      </c>
      <c r="EN24">
        <v>7</v>
      </c>
      <c r="EO24">
        <v>-8.4444444444444429</v>
      </c>
      <c r="EP24">
        <v>0.55555555555555536</v>
      </c>
      <c r="EQ24">
        <v>27</v>
      </c>
      <c r="ER24">
        <v>26</v>
      </c>
      <c r="ES24">
        <v>22</v>
      </c>
      <c r="ET24">
        <v>1.9333333333333342</v>
      </c>
      <c r="EU24">
        <v>30</v>
      </c>
      <c r="EV24">
        <v>2.6666666666666643</v>
      </c>
      <c r="EW24">
        <v>0.88888888888888873</v>
      </c>
      <c r="EX24">
        <v>7</v>
      </c>
      <c r="EY24">
        <v>7</v>
      </c>
      <c r="EZ24">
        <v>10</v>
      </c>
      <c r="FA24">
        <v>0</v>
      </c>
      <c r="FB24">
        <v>4</v>
      </c>
      <c r="FC24">
        <v>0.11111111111111116</v>
      </c>
      <c r="FD24">
        <v>-1.5555555555555556</v>
      </c>
      <c r="FE24">
        <v>15</v>
      </c>
      <c r="FF24">
        <v>15.75</v>
      </c>
      <c r="FG24">
        <v>7</v>
      </c>
      <c r="FH24">
        <v>-5.697472558024317E-2</v>
      </c>
      <c r="FI24">
        <v>7</v>
      </c>
      <c r="FJ24">
        <v>-2.7657356522814768E-2</v>
      </c>
      <c r="FK24">
        <v>28</v>
      </c>
      <c r="FL24">
        <v>4.7666666666666684</v>
      </c>
      <c r="FM24">
        <v>21</v>
      </c>
      <c r="FN24">
        <v>-5.3333333333333348</v>
      </c>
      <c r="FO24">
        <v>1.4444444444444429</v>
      </c>
      <c r="FP24">
        <v>1.1111111111111107</v>
      </c>
      <c r="FQ24">
        <v>0.33333333333333326</v>
      </c>
      <c r="FR24">
        <v>2</v>
      </c>
      <c r="FS24">
        <v>-1.1111111111111109</v>
      </c>
      <c r="FT24">
        <v>0</v>
      </c>
      <c r="FU24">
        <v>5.6666666666666758</v>
      </c>
      <c r="FV24">
        <v>-14.22222222222222</v>
      </c>
      <c r="FW24">
        <v>19.777777777777779</v>
      </c>
      <c r="FX24">
        <v>0.22222222222222263</v>
      </c>
      <c r="FY24">
        <v>-0.11111111111111087</v>
      </c>
      <c r="FZ24">
        <v>26</v>
      </c>
      <c r="GA24">
        <v>-6.0699999999999994</v>
      </c>
      <c r="GB24">
        <v>-2.4556666666666667</v>
      </c>
      <c r="GC24">
        <v>-34</v>
      </c>
      <c r="GD24">
        <v>6.0699999999999994</v>
      </c>
      <c r="GE24">
        <v>-6.4305555555555644E-2</v>
      </c>
      <c r="GF24">
        <v>-3.1000000000000023</v>
      </c>
      <c r="GG24">
        <v>-3.6666666666666661</v>
      </c>
      <c r="GH24">
        <v>3.3611111111111112</v>
      </c>
      <c r="GI24">
        <v>9</v>
      </c>
      <c r="GJ24">
        <v>2</v>
      </c>
      <c r="GK24">
        <v>0.38888888888888884</v>
      </c>
    </row>
    <row r="25" spans="1:193" x14ac:dyDescent="0.2">
      <c r="A25" s="39">
        <v>43737</v>
      </c>
      <c r="B25" s="26" t="s">
        <v>417</v>
      </c>
      <c r="C25" s="41" t="s">
        <v>296</v>
      </c>
      <c r="D25" s="27" t="s">
        <v>306</v>
      </c>
      <c r="E25">
        <v>16.899999999999999</v>
      </c>
      <c r="F25">
        <v>3.3</v>
      </c>
      <c r="G25">
        <v>1.3</v>
      </c>
      <c r="H25" s="14">
        <f>9.4+5.4</f>
        <v>14.8</v>
      </c>
      <c r="I25">
        <v>-3</v>
      </c>
      <c r="J25">
        <v>48</v>
      </c>
      <c r="L25" s="1" t="s">
        <v>296</v>
      </c>
      <c r="M25">
        <v>9</v>
      </c>
      <c r="N25">
        <v>6.1755555555555555</v>
      </c>
      <c r="O25">
        <v>20</v>
      </c>
      <c r="P25">
        <v>21</v>
      </c>
      <c r="Q25">
        <v>16</v>
      </c>
      <c r="R25">
        <v>1.4555555555555555</v>
      </c>
      <c r="S25">
        <v>26</v>
      </c>
      <c r="T25">
        <v>19.222222222222221</v>
      </c>
      <c r="U25">
        <v>-0.22222222222222232</v>
      </c>
      <c r="V25">
        <v>31</v>
      </c>
      <c r="W25">
        <v>31</v>
      </c>
      <c r="X25">
        <v>32</v>
      </c>
      <c r="Y25">
        <v>-6.6666666666666277E-2</v>
      </c>
      <c r="Z25">
        <v>30</v>
      </c>
      <c r="AA25">
        <v>-3.8888888888888897</v>
      </c>
      <c r="AB25">
        <v>-0.66666666666666685</v>
      </c>
      <c r="AC25">
        <v>14</v>
      </c>
      <c r="AD25">
        <v>15.5</v>
      </c>
      <c r="AE25">
        <v>10</v>
      </c>
      <c r="AF25">
        <v>1.8</v>
      </c>
      <c r="AG25">
        <v>21</v>
      </c>
      <c r="AH25">
        <v>-1.1111111111111118</v>
      </c>
      <c r="AI25">
        <v>-1.5555555555555554</v>
      </c>
      <c r="AJ25">
        <v>13</v>
      </c>
      <c r="AK25">
        <v>13.5</v>
      </c>
      <c r="AL25">
        <v>5</v>
      </c>
      <c r="AM25">
        <v>1.2777777777777777</v>
      </c>
      <c r="AN25">
        <v>22</v>
      </c>
      <c r="AO25">
        <v>17.444444444444446</v>
      </c>
      <c r="AP25">
        <v>-0.22222222222222232</v>
      </c>
      <c r="AQ25">
        <v>12</v>
      </c>
      <c r="AR25">
        <v>12.5</v>
      </c>
      <c r="AS25">
        <v>14</v>
      </c>
      <c r="AT25">
        <v>0.47777777777777802</v>
      </c>
      <c r="AU25">
        <v>11</v>
      </c>
      <c r="AV25">
        <v>-3.6666666666666665</v>
      </c>
      <c r="AW25">
        <v>-0.77777777777777768</v>
      </c>
      <c r="AX25">
        <v>22</v>
      </c>
      <c r="AY25">
        <v>21</v>
      </c>
      <c r="AZ25">
        <v>17</v>
      </c>
      <c r="BA25">
        <v>4.4444444444444455</v>
      </c>
      <c r="BB25">
        <v>25</v>
      </c>
      <c r="BC25">
        <v>18.888888888888893</v>
      </c>
      <c r="BD25">
        <v>2.3333333333333335</v>
      </c>
      <c r="BE25">
        <v>19</v>
      </c>
      <c r="BF25">
        <v>19</v>
      </c>
      <c r="BG25">
        <v>18</v>
      </c>
      <c r="BH25">
        <v>10.244444444444445</v>
      </c>
      <c r="BI25">
        <v>36.888888888888893</v>
      </c>
      <c r="BJ25">
        <v>3.7777777777777772</v>
      </c>
      <c r="BK25">
        <v>28</v>
      </c>
      <c r="BL25">
        <v>27.5</v>
      </c>
      <c r="BM25">
        <v>29</v>
      </c>
      <c r="BN25">
        <v>-1.8888888888888891</v>
      </c>
      <c r="BO25">
        <v>26</v>
      </c>
      <c r="BP25">
        <v>-0.77777777777777768</v>
      </c>
      <c r="BQ25">
        <v>-5.5555555555555562</v>
      </c>
      <c r="BR25">
        <v>2</v>
      </c>
      <c r="BS25">
        <v>7.5</v>
      </c>
      <c r="BT25">
        <v>3</v>
      </c>
      <c r="BU25">
        <v>1.8294546056538897E-2</v>
      </c>
      <c r="BV25">
        <v>16</v>
      </c>
      <c r="BW25">
        <v>-1.6983809518569676E-3</v>
      </c>
      <c r="BX25">
        <v>10</v>
      </c>
      <c r="BY25">
        <v>-7.4555555555555557</v>
      </c>
      <c r="BZ25">
        <v>1</v>
      </c>
      <c r="CA25">
        <v>-1.6666666666666663</v>
      </c>
      <c r="CB25">
        <v>0.55555555555555713</v>
      </c>
      <c r="CC25">
        <v>5.1111111111111116</v>
      </c>
      <c r="CD25">
        <v>-2.7777777777777772</v>
      </c>
      <c r="CE25">
        <v>84.222222222222214</v>
      </c>
      <c r="CF25">
        <v>49.44444444444445</v>
      </c>
      <c r="CG25">
        <v>20.666666666666664</v>
      </c>
      <c r="CH25">
        <v>6.2222222222222214</v>
      </c>
      <c r="CI25">
        <v>7.8888888888888893</v>
      </c>
      <c r="CJ25">
        <v>8</v>
      </c>
      <c r="CK25">
        <v>4.7866666666666662</v>
      </c>
      <c r="CL25">
        <v>3.3006666666666673</v>
      </c>
      <c r="CM25">
        <v>28.777777777777786</v>
      </c>
      <c r="CN25">
        <v>-4.7866666666666662</v>
      </c>
      <c r="CO25">
        <v>2.4344444444444444</v>
      </c>
      <c r="CP25">
        <v>3.5555555555555554</v>
      </c>
      <c r="CQ25">
        <v>12.66666666666667</v>
      </c>
      <c r="CR25">
        <v>1.3888888888888893</v>
      </c>
      <c r="CS25">
        <v>15.333333333333332</v>
      </c>
      <c r="CT25">
        <v>1.2222222222222219</v>
      </c>
      <c r="CU25">
        <v>-0.88888888888888917</v>
      </c>
      <c r="CV25">
        <v>2.1629166666666664</v>
      </c>
      <c r="CW25">
        <v>2.565833333333333</v>
      </c>
      <c r="CX25" t="s">
        <v>306</v>
      </c>
      <c r="CY25">
        <v>22</v>
      </c>
      <c r="CZ25">
        <v>4.1466666666666692</v>
      </c>
      <c r="DA25">
        <v>11</v>
      </c>
      <c r="DB25">
        <v>11</v>
      </c>
      <c r="DC25">
        <v>16</v>
      </c>
      <c r="DD25">
        <v>0.42222222222222161</v>
      </c>
      <c r="DE25">
        <v>6</v>
      </c>
      <c r="DF25">
        <v>7.4444444444444455</v>
      </c>
      <c r="DG25">
        <v>-0.33333333333333348</v>
      </c>
      <c r="DH25">
        <v>10</v>
      </c>
      <c r="DI25">
        <v>12.5</v>
      </c>
      <c r="DJ25">
        <v>16</v>
      </c>
      <c r="DK25">
        <v>-2.0444444444444434</v>
      </c>
      <c r="DL25">
        <v>9</v>
      </c>
      <c r="DM25">
        <v>-5.333333333333333</v>
      </c>
      <c r="DN25">
        <v>-0.66666666666666652</v>
      </c>
      <c r="DO25">
        <v>13</v>
      </c>
      <c r="DP25">
        <v>12</v>
      </c>
      <c r="DQ25">
        <v>14</v>
      </c>
      <c r="DR25">
        <v>-3.9333333333333349</v>
      </c>
      <c r="DS25">
        <v>10</v>
      </c>
      <c r="DT25">
        <v>-20.888888888888889</v>
      </c>
      <c r="DU25">
        <v>-2.5555555555555554</v>
      </c>
      <c r="DV25">
        <v>26</v>
      </c>
      <c r="DW25">
        <v>26.5</v>
      </c>
      <c r="DX25">
        <v>23</v>
      </c>
      <c r="DY25">
        <v>15.533333333333333</v>
      </c>
      <c r="DZ25">
        <v>30</v>
      </c>
      <c r="EA25">
        <v>44.222222222222229</v>
      </c>
      <c r="EB25">
        <v>2.4444444444444442</v>
      </c>
      <c r="EC25">
        <v>32</v>
      </c>
      <c r="ED25">
        <v>15</v>
      </c>
      <c r="EE25">
        <v>15</v>
      </c>
      <c r="EF25">
        <v>0.26666666666666661</v>
      </c>
      <c r="EG25">
        <v>15</v>
      </c>
      <c r="EH25">
        <v>-0.88888888888888873</v>
      </c>
      <c r="EI25">
        <v>1.1111111111111109</v>
      </c>
      <c r="EJ25">
        <v>7</v>
      </c>
      <c r="EK25">
        <v>7.5</v>
      </c>
      <c r="EL25">
        <v>7</v>
      </c>
      <c r="EM25">
        <v>2.4777777777777814</v>
      </c>
      <c r="EN25">
        <v>8</v>
      </c>
      <c r="EO25">
        <v>-5.2222222222222259</v>
      </c>
      <c r="EP25">
        <v>-1.5555555555555547</v>
      </c>
      <c r="EQ25">
        <v>10</v>
      </c>
      <c r="ER25">
        <v>10.5</v>
      </c>
      <c r="ES25">
        <v>6</v>
      </c>
      <c r="ET25">
        <v>2.2222222222222143E-2</v>
      </c>
      <c r="EU25">
        <v>15</v>
      </c>
      <c r="EV25">
        <v>-2.0000000000000013</v>
      </c>
      <c r="EW25">
        <v>-0.88888888888888873</v>
      </c>
      <c r="EX25">
        <v>12</v>
      </c>
      <c r="EY25">
        <v>12.5</v>
      </c>
      <c r="EZ25">
        <v>12</v>
      </c>
      <c r="FA25">
        <v>-0.33333333333333331</v>
      </c>
      <c r="FB25">
        <v>13</v>
      </c>
      <c r="FC25">
        <v>-0.11111111111111109</v>
      </c>
      <c r="FD25">
        <v>0.5555555555555558</v>
      </c>
      <c r="FE25">
        <v>3</v>
      </c>
      <c r="FF25">
        <v>8</v>
      </c>
      <c r="FG25">
        <v>13</v>
      </c>
      <c r="FH25">
        <v>-1.2234604379661498E-2</v>
      </c>
      <c r="FI25">
        <v>2</v>
      </c>
      <c r="FJ25">
        <v>3.5392942731672095E-3</v>
      </c>
      <c r="FK25">
        <v>9</v>
      </c>
      <c r="FL25">
        <v>18.433333333333337</v>
      </c>
      <c r="FM25">
        <v>8</v>
      </c>
      <c r="FN25">
        <v>-2.4444444444444446</v>
      </c>
      <c r="FO25">
        <v>-2.2222222222222228</v>
      </c>
      <c r="FP25">
        <v>0.33333333333333454</v>
      </c>
      <c r="FQ25">
        <v>0.33333333333333343</v>
      </c>
      <c r="FR25">
        <v>-0.3333333333333357</v>
      </c>
      <c r="FS25">
        <v>4.9999999999999991</v>
      </c>
      <c r="FT25">
        <v>1.5555555555555554</v>
      </c>
      <c r="FU25">
        <v>29.555555555555561</v>
      </c>
      <c r="FV25">
        <v>12.555555555555543</v>
      </c>
      <c r="FW25">
        <v>7.6666666666666687</v>
      </c>
      <c r="FX25">
        <v>0.66666666666666652</v>
      </c>
      <c r="FY25">
        <v>8.6666666666666696</v>
      </c>
      <c r="FZ25">
        <v>7</v>
      </c>
      <c r="GA25">
        <v>5.768888888888891</v>
      </c>
      <c r="GB25">
        <v>4.0182222222222226</v>
      </c>
      <c r="GC25">
        <v>4.8888888888888742</v>
      </c>
      <c r="GD25">
        <v>-5.768888888888891</v>
      </c>
      <c r="GE25">
        <v>1.76</v>
      </c>
      <c r="GF25">
        <v>11.866666666666664</v>
      </c>
      <c r="GG25">
        <v>22.44444444444445</v>
      </c>
      <c r="GH25">
        <v>-1.6222222222222218</v>
      </c>
      <c r="GI25">
        <v>2.1111111111111125</v>
      </c>
      <c r="GJ25">
        <v>0.11111111111111105</v>
      </c>
      <c r="GK25">
        <v>-1</v>
      </c>
    </row>
    <row r="26" spans="1:193" x14ac:dyDescent="0.2">
      <c r="A26" s="39">
        <v>43737</v>
      </c>
      <c r="B26" s="26" t="s">
        <v>417</v>
      </c>
      <c r="C26" s="41" t="s">
        <v>294</v>
      </c>
      <c r="D26" s="27" t="s">
        <v>300</v>
      </c>
      <c r="E26">
        <v>12.8</v>
      </c>
      <c r="F26">
        <v>0</v>
      </c>
      <c r="G26">
        <v>2.2999999999999998</v>
      </c>
      <c r="H26" s="14">
        <f>13.5+9.6</f>
        <v>23.1</v>
      </c>
      <c r="I26">
        <v>3.5</v>
      </c>
      <c r="J26">
        <v>46</v>
      </c>
      <c r="L26" s="1" t="s">
        <v>294</v>
      </c>
      <c r="M26">
        <v>23</v>
      </c>
      <c r="N26">
        <v>1.7333333333333332</v>
      </c>
      <c r="O26">
        <v>16</v>
      </c>
      <c r="P26">
        <v>16.5</v>
      </c>
      <c r="Q26">
        <v>18</v>
      </c>
      <c r="R26">
        <v>-9.1</v>
      </c>
      <c r="S26">
        <v>15</v>
      </c>
      <c r="T26">
        <v>-33.222222222222221</v>
      </c>
      <c r="U26">
        <v>-0.33333333333333348</v>
      </c>
      <c r="V26">
        <v>9</v>
      </c>
      <c r="W26">
        <v>10.5</v>
      </c>
      <c r="X26">
        <v>16</v>
      </c>
      <c r="Y26">
        <v>2.2666666666666662</v>
      </c>
      <c r="Z26">
        <v>5</v>
      </c>
      <c r="AA26">
        <v>3.5555555555555571</v>
      </c>
      <c r="AB26">
        <v>0.44444444444444448</v>
      </c>
      <c r="AC26">
        <v>19</v>
      </c>
      <c r="AD26">
        <v>18.5</v>
      </c>
      <c r="AE26">
        <v>20</v>
      </c>
      <c r="AF26">
        <v>4.5888888888888895</v>
      </c>
      <c r="AG26">
        <v>17</v>
      </c>
      <c r="AH26">
        <v>-1.2222222222222239</v>
      </c>
      <c r="AI26">
        <v>0.55555555555555536</v>
      </c>
      <c r="AJ26">
        <v>30</v>
      </c>
      <c r="AK26">
        <v>30</v>
      </c>
      <c r="AL26">
        <v>29</v>
      </c>
      <c r="AM26">
        <v>1.6777777777777754</v>
      </c>
      <c r="AN26">
        <v>31</v>
      </c>
      <c r="AO26">
        <v>12.222222222222221</v>
      </c>
      <c r="AP26">
        <v>1.1111111111111109</v>
      </c>
      <c r="AQ26">
        <v>23</v>
      </c>
      <c r="AR26">
        <v>23.5</v>
      </c>
      <c r="AS26">
        <v>24</v>
      </c>
      <c r="AT26">
        <v>-2.0777777777777775</v>
      </c>
      <c r="AU26">
        <v>23</v>
      </c>
      <c r="AV26">
        <v>-10.666666666666666</v>
      </c>
      <c r="AW26">
        <v>-0.11111111111111116</v>
      </c>
      <c r="AX26">
        <v>20</v>
      </c>
      <c r="AY26">
        <v>20</v>
      </c>
      <c r="AZ26">
        <v>19</v>
      </c>
      <c r="BA26">
        <v>11.666666666666666</v>
      </c>
      <c r="BB26">
        <v>21</v>
      </c>
      <c r="BC26">
        <v>38.888888888888886</v>
      </c>
      <c r="BD26">
        <v>4.9999999999999991</v>
      </c>
      <c r="BE26">
        <v>1</v>
      </c>
      <c r="BF26">
        <v>1</v>
      </c>
      <c r="BG26">
        <v>1</v>
      </c>
      <c r="BH26">
        <v>3.655555555555555</v>
      </c>
      <c r="BI26">
        <v>21.222222222222221</v>
      </c>
      <c r="BJ26">
        <v>4.5555555555555562</v>
      </c>
      <c r="BK26">
        <v>23</v>
      </c>
      <c r="BL26">
        <v>22.5</v>
      </c>
      <c r="BM26">
        <v>24</v>
      </c>
      <c r="BN26">
        <v>-0.88888888888888895</v>
      </c>
      <c r="BO26">
        <v>21</v>
      </c>
      <c r="BP26">
        <v>-0.44444444444444436</v>
      </c>
      <c r="BQ26">
        <v>-3.8888888888888893</v>
      </c>
      <c r="BR26">
        <v>6</v>
      </c>
      <c r="BS26">
        <v>10.25</v>
      </c>
      <c r="BT26">
        <v>16</v>
      </c>
      <c r="BU26">
        <v>5.6447084682020492E-3</v>
      </c>
      <c r="BV26">
        <v>4</v>
      </c>
      <c r="BW26">
        <v>-4.0961448523102488E-3</v>
      </c>
      <c r="BX26">
        <v>6</v>
      </c>
      <c r="BY26">
        <v>2.7666666666666679</v>
      </c>
      <c r="BZ26">
        <v>15</v>
      </c>
      <c r="CA26">
        <v>2.4444444444444446</v>
      </c>
      <c r="CB26">
        <v>5.1111111111111098</v>
      </c>
      <c r="CC26">
        <v>0.55555555555555591</v>
      </c>
      <c r="CD26">
        <v>-0.77777777777777779</v>
      </c>
      <c r="CE26">
        <v>-6.333333333333333</v>
      </c>
      <c r="CF26">
        <v>16.111111111111104</v>
      </c>
      <c r="CG26">
        <v>-15.555555555555552</v>
      </c>
      <c r="CH26">
        <v>-4.4444444444444446</v>
      </c>
      <c r="CI26">
        <v>-2.4444444444444433</v>
      </c>
      <c r="CJ26">
        <v>4</v>
      </c>
      <c r="CK26">
        <v>8.5666666666666664</v>
      </c>
      <c r="CL26">
        <v>5.3322222222222226</v>
      </c>
      <c r="CM26">
        <v>31.666666666666657</v>
      </c>
      <c r="CN26">
        <v>-8.5666666666666664</v>
      </c>
      <c r="CO26">
        <v>0.23194444444444423</v>
      </c>
      <c r="CP26">
        <v>4.1888888888888873</v>
      </c>
      <c r="CQ26">
        <v>0.33333333333333215</v>
      </c>
      <c r="CR26">
        <v>-6.8333333333333339</v>
      </c>
      <c r="CS26">
        <v>-29.666666666666664</v>
      </c>
      <c r="CT26">
        <v>6.1111111111111116</v>
      </c>
      <c r="CU26">
        <v>0.11111111111111099</v>
      </c>
      <c r="CV26">
        <v>-0.66527777777777741</v>
      </c>
      <c r="CW26">
        <v>0.51027777777777816</v>
      </c>
      <c r="CX26" t="s">
        <v>300</v>
      </c>
      <c r="CY26">
        <v>21</v>
      </c>
      <c r="CZ26">
        <v>-3.1266666666666656</v>
      </c>
      <c r="DA26">
        <v>5</v>
      </c>
      <c r="DB26">
        <v>6</v>
      </c>
      <c r="DC26">
        <v>8</v>
      </c>
      <c r="DD26">
        <v>3.1999999999999993</v>
      </c>
      <c r="DE26">
        <v>4</v>
      </c>
      <c r="DF26">
        <v>8.5555555555555554</v>
      </c>
      <c r="DG26">
        <v>-0.88888888888888895</v>
      </c>
      <c r="DH26">
        <v>9</v>
      </c>
      <c r="DI26">
        <v>11.5</v>
      </c>
      <c r="DJ26">
        <v>19</v>
      </c>
      <c r="DK26">
        <v>0.61111111111111072</v>
      </c>
      <c r="DL26">
        <v>4</v>
      </c>
      <c r="DM26">
        <v>-6.3333333333333321</v>
      </c>
      <c r="DN26">
        <v>1.4444444444444446</v>
      </c>
      <c r="DO26">
        <v>23</v>
      </c>
      <c r="DP26">
        <v>27.5</v>
      </c>
      <c r="DQ26">
        <v>29</v>
      </c>
      <c r="DR26">
        <v>-3.5888888888888903</v>
      </c>
      <c r="DS26">
        <v>26</v>
      </c>
      <c r="DT26">
        <v>-10.222222222222223</v>
      </c>
      <c r="DU26">
        <v>-0.33333333333333331</v>
      </c>
      <c r="DV26">
        <v>13</v>
      </c>
      <c r="DW26">
        <v>13.5</v>
      </c>
      <c r="DX26">
        <v>17</v>
      </c>
      <c r="DY26">
        <v>-6.3999999999999986</v>
      </c>
      <c r="DZ26">
        <v>10</v>
      </c>
      <c r="EA26">
        <v>-17.333333333333332</v>
      </c>
      <c r="EB26">
        <v>-0.22222222222222232</v>
      </c>
      <c r="EC26">
        <v>12</v>
      </c>
      <c r="ED26">
        <v>17</v>
      </c>
      <c r="EE26">
        <v>20</v>
      </c>
      <c r="EF26">
        <v>0.28888888888888875</v>
      </c>
      <c r="EG26">
        <v>14</v>
      </c>
      <c r="EH26">
        <v>8.4444444444444446</v>
      </c>
      <c r="EI26">
        <v>-1</v>
      </c>
      <c r="EJ26">
        <v>16</v>
      </c>
      <c r="EK26">
        <v>16</v>
      </c>
      <c r="EL26">
        <v>17</v>
      </c>
      <c r="EM26">
        <v>-2.8777777777777778</v>
      </c>
      <c r="EN26">
        <v>15</v>
      </c>
      <c r="EO26">
        <v>-4.3333333333333357</v>
      </c>
      <c r="EP26">
        <v>-1.5555555555555554</v>
      </c>
      <c r="EQ26">
        <v>1</v>
      </c>
      <c r="ER26">
        <v>1</v>
      </c>
      <c r="ES26">
        <v>1</v>
      </c>
      <c r="ET26">
        <v>-2.0444444444444443</v>
      </c>
      <c r="EU26">
        <v>1</v>
      </c>
      <c r="EV26">
        <v>-11</v>
      </c>
      <c r="EW26">
        <v>-0.66666666666666663</v>
      </c>
      <c r="EX26">
        <v>6</v>
      </c>
      <c r="EY26">
        <v>5</v>
      </c>
      <c r="EZ26">
        <v>2</v>
      </c>
      <c r="FA26">
        <v>-3.6666666666666665</v>
      </c>
      <c r="FB26">
        <v>8</v>
      </c>
      <c r="FC26">
        <v>-0.55555555555555558</v>
      </c>
      <c r="FD26">
        <v>-2.2222222222222219</v>
      </c>
      <c r="FE26">
        <v>29</v>
      </c>
      <c r="FF26">
        <v>24</v>
      </c>
      <c r="FG26">
        <v>17</v>
      </c>
      <c r="FH26">
        <v>0.11052110775177466</v>
      </c>
      <c r="FI26">
        <v>23</v>
      </c>
      <c r="FJ26">
        <v>3.0648358506294136E-2</v>
      </c>
      <c r="FK26">
        <v>27</v>
      </c>
      <c r="FL26">
        <v>-3.6444444444444457</v>
      </c>
      <c r="FM26">
        <v>29</v>
      </c>
      <c r="FN26">
        <v>7.1111111111111107</v>
      </c>
      <c r="FO26">
        <v>4.666666666666667</v>
      </c>
      <c r="FP26">
        <v>-0.5555555555555548</v>
      </c>
      <c r="FQ26">
        <v>-0.11111111111111123</v>
      </c>
      <c r="FR26">
        <v>4.5555555555555545</v>
      </c>
      <c r="FS26">
        <v>-6.8888888888888893</v>
      </c>
      <c r="FT26">
        <v>-0.77777777777777779</v>
      </c>
      <c r="FU26">
        <v>14.888888888888895</v>
      </c>
      <c r="FV26">
        <v>17.666666666666657</v>
      </c>
      <c r="FW26">
        <v>2.5555555555555594</v>
      </c>
      <c r="FX26">
        <v>-9.4444444444444446</v>
      </c>
      <c r="FY26">
        <v>4.1111111111111116</v>
      </c>
      <c r="FZ26">
        <v>30</v>
      </c>
      <c r="GA26">
        <v>-6.9377777777777752</v>
      </c>
      <c r="GB26">
        <v>-4.8797777777777771</v>
      </c>
      <c r="GC26">
        <v>15.111111111111098</v>
      </c>
      <c r="GD26">
        <v>6.9377777777777752</v>
      </c>
      <c r="GE26">
        <v>-1.8408333333333331</v>
      </c>
      <c r="GF26">
        <v>-9.6999999999999993</v>
      </c>
      <c r="GG26">
        <v>-19.111111111111114</v>
      </c>
      <c r="GH26">
        <v>3.81111111111111</v>
      </c>
      <c r="GI26">
        <v>2.2222222222222232</v>
      </c>
      <c r="GJ26">
        <v>-2.2222222222222223</v>
      </c>
      <c r="GK26">
        <v>0.55555555555555569</v>
      </c>
    </row>
    <row r="27" spans="1:193" x14ac:dyDescent="0.2">
      <c r="A27" s="39">
        <v>43737</v>
      </c>
      <c r="B27" s="26" t="s">
        <v>417</v>
      </c>
      <c r="C27" s="41" t="s">
        <v>309</v>
      </c>
      <c r="D27" s="27" t="s">
        <v>272</v>
      </c>
      <c r="E27">
        <v>4.5</v>
      </c>
      <c r="F27">
        <v>18.7</v>
      </c>
      <c r="G27">
        <v>0</v>
      </c>
      <c r="H27" s="14">
        <v>4.8</v>
      </c>
      <c r="I27">
        <v>-3.5</v>
      </c>
      <c r="J27">
        <v>45.5</v>
      </c>
      <c r="L27" s="1" t="s">
        <v>309</v>
      </c>
      <c r="M27">
        <v>31</v>
      </c>
      <c r="N27">
        <v>-0.15999999999999984</v>
      </c>
      <c r="O27">
        <v>12</v>
      </c>
      <c r="P27">
        <v>14.5</v>
      </c>
      <c r="Q27">
        <v>9</v>
      </c>
      <c r="R27">
        <v>-1.2777777777777786</v>
      </c>
      <c r="S27">
        <v>20</v>
      </c>
      <c r="T27">
        <v>-3.4444444444444451</v>
      </c>
      <c r="U27">
        <v>-0.33333333333333348</v>
      </c>
      <c r="V27">
        <v>9</v>
      </c>
      <c r="W27">
        <v>10.5</v>
      </c>
      <c r="X27">
        <v>11</v>
      </c>
      <c r="Y27">
        <v>-0.77777777777777801</v>
      </c>
      <c r="Z27">
        <v>10</v>
      </c>
      <c r="AA27">
        <v>-2.1111111111111107</v>
      </c>
      <c r="AB27">
        <v>-1.1111111111111112</v>
      </c>
      <c r="AC27">
        <v>13</v>
      </c>
      <c r="AD27">
        <v>14.5</v>
      </c>
      <c r="AE27">
        <v>19</v>
      </c>
      <c r="AF27">
        <v>1.4555555555555582</v>
      </c>
      <c r="AG27">
        <v>10</v>
      </c>
      <c r="AH27">
        <v>14.888888888888888</v>
      </c>
      <c r="AI27">
        <v>0.22222222222222263</v>
      </c>
      <c r="AJ27">
        <v>17</v>
      </c>
      <c r="AK27">
        <v>17.5</v>
      </c>
      <c r="AL27">
        <v>19</v>
      </c>
      <c r="AM27">
        <v>-4.2555555555555546</v>
      </c>
      <c r="AN27">
        <v>16</v>
      </c>
      <c r="AO27">
        <v>-20.555555555555554</v>
      </c>
      <c r="AP27">
        <v>-0.55555555555555569</v>
      </c>
      <c r="AQ27">
        <v>18</v>
      </c>
      <c r="AR27">
        <v>17.5</v>
      </c>
      <c r="AS27">
        <v>20</v>
      </c>
      <c r="AT27">
        <v>5.5555555555555504E-2</v>
      </c>
      <c r="AU27">
        <v>15</v>
      </c>
      <c r="AV27">
        <v>-1.2222222222222225</v>
      </c>
      <c r="AW27">
        <v>0.22222222222222232</v>
      </c>
      <c r="AX27">
        <v>31</v>
      </c>
      <c r="AY27">
        <v>31.5</v>
      </c>
      <c r="AZ27">
        <v>32</v>
      </c>
      <c r="BA27">
        <v>0.68888888888888944</v>
      </c>
      <c r="BB27">
        <v>31</v>
      </c>
      <c r="BC27">
        <v>0.22222222222221907</v>
      </c>
      <c r="BD27">
        <v>1.2222222222222223</v>
      </c>
      <c r="BE27">
        <v>28</v>
      </c>
      <c r="BF27">
        <v>27.5</v>
      </c>
      <c r="BG27">
        <v>24</v>
      </c>
      <c r="BH27">
        <v>1.5111111111111113</v>
      </c>
      <c r="BI27">
        <v>-4.6666666666666679</v>
      </c>
      <c r="BJ27">
        <v>0</v>
      </c>
      <c r="BK27">
        <v>3</v>
      </c>
      <c r="BL27">
        <v>5.5</v>
      </c>
      <c r="BM27">
        <v>5</v>
      </c>
      <c r="BN27">
        <v>2.1111111111111112</v>
      </c>
      <c r="BO27">
        <v>6</v>
      </c>
      <c r="BP27">
        <v>0.44444444444444442</v>
      </c>
      <c r="BQ27">
        <v>-1.4444444444444444</v>
      </c>
      <c r="BR27">
        <v>12</v>
      </c>
      <c r="BS27">
        <v>13.25</v>
      </c>
      <c r="BT27">
        <v>9</v>
      </c>
      <c r="BU27">
        <v>-6.3561794529897089E-2</v>
      </c>
      <c r="BV27">
        <v>20</v>
      </c>
      <c r="BW27">
        <v>-3.7543013480196875E-2</v>
      </c>
      <c r="BX27">
        <v>19</v>
      </c>
      <c r="BY27">
        <v>-9.3444444444444414</v>
      </c>
      <c r="BZ27">
        <v>5</v>
      </c>
      <c r="CA27">
        <v>-6.2222222222222214</v>
      </c>
      <c r="CB27">
        <v>-3.3333333333333335</v>
      </c>
      <c r="CC27">
        <v>3.5555555555555554</v>
      </c>
      <c r="CD27">
        <v>-3.8888888888888893</v>
      </c>
      <c r="CE27">
        <v>-7.9999999999999902</v>
      </c>
      <c r="CF27">
        <v>-12.222222222222229</v>
      </c>
      <c r="CG27">
        <v>-1.4444444444444429</v>
      </c>
      <c r="CH27">
        <v>3.4444444444444446</v>
      </c>
      <c r="CI27">
        <v>2.2222222222222223</v>
      </c>
      <c r="CJ27">
        <v>14</v>
      </c>
      <c r="CK27">
        <v>1.8955555555555565</v>
      </c>
      <c r="CL27">
        <v>0.74911111111111239</v>
      </c>
      <c r="CM27">
        <v>-10.777777777777786</v>
      </c>
      <c r="CN27">
        <v>-1.8955555555555568</v>
      </c>
      <c r="CO27">
        <v>-0.16722222222222188</v>
      </c>
      <c r="CP27">
        <v>-2.7444444444444409</v>
      </c>
      <c r="CQ27">
        <v>-6.8888888888888884</v>
      </c>
      <c r="CR27">
        <v>-2.0555555555555567</v>
      </c>
      <c r="CS27">
        <v>-5.5555555555555554</v>
      </c>
      <c r="CT27">
        <v>-0.11111111111111072</v>
      </c>
      <c r="CU27">
        <v>-1.4444444444444446</v>
      </c>
      <c r="CV27">
        <v>0.19138888888888889</v>
      </c>
      <c r="CW27">
        <v>0.24416666666666662</v>
      </c>
      <c r="CX27" t="s">
        <v>272</v>
      </c>
      <c r="CY27">
        <v>10</v>
      </c>
      <c r="CZ27">
        <v>-2.1355555555555568</v>
      </c>
      <c r="DA27">
        <v>25</v>
      </c>
      <c r="DB27">
        <v>23.5</v>
      </c>
      <c r="DC27">
        <v>29</v>
      </c>
      <c r="DD27">
        <v>6</v>
      </c>
      <c r="DE27">
        <v>18</v>
      </c>
      <c r="DF27">
        <v>13.111111111111109</v>
      </c>
      <c r="DG27">
        <v>0.44444444444444448</v>
      </c>
      <c r="DH27">
        <v>24</v>
      </c>
      <c r="DI27">
        <v>21.5</v>
      </c>
      <c r="DJ27">
        <v>19</v>
      </c>
      <c r="DK27">
        <v>1.1777777777777774</v>
      </c>
      <c r="DL27">
        <v>24</v>
      </c>
      <c r="DM27">
        <v>-1.3333333333333321</v>
      </c>
      <c r="DN27">
        <v>0.44444444444444436</v>
      </c>
      <c r="DO27">
        <v>1</v>
      </c>
      <c r="DP27">
        <v>4</v>
      </c>
      <c r="DQ27">
        <v>5</v>
      </c>
      <c r="DR27">
        <v>-2.9222222222222221</v>
      </c>
      <c r="DS27">
        <v>3</v>
      </c>
      <c r="DT27">
        <v>-13.888888888888888</v>
      </c>
      <c r="DU27">
        <v>-2.5555555555555558</v>
      </c>
      <c r="DV27">
        <v>17</v>
      </c>
      <c r="DW27">
        <v>16.5</v>
      </c>
      <c r="DX27">
        <v>19</v>
      </c>
      <c r="DY27">
        <v>3.3333333333333339</v>
      </c>
      <c r="DZ27">
        <v>14</v>
      </c>
      <c r="EA27">
        <v>16.666666666666668</v>
      </c>
      <c r="EB27">
        <v>0.44444444444444448</v>
      </c>
      <c r="EC27">
        <v>6</v>
      </c>
      <c r="ED27">
        <v>8</v>
      </c>
      <c r="EE27">
        <v>6</v>
      </c>
      <c r="EF27">
        <v>-3.7333333333333329</v>
      </c>
      <c r="EG27">
        <v>10</v>
      </c>
      <c r="EH27">
        <v>-15.888888888888888</v>
      </c>
      <c r="EI27">
        <v>-0.66666666666666663</v>
      </c>
      <c r="EJ27">
        <v>2</v>
      </c>
      <c r="EK27">
        <v>3.5</v>
      </c>
      <c r="EL27">
        <v>5</v>
      </c>
      <c r="EM27">
        <v>-3.633333333333336</v>
      </c>
      <c r="EN27">
        <v>2</v>
      </c>
      <c r="EO27">
        <v>-20.777777777777782</v>
      </c>
      <c r="EP27">
        <v>-2.5555555555555554</v>
      </c>
      <c r="EQ27">
        <v>9</v>
      </c>
      <c r="ER27">
        <v>10</v>
      </c>
      <c r="ES27">
        <v>9</v>
      </c>
      <c r="ET27">
        <v>-1.6111111111111114</v>
      </c>
      <c r="EU27">
        <v>11</v>
      </c>
      <c r="EV27">
        <v>-0.33333333333333331</v>
      </c>
      <c r="EW27">
        <v>-1.5555555555555554</v>
      </c>
      <c r="EX27">
        <v>20</v>
      </c>
      <c r="EY27">
        <v>21</v>
      </c>
      <c r="EZ27">
        <v>18</v>
      </c>
      <c r="FA27">
        <v>1.0000000000000002</v>
      </c>
      <c r="FB27">
        <v>24</v>
      </c>
      <c r="FC27">
        <v>1.2222222222222223</v>
      </c>
      <c r="FD27">
        <v>0.55555555555555569</v>
      </c>
      <c r="FE27">
        <v>22</v>
      </c>
      <c r="FF27">
        <v>18.25</v>
      </c>
      <c r="FG27">
        <v>13</v>
      </c>
      <c r="FH27">
        <v>7.6136575459068684E-2</v>
      </c>
      <c r="FI27">
        <v>15</v>
      </c>
      <c r="FJ27">
        <v>1.2497213716725913E-2</v>
      </c>
      <c r="FK27">
        <v>19</v>
      </c>
      <c r="FL27">
        <v>-11.255555555555551</v>
      </c>
      <c r="FM27">
        <v>26</v>
      </c>
      <c r="FN27">
        <v>-5.1111111111111116</v>
      </c>
      <c r="FO27">
        <v>-5.4444444444444455</v>
      </c>
      <c r="FP27">
        <v>0.77777777777777735</v>
      </c>
      <c r="FQ27">
        <v>-0.44444444444444436</v>
      </c>
      <c r="FR27">
        <v>-3.4444444444444478</v>
      </c>
      <c r="FS27">
        <v>2.7777777777777786</v>
      </c>
      <c r="FT27">
        <v>-1.5555555555555556</v>
      </c>
      <c r="FU27">
        <v>0.55555555555556191</v>
      </c>
      <c r="FV27">
        <v>-20.444444444444446</v>
      </c>
      <c r="FW27">
        <v>17.777777777777782</v>
      </c>
      <c r="FX27">
        <v>4.2222222222222223</v>
      </c>
      <c r="FY27">
        <v>-1</v>
      </c>
      <c r="FZ27">
        <v>32</v>
      </c>
      <c r="GA27">
        <v>-9.3133333333333344</v>
      </c>
      <c r="GB27">
        <v>-5.0026666666666664</v>
      </c>
      <c r="GC27">
        <v>-38.222222222222229</v>
      </c>
      <c r="GD27">
        <v>9.3133333333333344</v>
      </c>
      <c r="GE27">
        <v>0.13861111111111113</v>
      </c>
      <c r="GF27">
        <v>-3.3222222222222211</v>
      </c>
      <c r="GG27">
        <v>-13.111111111111107</v>
      </c>
      <c r="GH27">
        <v>7.1777777777777771</v>
      </c>
      <c r="GI27">
        <v>11.777777777777777</v>
      </c>
      <c r="GJ27">
        <v>-4.333333333333333</v>
      </c>
      <c r="GK27">
        <v>0.88888888888888884</v>
      </c>
    </row>
    <row r="28" spans="1:193" x14ac:dyDescent="0.2">
      <c r="A28" s="39">
        <v>43737</v>
      </c>
      <c r="B28" s="26" t="s">
        <v>417</v>
      </c>
      <c r="C28" s="41" t="s">
        <v>308</v>
      </c>
      <c r="D28" s="27" t="s">
        <v>285</v>
      </c>
      <c r="E28">
        <v>9.1</v>
      </c>
      <c r="F28">
        <v>1.6</v>
      </c>
      <c r="G28" s="14">
        <v>8</v>
      </c>
      <c r="H28" s="14">
        <f>18.7+4.6</f>
        <v>23.299999999999997</v>
      </c>
      <c r="I28">
        <v>-5.5</v>
      </c>
      <c r="J28">
        <v>49</v>
      </c>
      <c r="K28" t="s">
        <v>109</v>
      </c>
      <c r="L28" s="1" t="s">
        <v>308</v>
      </c>
      <c r="M28">
        <v>11</v>
      </c>
      <c r="N28">
        <v>4.7222222222222223</v>
      </c>
      <c r="O28">
        <v>3</v>
      </c>
      <c r="P28">
        <v>6</v>
      </c>
      <c r="Q28">
        <v>10</v>
      </c>
      <c r="R28">
        <v>1.1444444444444457</v>
      </c>
      <c r="S28">
        <v>2</v>
      </c>
      <c r="T28">
        <v>-11.888888888888888</v>
      </c>
      <c r="U28">
        <v>1.2222222222222221</v>
      </c>
      <c r="V28">
        <v>1</v>
      </c>
      <c r="W28">
        <v>1.5</v>
      </c>
      <c r="X28">
        <v>2</v>
      </c>
      <c r="Y28">
        <v>-2.1777777777777767</v>
      </c>
      <c r="Z28">
        <v>1</v>
      </c>
      <c r="AA28">
        <v>-15.777777777777777</v>
      </c>
      <c r="AB28">
        <v>-1</v>
      </c>
      <c r="AC28">
        <v>19</v>
      </c>
      <c r="AD28">
        <v>18.5</v>
      </c>
      <c r="AE28">
        <v>15</v>
      </c>
      <c r="AF28">
        <v>2.3355555555555565</v>
      </c>
      <c r="AG28">
        <v>22</v>
      </c>
      <c r="AH28">
        <v>6.4444444444444402</v>
      </c>
      <c r="AI28">
        <v>0.77777777777777768</v>
      </c>
      <c r="AJ28">
        <v>12</v>
      </c>
      <c r="AK28">
        <v>11.5</v>
      </c>
      <c r="AL28">
        <v>12</v>
      </c>
      <c r="AM28">
        <v>-0.16666666666666696</v>
      </c>
      <c r="AN28">
        <v>11</v>
      </c>
      <c r="AO28">
        <v>12.666666666666666</v>
      </c>
      <c r="AP28">
        <v>1.2222222222222223</v>
      </c>
      <c r="AQ28">
        <v>17</v>
      </c>
      <c r="AR28">
        <v>17</v>
      </c>
      <c r="AS28">
        <v>17</v>
      </c>
      <c r="AT28">
        <v>-4.3444444444444441</v>
      </c>
      <c r="AU28">
        <v>17</v>
      </c>
      <c r="AV28">
        <v>-13.333333333333334</v>
      </c>
      <c r="AW28">
        <v>-0.22222222222222218</v>
      </c>
      <c r="AX28">
        <v>24</v>
      </c>
      <c r="AY28">
        <v>25</v>
      </c>
      <c r="AZ28">
        <v>26</v>
      </c>
      <c r="BA28">
        <v>4.4444444444444455</v>
      </c>
      <c r="BB28">
        <v>24</v>
      </c>
      <c r="BC28">
        <v>14.444444444444448</v>
      </c>
      <c r="BD28">
        <v>2.3333333333333335</v>
      </c>
      <c r="BE28">
        <v>12</v>
      </c>
      <c r="BF28">
        <v>12.5</v>
      </c>
      <c r="BG28">
        <v>10</v>
      </c>
      <c r="BH28">
        <v>5.022222222222223</v>
      </c>
      <c r="BI28">
        <v>9</v>
      </c>
      <c r="BJ28">
        <v>0.77777777777777768</v>
      </c>
      <c r="BK28">
        <v>8</v>
      </c>
      <c r="BL28">
        <v>8.5</v>
      </c>
      <c r="BM28">
        <v>9</v>
      </c>
      <c r="BN28">
        <v>-3.7777777777777772</v>
      </c>
      <c r="BO28">
        <v>8</v>
      </c>
      <c r="BP28">
        <v>-0.55555555555555547</v>
      </c>
      <c r="BQ28">
        <v>-1.2222222222222223</v>
      </c>
      <c r="BR28">
        <v>12</v>
      </c>
      <c r="BS28">
        <v>13.25</v>
      </c>
      <c r="BT28">
        <v>11</v>
      </c>
      <c r="BU28">
        <v>-6.0784377010664296E-2</v>
      </c>
      <c r="BV28">
        <v>5</v>
      </c>
      <c r="BW28">
        <v>2.1676694053138212E-2</v>
      </c>
      <c r="BX28">
        <v>21</v>
      </c>
      <c r="BY28">
        <v>7.4000000000000057</v>
      </c>
      <c r="BZ28">
        <v>16</v>
      </c>
      <c r="CA28">
        <v>3.1111111111111112</v>
      </c>
      <c r="CB28">
        <v>-0.77777777777777857</v>
      </c>
      <c r="CC28">
        <v>-2.4444444444444442</v>
      </c>
      <c r="CD28">
        <v>0</v>
      </c>
      <c r="CE28">
        <v>-24.444444444444457</v>
      </c>
      <c r="CF28">
        <v>10.555555555555552</v>
      </c>
      <c r="CG28">
        <v>-38.222222222222221</v>
      </c>
      <c r="CH28">
        <v>-4.2222222222222223</v>
      </c>
      <c r="CI28">
        <v>7.4444444444444438</v>
      </c>
      <c r="CJ28">
        <v>6</v>
      </c>
      <c r="CK28">
        <v>5.7555555555555529</v>
      </c>
      <c r="CL28">
        <v>2.0304444444444436</v>
      </c>
      <c r="CM28">
        <v>48.777777777777771</v>
      </c>
      <c r="CN28">
        <v>-5.7555555555555529</v>
      </c>
      <c r="CO28">
        <v>0.34472222222222287</v>
      </c>
      <c r="CP28">
        <v>-2.1755555555555546</v>
      </c>
      <c r="CQ28">
        <v>5.7777777777777732</v>
      </c>
      <c r="CR28">
        <v>-1.033333333333331</v>
      </c>
      <c r="CS28">
        <v>-27.666666666666664</v>
      </c>
      <c r="CT28">
        <v>2.5555555555555554</v>
      </c>
      <c r="CU28">
        <v>0.2222222222222221</v>
      </c>
      <c r="CV28">
        <v>1.2626388888888886</v>
      </c>
      <c r="CW28">
        <v>0.95888888888888868</v>
      </c>
      <c r="CX28" t="s">
        <v>285</v>
      </c>
      <c r="CY28">
        <v>1</v>
      </c>
      <c r="CZ28">
        <v>7.1977777777777776</v>
      </c>
      <c r="DA28">
        <v>16</v>
      </c>
      <c r="DB28">
        <v>16.5</v>
      </c>
      <c r="DC28">
        <v>12</v>
      </c>
      <c r="DD28">
        <v>-5.3444444444444459</v>
      </c>
      <c r="DE28">
        <v>21</v>
      </c>
      <c r="DF28">
        <v>8.9999999999999982</v>
      </c>
      <c r="DG28">
        <v>-1.0555555555555556</v>
      </c>
      <c r="DH28">
        <v>11</v>
      </c>
      <c r="DI28">
        <v>14</v>
      </c>
      <c r="DJ28">
        <v>23</v>
      </c>
      <c r="DK28">
        <v>-1.1555555555555557</v>
      </c>
      <c r="DL28">
        <v>5</v>
      </c>
      <c r="DM28">
        <v>-2.5555555555555558</v>
      </c>
      <c r="DN28">
        <v>-0.22222222222222218</v>
      </c>
      <c r="DO28">
        <v>8</v>
      </c>
      <c r="DP28">
        <v>7</v>
      </c>
      <c r="DQ28">
        <v>7</v>
      </c>
      <c r="DR28">
        <v>-1.7888888888888879</v>
      </c>
      <c r="DS28">
        <v>7</v>
      </c>
      <c r="DT28">
        <v>-14.111111111111107</v>
      </c>
      <c r="DU28">
        <v>-0.88888888888888873</v>
      </c>
      <c r="DV28">
        <v>1</v>
      </c>
      <c r="DW28">
        <v>1.5</v>
      </c>
      <c r="DX28">
        <v>2</v>
      </c>
      <c r="DY28">
        <v>-2.1222222222222227</v>
      </c>
      <c r="DZ28">
        <v>1</v>
      </c>
      <c r="EA28">
        <v>-14.333333333333334</v>
      </c>
      <c r="EB28">
        <v>-1.7777777777777777</v>
      </c>
      <c r="EC28">
        <v>4</v>
      </c>
      <c r="ED28">
        <v>5.5</v>
      </c>
      <c r="EE28">
        <v>4</v>
      </c>
      <c r="EF28">
        <v>4.7888888888888879</v>
      </c>
      <c r="EG28">
        <v>7</v>
      </c>
      <c r="EH28">
        <v>19</v>
      </c>
      <c r="EI28">
        <v>1.5555555555555556</v>
      </c>
      <c r="EJ28">
        <v>1</v>
      </c>
      <c r="EK28">
        <v>1.5</v>
      </c>
      <c r="EL28">
        <v>2</v>
      </c>
      <c r="EM28">
        <v>13.433333333333332</v>
      </c>
      <c r="EN28">
        <v>1</v>
      </c>
      <c r="EO28">
        <v>43.222222222222221</v>
      </c>
      <c r="EP28">
        <v>4.333333333333333</v>
      </c>
      <c r="EQ28">
        <v>5</v>
      </c>
      <c r="ER28">
        <v>6</v>
      </c>
      <c r="ES28">
        <v>4</v>
      </c>
      <c r="ET28">
        <v>9.7333333333333325</v>
      </c>
      <c r="EU28">
        <v>8</v>
      </c>
      <c r="EV28">
        <v>25.222222222222225</v>
      </c>
      <c r="EW28">
        <v>-0.33333333333333331</v>
      </c>
      <c r="EX28">
        <v>19</v>
      </c>
      <c r="EY28">
        <v>20.5</v>
      </c>
      <c r="EZ28">
        <v>19</v>
      </c>
      <c r="FA28">
        <v>1.2222222222222221</v>
      </c>
      <c r="FB28">
        <v>22</v>
      </c>
      <c r="FC28">
        <v>0.11111111111111109</v>
      </c>
      <c r="FD28">
        <v>0.33333333333333331</v>
      </c>
      <c r="FE28">
        <v>26</v>
      </c>
      <c r="FF28">
        <v>22</v>
      </c>
      <c r="FG28">
        <v>5</v>
      </c>
      <c r="FH28">
        <v>3.971072096024255E-2</v>
      </c>
      <c r="FI28">
        <v>31</v>
      </c>
      <c r="FJ28">
        <v>1.6283341921904438E-2</v>
      </c>
      <c r="FK28">
        <v>20</v>
      </c>
      <c r="FL28">
        <v>5.3222222222222229</v>
      </c>
      <c r="FM28">
        <v>32</v>
      </c>
      <c r="FN28">
        <v>-1</v>
      </c>
      <c r="FO28">
        <v>-1.4444444444444453</v>
      </c>
      <c r="FP28">
        <v>-0.5555555555555548</v>
      </c>
      <c r="FQ28">
        <v>1.8888888888888886</v>
      </c>
      <c r="FR28">
        <v>1.777777777777781</v>
      </c>
      <c r="FS28">
        <v>1.8888888888888893</v>
      </c>
      <c r="FT28">
        <v>-1</v>
      </c>
      <c r="FU28">
        <v>44.888888888888893</v>
      </c>
      <c r="FV28">
        <v>25.222222222222211</v>
      </c>
      <c r="FW28">
        <v>-6.8888888888888902</v>
      </c>
      <c r="FX28">
        <v>3.3333333333333335</v>
      </c>
      <c r="FY28">
        <v>23.222222222222218</v>
      </c>
      <c r="FZ28">
        <v>2</v>
      </c>
      <c r="GA28">
        <v>13.697777777777778</v>
      </c>
      <c r="GB28">
        <v>6.8117777777777784</v>
      </c>
      <c r="GC28">
        <v>32.1111111111111</v>
      </c>
      <c r="GD28">
        <v>-13.69777777777778</v>
      </c>
      <c r="GE28">
        <v>1.5663888888888884</v>
      </c>
      <c r="GF28">
        <v>0.87777777777777732</v>
      </c>
      <c r="GG28">
        <v>-9.4444444444444429</v>
      </c>
      <c r="GH28">
        <v>-6.5000000000000018</v>
      </c>
      <c r="GI28">
        <v>6.4444444444444429</v>
      </c>
      <c r="GJ28">
        <v>-1.4444444444444442</v>
      </c>
      <c r="GK28">
        <v>-1.2777777777777777</v>
      </c>
    </row>
    <row r="29" spans="1:193" x14ac:dyDescent="0.2">
      <c r="A29" s="39">
        <v>43737</v>
      </c>
      <c r="B29" s="26" t="s">
        <v>417</v>
      </c>
      <c r="C29" s="41" t="s">
        <v>284</v>
      </c>
      <c r="D29" s="27" t="s">
        <v>304</v>
      </c>
      <c r="E29">
        <v>18.899999999999999</v>
      </c>
      <c r="F29">
        <v>44.2</v>
      </c>
      <c r="G29">
        <v>2.4</v>
      </c>
      <c r="H29" s="14">
        <v>18.899999999999999</v>
      </c>
      <c r="I29">
        <v>9</v>
      </c>
      <c r="J29">
        <v>48.5</v>
      </c>
      <c r="K29" t="s">
        <v>109</v>
      </c>
      <c r="L29" s="1" t="s">
        <v>284</v>
      </c>
      <c r="M29">
        <v>12</v>
      </c>
      <c r="N29">
        <v>-2.2600000000000002</v>
      </c>
      <c r="O29">
        <v>24</v>
      </c>
      <c r="P29">
        <v>22.5</v>
      </c>
      <c r="Q29">
        <v>20</v>
      </c>
      <c r="R29">
        <v>1.0666666666666682</v>
      </c>
      <c r="S29">
        <v>25</v>
      </c>
      <c r="T29">
        <v>18.888888888888889</v>
      </c>
      <c r="U29">
        <v>-1.7777777777777777</v>
      </c>
      <c r="V29">
        <v>20</v>
      </c>
      <c r="W29">
        <v>18.5</v>
      </c>
      <c r="X29">
        <v>12</v>
      </c>
      <c r="Y29">
        <v>-1.3999999999999997</v>
      </c>
      <c r="Z29">
        <v>25</v>
      </c>
      <c r="AA29">
        <v>1.2222222222222225</v>
      </c>
      <c r="AB29">
        <v>0.55555555555555547</v>
      </c>
      <c r="AC29">
        <v>24</v>
      </c>
      <c r="AD29">
        <v>22.5</v>
      </c>
      <c r="AE29">
        <v>26</v>
      </c>
      <c r="AF29">
        <v>1.944444444444444</v>
      </c>
      <c r="AG29">
        <v>19</v>
      </c>
      <c r="AH29">
        <v>10.555555555555552</v>
      </c>
      <c r="AI29">
        <v>0.55555555555555569</v>
      </c>
      <c r="AJ29">
        <v>2</v>
      </c>
      <c r="AK29">
        <v>3</v>
      </c>
      <c r="AL29">
        <v>3</v>
      </c>
      <c r="AM29">
        <v>-0.9777777777777773</v>
      </c>
      <c r="AN29">
        <v>3</v>
      </c>
      <c r="AO29">
        <v>-11.777777777777777</v>
      </c>
      <c r="AP29">
        <v>-1.3333333333333337</v>
      </c>
      <c r="AQ29">
        <v>4</v>
      </c>
      <c r="AR29">
        <v>4.5</v>
      </c>
      <c r="AS29">
        <v>5</v>
      </c>
      <c r="AT29">
        <v>-3.5666666666666669</v>
      </c>
      <c r="AU29">
        <v>4</v>
      </c>
      <c r="AV29">
        <v>-17</v>
      </c>
      <c r="AW29">
        <v>-0.22222222222222232</v>
      </c>
      <c r="AX29">
        <v>6</v>
      </c>
      <c r="AY29">
        <v>5.5</v>
      </c>
      <c r="AZ29">
        <v>6</v>
      </c>
      <c r="BA29">
        <v>-5.7444444444444436</v>
      </c>
      <c r="BB29">
        <v>5</v>
      </c>
      <c r="BC29">
        <v>-23</v>
      </c>
      <c r="BD29">
        <v>-4.333333333333333</v>
      </c>
      <c r="BE29">
        <v>20</v>
      </c>
      <c r="BF29">
        <v>22</v>
      </c>
      <c r="BG29">
        <v>22</v>
      </c>
      <c r="BH29">
        <v>-2.0333333333333323</v>
      </c>
      <c r="BI29">
        <v>9.2222222222222214</v>
      </c>
      <c r="BJ29">
        <v>-0.33333333333333331</v>
      </c>
      <c r="BK29">
        <v>18</v>
      </c>
      <c r="BL29">
        <v>17.5</v>
      </c>
      <c r="BM29">
        <v>16</v>
      </c>
      <c r="BN29">
        <v>1.4444444444444444</v>
      </c>
      <c r="BO29">
        <v>19</v>
      </c>
      <c r="BP29">
        <v>0.88888888888888873</v>
      </c>
      <c r="BQ29">
        <v>3.1111111111111107</v>
      </c>
      <c r="BR29">
        <v>14</v>
      </c>
      <c r="BS29">
        <v>14</v>
      </c>
      <c r="BT29">
        <v>29</v>
      </c>
      <c r="BU29">
        <v>9.2542215370832112E-2</v>
      </c>
      <c r="BV29">
        <v>22</v>
      </c>
      <c r="BW29">
        <v>1.5212182214898439E-2</v>
      </c>
      <c r="BX29">
        <v>1</v>
      </c>
      <c r="BY29">
        <v>-3.2555555555555529</v>
      </c>
      <c r="BZ29">
        <v>4</v>
      </c>
      <c r="CA29">
        <v>5.8888888888888893</v>
      </c>
      <c r="CB29">
        <v>2.3684757858670005E-15</v>
      </c>
      <c r="CC29">
        <v>-3.1111111111111103</v>
      </c>
      <c r="CD29">
        <v>1.5555555555555554</v>
      </c>
      <c r="CE29">
        <v>17.888888888888896</v>
      </c>
      <c r="CF29">
        <v>6.8888888888888857</v>
      </c>
      <c r="CG29">
        <v>19.666666666666668</v>
      </c>
      <c r="CH29">
        <v>-1</v>
      </c>
      <c r="CI29">
        <v>-7.666666666666667</v>
      </c>
      <c r="CJ29">
        <v>21</v>
      </c>
      <c r="CK29">
        <v>-1.9266666666666687</v>
      </c>
      <c r="CL29">
        <v>-1.2120000000000006</v>
      </c>
      <c r="CM29">
        <v>-12.777777777777782</v>
      </c>
      <c r="CN29">
        <v>1.9266666666666687</v>
      </c>
      <c r="CO29">
        <v>-0.72277777777777741</v>
      </c>
      <c r="CP29">
        <v>-2.6</v>
      </c>
      <c r="CQ29">
        <v>-18.222222222222225</v>
      </c>
      <c r="CR29">
        <v>-0.33333333333333148</v>
      </c>
      <c r="CS29">
        <v>20.111111111111111</v>
      </c>
      <c r="CT29">
        <v>-1.3333333333333337</v>
      </c>
      <c r="CU29">
        <v>-1.2222222222222223</v>
      </c>
      <c r="CV29">
        <v>-1.4768055555555555</v>
      </c>
      <c r="CW29">
        <v>-0.75111111111111084</v>
      </c>
      <c r="CX29" t="s">
        <v>304</v>
      </c>
      <c r="CY29">
        <v>16</v>
      </c>
      <c r="CZ29">
        <v>-6.586666666666666</v>
      </c>
      <c r="DA29">
        <v>17</v>
      </c>
      <c r="DB29">
        <v>18</v>
      </c>
      <c r="DC29">
        <v>20</v>
      </c>
      <c r="DD29">
        <v>1.0666666666666653</v>
      </c>
      <c r="DE29">
        <v>16</v>
      </c>
      <c r="DF29">
        <v>5</v>
      </c>
      <c r="DG29">
        <v>0.66666666666666663</v>
      </c>
      <c r="DH29">
        <v>4</v>
      </c>
      <c r="DI29">
        <v>6.5</v>
      </c>
      <c r="DJ29">
        <v>7</v>
      </c>
      <c r="DK29">
        <v>-1.3000000000000005</v>
      </c>
      <c r="DL29">
        <v>6</v>
      </c>
      <c r="DM29">
        <v>-4.9999999999999991</v>
      </c>
      <c r="DN29">
        <v>-0.88888888888888884</v>
      </c>
      <c r="DO29">
        <v>19</v>
      </c>
      <c r="DP29">
        <v>19.5</v>
      </c>
      <c r="DQ29">
        <v>17</v>
      </c>
      <c r="DR29">
        <v>-3.3333333333333339</v>
      </c>
      <c r="DS29">
        <v>22</v>
      </c>
      <c r="DT29">
        <v>-12</v>
      </c>
      <c r="DU29">
        <v>0.77777777777777801</v>
      </c>
      <c r="DV29">
        <v>11</v>
      </c>
      <c r="DW29">
        <v>13</v>
      </c>
      <c r="DX29">
        <v>10</v>
      </c>
      <c r="DY29">
        <v>-2.8333333333333335</v>
      </c>
      <c r="DZ29">
        <v>16</v>
      </c>
      <c r="EA29">
        <v>-8.1111111111111089</v>
      </c>
      <c r="EB29">
        <v>-1.5555555555555556</v>
      </c>
      <c r="EC29">
        <v>2</v>
      </c>
      <c r="ED29">
        <v>2</v>
      </c>
      <c r="EE29">
        <v>2</v>
      </c>
      <c r="EF29">
        <v>-2.5</v>
      </c>
      <c r="EG29">
        <v>2</v>
      </c>
      <c r="EH29">
        <v>-10.555555555555554</v>
      </c>
      <c r="EI29">
        <v>-0.44444444444444436</v>
      </c>
      <c r="EJ29">
        <v>14</v>
      </c>
      <c r="EK29">
        <v>14</v>
      </c>
      <c r="EL29">
        <v>11</v>
      </c>
      <c r="EM29">
        <v>-2.8666666666666671</v>
      </c>
      <c r="EN29">
        <v>17</v>
      </c>
      <c r="EO29">
        <v>-18.666666666666668</v>
      </c>
      <c r="EP29">
        <v>3.3333333333333335</v>
      </c>
      <c r="EQ29">
        <v>25</v>
      </c>
      <c r="ER29">
        <v>24.5</v>
      </c>
      <c r="ES29">
        <v>29</v>
      </c>
      <c r="ET29">
        <v>-2.7999999999999994</v>
      </c>
      <c r="EU29">
        <v>20</v>
      </c>
      <c r="EV29">
        <v>-13.111111111111114</v>
      </c>
      <c r="EW29">
        <v>0.99999999999999989</v>
      </c>
      <c r="EX29">
        <v>28</v>
      </c>
      <c r="EY29">
        <v>26.5</v>
      </c>
      <c r="EZ29">
        <v>29</v>
      </c>
      <c r="FA29">
        <v>0.66666666666666663</v>
      </c>
      <c r="FB29">
        <v>24</v>
      </c>
      <c r="FC29">
        <v>0.44444444444444442</v>
      </c>
      <c r="FD29">
        <v>-1.8888888888888886</v>
      </c>
      <c r="FE29">
        <v>14</v>
      </c>
      <c r="FF29">
        <v>15</v>
      </c>
      <c r="FG29">
        <v>22</v>
      </c>
      <c r="FH29">
        <v>2.1353134012792301E-2</v>
      </c>
      <c r="FI29">
        <v>10</v>
      </c>
      <c r="FJ29">
        <v>1.1964506708197428E-3</v>
      </c>
      <c r="FK29">
        <v>22</v>
      </c>
      <c r="FL29">
        <v>2.111111111111112</v>
      </c>
      <c r="FM29">
        <v>6</v>
      </c>
      <c r="FN29">
        <v>1.2222222222222221</v>
      </c>
      <c r="FO29">
        <v>-0.22222222222222379</v>
      </c>
      <c r="FP29">
        <v>0.11111111111111072</v>
      </c>
      <c r="FQ29">
        <v>0.11111111111111123</v>
      </c>
      <c r="FR29">
        <v>-0.11111111111110954</v>
      </c>
      <c r="FS29">
        <v>-4.1111111111111107</v>
      </c>
      <c r="FT29">
        <v>-1.7777777777777779</v>
      </c>
      <c r="FU29">
        <v>-60.111111111111107</v>
      </c>
      <c r="FV29">
        <v>-53</v>
      </c>
      <c r="FW29">
        <v>-2.2222222222222237</v>
      </c>
      <c r="FX29">
        <v>-2.6666666666666665</v>
      </c>
      <c r="FY29">
        <v>-2.2222222222222223</v>
      </c>
      <c r="FZ29">
        <v>28</v>
      </c>
      <c r="GA29">
        <v>-6.3533333333333308</v>
      </c>
      <c r="GB29">
        <v>-3.4939999999999993</v>
      </c>
      <c r="GC29">
        <v>-50.777777777777779</v>
      </c>
      <c r="GD29">
        <v>6.3533333333333308</v>
      </c>
      <c r="GE29">
        <v>-2.2025000000000001</v>
      </c>
      <c r="GF29">
        <v>-8.6666666666666679</v>
      </c>
      <c r="GG29">
        <v>-30.666666666666661</v>
      </c>
      <c r="GH29">
        <v>-0.23333333333333517</v>
      </c>
      <c r="GI29">
        <v>0</v>
      </c>
      <c r="GJ29">
        <v>-0.22222222222222199</v>
      </c>
      <c r="GK29">
        <v>-0.22222222222222221</v>
      </c>
    </row>
    <row r="30" spans="1:193" x14ac:dyDescent="0.2">
      <c r="A30" s="39">
        <v>43737</v>
      </c>
      <c r="B30" s="26" t="s">
        <v>417</v>
      </c>
      <c r="C30" s="41" t="s">
        <v>310</v>
      </c>
      <c r="D30" s="27" t="s">
        <v>295</v>
      </c>
      <c r="E30">
        <v>20.100000000000001</v>
      </c>
      <c r="F30">
        <v>24.4</v>
      </c>
      <c r="G30" s="14">
        <v>3.5</v>
      </c>
      <c r="H30" s="14">
        <v>2.9</v>
      </c>
      <c r="I30">
        <v>3.5</v>
      </c>
      <c r="J30">
        <v>46</v>
      </c>
      <c r="L30" s="1" t="s">
        <v>310</v>
      </c>
      <c r="M30">
        <v>7</v>
      </c>
      <c r="N30">
        <v>-1.1466666666666672</v>
      </c>
      <c r="O30">
        <v>1</v>
      </c>
      <c r="P30">
        <v>1.5</v>
      </c>
      <c r="Q30">
        <v>2</v>
      </c>
      <c r="R30">
        <v>1.1111111111111118</v>
      </c>
      <c r="S30">
        <v>1</v>
      </c>
      <c r="T30">
        <v>4.9999999999999973</v>
      </c>
      <c r="U30">
        <v>-1.5555555555555554</v>
      </c>
      <c r="V30">
        <v>29</v>
      </c>
      <c r="W30">
        <v>29</v>
      </c>
      <c r="X30">
        <v>29</v>
      </c>
      <c r="Y30">
        <v>-1.1333333333333331</v>
      </c>
      <c r="Z30">
        <v>29</v>
      </c>
      <c r="AA30">
        <v>-15.888888888888888</v>
      </c>
      <c r="AB30">
        <v>0.22222222222222224</v>
      </c>
      <c r="AC30">
        <v>28</v>
      </c>
      <c r="AD30">
        <v>27.5</v>
      </c>
      <c r="AE30">
        <v>28</v>
      </c>
      <c r="AF30">
        <v>-14.855555555555554</v>
      </c>
      <c r="AG30">
        <v>27</v>
      </c>
      <c r="AH30">
        <v>-51.888888888888886</v>
      </c>
      <c r="AI30">
        <v>-3.5555555555555558</v>
      </c>
      <c r="AJ30">
        <v>28</v>
      </c>
      <c r="AK30">
        <v>27.5</v>
      </c>
      <c r="AL30">
        <v>28</v>
      </c>
      <c r="AM30">
        <v>3.7888888888888896</v>
      </c>
      <c r="AN30">
        <v>27</v>
      </c>
      <c r="AO30">
        <v>24.888888888888886</v>
      </c>
      <c r="AP30">
        <v>1</v>
      </c>
      <c r="AQ30">
        <v>15</v>
      </c>
      <c r="AR30">
        <v>15</v>
      </c>
      <c r="AS30">
        <v>12</v>
      </c>
      <c r="AT30">
        <v>-4.2666666666666666</v>
      </c>
      <c r="AU30">
        <v>18</v>
      </c>
      <c r="AV30">
        <v>-25.111111111111114</v>
      </c>
      <c r="AW30">
        <v>-1.3333333333333333</v>
      </c>
      <c r="AX30">
        <v>20</v>
      </c>
      <c r="AY30">
        <v>20</v>
      </c>
      <c r="AZ30">
        <v>22</v>
      </c>
      <c r="BA30">
        <v>-2.2666666666666675</v>
      </c>
      <c r="BB30">
        <v>18</v>
      </c>
      <c r="BC30">
        <v>-2.6666666666666692</v>
      </c>
      <c r="BD30">
        <v>-0.55555555555555591</v>
      </c>
      <c r="BE30">
        <v>14</v>
      </c>
      <c r="BF30">
        <v>13.5</v>
      </c>
      <c r="BG30">
        <v>15</v>
      </c>
      <c r="BH30">
        <v>4.155555555555555</v>
      </c>
      <c r="BI30">
        <v>9.3333333333333304</v>
      </c>
      <c r="BJ30">
        <v>1.8888888888888891</v>
      </c>
      <c r="BK30">
        <v>29</v>
      </c>
      <c r="BL30">
        <v>29</v>
      </c>
      <c r="BM30">
        <v>28</v>
      </c>
      <c r="BN30">
        <v>-1.2222222222222223</v>
      </c>
      <c r="BO30">
        <v>30</v>
      </c>
      <c r="BP30">
        <v>-0.44444444444444442</v>
      </c>
      <c r="BQ30">
        <v>3.5555555555555558</v>
      </c>
      <c r="BR30">
        <v>25</v>
      </c>
      <c r="BS30">
        <v>21</v>
      </c>
      <c r="BT30">
        <v>27</v>
      </c>
      <c r="BU30">
        <v>1.2002167274087391E-2</v>
      </c>
      <c r="BV30">
        <v>2</v>
      </c>
      <c r="BW30">
        <v>5.0678461999216717E-2</v>
      </c>
      <c r="BX30">
        <v>30</v>
      </c>
      <c r="BY30">
        <v>1.0000000000000024</v>
      </c>
      <c r="BZ30">
        <v>25</v>
      </c>
      <c r="CA30">
        <v>0.55555555555555569</v>
      </c>
      <c r="CB30">
        <v>1.6666666666666667</v>
      </c>
      <c r="CC30">
        <v>1.3333333333333333</v>
      </c>
      <c r="CD30">
        <v>2</v>
      </c>
      <c r="CE30">
        <v>-21.666666666666668</v>
      </c>
      <c r="CF30">
        <v>-25.777777777777782</v>
      </c>
      <c r="CG30">
        <v>-11.333333333333334</v>
      </c>
      <c r="CH30">
        <v>-1.2222222222222223</v>
      </c>
      <c r="CI30">
        <v>16.666666666666668</v>
      </c>
      <c r="CJ30">
        <v>19</v>
      </c>
      <c r="CK30">
        <v>-1.1244444444444459</v>
      </c>
      <c r="CL30">
        <v>-2.4537777777777783</v>
      </c>
      <c r="CM30">
        <v>-14.444444444444448</v>
      </c>
      <c r="CN30">
        <v>1.1244444444444459</v>
      </c>
      <c r="CO30">
        <v>-1.6961111111111107</v>
      </c>
      <c r="CP30">
        <v>-15.333333333333332</v>
      </c>
      <c r="CQ30">
        <v>-52.111111111111114</v>
      </c>
      <c r="CR30">
        <v>-2.2222222222221255E-2</v>
      </c>
      <c r="CS30">
        <v>-10.888888888888889</v>
      </c>
      <c r="CT30">
        <v>-2</v>
      </c>
      <c r="CU30">
        <v>-1.333333333333333</v>
      </c>
      <c r="CV30">
        <v>-0.95666666666666678</v>
      </c>
      <c r="CW30">
        <v>-1.6516666666666666</v>
      </c>
      <c r="CX30" t="s">
        <v>295</v>
      </c>
      <c r="CY30">
        <v>27</v>
      </c>
      <c r="CZ30">
        <v>0.91777777777777858</v>
      </c>
      <c r="DA30">
        <v>30</v>
      </c>
      <c r="DB30">
        <v>28</v>
      </c>
      <c r="DC30">
        <v>28</v>
      </c>
      <c r="DD30">
        <v>-0.82222222222222252</v>
      </c>
      <c r="DE30">
        <v>28</v>
      </c>
      <c r="DF30">
        <v>-15.66666666666667</v>
      </c>
      <c r="DG30">
        <v>0.11111111111111101</v>
      </c>
      <c r="DH30">
        <v>28</v>
      </c>
      <c r="DI30">
        <v>25.5</v>
      </c>
      <c r="DJ30">
        <v>30</v>
      </c>
      <c r="DK30">
        <v>-1.8666666666666669</v>
      </c>
      <c r="DL30">
        <v>21</v>
      </c>
      <c r="DM30">
        <v>-9.4444444444444446</v>
      </c>
      <c r="DN30">
        <v>0.44444444444444436</v>
      </c>
      <c r="DO30">
        <v>22</v>
      </c>
      <c r="DP30">
        <v>18.5</v>
      </c>
      <c r="DQ30">
        <v>21</v>
      </c>
      <c r="DR30">
        <v>8.88888888888862E-2</v>
      </c>
      <c r="DS30">
        <v>16</v>
      </c>
      <c r="DT30">
        <v>7.8888888888888884</v>
      </c>
      <c r="DU30">
        <v>0.22222222222222232</v>
      </c>
      <c r="DV30">
        <v>9</v>
      </c>
      <c r="DW30">
        <v>10</v>
      </c>
      <c r="DX30">
        <v>9</v>
      </c>
      <c r="DY30">
        <v>-2.2666666666666657</v>
      </c>
      <c r="DZ30">
        <v>11</v>
      </c>
      <c r="EA30">
        <v>-4.8888888888888902</v>
      </c>
      <c r="EB30">
        <v>-0.77777777777777801</v>
      </c>
      <c r="EC30">
        <v>17</v>
      </c>
      <c r="ED30">
        <v>26.5</v>
      </c>
      <c r="EE30">
        <v>29</v>
      </c>
      <c r="EF30">
        <v>-0.6333333333333333</v>
      </c>
      <c r="EG30">
        <v>24</v>
      </c>
      <c r="EH30">
        <v>-5.1111111111111116</v>
      </c>
      <c r="EI30">
        <v>-2.2222222222222219</v>
      </c>
      <c r="EJ30">
        <v>10</v>
      </c>
      <c r="EK30">
        <v>11.5</v>
      </c>
      <c r="EL30">
        <v>14</v>
      </c>
      <c r="EM30">
        <v>-0.58888888888888824</v>
      </c>
      <c r="EN30">
        <v>9</v>
      </c>
      <c r="EO30">
        <v>-3.6666666666666692</v>
      </c>
      <c r="EP30">
        <v>0.88888888888888939</v>
      </c>
      <c r="EQ30">
        <v>29</v>
      </c>
      <c r="ER30">
        <v>26.5</v>
      </c>
      <c r="ES30">
        <v>30</v>
      </c>
      <c r="ET30">
        <v>1.5999999999999994</v>
      </c>
      <c r="EU30">
        <v>23</v>
      </c>
      <c r="EV30">
        <v>9.9999999999999982</v>
      </c>
      <c r="EW30">
        <v>1.4444444444444444</v>
      </c>
      <c r="EX30">
        <v>17</v>
      </c>
      <c r="EY30">
        <v>14.5</v>
      </c>
      <c r="EZ30">
        <v>14</v>
      </c>
      <c r="FA30">
        <v>0.88888888888888895</v>
      </c>
      <c r="FB30">
        <v>15</v>
      </c>
      <c r="FC30">
        <v>-0.11111111111111109</v>
      </c>
      <c r="FD30">
        <v>2.4444444444444446</v>
      </c>
      <c r="FE30">
        <v>19</v>
      </c>
      <c r="FF30">
        <v>16.5</v>
      </c>
      <c r="FG30">
        <v>10</v>
      </c>
      <c r="FH30">
        <v>4.8788263559643901E-3</v>
      </c>
      <c r="FI30">
        <v>20</v>
      </c>
      <c r="FJ30">
        <v>1.1394169356866634E-2</v>
      </c>
      <c r="FK30">
        <v>25</v>
      </c>
      <c r="FL30">
        <v>2.3555555555555565</v>
      </c>
      <c r="FM30">
        <v>11</v>
      </c>
      <c r="FN30">
        <v>-1.3333333333333333</v>
      </c>
      <c r="FO30">
        <v>0.77777777777777735</v>
      </c>
      <c r="FP30">
        <v>-2.4444444444444442</v>
      </c>
      <c r="FQ30">
        <v>-0.22222222222222218</v>
      </c>
      <c r="FR30">
        <v>-2.2222222222222237</v>
      </c>
      <c r="FS30">
        <v>0.1111111111111119</v>
      </c>
      <c r="FT30">
        <v>0</v>
      </c>
      <c r="FU30">
        <v>-46.111111111111107</v>
      </c>
      <c r="FV30">
        <v>1.5555555555555429</v>
      </c>
      <c r="FW30">
        <v>-37.55555555555555</v>
      </c>
      <c r="FX30">
        <v>-1.1111111111111112</v>
      </c>
      <c r="FY30">
        <v>-9</v>
      </c>
      <c r="FZ30">
        <v>8</v>
      </c>
      <c r="GA30">
        <v>3.6066666666666682</v>
      </c>
      <c r="GB30">
        <v>1.2857777777777779</v>
      </c>
      <c r="GC30">
        <v>39.111111111111093</v>
      </c>
      <c r="GD30">
        <v>-3.6066666666666682</v>
      </c>
      <c r="GE30">
        <v>-0.26166666666666699</v>
      </c>
      <c r="GF30">
        <v>-2.8111111111111127</v>
      </c>
      <c r="GG30">
        <v>-2.1111111111111134</v>
      </c>
      <c r="GH30">
        <v>-2.6888888888888896</v>
      </c>
      <c r="GI30">
        <v>-25.111111111111114</v>
      </c>
      <c r="GJ30">
        <v>-1.3333333333333333</v>
      </c>
      <c r="GK30">
        <v>0.55555555555555536</v>
      </c>
    </row>
    <row r="31" spans="1:193" x14ac:dyDescent="0.2">
      <c r="A31" s="39">
        <v>43737</v>
      </c>
      <c r="B31" s="26" t="s">
        <v>417</v>
      </c>
      <c r="C31" s="41" t="s">
        <v>306</v>
      </c>
      <c r="D31" s="27" t="s">
        <v>296</v>
      </c>
      <c r="E31">
        <v>4.4000000000000004</v>
      </c>
      <c r="F31" s="14">
        <v>3</v>
      </c>
      <c r="G31">
        <v>3.4</v>
      </c>
      <c r="H31" s="14">
        <v>4.5</v>
      </c>
      <c r="I31">
        <v>3</v>
      </c>
      <c r="J31">
        <v>48</v>
      </c>
      <c r="L31" s="1" t="s">
        <v>306</v>
      </c>
      <c r="M31">
        <v>32</v>
      </c>
      <c r="N31">
        <v>4.0999999999999988</v>
      </c>
      <c r="O31">
        <v>9</v>
      </c>
      <c r="P31">
        <v>9</v>
      </c>
      <c r="Q31">
        <v>11</v>
      </c>
      <c r="R31">
        <v>-2.3888888888888888</v>
      </c>
      <c r="S31">
        <v>7</v>
      </c>
      <c r="T31">
        <v>-10.666666666666666</v>
      </c>
      <c r="U31">
        <v>-1.0555555555555556</v>
      </c>
      <c r="V31">
        <v>19</v>
      </c>
      <c r="W31">
        <v>18</v>
      </c>
      <c r="X31">
        <v>25</v>
      </c>
      <c r="Y31">
        <v>3.5333333333333337</v>
      </c>
      <c r="Z31">
        <v>11</v>
      </c>
      <c r="AA31">
        <v>-4.5555555555555562</v>
      </c>
      <c r="AB31">
        <v>2.8888888888888888</v>
      </c>
      <c r="AC31">
        <v>29</v>
      </c>
      <c r="AD31">
        <v>29</v>
      </c>
      <c r="AE31">
        <v>29</v>
      </c>
      <c r="AF31">
        <v>6.9444444444444429</v>
      </c>
      <c r="AG31">
        <v>29</v>
      </c>
      <c r="AH31">
        <v>26.888888888888886</v>
      </c>
      <c r="AI31">
        <v>0.33333333333333304</v>
      </c>
      <c r="AJ31">
        <v>28</v>
      </c>
      <c r="AK31">
        <v>27.5</v>
      </c>
      <c r="AL31">
        <v>30</v>
      </c>
      <c r="AM31">
        <v>-3.1777777777777771</v>
      </c>
      <c r="AN31">
        <v>25</v>
      </c>
      <c r="AO31">
        <v>-24</v>
      </c>
      <c r="AP31">
        <v>-1.5555555555555556</v>
      </c>
      <c r="AQ31">
        <v>30</v>
      </c>
      <c r="AR31">
        <v>29.5</v>
      </c>
      <c r="AS31">
        <v>31</v>
      </c>
      <c r="AT31">
        <v>2.7666666666666671</v>
      </c>
      <c r="AU31">
        <v>28</v>
      </c>
      <c r="AV31">
        <v>6.9999999999999991</v>
      </c>
      <c r="AW31">
        <v>1.1111111111111114</v>
      </c>
      <c r="AX31">
        <v>30</v>
      </c>
      <c r="AY31">
        <v>30</v>
      </c>
      <c r="AZ31">
        <v>30</v>
      </c>
      <c r="BA31">
        <v>6.2555555555555564</v>
      </c>
      <c r="BB31">
        <v>30</v>
      </c>
      <c r="BC31">
        <v>20.333333333333332</v>
      </c>
      <c r="BD31">
        <v>0.11111111111111101</v>
      </c>
      <c r="BE31">
        <v>31</v>
      </c>
      <c r="BF31">
        <v>30</v>
      </c>
      <c r="BG31">
        <v>31</v>
      </c>
      <c r="BH31">
        <v>-2.2222222222222219</v>
      </c>
      <c r="BI31">
        <v>-4.4444444444444429</v>
      </c>
      <c r="BJ31">
        <v>-1.2222222222222221</v>
      </c>
      <c r="BK31">
        <v>1</v>
      </c>
      <c r="BL31">
        <v>1</v>
      </c>
      <c r="BM31">
        <v>1</v>
      </c>
      <c r="BN31">
        <v>-0.55555555555555591</v>
      </c>
      <c r="BO31">
        <v>1</v>
      </c>
      <c r="BP31">
        <v>-0.44444444444444448</v>
      </c>
      <c r="BQ31">
        <v>-2.4444444444444446</v>
      </c>
      <c r="BR31">
        <v>1</v>
      </c>
      <c r="BS31">
        <v>5.25</v>
      </c>
      <c r="BT31">
        <v>9</v>
      </c>
      <c r="BU31">
        <v>-5.8147898320922342E-4</v>
      </c>
      <c r="BV31">
        <v>1</v>
      </c>
      <c r="BW31">
        <v>-2.1408433206075036E-3</v>
      </c>
      <c r="BX31">
        <v>2</v>
      </c>
      <c r="BY31">
        <v>9.8666666666666689</v>
      </c>
      <c r="BZ31">
        <v>9</v>
      </c>
      <c r="CA31">
        <v>0.5555555555555558</v>
      </c>
      <c r="CB31">
        <v>-2.888888888888888</v>
      </c>
      <c r="CC31">
        <v>3.8888888888888888</v>
      </c>
      <c r="CD31">
        <v>-0.77777777777777779</v>
      </c>
      <c r="CE31">
        <v>9.2222222222222285</v>
      </c>
      <c r="CF31">
        <v>33.111111111111107</v>
      </c>
      <c r="CG31">
        <v>-23.444444444444446</v>
      </c>
      <c r="CH31">
        <v>3.1111111111111107</v>
      </c>
      <c r="CI31">
        <v>-3.5555555555555558</v>
      </c>
      <c r="CJ31">
        <v>13</v>
      </c>
      <c r="CK31">
        <v>2.9555555555555535</v>
      </c>
      <c r="CL31">
        <v>1.1099999999999994</v>
      </c>
      <c r="CM31">
        <v>56.555555555555557</v>
      </c>
      <c r="CN31">
        <v>-2.9555555555555539</v>
      </c>
      <c r="CO31">
        <v>1.125</v>
      </c>
      <c r="CP31">
        <v>6.5333333333333332</v>
      </c>
      <c r="CQ31">
        <v>9.8888888888888857</v>
      </c>
      <c r="CR31">
        <v>1.1444444444444448</v>
      </c>
      <c r="CS31">
        <v>-15.222222222222221</v>
      </c>
      <c r="CT31">
        <v>-1.3333333333333333</v>
      </c>
      <c r="CU31">
        <v>1.8333333333333333</v>
      </c>
      <c r="CV31">
        <v>2.1629166666666664</v>
      </c>
      <c r="CW31">
        <v>1.76</v>
      </c>
      <c r="CX31" t="s">
        <v>296</v>
      </c>
      <c r="CY31">
        <v>5</v>
      </c>
      <c r="CZ31">
        <v>6.7711111111111109</v>
      </c>
      <c r="DA31">
        <v>31</v>
      </c>
      <c r="DB31">
        <v>29</v>
      </c>
      <c r="DC31">
        <v>31</v>
      </c>
      <c r="DD31">
        <v>-2.6222222222222231</v>
      </c>
      <c r="DE31">
        <v>27</v>
      </c>
      <c r="DF31">
        <v>-17.666666666666668</v>
      </c>
      <c r="DG31">
        <v>-1</v>
      </c>
      <c r="DH31">
        <v>15</v>
      </c>
      <c r="DI31">
        <v>16</v>
      </c>
      <c r="DJ31">
        <v>24</v>
      </c>
      <c r="DK31">
        <v>0.97777777777777786</v>
      </c>
      <c r="DL31">
        <v>8</v>
      </c>
      <c r="DM31">
        <v>7</v>
      </c>
      <c r="DN31">
        <v>-0.33333333333333331</v>
      </c>
      <c r="DO31">
        <v>4</v>
      </c>
      <c r="DP31">
        <v>4.5</v>
      </c>
      <c r="DQ31">
        <v>4</v>
      </c>
      <c r="DR31">
        <v>9.0777777777777775</v>
      </c>
      <c r="DS31">
        <v>5</v>
      </c>
      <c r="DT31">
        <v>37.888888888888893</v>
      </c>
      <c r="DU31">
        <v>2.6666666666666665</v>
      </c>
      <c r="DV31">
        <v>13</v>
      </c>
      <c r="DW31">
        <v>13.5</v>
      </c>
      <c r="DX31">
        <v>14</v>
      </c>
      <c r="DY31">
        <v>-1.3444444444444443</v>
      </c>
      <c r="DZ31">
        <v>13</v>
      </c>
      <c r="EA31">
        <v>13.222222222222223</v>
      </c>
      <c r="EB31">
        <v>-2.2222222222222223</v>
      </c>
      <c r="EC31">
        <v>24</v>
      </c>
      <c r="ED31">
        <v>13.5</v>
      </c>
      <c r="EE31">
        <v>16</v>
      </c>
      <c r="EF31">
        <v>4.3888888888888884</v>
      </c>
      <c r="EG31">
        <v>11</v>
      </c>
      <c r="EH31">
        <v>13.555555555555557</v>
      </c>
      <c r="EI31">
        <v>-1</v>
      </c>
      <c r="EJ31">
        <v>2</v>
      </c>
      <c r="EK31">
        <v>3.5</v>
      </c>
      <c r="EL31">
        <v>4</v>
      </c>
      <c r="EM31">
        <v>2.4444444444444451</v>
      </c>
      <c r="EN31">
        <v>3</v>
      </c>
      <c r="EO31">
        <v>-2.3684757858670005E-15</v>
      </c>
      <c r="EP31">
        <v>-1.4444444444444444</v>
      </c>
      <c r="EQ31">
        <v>17</v>
      </c>
      <c r="ER31">
        <v>15.5</v>
      </c>
      <c r="ES31">
        <v>15</v>
      </c>
      <c r="ET31">
        <v>2.3888888888888884</v>
      </c>
      <c r="EU31">
        <v>16</v>
      </c>
      <c r="EV31">
        <v>5.1111111111111116</v>
      </c>
      <c r="EW31">
        <v>0.88888888888888895</v>
      </c>
      <c r="EX31">
        <v>2</v>
      </c>
      <c r="EY31">
        <v>3</v>
      </c>
      <c r="EZ31">
        <v>2</v>
      </c>
      <c r="FA31">
        <v>0.88888888888888895</v>
      </c>
      <c r="FB31">
        <v>4</v>
      </c>
      <c r="FC31">
        <v>-0.11111111111111109</v>
      </c>
      <c r="FD31">
        <v>-1.6666666666666663</v>
      </c>
      <c r="FE31">
        <v>29</v>
      </c>
      <c r="FF31">
        <v>24</v>
      </c>
      <c r="FG31">
        <v>11</v>
      </c>
      <c r="FH31">
        <v>-3.3299145915671374E-2</v>
      </c>
      <c r="FI31">
        <v>27</v>
      </c>
      <c r="FJ31">
        <v>7.8893354850343139E-3</v>
      </c>
      <c r="FK31">
        <v>31</v>
      </c>
      <c r="FL31">
        <v>7.7888888888888914</v>
      </c>
      <c r="FM31">
        <v>27</v>
      </c>
      <c r="FN31">
        <v>-5.333333333333333</v>
      </c>
      <c r="FO31">
        <v>0.22222222222222263</v>
      </c>
      <c r="FP31">
        <v>1.555555555555556</v>
      </c>
      <c r="FQ31">
        <v>-0.55555555555555525</v>
      </c>
      <c r="FR31">
        <v>1.5555555555555525</v>
      </c>
      <c r="FS31">
        <v>6.4444444444444438</v>
      </c>
      <c r="FT31">
        <v>-0.77777777777777779</v>
      </c>
      <c r="FU31">
        <v>51.888888888888893</v>
      </c>
      <c r="FV31">
        <v>73.555555555555543</v>
      </c>
      <c r="FW31">
        <v>-10.444444444444443</v>
      </c>
      <c r="FX31">
        <v>1.0000000000000004</v>
      </c>
      <c r="FY31">
        <v>-12.222222222222223</v>
      </c>
      <c r="FZ31">
        <v>3</v>
      </c>
      <c r="GA31">
        <v>8.4155555555555566</v>
      </c>
      <c r="GB31">
        <v>5.0786666666666669</v>
      </c>
      <c r="GC31">
        <v>83.999999999999986</v>
      </c>
      <c r="GD31">
        <v>-8.4155555555555566</v>
      </c>
      <c r="GE31">
        <v>2.565833333333333</v>
      </c>
      <c r="GF31">
        <v>12.122222222222222</v>
      </c>
      <c r="GG31">
        <v>64.666666666666671</v>
      </c>
      <c r="GH31">
        <v>-1.6444444444444453</v>
      </c>
      <c r="GI31">
        <v>-10.666666666666668</v>
      </c>
      <c r="GJ31">
        <v>0.33333333333333315</v>
      </c>
      <c r="GK31">
        <v>-1.3333333333333333</v>
      </c>
    </row>
    <row r="32" spans="1:193" x14ac:dyDescent="0.2">
      <c r="A32" s="39">
        <v>43744</v>
      </c>
      <c r="B32" s="22" t="s">
        <v>381</v>
      </c>
      <c r="C32" s="41" t="s">
        <v>285</v>
      </c>
      <c r="D32" s="22" t="s">
        <v>272</v>
      </c>
      <c r="E32">
        <v>11.8</v>
      </c>
      <c r="F32">
        <v>5.5</v>
      </c>
      <c r="G32">
        <v>5.3</v>
      </c>
      <c r="H32">
        <f>3.7+1.7</f>
        <v>5.4</v>
      </c>
      <c r="I32">
        <v>3</v>
      </c>
      <c r="J32">
        <v>45</v>
      </c>
      <c r="K32" t="s">
        <v>109</v>
      </c>
      <c r="L32" s="1" t="s">
        <v>285</v>
      </c>
      <c r="M32">
        <v>14</v>
      </c>
      <c r="N32">
        <v>2.1599999999999993</v>
      </c>
      <c r="O32">
        <v>24</v>
      </c>
      <c r="P32">
        <v>22.5</v>
      </c>
      <c r="Q32">
        <v>22</v>
      </c>
      <c r="R32">
        <v>0.43749999999999911</v>
      </c>
      <c r="S32">
        <v>23</v>
      </c>
      <c r="T32">
        <v>-14.75</v>
      </c>
      <c r="U32">
        <v>2.25</v>
      </c>
      <c r="V32">
        <v>29</v>
      </c>
      <c r="W32">
        <v>29</v>
      </c>
      <c r="X32">
        <v>30</v>
      </c>
      <c r="Y32">
        <v>-4.6625000000000005</v>
      </c>
      <c r="Z32">
        <v>28</v>
      </c>
      <c r="AA32">
        <v>-11.1875</v>
      </c>
      <c r="AB32">
        <v>-0.625</v>
      </c>
      <c r="AC32">
        <v>27</v>
      </c>
      <c r="AD32">
        <v>26.5</v>
      </c>
      <c r="AE32">
        <v>27</v>
      </c>
      <c r="AF32">
        <v>3.9437500000000001</v>
      </c>
      <c r="AG32">
        <v>26</v>
      </c>
      <c r="AH32">
        <v>15.25</v>
      </c>
      <c r="AI32">
        <v>0.1875</v>
      </c>
      <c r="AJ32">
        <v>7</v>
      </c>
      <c r="AK32">
        <v>8</v>
      </c>
      <c r="AL32">
        <v>6</v>
      </c>
      <c r="AM32">
        <v>-0.75625000000000053</v>
      </c>
      <c r="AN32">
        <v>10</v>
      </c>
      <c r="AO32">
        <v>-9.3125</v>
      </c>
      <c r="AP32">
        <v>1.3125</v>
      </c>
      <c r="AQ32">
        <v>11</v>
      </c>
      <c r="AR32">
        <v>10.5</v>
      </c>
      <c r="AS32">
        <v>9</v>
      </c>
      <c r="AT32">
        <v>1.6812500000000001</v>
      </c>
      <c r="AU32">
        <v>12</v>
      </c>
      <c r="AV32">
        <v>5.9375</v>
      </c>
      <c r="AW32">
        <v>1.8125</v>
      </c>
      <c r="AX32">
        <v>16</v>
      </c>
      <c r="AY32">
        <v>16</v>
      </c>
      <c r="AZ32">
        <v>18</v>
      </c>
      <c r="BA32">
        <v>6.0500000000000007</v>
      </c>
      <c r="BB32">
        <v>14</v>
      </c>
      <c r="BC32">
        <v>24.25</v>
      </c>
      <c r="BD32">
        <v>4.75</v>
      </c>
      <c r="BE32">
        <v>24</v>
      </c>
      <c r="BF32">
        <v>23.5</v>
      </c>
      <c r="BG32">
        <v>29</v>
      </c>
      <c r="BH32">
        <v>-6.2125000000000004</v>
      </c>
      <c r="BI32">
        <v>-24.625</v>
      </c>
      <c r="BJ32">
        <v>-2.875</v>
      </c>
      <c r="BK32">
        <v>21</v>
      </c>
      <c r="BL32">
        <v>20</v>
      </c>
      <c r="BM32">
        <v>17</v>
      </c>
      <c r="BN32">
        <v>0.75</v>
      </c>
      <c r="BO32">
        <v>23</v>
      </c>
      <c r="BP32">
        <v>0.625</v>
      </c>
      <c r="BQ32">
        <v>-3</v>
      </c>
      <c r="BR32">
        <v>9</v>
      </c>
      <c r="BS32">
        <v>12.25</v>
      </c>
      <c r="BT32">
        <v>20</v>
      </c>
      <c r="BU32">
        <v>-2.8023001145171686E-2</v>
      </c>
      <c r="BV32">
        <v>7</v>
      </c>
      <c r="BW32">
        <v>3.7832335829783265E-2</v>
      </c>
      <c r="BX32">
        <v>4</v>
      </c>
      <c r="BY32">
        <v>2.7687500000000025</v>
      </c>
      <c r="BZ32">
        <v>18</v>
      </c>
      <c r="CA32">
        <v>2.5</v>
      </c>
      <c r="CB32">
        <v>4.375</v>
      </c>
      <c r="CC32">
        <v>-2.9375</v>
      </c>
      <c r="CD32">
        <v>-1.3125</v>
      </c>
      <c r="CE32">
        <v>-8.4375</v>
      </c>
      <c r="CF32">
        <v>6.5</v>
      </c>
      <c r="CG32">
        <v>-28</v>
      </c>
      <c r="CH32">
        <v>2</v>
      </c>
      <c r="CI32">
        <v>11.0625</v>
      </c>
      <c r="CJ32">
        <v>5</v>
      </c>
      <c r="CK32">
        <v>6.3850000000000007</v>
      </c>
      <c r="CL32">
        <v>2.2757500000000004</v>
      </c>
      <c r="CM32">
        <v>34.5</v>
      </c>
      <c r="CN32">
        <v>-6.3850000000000007</v>
      </c>
      <c r="CO32">
        <v>-0.33234375000000038</v>
      </c>
      <c r="CP32">
        <v>4.8687499999999995</v>
      </c>
      <c r="CQ32">
        <v>11.875</v>
      </c>
      <c r="CR32">
        <v>-4.2250000000000014</v>
      </c>
      <c r="CS32">
        <v>-25.9375</v>
      </c>
      <c r="CT32">
        <v>0.4375</v>
      </c>
      <c r="CU32">
        <v>1.625</v>
      </c>
      <c r="CV32">
        <v>1.0528124999999999</v>
      </c>
      <c r="CW32">
        <v>1.1064062499999998</v>
      </c>
      <c r="CX32" t="s">
        <v>272</v>
      </c>
      <c r="CY32">
        <v>10</v>
      </c>
      <c r="CZ32">
        <v>0.28624999999999901</v>
      </c>
      <c r="DA32">
        <v>25</v>
      </c>
      <c r="DB32">
        <v>23.5</v>
      </c>
      <c r="DC32">
        <v>29</v>
      </c>
      <c r="DD32">
        <v>6.8062500000000004</v>
      </c>
      <c r="DE32">
        <v>18</v>
      </c>
      <c r="DF32">
        <v>5</v>
      </c>
      <c r="DG32">
        <v>1.25</v>
      </c>
      <c r="DH32">
        <v>24</v>
      </c>
      <c r="DI32">
        <v>21.5</v>
      </c>
      <c r="DJ32">
        <v>19</v>
      </c>
      <c r="DK32">
        <v>3.663749999999999</v>
      </c>
      <c r="DL32">
        <v>24</v>
      </c>
      <c r="DM32">
        <v>3.375</v>
      </c>
      <c r="DN32">
        <v>1.5625</v>
      </c>
      <c r="DO32">
        <v>1</v>
      </c>
      <c r="DP32">
        <v>4</v>
      </c>
      <c r="DQ32">
        <v>5</v>
      </c>
      <c r="DR32">
        <v>-2.8374999999999995</v>
      </c>
      <c r="DS32">
        <v>3</v>
      </c>
      <c r="DT32">
        <v>-18.875</v>
      </c>
      <c r="DU32">
        <v>-2.4375</v>
      </c>
      <c r="DV32">
        <v>17</v>
      </c>
      <c r="DW32">
        <v>16.5</v>
      </c>
      <c r="DX32">
        <v>19</v>
      </c>
      <c r="DY32">
        <v>5.59375</v>
      </c>
      <c r="DZ32">
        <v>14</v>
      </c>
      <c r="EA32">
        <v>26.3125</v>
      </c>
      <c r="EB32">
        <v>0.125</v>
      </c>
      <c r="EC32">
        <v>6</v>
      </c>
      <c r="ED32">
        <v>8</v>
      </c>
      <c r="EE32">
        <v>6</v>
      </c>
      <c r="EF32">
        <v>-3.2250000000000001</v>
      </c>
      <c r="EG32">
        <v>10</v>
      </c>
      <c r="EH32">
        <v>-12.9375</v>
      </c>
      <c r="EI32">
        <v>-1.6875</v>
      </c>
      <c r="EJ32">
        <v>2</v>
      </c>
      <c r="EK32">
        <v>3.5</v>
      </c>
      <c r="EL32">
        <v>5</v>
      </c>
      <c r="EM32">
        <v>-0.73125000000000195</v>
      </c>
      <c r="EN32">
        <v>2</v>
      </c>
      <c r="EO32">
        <v>-12.3125</v>
      </c>
      <c r="EP32">
        <v>-1.875</v>
      </c>
      <c r="EQ32">
        <v>9</v>
      </c>
      <c r="ER32">
        <v>10</v>
      </c>
      <c r="ES32">
        <v>9</v>
      </c>
      <c r="ET32">
        <v>-3.4187499999999993</v>
      </c>
      <c r="EU32">
        <v>11</v>
      </c>
      <c r="EV32">
        <v>-4.125</v>
      </c>
      <c r="EW32">
        <v>-2.0625</v>
      </c>
      <c r="EX32">
        <v>20</v>
      </c>
      <c r="EY32">
        <v>21</v>
      </c>
      <c r="EZ32">
        <v>18</v>
      </c>
      <c r="FA32">
        <v>1.125</v>
      </c>
      <c r="FB32">
        <v>24</v>
      </c>
      <c r="FC32">
        <v>0.8125</v>
      </c>
      <c r="FD32">
        <v>2.25</v>
      </c>
      <c r="FE32">
        <v>22</v>
      </c>
      <c r="FF32">
        <v>18.25</v>
      </c>
      <c r="FG32">
        <v>13</v>
      </c>
      <c r="FH32">
        <v>4.2566615486467445E-2</v>
      </c>
      <c r="FI32">
        <v>15</v>
      </c>
      <c r="FJ32">
        <v>-5.223575102446202E-3</v>
      </c>
      <c r="FK32">
        <v>19</v>
      </c>
      <c r="FL32">
        <v>2.6500000000000021</v>
      </c>
      <c r="FM32">
        <v>26</v>
      </c>
      <c r="FN32">
        <v>-5.1875</v>
      </c>
      <c r="FO32">
        <v>-5.8125</v>
      </c>
      <c r="FP32">
        <v>2.0625</v>
      </c>
      <c r="FQ32">
        <v>0.3125</v>
      </c>
      <c r="FR32">
        <v>-2.3125</v>
      </c>
      <c r="FS32">
        <v>4.9375</v>
      </c>
      <c r="FT32">
        <v>-1.3125</v>
      </c>
      <c r="FU32">
        <v>4.25</v>
      </c>
      <c r="FV32">
        <v>-6.1875</v>
      </c>
      <c r="FW32">
        <v>10.6875</v>
      </c>
      <c r="FX32">
        <v>0.6875</v>
      </c>
      <c r="FY32">
        <v>-0.9375</v>
      </c>
      <c r="FZ32">
        <v>30</v>
      </c>
      <c r="GA32">
        <v>-10.18375</v>
      </c>
      <c r="GB32">
        <v>-5.9552499999999995</v>
      </c>
      <c r="GC32">
        <v>-16.875</v>
      </c>
      <c r="GD32">
        <v>10.18375</v>
      </c>
      <c r="GE32">
        <v>0.99921875000000004</v>
      </c>
      <c r="GF32">
        <v>-0.46874999999999956</v>
      </c>
      <c r="GG32">
        <v>-5.5</v>
      </c>
      <c r="GH32">
        <v>10.469999999999999</v>
      </c>
      <c r="GI32">
        <v>8.375</v>
      </c>
      <c r="GJ32">
        <v>-6.0625</v>
      </c>
      <c r="GK32">
        <v>2.8125</v>
      </c>
    </row>
    <row r="33" spans="1:193" x14ac:dyDescent="0.2">
      <c r="A33" s="39">
        <v>43744</v>
      </c>
      <c r="B33" s="22" t="s">
        <v>381</v>
      </c>
      <c r="C33" s="41" t="s">
        <v>295</v>
      </c>
      <c r="D33" s="22" t="s">
        <v>311</v>
      </c>
      <c r="E33">
        <v>7.2</v>
      </c>
      <c r="F33">
        <v>19.8</v>
      </c>
      <c r="G33" s="14">
        <v>15.3</v>
      </c>
      <c r="H33">
        <v>13.6</v>
      </c>
      <c r="I33">
        <v>4</v>
      </c>
      <c r="J33">
        <v>49</v>
      </c>
      <c r="K33" t="s">
        <v>109</v>
      </c>
      <c r="L33" s="1" t="s">
        <v>295</v>
      </c>
      <c r="M33">
        <v>20</v>
      </c>
      <c r="N33">
        <v>3.9087499999999995</v>
      </c>
      <c r="O33">
        <v>29</v>
      </c>
      <c r="P33">
        <v>28</v>
      </c>
      <c r="Q33">
        <v>29</v>
      </c>
      <c r="R33">
        <v>-2.96875</v>
      </c>
      <c r="S33">
        <v>27</v>
      </c>
      <c r="T33">
        <v>-12</v>
      </c>
      <c r="U33">
        <v>0.71875</v>
      </c>
      <c r="V33">
        <v>11</v>
      </c>
      <c r="W33">
        <v>11</v>
      </c>
      <c r="X33">
        <v>10</v>
      </c>
      <c r="Y33">
        <v>3.7499999999999978E-2</v>
      </c>
      <c r="Z33">
        <v>12</v>
      </c>
      <c r="AA33">
        <v>3.5</v>
      </c>
      <c r="AB33">
        <v>-0.5625</v>
      </c>
      <c r="AC33">
        <v>15</v>
      </c>
      <c r="AD33">
        <v>16</v>
      </c>
      <c r="AE33">
        <v>23</v>
      </c>
      <c r="AF33">
        <v>3.6812499999999995</v>
      </c>
      <c r="AG33">
        <v>9</v>
      </c>
      <c r="AH33">
        <v>3.5625</v>
      </c>
      <c r="AI33">
        <v>0.875</v>
      </c>
      <c r="AJ33">
        <v>6</v>
      </c>
      <c r="AK33">
        <v>7</v>
      </c>
      <c r="AL33">
        <v>8</v>
      </c>
      <c r="AM33">
        <v>2.6687499999999993</v>
      </c>
      <c r="AN33">
        <v>6</v>
      </c>
      <c r="AO33">
        <v>6.6875</v>
      </c>
      <c r="AP33">
        <v>0.4375</v>
      </c>
      <c r="AQ33">
        <v>6</v>
      </c>
      <c r="AR33">
        <v>6</v>
      </c>
      <c r="AS33">
        <v>6</v>
      </c>
      <c r="AT33">
        <v>2.7874999999999996</v>
      </c>
      <c r="AU33">
        <v>6</v>
      </c>
      <c r="AV33">
        <v>27.0625</v>
      </c>
      <c r="AW33">
        <v>1.875</v>
      </c>
      <c r="AX33">
        <v>7</v>
      </c>
      <c r="AY33">
        <v>6.5</v>
      </c>
      <c r="AZ33">
        <v>7</v>
      </c>
      <c r="BA33">
        <v>3.3437500000000004</v>
      </c>
      <c r="BB33">
        <v>6</v>
      </c>
      <c r="BC33">
        <v>20.3125</v>
      </c>
      <c r="BD33">
        <v>2.625</v>
      </c>
      <c r="BE33">
        <v>16</v>
      </c>
      <c r="BF33">
        <v>17</v>
      </c>
      <c r="BG33">
        <v>17</v>
      </c>
      <c r="BH33">
        <v>4.1187499999999995</v>
      </c>
      <c r="BI33">
        <v>19.75</v>
      </c>
      <c r="BJ33">
        <v>1.6875</v>
      </c>
      <c r="BK33">
        <v>4</v>
      </c>
      <c r="BL33">
        <v>7</v>
      </c>
      <c r="BM33">
        <v>10</v>
      </c>
      <c r="BN33">
        <v>-1.1875</v>
      </c>
      <c r="BO33">
        <v>4</v>
      </c>
      <c r="BP33">
        <v>-0.125</v>
      </c>
      <c r="BQ33">
        <v>-2.9375</v>
      </c>
      <c r="BR33">
        <v>14</v>
      </c>
      <c r="BS33">
        <v>14</v>
      </c>
      <c r="BT33">
        <v>7</v>
      </c>
      <c r="BU33">
        <v>8.6407846699750601E-3</v>
      </c>
      <c r="BV33">
        <v>9</v>
      </c>
      <c r="BW33">
        <v>-6.3238579316578867E-3</v>
      </c>
      <c r="BX33">
        <v>26</v>
      </c>
      <c r="BY33">
        <v>-0.31875000000000142</v>
      </c>
      <c r="BZ33">
        <v>14</v>
      </c>
      <c r="CA33">
        <v>2.375</v>
      </c>
      <c r="CB33">
        <v>1.75</v>
      </c>
      <c r="CC33">
        <v>-2.375</v>
      </c>
      <c r="CD33">
        <v>-0.875</v>
      </c>
      <c r="CE33">
        <v>35.125</v>
      </c>
      <c r="CF33">
        <v>62.875</v>
      </c>
      <c r="CG33">
        <v>-22.3125</v>
      </c>
      <c r="CH33">
        <v>-6.3125</v>
      </c>
      <c r="CI33">
        <v>0.875</v>
      </c>
      <c r="CJ33">
        <v>3</v>
      </c>
      <c r="CK33">
        <v>6.84</v>
      </c>
      <c r="CL33">
        <v>4.898625</v>
      </c>
      <c r="CM33">
        <v>85.1875</v>
      </c>
      <c r="CN33">
        <v>-6.84</v>
      </c>
      <c r="CO33">
        <v>1.6307812499999996</v>
      </c>
      <c r="CP33">
        <v>9.1374999999999993</v>
      </c>
      <c r="CQ33">
        <v>37.3125</v>
      </c>
      <c r="CR33">
        <v>-2.9312499999999999</v>
      </c>
      <c r="CS33">
        <v>-8.5</v>
      </c>
      <c r="CT33">
        <v>4.875</v>
      </c>
      <c r="CU33">
        <v>0.15625</v>
      </c>
      <c r="CV33">
        <v>0.38820312499999987</v>
      </c>
      <c r="CW33">
        <v>0.4342187500000001</v>
      </c>
      <c r="CX33" t="s">
        <v>311</v>
      </c>
      <c r="CY33">
        <v>6</v>
      </c>
      <c r="CZ33">
        <v>0.65000000000000036</v>
      </c>
      <c r="DA33">
        <v>27</v>
      </c>
      <c r="DB33">
        <v>24</v>
      </c>
      <c r="DC33">
        <v>18</v>
      </c>
      <c r="DD33">
        <v>-2.0750000000000024</v>
      </c>
      <c r="DE33">
        <v>30</v>
      </c>
      <c r="DF33">
        <v>-13.9375</v>
      </c>
      <c r="DG33">
        <v>1.3125</v>
      </c>
      <c r="DH33">
        <v>1</v>
      </c>
      <c r="DI33">
        <v>1</v>
      </c>
      <c r="DJ33">
        <v>1</v>
      </c>
      <c r="DK33">
        <v>0.375</v>
      </c>
      <c r="DL33">
        <v>1</v>
      </c>
      <c r="DM33">
        <v>-0.375</v>
      </c>
      <c r="DN33">
        <v>0.625</v>
      </c>
      <c r="DO33">
        <v>15</v>
      </c>
      <c r="DP33">
        <v>11.5</v>
      </c>
      <c r="DQ33">
        <v>11</v>
      </c>
      <c r="DR33">
        <v>3.1500000000000004</v>
      </c>
      <c r="DS33">
        <v>12</v>
      </c>
      <c r="DT33">
        <v>11.875</v>
      </c>
      <c r="DU33">
        <v>0.8125</v>
      </c>
      <c r="DV33">
        <v>23</v>
      </c>
      <c r="DW33">
        <v>23</v>
      </c>
      <c r="DX33">
        <v>25</v>
      </c>
      <c r="DY33">
        <v>1.3562499999999995</v>
      </c>
      <c r="DZ33">
        <v>21</v>
      </c>
      <c r="EA33">
        <v>-0.875</v>
      </c>
      <c r="EB33">
        <v>1.3125</v>
      </c>
      <c r="EC33">
        <v>10</v>
      </c>
      <c r="ED33">
        <v>8.5</v>
      </c>
      <c r="EE33">
        <v>8</v>
      </c>
      <c r="EF33">
        <v>3.1062500000000002</v>
      </c>
      <c r="EG33">
        <v>9</v>
      </c>
      <c r="EH33">
        <v>16.6875</v>
      </c>
      <c r="EI33">
        <v>1.125</v>
      </c>
      <c r="EJ33">
        <v>15</v>
      </c>
      <c r="EK33">
        <v>15.5</v>
      </c>
      <c r="EL33">
        <v>18</v>
      </c>
      <c r="EM33">
        <v>1.4500000000000011</v>
      </c>
      <c r="EN33">
        <v>13</v>
      </c>
      <c r="EO33">
        <v>10.75</v>
      </c>
      <c r="EP33">
        <v>0.375</v>
      </c>
      <c r="EQ33">
        <v>14</v>
      </c>
      <c r="ER33">
        <v>14</v>
      </c>
      <c r="ES33">
        <v>14</v>
      </c>
      <c r="ET33">
        <v>-4.2625000000000011</v>
      </c>
      <c r="EU33">
        <v>14</v>
      </c>
      <c r="EV33">
        <v>-15.875</v>
      </c>
      <c r="EW33">
        <v>-1.625</v>
      </c>
      <c r="EX33">
        <v>22</v>
      </c>
      <c r="EY33">
        <v>21.5</v>
      </c>
      <c r="EZ33">
        <v>19</v>
      </c>
      <c r="FA33">
        <v>0.4375</v>
      </c>
      <c r="FB33">
        <v>24</v>
      </c>
      <c r="FC33">
        <v>0.1875</v>
      </c>
      <c r="FD33">
        <v>0.75</v>
      </c>
      <c r="FE33">
        <v>27</v>
      </c>
      <c r="FF33">
        <v>22.75</v>
      </c>
      <c r="FG33">
        <v>31</v>
      </c>
      <c r="FH33">
        <v>1.7938899789888649E-2</v>
      </c>
      <c r="FI33">
        <v>30</v>
      </c>
      <c r="FJ33">
        <v>1.2299206837006839E-2</v>
      </c>
      <c r="FK33">
        <v>2</v>
      </c>
      <c r="FL33">
        <v>-10.268749999999999</v>
      </c>
      <c r="FM33">
        <v>28</v>
      </c>
      <c r="FN33">
        <v>1.5</v>
      </c>
      <c r="FO33">
        <v>4</v>
      </c>
      <c r="FP33">
        <v>-2.125</v>
      </c>
      <c r="FQ33">
        <v>-0.125</v>
      </c>
      <c r="FR33">
        <v>2.75</v>
      </c>
      <c r="FS33">
        <v>-1.5625</v>
      </c>
      <c r="FT33">
        <v>-1</v>
      </c>
      <c r="FU33">
        <v>10.0625</v>
      </c>
      <c r="FV33">
        <v>17.6875</v>
      </c>
      <c r="FW33">
        <v>-14.8125</v>
      </c>
      <c r="FX33">
        <v>-1.125</v>
      </c>
      <c r="FY33">
        <v>8.3125</v>
      </c>
      <c r="FZ33">
        <v>14</v>
      </c>
      <c r="GA33">
        <v>2.3500000000000028</v>
      </c>
      <c r="GB33">
        <v>1.6500000000000008</v>
      </c>
      <c r="GC33">
        <v>32.5</v>
      </c>
      <c r="GD33">
        <v>-2.3500000000000028</v>
      </c>
      <c r="GE33">
        <v>0.34218749999999964</v>
      </c>
      <c r="GF33">
        <v>7.6124999999999998</v>
      </c>
      <c r="GG33">
        <v>27.6875</v>
      </c>
      <c r="GH33">
        <v>-1.7000000000000024</v>
      </c>
      <c r="GI33">
        <v>-14.3125</v>
      </c>
      <c r="GJ33">
        <v>1.625</v>
      </c>
      <c r="GK33">
        <v>1.9375</v>
      </c>
    </row>
    <row r="34" spans="1:193" x14ac:dyDescent="0.2">
      <c r="A34" s="39">
        <v>43744</v>
      </c>
      <c r="B34" s="22" t="s">
        <v>381</v>
      </c>
      <c r="C34" s="41" t="s">
        <v>305</v>
      </c>
      <c r="D34" s="22" t="s">
        <v>309</v>
      </c>
      <c r="E34">
        <v>11.2</v>
      </c>
      <c r="F34">
        <v>9.1</v>
      </c>
      <c r="G34" s="14">
        <v>0</v>
      </c>
      <c r="H34">
        <f>9.5+7.2</f>
        <v>16.7</v>
      </c>
      <c r="I34">
        <v>-3</v>
      </c>
      <c r="J34">
        <v>44</v>
      </c>
      <c r="L34" s="1" t="s">
        <v>305</v>
      </c>
      <c r="M34">
        <v>1</v>
      </c>
      <c r="N34">
        <v>7.4250000000000025</v>
      </c>
      <c r="O34">
        <v>4</v>
      </c>
      <c r="P34">
        <v>6.5</v>
      </c>
      <c r="Q34">
        <v>4</v>
      </c>
      <c r="R34">
        <v>1.8624999999999994</v>
      </c>
      <c r="S34">
        <v>9</v>
      </c>
      <c r="T34">
        <v>-4.8125</v>
      </c>
      <c r="U34">
        <v>-1.1875</v>
      </c>
      <c r="V34">
        <v>5</v>
      </c>
      <c r="W34">
        <v>8</v>
      </c>
      <c r="X34">
        <v>14</v>
      </c>
      <c r="Y34">
        <v>-1.2250000000000001</v>
      </c>
      <c r="Z34">
        <v>2</v>
      </c>
      <c r="AA34">
        <v>11.8125</v>
      </c>
      <c r="AB34">
        <v>-0.9375</v>
      </c>
      <c r="AC34">
        <v>26</v>
      </c>
      <c r="AD34">
        <v>25</v>
      </c>
      <c r="AE34">
        <v>22</v>
      </c>
      <c r="AF34">
        <v>0.19375000000000053</v>
      </c>
      <c r="AG34">
        <v>28</v>
      </c>
      <c r="AH34">
        <v>17.5625</v>
      </c>
      <c r="AI34">
        <v>1.4375</v>
      </c>
      <c r="AJ34">
        <v>25</v>
      </c>
      <c r="AK34">
        <v>26</v>
      </c>
      <c r="AL34">
        <v>24</v>
      </c>
      <c r="AM34">
        <v>-1.9750000000000001</v>
      </c>
      <c r="AN34">
        <v>28</v>
      </c>
      <c r="AO34">
        <v>-17.9375</v>
      </c>
      <c r="AP34">
        <v>-2.0625</v>
      </c>
      <c r="AQ34">
        <v>31</v>
      </c>
      <c r="AR34">
        <v>30</v>
      </c>
      <c r="AS34">
        <v>29</v>
      </c>
      <c r="AT34">
        <v>-3.8875000000000002</v>
      </c>
      <c r="AU34">
        <v>31</v>
      </c>
      <c r="AV34">
        <v>-17.125</v>
      </c>
      <c r="AW34">
        <v>-2.1875</v>
      </c>
      <c r="AX34">
        <v>10</v>
      </c>
      <c r="AY34">
        <v>11</v>
      </c>
      <c r="AZ34">
        <v>5</v>
      </c>
      <c r="BA34">
        <v>5.5250000000000004</v>
      </c>
      <c r="BB34">
        <v>17</v>
      </c>
      <c r="BC34">
        <v>30.875</v>
      </c>
      <c r="BD34">
        <v>1.8125</v>
      </c>
      <c r="BE34">
        <v>2</v>
      </c>
      <c r="BF34">
        <v>2</v>
      </c>
      <c r="BG34">
        <v>2</v>
      </c>
      <c r="BH34">
        <v>10.6875</v>
      </c>
      <c r="BI34">
        <v>42.9375</v>
      </c>
      <c r="BJ34">
        <v>5.4375</v>
      </c>
      <c r="BK34">
        <v>8</v>
      </c>
      <c r="BL34">
        <v>8.5</v>
      </c>
      <c r="BM34">
        <v>2</v>
      </c>
      <c r="BN34">
        <v>-0.625</v>
      </c>
      <c r="BO34">
        <v>15</v>
      </c>
      <c r="BP34">
        <v>-0.4375</v>
      </c>
      <c r="BQ34">
        <v>-5.5625</v>
      </c>
      <c r="BR34">
        <v>31</v>
      </c>
      <c r="BS34">
        <v>29.25</v>
      </c>
      <c r="BT34">
        <v>27</v>
      </c>
      <c r="BU34">
        <v>-2.6148085628996856E-2</v>
      </c>
      <c r="BV34">
        <v>31</v>
      </c>
      <c r="BW34">
        <v>-8.4598196901805311E-3</v>
      </c>
      <c r="BX34">
        <v>27</v>
      </c>
      <c r="BY34">
        <v>5.0000000000000036</v>
      </c>
      <c r="BZ34">
        <v>32</v>
      </c>
      <c r="CA34">
        <v>-2.125</v>
      </c>
      <c r="CB34">
        <v>7.0625</v>
      </c>
      <c r="CC34">
        <v>6.6875</v>
      </c>
      <c r="CD34">
        <v>-1.875</v>
      </c>
      <c r="CE34">
        <v>50.4375</v>
      </c>
      <c r="CF34">
        <v>3.75</v>
      </c>
      <c r="CG34">
        <v>11.3125</v>
      </c>
      <c r="CH34">
        <v>-3.75</v>
      </c>
      <c r="CI34">
        <v>39.125</v>
      </c>
      <c r="CJ34">
        <v>4</v>
      </c>
      <c r="CK34">
        <v>6.7875000000000032</v>
      </c>
      <c r="CL34">
        <v>2.1700000000000008</v>
      </c>
      <c r="CM34">
        <v>-7.5625</v>
      </c>
      <c r="CN34">
        <v>-6.7875000000000032</v>
      </c>
      <c r="CO34">
        <v>1.5570312500000001</v>
      </c>
      <c r="CP34">
        <v>-5.6687499999999993</v>
      </c>
      <c r="CQ34">
        <v>-17.5</v>
      </c>
      <c r="CR34">
        <v>0.63749999999999929</v>
      </c>
      <c r="CS34">
        <v>7</v>
      </c>
      <c r="CT34">
        <v>2.625</v>
      </c>
      <c r="CU34">
        <v>-2.125</v>
      </c>
      <c r="CV34">
        <v>0.45164062499999996</v>
      </c>
      <c r="CW34">
        <v>1.5029687499999997</v>
      </c>
      <c r="CX34" t="s">
        <v>309</v>
      </c>
      <c r="CY34">
        <v>31</v>
      </c>
      <c r="CZ34">
        <v>-1.2000000000000002</v>
      </c>
      <c r="DA34">
        <v>22</v>
      </c>
      <c r="DB34">
        <v>21.5</v>
      </c>
      <c r="DC34">
        <v>32</v>
      </c>
      <c r="DD34">
        <v>-3.1312499999999996</v>
      </c>
      <c r="DE34">
        <v>11</v>
      </c>
      <c r="DF34">
        <v>-7.25</v>
      </c>
      <c r="DG34">
        <v>0.375</v>
      </c>
      <c r="DH34">
        <v>16</v>
      </c>
      <c r="DI34">
        <v>16.5</v>
      </c>
      <c r="DJ34">
        <v>12</v>
      </c>
      <c r="DK34">
        <v>-1.0875000000000006</v>
      </c>
      <c r="DL34">
        <v>21</v>
      </c>
      <c r="DM34">
        <v>9.75</v>
      </c>
      <c r="DN34">
        <v>0.1875</v>
      </c>
      <c r="DO34">
        <v>26</v>
      </c>
      <c r="DP34">
        <v>29.5</v>
      </c>
      <c r="DQ34">
        <v>28</v>
      </c>
      <c r="DR34">
        <v>-2.5724999999999998</v>
      </c>
      <c r="DS34">
        <v>31</v>
      </c>
      <c r="DT34">
        <v>-4.625</v>
      </c>
      <c r="DU34">
        <v>0.5</v>
      </c>
      <c r="DV34">
        <v>29</v>
      </c>
      <c r="DW34">
        <v>29.5</v>
      </c>
      <c r="DX34">
        <v>31</v>
      </c>
      <c r="DY34">
        <v>0.61875000000000036</v>
      </c>
      <c r="DZ34">
        <v>28</v>
      </c>
      <c r="EA34">
        <v>-9.9375</v>
      </c>
      <c r="EB34">
        <v>-0.4375</v>
      </c>
      <c r="EC34">
        <v>5</v>
      </c>
      <c r="ED34">
        <v>25</v>
      </c>
      <c r="EE34">
        <v>27</v>
      </c>
      <c r="EF34">
        <v>3.4750000000000005</v>
      </c>
      <c r="EG34">
        <v>23</v>
      </c>
      <c r="EH34">
        <v>23.75</v>
      </c>
      <c r="EI34">
        <v>-0.75</v>
      </c>
      <c r="EJ34">
        <v>27</v>
      </c>
      <c r="EK34">
        <v>27</v>
      </c>
      <c r="EL34">
        <v>30</v>
      </c>
      <c r="EM34">
        <v>8.0625</v>
      </c>
      <c r="EN34">
        <v>24</v>
      </c>
      <c r="EO34">
        <v>38.75</v>
      </c>
      <c r="EP34">
        <v>3.1875</v>
      </c>
      <c r="EQ34">
        <v>24</v>
      </c>
      <c r="ER34">
        <v>24</v>
      </c>
      <c r="ES34">
        <v>24</v>
      </c>
      <c r="ET34">
        <v>-1.2124999999999992</v>
      </c>
      <c r="EU34">
        <v>24</v>
      </c>
      <c r="EV34">
        <v>-7.875</v>
      </c>
      <c r="EW34">
        <v>-0.3125</v>
      </c>
      <c r="EX34">
        <v>30</v>
      </c>
      <c r="EY34">
        <v>27.5</v>
      </c>
      <c r="EZ34">
        <v>31</v>
      </c>
      <c r="FA34">
        <v>0.3125</v>
      </c>
      <c r="FB34">
        <v>24</v>
      </c>
      <c r="FC34">
        <v>-0.3125</v>
      </c>
      <c r="FD34">
        <v>-6.1875</v>
      </c>
      <c r="FE34">
        <v>1</v>
      </c>
      <c r="FF34">
        <v>5.25</v>
      </c>
      <c r="FG34">
        <v>2</v>
      </c>
      <c r="FH34">
        <v>2.9386065628514507E-2</v>
      </c>
      <c r="FI34">
        <v>1</v>
      </c>
      <c r="FJ34">
        <v>2.037718056225957E-2</v>
      </c>
      <c r="FK34">
        <v>16</v>
      </c>
      <c r="FL34">
        <v>0.71250000000000036</v>
      </c>
      <c r="FM34">
        <v>2</v>
      </c>
      <c r="FN34">
        <v>1.375</v>
      </c>
      <c r="FO34">
        <v>0</v>
      </c>
      <c r="FP34">
        <v>1.8125</v>
      </c>
      <c r="FQ34">
        <v>0.75</v>
      </c>
      <c r="FR34">
        <v>3.3125</v>
      </c>
      <c r="FS34">
        <v>-0.9375</v>
      </c>
      <c r="FT34">
        <v>-2.625</v>
      </c>
      <c r="FU34">
        <v>12.3125</v>
      </c>
      <c r="FV34">
        <v>4.3125</v>
      </c>
      <c r="FW34">
        <v>10.5</v>
      </c>
      <c r="FX34">
        <v>-4.375</v>
      </c>
      <c r="FY34">
        <v>1.875</v>
      </c>
      <c r="FZ34">
        <v>12</v>
      </c>
      <c r="GA34">
        <v>3.0187499999999998</v>
      </c>
      <c r="GB34">
        <v>1.9311250000000004</v>
      </c>
      <c r="GC34">
        <v>-6.1875</v>
      </c>
      <c r="GD34">
        <v>-3.0187499999999998</v>
      </c>
      <c r="GE34">
        <v>-0.59968749999999982</v>
      </c>
      <c r="GF34">
        <v>1.5212500000000011</v>
      </c>
      <c r="GG34">
        <v>9.1875</v>
      </c>
      <c r="GH34">
        <v>-4.21875</v>
      </c>
      <c r="GI34">
        <v>2.5</v>
      </c>
      <c r="GJ34">
        <v>-1</v>
      </c>
      <c r="GK34">
        <v>0.5625</v>
      </c>
    </row>
    <row r="35" spans="1:193" x14ac:dyDescent="0.2">
      <c r="A35" s="39">
        <v>43744</v>
      </c>
      <c r="B35" s="22" t="s">
        <v>381</v>
      </c>
      <c r="C35" s="41" t="s">
        <v>276</v>
      </c>
      <c r="D35" s="22" t="s">
        <v>310</v>
      </c>
      <c r="E35">
        <v>12.5</v>
      </c>
      <c r="F35">
        <v>5.0999999999999996</v>
      </c>
      <c r="G35" s="14">
        <v>7.2</v>
      </c>
      <c r="H35">
        <f>7.8+3.2</f>
        <v>11</v>
      </c>
      <c r="I35">
        <v>3.5</v>
      </c>
      <c r="J35">
        <v>39.5</v>
      </c>
      <c r="L35" s="1" t="s">
        <v>276</v>
      </c>
      <c r="M35">
        <v>5</v>
      </c>
      <c r="N35">
        <v>2.0812499999999998</v>
      </c>
      <c r="O35">
        <v>15</v>
      </c>
      <c r="P35">
        <v>16</v>
      </c>
      <c r="Q35">
        <v>21</v>
      </c>
      <c r="R35">
        <v>0.26250000000000107</v>
      </c>
      <c r="S35">
        <v>11</v>
      </c>
      <c r="T35">
        <v>22.25</v>
      </c>
      <c r="U35">
        <v>-0.6875</v>
      </c>
      <c r="V35">
        <v>15</v>
      </c>
      <c r="W35">
        <v>14.5</v>
      </c>
      <c r="X35">
        <v>20</v>
      </c>
      <c r="Y35">
        <v>-0.34624999999999906</v>
      </c>
      <c r="Z35">
        <v>9</v>
      </c>
      <c r="AA35">
        <v>4.375</v>
      </c>
      <c r="AB35">
        <v>-1</v>
      </c>
      <c r="AC35">
        <v>21</v>
      </c>
      <c r="AD35">
        <v>19.5</v>
      </c>
      <c r="AE35">
        <v>14</v>
      </c>
      <c r="AF35">
        <v>-0.79374999999999885</v>
      </c>
      <c r="AG35">
        <v>25</v>
      </c>
      <c r="AH35">
        <v>2.9375</v>
      </c>
      <c r="AI35">
        <v>0.8125</v>
      </c>
      <c r="AJ35">
        <v>9</v>
      </c>
      <c r="AK35">
        <v>8.5</v>
      </c>
      <c r="AL35">
        <v>9</v>
      </c>
      <c r="AM35">
        <v>2.2687500000000007</v>
      </c>
      <c r="AN35">
        <v>8</v>
      </c>
      <c r="AO35">
        <v>8.375</v>
      </c>
      <c r="AP35">
        <v>2.1875</v>
      </c>
      <c r="AQ35">
        <v>13</v>
      </c>
      <c r="AR35">
        <v>14.5</v>
      </c>
      <c r="AS35">
        <v>15</v>
      </c>
      <c r="AT35">
        <v>0.16875000000000018</v>
      </c>
      <c r="AU35">
        <v>14</v>
      </c>
      <c r="AV35">
        <v>0.375</v>
      </c>
      <c r="AW35">
        <v>0.6875</v>
      </c>
      <c r="AX35">
        <v>23</v>
      </c>
      <c r="AY35">
        <v>22.5</v>
      </c>
      <c r="AZ35">
        <v>25</v>
      </c>
      <c r="BA35">
        <v>-0.63749999999999929</v>
      </c>
      <c r="BB35">
        <v>20</v>
      </c>
      <c r="BC35">
        <v>-3.875</v>
      </c>
      <c r="BD35">
        <v>1.9375</v>
      </c>
      <c r="BE35">
        <v>29</v>
      </c>
      <c r="BF35">
        <v>28.5</v>
      </c>
      <c r="BG35">
        <v>30</v>
      </c>
      <c r="BH35">
        <v>0.91250000000000009</v>
      </c>
      <c r="BI35">
        <v>6.8125</v>
      </c>
      <c r="BJ35">
        <v>0.375</v>
      </c>
      <c r="BK35">
        <v>25</v>
      </c>
      <c r="BL35">
        <v>23</v>
      </c>
      <c r="BM35">
        <v>23</v>
      </c>
      <c r="BN35">
        <v>-0.625</v>
      </c>
      <c r="BO35">
        <v>23</v>
      </c>
      <c r="BP35">
        <v>-0.125</v>
      </c>
      <c r="BQ35">
        <v>-3.0625</v>
      </c>
      <c r="BR35">
        <v>24</v>
      </c>
      <c r="BS35">
        <v>20.75</v>
      </c>
      <c r="BT35">
        <v>25</v>
      </c>
      <c r="BU35">
        <v>4.8865664055347965E-2</v>
      </c>
      <c r="BV35">
        <v>25</v>
      </c>
      <c r="BW35">
        <v>-8.1191325016074806E-3</v>
      </c>
      <c r="BX35">
        <v>5</v>
      </c>
      <c r="BY35">
        <v>13.156250000000002</v>
      </c>
      <c r="BZ35">
        <v>28</v>
      </c>
      <c r="CA35">
        <v>2.0625</v>
      </c>
      <c r="CB35">
        <v>6.625</v>
      </c>
      <c r="CC35">
        <v>-0.1875</v>
      </c>
      <c r="CD35">
        <v>-1.75</v>
      </c>
      <c r="CE35">
        <v>48.0625</v>
      </c>
      <c r="CF35">
        <v>2.8125</v>
      </c>
      <c r="CG35">
        <v>23.1875</v>
      </c>
      <c r="CH35">
        <v>1.625</v>
      </c>
      <c r="CI35">
        <v>20.4375</v>
      </c>
      <c r="CJ35">
        <v>15</v>
      </c>
      <c r="CK35">
        <v>2.1649999999999978</v>
      </c>
      <c r="CL35">
        <v>0.96937499999999943</v>
      </c>
      <c r="CM35">
        <v>-20.375</v>
      </c>
      <c r="CN35">
        <v>-2.1649999999999978</v>
      </c>
      <c r="CO35">
        <v>0.49109375000000055</v>
      </c>
      <c r="CP35">
        <v>1.643750000000002</v>
      </c>
      <c r="CQ35">
        <v>11.6875</v>
      </c>
      <c r="CR35">
        <v>-8.3749999999997993E-2</v>
      </c>
      <c r="CS35">
        <v>26.625</v>
      </c>
      <c r="CT35">
        <v>4.0625</v>
      </c>
      <c r="CU35">
        <v>-1.6875</v>
      </c>
      <c r="CV35">
        <v>-1.8165625000000001</v>
      </c>
      <c r="CW35">
        <v>-1.8807812500000001</v>
      </c>
      <c r="CX35" t="s">
        <v>310</v>
      </c>
      <c r="CY35">
        <v>11</v>
      </c>
      <c r="CZ35">
        <v>-2.8562500000000011</v>
      </c>
      <c r="DA35">
        <v>7</v>
      </c>
      <c r="DB35">
        <v>10</v>
      </c>
      <c r="DC35">
        <v>13</v>
      </c>
      <c r="DD35">
        <v>-3.1812500000000008</v>
      </c>
      <c r="DE35">
        <v>7</v>
      </c>
      <c r="DF35">
        <v>-26.0625</v>
      </c>
      <c r="DG35">
        <v>1.6875</v>
      </c>
      <c r="DH35">
        <v>23</v>
      </c>
      <c r="DI35">
        <v>19.5</v>
      </c>
      <c r="DJ35">
        <v>22</v>
      </c>
      <c r="DK35">
        <v>-0.13124999999999964</v>
      </c>
      <c r="DL35">
        <v>17</v>
      </c>
      <c r="DM35">
        <v>-6.0625</v>
      </c>
      <c r="DN35">
        <v>-0.25</v>
      </c>
      <c r="DO35">
        <v>3</v>
      </c>
      <c r="DP35">
        <v>1.5</v>
      </c>
      <c r="DQ35">
        <v>2</v>
      </c>
      <c r="DR35">
        <v>-4.1624999999999996</v>
      </c>
      <c r="DS35">
        <v>1</v>
      </c>
      <c r="DT35">
        <v>-11.25</v>
      </c>
      <c r="DU35">
        <v>0</v>
      </c>
      <c r="DV35">
        <v>11</v>
      </c>
      <c r="DW35">
        <v>13</v>
      </c>
      <c r="DX35">
        <v>14</v>
      </c>
      <c r="DY35">
        <v>-2.8312499999999989</v>
      </c>
      <c r="DZ35">
        <v>12</v>
      </c>
      <c r="EA35">
        <v>-15.8125</v>
      </c>
      <c r="EB35">
        <v>-1.3125</v>
      </c>
      <c r="EC35">
        <v>28</v>
      </c>
      <c r="ED35">
        <v>30</v>
      </c>
      <c r="EE35">
        <v>30</v>
      </c>
      <c r="EF35">
        <v>0.47500000000000053</v>
      </c>
      <c r="EG35">
        <v>30</v>
      </c>
      <c r="EH35">
        <v>0.3125</v>
      </c>
      <c r="EI35">
        <v>4.1875</v>
      </c>
      <c r="EJ35">
        <v>6</v>
      </c>
      <c r="EK35">
        <v>5.5</v>
      </c>
      <c r="EL35">
        <v>6</v>
      </c>
      <c r="EM35">
        <v>-4.1625000000000005</v>
      </c>
      <c r="EN35">
        <v>5</v>
      </c>
      <c r="EO35">
        <v>-19.125</v>
      </c>
      <c r="EP35">
        <v>-0.25</v>
      </c>
      <c r="EQ35">
        <v>6</v>
      </c>
      <c r="ER35">
        <v>8</v>
      </c>
      <c r="ES35">
        <v>7</v>
      </c>
      <c r="ET35">
        <v>1.4812500000000002</v>
      </c>
      <c r="EU35">
        <v>9</v>
      </c>
      <c r="EV35">
        <v>3.6875</v>
      </c>
      <c r="EW35">
        <v>-6.25E-2</v>
      </c>
      <c r="EX35">
        <v>3</v>
      </c>
      <c r="EY35">
        <v>3.5</v>
      </c>
      <c r="EZ35">
        <v>6</v>
      </c>
      <c r="FA35">
        <v>-2.8125</v>
      </c>
      <c r="FB35">
        <v>1</v>
      </c>
      <c r="FC35">
        <v>-0.8125</v>
      </c>
      <c r="FD35">
        <v>-6.25E-2</v>
      </c>
      <c r="FE35">
        <v>15</v>
      </c>
      <c r="FF35">
        <v>15.75</v>
      </c>
      <c r="FG35">
        <v>16</v>
      </c>
      <c r="FH35">
        <v>-4.5311423022476961E-2</v>
      </c>
      <c r="FI35">
        <v>21</v>
      </c>
      <c r="FJ35">
        <v>8.4223789839801139E-3</v>
      </c>
      <c r="FK35">
        <v>13</v>
      </c>
      <c r="FL35">
        <v>1.6312500000000014</v>
      </c>
      <c r="FM35">
        <v>13</v>
      </c>
      <c r="FN35">
        <v>3.625</v>
      </c>
      <c r="FO35">
        <v>0.875</v>
      </c>
      <c r="FP35">
        <v>-1.5625</v>
      </c>
      <c r="FQ35">
        <v>0.625</v>
      </c>
      <c r="FR35">
        <v>1.0625</v>
      </c>
      <c r="FS35">
        <v>-5.5625</v>
      </c>
      <c r="FT35">
        <v>0</v>
      </c>
      <c r="FU35">
        <v>-24.1875</v>
      </c>
      <c r="FV35">
        <v>-14.6875</v>
      </c>
      <c r="FW35">
        <v>-15.25</v>
      </c>
      <c r="FX35">
        <v>2.1875</v>
      </c>
      <c r="FY35">
        <v>3.5625</v>
      </c>
      <c r="FZ35">
        <v>17</v>
      </c>
      <c r="GA35">
        <v>0.45624999999999938</v>
      </c>
      <c r="GB35">
        <v>7.7500000000000346E-2</v>
      </c>
      <c r="GC35">
        <v>0.5625</v>
      </c>
      <c r="GD35">
        <v>-0.45624999999999938</v>
      </c>
      <c r="GE35">
        <v>-1.7523437500000001</v>
      </c>
      <c r="GF35">
        <v>-6.518749999999998</v>
      </c>
      <c r="GG35">
        <v>-26.75</v>
      </c>
      <c r="GH35">
        <v>-3.3125000000000004</v>
      </c>
      <c r="GI35">
        <v>-32.125</v>
      </c>
      <c r="GJ35">
        <v>2.8125</v>
      </c>
      <c r="GK35">
        <v>1.4375</v>
      </c>
    </row>
    <row r="36" spans="1:193" x14ac:dyDescent="0.2">
      <c r="A36" s="39">
        <v>43744</v>
      </c>
      <c r="B36" s="26" t="s">
        <v>381</v>
      </c>
      <c r="C36" s="41" t="s">
        <v>301</v>
      </c>
      <c r="D36" s="26" t="s">
        <v>297</v>
      </c>
      <c r="E36">
        <v>15.1</v>
      </c>
      <c r="F36">
        <v>7.4</v>
      </c>
      <c r="G36">
        <v>1.6</v>
      </c>
      <c r="H36">
        <v>0</v>
      </c>
      <c r="I36">
        <v>-3</v>
      </c>
      <c r="J36">
        <v>41</v>
      </c>
      <c r="L36" s="1" t="s">
        <v>301</v>
      </c>
      <c r="M36">
        <v>13</v>
      </c>
      <c r="N36">
        <v>-7.4162500000000016</v>
      </c>
      <c r="O36">
        <v>2</v>
      </c>
      <c r="P36">
        <v>3</v>
      </c>
      <c r="Q36">
        <v>1</v>
      </c>
      <c r="R36">
        <v>11.625</v>
      </c>
      <c r="S36">
        <v>5</v>
      </c>
      <c r="T36">
        <v>35.4375</v>
      </c>
      <c r="U36">
        <v>2.4375</v>
      </c>
      <c r="V36">
        <v>32</v>
      </c>
      <c r="W36">
        <v>31.5</v>
      </c>
      <c r="X36">
        <v>31</v>
      </c>
      <c r="Y36">
        <v>-1.6</v>
      </c>
      <c r="Z36">
        <v>32</v>
      </c>
      <c r="AA36">
        <v>-11.5</v>
      </c>
      <c r="AB36">
        <v>-0.5</v>
      </c>
      <c r="AC36">
        <v>7</v>
      </c>
      <c r="AD36">
        <v>6.5</v>
      </c>
      <c r="AE36">
        <v>7</v>
      </c>
      <c r="AF36">
        <v>-4.4562500000000007</v>
      </c>
      <c r="AG36">
        <v>6</v>
      </c>
      <c r="AH36">
        <v>-11.25</v>
      </c>
      <c r="AI36">
        <v>-1.5</v>
      </c>
      <c r="AJ36">
        <v>21</v>
      </c>
      <c r="AK36">
        <v>20.5</v>
      </c>
      <c r="AL36">
        <v>20</v>
      </c>
      <c r="AM36">
        <v>-2.28125</v>
      </c>
      <c r="AN36">
        <v>21</v>
      </c>
      <c r="AO36">
        <v>-11.25</v>
      </c>
      <c r="AP36">
        <v>0.75</v>
      </c>
      <c r="AQ36">
        <v>23</v>
      </c>
      <c r="AR36">
        <v>23.5</v>
      </c>
      <c r="AS36">
        <v>23</v>
      </c>
      <c r="AT36">
        <v>-1.5875000000000004</v>
      </c>
      <c r="AU36">
        <v>24</v>
      </c>
      <c r="AV36">
        <v>-3.375</v>
      </c>
      <c r="AW36">
        <v>-0.375</v>
      </c>
      <c r="AX36">
        <v>24</v>
      </c>
      <c r="AY36">
        <v>25</v>
      </c>
      <c r="AZ36">
        <v>23</v>
      </c>
      <c r="BA36">
        <v>-9.1249999999999982</v>
      </c>
      <c r="BB36">
        <v>27</v>
      </c>
      <c r="BC36">
        <v>-42.5</v>
      </c>
      <c r="BD36">
        <v>-3.9375</v>
      </c>
      <c r="BE36">
        <v>20</v>
      </c>
      <c r="BF36">
        <v>22</v>
      </c>
      <c r="BG36">
        <v>20</v>
      </c>
      <c r="BH36">
        <v>-2.5437499999999997</v>
      </c>
      <c r="BI36">
        <v>-8.3125</v>
      </c>
      <c r="BJ36">
        <v>-0.6875</v>
      </c>
      <c r="BK36">
        <v>32</v>
      </c>
      <c r="BL36">
        <v>31.5</v>
      </c>
      <c r="BM36">
        <v>32</v>
      </c>
      <c r="BN36">
        <v>0.875</v>
      </c>
      <c r="BO36">
        <v>31</v>
      </c>
      <c r="BP36">
        <v>0.1875</v>
      </c>
      <c r="BQ36">
        <v>-0.25</v>
      </c>
      <c r="BR36">
        <v>4</v>
      </c>
      <c r="BS36">
        <v>8.5</v>
      </c>
      <c r="BT36">
        <v>4</v>
      </c>
      <c r="BU36">
        <v>-4.5584458250567242E-2</v>
      </c>
      <c r="BV36">
        <v>6</v>
      </c>
      <c r="BW36">
        <v>-1.2075379876415326E-3</v>
      </c>
      <c r="BX36">
        <v>17</v>
      </c>
      <c r="BY36">
        <v>-7.2249999999999961</v>
      </c>
      <c r="BZ36">
        <v>7</v>
      </c>
      <c r="CA36">
        <v>-0.4375</v>
      </c>
      <c r="CB36">
        <v>-0.875</v>
      </c>
      <c r="CC36">
        <v>-0.3125</v>
      </c>
      <c r="CD36">
        <v>-1.8125</v>
      </c>
      <c r="CE36">
        <v>-17.375</v>
      </c>
      <c r="CF36">
        <v>-25.3125</v>
      </c>
      <c r="CG36">
        <v>23</v>
      </c>
      <c r="CH36">
        <v>1.1875</v>
      </c>
      <c r="CI36">
        <v>-16.25</v>
      </c>
      <c r="CJ36">
        <v>32</v>
      </c>
      <c r="CK36">
        <v>-17.44125</v>
      </c>
      <c r="CL36">
        <v>-8.6695000000000011</v>
      </c>
      <c r="CM36">
        <v>-48.3125</v>
      </c>
      <c r="CN36">
        <v>17.441250000000004</v>
      </c>
      <c r="CO36">
        <v>-0.9231250000000002</v>
      </c>
      <c r="CP36">
        <v>-8.3250000000000011</v>
      </c>
      <c r="CQ36">
        <v>-25.875</v>
      </c>
      <c r="CR36">
        <v>10.025</v>
      </c>
      <c r="CS36">
        <v>23.9375</v>
      </c>
      <c r="CT36">
        <v>-1.8125</v>
      </c>
      <c r="CU36">
        <v>1.9375</v>
      </c>
      <c r="CV36">
        <v>-1.8827343749999996</v>
      </c>
      <c r="CW36">
        <v>-2.5043749999999996</v>
      </c>
      <c r="CX36" t="s">
        <v>297</v>
      </c>
      <c r="CY36">
        <v>20</v>
      </c>
      <c r="CZ36">
        <v>0.13625000000000131</v>
      </c>
      <c r="DA36">
        <v>1</v>
      </c>
      <c r="DB36">
        <v>1.5</v>
      </c>
      <c r="DC36">
        <v>2</v>
      </c>
      <c r="DD36">
        <v>-3.0749999999999997</v>
      </c>
      <c r="DE36">
        <v>1</v>
      </c>
      <c r="DF36">
        <v>-4</v>
      </c>
      <c r="DG36">
        <v>-1</v>
      </c>
      <c r="DH36">
        <v>13</v>
      </c>
      <c r="DI36">
        <v>14.5</v>
      </c>
      <c r="DJ36">
        <v>11</v>
      </c>
      <c r="DK36">
        <v>-2.3812499999999996</v>
      </c>
      <c r="DL36">
        <v>18</v>
      </c>
      <c r="DM36">
        <v>0.3125</v>
      </c>
      <c r="DN36">
        <v>-1.1875</v>
      </c>
      <c r="DO36">
        <v>12</v>
      </c>
      <c r="DP36">
        <v>13</v>
      </c>
      <c r="DQ36">
        <v>11</v>
      </c>
      <c r="DR36">
        <v>1.1999999999999993</v>
      </c>
      <c r="DS36">
        <v>15</v>
      </c>
      <c r="DT36">
        <v>1.375</v>
      </c>
      <c r="DU36">
        <v>-2</v>
      </c>
      <c r="DV36">
        <v>26</v>
      </c>
      <c r="DW36">
        <v>26.5</v>
      </c>
      <c r="DX36">
        <v>28</v>
      </c>
      <c r="DY36">
        <v>-2.6937500000000005</v>
      </c>
      <c r="DZ36">
        <v>25</v>
      </c>
      <c r="EA36">
        <v>-2.9375</v>
      </c>
      <c r="EB36">
        <v>0.625</v>
      </c>
      <c r="EC36">
        <v>1</v>
      </c>
      <c r="ED36">
        <v>5</v>
      </c>
      <c r="EE36">
        <v>5</v>
      </c>
      <c r="EF36">
        <v>-1.79375</v>
      </c>
      <c r="EG36">
        <v>5</v>
      </c>
      <c r="EH36">
        <v>-3.75</v>
      </c>
      <c r="EI36">
        <v>0.125</v>
      </c>
      <c r="EJ36">
        <v>27</v>
      </c>
      <c r="EK36">
        <v>27</v>
      </c>
      <c r="EL36">
        <v>29</v>
      </c>
      <c r="EM36">
        <v>-3.0249999999999999</v>
      </c>
      <c r="EN36">
        <v>25</v>
      </c>
      <c r="EO36">
        <v>-9</v>
      </c>
      <c r="EP36">
        <v>0.625</v>
      </c>
      <c r="EQ36">
        <v>26</v>
      </c>
      <c r="ER36">
        <v>25.5</v>
      </c>
      <c r="ES36">
        <v>22</v>
      </c>
      <c r="ET36">
        <v>-2.1062499999999993</v>
      </c>
      <c r="EU36">
        <v>29</v>
      </c>
      <c r="EV36">
        <v>-1.375</v>
      </c>
      <c r="EW36">
        <v>0.5625</v>
      </c>
      <c r="EX36">
        <v>26</v>
      </c>
      <c r="EY36">
        <v>25</v>
      </c>
      <c r="EZ36">
        <v>21</v>
      </c>
      <c r="FA36">
        <v>0.625</v>
      </c>
      <c r="FB36">
        <v>29</v>
      </c>
      <c r="FC36">
        <v>6.25E-2</v>
      </c>
      <c r="FD36">
        <v>-1.625</v>
      </c>
      <c r="FE36">
        <v>20</v>
      </c>
      <c r="FF36">
        <v>16.75</v>
      </c>
      <c r="FG36">
        <v>21</v>
      </c>
      <c r="FH36">
        <v>-4.544422223147021E-3</v>
      </c>
      <c r="FI36">
        <v>5</v>
      </c>
      <c r="FJ36">
        <v>-6.5513804596851015E-3</v>
      </c>
      <c r="FK36">
        <v>32</v>
      </c>
      <c r="FL36">
        <v>-2.6062499999999975</v>
      </c>
      <c r="FM36">
        <v>9</v>
      </c>
      <c r="FN36">
        <v>0.1875</v>
      </c>
      <c r="FO36">
        <v>0.6875</v>
      </c>
      <c r="FP36">
        <v>-0.625</v>
      </c>
      <c r="FQ36">
        <v>0</v>
      </c>
      <c r="FR36">
        <v>0.125</v>
      </c>
      <c r="FS36">
        <v>1.0625</v>
      </c>
      <c r="FT36">
        <v>-1</v>
      </c>
      <c r="FU36">
        <v>-3.3125</v>
      </c>
      <c r="FV36">
        <v>7.4375</v>
      </c>
      <c r="FW36">
        <v>-4.25</v>
      </c>
      <c r="FX36">
        <v>-0.5</v>
      </c>
      <c r="FY36">
        <v>-6</v>
      </c>
      <c r="FZ36">
        <v>6</v>
      </c>
      <c r="GA36">
        <v>5.5925000000000011</v>
      </c>
      <c r="GB36">
        <v>1.6766249999999996</v>
      </c>
      <c r="GC36">
        <v>11.6875</v>
      </c>
      <c r="GD36">
        <v>-5.5925000000000002</v>
      </c>
      <c r="GE36">
        <v>-1.2610937499999999</v>
      </c>
      <c r="GF36">
        <v>-3.2875000000000014</v>
      </c>
      <c r="GG36">
        <v>-5.3125</v>
      </c>
      <c r="GH36">
        <v>-5.4562499999999989</v>
      </c>
      <c r="GI36">
        <v>-3.6875</v>
      </c>
      <c r="GJ36">
        <v>-0.6875</v>
      </c>
      <c r="GK36">
        <v>-2.1875</v>
      </c>
    </row>
    <row r="37" spans="1:193" x14ac:dyDescent="0.2">
      <c r="A37" s="39">
        <v>43744</v>
      </c>
      <c r="B37" s="22" t="s">
        <v>381</v>
      </c>
      <c r="C37" s="41" t="s">
        <v>265</v>
      </c>
      <c r="D37" s="22" t="s">
        <v>303</v>
      </c>
      <c r="E37">
        <v>28.7</v>
      </c>
      <c r="F37">
        <v>9.1999999999999993</v>
      </c>
      <c r="G37">
        <v>0</v>
      </c>
      <c r="H37">
        <v>7.2</v>
      </c>
      <c r="I37">
        <v>-6.5</v>
      </c>
      <c r="J37">
        <v>38.5</v>
      </c>
      <c r="L37" s="1" t="s">
        <v>265</v>
      </c>
      <c r="M37">
        <v>26</v>
      </c>
      <c r="N37">
        <v>-4.1449999999999996</v>
      </c>
      <c r="O37">
        <v>20</v>
      </c>
      <c r="P37">
        <v>21</v>
      </c>
      <c r="Q37">
        <v>23</v>
      </c>
      <c r="R37">
        <v>-8.3999999999999986</v>
      </c>
      <c r="S37">
        <v>19</v>
      </c>
      <c r="T37">
        <v>-26.8125</v>
      </c>
      <c r="U37">
        <v>-0.25</v>
      </c>
      <c r="V37">
        <v>13</v>
      </c>
      <c r="W37">
        <v>13.5</v>
      </c>
      <c r="X37">
        <v>7</v>
      </c>
      <c r="Y37">
        <v>0.61875000000000058</v>
      </c>
      <c r="Z37">
        <v>20</v>
      </c>
      <c r="AA37">
        <v>-22.4375</v>
      </c>
      <c r="AB37">
        <v>3.25</v>
      </c>
      <c r="AC37">
        <v>16</v>
      </c>
      <c r="AD37">
        <v>17</v>
      </c>
      <c r="AE37">
        <v>16</v>
      </c>
      <c r="AF37">
        <v>-0.50000000000000089</v>
      </c>
      <c r="AG37">
        <v>18</v>
      </c>
      <c r="AH37">
        <v>10.3125</v>
      </c>
      <c r="AI37">
        <v>1.5625</v>
      </c>
      <c r="AJ37">
        <v>11</v>
      </c>
      <c r="AK37">
        <v>11</v>
      </c>
      <c r="AL37">
        <v>13</v>
      </c>
      <c r="AM37">
        <v>0.14375000000000138</v>
      </c>
      <c r="AN37">
        <v>9</v>
      </c>
      <c r="AO37">
        <v>-8.75</v>
      </c>
      <c r="AP37">
        <v>-0.9375</v>
      </c>
      <c r="AQ37">
        <v>26</v>
      </c>
      <c r="AR37">
        <v>26</v>
      </c>
      <c r="AS37">
        <v>26</v>
      </c>
      <c r="AT37">
        <v>-2.7624999999999997</v>
      </c>
      <c r="AU37">
        <v>26</v>
      </c>
      <c r="AV37">
        <v>-10.9375</v>
      </c>
      <c r="AW37">
        <v>-1.1875</v>
      </c>
      <c r="AX37">
        <v>8</v>
      </c>
      <c r="AY37">
        <v>9</v>
      </c>
      <c r="AZ37">
        <v>9</v>
      </c>
      <c r="BA37">
        <v>-6.3312500000000007</v>
      </c>
      <c r="BB37">
        <v>9</v>
      </c>
      <c r="BC37">
        <v>-23.3125</v>
      </c>
      <c r="BD37">
        <v>6.25E-2</v>
      </c>
      <c r="BE37">
        <v>29</v>
      </c>
      <c r="BF37">
        <v>28.5</v>
      </c>
      <c r="BG37">
        <v>25</v>
      </c>
      <c r="BH37">
        <v>-4.6999999999999993</v>
      </c>
      <c r="BI37">
        <v>-20.9375</v>
      </c>
      <c r="BJ37">
        <v>-2</v>
      </c>
      <c r="BK37">
        <v>30</v>
      </c>
      <c r="BL37">
        <v>29.5</v>
      </c>
      <c r="BM37">
        <v>31</v>
      </c>
      <c r="BN37">
        <v>2.3125</v>
      </c>
      <c r="BO37">
        <v>28</v>
      </c>
      <c r="BP37">
        <v>0.75</v>
      </c>
      <c r="BQ37">
        <v>5.5625</v>
      </c>
      <c r="BR37">
        <v>18</v>
      </c>
      <c r="BS37">
        <v>15.5</v>
      </c>
      <c r="BT37">
        <v>20</v>
      </c>
      <c r="BU37">
        <v>-4.3696668204843511E-2</v>
      </c>
      <c r="BV37">
        <v>11</v>
      </c>
      <c r="BW37">
        <v>1.6936227348068079E-3</v>
      </c>
      <c r="BX37">
        <v>20</v>
      </c>
      <c r="BY37">
        <v>-12.6</v>
      </c>
      <c r="BZ37">
        <v>11</v>
      </c>
      <c r="CA37">
        <v>-0.1875</v>
      </c>
      <c r="CB37">
        <v>-2.1875</v>
      </c>
      <c r="CC37">
        <v>-5.8125</v>
      </c>
      <c r="CD37">
        <v>0.875</v>
      </c>
      <c r="CE37">
        <v>-75.75</v>
      </c>
      <c r="CF37">
        <v>-32.6875</v>
      </c>
      <c r="CG37">
        <v>-50.875</v>
      </c>
      <c r="CH37">
        <v>13.6875</v>
      </c>
      <c r="CI37">
        <v>-5.875</v>
      </c>
      <c r="CJ37">
        <v>11</v>
      </c>
      <c r="CK37">
        <v>3.6362499999999986</v>
      </c>
      <c r="CL37">
        <v>1.4978749999999996</v>
      </c>
      <c r="CM37">
        <v>18.1875</v>
      </c>
      <c r="CN37">
        <v>-3.6362499999999986</v>
      </c>
      <c r="CO37">
        <v>-2.1790624999999997</v>
      </c>
      <c r="CP37">
        <v>-3.1187499999999995</v>
      </c>
      <c r="CQ37">
        <v>-9.375</v>
      </c>
      <c r="CR37">
        <v>-7.7812499999999982</v>
      </c>
      <c r="CS37">
        <v>-49.25</v>
      </c>
      <c r="CT37">
        <v>-2.5625</v>
      </c>
      <c r="CU37">
        <v>3</v>
      </c>
      <c r="CV37">
        <v>-0.49359374999999994</v>
      </c>
      <c r="CW37">
        <v>-1.1498437500000001</v>
      </c>
      <c r="CX37" t="s">
        <v>303</v>
      </c>
      <c r="CY37">
        <v>13</v>
      </c>
      <c r="CZ37">
        <v>2.151250000000001</v>
      </c>
      <c r="DA37">
        <v>13</v>
      </c>
      <c r="DB37">
        <v>12</v>
      </c>
      <c r="DC37">
        <v>10</v>
      </c>
      <c r="DD37">
        <v>-5.4</v>
      </c>
      <c r="DE37">
        <v>14</v>
      </c>
      <c r="DF37">
        <v>-19.0625</v>
      </c>
      <c r="DG37">
        <v>0.1875</v>
      </c>
      <c r="DH37">
        <v>6</v>
      </c>
      <c r="DI37">
        <v>8.5</v>
      </c>
      <c r="DJ37">
        <v>6</v>
      </c>
      <c r="DK37">
        <v>-5.6249999999999689E-2</v>
      </c>
      <c r="DL37">
        <v>11</v>
      </c>
      <c r="DM37">
        <v>2.25</v>
      </c>
      <c r="DN37">
        <v>-0.5625</v>
      </c>
      <c r="DO37">
        <v>18</v>
      </c>
      <c r="DP37">
        <v>25</v>
      </c>
      <c r="DQ37">
        <v>25</v>
      </c>
      <c r="DR37">
        <v>-6.2687500000000007</v>
      </c>
      <c r="DS37">
        <v>25</v>
      </c>
      <c r="DT37">
        <v>-27.8125</v>
      </c>
      <c r="DU37">
        <v>-1.375</v>
      </c>
      <c r="DV37">
        <v>9</v>
      </c>
      <c r="DW37">
        <v>10</v>
      </c>
      <c r="DX37">
        <v>11</v>
      </c>
      <c r="DY37">
        <v>5.5500000000000007</v>
      </c>
      <c r="DZ37">
        <v>9</v>
      </c>
      <c r="EA37">
        <v>22.875</v>
      </c>
      <c r="EB37">
        <v>0</v>
      </c>
      <c r="EC37">
        <v>25</v>
      </c>
      <c r="ED37">
        <v>32</v>
      </c>
      <c r="EE37">
        <v>32</v>
      </c>
      <c r="EF37">
        <v>0.56250000000000044</v>
      </c>
      <c r="EG37">
        <v>32</v>
      </c>
      <c r="EH37">
        <v>-3.8125</v>
      </c>
      <c r="EI37">
        <v>-0.3125</v>
      </c>
      <c r="EJ37">
        <v>31</v>
      </c>
      <c r="EK37">
        <v>31</v>
      </c>
      <c r="EL37">
        <v>31</v>
      </c>
      <c r="EM37">
        <v>7.7562500000000005</v>
      </c>
      <c r="EN37">
        <v>31</v>
      </c>
      <c r="EO37">
        <v>25.6875</v>
      </c>
      <c r="EP37">
        <v>2.875</v>
      </c>
      <c r="EQ37">
        <v>22</v>
      </c>
      <c r="ER37">
        <v>23.5</v>
      </c>
      <c r="ES37">
        <v>26</v>
      </c>
      <c r="ET37">
        <v>3.7</v>
      </c>
      <c r="EU37">
        <v>21</v>
      </c>
      <c r="EV37">
        <v>9.3125</v>
      </c>
      <c r="EW37">
        <v>0.8125</v>
      </c>
      <c r="EX37">
        <v>27</v>
      </c>
      <c r="EY37">
        <v>25.5</v>
      </c>
      <c r="EZ37">
        <v>22</v>
      </c>
      <c r="FA37">
        <v>1.0625</v>
      </c>
      <c r="FB37">
        <v>29</v>
      </c>
      <c r="FC37">
        <v>0.25</v>
      </c>
      <c r="FD37">
        <v>-6.25E-2</v>
      </c>
      <c r="FE37">
        <v>10</v>
      </c>
      <c r="FF37">
        <v>13.25</v>
      </c>
      <c r="FG37">
        <v>12</v>
      </c>
      <c r="FH37">
        <v>-5.9665727717543776E-2</v>
      </c>
      <c r="FI37">
        <v>11</v>
      </c>
      <c r="FJ37">
        <v>-1.5936237675368108E-2</v>
      </c>
      <c r="FK37">
        <v>12</v>
      </c>
      <c r="FL37">
        <v>0.55625000000000036</v>
      </c>
      <c r="FM37">
        <v>18</v>
      </c>
      <c r="FN37">
        <v>-0.8125</v>
      </c>
      <c r="FO37">
        <v>1.6875</v>
      </c>
      <c r="FP37">
        <v>-0.9375</v>
      </c>
      <c r="FQ37">
        <v>0.1875</v>
      </c>
      <c r="FR37">
        <v>0.5625</v>
      </c>
      <c r="FS37">
        <v>2</v>
      </c>
      <c r="FT37">
        <v>-0.4375</v>
      </c>
      <c r="FU37">
        <v>4.9375</v>
      </c>
      <c r="FV37">
        <v>23</v>
      </c>
      <c r="FW37">
        <v>-14.3125</v>
      </c>
      <c r="FX37">
        <v>-1.9375</v>
      </c>
      <c r="FY37">
        <v>-1.8125</v>
      </c>
      <c r="FZ37">
        <v>2</v>
      </c>
      <c r="GA37">
        <v>7.6075000000000008</v>
      </c>
      <c r="GB37">
        <v>3.8671250000000006</v>
      </c>
      <c r="GC37">
        <v>37.3125</v>
      </c>
      <c r="GD37">
        <v>-7.6075000000000008</v>
      </c>
      <c r="GE37">
        <v>0.16265625000000011</v>
      </c>
      <c r="GF37">
        <v>-0.15624999999999956</v>
      </c>
      <c r="GG37">
        <v>-8.75</v>
      </c>
      <c r="GH37">
        <v>-5.4562499999999998</v>
      </c>
      <c r="GI37">
        <v>-16.8125</v>
      </c>
      <c r="GJ37">
        <v>-0.875</v>
      </c>
      <c r="GK37">
        <v>-0.375</v>
      </c>
    </row>
    <row r="38" spans="1:193" x14ac:dyDescent="0.2">
      <c r="A38" s="39">
        <v>43744</v>
      </c>
      <c r="B38" s="22" t="s">
        <v>381</v>
      </c>
      <c r="C38" s="17" t="s">
        <v>272</v>
      </c>
      <c r="D38" s="22" t="s">
        <v>285</v>
      </c>
      <c r="E38">
        <v>31.3</v>
      </c>
      <c r="F38">
        <v>11.6</v>
      </c>
      <c r="G38">
        <v>7.8</v>
      </c>
      <c r="H38">
        <f>3.6+3.4</f>
        <v>7</v>
      </c>
      <c r="I38">
        <v>-3</v>
      </c>
      <c r="J38">
        <v>45</v>
      </c>
      <c r="K38" t="s">
        <v>109</v>
      </c>
      <c r="L38" s="1" t="s">
        <v>272</v>
      </c>
      <c r="M38">
        <v>24</v>
      </c>
      <c r="N38">
        <v>2.4499999999999993</v>
      </c>
      <c r="O38">
        <v>29</v>
      </c>
      <c r="P38">
        <v>28</v>
      </c>
      <c r="Q38">
        <v>26</v>
      </c>
      <c r="R38">
        <v>-4.2937500000000002</v>
      </c>
      <c r="S38">
        <v>30</v>
      </c>
      <c r="T38">
        <v>-16.8125</v>
      </c>
      <c r="U38">
        <v>-0.5625</v>
      </c>
      <c r="V38">
        <v>24</v>
      </c>
      <c r="W38">
        <v>24</v>
      </c>
      <c r="X38">
        <v>24</v>
      </c>
      <c r="Y38">
        <v>-0.33749999999999969</v>
      </c>
      <c r="Z38">
        <v>24</v>
      </c>
      <c r="AA38">
        <v>-10</v>
      </c>
      <c r="AB38">
        <v>1</v>
      </c>
      <c r="AC38">
        <v>22</v>
      </c>
      <c r="AD38">
        <v>20</v>
      </c>
      <c r="AE38">
        <v>17</v>
      </c>
      <c r="AF38">
        <v>1.4387500000000009</v>
      </c>
      <c r="AG38">
        <v>23</v>
      </c>
      <c r="AH38">
        <v>8.6875</v>
      </c>
      <c r="AI38">
        <v>0.9375</v>
      </c>
      <c r="AJ38">
        <v>20</v>
      </c>
      <c r="AK38">
        <v>19</v>
      </c>
      <c r="AL38">
        <v>23</v>
      </c>
      <c r="AM38">
        <v>6.0249999999999986</v>
      </c>
      <c r="AN38">
        <v>15</v>
      </c>
      <c r="AO38">
        <v>29.75</v>
      </c>
      <c r="AP38">
        <v>1.875</v>
      </c>
      <c r="AQ38">
        <v>2</v>
      </c>
      <c r="AR38">
        <v>2</v>
      </c>
      <c r="AS38">
        <v>2</v>
      </c>
      <c r="AT38">
        <v>0.375</v>
      </c>
      <c r="AU38">
        <v>2</v>
      </c>
      <c r="AV38">
        <v>16.5</v>
      </c>
      <c r="AW38">
        <v>1.75</v>
      </c>
      <c r="AX38">
        <v>14</v>
      </c>
      <c r="AY38">
        <v>14.5</v>
      </c>
      <c r="AZ38">
        <v>16</v>
      </c>
      <c r="BA38">
        <v>4.3750000000000178E-2</v>
      </c>
      <c r="BB38">
        <v>13</v>
      </c>
      <c r="BC38">
        <v>1.6875</v>
      </c>
      <c r="BD38">
        <v>1.5</v>
      </c>
      <c r="BE38">
        <v>17</v>
      </c>
      <c r="BF38">
        <v>17.5</v>
      </c>
      <c r="BG38">
        <v>19</v>
      </c>
      <c r="BH38">
        <v>1.7437500000000001</v>
      </c>
      <c r="BI38">
        <v>12.5625</v>
      </c>
      <c r="BJ38">
        <v>1.0625</v>
      </c>
      <c r="BK38">
        <v>12</v>
      </c>
      <c r="BL38">
        <v>11.5</v>
      </c>
      <c r="BM38">
        <v>12</v>
      </c>
      <c r="BN38">
        <v>6.25E-2</v>
      </c>
      <c r="BO38">
        <v>11</v>
      </c>
      <c r="BP38">
        <v>0.1875</v>
      </c>
      <c r="BQ38">
        <v>-5.1875</v>
      </c>
      <c r="BR38">
        <v>10</v>
      </c>
      <c r="BS38">
        <v>12.75</v>
      </c>
      <c r="BT38">
        <v>13</v>
      </c>
      <c r="BU38">
        <v>-6.2125562085284108E-3</v>
      </c>
      <c r="BV38">
        <v>15</v>
      </c>
      <c r="BW38">
        <v>2.9286278912009522E-2</v>
      </c>
      <c r="BX38">
        <v>11</v>
      </c>
      <c r="BY38">
        <v>11.950000000000001</v>
      </c>
      <c r="BZ38">
        <v>12</v>
      </c>
      <c r="CA38">
        <v>2.25</v>
      </c>
      <c r="CB38">
        <v>2.625</v>
      </c>
      <c r="CC38">
        <v>-2</v>
      </c>
      <c r="CD38">
        <v>-2.3125</v>
      </c>
      <c r="CE38">
        <v>13.1875</v>
      </c>
      <c r="CF38">
        <v>55.0625</v>
      </c>
      <c r="CG38">
        <v>-33.4375</v>
      </c>
      <c r="CH38">
        <v>-4.0625</v>
      </c>
      <c r="CI38">
        <v>-4.375</v>
      </c>
      <c r="CJ38">
        <v>2</v>
      </c>
      <c r="CK38">
        <v>7.0812499999999989</v>
      </c>
      <c r="CL38">
        <v>4.7221250000000001</v>
      </c>
      <c r="CM38">
        <v>88.5</v>
      </c>
      <c r="CN38">
        <v>-7.0812499999999989</v>
      </c>
      <c r="CO38">
        <v>0.9329687499999999</v>
      </c>
      <c r="CP38">
        <v>7.8387499999999992</v>
      </c>
      <c r="CQ38">
        <v>54.9375</v>
      </c>
      <c r="CR38">
        <v>-4.6312499999999996</v>
      </c>
      <c r="CS38">
        <v>-26.8125</v>
      </c>
      <c r="CT38">
        <v>5.625</v>
      </c>
      <c r="CU38">
        <v>0.4375</v>
      </c>
      <c r="CV38">
        <v>1.0528124999999999</v>
      </c>
      <c r="CW38">
        <v>0.99921875000000004</v>
      </c>
      <c r="CX38" t="s">
        <v>285</v>
      </c>
      <c r="CY38">
        <v>1</v>
      </c>
      <c r="CZ38">
        <v>3.2575000000000003</v>
      </c>
      <c r="DA38">
        <v>16</v>
      </c>
      <c r="DB38">
        <v>16.5</v>
      </c>
      <c r="DC38">
        <v>12</v>
      </c>
      <c r="DD38">
        <v>-2.4062500000000004</v>
      </c>
      <c r="DE38">
        <v>21</v>
      </c>
      <c r="DF38">
        <v>12.125</v>
      </c>
      <c r="DG38">
        <v>-0.90625</v>
      </c>
      <c r="DH38">
        <v>11</v>
      </c>
      <c r="DI38">
        <v>14</v>
      </c>
      <c r="DJ38">
        <v>23</v>
      </c>
      <c r="DK38">
        <v>-1.20625</v>
      </c>
      <c r="DL38">
        <v>5</v>
      </c>
      <c r="DM38">
        <v>-6.5</v>
      </c>
      <c r="DN38">
        <v>-0.625</v>
      </c>
      <c r="DO38">
        <v>8</v>
      </c>
      <c r="DP38">
        <v>7</v>
      </c>
      <c r="DQ38">
        <v>7</v>
      </c>
      <c r="DR38">
        <v>-2.9125000000000001</v>
      </c>
      <c r="DS38">
        <v>7</v>
      </c>
      <c r="DT38">
        <v>-12.5625</v>
      </c>
      <c r="DU38">
        <v>-1.3125</v>
      </c>
      <c r="DV38">
        <v>1</v>
      </c>
      <c r="DW38">
        <v>1.5</v>
      </c>
      <c r="DX38">
        <v>2</v>
      </c>
      <c r="DY38">
        <v>-3.3937499999999998</v>
      </c>
      <c r="DZ38">
        <v>1</v>
      </c>
      <c r="EA38">
        <v>-24</v>
      </c>
      <c r="EB38">
        <v>-1.5625</v>
      </c>
      <c r="EC38">
        <v>4</v>
      </c>
      <c r="ED38">
        <v>5.5</v>
      </c>
      <c r="EE38">
        <v>4</v>
      </c>
      <c r="EF38">
        <v>3.7312500000000002</v>
      </c>
      <c r="EG38">
        <v>7</v>
      </c>
      <c r="EH38">
        <v>14.8125</v>
      </c>
      <c r="EI38">
        <v>0.9375</v>
      </c>
      <c r="EJ38">
        <v>1</v>
      </c>
      <c r="EK38">
        <v>1.5</v>
      </c>
      <c r="EL38">
        <v>2</v>
      </c>
      <c r="EM38">
        <v>4.8749999999999982</v>
      </c>
      <c r="EN38">
        <v>1</v>
      </c>
      <c r="EO38">
        <v>20</v>
      </c>
      <c r="EP38">
        <v>2.1875</v>
      </c>
      <c r="EQ38">
        <v>5</v>
      </c>
      <c r="ER38">
        <v>6</v>
      </c>
      <c r="ES38">
        <v>4</v>
      </c>
      <c r="ET38">
        <v>10.156249999999998</v>
      </c>
      <c r="EU38">
        <v>8</v>
      </c>
      <c r="EV38">
        <v>32.875</v>
      </c>
      <c r="EW38">
        <v>1.0625</v>
      </c>
      <c r="EX38">
        <v>19</v>
      </c>
      <c r="EY38">
        <v>20.5</v>
      </c>
      <c r="EZ38">
        <v>19</v>
      </c>
      <c r="FA38">
        <v>1.625</v>
      </c>
      <c r="FB38">
        <v>22</v>
      </c>
      <c r="FC38">
        <v>0.1875</v>
      </c>
      <c r="FD38">
        <v>2.5</v>
      </c>
      <c r="FE38">
        <v>26</v>
      </c>
      <c r="FF38">
        <v>22</v>
      </c>
      <c r="FG38">
        <v>5</v>
      </c>
      <c r="FH38">
        <v>5.8014033271198306E-2</v>
      </c>
      <c r="FI38">
        <v>31</v>
      </c>
      <c r="FJ38">
        <v>7.8038762471132062E-3</v>
      </c>
      <c r="FK38">
        <v>20</v>
      </c>
      <c r="FL38">
        <v>6.0812500000000007</v>
      </c>
      <c r="FM38">
        <v>32</v>
      </c>
      <c r="FN38">
        <v>-3</v>
      </c>
      <c r="FO38">
        <v>-1.75</v>
      </c>
      <c r="FP38">
        <v>-0.375</v>
      </c>
      <c r="FQ38">
        <v>1.0625</v>
      </c>
      <c r="FR38">
        <v>0.125</v>
      </c>
      <c r="FS38">
        <v>1.125</v>
      </c>
      <c r="FT38">
        <v>0.75</v>
      </c>
      <c r="FU38">
        <v>24.6875</v>
      </c>
      <c r="FV38">
        <v>12.0625</v>
      </c>
      <c r="FW38">
        <v>-3.0625</v>
      </c>
      <c r="FX38">
        <v>2.8125</v>
      </c>
      <c r="FY38">
        <v>12.875</v>
      </c>
      <c r="FZ38">
        <v>3</v>
      </c>
      <c r="GA38">
        <v>6.87</v>
      </c>
      <c r="GB38">
        <v>3.9740000000000002</v>
      </c>
      <c r="GC38">
        <v>15.125</v>
      </c>
      <c r="GD38">
        <v>-6.870000000000001</v>
      </c>
      <c r="GE38">
        <v>1.1064062499999998</v>
      </c>
      <c r="GF38">
        <v>-2.5750000000000002</v>
      </c>
      <c r="GG38">
        <v>-21.75</v>
      </c>
      <c r="GH38">
        <v>-3.6125000000000007</v>
      </c>
      <c r="GI38">
        <v>5.625</v>
      </c>
      <c r="GJ38">
        <v>-0.875</v>
      </c>
      <c r="GK38">
        <v>-1.53125</v>
      </c>
    </row>
    <row r="39" spans="1:193" x14ac:dyDescent="0.2">
      <c r="A39" s="39">
        <v>43744</v>
      </c>
      <c r="B39" s="22" t="s">
        <v>381</v>
      </c>
      <c r="C39" s="41" t="s">
        <v>281</v>
      </c>
      <c r="D39" s="22" t="s">
        <v>256</v>
      </c>
      <c r="E39">
        <v>6</v>
      </c>
      <c r="F39">
        <v>11.5</v>
      </c>
      <c r="G39">
        <v>0</v>
      </c>
      <c r="H39">
        <v>1</v>
      </c>
      <c r="I39">
        <v>5</v>
      </c>
      <c r="J39">
        <v>47.5</v>
      </c>
      <c r="L39" s="1" t="s">
        <v>281</v>
      </c>
      <c r="M39">
        <v>10</v>
      </c>
      <c r="N39">
        <v>-2.3975000000000004</v>
      </c>
      <c r="O39">
        <v>5</v>
      </c>
      <c r="P39">
        <v>7</v>
      </c>
      <c r="Q39">
        <v>8</v>
      </c>
      <c r="R39">
        <v>5.7687500000000007</v>
      </c>
      <c r="S39">
        <v>6</v>
      </c>
      <c r="T39">
        <v>36.4375</v>
      </c>
      <c r="U39">
        <v>0.5</v>
      </c>
      <c r="V39">
        <v>4</v>
      </c>
      <c r="W39">
        <v>6</v>
      </c>
      <c r="X39">
        <v>6</v>
      </c>
      <c r="Y39">
        <v>0.39375000000000004</v>
      </c>
      <c r="Z39">
        <v>6</v>
      </c>
      <c r="AA39">
        <v>-4.6875</v>
      </c>
      <c r="AB39">
        <v>-6.25E-2</v>
      </c>
      <c r="AC39">
        <v>25</v>
      </c>
      <c r="AD39">
        <v>24.5</v>
      </c>
      <c r="AE39">
        <v>25</v>
      </c>
      <c r="AF39">
        <v>-0.15624999999999956</v>
      </c>
      <c r="AG39">
        <v>24</v>
      </c>
      <c r="AH39">
        <v>6.0625</v>
      </c>
      <c r="AI39">
        <v>0.4375</v>
      </c>
      <c r="AJ39">
        <v>1</v>
      </c>
      <c r="AK39">
        <v>2.5</v>
      </c>
      <c r="AL39">
        <v>1</v>
      </c>
      <c r="AM39">
        <v>0.21874999999999933</v>
      </c>
      <c r="AN39">
        <v>4</v>
      </c>
      <c r="AO39">
        <v>14.75</v>
      </c>
      <c r="AP39">
        <v>1.5</v>
      </c>
      <c r="AQ39">
        <v>18</v>
      </c>
      <c r="AR39">
        <v>17.5</v>
      </c>
      <c r="AS39">
        <v>19</v>
      </c>
      <c r="AT39">
        <v>-1.5187500000000003</v>
      </c>
      <c r="AU39">
        <v>16</v>
      </c>
      <c r="AV39">
        <v>1.25</v>
      </c>
      <c r="AW39">
        <v>-1.9375</v>
      </c>
      <c r="AX39">
        <v>15</v>
      </c>
      <c r="AY39">
        <v>15.5</v>
      </c>
      <c r="AZ39">
        <v>15</v>
      </c>
      <c r="BA39">
        <v>1.0562499999999999</v>
      </c>
      <c r="BB39">
        <v>16</v>
      </c>
      <c r="BC39">
        <v>13.0625</v>
      </c>
      <c r="BD39">
        <v>-0.9375</v>
      </c>
      <c r="BE39">
        <v>23</v>
      </c>
      <c r="BF39">
        <v>23</v>
      </c>
      <c r="BG39">
        <v>21</v>
      </c>
      <c r="BH39">
        <v>-0.4000000000000008</v>
      </c>
      <c r="BI39">
        <v>-9.625</v>
      </c>
      <c r="BJ39">
        <v>-2.125</v>
      </c>
      <c r="BK39">
        <v>4</v>
      </c>
      <c r="BL39">
        <v>7</v>
      </c>
      <c r="BM39">
        <v>7</v>
      </c>
      <c r="BN39">
        <v>-0.1875</v>
      </c>
      <c r="BO39">
        <v>7</v>
      </c>
      <c r="BP39">
        <v>0</v>
      </c>
      <c r="BQ39">
        <v>-0.3125</v>
      </c>
      <c r="BR39">
        <v>30</v>
      </c>
      <c r="BS39">
        <v>29</v>
      </c>
      <c r="BT39">
        <v>31</v>
      </c>
      <c r="BU39">
        <v>9.5083369728665573E-3</v>
      </c>
      <c r="BV39">
        <v>30</v>
      </c>
      <c r="BW39">
        <v>2.4155765469367922E-2</v>
      </c>
      <c r="BX39">
        <v>24</v>
      </c>
      <c r="BY39">
        <v>-10.837499999999999</v>
      </c>
      <c r="BZ39">
        <v>31</v>
      </c>
      <c r="CA39">
        <v>0.625</v>
      </c>
      <c r="CB39">
        <v>-0.375</v>
      </c>
      <c r="CC39">
        <v>0.625</v>
      </c>
      <c r="CD39">
        <v>-1.3125</v>
      </c>
      <c r="CE39">
        <v>32.9375</v>
      </c>
      <c r="CF39">
        <v>11.9375</v>
      </c>
      <c r="CG39">
        <v>28.4375</v>
      </c>
      <c r="CH39">
        <v>0.3125</v>
      </c>
      <c r="CI39">
        <v>-7.75</v>
      </c>
      <c r="CJ39">
        <v>28</v>
      </c>
      <c r="CK39">
        <v>-8.5600000000000023</v>
      </c>
      <c r="CL39">
        <v>-3.9320000000000004</v>
      </c>
      <c r="CM39">
        <v>-16.5</v>
      </c>
      <c r="CN39">
        <v>8.56</v>
      </c>
      <c r="CO39">
        <v>0.21515624999999994</v>
      </c>
      <c r="CP39">
        <v>-1.4562500000000005</v>
      </c>
      <c r="CQ39">
        <v>22.0625</v>
      </c>
      <c r="CR39">
        <v>6.1625000000000005</v>
      </c>
      <c r="CS39">
        <v>31.75</v>
      </c>
      <c r="CT39">
        <v>-2.125</v>
      </c>
      <c r="CU39">
        <v>0.4375</v>
      </c>
      <c r="CV39">
        <v>-1.7214062500000002</v>
      </c>
      <c r="CW39">
        <v>-0.1839062500000001</v>
      </c>
      <c r="CX39" t="s">
        <v>256</v>
      </c>
      <c r="CY39">
        <v>22</v>
      </c>
      <c r="CZ39">
        <v>-5</v>
      </c>
      <c r="DA39">
        <v>14</v>
      </c>
      <c r="DB39">
        <v>16</v>
      </c>
      <c r="DC39">
        <v>22</v>
      </c>
      <c r="DD39">
        <v>-6.2</v>
      </c>
      <c r="DE39">
        <v>10</v>
      </c>
      <c r="DF39">
        <v>-6.625</v>
      </c>
      <c r="DG39">
        <v>-0.6875</v>
      </c>
      <c r="DH39">
        <v>32</v>
      </c>
      <c r="DI39">
        <v>32</v>
      </c>
      <c r="DJ39">
        <v>32</v>
      </c>
      <c r="DK39">
        <v>-3.6587500000000004</v>
      </c>
      <c r="DL39">
        <v>32</v>
      </c>
      <c r="DM39">
        <v>-4.125</v>
      </c>
      <c r="DN39">
        <v>-0.5625</v>
      </c>
      <c r="DO39">
        <v>28</v>
      </c>
      <c r="DP39">
        <v>26.5</v>
      </c>
      <c r="DQ39">
        <v>23</v>
      </c>
      <c r="DR39">
        <v>-2.3437499999999996</v>
      </c>
      <c r="DS39">
        <v>30</v>
      </c>
      <c r="DT39">
        <v>-11.5</v>
      </c>
      <c r="DU39">
        <v>-1.5625</v>
      </c>
      <c r="DV39">
        <v>31</v>
      </c>
      <c r="DW39">
        <v>30.5</v>
      </c>
      <c r="DX39">
        <v>32</v>
      </c>
      <c r="DY39">
        <v>-0.21875</v>
      </c>
      <c r="DZ39">
        <v>29</v>
      </c>
      <c r="EA39">
        <v>-2.0625</v>
      </c>
      <c r="EB39">
        <v>-1.1875</v>
      </c>
      <c r="EC39">
        <v>7</v>
      </c>
      <c r="ED39">
        <v>14</v>
      </c>
      <c r="EE39">
        <v>12</v>
      </c>
      <c r="EF39">
        <v>-2.1124999999999998</v>
      </c>
      <c r="EG39">
        <v>16</v>
      </c>
      <c r="EH39">
        <v>-14.9375</v>
      </c>
      <c r="EI39">
        <v>-0.4375</v>
      </c>
      <c r="EJ39">
        <v>27</v>
      </c>
      <c r="EK39">
        <v>27</v>
      </c>
      <c r="EL39">
        <v>26</v>
      </c>
      <c r="EM39">
        <v>-5.1500000000000012</v>
      </c>
      <c r="EN39">
        <v>28</v>
      </c>
      <c r="EO39">
        <v>-18.375</v>
      </c>
      <c r="EP39">
        <v>-3.625</v>
      </c>
      <c r="EQ39">
        <v>22</v>
      </c>
      <c r="ER39">
        <v>23.5</v>
      </c>
      <c r="ES39">
        <v>19</v>
      </c>
      <c r="ET39">
        <v>-3.9125000000000005</v>
      </c>
      <c r="EU39">
        <v>28</v>
      </c>
      <c r="EV39">
        <v>-18.25</v>
      </c>
      <c r="EW39">
        <v>-6.25E-2</v>
      </c>
      <c r="EX39">
        <v>18</v>
      </c>
      <c r="EY39">
        <v>20</v>
      </c>
      <c r="EZ39">
        <v>22</v>
      </c>
      <c r="FA39">
        <v>-2.625</v>
      </c>
      <c r="FB39">
        <v>18</v>
      </c>
      <c r="FC39">
        <v>-0.5</v>
      </c>
      <c r="FD39">
        <v>-1.75</v>
      </c>
      <c r="FE39">
        <v>13</v>
      </c>
      <c r="FF39">
        <v>14.75</v>
      </c>
      <c r="FG39">
        <v>23</v>
      </c>
      <c r="FH39">
        <v>5.5721404286772871E-2</v>
      </c>
      <c r="FI39">
        <v>8</v>
      </c>
      <c r="FJ39">
        <v>2.3556784810244046E-2</v>
      </c>
      <c r="FK39">
        <v>24</v>
      </c>
      <c r="FL39">
        <v>-20.75</v>
      </c>
      <c r="FM39">
        <v>4</v>
      </c>
      <c r="FN39">
        <v>5.375</v>
      </c>
      <c r="FO39">
        <v>-4.25</v>
      </c>
      <c r="FP39">
        <v>-2.6875</v>
      </c>
      <c r="FQ39">
        <v>0.6875</v>
      </c>
      <c r="FR39">
        <v>-5.5625</v>
      </c>
      <c r="FS39">
        <v>-8.1875</v>
      </c>
      <c r="FT39">
        <v>0.875</v>
      </c>
      <c r="FU39">
        <v>-79.6875</v>
      </c>
      <c r="FV39">
        <v>-75.8125</v>
      </c>
      <c r="FW39">
        <v>-12.5</v>
      </c>
      <c r="FX39">
        <v>4.9375</v>
      </c>
      <c r="FY39">
        <v>3.6875</v>
      </c>
      <c r="FZ39">
        <v>7</v>
      </c>
      <c r="GA39">
        <v>4.8587500000000006</v>
      </c>
      <c r="GB39">
        <v>2.211875</v>
      </c>
      <c r="GC39">
        <v>-63.3125</v>
      </c>
      <c r="GD39">
        <v>-4.8587500000000006</v>
      </c>
      <c r="GE39">
        <v>-3.2589062500000003</v>
      </c>
      <c r="GF39">
        <v>-4.6749999999999989</v>
      </c>
      <c r="GG39">
        <v>-28.5</v>
      </c>
      <c r="GH39">
        <v>-9.8587500000000006</v>
      </c>
      <c r="GI39">
        <v>-10.75</v>
      </c>
      <c r="GJ39">
        <v>-3.25</v>
      </c>
      <c r="GK39">
        <v>-1.25</v>
      </c>
    </row>
    <row r="40" spans="1:193" x14ac:dyDescent="0.2">
      <c r="A40" s="39">
        <v>43744</v>
      </c>
      <c r="B40" s="22" t="s">
        <v>381</v>
      </c>
      <c r="C40" s="41" t="s">
        <v>291</v>
      </c>
      <c r="D40" s="22" t="s">
        <v>300</v>
      </c>
      <c r="E40">
        <v>42.6</v>
      </c>
      <c r="F40">
        <v>27.3</v>
      </c>
      <c r="G40" s="14">
        <v>8.3000000000000007</v>
      </c>
      <c r="H40">
        <v>5.9</v>
      </c>
      <c r="I40">
        <v>-3.5</v>
      </c>
      <c r="J40">
        <v>46.5</v>
      </c>
      <c r="L40" s="1" t="s">
        <v>291</v>
      </c>
      <c r="M40">
        <v>3</v>
      </c>
      <c r="N40">
        <v>-0.92375000000000007</v>
      </c>
      <c r="O40">
        <v>5</v>
      </c>
      <c r="P40">
        <v>7</v>
      </c>
      <c r="Q40">
        <v>6</v>
      </c>
      <c r="R40">
        <v>3.0125000000000006</v>
      </c>
      <c r="S40">
        <v>8</v>
      </c>
      <c r="T40">
        <v>12.5625</v>
      </c>
      <c r="U40">
        <v>1.125</v>
      </c>
      <c r="V40">
        <v>27</v>
      </c>
      <c r="W40">
        <v>27.5</v>
      </c>
      <c r="X40">
        <v>28</v>
      </c>
      <c r="Y40">
        <v>-1.0374999999999996</v>
      </c>
      <c r="Z40">
        <v>27</v>
      </c>
      <c r="AA40">
        <v>4</v>
      </c>
      <c r="AB40">
        <v>-1.3125</v>
      </c>
      <c r="AC40">
        <v>10</v>
      </c>
      <c r="AD40">
        <v>12</v>
      </c>
      <c r="AE40">
        <v>12</v>
      </c>
      <c r="AF40">
        <v>-2.3437499999999996</v>
      </c>
      <c r="AG40">
        <v>12</v>
      </c>
      <c r="AH40">
        <v>-15</v>
      </c>
      <c r="AI40">
        <v>-1.125</v>
      </c>
      <c r="AJ40">
        <v>10</v>
      </c>
      <c r="AK40">
        <v>9</v>
      </c>
      <c r="AL40">
        <v>11</v>
      </c>
      <c r="AM40">
        <v>1.8000000000000007</v>
      </c>
      <c r="AN40">
        <v>7</v>
      </c>
      <c r="AO40">
        <v>19.0625</v>
      </c>
      <c r="AP40">
        <v>1</v>
      </c>
      <c r="AQ40">
        <v>1</v>
      </c>
      <c r="AR40">
        <v>1</v>
      </c>
      <c r="AS40">
        <v>1</v>
      </c>
      <c r="AT40">
        <v>1.9187499999999997</v>
      </c>
      <c r="AU40">
        <v>1</v>
      </c>
      <c r="AV40">
        <v>11.6875</v>
      </c>
      <c r="AW40">
        <v>1.625</v>
      </c>
      <c r="AX40">
        <v>2</v>
      </c>
      <c r="AY40">
        <v>3.5</v>
      </c>
      <c r="AZ40">
        <v>3</v>
      </c>
      <c r="BA40">
        <v>-4.0125000000000011</v>
      </c>
      <c r="BB40">
        <v>4</v>
      </c>
      <c r="BC40">
        <v>-8.875</v>
      </c>
      <c r="BD40">
        <v>0.5</v>
      </c>
      <c r="BE40">
        <v>8</v>
      </c>
      <c r="BF40">
        <v>7</v>
      </c>
      <c r="BG40">
        <v>7</v>
      </c>
      <c r="BH40">
        <v>3.1562499999999987</v>
      </c>
      <c r="BI40">
        <v>5.3125</v>
      </c>
      <c r="BJ40">
        <v>-0.4375</v>
      </c>
      <c r="BK40">
        <v>11</v>
      </c>
      <c r="BL40">
        <v>9.5</v>
      </c>
      <c r="BM40">
        <v>14</v>
      </c>
      <c r="BN40">
        <v>-1.4375</v>
      </c>
      <c r="BO40">
        <v>5</v>
      </c>
      <c r="BP40">
        <v>-0.375</v>
      </c>
      <c r="BQ40">
        <v>-3.25</v>
      </c>
      <c r="BR40">
        <v>26</v>
      </c>
      <c r="BS40">
        <v>22.25</v>
      </c>
      <c r="BT40">
        <v>18</v>
      </c>
      <c r="BU40">
        <v>-7.1058141249733878E-2</v>
      </c>
      <c r="BV40">
        <v>32</v>
      </c>
      <c r="BW40">
        <v>-3.133226881716418E-2</v>
      </c>
      <c r="BX40">
        <v>16</v>
      </c>
      <c r="BY40">
        <v>0.66250000000000142</v>
      </c>
      <c r="BZ40">
        <v>23</v>
      </c>
      <c r="CA40">
        <v>-2.5625</v>
      </c>
      <c r="CB40">
        <v>-2.5</v>
      </c>
      <c r="CC40">
        <v>-0.875</v>
      </c>
      <c r="CD40">
        <v>-1.75</v>
      </c>
      <c r="CE40">
        <v>14.125</v>
      </c>
      <c r="CF40">
        <v>1.3125</v>
      </c>
      <c r="CG40">
        <v>9.6875</v>
      </c>
      <c r="CH40">
        <v>-2.75</v>
      </c>
      <c r="CI40">
        <v>5.875</v>
      </c>
      <c r="CJ40">
        <v>24</v>
      </c>
      <c r="CK40">
        <v>-2.898750000000001</v>
      </c>
      <c r="CL40">
        <v>-0.26600000000000057</v>
      </c>
      <c r="CM40">
        <v>-8.375</v>
      </c>
      <c r="CN40">
        <v>2.898750000000001</v>
      </c>
      <c r="CO40">
        <v>0.51812500000000006</v>
      </c>
      <c r="CP40">
        <v>1.3750000000000009</v>
      </c>
      <c r="CQ40">
        <v>15.75</v>
      </c>
      <c r="CR40">
        <v>1.975000000000001</v>
      </c>
      <c r="CS40">
        <v>16.5625</v>
      </c>
      <c r="CT40">
        <v>1.0625</v>
      </c>
      <c r="CU40">
        <v>-0.1875</v>
      </c>
      <c r="CV40">
        <v>-0.69109374999999984</v>
      </c>
      <c r="CW40">
        <v>0.10984374999999991</v>
      </c>
      <c r="CX40" t="s">
        <v>300</v>
      </c>
      <c r="CY40">
        <v>21</v>
      </c>
      <c r="CZ40">
        <v>-3.6237499999999994</v>
      </c>
      <c r="DA40">
        <v>5</v>
      </c>
      <c r="DB40">
        <v>6</v>
      </c>
      <c r="DC40">
        <v>8</v>
      </c>
      <c r="DD40">
        <v>8.2625000000000011</v>
      </c>
      <c r="DE40">
        <v>4</v>
      </c>
      <c r="DF40">
        <v>21.5</v>
      </c>
      <c r="DG40">
        <v>-0.6875</v>
      </c>
      <c r="DH40">
        <v>9</v>
      </c>
      <c r="DI40">
        <v>11.5</v>
      </c>
      <c r="DJ40">
        <v>19</v>
      </c>
      <c r="DK40">
        <v>0.57500000000000018</v>
      </c>
      <c r="DL40">
        <v>4</v>
      </c>
      <c r="DM40">
        <v>8.1875</v>
      </c>
      <c r="DN40">
        <v>0.5625</v>
      </c>
      <c r="DO40">
        <v>23</v>
      </c>
      <c r="DP40">
        <v>27.5</v>
      </c>
      <c r="DQ40">
        <v>29</v>
      </c>
      <c r="DR40">
        <v>-4.78125</v>
      </c>
      <c r="DS40">
        <v>26</v>
      </c>
      <c r="DT40">
        <v>-11.3125</v>
      </c>
      <c r="DU40">
        <v>-0.25</v>
      </c>
      <c r="DV40">
        <v>13</v>
      </c>
      <c r="DW40">
        <v>13.5</v>
      </c>
      <c r="DX40">
        <v>17</v>
      </c>
      <c r="DY40">
        <v>-9.1062499999999993</v>
      </c>
      <c r="DZ40">
        <v>10</v>
      </c>
      <c r="EA40">
        <v>-37.9375</v>
      </c>
      <c r="EB40">
        <v>-2</v>
      </c>
      <c r="EC40">
        <v>12</v>
      </c>
      <c r="ED40">
        <v>17</v>
      </c>
      <c r="EE40">
        <v>20</v>
      </c>
      <c r="EF40">
        <v>-0.57499999999999996</v>
      </c>
      <c r="EG40">
        <v>14</v>
      </c>
      <c r="EH40">
        <v>3</v>
      </c>
      <c r="EI40">
        <v>-1.5</v>
      </c>
      <c r="EJ40">
        <v>16</v>
      </c>
      <c r="EK40">
        <v>16</v>
      </c>
      <c r="EL40">
        <v>17</v>
      </c>
      <c r="EM40">
        <v>-5.3812500000000005</v>
      </c>
      <c r="EN40">
        <v>15</v>
      </c>
      <c r="EO40">
        <v>-16.9375</v>
      </c>
      <c r="EP40">
        <v>-2.875</v>
      </c>
      <c r="EQ40">
        <v>1</v>
      </c>
      <c r="ER40">
        <v>1</v>
      </c>
      <c r="ES40">
        <v>1</v>
      </c>
      <c r="ET40">
        <v>0.12500000000000022</v>
      </c>
      <c r="EU40">
        <v>1</v>
      </c>
      <c r="EV40">
        <v>-4.6875</v>
      </c>
      <c r="EW40">
        <v>-0.3125</v>
      </c>
      <c r="EX40">
        <v>6</v>
      </c>
      <c r="EY40">
        <v>5</v>
      </c>
      <c r="EZ40">
        <v>2</v>
      </c>
      <c r="FA40">
        <v>-2.8125</v>
      </c>
      <c r="FB40">
        <v>8</v>
      </c>
      <c r="FC40">
        <v>-0.5625</v>
      </c>
      <c r="FD40">
        <v>-1.5</v>
      </c>
      <c r="FE40">
        <v>29</v>
      </c>
      <c r="FF40">
        <v>24</v>
      </c>
      <c r="FG40">
        <v>17</v>
      </c>
      <c r="FH40">
        <v>9.4257367118214808E-2</v>
      </c>
      <c r="FI40">
        <v>23</v>
      </c>
      <c r="FJ40">
        <v>1.479146605227087E-2</v>
      </c>
      <c r="FK40">
        <v>27</v>
      </c>
      <c r="FL40">
        <v>-8.0374999999999979</v>
      </c>
      <c r="FM40">
        <v>29</v>
      </c>
      <c r="FN40">
        <v>3.5</v>
      </c>
      <c r="FO40">
        <v>-6.25E-2</v>
      </c>
      <c r="FP40">
        <v>1.375</v>
      </c>
      <c r="FQ40">
        <v>0.4375</v>
      </c>
      <c r="FR40">
        <v>1.75</v>
      </c>
      <c r="FS40">
        <v>-2.9375</v>
      </c>
      <c r="FT40">
        <v>-0.4375</v>
      </c>
      <c r="FU40">
        <v>10</v>
      </c>
      <c r="FV40">
        <v>-16.0625</v>
      </c>
      <c r="FW40">
        <v>27.8125</v>
      </c>
      <c r="FX40">
        <v>-5.8125</v>
      </c>
      <c r="FY40">
        <v>4.0625</v>
      </c>
      <c r="FZ40">
        <v>32</v>
      </c>
      <c r="GA40">
        <v>-12.46125</v>
      </c>
      <c r="GB40">
        <v>-8.0109999999999992</v>
      </c>
      <c r="GC40">
        <v>-43.875</v>
      </c>
      <c r="GD40">
        <v>12.461250000000001</v>
      </c>
      <c r="GE40">
        <v>-1.4920312499999997</v>
      </c>
      <c r="GF40">
        <v>-14.462499999999999</v>
      </c>
      <c r="GG40">
        <v>-46.25</v>
      </c>
      <c r="GH40">
        <v>8.8375000000000021</v>
      </c>
      <c r="GI40">
        <v>29.6875</v>
      </c>
      <c r="GJ40">
        <v>-4.0625</v>
      </c>
      <c r="GK40">
        <v>-0.125</v>
      </c>
    </row>
    <row r="41" spans="1:193" x14ac:dyDescent="0.2">
      <c r="A41" s="39">
        <v>43744</v>
      </c>
      <c r="B41" t="s">
        <v>381</v>
      </c>
      <c r="C41" s="41" t="s">
        <v>278</v>
      </c>
      <c r="D41" t="s">
        <v>287</v>
      </c>
      <c r="E41">
        <v>19.2</v>
      </c>
      <c r="F41">
        <v>1.9</v>
      </c>
      <c r="G41">
        <v>0.9</v>
      </c>
      <c r="H41">
        <v>7.1999999999999993</v>
      </c>
      <c r="I41">
        <v>4</v>
      </c>
      <c r="J41">
        <v>46</v>
      </c>
      <c r="K41" t="s">
        <v>110</v>
      </c>
      <c r="L41" s="1" t="s">
        <v>278</v>
      </c>
      <c r="M41">
        <v>30</v>
      </c>
      <c r="N41">
        <v>-1.3399999999999994</v>
      </c>
      <c r="O41">
        <v>17</v>
      </c>
      <c r="P41">
        <v>17</v>
      </c>
      <c r="Q41">
        <v>24</v>
      </c>
      <c r="R41">
        <v>-0.29374999999999973</v>
      </c>
      <c r="S41">
        <v>10</v>
      </c>
      <c r="T41">
        <v>-3</v>
      </c>
      <c r="U41">
        <v>1.1875</v>
      </c>
      <c r="V41">
        <v>18</v>
      </c>
      <c r="W41">
        <v>17.5</v>
      </c>
      <c r="X41">
        <v>22</v>
      </c>
      <c r="Y41">
        <v>2.5375000000000001</v>
      </c>
      <c r="Z41">
        <v>13</v>
      </c>
      <c r="AA41">
        <v>14</v>
      </c>
      <c r="AB41">
        <v>1.6875</v>
      </c>
      <c r="AC41">
        <v>11</v>
      </c>
      <c r="AD41">
        <v>12.5</v>
      </c>
      <c r="AE41">
        <v>11</v>
      </c>
      <c r="AF41">
        <v>5.5</v>
      </c>
      <c r="AG41">
        <v>14</v>
      </c>
      <c r="AH41">
        <v>26.375</v>
      </c>
      <c r="AI41">
        <v>1.875</v>
      </c>
      <c r="AJ41">
        <v>31</v>
      </c>
      <c r="AK41">
        <v>30.5</v>
      </c>
      <c r="AL41">
        <v>31</v>
      </c>
      <c r="AM41">
        <v>3.6624999999999988</v>
      </c>
      <c r="AN41">
        <v>30</v>
      </c>
      <c r="AO41">
        <v>12.125</v>
      </c>
      <c r="AP41">
        <v>2</v>
      </c>
      <c r="AQ41">
        <v>32</v>
      </c>
      <c r="AR41">
        <v>32</v>
      </c>
      <c r="AS41">
        <v>32</v>
      </c>
      <c r="AT41">
        <v>-0.72500000000000009</v>
      </c>
      <c r="AU41">
        <v>32</v>
      </c>
      <c r="AV41">
        <v>-2.4375</v>
      </c>
      <c r="AW41">
        <v>0.3125</v>
      </c>
      <c r="AX41">
        <v>31</v>
      </c>
      <c r="AY41">
        <v>31.5</v>
      </c>
      <c r="AZ41">
        <v>31</v>
      </c>
      <c r="BA41">
        <v>-5.2875000000000005</v>
      </c>
      <c r="BB41">
        <v>32</v>
      </c>
      <c r="BC41">
        <v>-14.75</v>
      </c>
      <c r="BD41">
        <v>-1.0625</v>
      </c>
      <c r="BE41">
        <v>9</v>
      </c>
      <c r="BF41">
        <v>8.5</v>
      </c>
      <c r="BG41">
        <v>9</v>
      </c>
      <c r="BH41">
        <v>-2.4687500000000004</v>
      </c>
      <c r="BI41">
        <v>-10</v>
      </c>
      <c r="BJ41">
        <v>-1.25</v>
      </c>
      <c r="BK41">
        <v>10</v>
      </c>
      <c r="BL41">
        <v>9</v>
      </c>
      <c r="BM41">
        <v>6</v>
      </c>
      <c r="BN41">
        <v>1</v>
      </c>
      <c r="BO41">
        <v>12</v>
      </c>
      <c r="BP41">
        <v>0.5</v>
      </c>
      <c r="BQ41">
        <v>-3.75</v>
      </c>
      <c r="BR41">
        <v>22</v>
      </c>
      <c r="BS41">
        <v>20.25</v>
      </c>
      <c r="BT41">
        <v>15</v>
      </c>
      <c r="BU41">
        <v>-6.9159849038503141E-3</v>
      </c>
      <c r="BV41">
        <v>19</v>
      </c>
      <c r="BW41">
        <v>3.5601100203233108E-3</v>
      </c>
      <c r="BX41">
        <v>28</v>
      </c>
      <c r="BY41">
        <v>8.3312500000000025</v>
      </c>
      <c r="BZ41">
        <v>19</v>
      </c>
      <c r="CA41">
        <v>-1.9375</v>
      </c>
      <c r="CB41">
        <v>1.125</v>
      </c>
      <c r="CC41">
        <v>-2.0625</v>
      </c>
      <c r="CD41">
        <v>0</v>
      </c>
      <c r="CE41">
        <v>5.9375</v>
      </c>
      <c r="CF41">
        <v>7.4375</v>
      </c>
      <c r="CG41">
        <v>6.5625</v>
      </c>
      <c r="CH41">
        <v>-1.1875</v>
      </c>
      <c r="CI41">
        <v>-6.875</v>
      </c>
      <c r="CJ41">
        <v>25</v>
      </c>
      <c r="CK41">
        <v>-3.5837499999999998</v>
      </c>
      <c r="CL41">
        <v>-0.19612500000000055</v>
      </c>
      <c r="CM41">
        <v>0.875</v>
      </c>
      <c r="CN41">
        <v>3.5837499999999998</v>
      </c>
      <c r="CO41">
        <v>0.98406250000000006</v>
      </c>
      <c r="CP41">
        <v>8.4374999999999982</v>
      </c>
      <c r="CQ41">
        <v>36.0625</v>
      </c>
      <c r="CR41">
        <v>2.2437500000000004</v>
      </c>
      <c r="CS41">
        <v>11</v>
      </c>
      <c r="CT41">
        <v>2.9375</v>
      </c>
      <c r="CU41">
        <v>2.875</v>
      </c>
      <c r="CV41">
        <v>0.227109375</v>
      </c>
      <c r="CW41">
        <v>-3.1093750000000031E-2</v>
      </c>
      <c r="CX41" t="s">
        <v>287</v>
      </c>
      <c r="CY41">
        <v>26</v>
      </c>
      <c r="CZ41">
        <v>0.26375000000000037</v>
      </c>
      <c r="DA41">
        <v>7</v>
      </c>
      <c r="DB41">
        <v>10</v>
      </c>
      <c r="DC41">
        <v>11</v>
      </c>
      <c r="DD41">
        <v>4.3375000000000004</v>
      </c>
      <c r="DE41">
        <v>9</v>
      </c>
      <c r="DF41">
        <v>12.1875</v>
      </c>
      <c r="DG41">
        <v>-0.59375</v>
      </c>
      <c r="DH41">
        <v>21</v>
      </c>
      <c r="DI41">
        <v>18.5</v>
      </c>
      <c r="DJ41">
        <v>9</v>
      </c>
      <c r="DK41">
        <v>-1.1437499999999996</v>
      </c>
      <c r="DL41">
        <v>28</v>
      </c>
      <c r="DM41">
        <v>-7.25</v>
      </c>
      <c r="DN41">
        <v>-0.4375</v>
      </c>
      <c r="DO41">
        <v>28</v>
      </c>
      <c r="DP41">
        <v>26.5</v>
      </c>
      <c r="DQ41">
        <v>26</v>
      </c>
      <c r="DR41">
        <v>4.0499999999999989</v>
      </c>
      <c r="DS41">
        <v>27</v>
      </c>
      <c r="DT41">
        <v>18.4375</v>
      </c>
      <c r="DU41">
        <v>-0.125</v>
      </c>
      <c r="DV41">
        <v>21</v>
      </c>
      <c r="DW41">
        <v>22</v>
      </c>
      <c r="DX41">
        <v>22</v>
      </c>
      <c r="DY41">
        <v>0.33750000000000058</v>
      </c>
      <c r="DZ41">
        <v>22</v>
      </c>
      <c r="EA41">
        <v>-1.375</v>
      </c>
      <c r="EB41">
        <v>0.125</v>
      </c>
      <c r="EC41">
        <v>18</v>
      </c>
      <c r="ED41">
        <v>20.5</v>
      </c>
      <c r="EE41">
        <v>23</v>
      </c>
      <c r="EF41">
        <v>-2.3062499999999995</v>
      </c>
      <c r="EG41">
        <v>18</v>
      </c>
      <c r="EH41">
        <v>-0.6875</v>
      </c>
      <c r="EI41">
        <v>-3.25</v>
      </c>
      <c r="EJ41">
        <v>22</v>
      </c>
      <c r="EK41">
        <v>23</v>
      </c>
      <c r="EL41">
        <v>25</v>
      </c>
      <c r="EM41">
        <v>-4.4249999999999998</v>
      </c>
      <c r="EN41">
        <v>21</v>
      </c>
      <c r="EO41">
        <v>-13</v>
      </c>
      <c r="EP41">
        <v>-2.125</v>
      </c>
      <c r="EQ41">
        <v>30</v>
      </c>
      <c r="ER41">
        <v>27.5</v>
      </c>
      <c r="ES41">
        <v>28</v>
      </c>
      <c r="ET41">
        <v>0.84375000000000044</v>
      </c>
      <c r="EU41">
        <v>27</v>
      </c>
      <c r="EV41">
        <v>-3.9375</v>
      </c>
      <c r="EW41">
        <v>-0.1875</v>
      </c>
      <c r="EX41">
        <v>3</v>
      </c>
      <c r="EY41">
        <v>3.5</v>
      </c>
      <c r="EZ41">
        <v>4</v>
      </c>
      <c r="FA41">
        <v>-2.5</v>
      </c>
      <c r="FB41">
        <v>3</v>
      </c>
      <c r="FC41">
        <v>0.1875</v>
      </c>
      <c r="FD41">
        <v>0.8125</v>
      </c>
      <c r="FE41">
        <v>25</v>
      </c>
      <c r="FF41">
        <v>21.5</v>
      </c>
      <c r="FG41">
        <v>20</v>
      </c>
      <c r="FH41">
        <v>-5.824845928300082E-2</v>
      </c>
      <c r="FI41">
        <v>25</v>
      </c>
      <c r="FJ41">
        <v>-1.0973697045152294E-2</v>
      </c>
      <c r="FK41">
        <v>18</v>
      </c>
      <c r="FL41">
        <v>8.8062500000000021</v>
      </c>
      <c r="FM41">
        <v>23</v>
      </c>
      <c r="FN41">
        <v>-3.5625</v>
      </c>
      <c r="FO41">
        <v>-2.25</v>
      </c>
      <c r="FP41">
        <v>-0.6875</v>
      </c>
      <c r="FQ41">
        <v>0.1875</v>
      </c>
      <c r="FR41">
        <v>-6.4375</v>
      </c>
      <c r="FS41">
        <v>0.5</v>
      </c>
      <c r="FT41">
        <v>-0.4375</v>
      </c>
      <c r="FU41">
        <v>2.875</v>
      </c>
      <c r="FV41">
        <v>6.75</v>
      </c>
      <c r="FW41">
        <v>-0.5625</v>
      </c>
      <c r="FX41">
        <v>0</v>
      </c>
      <c r="FY41">
        <v>-3.3125</v>
      </c>
      <c r="FZ41">
        <v>23</v>
      </c>
      <c r="GA41">
        <v>-2.9300000000000006</v>
      </c>
      <c r="GB41">
        <v>-0.95912500000000023</v>
      </c>
      <c r="GC41">
        <v>7.3125</v>
      </c>
      <c r="GD41">
        <v>2.93</v>
      </c>
      <c r="GE41">
        <v>0.48531250000000004</v>
      </c>
      <c r="GF41">
        <v>2.0812499999999998</v>
      </c>
      <c r="GG41">
        <v>16.375</v>
      </c>
      <c r="GH41">
        <v>3.1937500000000005</v>
      </c>
      <c r="GI41">
        <v>4.9375</v>
      </c>
      <c r="GJ41">
        <v>-3.4375</v>
      </c>
      <c r="GK41">
        <v>-1.03125</v>
      </c>
    </row>
    <row r="42" spans="1:193" x14ac:dyDescent="0.2">
      <c r="A42" s="39">
        <v>43744</v>
      </c>
      <c r="B42" s="22" t="s">
        <v>381</v>
      </c>
      <c r="C42" s="41" t="s">
        <v>300</v>
      </c>
      <c r="D42" s="22" t="s">
        <v>291</v>
      </c>
      <c r="E42" s="3">
        <v>2.8</v>
      </c>
      <c r="F42" s="30">
        <v>4.8</v>
      </c>
      <c r="G42" s="3">
        <v>1.9</v>
      </c>
      <c r="H42">
        <f>7.1+3.7+3.3</f>
        <v>14.100000000000001</v>
      </c>
      <c r="I42">
        <v>3.5</v>
      </c>
      <c r="J42">
        <v>46.5</v>
      </c>
      <c r="L42" s="1" t="s">
        <v>300</v>
      </c>
      <c r="M42">
        <v>19</v>
      </c>
      <c r="N42">
        <v>0.90500000000000025</v>
      </c>
      <c r="O42">
        <v>22</v>
      </c>
      <c r="P42">
        <v>21.5</v>
      </c>
      <c r="Q42">
        <v>14</v>
      </c>
      <c r="R42">
        <v>3.1062500000000011</v>
      </c>
      <c r="S42">
        <v>29</v>
      </c>
      <c r="T42">
        <v>-3.25</v>
      </c>
      <c r="U42">
        <v>3.125E-2</v>
      </c>
      <c r="V42">
        <v>2</v>
      </c>
      <c r="W42">
        <v>4</v>
      </c>
      <c r="X42">
        <v>4</v>
      </c>
      <c r="Y42">
        <v>-0.49374999999999991</v>
      </c>
      <c r="Z42">
        <v>4</v>
      </c>
      <c r="AA42">
        <v>0.375</v>
      </c>
      <c r="AB42">
        <v>-1</v>
      </c>
      <c r="AC42">
        <v>3</v>
      </c>
      <c r="AD42">
        <v>3.5</v>
      </c>
      <c r="AE42">
        <v>5</v>
      </c>
      <c r="AF42">
        <v>2.3187499999999992</v>
      </c>
      <c r="AG42">
        <v>2</v>
      </c>
      <c r="AH42">
        <v>27</v>
      </c>
      <c r="AI42">
        <v>1.875</v>
      </c>
      <c r="AJ42">
        <v>16</v>
      </c>
      <c r="AK42">
        <v>17</v>
      </c>
      <c r="AL42">
        <v>17</v>
      </c>
      <c r="AM42">
        <v>-3.0187500000000012</v>
      </c>
      <c r="AN42">
        <v>17</v>
      </c>
      <c r="AO42">
        <v>-6.1875</v>
      </c>
      <c r="AP42">
        <v>0.1875</v>
      </c>
      <c r="AQ42">
        <v>20</v>
      </c>
      <c r="AR42">
        <v>19</v>
      </c>
      <c r="AS42">
        <v>18</v>
      </c>
      <c r="AT42">
        <v>3.1250000000000222E-2</v>
      </c>
      <c r="AU42">
        <v>20</v>
      </c>
      <c r="AV42">
        <v>-4.625</v>
      </c>
      <c r="AW42">
        <v>-1.3125</v>
      </c>
      <c r="AX42">
        <v>18</v>
      </c>
      <c r="AY42">
        <v>17</v>
      </c>
      <c r="AZ42">
        <v>12</v>
      </c>
      <c r="BA42">
        <v>1.8187500000000001</v>
      </c>
      <c r="BB42">
        <v>22</v>
      </c>
      <c r="BC42">
        <v>1.3125</v>
      </c>
      <c r="BD42">
        <v>-1.25</v>
      </c>
      <c r="BE42">
        <v>27</v>
      </c>
      <c r="BF42">
        <v>27</v>
      </c>
      <c r="BG42">
        <v>26</v>
      </c>
      <c r="BH42">
        <v>-1.1000000000000001</v>
      </c>
      <c r="BI42">
        <v>-8.0625</v>
      </c>
      <c r="BJ42">
        <v>-0.875</v>
      </c>
      <c r="BK42">
        <v>31</v>
      </c>
      <c r="BL42">
        <v>31</v>
      </c>
      <c r="BM42">
        <v>30</v>
      </c>
      <c r="BN42">
        <v>-0.3125</v>
      </c>
      <c r="BO42">
        <v>32</v>
      </c>
      <c r="BP42">
        <v>-0.3125</v>
      </c>
      <c r="BQ42">
        <v>3.5</v>
      </c>
      <c r="BR42">
        <v>16</v>
      </c>
      <c r="BS42">
        <v>14.5</v>
      </c>
      <c r="BT42">
        <v>17</v>
      </c>
      <c r="BU42">
        <v>5.2866029622550437E-2</v>
      </c>
      <c r="BV42">
        <v>14</v>
      </c>
      <c r="BW42">
        <v>-1.3163459789658442E-3</v>
      </c>
      <c r="BX42">
        <v>3</v>
      </c>
      <c r="BY42">
        <v>-1.7874999999999979</v>
      </c>
      <c r="BZ42">
        <v>24</v>
      </c>
      <c r="CA42">
        <v>-1.5</v>
      </c>
      <c r="CB42">
        <v>-0.1875</v>
      </c>
      <c r="CC42">
        <v>2.5625</v>
      </c>
      <c r="CD42">
        <v>-0.4375</v>
      </c>
      <c r="CE42">
        <v>1</v>
      </c>
      <c r="CF42">
        <v>6.6875</v>
      </c>
      <c r="CG42">
        <v>-9.1875</v>
      </c>
      <c r="CH42">
        <v>-3.3125</v>
      </c>
      <c r="CI42">
        <v>6.8125</v>
      </c>
      <c r="CJ42">
        <v>23</v>
      </c>
      <c r="CK42">
        <v>-1.7075000000000009</v>
      </c>
      <c r="CL42">
        <v>-1.479000000000001</v>
      </c>
      <c r="CM42">
        <v>15.875</v>
      </c>
      <c r="CN42">
        <v>1.7075000000000009</v>
      </c>
      <c r="CO42">
        <v>0.17953124999999998</v>
      </c>
      <c r="CP42">
        <v>-0.66875000000000173</v>
      </c>
      <c r="CQ42">
        <v>16.1875</v>
      </c>
      <c r="CR42">
        <v>2.6125000000000012</v>
      </c>
      <c r="CS42">
        <v>-2.875</v>
      </c>
      <c r="CT42">
        <v>-0.125</v>
      </c>
      <c r="CU42">
        <v>-0.96875</v>
      </c>
      <c r="CV42">
        <v>-0.69109374999999984</v>
      </c>
      <c r="CW42">
        <v>-1.4920312499999997</v>
      </c>
      <c r="CX42" t="s">
        <v>291</v>
      </c>
      <c r="CY42">
        <v>19</v>
      </c>
      <c r="CZ42">
        <v>-2.2837500000000013</v>
      </c>
      <c r="DA42">
        <v>6</v>
      </c>
      <c r="DB42">
        <v>8</v>
      </c>
      <c r="DC42">
        <v>4</v>
      </c>
      <c r="DD42">
        <v>-1.6604166666666667</v>
      </c>
      <c r="DE42">
        <v>12</v>
      </c>
      <c r="DF42">
        <v>7.5208333333333321</v>
      </c>
      <c r="DG42">
        <v>-0.66666666666666674</v>
      </c>
      <c r="DH42">
        <v>22</v>
      </c>
      <c r="DI42">
        <v>19</v>
      </c>
      <c r="DJ42">
        <v>24</v>
      </c>
      <c r="DK42">
        <v>1.8416666666666666</v>
      </c>
      <c r="DL42">
        <v>14</v>
      </c>
      <c r="DM42">
        <v>-1.229166666666667</v>
      </c>
      <c r="DN42">
        <v>0.66666666666666674</v>
      </c>
      <c r="DO42">
        <v>26</v>
      </c>
      <c r="DP42">
        <v>29.5</v>
      </c>
      <c r="DQ42">
        <v>30</v>
      </c>
      <c r="DR42">
        <v>-1.8624999999999994</v>
      </c>
      <c r="DS42">
        <v>29</v>
      </c>
      <c r="DT42">
        <v>-1.625</v>
      </c>
      <c r="DU42">
        <v>0.75</v>
      </c>
      <c r="DV42">
        <v>15</v>
      </c>
      <c r="DW42">
        <v>14</v>
      </c>
      <c r="DX42">
        <v>13</v>
      </c>
      <c r="DY42">
        <v>-0.55625000000000036</v>
      </c>
      <c r="DZ42">
        <v>15</v>
      </c>
      <c r="EA42">
        <v>-4.3125</v>
      </c>
      <c r="EB42">
        <v>6.25E-2</v>
      </c>
      <c r="EC42">
        <v>19</v>
      </c>
      <c r="ED42">
        <v>10.5</v>
      </c>
      <c r="EE42">
        <v>9</v>
      </c>
      <c r="EF42">
        <v>0.53124999999999978</v>
      </c>
      <c r="EG42">
        <v>12</v>
      </c>
      <c r="EH42">
        <v>7.375</v>
      </c>
      <c r="EI42">
        <v>1.0625</v>
      </c>
      <c r="EJ42">
        <v>8</v>
      </c>
      <c r="EK42">
        <v>8.5</v>
      </c>
      <c r="EL42">
        <v>10</v>
      </c>
      <c r="EM42">
        <v>-3.8499999999999996</v>
      </c>
      <c r="EN42">
        <v>7</v>
      </c>
      <c r="EO42">
        <v>-14.75</v>
      </c>
      <c r="EP42">
        <v>-0.5625</v>
      </c>
      <c r="EQ42">
        <v>27</v>
      </c>
      <c r="ER42">
        <v>26</v>
      </c>
      <c r="ES42">
        <v>22</v>
      </c>
      <c r="ET42">
        <v>4.0562499999999995</v>
      </c>
      <c r="EU42">
        <v>30</v>
      </c>
      <c r="EV42">
        <v>11.4375</v>
      </c>
      <c r="EW42">
        <v>1.875</v>
      </c>
      <c r="EX42">
        <v>7</v>
      </c>
      <c r="EY42">
        <v>7</v>
      </c>
      <c r="EZ42">
        <v>10</v>
      </c>
      <c r="FA42">
        <v>0.8125</v>
      </c>
      <c r="FB42">
        <v>4</v>
      </c>
      <c r="FC42">
        <v>0.3125</v>
      </c>
      <c r="FD42">
        <v>-2.5</v>
      </c>
      <c r="FE42">
        <v>15</v>
      </c>
      <c r="FF42">
        <v>15.75</v>
      </c>
      <c r="FG42">
        <v>7</v>
      </c>
      <c r="FH42">
        <v>-3.3389166531780784E-2</v>
      </c>
      <c r="FI42">
        <v>7</v>
      </c>
      <c r="FJ42">
        <v>-2.5958088269064754E-3</v>
      </c>
      <c r="FK42">
        <v>28</v>
      </c>
      <c r="FL42">
        <v>11.243749999999999</v>
      </c>
      <c r="FM42">
        <v>21</v>
      </c>
      <c r="FN42">
        <v>-3.25</v>
      </c>
      <c r="FO42">
        <v>2.5625</v>
      </c>
      <c r="FP42">
        <v>0.125</v>
      </c>
      <c r="FQ42">
        <v>0.5625</v>
      </c>
      <c r="FR42">
        <v>3.625</v>
      </c>
      <c r="FS42">
        <v>-1.125</v>
      </c>
      <c r="FT42">
        <v>-1.3125</v>
      </c>
      <c r="FU42">
        <v>8.8125</v>
      </c>
      <c r="FV42">
        <v>-4.6875</v>
      </c>
      <c r="FW42">
        <v>11.0625</v>
      </c>
      <c r="FX42">
        <v>1.9375</v>
      </c>
      <c r="FY42">
        <v>0.5</v>
      </c>
      <c r="FZ42">
        <v>22</v>
      </c>
      <c r="GA42">
        <v>-2.4650000000000012</v>
      </c>
      <c r="GB42">
        <v>-0.11362500000000017</v>
      </c>
      <c r="GC42">
        <v>-15.75</v>
      </c>
      <c r="GD42">
        <v>2.4650000000000012</v>
      </c>
      <c r="GE42">
        <v>0.10984374999999991</v>
      </c>
      <c r="GF42">
        <v>-1.8875</v>
      </c>
      <c r="GG42">
        <v>1.4375</v>
      </c>
      <c r="GH42">
        <v>0.18124999999999991</v>
      </c>
      <c r="GI42">
        <v>6.2916666666666652</v>
      </c>
      <c r="GJ42">
        <v>3.75</v>
      </c>
      <c r="GK42">
        <v>0</v>
      </c>
    </row>
    <row r="43" spans="1:193" x14ac:dyDescent="0.2">
      <c r="A43" s="39">
        <v>43744</v>
      </c>
      <c r="B43" s="22" t="s">
        <v>381</v>
      </c>
      <c r="C43" s="41" t="s">
        <v>311</v>
      </c>
      <c r="D43" s="22" t="s">
        <v>295</v>
      </c>
      <c r="E43">
        <v>15.8</v>
      </c>
      <c r="F43" s="14">
        <v>56.7</v>
      </c>
      <c r="G43">
        <v>10.199999999999999</v>
      </c>
      <c r="H43">
        <v>19.100000000000001</v>
      </c>
      <c r="I43">
        <v>-4</v>
      </c>
      <c r="J43">
        <v>49</v>
      </c>
      <c r="K43" t="s">
        <v>109</v>
      </c>
      <c r="L43" s="1" t="s">
        <v>311</v>
      </c>
      <c r="M43">
        <v>6</v>
      </c>
      <c r="N43">
        <v>1.6125000000000003</v>
      </c>
      <c r="O43">
        <v>22</v>
      </c>
      <c r="P43">
        <v>21.5</v>
      </c>
      <c r="Q43">
        <v>30</v>
      </c>
      <c r="R43">
        <v>-4.125</v>
      </c>
      <c r="S43">
        <v>13</v>
      </c>
      <c r="T43">
        <v>6.25E-2</v>
      </c>
      <c r="U43">
        <v>-1.375</v>
      </c>
      <c r="V43">
        <v>8</v>
      </c>
      <c r="W43">
        <v>9.5</v>
      </c>
      <c r="X43">
        <v>3</v>
      </c>
      <c r="Y43">
        <v>1.2500000000000004</v>
      </c>
      <c r="Z43">
        <v>16</v>
      </c>
      <c r="AA43">
        <v>10.3125</v>
      </c>
      <c r="AB43">
        <v>0.875</v>
      </c>
      <c r="AC43">
        <v>2</v>
      </c>
      <c r="AD43">
        <v>2.5</v>
      </c>
      <c r="AE43">
        <v>1</v>
      </c>
      <c r="AF43">
        <v>-2.0999999999999996</v>
      </c>
      <c r="AG43">
        <v>4</v>
      </c>
      <c r="AH43">
        <v>-11.25</v>
      </c>
      <c r="AI43">
        <v>0.6875</v>
      </c>
      <c r="AJ43">
        <v>15</v>
      </c>
      <c r="AK43">
        <v>15</v>
      </c>
      <c r="AL43">
        <v>16</v>
      </c>
      <c r="AM43">
        <v>-3.1187500000000008</v>
      </c>
      <c r="AN43">
        <v>14</v>
      </c>
      <c r="AO43">
        <v>-9.9375</v>
      </c>
      <c r="AP43">
        <v>-0.5625</v>
      </c>
      <c r="AQ43">
        <v>21</v>
      </c>
      <c r="AR43">
        <v>21</v>
      </c>
      <c r="AS43">
        <v>21</v>
      </c>
      <c r="AT43">
        <v>3.3562499999999997</v>
      </c>
      <c r="AU43">
        <v>21</v>
      </c>
      <c r="AV43">
        <v>16.8125</v>
      </c>
      <c r="AW43">
        <v>-0.25</v>
      </c>
      <c r="AX43">
        <v>17</v>
      </c>
      <c r="AY43">
        <v>16.5</v>
      </c>
      <c r="AZ43">
        <v>21</v>
      </c>
      <c r="BA43">
        <v>0.16249999999999876</v>
      </c>
      <c r="BB43">
        <v>12</v>
      </c>
      <c r="BC43">
        <v>1</v>
      </c>
      <c r="BD43">
        <v>-1.8125</v>
      </c>
      <c r="BE43">
        <v>11</v>
      </c>
      <c r="BF43">
        <v>12</v>
      </c>
      <c r="BG43">
        <v>11</v>
      </c>
      <c r="BH43">
        <v>2.6124999999999998</v>
      </c>
      <c r="BI43">
        <v>4.875</v>
      </c>
      <c r="BJ43">
        <v>0.125</v>
      </c>
      <c r="BK43">
        <v>22</v>
      </c>
      <c r="BL43">
        <v>20.5</v>
      </c>
      <c r="BM43">
        <v>22</v>
      </c>
      <c r="BN43">
        <v>-1.8125</v>
      </c>
      <c r="BO43">
        <v>19</v>
      </c>
      <c r="BP43">
        <v>-0.5625</v>
      </c>
      <c r="BQ43">
        <v>1.5</v>
      </c>
      <c r="BR43">
        <v>20</v>
      </c>
      <c r="BS43">
        <v>17.5</v>
      </c>
      <c r="BT43">
        <v>1</v>
      </c>
      <c r="BU43">
        <v>9.0228201742385009E-2</v>
      </c>
      <c r="BV43">
        <v>24</v>
      </c>
      <c r="BW43">
        <v>3.8531538831282047E-2</v>
      </c>
      <c r="BX43">
        <v>15</v>
      </c>
      <c r="BY43">
        <v>-2.3374999999999968</v>
      </c>
      <c r="BZ43">
        <v>30</v>
      </c>
      <c r="CA43">
        <v>0.75</v>
      </c>
      <c r="CB43">
        <v>-2.125</v>
      </c>
      <c r="CC43">
        <v>-1.9375</v>
      </c>
      <c r="CD43">
        <v>0</v>
      </c>
      <c r="CE43">
        <v>-7.5</v>
      </c>
      <c r="CF43">
        <v>-16.5625</v>
      </c>
      <c r="CG43">
        <v>7.9375</v>
      </c>
      <c r="CH43">
        <v>-1</v>
      </c>
      <c r="CI43">
        <v>2.125</v>
      </c>
      <c r="CJ43">
        <v>8</v>
      </c>
      <c r="CK43">
        <v>4.4875000000000007</v>
      </c>
      <c r="CL43">
        <v>1.9099999999999997</v>
      </c>
      <c r="CM43">
        <v>-24.5</v>
      </c>
      <c r="CN43">
        <v>-4.4874999999999998</v>
      </c>
      <c r="CO43">
        <v>-0.29062499999999997</v>
      </c>
      <c r="CP43">
        <v>-1.8625000000000003</v>
      </c>
      <c r="CQ43">
        <v>-4.375</v>
      </c>
      <c r="CR43">
        <v>-2.8749999999999996</v>
      </c>
      <c r="CS43">
        <v>10.375</v>
      </c>
      <c r="CT43">
        <v>0</v>
      </c>
      <c r="CU43">
        <v>-0.5</v>
      </c>
      <c r="CV43">
        <v>0.38820312499999987</v>
      </c>
      <c r="CW43">
        <v>0.34218749999999964</v>
      </c>
      <c r="CX43" t="s">
        <v>295</v>
      </c>
      <c r="CY43">
        <v>27</v>
      </c>
      <c r="CZ43">
        <v>1.8112500000000007</v>
      </c>
      <c r="DA43">
        <v>30</v>
      </c>
      <c r="DB43">
        <v>28</v>
      </c>
      <c r="DC43">
        <v>28</v>
      </c>
      <c r="DD43">
        <v>-1.4812500000000002</v>
      </c>
      <c r="DE43">
        <v>28</v>
      </c>
      <c r="DF43">
        <v>0.125</v>
      </c>
      <c r="DG43">
        <v>-0.1875</v>
      </c>
      <c r="DH43">
        <v>28</v>
      </c>
      <c r="DI43">
        <v>25.5</v>
      </c>
      <c r="DJ43">
        <v>30</v>
      </c>
      <c r="DK43">
        <v>-0.94999999999999951</v>
      </c>
      <c r="DL43">
        <v>21</v>
      </c>
      <c r="DM43">
        <v>-6.0625</v>
      </c>
      <c r="DN43">
        <v>0.8125</v>
      </c>
      <c r="DO43">
        <v>22</v>
      </c>
      <c r="DP43">
        <v>18.5</v>
      </c>
      <c r="DQ43">
        <v>21</v>
      </c>
      <c r="DR43">
        <v>5.1125000000000007</v>
      </c>
      <c r="DS43">
        <v>16</v>
      </c>
      <c r="DT43">
        <v>20.75</v>
      </c>
      <c r="DU43">
        <v>0.75</v>
      </c>
      <c r="DV43">
        <v>9</v>
      </c>
      <c r="DW43">
        <v>10</v>
      </c>
      <c r="DX43">
        <v>9</v>
      </c>
      <c r="DY43">
        <v>0.71249999999999969</v>
      </c>
      <c r="DZ43">
        <v>11</v>
      </c>
      <c r="EA43">
        <v>0.25</v>
      </c>
      <c r="EB43">
        <v>-1</v>
      </c>
      <c r="EC43">
        <v>17</v>
      </c>
      <c r="ED43">
        <v>26.5</v>
      </c>
      <c r="EE43">
        <v>29</v>
      </c>
      <c r="EF43">
        <v>-0.48124999999999996</v>
      </c>
      <c r="EG43">
        <v>24</v>
      </c>
      <c r="EH43">
        <v>-2.8125</v>
      </c>
      <c r="EI43">
        <v>-1.5625</v>
      </c>
      <c r="EJ43">
        <v>10</v>
      </c>
      <c r="EK43">
        <v>11.5</v>
      </c>
      <c r="EL43">
        <v>14</v>
      </c>
      <c r="EM43">
        <v>-0.79375000000000084</v>
      </c>
      <c r="EN43">
        <v>9</v>
      </c>
      <c r="EO43">
        <v>-6.6875</v>
      </c>
      <c r="EP43">
        <v>0.1875</v>
      </c>
      <c r="EQ43">
        <v>29</v>
      </c>
      <c r="ER43">
        <v>26.5</v>
      </c>
      <c r="ES43">
        <v>30</v>
      </c>
      <c r="ET43">
        <v>-2.5</v>
      </c>
      <c r="EU43">
        <v>23</v>
      </c>
      <c r="EV43">
        <v>-2.875</v>
      </c>
      <c r="EW43">
        <v>-0.1875</v>
      </c>
      <c r="EX43">
        <v>17</v>
      </c>
      <c r="EY43">
        <v>14.5</v>
      </c>
      <c r="EZ43">
        <v>14</v>
      </c>
      <c r="FA43">
        <v>1.25</v>
      </c>
      <c r="FB43">
        <v>15</v>
      </c>
      <c r="FC43">
        <v>0</v>
      </c>
      <c r="FD43">
        <v>2.375</v>
      </c>
      <c r="FE43">
        <v>19</v>
      </c>
      <c r="FF43">
        <v>16.5</v>
      </c>
      <c r="FG43">
        <v>10</v>
      </c>
      <c r="FH43">
        <v>2.0144377666318353E-3</v>
      </c>
      <c r="FI43">
        <v>20</v>
      </c>
      <c r="FJ43">
        <v>-1.7647896316076654E-2</v>
      </c>
      <c r="FK43">
        <v>25</v>
      </c>
      <c r="FL43">
        <v>-0.20000000000000107</v>
      </c>
      <c r="FM43">
        <v>11</v>
      </c>
      <c r="FN43">
        <v>-2.9375</v>
      </c>
      <c r="FO43">
        <v>-1.125</v>
      </c>
      <c r="FP43">
        <v>1.3125</v>
      </c>
      <c r="FQ43">
        <v>-0.375</v>
      </c>
      <c r="FR43">
        <v>-1.75</v>
      </c>
      <c r="FS43">
        <v>0.8125</v>
      </c>
      <c r="FT43">
        <v>-0.5625</v>
      </c>
      <c r="FU43">
        <v>-22.3125</v>
      </c>
      <c r="FV43">
        <v>-0.375</v>
      </c>
      <c r="FW43">
        <v>-12.75</v>
      </c>
      <c r="FX43">
        <v>-1.3125</v>
      </c>
      <c r="FY43">
        <v>-7.875</v>
      </c>
      <c r="FZ43">
        <v>11</v>
      </c>
      <c r="GA43">
        <v>4.2425000000000006</v>
      </c>
      <c r="GB43">
        <v>2.1466250000000002</v>
      </c>
      <c r="GC43">
        <v>12.375</v>
      </c>
      <c r="GD43">
        <v>-4.2424999999999997</v>
      </c>
      <c r="GE43">
        <v>0.4342187500000001</v>
      </c>
      <c r="GF43">
        <v>5.34375</v>
      </c>
      <c r="GG43">
        <v>18.1875</v>
      </c>
      <c r="GH43">
        <v>-2.4312499999999995</v>
      </c>
      <c r="GI43">
        <v>-5.9375</v>
      </c>
      <c r="GJ43">
        <v>-2</v>
      </c>
      <c r="GK43">
        <v>0.625</v>
      </c>
    </row>
    <row r="44" spans="1:193" x14ac:dyDescent="0.2">
      <c r="A44" s="39">
        <v>43744</v>
      </c>
      <c r="B44" s="22" t="s">
        <v>381</v>
      </c>
      <c r="C44" s="41" t="s">
        <v>289</v>
      </c>
      <c r="D44" s="22" t="s">
        <v>288</v>
      </c>
      <c r="E44">
        <v>7.7</v>
      </c>
      <c r="F44">
        <v>3</v>
      </c>
      <c r="G44">
        <v>1.7</v>
      </c>
      <c r="H44">
        <f>4.9+2+1.8</f>
        <v>8.7000000000000011</v>
      </c>
      <c r="I44">
        <v>10.5</v>
      </c>
      <c r="J44">
        <v>55.5</v>
      </c>
      <c r="L44" s="1" t="s">
        <v>289</v>
      </c>
      <c r="M44">
        <v>22</v>
      </c>
      <c r="N44">
        <v>1.1337499999999991</v>
      </c>
      <c r="O44">
        <v>11</v>
      </c>
      <c r="P44">
        <v>11.5</v>
      </c>
      <c r="Q44">
        <v>19</v>
      </c>
      <c r="R44">
        <v>-0.28125000000000044</v>
      </c>
      <c r="S44">
        <v>4</v>
      </c>
      <c r="T44">
        <v>21.3125</v>
      </c>
      <c r="U44">
        <v>-2.1875</v>
      </c>
      <c r="V44">
        <v>23</v>
      </c>
      <c r="W44">
        <v>20.5</v>
      </c>
      <c r="X44">
        <v>18</v>
      </c>
      <c r="Y44">
        <v>0.3374999999999998</v>
      </c>
      <c r="Z44">
        <v>23</v>
      </c>
      <c r="AA44">
        <v>-9.8125</v>
      </c>
      <c r="AB44">
        <v>1.5625</v>
      </c>
      <c r="AC44">
        <v>18</v>
      </c>
      <c r="AD44">
        <v>18</v>
      </c>
      <c r="AE44">
        <v>21</v>
      </c>
      <c r="AF44">
        <v>3.0062499999999996</v>
      </c>
      <c r="AG44">
        <v>15</v>
      </c>
      <c r="AH44">
        <v>3.375</v>
      </c>
      <c r="AI44">
        <v>0.4375</v>
      </c>
      <c r="AJ44">
        <v>18</v>
      </c>
      <c r="AK44">
        <v>18.5</v>
      </c>
      <c r="AL44">
        <v>14</v>
      </c>
      <c r="AM44">
        <v>-3.1062500000000011</v>
      </c>
      <c r="AN44">
        <v>23</v>
      </c>
      <c r="AO44">
        <v>-22.375</v>
      </c>
      <c r="AP44">
        <v>-1.1875</v>
      </c>
      <c r="AQ44">
        <v>22</v>
      </c>
      <c r="AR44">
        <v>22</v>
      </c>
      <c r="AS44">
        <v>22</v>
      </c>
      <c r="AT44">
        <v>-6.2500000000000111E-2</v>
      </c>
      <c r="AU44">
        <v>22</v>
      </c>
      <c r="AV44">
        <v>-6.125</v>
      </c>
      <c r="AW44">
        <v>4.1875</v>
      </c>
      <c r="AX44">
        <v>12</v>
      </c>
      <c r="AY44">
        <v>12</v>
      </c>
      <c r="AZ44">
        <v>14</v>
      </c>
      <c r="BA44">
        <v>4.7625000000000011</v>
      </c>
      <c r="BB44">
        <v>10</v>
      </c>
      <c r="BC44">
        <v>0.125</v>
      </c>
      <c r="BD44">
        <v>0.125</v>
      </c>
      <c r="BE44">
        <v>7</v>
      </c>
      <c r="BF44">
        <v>6.5</v>
      </c>
      <c r="BG44">
        <v>8</v>
      </c>
      <c r="BH44">
        <v>2.4499999999999993</v>
      </c>
      <c r="BI44">
        <v>9.4375</v>
      </c>
      <c r="BJ44">
        <v>1.6875</v>
      </c>
      <c r="BK44">
        <v>19</v>
      </c>
      <c r="BL44">
        <v>19.5</v>
      </c>
      <c r="BM44">
        <v>24</v>
      </c>
      <c r="BN44">
        <v>-0.125</v>
      </c>
      <c r="BO44">
        <v>15</v>
      </c>
      <c r="BP44">
        <v>0.1875</v>
      </c>
      <c r="BQ44">
        <v>-2.0625</v>
      </c>
      <c r="BR44">
        <v>3</v>
      </c>
      <c r="BS44">
        <v>7.75</v>
      </c>
      <c r="BT44">
        <v>4</v>
      </c>
      <c r="BU44">
        <v>-3.9028860658478569E-2</v>
      </c>
      <c r="BV44">
        <v>8</v>
      </c>
      <c r="BW44">
        <v>-1.3698802886548504E-2</v>
      </c>
      <c r="BX44">
        <v>13</v>
      </c>
      <c r="BY44">
        <v>-12.831250000000002</v>
      </c>
      <c r="BZ44">
        <v>6</v>
      </c>
      <c r="CA44">
        <v>-0.6875</v>
      </c>
      <c r="CB44">
        <v>3.75</v>
      </c>
      <c r="CC44">
        <v>2.4375</v>
      </c>
      <c r="CD44">
        <v>0</v>
      </c>
      <c r="CE44">
        <v>2.9375</v>
      </c>
      <c r="CF44">
        <v>-24.625</v>
      </c>
      <c r="CG44">
        <v>23</v>
      </c>
      <c r="CH44">
        <v>0.75</v>
      </c>
      <c r="CI44">
        <v>3.8125</v>
      </c>
      <c r="CJ44">
        <v>17</v>
      </c>
      <c r="CK44">
        <v>1.0774999999999997</v>
      </c>
      <c r="CL44">
        <v>0.65612499999999963</v>
      </c>
      <c r="CM44">
        <v>-47.625</v>
      </c>
      <c r="CN44">
        <v>-1.0774999999999997</v>
      </c>
      <c r="CO44">
        <v>0.41906249999999956</v>
      </c>
      <c r="CP44">
        <v>-0.16250000000000153</v>
      </c>
      <c r="CQ44">
        <v>-25.125</v>
      </c>
      <c r="CR44">
        <v>5.6249999999999356E-2</v>
      </c>
      <c r="CS44">
        <v>11.5</v>
      </c>
      <c r="CT44">
        <v>5.125</v>
      </c>
      <c r="CU44">
        <v>-0.625</v>
      </c>
      <c r="CV44">
        <v>0.32062500000000016</v>
      </c>
      <c r="CW44">
        <v>0.21109375000000036</v>
      </c>
      <c r="CX44" t="s">
        <v>288</v>
      </c>
      <c r="CY44">
        <v>7</v>
      </c>
      <c r="CZ44">
        <v>-0.26500000000000012</v>
      </c>
      <c r="DA44">
        <v>3</v>
      </c>
      <c r="DB44">
        <v>3</v>
      </c>
      <c r="DC44">
        <v>3</v>
      </c>
      <c r="DD44">
        <v>3.8624999999999994</v>
      </c>
      <c r="DE44">
        <v>3</v>
      </c>
      <c r="DF44">
        <v>19.8125</v>
      </c>
      <c r="DG44">
        <v>0.46875</v>
      </c>
      <c r="DH44">
        <v>20</v>
      </c>
      <c r="DI44">
        <v>17.5</v>
      </c>
      <c r="DJ44">
        <v>5</v>
      </c>
      <c r="DK44">
        <v>0.71875</v>
      </c>
      <c r="DL44">
        <v>30</v>
      </c>
      <c r="DM44">
        <v>3.625</v>
      </c>
      <c r="DN44">
        <v>0.875</v>
      </c>
      <c r="DO44">
        <v>32</v>
      </c>
      <c r="DP44">
        <v>32</v>
      </c>
      <c r="DQ44">
        <v>32</v>
      </c>
      <c r="DR44">
        <v>0.32499999999999973</v>
      </c>
      <c r="DS44">
        <v>32</v>
      </c>
      <c r="DT44">
        <v>-9.5</v>
      </c>
      <c r="DU44">
        <v>0.25</v>
      </c>
      <c r="DV44">
        <v>24</v>
      </c>
      <c r="DW44">
        <v>25</v>
      </c>
      <c r="DX44">
        <v>23</v>
      </c>
      <c r="DY44">
        <v>1.7625000000000008</v>
      </c>
      <c r="DZ44">
        <v>27</v>
      </c>
      <c r="EA44">
        <v>22.625</v>
      </c>
      <c r="EB44">
        <v>0.5</v>
      </c>
      <c r="EC44">
        <v>13</v>
      </c>
      <c r="ED44">
        <v>12.5</v>
      </c>
      <c r="EE44">
        <v>12</v>
      </c>
      <c r="EF44">
        <v>0.73124999999999973</v>
      </c>
      <c r="EG44">
        <v>13</v>
      </c>
      <c r="EH44">
        <v>11.3125</v>
      </c>
      <c r="EI44">
        <v>0.375</v>
      </c>
      <c r="EJ44">
        <v>12</v>
      </c>
      <c r="EK44">
        <v>12</v>
      </c>
      <c r="EL44">
        <v>8</v>
      </c>
      <c r="EM44">
        <v>4.7187500000000027</v>
      </c>
      <c r="EN44">
        <v>16</v>
      </c>
      <c r="EO44">
        <v>5.3125</v>
      </c>
      <c r="EP44">
        <v>1.125</v>
      </c>
      <c r="EQ44">
        <v>2</v>
      </c>
      <c r="ER44">
        <v>2</v>
      </c>
      <c r="ES44">
        <v>2</v>
      </c>
      <c r="ET44">
        <v>-3.3812499999999996</v>
      </c>
      <c r="EU44">
        <v>2</v>
      </c>
      <c r="EV44">
        <v>-9.1875</v>
      </c>
      <c r="EW44">
        <v>0.75</v>
      </c>
      <c r="EX44">
        <v>20</v>
      </c>
      <c r="EY44">
        <v>21</v>
      </c>
      <c r="EZ44">
        <v>25</v>
      </c>
      <c r="FA44">
        <v>-0.3125</v>
      </c>
      <c r="FB44">
        <v>17</v>
      </c>
      <c r="FC44">
        <v>-0.125</v>
      </c>
      <c r="FD44">
        <v>-4.4375</v>
      </c>
      <c r="FE44">
        <v>2</v>
      </c>
      <c r="FF44">
        <v>7.25</v>
      </c>
      <c r="FG44">
        <v>4</v>
      </c>
      <c r="FH44">
        <v>9.304079698647813E-3</v>
      </c>
      <c r="FI44">
        <v>13</v>
      </c>
      <c r="FJ44">
        <v>1.0771103366013234E-2</v>
      </c>
      <c r="FK44">
        <v>3</v>
      </c>
      <c r="FL44">
        <v>7.6125000000000025</v>
      </c>
      <c r="FM44">
        <v>9</v>
      </c>
      <c r="FN44">
        <v>2.5625</v>
      </c>
      <c r="FO44">
        <v>2.75</v>
      </c>
      <c r="FP44">
        <v>-1.625</v>
      </c>
      <c r="FQ44">
        <v>-1</v>
      </c>
      <c r="FR44">
        <v>0.8125</v>
      </c>
      <c r="FS44">
        <v>-0.3125</v>
      </c>
      <c r="FT44">
        <v>-0.875</v>
      </c>
      <c r="FU44">
        <v>27.3125</v>
      </c>
      <c r="FV44">
        <v>20.25</v>
      </c>
      <c r="FW44">
        <v>15.375</v>
      </c>
      <c r="FX44">
        <v>-5.1875</v>
      </c>
      <c r="FY44">
        <v>-3.125</v>
      </c>
      <c r="FZ44">
        <v>26</v>
      </c>
      <c r="GA44">
        <v>-4.8462499999999995</v>
      </c>
      <c r="GB44">
        <v>-2.4561249999999992</v>
      </c>
      <c r="GC44">
        <v>4.875</v>
      </c>
      <c r="GD44">
        <v>4.8462499999999995</v>
      </c>
      <c r="GE44">
        <v>0.43015625000000002</v>
      </c>
      <c r="GF44">
        <v>2.8187500000000001</v>
      </c>
      <c r="GG44">
        <v>24.4375</v>
      </c>
      <c r="GH44">
        <v>4.5812499999999989</v>
      </c>
      <c r="GI44">
        <v>23.4375</v>
      </c>
      <c r="GJ44">
        <v>1.875</v>
      </c>
      <c r="GK44">
        <v>1.34375</v>
      </c>
    </row>
    <row r="45" spans="1:193" x14ac:dyDescent="0.2">
      <c r="A45" s="39">
        <v>43744</v>
      </c>
      <c r="B45" s="26" t="s">
        <v>381</v>
      </c>
      <c r="C45" s="41" t="s">
        <v>297</v>
      </c>
      <c r="D45" s="26" t="s">
        <v>301</v>
      </c>
      <c r="E45">
        <v>15.2</v>
      </c>
      <c r="F45">
        <v>39.4</v>
      </c>
      <c r="G45">
        <v>3.6</v>
      </c>
      <c r="H45" s="14">
        <f>8.7+1.4</f>
        <v>10.1</v>
      </c>
      <c r="I45">
        <v>3</v>
      </c>
      <c r="J45">
        <v>41</v>
      </c>
      <c r="L45" s="1" t="s">
        <v>297</v>
      </c>
      <c r="M45">
        <v>27</v>
      </c>
      <c r="N45">
        <v>2.6549999999999998</v>
      </c>
      <c r="O45">
        <v>10</v>
      </c>
      <c r="P45">
        <v>9.5</v>
      </c>
      <c r="Q45">
        <v>3</v>
      </c>
      <c r="R45">
        <v>-1.4250000000000003</v>
      </c>
      <c r="S45">
        <v>16</v>
      </c>
      <c r="T45">
        <v>21.1875</v>
      </c>
      <c r="U45">
        <v>1</v>
      </c>
      <c r="V45">
        <v>28</v>
      </c>
      <c r="W45">
        <v>28.5</v>
      </c>
      <c r="X45">
        <v>26</v>
      </c>
      <c r="Y45">
        <v>-2.25</v>
      </c>
      <c r="Z45">
        <v>31</v>
      </c>
      <c r="AA45">
        <v>-7</v>
      </c>
      <c r="AB45">
        <v>-1.4375</v>
      </c>
      <c r="AC45">
        <v>31</v>
      </c>
      <c r="AD45">
        <v>31.5</v>
      </c>
      <c r="AE45">
        <v>32</v>
      </c>
      <c r="AF45">
        <v>-5.9437500000000005</v>
      </c>
      <c r="AG45">
        <v>31</v>
      </c>
      <c r="AH45">
        <v>-27.125</v>
      </c>
      <c r="AI45">
        <v>-1.5</v>
      </c>
      <c r="AJ45">
        <v>7</v>
      </c>
      <c r="AK45">
        <v>8</v>
      </c>
      <c r="AL45">
        <v>4</v>
      </c>
      <c r="AM45">
        <v>6.3062500000000004</v>
      </c>
      <c r="AN45">
        <v>12</v>
      </c>
      <c r="AO45">
        <v>24.5</v>
      </c>
      <c r="AP45">
        <v>0.5625</v>
      </c>
      <c r="AQ45">
        <v>3</v>
      </c>
      <c r="AR45">
        <v>3</v>
      </c>
      <c r="AS45">
        <v>3</v>
      </c>
      <c r="AT45">
        <v>3.0625</v>
      </c>
      <c r="AU45">
        <v>3</v>
      </c>
      <c r="AV45">
        <v>19.1875</v>
      </c>
      <c r="AW45">
        <v>-0.625</v>
      </c>
      <c r="AX45">
        <v>13</v>
      </c>
      <c r="AY45">
        <v>12.5</v>
      </c>
      <c r="AZ45">
        <v>10</v>
      </c>
      <c r="BA45">
        <v>-5.2437500000000004</v>
      </c>
      <c r="BB45">
        <v>15</v>
      </c>
      <c r="BC45">
        <v>-26.1875</v>
      </c>
      <c r="BD45">
        <v>-1.3125</v>
      </c>
      <c r="BE45">
        <v>32</v>
      </c>
      <c r="BF45">
        <v>31</v>
      </c>
      <c r="BG45">
        <v>32</v>
      </c>
      <c r="BH45">
        <v>-0.28750000000000009</v>
      </c>
      <c r="BI45">
        <v>-13.1875</v>
      </c>
      <c r="BJ45">
        <v>-0.25</v>
      </c>
      <c r="BK45">
        <v>27</v>
      </c>
      <c r="BL45">
        <v>27</v>
      </c>
      <c r="BM45">
        <v>27</v>
      </c>
      <c r="BN45">
        <v>1.3125</v>
      </c>
      <c r="BO45">
        <v>27</v>
      </c>
      <c r="BP45">
        <v>0.4375</v>
      </c>
      <c r="BQ45">
        <v>0.1875</v>
      </c>
      <c r="BR45">
        <v>7</v>
      </c>
      <c r="BS45">
        <v>11.25</v>
      </c>
      <c r="BT45">
        <v>7</v>
      </c>
      <c r="BU45">
        <v>4.4411077337813756E-2</v>
      </c>
      <c r="BV45">
        <v>17</v>
      </c>
      <c r="BW45">
        <v>4.0619070604809952E-3</v>
      </c>
      <c r="BX45">
        <v>18</v>
      </c>
      <c r="BY45">
        <v>5.6625000000000014</v>
      </c>
      <c r="BZ45">
        <v>3</v>
      </c>
      <c r="CA45">
        <v>-1.625</v>
      </c>
      <c r="CB45">
        <v>-4.5625</v>
      </c>
      <c r="CC45">
        <v>0.5625</v>
      </c>
      <c r="CD45">
        <v>0</v>
      </c>
      <c r="CE45">
        <v>-2.6875</v>
      </c>
      <c r="CF45">
        <v>-11.125</v>
      </c>
      <c r="CG45">
        <v>6.3125</v>
      </c>
      <c r="CH45">
        <v>-3.8125</v>
      </c>
      <c r="CI45">
        <v>5.9375</v>
      </c>
      <c r="CJ45">
        <v>6</v>
      </c>
      <c r="CK45">
        <v>6.33</v>
      </c>
      <c r="CL45">
        <v>2.9960000000000004</v>
      </c>
      <c r="CM45">
        <v>-17.4375</v>
      </c>
      <c r="CN45">
        <v>-6.33</v>
      </c>
      <c r="CO45">
        <v>0.42874999999999991</v>
      </c>
      <c r="CP45">
        <v>3.4249999999999998</v>
      </c>
      <c r="CQ45">
        <v>16.5625</v>
      </c>
      <c r="CR45">
        <v>-3.6750000000000003</v>
      </c>
      <c r="CS45">
        <v>14.1875</v>
      </c>
      <c r="CT45">
        <v>-1.8125</v>
      </c>
      <c r="CU45">
        <v>-0.4375</v>
      </c>
      <c r="CV45">
        <v>-1.8827343749999996</v>
      </c>
      <c r="CW45">
        <v>-1.2610937499999999</v>
      </c>
      <c r="CX45" t="s">
        <v>301</v>
      </c>
      <c r="CY45">
        <v>14</v>
      </c>
      <c r="CZ45">
        <v>-6.6787499999999991</v>
      </c>
      <c r="DA45">
        <v>7</v>
      </c>
      <c r="DB45">
        <v>10</v>
      </c>
      <c r="DC45">
        <v>5</v>
      </c>
      <c r="DD45">
        <v>4.3750000000000178E-2</v>
      </c>
      <c r="DE45">
        <v>15</v>
      </c>
      <c r="DF45">
        <v>9.25</v>
      </c>
      <c r="DG45">
        <v>0.5625</v>
      </c>
      <c r="DH45">
        <v>2</v>
      </c>
      <c r="DI45">
        <v>3</v>
      </c>
      <c r="DJ45">
        <v>4</v>
      </c>
      <c r="DK45">
        <v>2.2750000000000004</v>
      </c>
      <c r="DL45">
        <v>2</v>
      </c>
      <c r="DM45">
        <v>6.6875</v>
      </c>
      <c r="DN45">
        <v>-0.375</v>
      </c>
      <c r="DO45">
        <v>20</v>
      </c>
      <c r="DP45">
        <v>16.5</v>
      </c>
      <c r="DQ45">
        <v>16</v>
      </c>
      <c r="DR45">
        <v>-8.5874999999999986</v>
      </c>
      <c r="DS45">
        <v>17</v>
      </c>
      <c r="DT45">
        <v>-36.25</v>
      </c>
      <c r="DU45">
        <v>-1.3125</v>
      </c>
      <c r="DV45">
        <v>7</v>
      </c>
      <c r="DW45">
        <v>6.5</v>
      </c>
      <c r="DX45">
        <v>8</v>
      </c>
      <c r="DY45">
        <v>1.3562500000000004</v>
      </c>
      <c r="DZ45">
        <v>5</v>
      </c>
      <c r="EA45">
        <v>-1.625</v>
      </c>
      <c r="EB45">
        <v>1.8125</v>
      </c>
      <c r="EC45">
        <v>11</v>
      </c>
      <c r="ED45">
        <v>7.5</v>
      </c>
      <c r="EE45">
        <v>12</v>
      </c>
      <c r="EF45">
        <v>-4.8</v>
      </c>
      <c r="EG45">
        <v>3</v>
      </c>
      <c r="EH45">
        <v>-21.5625</v>
      </c>
      <c r="EI45">
        <v>-1.25</v>
      </c>
      <c r="EJ45">
        <v>18</v>
      </c>
      <c r="EK45">
        <v>18</v>
      </c>
      <c r="EL45">
        <v>22</v>
      </c>
      <c r="EM45">
        <v>-7.7062500000000016</v>
      </c>
      <c r="EN45">
        <v>14</v>
      </c>
      <c r="EO45">
        <v>-39.5625</v>
      </c>
      <c r="EP45">
        <v>0</v>
      </c>
      <c r="EQ45">
        <v>12</v>
      </c>
      <c r="ER45">
        <v>13</v>
      </c>
      <c r="ES45">
        <v>20</v>
      </c>
      <c r="ET45">
        <v>-3.5187500000000012</v>
      </c>
      <c r="EU45">
        <v>6</v>
      </c>
      <c r="EV45">
        <v>-20.6875</v>
      </c>
      <c r="EW45">
        <v>-1.8125</v>
      </c>
      <c r="EX45">
        <v>10</v>
      </c>
      <c r="EY45">
        <v>11.5</v>
      </c>
      <c r="EZ45">
        <v>16</v>
      </c>
      <c r="FA45">
        <v>-0.125</v>
      </c>
      <c r="FB45">
        <v>7</v>
      </c>
      <c r="FC45">
        <v>0.3125</v>
      </c>
      <c r="FD45">
        <v>-0.4375</v>
      </c>
      <c r="FE45">
        <v>18</v>
      </c>
      <c r="FF45">
        <v>16.25</v>
      </c>
      <c r="FG45">
        <v>18</v>
      </c>
      <c r="FH45">
        <v>-1.2107173340031321E-2</v>
      </c>
      <c r="FI45">
        <v>16</v>
      </c>
      <c r="FJ45">
        <v>1.8024688447968378E-2</v>
      </c>
      <c r="FK45">
        <v>8</v>
      </c>
      <c r="FL45">
        <v>-5.4999999999999982</v>
      </c>
      <c r="FM45">
        <v>23</v>
      </c>
      <c r="FN45">
        <v>-0.3125</v>
      </c>
      <c r="FO45">
        <v>-2.9375</v>
      </c>
      <c r="FP45">
        <v>1.75</v>
      </c>
      <c r="FQ45">
        <v>0.875</v>
      </c>
      <c r="FR45">
        <v>0.6875</v>
      </c>
      <c r="FS45">
        <v>-3.1875</v>
      </c>
      <c r="FT45">
        <v>-1.3125</v>
      </c>
      <c r="FU45">
        <v>-70.75</v>
      </c>
      <c r="FV45">
        <v>-95.1875</v>
      </c>
      <c r="FW45">
        <v>15.875</v>
      </c>
      <c r="FX45">
        <v>6.25E-2</v>
      </c>
      <c r="FY45">
        <v>8.5</v>
      </c>
      <c r="FZ45">
        <v>29</v>
      </c>
      <c r="GA45">
        <v>-8.9974999999999987</v>
      </c>
      <c r="GB45">
        <v>-5.6051249999999992</v>
      </c>
      <c r="GC45">
        <v>-111.0625</v>
      </c>
      <c r="GD45">
        <v>8.9974999999999987</v>
      </c>
      <c r="GE45">
        <v>-2.5043749999999996</v>
      </c>
      <c r="GF45">
        <v>-12.031249999999998</v>
      </c>
      <c r="GG45">
        <v>-59.4375</v>
      </c>
      <c r="GH45">
        <v>2.3187500000000005</v>
      </c>
      <c r="GI45">
        <v>15.9375</v>
      </c>
      <c r="GJ45">
        <v>-2.5625</v>
      </c>
      <c r="GK45">
        <v>0.1875</v>
      </c>
    </row>
    <row r="46" spans="1:193" x14ac:dyDescent="0.2">
      <c r="A46" s="39">
        <v>43744</v>
      </c>
      <c r="B46" s="22" t="s">
        <v>381</v>
      </c>
      <c r="C46" s="41" t="s">
        <v>288</v>
      </c>
      <c r="D46" s="22" t="s">
        <v>289</v>
      </c>
      <c r="E46">
        <v>25.3</v>
      </c>
      <c r="F46">
        <v>6.1</v>
      </c>
      <c r="G46" s="14">
        <v>11.3</v>
      </c>
      <c r="H46">
        <v>11</v>
      </c>
      <c r="I46">
        <v>-10.5</v>
      </c>
      <c r="J46">
        <v>55.5</v>
      </c>
      <c r="L46" s="1" t="s">
        <v>288</v>
      </c>
      <c r="M46">
        <v>8</v>
      </c>
      <c r="N46">
        <v>8.4712499999999995</v>
      </c>
      <c r="O46">
        <v>32</v>
      </c>
      <c r="P46">
        <v>30</v>
      </c>
      <c r="Q46">
        <v>28</v>
      </c>
      <c r="R46">
        <v>0.7874999999999992</v>
      </c>
      <c r="S46">
        <v>32</v>
      </c>
      <c r="T46">
        <v>-21.1875</v>
      </c>
      <c r="U46">
        <v>0.9375</v>
      </c>
      <c r="V46">
        <v>17</v>
      </c>
      <c r="W46">
        <v>16.5</v>
      </c>
      <c r="X46">
        <v>19</v>
      </c>
      <c r="Y46">
        <v>4.4937500000000004</v>
      </c>
      <c r="Z46">
        <v>14</v>
      </c>
      <c r="AA46">
        <v>14.25</v>
      </c>
      <c r="AB46">
        <v>1</v>
      </c>
      <c r="AC46">
        <v>8</v>
      </c>
      <c r="AD46">
        <v>7</v>
      </c>
      <c r="AE46">
        <v>6</v>
      </c>
      <c r="AF46">
        <v>5.4</v>
      </c>
      <c r="AG46">
        <v>8</v>
      </c>
      <c r="AH46">
        <v>29.6875</v>
      </c>
      <c r="AI46">
        <v>1.6875</v>
      </c>
      <c r="AJ46">
        <v>26</v>
      </c>
      <c r="AK46">
        <v>26.5</v>
      </c>
      <c r="AL46">
        <v>27</v>
      </c>
      <c r="AM46">
        <v>1.2062500000000003</v>
      </c>
      <c r="AN46">
        <v>26</v>
      </c>
      <c r="AO46">
        <v>-7.5625</v>
      </c>
      <c r="AP46">
        <v>-1.6875</v>
      </c>
      <c r="AQ46">
        <v>9</v>
      </c>
      <c r="AR46">
        <v>9.5</v>
      </c>
      <c r="AS46">
        <v>11</v>
      </c>
      <c r="AT46">
        <v>3.5000000000000004</v>
      </c>
      <c r="AU46">
        <v>8</v>
      </c>
      <c r="AV46">
        <v>13.9375</v>
      </c>
      <c r="AW46">
        <v>0</v>
      </c>
      <c r="AX46">
        <v>2</v>
      </c>
      <c r="AY46">
        <v>3.5</v>
      </c>
      <c r="AZ46">
        <v>4</v>
      </c>
      <c r="BA46">
        <v>5.5625</v>
      </c>
      <c r="BB46">
        <v>3</v>
      </c>
      <c r="BC46">
        <v>31.25</v>
      </c>
      <c r="BD46">
        <v>1.4375</v>
      </c>
      <c r="BE46">
        <v>3</v>
      </c>
      <c r="BF46">
        <v>3.5</v>
      </c>
      <c r="BG46">
        <v>4</v>
      </c>
      <c r="BH46">
        <v>7.28125</v>
      </c>
      <c r="BI46">
        <v>43.125</v>
      </c>
      <c r="BJ46">
        <v>2.6875</v>
      </c>
      <c r="BK46">
        <v>15</v>
      </c>
      <c r="BL46">
        <v>14.5</v>
      </c>
      <c r="BM46">
        <v>12</v>
      </c>
      <c r="BN46">
        <v>2.125</v>
      </c>
      <c r="BO46">
        <v>17</v>
      </c>
      <c r="BP46">
        <v>0.125</v>
      </c>
      <c r="BQ46">
        <v>2.5625</v>
      </c>
      <c r="BR46">
        <v>29</v>
      </c>
      <c r="BS46">
        <v>25</v>
      </c>
      <c r="BT46">
        <v>26</v>
      </c>
      <c r="BU46">
        <v>-6.0474799440369556E-2</v>
      </c>
      <c r="BV46">
        <v>23</v>
      </c>
      <c r="BW46">
        <v>-3.2841030256247732E-2</v>
      </c>
      <c r="BX46">
        <v>25</v>
      </c>
      <c r="BY46">
        <v>10.856249999999999</v>
      </c>
      <c r="BZ46">
        <v>26</v>
      </c>
      <c r="CA46">
        <v>-4.4375</v>
      </c>
      <c r="CB46">
        <v>1.5625</v>
      </c>
      <c r="CC46">
        <v>7.8125</v>
      </c>
      <c r="CD46">
        <v>1.3125</v>
      </c>
      <c r="CE46">
        <v>78.8125</v>
      </c>
      <c r="CF46">
        <v>82.25</v>
      </c>
      <c r="CG46">
        <v>-8.1875</v>
      </c>
      <c r="CH46">
        <v>1.6875</v>
      </c>
      <c r="CI46">
        <v>3.0625</v>
      </c>
      <c r="CJ46">
        <v>13</v>
      </c>
      <c r="CK46">
        <v>3.1899999999999995</v>
      </c>
      <c r="CL46">
        <v>2.5311250000000003</v>
      </c>
      <c r="CM46">
        <v>90.4375</v>
      </c>
      <c r="CN46">
        <v>-3.1899999999999995</v>
      </c>
      <c r="CO46">
        <v>4.1581250000000001</v>
      </c>
      <c r="CP46">
        <v>10.106250000000001</v>
      </c>
      <c r="CQ46">
        <v>36.0625</v>
      </c>
      <c r="CR46">
        <v>5.28125</v>
      </c>
      <c r="CS46">
        <v>-6.9375</v>
      </c>
      <c r="CT46">
        <v>2.6875</v>
      </c>
      <c r="CU46">
        <v>1.9375</v>
      </c>
      <c r="CV46">
        <v>0.32062500000000016</v>
      </c>
      <c r="CW46">
        <v>0.43015625000000002</v>
      </c>
      <c r="CX46" t="s">
        <v>289</v>
      </c>
      <c r="CY46">
        <v>25</v>
      </c>
      <c r="CZ46">
        <v>0.63874999999999993</v>
      </c>
      <c r="DA46">
        <v>20</v>
      </c>
      <c r="DB46">
        <v>21</v>
      </c>
      <c r="DC46">
        <v>17</v>
      </c>
      <c r="DD46">
        <v>3.1875</v>
      </c>
      <c r="DE46">
        <v>25</v>
      </c>
      <c r="DF46">
        <v>14.4375</v>
      </c>
      <c r="DG46">
        <v>0.25</v>
      </c>
      <c r="DH46">
        <v>16</v>
      </c>
      <c r="DI46">
        <v>16.5</v>
      </c>
      <c r="DJ46">
        <v>26</v>
      </c>
      <c r="DK46">
        <v>-1.4937499999999999</v>
      </c>
      <c r="DL46">
        <v>7</v>
      </c>
      <c r="DM46">
        <v>1</v>
      </c>
      <c r="DN46">
        <v>-0.4375</v>
      </c>
      <c r="DO46">
        <v>24</v>
      </c>
      <c r="DP46">
        <v>20</v>
      </c>
      <c r="DQ46">
        <v>21</v>
      </c>
      <c r="DR46">
        <v>1.6125000000000009</v>
      </c>
      <c r="DS46">
        <v>19</v>
      </c>
      <c r="DT46">
        <v>8.875</v>
      </c>
      <c r="DU46">
        <v>-0.1875</v>
      </c>
      <c r="DV46">
        <v>5</v>
      </c>
      <c r="DW46">
        <v>5.5</v>
      </c>
      <c r="DX46">
        <v>7</v>
      </c>
      <c r="DY46">
        <v>-6.7</v>
      </c>
      <c r="DZ46">
        <v>4</v>
      </c>
      <c r="EA46">
        <v>-33.25</v>
      </c>
      <c r="EB46">
        <v>-2.3125</v>
      </c>
      <c r="EC46">
        <v>29</v>
      </c>
      <c r="ED46">
        <v>26</v>
      </c>
      <c r="EE46">
        <v>24</v>
      </c>
      <c r="EF46">
        <v>1.6750000000000003</v>
      </c>
      <c r="EG46">
        <v>28</v>
      </c>
      <c r="EH46">
        <v>-3.3125</v>
      </c>
      <c r="EI46">
        <v>-1.3125</v>
      </c>
      <c r="EJ46">
        <v>17</v>
      </c>
      <c r="EK46">
        <v>16.5</v>
      </c>
      <c r="EL46">
        <v>15</v>
      </c>
      <c r="EM46">
        <v>1.1625000000000005</v>
      </c>
      <c r="EN46">
        <v>18</v>
      </c>
      <c r="EO46">
        <v>11.625</v>
      </c>
      <c r="EP46">
        <v>-0.125</v>
      </c>
      <c r="EQ46">
        <v>27</v>
      </c>
      <c r="ER46">
        <v>26</v>
      </c>
      <c r="ES46">
        <v>27</v>
      </c>
      <c r="ET46">
        <v>2.5812500000000016</v>
      </c>
      <c r="EU46">
        <v>25</v>
      </c>
      <c r="EV46">
        <v>0</v>
      </c>
      <c r="EW46">
        <v>0.25</v>
      </c>
      <c r="EX46">
        <v>5</v>
      </c>
      <c r="EY46">
        <v>4.5</v>
      </c>
      <c r="EZ46">
        <v>5</v>
      </c>
      <c r="FA46">
        <v>0.1875</v>
      </c>
      <c r="FB46">
        <v>4</v>
      </c>
      <c r="FC46">
        <v>-0.1875</v>
      </c>
      <c r="FD46">
        <v>-0.6875</v>
      </c>
      <c r="FE46">
        <v>28</v>
      </c>
      <c r="FF46">
        <v>23</v>
      </c>
      <c r="FG46">
        <v>27</v>
      </c>
      <c r="FH46">
        <v>-4.2868291082606216E-2</v>
      </c>
      <c r="FI46">
        <v>18</v>
      </c>
      <c r="FJ46">
        <v>-4.3292445252348065E-3</v>
      </c>
      <c r="FK46">
        <v>26</v>
      </c>
      <c r="FL46">
        <v>11.875000000000004</v>
      </c>
      <c r="FM46">
        <v>21</v>
      </c>
      <c r="FN46">
        <v>-2.0625</v>
      </c>
      <c r="FO46">
        <v>-3.9375</v>
      </c>
      <c r="FP46">
        <v>0.375</v>
      </c>
      <c r="FQ46">
        <v>-0.625</v>
      </c>
      <c r="FR46">
        <v>-4</v>
      </c>
      <c r="FS46">
        <v>3.3125</v>
      </c>
      <c r="FT46">
        <v>0.75</v>
      </c>
      <c r="FU46">
        <v>-2.6875</v>
      </c>
      <c r="FV46">
        <v>-30.4375</v>
      </c>
      <c r="FW46">
        <v>17.375</v>
      </c>
      <c r="FX46">
        <v>13.1875</v>
      </c>
      <c r="FY46">
        <v>-2.8125</v>
      </c>
      <c r="FZ46">
        <v>20</v>
      </c>
      <c r="GA46">
        <v>-1.0550000000000002</v>
      </c>
      <c r="GB46">
        <v>-0.88537499999999958</v>
      </c>
      <c r="GC46">
        <v>-47.8125</v>
      </c>
      <c r="GD46">
        <v>1.0550000000000002</v>
      </c>
      <c r="GE46">
        <v>0.21109375000000036</v>
      </c>
      <c r="GF46">
        <v>-3.4124999999999992</v>
      </c>
      <c r="GG46">
        <v>-27.6875</v>
      </c>
      <c r="GH46">
        <v>1.6937500000000001</v>
      </c>
      <c r="GI46">
        <v>15.4375</v>
      </c>
      <c r="GJ46">
        <v>-3.5625</v>
      </c>
      <c r="GK46">
        <v>-0.1875</v>
      </c>
    </row>
    <row r="47" spans="1:193" x14ac:dyDescent="0.2">
      <c r="A47" s="39">
        <v>43744</v>
      </c>
      <c r="B47" s="22" t="s">
        <v>381</v>
      </c>
      <c r="C47" s="41" t="s">
        <v>303</v>
      </c>
      <c r="D47" s="22" t="s">
        <v>265</v>
      </c>
      <c r="E47" s="3">
        <v>2.2000000000000002</v>
      </c>
      <c r="F47" s="3">
        <v>7.2</v>
      </c>
      <c r="G47" s="3">
        <v>3.1</v>
      </c>
      <c r="H47">
        <f>8.6+7.9+4.2</f>
        <v>20.7</v>
      </c>
      <c r="I47">
        <v>6.5</v>
      </c>
      <c r="J47">
        <v>38.5</v>
      </c>
      <c r="L47" s="1" t="s">
        <v>303</v>
      </c>
      <c r="M47">
        <v>29</v>
      </c>
      <c r="N47">
        <v>-3.5562499999999986</v>
      </c>
      <c r="O47">
        <v>7</v>
      </c>
      <c r="P47">
        <v>7.5</v>
      </c>
      <c r="Q47">
        <v>12</v>
      </c>
      <c r="R47">
        <v>-5.4375</v>
      </c>
      <c r="S47">
        <v>3</v>
      </c>
      <c r="T47">
        <v>-5.875</v>
      </c>
      <c r="U47">
        <v>-2.125</v>
      </c>
      <c r="V47">
        <v>22</v>
      </c>
      <c r="W47">
        <v>19.5</v>
      </c>
      <c r="X47">
        <v>17</v>
      </c>
      <c r="Y47">
        <v>-2.53125</v>
      </c>
      <c r="Z47">
        <v>22</v>
      </c>
      <c r="AA47">
        <v>-14.25</v>
      </c>
      <c r="AB47">
        <v>-6.25E-2</v>
      </c>
      <c r="AC47">
        <v>30</v>
      </c>
      <c r="AD47">
        <v>30.5</v>
      </c>
      <c r="AE47">
        <v>31</v>
      </c>
      <c r="AF47">
        <v>0.39999999999999947</v>
      </c>
      <c r="AG47">
        <v>30</v>
      </c>
      <c r="AH47">
        <v>-10.125</v>
      </c>
      <c r="AI47">
        <v>-1.25</v>
      </c>
      <c r="AJ47">
        <v>24</v>
      </c>
      <c r="AK47">
        <v>23</v>
      </c>
      <c r="AL47">
        <v>22</v>
      </c>
      <c r="AM47">
        <v>-3.6937499999999996</v>
      </c>
      <c r="AN47">
        <v>24</v>
      </c>
      <c r="AO47">
        <v>-21.8125</v>
      </c>
      <c r="AP47">
        <v>-0.1875</v>
      </c>
      <c r="AQ47">
        <v>25</v>
      </c>
      <c r="AR47">
        <v>25</v>
      </c>
      <c r="AS47">
        <v>25</v>
      </c>
      <c r="AT47">
        <v>0.66249999999999987</v>
      </c>
      <c r="AU47">
        <v>25</v>
      </c>
      <c r="AV47">
        <v>-14.8125</v>
      </c>
      <c r="AW47">
        <v>-0.375</v>
      </c>
      <c r="AX47">
        <v>24</v>
      </c>
      <c r="AY47">
        <v>25</v>
      </c>
      <c r="AZ47">
        <v>27</v>
      </c>
      <c r="BA47">
        <v>-2.118749999999999</v>
      </c>
      <c r="BB47">
        <v>23</v>
      </c>
      <c r="BC47">
        <v>-23.0625</v>
      </c>
      <c r="BD47">
        <v>-0.1875</v>
      </c>
      <c r="BE47">
        <v>5</v>
      </c>
      <c r="BF47">
        <v>6</v>
      </c>
      <c r="BG47">
        <v>6</v>
      </c>
      <c r="BH47">
        <v>7.8062500000000004</v>
      </c>
      <c r="BI47">
        <v>38.6875</v>
      </c>
      <c r="BJ47">
        <v>3.125</v>
      </c>
      <c r="BK47">
        <v>19</v>
      </c>
      <c r="BL47">
        <v>19.5</v>
      </c>
      <c r="BM47">
        <v>26</v>
      </c>
      <c r="BN47">
        <v>-2.6875</v>
      </c>
      <c r="BO47">
        <v>13</v>
      </c>
      <c r="BP47">
        <v>-0.6875</v>
      </c>
      <c r="BQ47">
        <v>-0.8125</v>
      </c>
      <c r="BR47">
        <v>19</v>
      </c>
      <c r="BS47">
        <v>17.25</v>
      </c>
      <c r="BT47">
        <v>14</v>
      </c>
      <c r="BU47">
        <v>-8.2473910443931306E-2</v>
      </c>
      <c r="BV47">
        <v>21</v>
      </c>
      <c r="BW47">
        <v>-4.7636284090154957E-3</v>
      </c>
      <c r="BX47">
        <v>32</v>
      </c>
      <c r="BY47">
        <v>2.2312500000000028</v>
      </c>
      <c r="BZ47">
        <v>2</v>
      </c>
      <c r="CA47">
        <v>-6.25E-2</v>
      </c>
      <c r="CB47">
        <v>-3.0625</v>
      </c>
      <c r="CC47">
        <v>-3.5625</v>
      </c>
      <c r="CD47">
        <v>1.3125</v>
      </c>
      <c r="CE47">
        <v>-25.625</v>
      </c>
      <c r="CF47">
        <v>-20</v>
      </c>
      <c r="CG47">
        <v>-10.625</v>
      </c>
      <c r="CH47">
        <v>10.6875</v>
      </c>
      <c r="CI47">
        <v>-5.6875</v>
      </c>
      <c r="CJ47">
        <v>9</v>
      </c>
      <c r="CK47">
        <v>4.4125000000000014</v>
      </c>
      <c r="CL47">
        <v>4.3081250000000004</v>
      </c>
      <c r="CM47">
        <v>-9.375</v>
      </c>
      <c r="CN47">
        <v>-4.4125000000000014</v>
      </c>
      <c r="CO47">
        <v>-1.1296875</v>
      </c>
      <c r="CP47">
        <v>-2.6312500000000005</v>
      </c>
      <c r="CQ47">
        <v>-46.75</v>
      </c>
      <c r="CR47">
        <v>-7.96875</v>
      </c>
      <c r="CS47">
        <v>-20.125</v>
      </c>
      <c r="CT47">
        <v>1.3125</v>
      </c>
      <c r="CU47">
        <v>-2.1875</v>
      </c>
      <c r="CV47">
        <v>-0.49359374999999994</v>
      </c>
      <c r="CW47">
        <v>0.16265625000000011</v>
      </c>
      <c r="CX47" t="s">
        <v>265</v>
      </c>
      <c r="CY47">
        <v>29</v>
      </c>
      <c r="CZ47">
        <v>-1.5175000000000001</v>
      </c>
      <c r="DA47">
        <v>12</v>
      </c>
      <c r="DB47">
        <v>11.5</v>
      </c>
      <c r="DC47">
        <v>15</v>
      </c>
      <c r="DD47">
        <v>-6.2</v>
      </c>
      <c r="DE47">
        <v>8</v>
      </c>
      <c r="DF47">
        <v>-21.125</v>
      </c>
      <c r="DG47">
        <v>1</v>
      </c>
      <c r="DH47">
        <v>14</v>
      </c>
      <c r="DI47">
        <v>15</v>
      </c>
      <c r="DJ47">
        <v>14</v>
      </c>
      <c r="DK47">
        <v>6.8750000000000089E-2</v>
      </c>
      <c r="DL47">
        <v>16</v>
      </c>
      <c r="DM47">
        <v>-6.6875</v>
      </c>
      <c r="DN47">
        <v>0.1875</v>
      </c>
      <c r="DO47">
        <v>25</v>
      </c>
      <c r="DP47">
        <v>20</v>
      </c>
      <c r="DQ47">
        <v>19</v>
      </c>
      <c r="DR47">
        <v>-8.5</v>
      </c>
      <c r="DS47">
        <v>21</v>
      </c>
      <c r="DT47">
        <v>-37.6875</v>
      </c>
      <c r="DU47">
        <v>-2.3125</v>
      </c>
      <c r="DV47">
        <v>28</v>
      </c>
      <c r="DW47">
        <v>27</v>
      </c>
      <c r="DX47">
        <v>28</v>
      </c>
      <c r="DY47">
        <v>7.6624999999999996</v>
      </c>
      <c r="DZ47">
        <v>26</v>
      </c>
      <c r="EA47">
        <v>30.9375</v>
      </c>
      <c r="EB47">
        <v>2.25</v>
      </c>
      <c r="EC47">
        <v>20</v>
      </c>
      <c r="ED47">
        <v>19.5</v>
      </c>
      <c r="EE47">
        <v>20</v>
      </c>
      <c r="EF47">
        <v>-0.89999999999999969</v>
      </c>
      <c r="EG47">
        <v>19</v>
      </c>
      <c r="EH47">
        <v>-3.1875</v>
      </c>
      <c r="EI47">
        <v>0.75</v>
      </c>
      <c r="EJ47">
        <v>21</v>
      </c>
      <c r="EK47">
        <v>21.5</v>
      </c>
      <c r="EL47">
        <v>20</v>
      </c>
      <c r="EM47">
        <v>3.9187499999999993</v>
      </c>
      <c r="EN47">
        <v>23</v>
      </c>
      <c r="EO47">
        <v>6.6875</v>
      </c>
      <c r="EP47">
        <v>2.75</v>
      </c>
      <c r="EQ47">
        <v>15</v>
      </c>
      <c r="ER47">
        <v>15</v>
      </c>
      <c r="ES47">
        <v>12</v>
      </c>
      <c r="ET47">
        <v>2.5625</v>
      </c>
      <c r="EU47">
        <v>18</v>
      </c>
      <c r="EV47">
        <v>9.6875</v>
      </c>
      <c r="EW47">
        <v>1.3125</v>
      </c>
      <c r="EX47">
        <v>15</v>
      </c>
      <c r="EY47">
        <v>13</v>
      </c>
      <c r="EZ47">
        <v>14</v>
      </c>
      <c r="FA47">
        <v>-2.375</v>
      </c>
      <c r="FB47">
        <v>12</v>
      </c>
      <c r="FC47">
        <v>-0.1875</v>
      </c>
      <c r="FD47">
        <v>-0.1875</v>
      </c>
      <c r="FE47">
        <v>32</v>
      </c>
      <c r="FF47">
        <v>29.25</v>
      </c>
      <c r="FG47">
        <v>28</v>
      </c>
      <c r="FH47">
        <v>-4.4184995537152452E-2</v>
      </c>
      <c r="FI47">
        <v>29</v>
      </c>
      <c r="FJ47">
        <v>3.9269433097488406E-2</v>
      </c>
      <c r="FK47">
        <v>29</v>
      </c>
      <c r="FL47">
        <v>1.6437500000000007</v>
      </c>
      <c r="FM47">
        <v>31</v>
      </c>
      <c r="FN47">
        <v>5.5625</v>
      </c>
      <c r="FO47">
        <v>5.6875</v>
      </c>
      <c r="FP47">
        <v>-2.1875</v>
      </c>
      <c r="FQ47">
        <v>-0.8125</v>
      </c>
      <c r="FR47">
        <v>4.3125</v>
      </c>
      <c r="FS47">
        <v>-7.8125</v>
      </c>
      <c r="FT47">
        <v>0</v>
      </c>
      <c r="FU47">
        <v>-18.6875</v>
      </c>
      <c r="FV47">
        <v>17.6875</v>
      </c>
      <c r="FW47">
        <v>-30.625</v>
      </c>
      <c r="FX47">
        <v>-1.1875</v>
      </c>
      <c r="FY47">
        <v>-4.5625</v>
      </c>
      <c r="FZ47">
        <v>10</v>
      </c>
      <c r="GA47">
        <v>4.6137499999999996</v>
      </c>
      <c r="GB47">
        <v>2.9271249999999998</v>
      </c>
      <c r="GC47">
        <v>48.3125</v>
      </c>
      <c r="GD47">
        <v>-4.6137499999999996</v>
      </c>
      <c r="GE47">
        <v>-1.1498437500000001</v>
      </c>
      <c r="GF47">
        <v>-1.7375</v>
      </c>
      <c r="GG47">
        <v>-9.9375</v>
      </c>
      <c r="GH47">
        <v>-6.1312499999999996</v>
      </c>
      <c r="GI47">
        <v>-27.8125</v>
      </c>
      <c r="GJ47">
        <v>2</v>
      </c>
      <c r="GK47">
        <v>1.1875</v>
      </c>
    </row>
    <row r="48" spans="1:193" x14ac:dyDescent="0.2">
      <c r="A48" s="39">
        <v>43744</v>
      </c>
      <c r="B48" s="22" t="s">
        <v>381</v>
      </c>
      <c r="C48" s="41" t="s">
        <v>287</v>
      </c>
      <c r="D48" s="22" t="s">
        <v>278</v>
      </c>
      <c r="E48">
        <v>5.8</v>
      </c>
      <c r="F48">
        <v>13.4</v>
      </c>
      <c r="G48">
        <v>2.2999999999999998</v>
      </c>
      <c r="H48">
        <v>1.5</v>
      </c>
      <c r="I48">
        <v>-4</v>
      </c>
      <c r="J48">
        <v>46</v>
      </c>
      <c r="K48" t="s">
        <v>110</v>
      </c>
      <c r="L48" s="1" t="s">
        <v>287</v>
      </c>
      <c r="M48">
        <v>28</v>
      </c>
      <c r="N48">
        <v>-0.29625000000000012</v>
      </c>
      <c r="O48">
        <v>17</v>
      </c>
      <c r="P48">
        <v>17</v>
      </c>
      <c r="Q48">
        <v>17</v>
      </c>
      <c r="R48">
        <v>6.0374999999999996</v>
      </c>
      <c r="S48">
        <v>17</v>
      </c>
      <c r="T48">
        <v>-20.8125</v>
      </c>
      <c r="U48">
        <v>1.5</v>
      </c>
      <c r="V48">
        <v>3</v>
      </c>
      <c r="W48">
        <v>4.5</v>
      </c>
      <c r="X48">
        <v>1</v>
      </c>
      <c r="Y48">
        <v>0.34374999999999978</v>
      </c>
      <c r="Z48">
        <v>8</v>
      </c>
      <c r="AA48">
        <v>12</v>
      </c>
      <c r="AB48">
        <v>0.625</v>
      </c>
      <c r="AC48">
        <v>9</v>
      </c>
      <c r="AD48">
        <v>10</v>
      </c>
      <c r="AE48">
        <v>9</v>
      </c>
      <c r="AF48">
        <v>5.6875000000000009</v>
      </c>
      <c r="AG48">
        <v>11</v>
      </c>
      <c r="AH48">
        <v>29.75</v>
      </c>
      <c r="AI48">
        <v>3.0625</v>
      </c>
      <c r="AJ48">
        <v>5</v>
      </c>
      <c r="AK48">
        <v>5.5</v>
      </c>
      <c r="AL48">
        <v>10</v>
      </c>
      <c r="AM48">
        <v>-0.13749999999999951</v>
      </c>
      <c r="AN48">
        <v>1</v>
      </c>
      <c r="AO48">
        <v>12.625</v>
      </c>
      <c r="AP48">
        <v>-0.375</v>
      </c>
      <c r="AQ48">
        <v>28</v>
      </c>
      <c r="AR48">
        <v>28.5</v>
      </c>
      <c r="AS48">
        <v>30</v>
      </c>
      <c r="AT48">
        <v>-2.5750000000000002</v>
      </c>
      <c r="AU48">
        <v>27</v>
      </c>
      <c r="AV48">
        <v>-5.3125</v>
      </c>
      <c r="AW48">
        <v>-1.1875</v>
      </c>
      <c r="AX48">
        <v>10</v>
      </c>
      <c r="AY48">
        <v>11</v>
      </c>
      <c r="AZ48">
        <v>11</v>
      </c>
      <c r="BA48">
        <v>-3.4687499999999982</v>
      </c>
      <c r="BB48">
        <v>11</v>
      </c>
      <c r="BC48">
        <v>-23.4375</v>
      </c>
      <c r="BD48">
        <v>-1.3125</v>
      </c>
      <c r="BE48">
        <v>26</v>
      </c>
      <c r="BF48">
        <v>26.5</v>
      </c>
      <c r="BG48">
        <v>27</v>
      </c>
      <c r="BH48">
        <v>-6.3000000000000007</v>
      </c>
      <c r="BI48">
        <v>-22.125</v>
      </c>
      <c r="BJ48">
        <v>-2.75</v>
      </c>
      <c r="BK48">
        <v>4</v>
      </c>
      <c r="BL48">
        <v>7</v>
      </c>
      <c r="BM48">
        <v>11</v>
      </c>
      <c r="BN48">
        <v>-0.125</v>
      </c>
      <c r="BO48">
        <v>3</v>
      </c>
      <c r="BP48">
        <v>6.25E-2</v>
      </c>
      <c r="BQ48">
        <v>-3.5625</v>
      </c>
      <c r="BR48">
        <v>10</v>
      </c>
      <c r="BS48">
        <v>12.75</v>
      </c>
      <c r="BT48">
        <v>24</v>
      </c>
      <c r="BU48">
        <v>5.6148618558789984E-2</v>
      </c>
      <c r="BV48">
        <v>12</v>
      </c>
      <c r="BW48">
        <v>8.5061476531864775E-3</v>
      </c>
      <c r="BX48">
        <v>7</v>
      </c>
      <c r="BY48">
        <v>11.531250000000002</v>
      </c>
      <c r="BZ48">
        <v>8</v>
      </c>
      <c r="CA48">
        <v>0.8125</v>
      </c>
      <c r="CB48">
        <v>-1.25</v>
      </c>
      <c r="CC48">
        <v>-3.125</v>
      </c>
      <c r="CD48">
        <v>-1.75</v>
      </c>
      <c r="CE48">
        <v>10.0625</v>
      </c>
      <c r="CF48">
        <v>37.8125</v>
      </c>
      <c r="CG48">
        <v>-13.375</v>
      </c>
      <c r="CH48">
        <v>-5.4375</v>
      </c>
      <c r="CI48">
        <v>-8.9375</v>
      </c>
      <c r="CJ48">
        <v>27</v>
      </c>
      <c r="CK48">
        <v>-6.6775000000000002</v>
      </c>
      <c r="CL48">
        <v>-3.9148749999999994</v>
      </c>
      <c r="CM48">
        <v>51.1875</v>
      </c>
      <c r="CN48">
        <v>6.6775000000000002</v>
      </c>
      <c r="CO48">
        <v>0.3293750000000002</v>
      </c>
      <c r="CP48">
        <v>2.9750000000000014</v>
      </c>
      <c r="CQ48">
        <v>37.0625</v>
      </c>
      <c r="CR48">
        <v>6.3812499999999996</v>
      </c>
      <c r="CS48">
        <v>-8.8125</v>
      </c>
      <c r="CT48">
        <v>-1.25</v>
      </c>
      <c r="CU48">
        <v>2.125</v>
      </c>
      <c r="CV48">
        <v>0.227109375</v>
      </c>
      <c r="CW48">
        <v>0.48531250000000004</v>
      </c>
      <c r="CX48" t="s">
        <v>278</v>
      </c>
      <c r="CY48">
        <v>15</v>
      </c>
      <c r="CZ48">
        <v>-3.5612500000000007</v>
      </c>
      <c r="DA48">
        <v>28</v>
      </c>
      <c r="DB48">
        <v>24.5</v>
      </c>
      <c r="DC48">
        <v>25</v>
      </c>
      <c r="DD48">
        <v>6.5187499999999998</v>
      </c>
      <c r="DE48">
        <v>24</v>
      </c>
      <c r="DF48">
        <v>28.625</v>
      </c>
      <c r="DG48">
        <v>-1.4375</v>
      </c>
      <c r="DH48">
        <v>28</v>
      </c>
      <c r="DI48">
        <v>25.5</v>
      </c>
      <c r="DJ48">
        <v>28</v>
      </c>
      <c r="DK48">
        <v>1.46875</v>
      </c>
      <c r="DL48">
        <v>23</v>
      </c>
      <c r="DM48">
        <v>17.875</v>
      </c>
      <c r="DN48">
        <v>-0.75</v>
      </c>
      <c r="DO48">
        <v>14</v>
      </c>
      <c r="DP48">
        <v>8.5</v>
      </c>
      <c r="DQ48">
        <v>9</v>
      </c>
      <c r="DR48">
        <v>-0.45624999999999982</v>
      </c>
      <c r="DS48">
        <v>8</v>
      </c>
      <c r="DT48">
        <v>3.125</v>
      </c>
      <c r="DU48">
        <v>-1.5</v>
      </c>
      <c r="DV48">
        <v>17</v>
      </c>
      <c r="DW48">
        <v>16.5</v>
      </c>
      <c r="DX48">
        <v>14</v>
      </c>
      <c r="DY48">
        <v>-2.0687500000000005</v>
      </c>
      <c r="DZ48">
        <v>19</v>
      </c>
      <c r="EA48">
        <v>-7.25</v>
      </c>
      <c r="EB48">
        <v>0.1875</v>
      </c>
      <c r="EC48">
        <v>15</v>
      </c>
      <c r="ED48">
        <v>7.5</v>
      </c>
      <c r="EE48">
        <v>9</v>
      </c>
      <c r="EF48">
        <v>-4.6687500000000002</v>
      </c>
      <c r="EG48">
        <v>6</v>
      </c>
      <c r="EH48">
        <v>-15.25</v>
      </c>
      <c r="EI48">
        <v>-0.5</v>
      </c>
      <c r="EJ48">
        <v>30</v>
      </c>
      <c r="EK48">
        <v>28.5</v>
      </c>
      <c r="EL48">
        <v>28</v>
      </c>
      <c r="EM48">
        <v>-2.2999999999999994</v>
      </c>
      <c r="EN48">
        <v>29</v>
      </c>
      <c r="EO48">
        <v>-3</v>
      </c>
      <c r="EP48">
        <v>-1.6875</v>
      </c>
      <c r="EQ48">
        <v>6</v>
      </c>
      <c r="ER48">
        <v>8</v>
      </c>
      <c r="ES48">
        <v>9</v>
      </c>
      <c r="ET48">
        <v>-1.6687499999999995</v>
      </c>
      <c r="EU48">
        <v>7</v>
      </c>
      <c r="EV48">
        <v>-3.75</v>
      </c>
      <c r="EW48">
        <v>-0.1875</v>
      </c>
      <c r="EX48">
        <v>9</v>
      </c>
      <c r="EY48">
        <v>9.5</v>
      </c>
      <c r="EZ48">
        <v>8</v>
      </c>
      <c r="FA48">
        <v>4.1875</v>
      </c>
      <c r="FB48">
        <v>11</v>
      </c>
      <c r="FC48">
        <v>0.9375</v>
      </c>
      <c r="FD48">
        <v>-1.9375</v>
      </c>
      <c r="FE48">
        <v>12</v>
      </c>
      <c r="FF48">
        <v>14.5</v>
      </c>
      <c r="FG48">
        <v>25</v>
      </c>
      <c r="FH48">
        <v>-2.552080867802195E-2</v>
      </c>
      <c r="FI48">
        <v>6</v>
      </c>
      <c r="FJ48">
        <v>-2.2886453811001312E-2</v>
      </c>
      <c r="FK48">
        <v>10</v>
      </c>
      <c r="FL48">
        <v>-5.2249999999999979</v>
      </c>
      <c r="FM48">
        <v>17</v>
      </c>
      <c r="FN48">
        <v>-3.75</v>
      </c>
      <c r="FO48">
        <v>-5</v>
      </c>
      <c r="FP48">
        <v>6.375</v>
      </c>
      <c r="FQ48">
        <v>-1</v>
      </c>
      <c r="FR48">
        <v>-1</v>
      </c>
      <c r="FS48">
        <v>4.5</v>
      </c>
      <c r="FT48">
        <v>-0.875</v>
      </c>
      <c r="FU48">
        <v>14.1875</v>
      </c>
      <c r="FV48">
        <v>-25.75</v>
      </c>
      <c r="FW48">
        <v>43.625</v>
      </c>
      <c r="FX48">
        <v>4.6875</v>
      </c>
      <c r="FY48">
        <v>-8.375</v>
      </c>
      <c r="FZ48">
        <v>31</v>
      </c>
      <c r="GA48">
        <v>-11.54875</v>
      </c>
      <c r="GB48">
        <v>-6.4785000000000004</v>
      </c>
      <c r="GC48">
        <v>-69.375</v>
      </c>
      <c r="GD48">
        <v>11.54875</v>
      </c>
      <c r="GE48">
        <v>-3.1093750000000031E-2</v>
      </c>
      <c r="GF48">
        <v>-7.1937500000000005</v>
      </c>
      <c r="GG48">
        <v>-19.375</v>
      </c>
      <c r="GH48">
        <v>7.9874999999999998</v>
      </c>
      <c r="GI48">
        <v>46.5</v>
      </c>
      <c r="GJ48">
        <v>-2</v>
      </c>
      <c r="GK48">
        <v>-2.1875</v>
      </c>
    </row>
    <row r="49" spans="1:193" x14ac:dyDescent="0.2">
      <c r="A49" s="39">
        <v>43744</v>
      </c>
      <c r="B49" s="26" t="s">
        <v>381</v>
      </c>
      <c r="C49" s="41" t="s">
        <v>304</v>
      </c>
      <c r="D49" s="26" t="s">
        <v>308</v>
      </c>
      <c r="E49" s="14">
        <v>29.7</v>
      </c>
      <c r="F49">
        <v>9.8000000000000007</v>
      </c>
      <c r="G49">
        <v>6.6</v>
      </c>
      <c r="H49" s="14">
        <f>23.6+7.7</f>
        <v>31.3</v>
      </c>
      <c r="I49">
        <v>1.5</v>
      </c>
      <c r="J49">
        <v>49</v>
      </c>
      <c r="K49" s="35"/>
      <c r="L49" s="1" t="s">
        <v>304</v>
      </c>
      <c r="M49">
        <v>25</v>
      </c>
      <c r="N49">
        <v>-1.8062500000000008</v>
      </c>
      <c r="O49">
        <v>12</v>
      </c>
      <c r="P49">
        <v>14.5</v>
      </c>
      <c r="Q49">
        <v>15</v>
      </c>
      <c r="R49">
        <v>0.99375000000000124</v>
      </c>
      <c r="S49">
        <v>14</v>
      </c>
      <c r="T49">
        <v>-0.875</v>
      </c>
      <c r="U49">
        <v>0.3125</v>
      </c>
      <c r="V49">
        <v>21</v>
      </c>
      <c r="W49">
        <v>19</v>
      </c>
      <c r="X49">
        <v>21</v>
      </c>
      <c r="Y49">
        <v>1.1187500000000001</v>
      </c>
      <c r="Z49">
        <v>17</v>
      </c>
      <c r="AA49">
        <v>5.6875</v>
      </c>
      <c r="AB49">
        <v>-0.9375</v>
      </c>
      <c r="AC49">
        <v>12</v>
      </c>
      <c r="AD49">
        <v>13</v>
      </c>
      <c r="AE49">
        <v>13</v>
      </c>
      <c r="AF49">
        <v>7.1812499999999986</v>
      </c>
      <c r="AG49">
        <v>13</v>
      </c>
      <c r="AH49">
        <v>28</v>
      </c>
      <c r="AI49">
        <v>2.375</v>
      </c>
      <c r="AJ49">
        <v>4</v>
      </c>
      <c r="AK49">
        <v>4.5</v>
      </c>
      <c r="AL49">
        <v>7</v>
      </c>
      <c r="AM49">
        <v>3.4187500000000002</v>
      </c>
      <c r="AN49">
        <v>2</v>
      </c>
      <c r="AO49">
        <v>10</v>
      </c>
      <c r="AP49">
        <v>2.75</v>
      </c>
      <c r="AQ49">
        <v>8</v>
      </c>
      <c r="AR49">
        <v>8.5</v>
      </c>
      <c r="AS49">
        <v>8</v>
      </c>
      <c r="AT49">
        <v>7.4312500000000004</v>
      </c>
      <c r="AU49">
        <v>9</v>
      </c>
      <c r="AV49">
        <v>40.0625</v>
      </c>
      <c r="AW49">
        <v>2.9375</v>
      </c>
      <c r="AX49">
        <v>5</v>
      </c>
      <c r="AY49">
        <v>5</v>
      </c>
      <c r="AZ49">
        <v>8</v>
      </c>
      <c r="BA49">
        <v>5.9750000000000005</v>
      </c>
      <c r="BB49">
        <v>2</v>
      </c>
      <c r="BC49">
        <v>31.625</v>
      </c>
      <c r="BD49">
        <v>4.0625</v>
      </c>
      <c r="BE49">
        <v>12</v>
      </c>
      <c r="BF49">
        <v>12.5</v>
      </c>
      <c r="BG49">
        <v>14</v>
      </c>
      <c r="BH49">
        <v>-0.51875000000000027</v>
      </c>
      <c r="BI49">
        <v>-9.5625</v>
      </c>
      <c r="BJ49">
        <v>1.125</v>
      </c>
      <c r="BK49">
        <v>16</v>
      </c>
      <c r="BL49">
        <v>15.5</v>
      </c>
      <c r="BM49">
        <v>18</v>
      </c>
      <c r="BN49">
        <v>3.9375</v>
      </c>
      <c r="BO49">
        <v>13</v>
      </c>
      <c r="BP49">
        <v>0.75</v>
      </c>
      <c r="BQ49">
        <v>-0.3125</v>
      </c>
      <c r="BR49">
        <v>23</v>
      </c>
      <c r="BS49">
        <v>20.5</v>
      </c>
      <c r="BT49">
        <v>32</v>
      </c>
      <c r="BU49">
        <v>3.7003244735545643E-2</v>
      </c>
      <c r="BV49">
        <v>29</v>
      </c>
      <c r="BW49">
        <v>-3.4302893118874883E-2</v>
      </c>
      <c r="BX49">
        <v>8</v>
      </c>
      <c r="BY49">
        <v>-3.9312499999999986</v>
      </c>
      <c r="BZ49">
        <v>13</v>
      </c>
      <c r="CA49">
        <v>-1.125</v>
      </c>
      <c r="CB49">
        <v>4.75</v>
      </c>
      <c r="CC49">
        <v>5.75</v>
      </c>
      <c r="CD49">
        <v>-0.25</v>
      </c>
      <c r="CE49">
        <v>43.875</v>
      </c>
      <c r="CF49">
        <v>49.75</v>
      </c>
      <c r="CG49">
        <v>3.0625</v>
      </c>
      <c r="CH49">
        <v>7.8125</v>
      </c>
      <c r="CI49">
        <v>-16.75</v>
      </c>
      <c r="CJ49">
        <v>26</v>
      </c>
      <c r="CK49">
        <v>-3.918750000000002</v>
      </c>
      <c r="CL49">
        <v>2.0849999999999995</v>
      </c>
      <c r="CM49">
        <v>46.6875</v>
      </c>
      <c r="CN49">
        <v>3.9187500000000024</v>
      </c>
      <c r="CO49">
        <v>2.7195312499999997</v>
      </c>
      <c r="CP49">
        <v>18.03125</v>
      </c>
      <c r="CQ49">
        <v>78.0625</v>
      </c>
      <c r="CR49">
        <v>2.1125000000000016</v>
      </c>
      <c r="CS49">
        <v>4.8125</v>
      </c>
      <c r="CT49">
        <v>9.1875</v>
      </c>
      <c r="CU49">
        <v>-0.625</v>
      </c>
      <c r="CV49">
        <v>-0.1513281250000004</v>
      </c>
      <c r="CW49">
        <v>-0.20390625000000051</v>
      </c>
      <c r="CX49" t="s">
        <v>308</v>
      </c>
      <c r="CY49">
        <v>17</v>
      </c>
      <c r="CZ49">
        <v>1.4249999999999994</v>
      </c>
      <c r="DA49">
        <v>24</v>
      </c>
      <c r="DB49">
        <v>22</v>
      </c>
      <c r="DC49">
        <v>18</v>
      </c>
      <c r="DD49">
        <v>1.2812499999999993</v>
      </c>
      <c r="DE49">
        <v>26</v>
      </c>
      <c r="DF49">
        <v>-11.3125</v>
      </c>
      <c r="DG49">
        <v>1.6875</v>
      </c>
      <c r="DH49">
        <v>25</v>
      </c>
      <c r="DI49">
        <v>22.5</v>
      </c>
      <c r="DJ49">
        <v>16</v>
      </c>
      <c r="DK49">
        <v>-2.3025000000000002</v>
      </c>
      <c r="DL49">
        <v>29</v>
      </c>
      <c r="DM49">
        <v>-0.125</v>
      </c>
      <c r="DN49">
        <v>-1.5</v>
      </c>
      <c r="DO49">
        <v>5</v>
      </c>
      <c r="DP49">
        <v>3.5</v>
      </c>
      <c r="DQ49">
        <v>3</v>
      </c>
      <c r="DR49">
        <v>-4.6687500000000002</v>
      </c>
      <c r="DS49">
        <v>4</v>
      </c>
      <c r="DT49">
        <v>-23.3125</v>
      </c>
      <c r="DU49">
        <v>-1.9375</v>
      </c>
      <c r="DV49">
        <v>19</v>
      </c>
      <c r="DW49">
        <v>17.5</v>
      </c>
      <c r="DX49">
        <v>18</v>
      </c>
      <c r="DY49">
        <v>1.8499999999999988</v>
      </c>
      <c r="DZ49">
        <v>17</v>
      </c>
      <c r="EA49">
        <v>1.75</v>
      </c>
      <c r="EB49">
        <v>6.25E-2</v>
      </c>
      <c r="EC49">
        <v>13</v>
      </c>
      <c r="ED49">
        <v>13.5</v>
      </c>
      <c r="EE49">
        <v>6</v>
      </c>
      <c r="EF49">
        <v>-0.45625000000000016</v>
      </c>
      <c r="EG49">
        <v>21</v>
      </c>
      <c r="EH49">
        <v>-8.1875</v>
      </c>
      <c r="EI49">
        <v>-0.125</v>
      </c>
      <c r="EJ49">
        <v>18</v>
      </c>
      <c r="EK49">
        <v>18</v>
      </c>
      <c r="EL49">
        <v>16</v>
      </c>
      <c r="EM49">
        <v>-3.3062499999999995</v>
      </c>
      <c r="EN49">
        <v>20</v>
      </c>
      <c r="EO49">
        <v>-18.0625</v>
      </c>
      <c r="EP49">
        <v>-0.875</v>
      </c>
      <c r="EQ49">
        <v>15</v>
      </c>
      <c r="ER49">
        <v>15</v>
      </c>
      <c r="ES49">
        <v>11</v>
      </c>
      <c r="ET49">
        <v>4.3937500000000007</v>
      </c>
      <c r="EU49">
        <v>19</v>
      </c>
      <c r="EV49">
        <v>7.3125</v>
      </c>
      <c r="EW49">
        <v>1.1875</v>
      </c>
      <c r="EX49">
        <v>12</v>
      </c>
      <c r="EY49">
        <v>12.5</v>
      </c>
      <c r="EZ49">
        <v>17</v>
      </c>
      <c r="FA49">
        <v>-2.3125</v>
      </c>
      <c r="FB49">
        <v>8</v>
      </c>
      <c r="FC49">
        <v>-0.125</v>
      </c>
      <c r="FD49">
        <v>0.875</v>
      </c>
      <c r="FE49">
        <v>21</v>
      </c>
      <c r="FF49">
        <v>17.25</v>
      </c>
      <c r="FG49">
        <v>30</v>
      </c>
      <c r="FH49">
        <v>2.6924081064694919E-2</v>
      </c>
      <c r="FI49">
        <v>28</v>
      </c>
      <c r="FJ49">
        <v>-8.6634742761005565E-3</v>
      </c>
      <c r="FK49">
        <v>4</v>
      </c>
      <c r="FL49">
        <v>6.6125000000000025</v>
      </c>
      <c r="FM49">
        <v>7</v>
      </c>
      <c r="FN49">
        <v>0.875</v>
      </c>
      <c r="FO49">
        <v>-0.5</v>
      </c>
      <c r="FP49">
        <v>-2.0625</v>
      </c>
      <c r="FQ49">
        <v>-6.25E-2</v>
      </c>
      <c r="FR49">
        <v>-2.75</v>
      </c>
      <c r="FS49">
        <v>0.4375</v>
      </c>
      <c r="FT49">
        <v>2.625</v>
      </c>
      <c r="FU49">
        <v>-8.3125</v>
      </c>
      <c r="FV49">
        <v>-7.9375</v>
      </c>
      <c r="FW49">
        <v>-7.375</v>
      </c>
      <c r="FX49">
        <v>1.5625</v>
      </c>
      <c r="FY49">
        <v>5.4375</v>
      </c>
      <c r="FZ49">
        <v>13</v>
      </c>
      <c r="GA49">
        <v>2.44625</v>
      </c>
      <c r="GB49">
        <v>1.0193750000000001</v>
      </c>
      <c r="GC49">
        <v>-0.5625</v>
      </c>
      <c r="GD49">
        <v>-2.44625</v>
      </c>
      <c r="GE49">
        <v>-9.8750000000000282E-2</v>
      </c>
      <c r="GF49">
        <v>-3.2750000000000017</v>
      </c>
      <c r="GG49">
        <v>-29.75</v>
      </c>
      <c r="GH49">
        <v>-1.0212500000000009</v>
      </c>
      <c r="GI49">
        <v>-11.4375</v>
      </c>
      <c r="GJ49">
        <v>-0.8125</v>
      </c>
      <c r="GK49">
        <v>0.1875</v>
      </c>
    </row>
    <row r="50" spans="1:193" x14ac:dyDescent="0.2">
      <c r="A50" s="39">
        <v>43744</v>
      </c>
      <c r="B50" s="22" t="s">
        <v>381</v>
      </c>
      <c r="C50" s="41" t="s">
        <v>312</v>
      </c>
      <c r="D50" s="22" t="s">
        <v>296</v>
      </c>
      <c r="E50">
        <v>35</v>
      </c>
      <c r="F50">
        <v>7.4</v>
      </c>
      <c r="G50">
        <v>8.3000000000000007</v>
      </c>
      <c r="H50">
        <v>1.4</v>
      </c>
      <c r="I50" s="8">
        <v>-5.5</v>
      </c>
      <c r="J50" s="8">
        <v>44</v>
      </c>
      <c r="K50" t="s">
        <v>110</v>
      </c>
      <c r="L50" s="1" t="s">
        <v>312</v>
      </c>
      <c r="M50">
        <v>16</v>
      </c>
      <c r="N50">
        <v>-5.3337500000000002</v>
      </c>
      <c r="O50">
        <v>12</v>
      </c>
      <c r="P50">
        <v>14.5</v>
      </c>
      <c r="Q50">
        <v>7</v>
      </c>
      <c r="R50">
        <v>10.68125</v>
      </c>
      <c r="S50">
        <v>22</v>
      </c>
      <c r="T50">
        <v>40</v>
      </c>
      <c r="U50">
        <v>0.8125</v>
      </c>
      <c r="V50">
        <v>5</v>
      </c>
      <c r="W50">
        <v>8</v>
      </c>
      <c r="X50">
        <v>13</v>
      </c>
      <c r="Y50">
        <v>-2.3562500000000002</v>
      </c>
      <c r="Z50">
        <v>3</v>
      </c>
      <c r="AA50">
        <v>5.5625</v>
      </c>
      <c r="AB50">
        <v>-3</v>
      </c>
      <c r="AC50">
        <v>16</v>
      </c>
      <c r="AD50">
        <v>17</v>
      </c>
      <c r="AE50">
        <v>18</v>
      </c>
      <c r="AF50">
        <v>-0.18749999999999956</v>
      </c>
      <c r="AG50">
        <v>16</v>
      </c>
      <c r="AH50">
        <v>-0.375</v>
      </c>
      <c r="AI50">
        <v>-1.5625</v>
      </c>
      <c r="AJ50">
        <v>23</v>
      </c>
      <c r="AK50">
        <v>22</v>
      </c>
      <c r="AL50">
        <v>26</v>
      </c>
      <c r="AM50">
        <v>-4.0125000000000011</v>
      </c>
      <c r="AN50">
        <v>18</v>
      </c>
      <c r="AO50">
        <v>-8.9375</v>
      </c>
      <c r="AP50">
        <v>-0.8125</v>
      </c>
      <c r="AQ50">
        <v>27</v>
      </c>
      <c r="AR50">
        <v>28</v>
      </c>
      <c r="AS50">
        <v>27</v>
      </c>
      <c r="AT50">
        <v>1.8749999999999822E-2</v>
      </c>
      <c r="AU50">
        <v>29</v>
      </c>
      <c r="AV50">
        <v>7.5</v>
      </c>
      <c r="AW50">
        <v>-1.4375</v>
      </c>
      <c r="AX50">
        <v>29</v>
      </c>
      <c r="AY50">
        <v>29</v>
      </c>
      <c r="AZ50">
        <v>29</v>
      </c>
      <c r="BA50">
        <v>-9.90625</v>
      </c>
      <c r="BB50">
        <v>29</v>
      </c>
      <c r="BC50">
        <v>-31.5625</v>
      </c>
      <c r="BD50">
        <v>-6</v>
      </c>
      <c r="BE50">
        <v>5</v>
      </c>
      <c r="BF50">
        <v>6</v>
      </c>
      <c r="BG50">
        <v>3</v>
      </c>
      <c r="BH50">
        <v>-7.1874999999999991</v>
      </c>
      <c r="BI50">
        <v>-27.6875</v>
      </c>
      <c r="BJ50">
        <v>-3.6875</v>
      </c>
      <c r="BK50">
        <v>26</v>
      </c>
      <c r="BL50">
        <v>25</v>
      </c>
      <c r="BM50">
        <v>21</v>
      </c>
      <c r="BN50">
        <v>-0.5625</v>
      </c>
      <c r="BO50">
        <v>29</v>
      </c>
      <c r="BP50">
        <v>-0.375</v>
      </c>
      <c r="BQ50">
        <v>1.5625</v>
      </c>
      <c r="BR50">
        <v>28</v>
      </c>
      <c r="BS50">
        <v>24.5</v>
      </c>
      <c r="BT50">
        <v>22</v>
      </c>
      <c r="BU50">
        <v>0.10377375237813549</v>
      </c>
      <c r="BV50">
        <v>27</v>
      </c>
      <c r="BW50">
        <v>3.2291147115255589E-3</v>
      </c>
      <c r="BX50">
        <v>22</v>
      </c>
      <c r="BY50">
        <v>13.993749999999997</v>
      </c>
      <c r="BZ50">
        <v>27</v>
      </c>
      <c r="CA50">
        <v>-0.3125</v>
      </c>
      <c r="CB50">
        <v>-6.875</v>
      </c>
      <c r="CC50">
        <v>1.3125</v>
      </c>
      <c r="CD50">
        <v>0</v>
      </c>
      <c r="CE50">
        <v>-11.125</v>
      </c>
      <c r="CF50">
        <v>-61.9375</v>
      </c>
      <c r="CG50">
        <v>49.125</v>
      </c>
      <c r="CH50">
        <v>0.625</v>
      </c>
      <c r="CI50">
        <v>1.0625</v>
      </c>
      <c r="CJ50">
        <v>31</v>
      </c>
      <c r="CK50">
        <v>-13.658750000000001</v>
      </c>
      <c r="CL50">
        <v>-7.5030000000000001</v>
      </c>
      <c r="CM50">
        <v>-111.0625</v>
      </c>
      <c r="CN50">
        <v>13.65875</v>
      </c>
      <c r="CO50">
        <v>-1.1174999999999999</v>
      </c>
      <c r="CP50">
        <v>-4.1812500000000012</v>
      </c>
      <c r="CQ50">
        <v>-1.8125</v>
      </c>
      <c r="CR50">
        <v>8.3249999999999993</v>
      </c>
      <c r="CS50">
        <v>45.5625</v>
      </c>
      <c r="CT50">
        <v>-7.5</v>
      </c>
      <c r="CU50">
        <v>-2.1875</v>
      </c>
      <c r="CV50">
        <v>8.414062500000008E-2</v>
      </c>
      <c r="CW50">
        <v>-0.31296875000000007</v>
      </c>
      <c r="CX50" t="s">
        <v>296</v>
      </c>
      <c r="CY50">
        <v>5</v>
      </c>
      <c r="CZ50">
        <v>2.3124999999999996</v>
      </c>
      <c r="DA50">
        <v>31</v>
      </c>
      <c r="DB50">
        <v>29</v>
      </c>
      <c r="DC50">
        <v>31</v>
      </c>
      <c r="DD50">
        <v>-2.8812500000000001</v>
      </c>
      <c r="DE50">
        <v>27</v>
      </c>
      <c r="DF50">
        <v>-11.1875</v>
      </c>
      <c r="DG50">
        <v>-1.4375</v>
      </c>
      <c r="DH50">
        <v>15</v>
      </c>
      <c r="DI50">
        <v>16</v>
      </c>
      <c r="DJ50">
        <v>24</v>
      </c>
      <c r="DK50">
        <v>0.40625000000000022</v>
      </c>
      <c r="DL50">
        <v>8</v>
      </c>
      <c r="DM50">
        <v>9.625</v>
      </c>
      <c r="DN50">
        <v>-0.75</v>
      </c>
      <c r="DO50">
        <v>4</v>
      </c>
      <c r="DP50">
        <v>4.5</v>
      </c>
      <c r="DQ50">
        <v>4</v>
      </c>
      <c r="DR50">
        <v>4.9625000000000021</v>
      </c>
      <c r="DS50">
        <v>5</v>
      </c>
      <c r="DT50">
        <v>18.1875</v>
      </c>
      <c r="DU50">
        <v>1.3125</v>
      </c>
      <c r="DV50">
        <v>13</v>
      </c>
      <c r="DW50">
        <v>13.5</v>
      </c>
      <c r="DX50">
        <v>14</v>
      </c>
      <c r="DY50">
        <v>-3.5750000000000002</v>
      </c>
      <c r="DZ50">
        <v>13</v>
      </c>
      <c r="EA50">
        <v>3</v>
      </c>
      <c r="EB50">
        <v>-2.5</v>
      </c>
      <c r="EC50">
        <v>24</v>
      </c>
      <c r="ED50">
        <v>13.5</v>
      </c>
      <c r="EE50">
        <v>16</v>
      </c>
      <c r="EF50">
        <v>2.7437499999999999</v>
      </c>
      <c r="EG50">
        <v>11</v>
      </c>
      <c r="EH50">
        <v>7.5625</v>
      </c>
      <c r="EI50">
        <v>-2</v>
      </c>
      <c r="EJ50">
        <v>2</v>
      </c>
      <c r="EK50">
        <v>3.5</v>
      </c>
      <c r="EL50">
        <v>4</v>
      </c>
      <c r="EM50">
        <v>-4.05</v>
      </c>
      <c r="EN50">
        <v>3</v>
      </c>
      <c r="EO50">
        <v>-26.75</v>
      </c>
      <c r="EP50">
        <v>-3.4375</v>
      </c>
      <c r="EQ50">
        <v>17</v>
      </c>
      <c r="ER50">
        <v>15.5</v>
      </c>
      <c r="ES50">
        <v>15</v>
      </c>
      <c r="ET50">
        <v>-0.18124999999999947</v>
      </c>
      <c r="EU50">
        <v>16</v>
      </c>
      <c r="EV50">
        <v>-6.75</v>
      </c>
      <c r="EW50">
        <v>0.6875</v>
      </c>
      <c r="EX50">
        <v>2</v>
      </c>
      <c r="EY50">
        <v>3</v>
      </c>
      <c r="EZ50">
        <v>2</v>
      </c>
      <c r="FA50">
        <v>6.25E-2</v>
      </c>
      <c r="FB50">
        <v>4</v>
      </c>
      <c r="FC50">
        <v>-0.125</v>
      </c>
      <c r="FD50">
        <v>-0.25</v>
      </c>
      <c r="FE50">
        <v>29</v>
      </c>
      <c r="FF50">
        <v>24</v>
      </c>
      <c r="FG50">
        <v>11</v>
      </c>
      <c r="FH50">
        <v>-3.7839309191765716E-2</v>
      </c>
      <c r="FI50">
        <v>27</v>
      </c>
      <c r="FJ50">
        <v>1.3561227098648571E-2</v>
      </c>
      <c r="FK50">
        <v>31</v>
      </c>
      <c r="FL50">
        <v>-5.7687500000000007</v>
      </c>
      <c r="FM50">
        <v>27</v>
      </c>
      <c r="FN50">
        <v>-2.1875</v>
      </c>
      <c r="FO50">
        <v>-3.5625</v>
      </c>
      <c r="FP50">
        <v>1.8125</v>
      </c>
      <c r="FQ50">
        <v>0.375</v>
      </c>
      <c r="FR50">
        <v>-1.1875</v>
      </c>
      <c r="FS50">
        <v>1.875</v>
      </c>
      <c r="FT50">
        <v>-0.875</v>
      </c>
      <c r="FU50">
        <v>15.8125</v>
      </c>
      <c r="FV50">
        <v>19.4375</v>
      </c>
      <c r="FW50">
        <v>-1.625</v>
      </c>
      <c r="FX50">
        <v>0.4375</v>
      </c>
      <c r="FY50">
        <v>-2.4375</v>
      </c>
      <c r="FZ50">
        <v>9</v>
      </c>
      <c r="GA50">
        <v>4.7874999999999996</v>
      </c>
      <c r="GB50">
        <v>2.4900000000000002</v>
      </c>
      <c r="GC50">
        <v>21.0625</v>
      </c>
      <c r="GD50">
        <v>-4.7874999999999996</v>
      </c>
      <c r="GE50">
        <v>0.48125000000000023</v>
      </c>
      <c r="GF50">
        <v>4.1312500000000014</v>
      </c>
      <c r="GG50">
        <v>28.75</v>
      </c>
      <c r="GH50">
        <v>-2.4749999999999996</v>
      </c>
      <c r="GI50">
        <v>-1.5625</v>
      </c>
      <c r="GJ50">
        <v>-2.5</v>
      </c>
      <c r="GK50">
        <v>-2.1875</v>
      </c>
    </row>
    <row r="51" spans="1:193" x14ac:dyDescent="0.2">
      <c r="A51" s="39">
        <v>43744</v>
      </c>
      <c r="B51" s="22" t="s">
        <v>381</v>
      </c>
      <c r="C51" s="41" t="s">
        <v>302</v>
      </c>
      <c r="D51" s="22" t="s">
        <v>306</v>
      </c>
      <c r="E51">
        <v>28</v>
      </c>
      <c r="F51" s="14">
        <v>10.9</v>
      </c>
      <c r="G51">
        <v>0</v>
      </c>
      <c r="H51">
        <f>11.9+3.2</f>
        <v>15.100000000000001</v>
      </c>
      <c r="I51">
        <v>-15.5</v>
      </c>
      <c r="J51">
        <v>42</v>
      </c>
      <c r="L51" s="1" t="s">
        <v>302</v>
      </c>
      <c r="M51">
        <v>18</v>
      </c>
      <c r="N51">
        <v>0.68750000000000111</v>
      </c>
      <c r="O51">
        <v>27</v>
      </c>
      <c r="P51">
        <v>25</v>
      </c>
      <c r="Q51">
        <v>32</v>
      </c>
      <c r="R51">
        <v>-8.3562499999999993</v>
      </c>
      <c r="S51">
        <v>18</v>
      </c>
      <c r="T51">
        <v>-24.0625</v>
      </c>
      <c r="U51">
        <v>-2.75</v>
      </c>
      <c r="V51">
        <v>12</v>
      </c>
      <c r="W51">
        <v>11.5</v>
      </c>
      <c r="X51">
        <v>5</v>
      </c>
      <c r="Y51">
        <v>5.0812499999999998</v>
      </c>
      <c r="Z51">
        <v>18</v>
      </c>
      <c r="AA51">
        <v>-7.6875</v>
      </c>
      <c r="AB51">
        <v>3.6875</v>
      </c>
      <c r="AC51">
        <v>4</v>
      </c>
      <c r="AD51">
        <v>4</v>
      </c>
      <c r="AE51">
        <v>3</v>
      </c>
      <c r="AF51">
        <v>-2.8474999999999997</v>
      </c>
      <c r="AG51">
        <v>5</v>
      </c>
      <c r="AH51">
        <v>-18.6875</v>
      </c>
      <c r="AI51">
        <v>0.125</v>
      </c>
      <c r="AJ51">
        <v>14</v>
      </c>
      <c r="AK51">
        <v>14</v>
      </c>
      <c r="AL51">
        <v>15</v>
      </c>
      <c r="AM51">
        <v>2.8437500000000004</v>
      </c>
      <c r="AN51">
        <v>13</v>
      </c>
      <c r="AO51">
        <v>19.9375</v>
      </c>
      <c r="AP51">
        <v>0.5</v>
      </c>
      <c r="AQ51">
        <v>16</v>
      </c>
      <c r="AR51">
        <v>16</v>
      </c>
      <c r="AS51">
        <v>13</v>
      </c>
      <c r="AT51">
        <v>5.5687499999999996</v>
      </c>
      <c r="AU51">
        <v>19</v>
      </c>
      <c r="AV51">
        <v>8.5625</v>
      </c>
      <c r="AW51">
        <v>1.9375</v>
      </c>
      <c r="AX51">
        <v>4</v>
      </c>
      <c r="AY51">
        <v>4.5</v>
      </c>
      <c r="AZ51">
        <v>2</v>
      </c>
      <c r="BA51">
        <v>9.1187500000000004</v>
      </c>
      <c r="BB51">
        <v>7</v>
      </c>
      <c r="BC51">
        <v>38.6875</v>
      </c>
      <c r="BD51">
        <v>1.6875</v>
      </c>
      <c r="BE51">
        <v>25</v>
      </c>
      <c r="BF51">
        <v>25.5</v>
      </c>
      <c r="BG51">
        <v>28</v>
      </c>
      <c r="BH51">
        <v>-6.7437500000000004</v>
      </c>
      <c r="BI51">
        <v>-24.3125</v>
      </c>
      <c r="BJ51">
        <v>-3.625</v>
      </c>
      <c r="BK51">
        <v>2</v>
      </c>
      <c r="BL51">
        <v>5</v>
      </c>
      <c r="BM51">
        <v>8</v>
      </c>
      <c r="BN51">
        <v>1.125</v>
      </c>
      <c r="BO51">
        <v>2</v>
      </c>
      <c r="BP51">
        <v>0.4375</v>
      </c>
      <c r="BQ51">
        <v>7.375</v>
      </c>
      <c r="BR51">
        <v>27</v>
      </c>
      <c r="BS51">
        <v>23.25</v>
      </c>
      <c r="BT51">
        <v>23</v>
      </c>
      <c r="BU51">
        <v>-4.3647272099159848E-2</v>
      </c>
      <c r="BV51">
        <v>26</v>
      </c>
      <c r="BW51">
        <v>-2.5718117579474509E-2</v>
      </c>
      <c r="BX51">
        <v>23</v>
      </c>
      <c r="BY51">
        <v>-15.481249999999999</v>
      </c>
      <c r="BZ51">
        <v>21</v>
      </c>
      <c r="CA51">
        <v>-1.5</v>
      </c>
      <c r="CB51">
        <v>1.0625</v>
      </c>
      <c r="CC51">
        <v>2.0625</v>
      </c>
      <c r="CD51">
        <v>2.5</v>
      </c>
      <c r="CE51">
        <v>-14.6875</v>
      </c>
      <c r="CF51">
        <v>9.25</v>
      </c>
      <c r="CG51">
        <v>-20.8125</v>
      </c>
      <c r="CH51">
        <v>3.5625</v>
      </c>
      <c r="CI51">
        <v>-6.6875</v>
      </c>
      <c r="CJ51">
        <v>10</v>
      </c>
      <c r="CK51">
        <v>3.9625000000000012</v>
      </c>
      <c r="CL51">
        <v>1.53925</v>
      </c>
      <c r="CM51">
        <v>30.0625</v>
      </c>
      <c r="CN51">
        <v>-3.9625000000000004</v>
      </c>
      <c r="CO51">
        <v>-0.33015624999999987</v>
      </c>
      <c r="CP51">
        <v>5.5650000000000004</v>
      </c>
      <c r="CQ51">
        <v>9.8125</v>
      </c>
      <c r="CR51">
        <v>-3.2749999999999995</v>
      </c>
      <c r="CS51">
        <v>-31.75</v>
      </c>
      <c r="CT51">
        <v>-1.0625</v>
      </c>
      <c r="CU51">
        <v>0.9375</v>
      </c>
      <c r="CV51">
        <v>-0.42484374999999974</v>
      </c>
      <c r="CW51">
        <v>-2.0526562500000001</v>
      </c>
      <c r="CX51" t="s">
        <v>306</v>
      </c>
      <c r="CY51">
        <v>22</v>
      </c>
      <c r="CZ51">
        <v>2.88625</v>
      </c>
      <c r="DA51">
        <v>11</v>
      </c>
      <c r="DB51">
        <v>11</v>
      </c>
      <c r="DC51">
        <v>16</v>
      </c>
      <c r="DD51">
        <v>-0.19791666666666563</v>
      </c>
      <c r="DE51">
        <v>6</v>
      </c>
      <c r="DF51">
        <v>-2.4791666666666679</v>
      </c>
      <c r="DG51">
        <v>-0.66666666666666674</v>
      </c>
      <c r="DH51">
        <v>10</v>
      </c>
      <c r="DI51">
        <v>12.5</v>
      </c>
      <c r="DJ51">
        <v>16</v>
      </c>
      <c r="DK51">
        <v>-1.720833333333333</v>
      </c>
      <c r="DL51">
        <v>9</v>
      </c>
      <c r="DM51">
        <v>8.3333333333333037E-2</v>
      </c>
      <c r="DN51">
        <v>-0.52083333333333326</v>
      </c>
      <c r="DO51">
        <v>13</v>
      </c>
      <c r="DP51">
        <v>12</v>
      </c>
      <c r="DQ51">
        <v>14</v>
      </c>
      <c r="DR51">
        <v>-1.618749999999999</v>
      </c>
      <c r="DS51">
        <v>10</v>
      </c>
      <c r="DT51">
        <v>-10.375</v>
      </c>
      <c r="DU51">
        <v>-1.75</v>
      </c>
      <c r="DV51">
        <v>26</v>
      </c>
      <c r="DW51">
        <v>26.5</v>
      </c>
      <c r="DX51">
        <v>23</v>
      </c>
      <c r="DY51">
        <v>13.268750000000001</v>
      </c>
      <c r="DZ51">
        <v>30</v>
      </c>
      <c r="EA51">
        <v>35.375</v>
      </c>
      <c r="EB51">
        <v>2</v>
      </c>
      <c r="EC51">
        <v>32</v>
      </c>
      <c r="ED51">
        <v>15</v>
      </c>
      <c r="EE51">
        <v>15</v>
      </c>
      <c r="EF51">
        <v>-0.79375000000000018</v>
      </c>
      <c r="EG51">
        <v>15</v>
      </c>
      <c r="EH51">
        <v>-6.125</v>
      </c>
      <c r="EI51">
        <v>0.3125</v>
      </c>
      <c r="EJ51">
        <v>7</v>
      </c>
      <c r="EK51">
        <v>7.5</v>
      </c>
      <c r="EL51">
        <v>7</v>
      </c>
      <c r="EM51">
        <v>2.4750000000000005</v>
      </c>
      <c r="EN51">
        <v>8</v>
      </c>
      <c r="EO51">
        <v>0.375</v>
      </c>
      <c r="EP51">
        <v>-1.0625</v>
      </c>
      <c r="EQ51">
        <v>10</v>
      </c>
      <c r="ER51">
        <v>10.5</v>
      </c>
      <c r="ES51">
        <v>6</v>
      </c>
      <c r="ET51">
        <v>-2.4500000000000002</v>
      </c>
      <c r="EU51">
        <v>15</v>
      </c>
      <c r="EV51">
        <v>-9.5</v>
      </c>
      <c r="EW51">
        <v>-0.875</v>
      </c>
      <c r="EX51">
        <v>12</v>
      </c>
      <c r="EY51">
        <v>12.5</v>
      </c>
      <c r="EZ51">
        <v>12</v>
      </c>
      <c r="FA51">
        <v>0.25</v>
      </c>
      <c r="FB51">
        <v>13</v>
      </c>
      <c r="FC51">
        <v>-6.25E-2</v>
      </c>
      <c r="FD51">
        <v>3.875</v>
      </c>
      <c r="FE51">
        <v>3</v>
      </c>
      <c r="FF51">
        <v>8</v>
      </c>
      <c r="FG51">
        <v>13</v>
      </c>
      <c r="FH51">
        <v>-2.2658186774165881E-2</v>
      </c>
      <c r="FI51">
        <v>2</v>
      </c>
      <c r="FJ51">
        <v>-2.3435810295597418E-3</v>
      </c>
      <c r="FK51">
        <v>9</v>
      </c>
      <c r="FL51">
        <v>17.350000000000001</v>
      </c>
      <c r="FM51">
        <v>8</v>
      </c>
      <c r="FN51">
        <v>-1.25</v>
      </c>
      <c r="FO51">
        <v>-3.0625</v>
      </c>
      <c r="FP51">
        <v>3.125</v>
      </c>
      <c r="FQ51">
        <v>0.5625</v>
      </c>
      <c r="FR51">
        <v>1.375</v>
      </c>
      <c r="FS51">
        <v>3.75</v>
      </c>
      <c r="FT51">
        <v>2.625</v>
      </c>
      <c r="FU51">
        <v>33.1875</v>
      </c>
      <c r="FV51">
        <v>6.5625</v>
      </c>
      <c r="FW51">
        <v>11.0625</v>
      </c>
      <c r="FX51">
        <v>3.8125</v>
      </c>
      <c r="FY51">
        <v>11.75</v>
      </c>
      <c r="FZ51">
        <v>8</v>
      </c>
      <c r="GA51">
        <v>4.8049999999999988</v>
      </c>
      <c r="GB51">
        <v>3.2178749999999998</v>
      </c>
      <c r="GC51">
        <v>-4.5</v>
      </c>
      <c r="GD51">
        <v>-4.8049999999999988</v>
      </c>
      <c r="GE51">
        <v>1.2029687500000006</v>
      </c>
      <c r="GF51">
        <v>10.856250000000003</v>
      </c>
      <c r="GG51">
        <v>18.875</v>
      </c>
      <c r="GH51">
        <v>-1.9187499999999986</v>
      </c>
      <c r="GI51">
        <v>-2.3958333333333348</v>
      </c>
      <c r="GJ51">
        <v>-0.3125</v>
      </c>
      <c r="GK51">
        <v>-1.1875</v>
      </c>
    </row>
    <row r="52" spans="1:193" x14ac:dyDescent="0.2">
      <c r="A52" s="39">
        <v>43744</v>
      </c>
      <c r="B52" s="22" t="s">
        <v>381</v>
      </c>
      <c r="C52" s="41" t="s">
        <v>307</v>
      </c>
      <c r="D52" s="22" t="s">
        <v>284</v>
      </c>
      <c r="E52">
        <v>44.2</v>
      </c>
      <c r="F52">
        <v>11.6</v>
      </c>
      <c r="G52">
        <v>0</v>
      </c>
      <c r="H52">
        <f>14.1+6.9</f>
        <v>21</v>
      </c>
      <c r="I52">
        <v>-3</v>
      </c>
      <c r="J52">
        <v>46</v>
      </c>
      <c r="L52" s="1" t="s">
        <v>307</v>
      </c>
      <c r="M52">
        <v>17</v>
      </c>
      <c r="N52">
        <v>-0.26875000000000115</v>
      </c>
      <c r="O52">
        <v>8</v>
      </c>
      <c r="P52">
        <v>8.5</v>
      </c>
      <c r="Q52">
        <v>5</v>
      </c>
      <c r="R52">
        <v>1.2125000000000012</v>
      </c>
      <c r="S52">
        <v>12</v>
      </c>
      <c r="T52">
        <v>6.5</v>
      </c>
      <c r="U52">
        <v>-0.125</v>
      </c>
      <c r="V52">
        <v>16</v>
      </c>
      <c r="W52">
        <v>15</v>
      </c>
      <c r="X52">
        <v>15</v>
      </c>
      <c r="Y52">
        <v>-0.60000000000000031</v>
      </c>
      <c r="Z52">
        <v>15</v>
      </c>
      <c r="AA52">
        <v>2.4375</v>
      </c>
      <c r="AB52">
        <v>-0.5</v>
      </c>
      <c r="AC52">
        <v>5</v>
      </c>
      <c r="AD52">
        <v>5.5</v>
      </c>
      <c r="AE52">
        <v>4</v>
      </c>
      <c r="AF52">
        <v>3.8937499999999998</v>
      </c>
      <c r="AG52">
        <v>7</v>
      </c>
      <c r="AH52">
        <v>16.625</v>
      </c>
      <c r="AI52">
        <v>1.3125</v>
      </c>
      <c r="AJ52">
        <v>32</v>
      </c>
      <c r="AK52">
        <v>32</v>
      </c>
      <c r="AL52">
        <v>32</v>
      </c>
      <c r="AM52">
        <v>-3.9187499999999988</v>
      </c>
      <c r="AN52">
        <v>32</v>
      </c>
      <c r="AO52">
        <v>-13.125</v>
      </c>
      <c r="AP52">
        <v>-1.6875</v>
      </c>
      <c r="AQ52">
        <v>29</v>
      </c>
      <c r="AR52">
        <v>29</v>
      </c>
      <c r="AS52">
        <v>28</v>
      </c>
      <c r="AT52">
        <v>-1.2937500000000002</v>
      </c>
      <c r="AU52">
        <v>30</v>
      </c>
      <c r="AV52">
        <v>-17.9375</v>
      </c>
      <c r="AW52">
        <v>-3.0625</v>
      </c>
      <c r="AX52">
        <v>28</v>
      </c>
      <c r="AY52">
        <v>28</v>
      </c>
      <c r="AZ52">
        <v>28</v>
      </c>
      <c r="BA52">
        <v>2.9812499999999993</v>
      </c>
      <c r="BB52">
        <v>28</v>
      </c>
      <c r="BC52">
        <v>21.6875</v>
      </c>
      <c r="BD52">
        <v>0.6875</v>
      </c>
      <c r="BE52">
        <v>4</v>
      </c>
      <c r="BF52">
        <v>4.5</v>
      </c>
      <c r="BG52">
        <v>5</v>
      </c>
      <c r="BH52">
        <v>-4.7062499999999998</v>
      </c>
      <c r="BI52">
        <v>-10.3125</v>
      </c>
      <c r="BJ52">
        <v>-0.3125</v>
      </c>
      <c r="BK52">
        <v>4</v>
      </c>
      <c r="BL52">
        <v>7</v>
      </c>
      <c r="BM52">
        <v>4</v>
      </c>
      <c r="BN52">
        <v>2.125</v>
      </c>
      <c r="BO52">
        <v>10</v>
      </c>
      <c r="BP52">
        <v>0.4375</v>
      </c>
      <c r="BQ52">
        <v>2.5</v>
      </c>
      <c r="BR52">
        <v>32</v>
      </c>
      <c r="BS52">
        <v>29.5</v>
      </c>
      <c r="BT52">
        <v>30</v>
      </c>
      <c r="BU52">
        <v>-2.3869973650483947E-2</v>
      </c>
      <c r="BV52">
        <v>28</v>
      </c>
      <c r="BW52">
        <v>-7.8929538436459702E-3</v>
      </c>
      <c r="BX52">
        <v>31</v>
      </c>
      <c r="BY52">
        <v>9.1937500000000014</v>
      </c>
      <c r="BZ52">
        <v>29</v>
      </c>
      <c r="CA52">
        <v>-2.0625</v>
      </c>
      <c r="CB52">
        <v>-3.6875</v>
      </c>
      <c r="CC52">
        <v>-1.625</v>
      </c>
      <c r="CD52">
        <v>2.1875</v>
      </c>
      <c r="CE52">
        <v>-13.8125</v>
      </c>
      <c r="CF52">
        <v>-23.25</v>
      </c>
      <c r="CG52">
        <v>7.1875</v>
      </c>
      <c r="CH52">
        <v>-0.5</v>
      </c>
      <c r="CI52">
        <v>2.75</v>
      </c>
      <c r="CJ52">
        <v>20</v>
      </c>
      <c r="CK52">
        <v>-0.88125000000000209</v>
      </c>
      <c r="CL52">
        <v>-1.5650000000000004</v>
      </c>
      <c r="CM52">
        <v>-30.4375</v>
      </c>
      <c r="CN52">
        <v>0.88125000000000209</v>
      </c>
      <c r="CO52">
        <v>-0.44453124999999982</v>
      </c>
      <c r="CP52">
        <v>-1.3187499999999992</v>
      </c>
      <c r="CQ52">
        <v>-14.4375</v>
      </c>
      <c r="CR52">
        <v>0.61250000000000093</v>
      </c>
      <c r="CS52">
        <v>8.9375</v>
      </c>
      <c r="CT52">
        <v>-3.75</v>
      </c>
      <c r="CU52">
        <v>-0.625</v>
      </c>
      <c r="CV52">
        <v>0.48656250000000006</v>
      </c>
      <c r="CW52">
        <v>-0.5673437499999997</v>
      </c>
      <c r="CX52" t="s">
        <v>284</v>
      </c>
      <c r="CY52">
        <v>4</v>
      </c>
      <c r="CZ52">
        <v>6.1174999999999997</v>
      </c>
      <c r="DA52">
        <v>25</v>
      </c>
      <c r="DB52">
        <v>23.5</v>
      </c>
      <c r="DC52">
        <v>24</v>
      </c>
      <c r="DD52">
        <v>-4.3</v>
      </c>
      <c r="DE52">
        <v>23</v>
      </c>
      <c r="DF52">
        <v>-43.916666666666664</v>
      </c>
      <c r="DG52">
        <v>2.0833333333333335</v>
      </c>
      <c r="DH52">
        <v>31</v>
      </c>
      <c r="DI52">
        <v>31</v>
      </c>
      <c r="DJ52">
        <v>31</v>
      </c>
      <c r="DK52">
        <v>-6.1750000000000007</v>
      </c>
      <c r="DL52">
        <v>31</v>
      </c>
      <c r="DM52">
        <v>-18</v>
      </c>
      <c r="DN52">
        <v>-0.41666666666666669</v>
      </c>
      <c r="DO52">
        <v>9</v>
      </c>
      <c r="DP52">
        <v>6</v>
      </c>
      <c r="DQ52">
        <v>6</v>
      </c>
      <c r="DR52">
        <v>4.5250000000000012</v>
      </c>
      <c r="DS52">
        <v>6</v>
      </c>
      <c r="DT52">
        <v>12.3125</v>
      </c>
      <c r="DU52">
        <v>2.125</v>
      </c>
      <c r="DV52">
        <v>1</v>
      </c>
      <c r="DW52">
        <v>1.5</v>
      </c>
      <c r="DX52">
        <v>1</v>
      </c>
      <c r="DY52">
        <v>4.2437499999999995</v>
      </c>
      <c r="DZ52">
        <v>2</v>
      </c>
      <c r="EA52">
        <v>34.1875</v>
      </c>
      <c r="EB52">
        <v>2.5625</v>
      </c>
      <c r="EC52">
        <v>8</v>
      </c>
      <c r="ED52">
        <v>12.5</v>
      </c>
      <c r="EE52">
        <v>17</v>
      </c>
      <c r="EF52">
        <v>-0.59375000000000044</v>
      </c>
      <c r="EG52">
        <v>8</v>
      </c>
      <c r="EH52">
        <v>-4.75</v>
      </c>
      <c r="EI52">
        <v>0.9375</v>
      </c>
      <c r="EJ52">
        <v>2</v>
      </c>
      <c r="EK52">
        <v>3.5</v>
      </c>
      <c r="EL52">
        <v>1</v>
      </c>
      <c r="EM52">
        <v>7.6125000000000007</v>
      </c>
      <c r="EN52">
        <v>6</v>
      </c>
      <c r="EO52">
        <v>31.75</v>
      </c>
      <c r="EP52">
        <v>3.125</v>
      </c>
      <c r="EQ52">
        <v>21</v>
      </c>
      <c r="ER52">
        <v>20.5</v>
      </c>
      <c r="ES52">
        <v>15</v>
      </c>
      <c r="ET52">
        <v>5.5062499999999996</v>
      </c>
      <c r="EU52">
        <v>26</v>
      </c>
      <c r="EV52">
        <v>28.6875</v>
      </c>
      <c r="EW52">
        <v>2.25</v>
      </c>
      <c r="EX52">
        <v>16</v>
      </c>
      <c r="EY52">
        <v>14</v>
      </c>
      <c r="EZ52">
        <v>13</v>
      </c>
      <c r="FA52">
        <v>3</v>
      </c>
      <c r="FB52">
        <v>15</v>
      </c>
      <c r="FC52">
        <v>0.375</v>
      </c>
      <c r="FD52">
        <v>1.625</v>
      </c>
      <c r="FE52">
        <v>10</v>
      </c>
      <c r="FF52">
        <v>13.25</v>
      </c>
      <c r="FG52">
        <v>9</v>
      </c>
      <c r="FH52">
        <v>4.2310847394900111E-2</v>
      </c>
      <c r="FI52">
        <v>26</v>
      </c>
      <c r="FJ52">
        <v>1.2275670410929539E-2</v>
      </c>
      <c r="FK52">
        <v>6</v>
      </c>
      <c r="FL52">
        <v>7.1999999999999993</v>
      </c>
      <c r="FM52">
        <v>12</v>
      </c>
      <c r="FN52">
        <v>3.875</v>
      </c>
      <c r="FO52">
        <v>8.3125</v>
      </c>
      <c r="FP52">
        <v>-6.25</v>
      </c>
      <c r="FQ52">
        <v>-1</v>
      </c>
      <c r="FR52">
        <v>1.5625</v>
      </c>
      <c r="FS52">
        <v>-1.25</v>
      </c>
      <c r="FT52">
        <v>3.875</v>
      </c>
      <c r="FU52">
        <v>-10.375</v>
      </c>
      <c r="FV52">
        <v>64.5625</v>
      </c>
      <c r="FW52">
        <v>-70.125</v>
      </c>
      <c r="FX52">
        <v>-5.75</v>
      </c>
      <c r="FY52">
        <v>0.9375</v>
      </c>
      <c r="FZ52">
        <v>1</v>
      </c>
      <c r="GA52">
        <v>16.592500000000001</v>
      </c>
      <c r="GB52">
        <v>9.1972500000000004</v>
      </c>
      <c r="GC52">
        <v>134.6875</v>
      </c>
      <c r="GD52">
        <v>-16.592500000000001</v>
      </c>
      <c r="GE52">
        <v>1.5404687499999998</v>
      </c>
      <c r="GF52">
        <v>8.1750000000000007</v>
      </c>
      <c r="GG52">
        <v>41.75</v>
      </c>
      <c r="GH52">
        <v>-10.475000000000001</v>
      </c>
      <c r="GI52">
        <v>-61.916666666666664</v>
      </c>
      <c r="GJ52">
        <v>7.875</v>
      </c>
      <c r="GK52">
        <v>1.6666666666666667</v>
      </c>
    </row>
    <row r="53" spans="1:193" x14ac:dyDescent="0.2">
      <c r="A53" s="39">
        <v>43744</v>
      </c>
      <c r="B53" s="28" t="s">
        <v>381</v>
      </c>
      <c r="C53" s="41" t="s">
        <v>296</v>
      </c>
      <c r="D53" s="28" t="s">
        <v>312</v>
      </c>
      <c r="E53" s="3">
        <v>9.6999999999999993</v>
      </c>
      <c r="F53" s="3">
        <v>4.3</v>
      </c>
      <c r="G53" s="3">
        <v>16.2</v>
      </c>
      <c r="H53" s="3">
        <v>12</v>
      </c>
      <c r="I53" s="3">
        <v>5.5</v>
      </c>
      <c r="J53" s="3">
        <v>44</v>
      </c>
      <c r="K53" t="s">
        <v>110</v>
      </c>
      <c r="L53" s="1" t="s">
        <v>296</v>
      </c>
      <c r="M53">
        <v>9</v>
      </c>
      <c r="N53">
        <v>3.13375</v>
      </c>
      <c r="O53">
        <v>20</v>
      </c>
      <c r="P53">
        <v>21</v>
      </c>
      <c r="Q53">
        <v>16</v>
      </c>
      <c r="R53">
        <v>3.9937500000000008</v>
      </c>
      <c r="S53">
        <v>26</v>
      </c>
      <c r="T53">
        <v>14.9375</v>
      </c>
      <c r="U53">
        <v>0.6875</v>
      </c>
      <c r="V53">
        <v>31</v>
      </c>
      <c r="W53">
        <v>31</v>
      </c>
      <c r="X53">
        <v>32</v>
      </c>
      <c r="Y53">
        <v>-1.125</v>
      </c>
      <c r="Z53">
        <v>30</v>
      </c>
      <c r="AA53">
        <v>-0.9375</v>
      </c>
      <c r="AB53">
        <v>-1.375</v>
      </c>
      <c r="AC53">
        <v>14</v>
      </c>
      <c r="AD53">
        <v>15.5</v>
      </c>
      <c r="AE53">
        <v>10</v>
      </c>
      <c r="AF53">
        <v>0.96249999999999902</v>
      </c>
      <c r="AG53">
        <v>21</v>
      </c>
      <c r="AH53">
        <v>0.9375</v>
      </c>
      <c r="AI53">
        <v>-0.625</v>
      </c>
      <c r="AJ53">
        <v>13</v>
      </c>
      <c r="AK53">
        <v>13.5</v>
      </c>
      <c r="AL53">
        <v>5</v>
      </c>
      <c r="AM53">
        <v>-5.9812499999999993</v>
      </c>
      <c r="AN53">
        <v>22</v>
      </c>
      <c r="AO53">
        <v>-13.625</v>
      </c>
      <c r="AP53">
        <v>-2.0625</v>
      </c>
      <c r="AQ53">
        <v>12</v>
      </c>
      <c r="AR53">
        <v>12.5</v>
      </c>
      <c r="AS53">
        <v>14</v>
      </c>
      <c r="AT53">
        <v>-3.1250000000000222E-2</v>
      </c>
      <c r="AU53">
        <v>11</v>
      </c>
      <c r="AV53">
        <v>-4.4375</v>
      </c>
      <c r="AW53">
        <v>-1.1875</v>
      </c>
      <c r="AX53">
        <v>22</v>
      </c>
      <c r="AY53">
        <v>21</v>
      </c>
      <c r="AZ53">
        <v>17</v>
      </c>
      <c r="BA53">
        <v>1.0375000000000001</v>
      </c>
      <c r="BB53">
        <v>25</v>
      </c>
      <c r="BC53">
        <v>12.875</v>
      </c>
      <c r="BD53">
        <v>1.5</v>
      </c>
      <c r="BE53">
        <v>19</v>
      </c>
      <c r="BF53">
        <v>19</v>
      </c>
      <c r="BG53">
        <v>18</v>
      </c>
      <c r="BH53">
        <v>8.6437500000000007</v>
      </c>
      <c r="BI53">
        <v>36.4375</v>
      </c>
      <c r="BJ53">
        <v>3.5</v>
      </c>
      <c r="BK53">
        <v>28</v>
      </c>
      <c r="BL53">
        <v>27.5</v>
      </c>
      <c r="BM53">
        <v>29</v>
      </c>
      <c r="BN53">
        <v>-2.5625</v>
      </c>
      <c r="BO53">
        <v>26</v>
      </c>
      <c r="BP53">
        <v>-0.75</v>
      </c>
      <c r="BQ53">
        <v>-2.375</v>
      </c>
      <c r="BR53">
        <v>2</v>
      </c>
      <c r="BS53">
        <v>7.5</v>
      </c>
      <c r="BT53">
        <v>3</v>
      </c>
      <c r="BU53">
        <v>2.2311277933480887E-2</v>
      </c>
      <c r="BV53">
        <v>16</v>
      </c>
      <c r="BW53">
        <v>-1.0591404744577763E-2</v>
      </c>
      <c r="BX53">
        <v>10</v>
      </c>
      <c r="BY53">
        <v>-11.112499999999999</v>
      </c>
      <c r="BZ53">
        <v>1</v>
      </c>
      <c r="CA53">
        <v>-0.25</v>
      </c>
      <c r="CB53">
        <v>0.125</v>
      </c>
      <c r="CC53">
        <v>1.1875</v>
      </c>
      <c r="CD53">
        <v>-1.5625</v>
      </c>
      <c r="CE53">
        <v>54.25</v>
      </c>
      <c r="CF53">
        <v>22.25</v>
      </c>
      <c r="CG53">
        <v>17.6875</v>
      </c>
      <c r="CH53">
        <v>7.1875</v>
      </c>
      <c r="CI53">
        <v>7.125</v>
      </c>
      <c r="CJ53">
        <v>18</v>
      </c>
      <c r="CK53">
        <v>0.26499999999999924</v>
      </c>
      <c r="CL53">
        <v>-8.8875000000000259E-2</v>
      </c>
      <c r="CM53">
        <v>4.5625</v>
      </c>
      <c r="CN53">
        <v>-0.26499999999999924</v>
      </c>
      <c r="CO53">
        <v>0.87921875000000016</v>
      </c>
      <c r="CP53">
        <v>-5.0500000000000007</v>
      </c>
      <c r="CQ53">
        <v>-17.125</v>
      </c>
      <c r="CR53">
        <v>2.8687500000000008</v>
      </c>
      <c r="CS53">
        <v>14</v>
      </c>
      <c r="CT53">
        <v>-0.375</v>
      </c>
      <c r="CU53">
        <v>-0.6875</v>
      </c>
      <c r="CV53">
        <v>8.414062500000008E-2</v>
      </c>
      <c r="CW53">
        <v>0.48125000000000023</v>
      </c>
      <c r="CX53" t="s">
        <v>312</v>
      </c>
      <c r="CY53">
        <v>7</v>
      </c>
      <c r="CZ53">
        <v>3.374999999999817E-2</v>
      </c>
      <c r="DA53">
        <v>22</v>
      </c>
      <c r="DB53">
        <v>21.5</v>
      </c>
      <c r="DC53">
        <v>22</v>
      </c>
      <c r="DD53">
        <v>-0.85625000000000018</v>
      </c>
      <c r="DE53">
        <v>21</v>
      </c>
      <c r="DF53">
        <v>4.3125</v>
      </c>
      <c r="DG53">
        <v>0.9375</v>
      </c>
      <c r="DH53">
        <v>8</v>
      </c>
      <c r="DI53">
        <v>11</v>
      </c>
      <c r="DJ53">
        <v>9</v>
      </c>
      <c r="DK53">
        <v>2.3812500000000001</v>
      </c>
      <c r="DL53">
        <v>13</v>
      </c>
      <c r="DM53">
        <v>7.0625</v>
      </c>
      <c r="DN53">
        <v>6.25E-2</v>
      </c>
      <c r="DO53">
        <v>6</v>
      </c>
      <c r="DP53">
        <v>14.5</v>
      </c>
      <c r="DQ53">
        <v>15</v>
      </c>
      <c r="DR53">
        <v>-1.5624999999999991</v>
      </c>
      <c r="DS53">
        <v>14</v>
      </c>
      <c r="DT53">
        <v>-13.6875</v>
      </c>
      <c r="DU53">
        <v>-0.6875</v>
      </c>
      <c r="DV53">
        <v>4</v>
      </c>
      <c r="DW53">
        <v>5</v>
      </c>
      <c r="DX53">
        <v>3</v>
      </c>
      <c r="DY53">
        <v>-1.2187500000000004</v>
      </c>
      <c r="DZ53">
        <v>7</v>
      </c>
      <c r="EA53">
        <v>-0.875</v>
      </c>
      <c r="EB53">
        <v>-0.375</v>
      </c>
      <c r="EC53">
        <v>3</v>
      </c>
      <c r="ED53">
        <v>1</v>
      </c>
      <c r="EE53">
        <v>1</v>
      </c>
      <c r="EF53">
        <v>2.6687500000000002</v>
      </c>
      <c r="EG53">
        <v>1</v>
      </c>
      <c r="EH53">
        <v>7.875</v>
      </c>
      <c r="EI53">
        <v>0.75</v>
      </c>
      <c r="EJ53">
        <v>13</v>
      </c>
      <c r="EK53">
        <v>12.5</v>
      </c>
      <c r="EL53">
        <v>13</v>
      </c>
      <c r="EM53">
        <v>3.4125000000000005</v>
      </c>
      <c r="EN53">
        <v>12</v>
      </c>
      <c r="EO53">
        <v>19.125</v>
      </c>
      <c r="EP53">
        <v>1.0625</v>
      </c>
      <c r="EQ53">
        <v>18</v>
      </c>
      <c r="ER53">
        <v>16</v>
      </c>
      <c r="ES53">
        <v>20</v>
      </c>
      <c r="ET53">
        <v>-1.4499999999999993</v>
      </c>
      <c r="EU53">
        <v>12</v>
      </c>
      <c r="EV53">
        <v>-2.6875</v>
      </c>
      <c r="EW53">
        <v>0.1875</v>
      </c>
      <c r="EX53">
        <v>11</v>
      </c>
      <c r="EY53">
        <v>12</v>
      </c>
      <c r="EZ53">
        <v>11</v>
      </c>
      <c r="FA53">
        <v>-2.5</v>
      </c>
      <c r="FB53">
        <v>13</v>
      </c>
      <c r="FC53">
        <v>-0.5</v>
      </c>
      <c r="FD53">
        <v>-0.3125</v>
      </c>
      <c r="FE53">
        <v>7</v>
      </c>
      <c r="FF53">
        <v>12.25</v>
      </c>
      <c r="FG53">
        <v>19</v>
      </c>
      <c r="FH53">
        <v>5.4742186902560164E-2</v>
      </c>
      <c r="FI53">
        <v>13</v>
      </c>
      <c r="FJ53">
        <v>1.609280693807278E-2</v>
      </c>
      <c r="FK53">
        <v>1</v>
      </c>
      <c r="FL53">
        <v>-3.0499999999999972</v>
      </c>
      <c r="FM53">
        <v>16</v>
      </c>
      <c r="FN53">
        <v>1.5625</v>
      </c>
      <c r="FO53">
        <v>6.25E-2</v>
      </c>
      <c r="FP53">
        <v>2.6875</v>
      </c>
      <c r="FQ53">
        <v>0.25</v>
      </c>
      <c r="FR53">
        <v>3.3125</v>
      </c>
      <c r="FS53">
        <v>-2.125</v>
      </c>
      <c r="FT53">
        <v>-0.875</v>
      </c>
      <c r="FU53">
        <v>-13.125</v>
      </c>
      <c r="FV53">
        <v>-14.3125</v>
      </c>
      <c r="FW53">
        <v>11.75</v>
      </c>
      <c r="FX53">
        <v>-8.5625</v>
      </c>
      <c r="FY53">
        <v>-2</v>
      </c>
      <c r="FZ53">
        <v>21</v>
      </c>
      <c r="GA53">
        <v>-1.4912500000000017</v>
      </c>
      <c r="GB53">
        <v>-1.0682499999999999</v>
      </c>
      <c r="GC53">
        <v>-26.0625</v>
      </c>
      <c r="GD53">
        <v>1.4912500000000017</v>
      </c>
      <c r="GE53">
        <v>-0.31296875000000007</v>
      </c>
      <c r="GF53">
        <v>-0.11249999999999938</v>
      </c>
      <c r="GG53">
        <v>-6.6875</v>
      </c>
      <c r="GH53">
        <v>1.5249999999999999</v>
      </c>
      <c r="GI53">
        <v>11.375</v>
      </c>
      <c r="GJ53">
        <v>-0.125</v>
      </c>
      <c r="GK53">
        <v>1</v>
      </c>
    </row>
    <row r="54" spans="1:193" x14ac:dyDescent="0.2">
      <c r="A54" s="39">
        <v>43744</v>
      </c>
      <c r="B54" s="28" t="s">
        <v>381</v>
      </c>
      <c r="C54" s="41" t="s">
        <v>298</v>
      </c>
      <c r="D54" s="28" t="s">
        <v>294</v>
      </c>
      <c r="E54" s="3">
        <v>3</v>
      </c>
      <c r="F54" s="3">
        <v>2.6</v>
      </c>
      <c r="G54" s="3">
        <v>8.6999999999999993</v>
      </c>
      <c r="H54" s="3">
        <v>1.2</v>
      </c>
      <c r="I54" s="3">
        <v>14</v>
      </c>
      <c r="J54" s="3">
        <v>43</v>
      </c>
      <c r="K54" s="3"/>
      <c r="L54" s="1" t="s">
        <v>298</v>
      </c>
      <c r="M54">
        <v>21</v>
      </c>
      <c r="N54">
        <v>-9.52</v>
      </c>
      <c r="O54">
        <v>19</v>
      </c>
      <c r="P54">
        <v>20.5</v>
      </c>
      <c r="Q54">
        <v>13</v>
      </c>
      <c r="R54">
        <v>3.6437500000000007</v>
      </c>
      <c r="S54">
        <v>28</v>
      </c>
      <c r="T54">
        <v>1.3125</v>
      </c>
      <c r="U54">
        <v>4.09375</v>
      </c>
      <c r="V54">
        <v>24</v>
      </c>
      <c r="W54">
        <v>24</v>
      </c>
      <c r="X54">
        <v>27</v>
      </c>
      <c r="Y54">
        <v>-2.5562499999999999</v>
      </c>
      <c r="Z54">
        <v>21</v>
      </c>
      <c r="AA54">
        <v>6.25E-2</v>
      </c>
      <c r="AB54">
        <v>-2.125</v>
      </c>
      <c r="AC54">
        <v>31</v>
      </c>
      <c r="AD54">
        <v>31</v>
      </c>
      <c r="AE54">
        <v>30</v>
      </c>
      <c r="AF54">
        <v>-4.9750000000000005</v>
      </c>
      <c r="AG54">
        <v>32</v>
      </c>
      <c r="AH54">
        <v>-23.625</v>
      </c>
      <c r="AI54">
        <v>-1.1875</v>
      </c>
      <c r="AJ54">
        <v>21</v>
      </c>
      <c r="AK54">
        <v>20.5</v>
      </c>
      <c r="AL54">
        <v>21</v>
      </c>
      <c r="AM54">
        <v>-4.1812500000000004</v>
      </c>
      <c r="AN54">
        <v>20</v>
      </c>
      <c r="AO54">
        <v>-16.3125</v>
      </c>
      <c r="AP54">
        <v>-1.8125</v>
      </c>
      <c r="AQ54">
        <v>6</v>
      </c>
      <c r="AR54">
        <v>6</v>
      </c>
      <c r="AS54">
        <v>7</v>
      </c>
      <c r="AT54">
        <v>-4.2125000000000004</v>
      </c>
      <c r="AU54">
        <v>5</v>
      </c>
      <c r="AV54">
        <v>-12.75</v>
      </c>
      <c r="AW54">
        <v>-0.9375</v>
      </c>
      <c r="AX54">
        <v>24</v>
      </c>
      <c r="AY54">
        <v>25</v>
      </c>
      <c r="AZ54">
        <v>24</v>
      </c>
      <c r="BA54">
        <v>-6.53125</v>
      </c>
      <c r="BB54">
        <v>26</v>
      </c>
      <c r="BC54">
        <v>-27.8125</v>
      </c>
      <c r="BD54">
        <v>-2.375</v>
      </c>
      <c r="BE54">
        <v>14</v>
      </c>
      <c r="BF54">
        <v>13.5</v>
      </c>
      <c r="BG54">
        <v>13</v>
      </c>
      <c r="BH54">
        <v>-7.6312499999999996</v>
      </c>
      <c r="BI54">
        <v>-33.8125</v>
      </c>
      <c r="BJ54">
        <v>-3.3125</v>
      </c>
      <c r="BK54">
        <v>14</v>
      </c>
      <c r="BL54">
        <v>13.5</v>
      </c>
      <c r="BM54">
        <v>19</v>
      </c>
      <c r="BN54">
        <v>-4.25</v>
      </c>
      <c r="BO54">
        <v>8</v>
      </c>
      <c r="BP54">
        <v>-0.6875</v>
      </c>
      <c r="BQ54">
        <v>2.625</v>
      </c>
      <c r="BR54">
        <v>8</v>
      </c>
      <c r="BS54">
        <v>12</v>
      </c>
      <c r="BT54">
        <v>2</v>
      </c>
      <c r="BU54">
        <v>9.2541107826202368E-2</v>
      </c>
      <c r="BV54">
        <v>17</v>
      </c>
      <c r="BW54">
        <v>9.235518978510357E-2</v>
      </c>
      <c r="BX54">
        <v>12</v>
      </c>
      <c r="BY54">
        <v>15.2125</v>
      </c>
      <c r="BZ54">
        <v>17</v>
      </c>
      <c r="CA54">
        <v>7.25</v>
      </c>
      <c r="CB54">
        <v>-5.125</v>
      </c>
      <c r="CC54">
        <v>-11</v>
      </c>
      <c r="CD54">
        <v>2.875</v>
      </c>
      <c r="CE54">
        <v>-114.4375</v>
      </c>
      <c r="CF54">
        <v>-98.5</v>
      </c>
      <c r="CG54">
        <v>-5.1875</v>
      </c>
      <c r="CH54">
        <v>1.25</v>
      </c>
      <c r="CI54">
        <v>-12</v>
      </c>
      <c r="CJ54">
        <v>29</v>
      </c>
      <c r="CK54">
        <v>-10.6075</v>
      </c>
      <c r="CL54">
        <v>-6.6477500000000012</v>
      </c>
      <c r="CM54">
        <v>-93.3125</v>
      </c>
      <c r="CN54">
        <v>10.6075</v>
      </c>
      <c r="CO54">
        <v>-4.2103124999999997</v>
      </c>
      <c r="CP54">
        <v>-13.36875</v>
      </c>
      <c r="CQ54">
        <v>-52.6875</v>
      </c>
      <c r="CR54">
        <v>1.0875000000000008</v>
      </c>
      <c r="CS54">
        <v>1.375</v>
      </c>
      <c r="CT54">
        <v>-7.25</v>
      </c>
      <c r="CU54">
        <v>1.96875</v>
      </c>
      <c r="CV54">
        <v>0.90898437500000029</v>
      </c>
      <c r="CW54">
        <v>-0.18249999999999988</v>
      </c>
      <c r="CX54" t="s">
        <v>294</v>
      </c>
      <c r="CY54">
        <v>30</v>
      </c>
      <c r="CZ54">
        <v>4.3099999999999996</v>
      </c>
      <c r="DA54">
        <v>18</v>
      </c>
      <c r="DB54">
        <v>19.5</v>
      </c>
      <c r="DC54">
        <v>7</v>
      </c>
      <c r="DD54">
        <v>-0.68749999999999956</v>
      </c>
      <c r="DE54">
        <v>32</v>
      </c>
      <c r="DF54">
        <v>-26.75</v>
      </c>
      <c r="DG54">
        <v>0.53125</v>
      </c>
      <c r="DH54">
        <v>5</v>
      </c>
      <c r="DI54">
        <v>8</v>
      </c>
      <c r="DJ54">
        <v>13</v>
      </c>
      <c r="DK54">
        <v>-1.1062499999999995</v>
      </c>
      <c r="DL54">
        <v>3</v>
      </c>
      <c r="DM54">
        <v>-6.0625</v>
      </c>
      <c r="DN54">
        <v>0.875</v>
      </c>
      <c r="DO54">
        <v>30</v>
      </c>
      <c r="DP54">
        <v>24</v>
      </c>
      <c r="DQ54">
        <v>24</v>
      </c>
      <c r="DR54">
        <v>4.7625000000000011</v>
      </c>
      <c r="DS54">
        <v>24</v>
      </c>
      <c r="DT54">
        <v>31.1875</v>
      </c>
      <c r="DU54">
        <v>1.375</v>
      </c>
      <c r="DV54">
        <v>31</v>
      </c>
      <c r="DW54">
        <v>30.5</v>
      </c>
      <c r="DX54">
        <v>30</v>
      </c>
      <c r="DY54">
        <v>4.8500000000000014</v>
      </c>
      <c r="DZ54">
        <v>31</v>
      </c>
      <c r="EA54">
        <v>19.375</v>
      </c>
      <c r="EB54">
        <v>2.0625</v>
      </c>
      <c r="EC54">
        <v>29</v>
      </c>
      <c r="ED54">
        <v>20</v>
      </c>
      <c r="EE54">
        <v>18</v>
      </c>
      <c r="EF54">
        <v>1.118750000000001</v>
      </c>
      <c r="EG54">
        <v>22</v>
      </c>
      <c r="EH54">
        <v>-4</v>
      </c>
      <c r="EI54">
        <v>6.25E-2</v>
      </c>
      <c r="EJ54">
        <v>32</v>
      </c>
      <c r="EK54">
        <v>32</v>
      </c>
      <c r="EL54">
        <v>32</v>
      </c>
      <c r="EM54">
        <v>-4.84375</v>
      </c>
      <c r="EN54">
        <v>32</v>
      </c>
      <c r="EO54">
        <v>-18.4375</v>
      </c>
      <c r="EP54">
        <v>-1.9375</v>
      </c>
      <c r="EQ54">
        <v>8</v>
      </c>
      <c r="ER54">
        <v>8.5</v>
      </c>
      <c r="ES54">
        <v>12</v>
      </c>
      <c r="ET54">
        <v>-0.11874999999999947</v>
      </c>
      <c r="EU54">
        <v>5</v>
      </c>
      <c r="EV54">
        <v>-3.0625</v>
      </c>
      <c r="EW54">
        <v>0.3125</v>
      </c>
      <c r="EX54">
        <v>31</v>
      </c>
      <c r="EY54">
        <v>28.5</v>
      </c>
      <c r="EZ54">
        <v>26</v>
      </c>
      <c r="FA54">
        <v>2.875</v>
      </c>
      <c r="FB54">
        <v>31</v>
      </c>
      <c r="FC54">
        <v>0.625</v>
      </c>
      <c r="FD54">
        <v>-0.6875</v>
      </c>
      <c r="FE54">
        <v>4</v>
      </c>
      <c r="FF54">
        <v>8.75</v>
      </c>
      <c r="FG54">
        <v>3</v>
      </c>
      <c r="FH54">
        <v>3.9893190126744665E-2</v>
      </c>
      <c r="FI54">
        <v>4</v>
      </c>
      <c r="FJ54">
        <v>-3.30250190854234E-2</v>
      </c>
      <c r="FK54">
        <v>14</v>
      </c>
      <c r="FL54">
        <v>3.5874999999999986</v>
      </c>
      <c r="FM54">
        <v>14</v>
      </c>
      <c r="FN54">
        <v>-4.5625</v>
      </c>
      <c r="FO54">
        <v>3.625</v>
      </c>
      <c r="FP54">
        <v>-3</v>
      </c>
      <c r="FQ54">
        <v>0.3125</v>
      </c>
      <c r="FR54">
        <v>0.1875</v>
      </c>
      <c r="FS54">
        <v>5.0625</v>
      </c>
      <c r="FT54">
        <v>1.3125</v>
      </c>
      <c r="FU54">
        <v>24.1875</v>
      </c>
      <c r="FV54">
        <v>43.6875</v>
      </c>
      <c r="FW54">
        <v>-20.5</v>
      </c>
      <c r="FX54">
        <v>-6.25E-2</v>
      </c>
      <c r="FY54">
        <v>1.0625</v>
      </c>
      <c r="FZ54">
        <v>5</v>
      </c>
      <c r="GA54">
        <v>6.103749999999998</v>
      </c>
      <c r="GB54">
        <v>3.8813750000000002</v>
      </c>
      <c r="GC54">
        <v>64.1875</v>
      </c>
      <c r="GD54">
        <v>-6.1037499999999989</v>
      </c>
      <c r="GE54">
        <v>2.0004687500000005</v>
      </c>
      <c r="GF54">
        <v>10.731250000000003</v>
      </c>
      <c r="GG54">
        <v>46.5625</v>
      </c>
      <c r="GH54">
        <v>-1.7937499999999991</v>
      </c>
      <c r="GI54">
        <v>-32.8125</v>
      </c>
      <c r="GJ54">
        <v>3.8125</v>
      </c>
      <c r="GK54">
        <v>1.40625</v>
      </c>
    </row>
    <row r="55" spans="1:193" x14ac:dyDescent="0.2">
      <c r="A55" s="39">
        <v>43744</v>
      </c>
      <c r="B55" s="22" t="s">
        <v>381</v>
      </c>
      <c r="C55" s="41" t="s">
        <v>294</v>
      </c>
      <c r="D55" s="22" t="s">
        <v>298</v>
      </c>
      <c r="E55">
        <v>11.2</v>
      </c>
      <c r="F55">
        <v>3</v>
      </c>
      <c r="G55">
        <v>0</v>
      </c>
      <c r="H55">
        <v>18.8</v>
      </c>
      <c r="I55">
        <v>-14</v>
      </c>
      <c r="J55">
        <v>43</v>
      </c>
      <c r="L55" s="1" t="s">
        <v>294</v>
      </c>
      <c r="M55">
        <v>23</v>
      </c>
      <c r="N55">
        <v>3.6349999999999993</v>
      </c>
      <c r="O55">
        <v>16</v>
      </c>
      <c r="P55">
        <v>16.5</v>
      </c>
      <c r="Q55">
        <v>18</v>
      </c>
      <c r="R55">
        <v>-5.40625</v>
      </c>
      <c r="S55">
        <v>15</v>
      </c>
      <c r="T55">
        <v>-25.25</v>
      </c>
      <c r="U55">
        <v>-0.1875</v>
      </c>
      <c r="V55">
        <v>9</v>
      </c>
      <c r="W55">
        <v>10.5</v>
      </c>
      <c r="X55">
        <v>16</v>
      </c>
      <c r="Y55">
        <v>0.68124999999999991</v>
      </c>
      <c r="Z55">
        <v>5</v>
      </c>
      <c r="AA55">
        <v>11.375</v>
      </c>
      <c r="AB55">
        <v>-0.8125</v>
      </c>
      <c r="AC55">
        <v>19</v>
      </c>
      <c r="AD55">
        <v>18.5</v>
      </c>
      <c r="AE55">
        <v>20</v>
      </c>
      <c r="AF55">
        <v>4.7750000000000004</v>
      </c>
      <c r="AG55">
        <v>17</v>
      </c>
      <c r="AH55">
        <v>-5.5625</v>
      </c>
      <c r="AI55">
        <v>1.1875</v>
      </c>
      <c r="AJ55">
        <v>30</v>
      </c>
      <c r="AK55">
        <v>30</v>
      </c>
      <c r="AL55">
        <v>29</v>
      </c>
      <c r="AM55">
        <v>1.2624999999999995</v>
      </c>
      <c r="AN55">
        <v>31</v>
      </c>
      <c r="AO55">
        <v>9.4375</v>
      </c>
      <c r="AP55">
        <v>0.3125</v>
      </c>
      <c r="AQ55">
        <v>23</v>
      </c>
      <c r="AR55">
        <v>23.5</v>
      </c>
      <c r="AS55">
        <v>24</v>
      </c>
      <c r="AT55">
        <v>-1.1937499999999999</v>
      </c>
      <c r="AU55">
        <v>23</v>
      </c>
      <c r="AV55">
        <v>-7.5</v>
      </c>
      <c r="AW55">
        <v>0.25</v>
      </c>
      <c r="AX55">
        <v>20</v>
      </c>
      <c r="AY55">
        <v>20</v>
      </c>
      <c r="AZ55">
        <v>19</v>
      </c>
      <c r="BA55">
        <v>12.712499999999999</v>
      </c>
      <c r="BB55">
        <v>21</v>
      </c>
      <c r="BC55">
        <v>33.375</v>
      </c>
      <c r="BD55">
        <v>4.875</v>
      </c>
      <c r="BE55">
        <v>1</v>
      </c>
      <c r="BF55">
        <v>1</v>
      </c>
      <c r="BG55">
        <v>1</v>
      </c>
      <c r="BH55">
        <v>5.5125000000000002</v>
      </c>
      <c r="BI55">
        <v>22.125</v>
      </c>
      <c r="BJ55">
        <v>4.3125</v>
      </c>
      <c r="BK55">
        <v>23</v>
      </c>
      <c r="BL55">
        <v>22.5</v>
      </c>
      <c r="BM55">
        <v>24</v>
      </c>
      <c r="BN55">
        <v>-0.75</v>
      </c>
      <c r="BO55">
        <v>21</v>
      </c>
      <c r="BP55">
        <v>-0.5625</v>
      </c>
      <c r="BQ55">
        <v>-4.5625</v>
      </c>
      <c r="BR55">
        <v>6</v>
      </c>
      <c r="BS55">
        <v>10.25</v>
      </c>
      <c r="BT55">
        <v>16</v>
      </c>
      <c r="BU55">
        <v>-2.9679942997754991E-2</v>
      </c>
      <c r="BV55">
        <v>4</v>
      </c>
      <c r="BW55">
        <v>-1.073754230047636E-2</v>
      </c>
      <c r="BX55">
        <v>6</v>
      </c>
      <c r="BY55">
        <v>2.3687499999999986</v>
      </c>
      <c r="BZ55">
        <v>15</v>
      </c>
      <c r="CA55">
        <v>-0.6875</v>
      </c>
      <c r="CB55">
        <v>2.75</v>
      </c>
      <c r="CC55">
        <v>5</v>
      </c>
      <c r="CD55">
        <v>-1.3125</v>
      </c>
      <c r="CE55">
        <v>-11.1875</v>
      </c>
      <c r="CF55">
        <v>0.875</v>
      </c>
      <c r="CG55">
        <v>-3.125</v>
      </c>
      <c r="CH55">
        <v>-3.6875</v>
      </c>
      <c r="CI55">
        <v>-5.25</v>
      </c>
      <c r="CJ55">
        <v>1</v>
      </c>
      <c r="CK55">
        <v>8.36</v>
      </c>
      <c r="CL55">
        <v>5.1607500000000002</v>
      </c>
      <c r="CM55">
        <v>4</v>
      </c>
      <c r="CN55">
        <v>-8.36</v>
      </c>
      <c r="CO55">
        <v>1.0645312499999999</v>
      </c>
      <c r="CP55">
        <v>4.84375</v>
      </c>
      <c r="CQ55">
        <v>-3.625</v>
      </c>
      <c r="CR55">
        <v>-4.7249999999999996</v>
      </c>
      <c r="CS55">
        <v>-13.875</v>
      </c>
      <c r="CT55">
        <v>6.0625</v>
      </c>
      <c r="CU55">
        <v>-1</v>
      </c>
      <c r="CV55">
        <v>0.90898437500000029</v>
      </c>
      <c r="CW55">
        <v>2.0004687500000005</v>
      </c>
      <c r="CX55" t="s">
        <v>298</v>
      </c>
      <c r="CY55">
        <v>9</v>
      </c>
      <c r="CZ55">
        <v>-0.9300000000000006</v>
      </c>
      <c r="DA55">
        <v>32</v>
      </c>
      <c r="DB55">
        <v>30.5</v>
      </c>
      <c r="DC55">
        <v>30</v>
      </c>
      <c r="DD55">
        <v>-1.0750000000000002</v>
      </c>
      <c r="DE55">
        <v>31</v>
      </c>
      <c r="DF55">
        <v>-16</v>
      </c>
      <c r="DG55">
        <v>6.25E-2</v>
      </c>
      <c r="DH55">
        <v>16</v>
      </c>
      <c r="DI55">
        <v>16.5</v>
      </c>
      <c r="DJ55">
        <v>18</v>
      </c>
      <c r="DK55">
        <v>0.21875</v>
      </c>
      <c r="DL55">
        <v>15</v>
      </c>
      <c r="DM55">
        <v>-2.3125</v>
      </c>
      <c r="DN55">
        <v>0.6875</v>
      </c>
      <c r="DO55">
        <v>7</v>
      </c>
      <c r="DP55">
        <v>10.5</v>
      </c>
      <c r="DQ55">
        <v>8</v>
      </c>
      <c r="DR55">
        <v>5.5762500000000017</v>
      </c>
      <c r="DS55">
        <v>13</v>
      </c>
      <c r="DT55">
        <v>30.875</v>
      </c>
      <c r="DU55">
        <v>0.4375</v>
      </c>
      <c r="DV55">
        <v>5</v>
      </c>
      <c r="DW55">
        <v>5.5</v>
      </c>
      <c r="DX55">
        <v>5</v>
      </c>
      <c r="DY55">
        <v>-5.0687499999999996</v>
      </c>
      <c r="DZ55">
        <v>6</v>
      </c>
      <c r="EA55">
        <v>-24.5625</v>
      </c>
      <c r="EB55">
        <v>0</v>
      </c>
      <c r="EC55">
        <v>26</v>
      </c>
      <c r="ED55">
        <v>28.5</v>
      </c>
      <c r="EE55">
        <v>28</v>
      </c>
      <c r="EF55">
        <v>0.71875</v>
      </c>
      <c r="EG55">
        <v>29</v>
      </c>
      <c r="EH55">
        <v>2.625</v>
      </c>
      <c r="EI55">
        <v>-0.4375</v>
      </c>
      <c r="EJ55">
        <v>25</v>
      </c>
      <c r="EK55">
        <v>26</v>
      </c>
      <c r="EL55">
        <v>26</v>
      </c>
      <c r="EM55">
        <v>-4.6875</v>
      </c>
      <c r="EN55">
        <v>26</v>
      </c>
      <c r="EO55">
        <v>-5.625</v>
      </c>
      <c r="EP55">
        <v>-1.75</v>
      </c>
      <c r="EQ55">
        <v>13</v>
      </c>
      <c r="ER55">
        <v>13.5</v>
      </c>
      <c r="ES55">
        <v>17</v>
      </c>
      <c r="ET55">
        <v>-1.9625000000000001</v>
      </c>
      <c r="EU55">
        <v>10</v>
      </c>
      <c r="EV55">
        <v>-7.1875</v>
      </c>
      <c r="EW55">
        <v>-1.1875</v>
      </c>
      <c r="EX55">
        <v>24</v>
      </c>
      <c r="EY55">
        <v>23</v>
      </c>
      <c r="EZ55">
        <v>28</v>
      </c>
      <c r="FA55">
        <v>1.0625</v>
      </c>
      <c r="FB55">
        <v>18</v>
      </c>
      <c r="FC55">
        <v>-6.25E-2</v>
      </c>
      <c r="FD55">
        <v>7.25</v>
      </c>
      <c r="FE55">
        <v>23</v>
      </c>
      <c r="FF55">
        <v>20</v>
      </c>
      <c r="FG55">
        <v>32</v>
      </c>
      <c r="FH55">
        <v>1.6821021542653435E-2</v>
      </c>
      <c r="FI55">
        <v>22</v>
      </c>
      <c r="FJ55">
        <v>-1.4997920054752232E-2</v>
      </c>
      <c r="FK55">
        <v>11</v>
      </c>
      <c r="FL55">
        <v>4.84375</v>
      </c>
      <c r="FM55">
        <v>15</v>
      </c>
      <c r="FN55">
        <v>2.625</v>
      </c>
      <c r="FO55">
        <v>0</v>
      </c>
      <c r="FP55">
        <v>-2.125</v>
      </c>
      <c r="FQ55">
        <v>0.3125</v>
      </c>
      <c r="FR55">
        <v>-2.6875</v>
      </c>
      <c r="FS55">
        <v>-1.75</v>
      </c>
      <c r="FT55">
        <v>2.1875</v>
      </c>
      <c r="FU55">
        <v>-22.75</v>
      </c>
      <c r="FV55">
        <v>7.0625</v>
      </c>
      <c r="FW55">
        <v>-27.875</v>
      </c>
      <c r="FX55">
        <v>-0.5625</v>
      </c>
      <c r="FY55">
        <v>-1.375</v>
      </c>
      <c r="FZ55">
        <v>18</v>
      </c>
      <c r="GA55">
        <v>-7.3750000000000426E-2</v>
      </c>
      <c r="GB55">
        <v>9.4875000000000376E-2</v>
      </c>
      <c r="GC55">
        <v>34.9375</v>
      </c>
      <c r="GD55">
        <v>7.3750000000000426E-2</v>
      </c>
      <c r="GE55">
        <v>-0.18249999999999988</v>
      </c>
      <c r="GF55">
        <v>1.2262500000000021</v>
      </c>
      <c r="GG55">
        <v>8.9375</v>
      </c>
      <c r="GH55">
        <v>-0.85625000000000018</v>
      </c>
      <c r="GI55">
        <v>-18.3125</v>
      </c>
      <c r="GJ55">
        <v>-1.1875</v>
      </c>
      <c r="GK55">
        <v>0.75</v>
      </c>
    </row>
    <row r="56" spans="1:193" x14ac:dyDescent="0.2">
      <c r="A56" s="39">
        <v>43744</v>
      </c>
      <c r="B56" s="22" t="s">
        <v>381</v>
      </c>
      <c r="C56" s="41" t="s">
        <v>309</v>
      </c>
      <c r="D56" s="22" t="s">
        <v>305</v>
      </c>
      <c r="E56">
        <v>19.5</v>
      </c>
      <c r="F56">
        <v>7.7</v>
      </c>
      <c r="G56">
        <v>8.1999999999999993</v>
      </c>
      <c r="H56">
        <v>6.4</v>
      </c>
      <c r="I56">
        <v>3</v>
      </c>
      <c r="J56">
        <v>44</v>
      </c>
      <c r="L56" s="1" t="s">
        <v>309</v>
      </c>
      <c r="M56">
        <v>31</v>
      </c>
      <c r="N56">
        <v>-0.20375000000000076</v>
      </c>
      <c r="O56">
        <v>12</v>
      </c>
      <c r="P56">
        <v>14.5</v>
      </c>
      <c r="Q56">
        <v>9</v>
      </c>
      <c r="R56">
        <v>-0.32499999999999973</v>
      </c>
      <c r="S56">
        <v>20</v>
      </c>
      <c r="T56">
        <v>-17.9375</v>
      </c>
      <c r="U56">
        <v>0.6875</v>
      </c>
      <c r="V56">
        <v>9</v>
      </c>
      <c r="W56">
        <v>10.5</v>
      </c>
      <c r="X56">
        <v>11</v>
      </c>
      <c r="Y56">
        <v>1.3762499999999998</v>
      </c>
      <c r="Z56">
        <v>10</v>
      </c>
      <c r="AA56">
        <v>-5.25</v>
      </c>
      <c r="AB56">
        <v>0.3125</v>
      </c>
      <c r="AC56">
        <v>13</v>
      </c>
      <c r="AD56">
        <v>14.5</v>
      </c>
      <c r="AE56">
        <v>19</v>
      </c>
      <c r="AF56">
        <v>0.12500000000000133</v>
      </c>
      <c r="AG56">
        <v>10</v>
      </c>
      <c r="AH56">
        <v>6.0625</v>
      </c>
      <c r="AI56">
        <v>6.25E-2</v>
      </c>
      <c r="AJ56">
        <v>17</v>
      </c>
      <c r="AK56">
        <v>17.5</v>
      </c>
      <c r="AL56">
        <v>19</v>
      </c>
      <c r="AM56">
        <v>-2.3812500000000001</v>
      </c>
      <c r="AN56">
        <v>16</v>
      </c>
      <c r="AO56">
        <v>-17.0625</v>
      </c>
      <c r="AP56">
        <v>-0.6875</v>
      </c>
      <c r="AQ56">
        <v>18</v>
      </c>
      <c r="AR56">
        <v>17.5</v>
      </c>
      <c r="AS56">
        <v>20</v>
      </c>
      <c r="AT56">
        <v>3.125E-2</v>
      </c>
      <c r="AU56">
        <v>15</v>
      </c>
      <c r="AV56">
        <v>-1.6875</v>
      </c>
      <c r="AW56">
        <v>-0.3125</v>
      </c>
      <c r="AX56">
        <v>31</v>
      </c>
      <c r="AY56">
        <v>31.5</v>
      </c>
      <c r="AZ56">
        <v>32</v>
      </c>
      <c r="BA56">
        <v>4.3750000000000622E-2</v>
      </c>
      <c r="BB56">
        <v>31</v>
      </c>
      <c r="BC56">
        <v>-0.8125</v>
      </c>
      <c r="BD56">
        <v>1.25</v>
      </c>
      <c r="BE56">
        <v>28</v>
      </c>
      <c r="BF56">
        <v>27.5</v>
      </c>
      <c r="BG56">
        <v>24</v>
      </c>
      <c r="BH56">
        <v>0.86250000000000027</v>
      </c>
      <c r="BI56">
        <v>-6.3125</v>
      </c>
      <c r="BJ56">
        <v>0</v>
      </c>
      <c r="BK56">
        <v>3</v>
      </c>
      <c r="BL56">
        <v>5.5</v>
      </c>
      <c r="BM56">
        <v>5</v>
      </c>
      <c r="BN56">
        <v>2.25</v>
      </c>
      <c r="BO56">
        <v>6</v>
      </c>
      <c r="BP56">
        <v>0</v>
      </c>
      <c r="BQ56">
        <v>1.375</v>
      </c>
      <c r="BR56">
        <v>12</v>
      </c>
      <c r="BS56">
        <v>13.25</v>
      </c>
      <c r="BT56">
        <v>9</v>
      </c>
      <c r="BU56">
        <v>-9.0025054165740137E-2</v>
      </c>
      <c r="BV56">
        <v>20</v>
      </c>
      <c r="BW56">
        <v>-4.846344925852937E-2</v>
      </c>
      <c r="BX56">
        <v>19</v>
      </c>
      <c r="BY56">
        <v>-2.2312499999999993</v>
      </c>
      <c r="BZ56">
        <v>5</v>
      </c>
      <c r="CA56">
        <v>-6.1875</v>
      </c>
      <c r="CB56">
        <v>-4.0625</v>
      </c>
      <c r="CC56">
        <v>3.5</v>
      </c>
      <c r="CD56">
        <v>-2.1875</v>
      </c>
      <c r="CE56">
        <v>-35.25</v>
      </c>
      <c r="CF56">
        <v>-8.9375</v>
      </c>
      <c r="CG56">
        <v>-21.5625</v>
      </c>
      <c r="CH56">
        <v>-6.25E-2</v>
      </c>
      <c r="CI56">
        <v>-4.6875</v>
      </c>
      <c r="CJ56">
        <v>21</v>
      </c>
      <c r="CK56">
        <v>-1.2550000000000008</v>
      </c>
      <c r="CL56">
        <v>-0.83887499999999982</v>
      </c>
      <c r="CM56">
        <v>12.625</v>
      </c>
      <c r="CN56">
        <v>1.2550000000000008</v>
      </c>
      <c r="CO56">
        <v>0.2168750000000001</v>
      </c>
      <c r="CP56">
        <v>-2.2249999999999988</v>
      </c>
      <c r="CQ56">
        <v>-12.6875</v>
      </c>
      <c r="CR56">
        <v>1.05125</v>
      </c>
      <c r="CS56">
        <v>-23.1875</v>
      </c>
      <c r="CT56">
        <v>-0.9375</v>
      </c>
      <c r="CU56">
        <v>1</v>
      </c>
      <c r="CV56">
        <v>0.45164062499999996</v>
      </c>
      <c r="CW56">
        <v>-0.59968749999999982</v>
      </c>
      <c r="CX56" t="s">
        <v>305</v>
      </c>
      <c r="CY56">
        <v>32</v>
      </c>
      <c r="CZ56">
        <v>1.6925000000000008</v>
      </c>
      <c r="DA56">
        <v>4</v>
      </c>
      <c r="DB56">
        <v>5.5</v>
      </c>
      <c r="DC56">
        <v>6</v>
      </c>
      <c r="DD56">
        <v>2.9624999999999995</v>
      </c>
      <c r="DE56">
        <v>5</v>
      </c>
      <c r="DF56">
        <v>9.5</v>
      </c>
      <c r="DG56">
        <v>-2.5625</v>
      </c>
      <c r="DH56">
        <v>27</v>
      </c>
      <c r="DI56">
        <v>24.5</v>
      </c>
      <c r="DJ56">
        <v>29</v>
      </c>
      <c r="DK56">
        <v>1.8937500000000003</v>
      </c>
      <c r="DL56">
        <v>20</v>
      </c>
      <c r="DM56">
        <v>2.375</v>
      </c>
      <c r="DN56">
        <v>0.4375</v>
      </c>
      <c r="DO56">
        <v>20</v>
      </c>
      <c r="DP56">
        <v>25</v>
      </c>
      <c r="DQ56">
        <v>27</v>
      </c>
      <c r="DR56">
        <v>-4.4750000000000005</v>
      </c>
      <c r="DS56">
        <v>23</v>
      </c>
      <c r="DT56">
        <v>-20.375</v>
      </c>
      <c r="DU56">
        <v>-1.0625</v>
      </c>
      <c r="DV56">
        <v>16</v>
      </c>
      <c r="DW56">
        <v>16</v>
      </c>
      <c r="DX56">
        <v>12</v>
      </c>
      <c r="DY56">
        <v>4.9124999999999996</v>
      </c>
      <c r="DZ56">
        <v>20</v>
      </c>
      <c r="EA56">
        <v>34.9375</v>
      </c>
      <c r="EB56">
        <v>6.25E-2</v>
      </c>
      <c r="EC56">
        <v>22</v>
      </c>
      <c r="ED56">
        <v>29</v>
      </c>
      <c r="EE56">
        <v>31</v>
      </c>
      <c r="EF56">
        <v>2.1874999999999996</v>
      </c>
      <c r="EG56">
        <v>27</v>
      </c>
      <c r="EH56">
        <v>10.3125</v>
      </c>
      <c r="EI56">
        <v>6.25E-2</v>
      </c>
      <c r="EJ56">
        <v>26</v>
      </c>
      <c r="EK56">
        <v>26.5</v>
      </c>
      <c r="EL56">
        <v>23</v>
      </c>
      <c r="EM56">
        <v>4.5812499999999989</v>
      </c>
      <c r="EN56">
        <v>30</v>
      </c>
      <c r="EO56">
        <v>54.5625</v>
      </c>
      <c r="EP56">
        <v>-0.125</v>
      </c>
      <c r="EQ56">
        <v>31</v>
      </c>
      <c r="ER56">
        <v>30.5</v>
      </c>
      <c r="ES56">
        <v>30</v>
      </c>
      <c r="ET56">
        <v>1.7249999999999999</v>
      </c>
      <c r="EU56">
        <v>31</v>
      </c>
      <c r="EV56">
        <v>14.125</v>
      </c>
      <c r="EW56">
        <v>0.6875</v>
      </c>
      <c r="EX56">
        <v>23</v>
      </c>
      <c r="EY56">
        <v>22.5</v>
      </c>
      <c r="EZ56">
        <v>27</v>
      </c>
      <c r="FA56">
        <v>1.125</v>
      </c>
      <c r="FB56">
        <v>18</v>
      </c>
      <c r="FC56">
        <v>-0.1875</v>
      </c>
      <c r="FD56">
        <v>-2.125</v>
      </c>
      <c r="FE56">
        <v>5</v>
      </c>
      <c r="FF56">
        <v>9.75</v>
      </c>
      <c r="FG56">
        <v>15</v>
      </c>
      <c r="FH56">
        <v>4.4246787171674379E-3</v>
      </c>
      <c r="FI56">
        <v>8</v>
      </c>
      <c r="FJ56">
        <v>-2.4100616343961358E-2</v>
      </c>
      <c r="FK56">
        <v>15</v>
      </c>
      <c r="FL56">
        <v>7.2124999999999986</v>
      </c>
      <c r="FM56">
        <v>1</v>
      </c>
      <c r="FN56">
        <v>-5.5625</v>
      </c>
      <c r="FO56">
        <v>-2.75</v>
      </c>
      <c r="FP56">
        <v>-1.9375</v>
      </c>
      <c r="FQ56">
        <v>0.25</v>
      </c>
      <c r="FR56">
        <v>-5.75</v>
      </c>
      <c r="FS56">
        <v>5.1875</v>
      </c>
      <c r="FT56">
        <v>-0.4375</v>
      </c>
      <c r="FU56">
        <v>35</v>
      </c>
      <c r="FV56">
        <v>31.6875</v>
      </c>
      <c r="FW56">
        <v>11.3125</v>
      </c>
      <c r="FX56">
        <v>-0.75</v>
      </c>
      <c r="FY56">
        <v>-7.25</v>
      </c>
      <c r="FZ56">
        <v>24</v>
      </c>
      <c r="GA56">
        <v>-3.163749999999999</v>
      </c>
      <c r="GB56">
        <v>-1.219625</v>
      </c>
      <c r="GC56">
        <v>20.375</v>
      </c>
      <c r="GD56">
        <v>3.1637499999999985</v>
      </c>
      <c r="GE56">
        <v>1.5029687499999997</v>
      </c>
      <c r="GF56">
        <v>2.6249999999999987</v>
      </c>
      <c r="GG56">
        <v>24.875</v>
      </c>
      <c r="GH56">
        <v>4.8562499999999993</v>
      </c>
      <c r="GI56">
        <v>11.875</v>
      </c>
      <c r="GJ56">
        <v>-0.25</v>
      </c>
      <c r="GK56">
        <v>-2.125</v>
      </c>
    </row>
    <row r="57" spans="1:193" x14ac:dyDescent="0.2">
      <c r="A57" s="39">
        <v>43744</v>
      </c>
      <c r="B57" s="23" t="s">
        <v>381</v>
      </c>
      <c r="C57" s="40" t="s">
        <v>256</v>
      </c>
      <c r="D57" s="24" t="s">
        <v>281</v>
      </c>
      <c r="E57">
        <v>8.6</v>
      </c>
      <c r="F57">
        <v>2.1</v>
      </c>
      <c r="G57">
        <v>1.3</v>
      </c>
      <c r="H57">
        <f>20.8+1.7</f>
        <v>22.5</v>
      </c>
      <c r="I57">
        <v>-5</v>
      </c>
      <c r="J57">
        <v>47.5</v>
      </c>
      <c r="L57" s="1" t="s">
        <v>256</v>
      </c>
      <c r="M57">
        <v>15</v>
      </c>
      <c r="N57">
        <v>-4.4612500000000015</v>
      </c>
      <c r="O57">
        <v>26</v>
      </c>
      <c r="P57">
        <v>24.5</v>
      </c>
      <c r="Q57">
        <v>25</v>
      </c>
      <c r="R57">
        <v>-0.4812499999999984</v>
      </c>
      <c r="S57">
        <v>24</v>
      </c>
      <c r="T57">
        <v>32.3125</v>
      </c>
      <c r="U57">
        <v>-2.1875</v>
      </c>
      <c r="V57">
        <v>5</v>
      </c>
      <c r="W57">
        <v>8</v>
      </c>
      <c r="X57">
        <v>9</v>
      </c>
      <c r="Y57">
        <v>9.36</v>
      </c>
      <c r="Z57">
        <v>7</v>
      </c>
      <c r="AA57">
        <v>51</v>
      </c>
      <c r="AB57">
        <v>-0.3125</v>
      </c>
      <c r="AC57">
        <v>23</v>
      </c>
      <c r="AD57">
        <v>22</v>
      </c>
      <c r="AE57">
        <v>24</v>
      </c>
      <c r="AF57">
        <v>-3.711250000000001</v>
      </c>
      <c r="AG57">
        <v>20</v>
      </c>
      <c r="AH57">
        <v>-10.6875</v>
      </c>
      <c r="AI57">
        <v>-3</v>
      </c>
      <c r="AJ57">
        <v>27</v>
      </c>
      <c r="AK57">
        <v>27</v>
      </c>
      <c r="AL57">
        <v>25</v>
      </c>
      <c r="AM57">
        <v>-5.8562500000000002</v>
      </c>
      <c r="AN57">
        <v>29</v>
      </c>
      <c r="AO57">
        <v>-40.4375</v>
      </c>
      <c r="AP57">
        <v>-2.9375</v>
      </c>
      <c r="AQ57">
        <v>13</v>
      </c>
      <c r="AR57">
        <v>14.5</v>
      </c>
      <c r="AS57">
        <v>16</v>
      </c>
      <c r="AT57">
        <v>-2.1062500000000002</v>
      </c>
      <c r="AU57">
        <v>13</v>
      </c>
      <c r="AV57">
        <v>-12.875</v>
      </c>
      <c r="AW57">
        <v>-1.25</v>
      </c>
      <c r="AX57">
        <v>19</v>
      </c>
      <c r="AY57">
        <v>19.5</v>
      </c>
      <c r="AZ57">
        <v>20</v>
      </c>
      <c r="BA57">
        <v>-4.7499999999999991</v>
      </c>
      <c r="BB57">
        <v>19</v>
      </c>
      <c r="BC57">
        <v>-15.625</v>
      </c>
      <c r="BD57">
        <v>-3.875</v>
      </c>
      <c r="BE57">
        <v>17</v>
      </c>
      <c r="BF57">
        <v>17.5</v>
      </c>
      <c r="BG57">
        <v>16</v>
      </c>
      <c r="BH57">
        <v>0.81250000000000044</v>
      </c>
      <c r="BI57">
        <v>4.8125</v>
      </c>
      <c r="BJ57">
        <v>1.375</v>
      </c>
      <c r="BK57">
        <v>17</v>
      </c>
      <c r="BL57">
        <v>16</v>
      </c>
      <c r="BM57">
        <v>15</v>
      </c>
      <c r="BN57">
        <v>0.1875</v>
      </c>
      <c r="BO57">
        <v>17</v>
      </c>
      <c r="BP57">
        <v>0.75</v>
      </c>
      <c r="BQ57">
        <v>5.4375</v>
      </c>
      <c r="BR57">
        <v>21</v>
      </c>
      <c r="BS57">
        <v>17.75</v>
      </c>
      <c r="BT57">
        <v>19</v>
      </c>
      <c r="BU57">
        <v>-0.12820437202890633</v>
      </c>
      <c r="BV57">
        <v>3</v>
      </c>
      <c r="BW57">
        <v>-3.9220625223300783E-2</v>
      </c>
      <c r="BX57">
        <v>29</v>
      </c>
      <c r="BY57">
        <v>-5.7999999999999954</v>
      </c>
      <c r="BZ57">
        <v>20</v>
      </c>
      <c r="CA57">
        <v>-1.75</v>
      </c>
      <c r="CB57">
        <v>2.875</v>
      </c>
      <c r="CC57">
        <v>4.875</v>
      </c>
      <c r="CD57">
        <v>1.5</v>
      </c>
      <c r="CE57">
        <v>46.8125</v>
      </c>
      <c r="CF57">
        <v>-42.9375</v>
      </c>
      <c r="CG57">
        <v>97</v>
      </c>
      <c r="CH57">
        <v>5.125</v>
      </c>
      <c r="CI57">
        <v>-12.375</v>
      </c>
      <c r="CJ57">
        <v>30</v>
      </c>
      <c r="CK57">
        <v>-13.340000000000003</v>
      </c>
      <c r="CL57">
        <v>-7.5038750000000007</v>
      </c>
      <c r="CM57">
        <v>-139.9375</v>
      </c>
      <c r="CN57">
        <v>13.340000000000002</v>
      </c>
      <c r="CO57">
        <v>-0.78203125000000018</v>
      </c>
      <c r="CP57">
        <v>-11.673750000000002</v>
      </c>
      <c r="CQ57">
        <v>-64</v>
      </c>
      <c r="CR57">
        <v>8.8787500000000001</v>
      </c>
      <c r="CS57">
        <v>83.3125</v>
      </c>
      <c r="CT57">
        <v>-5.8125</v>
      </c>
      <c r="CU57">
        <v>-2.5</v>
      </c>
      <c r="CV57">
        <v>-1.7214062500000002</v>
      </c>
      <c r="CW57">
        <v>-3.2589062500000003</v>
      </c>
      <c r="CX57" t="s">
        <v>281</v>
      </c>
      <c r="CY57">
        <v>11</v>
      </c>
      <c r="CZ57">
        <v>-0.12750000000000083</v>
      </c>
      <c r="DA57">
        <v>19</v>
      </c>
      <c r="DB57">
        <v>20</v>
      </c>
      <c r="DC57">
        <v>20</v>
      </c>
      <c r="DD57">
        <v>-1.6937500000000005</v>
      </c>
      <c r="DE57">
        <v>20</v>
      </c>
      <c r="DF57">
        <v>0.1875</v>
      </c>
      <c r="DG57">
        <v>-0.5625</v>
      </c>
      <c r="DH57">
        <v>25</v>
      </c>
      <c r="DI57">
        <v>22.5</v>
      </c>
      <c r="DJ57">
        <v>19</v>
      </c>
      <c r="DK57">
        <v>-0.15000000000000013</v>
      </c>
      <c r="DL57">
        <v>26</v>
      </c>
      <c r="DM57">
        <v>-4.375</v>
      </c>
      <c r="DN57">
        <v>0.9375</v>
      </c>
      <c r="DO57">
        <v>10</v>
      </c>
      <c r="DP57">
        <v>12</v>
      </c>
      <c r="DQ57">
        <v>13</v>
      </c>
      <c r="DR57">
        <v>-2.1374999999999984</v>
      </c>
      <c r="DS57">
        <v>11</v>
      </c>
      <c r="DT57">
        <v>-23.875</v>
      </c>
      <c r="DU57">
        <v>-1.0625</v>
      </c>
      <c r="DV57">
        <v>21</v>
      </c>
      <c r="DW57">
        <v>22</v>
      </c>
      <c r="DX57">
        <v>21</v>
      </c>
      <c r="DY57">
        <v>1.20625</v>
      </c>
      <c r="DZ57">
        <v>23</v>
      </c>
      <c r="EA57">
        <v>13.875</v>
      </c>
      <c r="EB57">
        <v>-0.6875</v>
      </c>
      <c r="EC57">
        <v>21</v>
      </c>
      <c r="ED57">
        <v>19.5</v>
      </c>
      <c r="EE57">
        <v>19</v>
      </c>
      <c r="EF57">
        <v>2.3374999999999999</v>
      </c>
      <c r="EG57">
        <v>20</v>
      </c>
      <c r="EH57">
        <v>9.5625</v>
      </c>
      <c r="EI57">
        <v>0.625</v>
      </c>
      <c r="EJ57">
        <v>10</v>
      </c>
      <c r="EK57">
        <v>11.5</v>
      </c>
      <c r="EL57">
        <v>12</v>
      </c>
      <c r="EM57">
        <v>-1.6562500000000013</v>
      </c>
      <c r="EN57">
        <v>11</v>
      </c>
      <c r="EO57">
        <v>-27.1875</v>
      </c>
      <c r="EP57">
        <v>-2.3125</v>
      </c>
      <c r="EQ57">
        <v>4</v>
      </c>
      <c r="ER57">
        <v>4</v>
      </c>
      <c r="ES57">
        <v>5</v>
      </c>
      <c r="ET57">
        <v>-1.7812500000000009</v>
      </c>
      <c r="EU57">
        <v>3</v>
      </c>
      <c r="EV57">
        <v>-14</v>
      </c>
      <c r="EW57">
        <v>-2.125</v>
      </c>
      <c r="EX57">
        <v>29</v>
      </c>
      <c r="EY57">
        <v>27</v>
      </c>
      <c r="EZ57">
        <v>30</v>
      </c>
      <c r="FA57">
        <v>0.875</v>
      </c>
      <c r="FB57">
        <v>24</v>
      </c>
      <c r="FC57">
        <v>0.1875</v>
      </c>
      <c r="FD57">
        <v>0.625</v>
      </c>
      <c r="FE57">
        <v>9</v>
      </c>
      <c r="FF57">
        <v>12.5</v>
      </c>
      <c r="FG57">
        <v>8</v>
      </c>
      <c r="FH57">
        <v>-1.9480553856975322E-2</v>
      </c>
      <c r="FI57">
        <v>16</v>
      </c>
      <c r="FJ57">
        <v>6.2880241269033885E-3</v>
      </c>
      <c r="FK57">
        <v>7</v>
      </c>
      <c r="FL57">
        <v>3.6187500000000021</v>
      </c>
      <c r="FM57">
        <v>19</v>
      </c>
      <c r="FN57">
        <v>-0.3125</v>
      </c>
      <c r="FO57">
        <v>-2.375</v>
      </c>
      <c r="FP57">
        <v>-0.875</v>
      </c>
      <c r="FQ57">
        <v>-0.375</v>
      </c>
      <c r="FR57">
        <v>-3.6875</v>
      </c>
      <c r="FS57">
        <v>-1.75</v>
      </c>
      <c r="FT57">
        <v>-0.1875</v>
      </c>
      <c r="FU57">
        <v>-0.6875</v>
      </c>
      <c r="FV57">
        <v>-2</v>
      </c>
      <c r="FW57">
        <v>-4.8125</v>
      </c>
      <c r="FX57">
        <v>3.3125</v>
      </c>
      <c r="FY57">
        <v>2.8125</v>
      </c>
      <c r="FZ57">
        <v>15</v>
      </c>
      <c r="GA57">
        <v>1.7162499999999998</v>
      </c>
      <c r="GB57">
        <v>0.8213750000000003</v>
      </c>
      <c r="GC57">
        <v>2.8125</v>
      </c>
      <c r="GD57">
        <v>-1.7162499999999998</v>
      </c>
      <c r="GE57">
        <v>-0.1839062500000001</v>
      </c>
      <c r="GF57">
        <v>1.4062500000000016</v>
      </c>
      <c r="GG57">
        <v>-0.4375</v>
      </c>
      <c r="GH57">
        <v>-1.8437500000000007</v>
      </c>
      <c r="GI57">
        <v>-4.1875</v>
      </c>
      <c r="GJ57">
        <v>-3.25</v>
      </c>
      <c r="GK57">
        <v>0.375</v>
      </c>
    </row>
    <row r="58" spans="1:193" x14ac:dyDescent="0.2">
      <c r="A58" s="39">
        <v>43744</v>
      </c>
      <c r="B58" s="26" t="s">
        <v>381</v>
      </c>
      <c r="C58" s="41" t="s">
        <v>308</v>
      </c>
      <c r="D58" s="26" t="s">
        <v>304</v>
      </c>
      <c r="E58">
        <v>14.3</v>
      </c>
      <c r="F58">
        <v>12.4</v>
      </c>
      <c r="G58" s="14">
        <v>4.5999999999999996</v>
      </c>
      <c r="H58" s="14">
        <v>14.8</v>
      </c>
      <c r="I58">
        <v>-1.5</v>
      </c>
      <c r="J58">
        <v>49</v>
      </c>
      <c r="L58" s="1" t="s">
        <v>308</v>
      </c>
      <c r="M58">
        <v>11</v>
      </c>
      <c r="N58">
        <v>3.2900000000000009</v>
      </c>
      <c r="O58">
        <v>3</v>
      </c>
      <c r="P58">
        <v>6</v>
      </c>
      <c r="Q58">
        <v>10</v>
      </c>
      <c r="R58">
        <v>0.79375000000000062</v>
      </c>
      <c r="S58">
        <v>2</v>
      </c>
      <c r="T58">
        <v>-1.5</v>
      </c>
      <c r="U58">
        <v>0.375</v>
      </c>
      <c r="V58">
        <v>1</v>
      </c>
      <c r="W58">
        <v>1.5</v>
      </c>
      <c r="X58">
        <v>2</v>
      </c>
      <c r="Y58">
        <v>-0.71499999999999941</v>
      </c>
      <c r="Z58">
        <v>1</v>
      </c>
      <c r="AA58">
        <v>-7.75</v>
      </c>
      <c r="AB58">
        <v>-1.125</v>
      </c>
      <c r="AC58">
        <v>19</v>
      </c>
      <c r="AD58">
        <v>18.5</v>
      </c>
      <c r="AE58">
        <v>15</v>
      </c>
      <c r="AF58">
        <v>3.0137499999999995</v>
      </c>
      <c r="AG58">
        <v>22</v>
      </c>
      <c r="AH58">
        <v>13.0625</v>
      </c>
      <c r="AI58">
        <v>0.3125</v>
      </c>
      <c r="AJ58">
        <v>12</v>
      </c>
      <c r="AK58">
        <v>11.5</v>
      </c>
      <c r="AL58">
        <v>12</v>
      </c>
      <c r="AM58">
        <v>-0.81875000000000009</v>
      </c>
      <c r="AN58">
        <v>11</v>
      </c>
      <c r="AO58">
        <v>7.625</v>
      </c>
      <c r="AP58">
        <v>1.0625</v>
      </c>
      <c r="AQ58">
        <v>17</v>
      </c>
      <c r="AR58">
        <v>17</v>
      </c>
      <c r="AS58">
        <v>17</v>
      </c>
      <c r="AT58">
        <v>-2.5750000000000002</v>
      </c>
      <c r="AU58">
        <v>17</v>
      </c>
      <c r="AV58">
        <v>-7.4375</v>
      </c>
      <c r="AW58">
        <v>-0.6875</v>
      </c>
      <c r="AX58">
        <v>24</v>
      </c>
      <c r="AY58">
        <v>25</v>
      </c>
      <c r="AZ58">
        <v>26</v>
      </c>
      <c r="BA58">
        <v>1.9937500000000021</v>
      </c>
      <c r="BB58">
        <v>24</v>
      </c>
      <c r="BC58">
        <v>11.1875</v>
      </c>
      <c r="BD58">
        <v>0.125</v>
      </c>
      <c r="BE58">
        <v>12</v>
      </c>
      <c r="BF58">
        <v>12.5</v>
      </c>
      <c r="BG58">
        <v>10</v>
      </c>
      <c r="BH58">
        <v>2.7562499999999988</v>
      </c>
      <c r="BI58">
        <v>-0.625</v>
      </c>
      <c r="BJ58">
        <v>0.75</v>
      </c>
      <c r="BK58">
        <v>8</v>
      </c>
      <c r="BL58">
        <v>8.5</v>
      </c>
      <c r="BM58">
        <v>9</v>
      </c>
      <c r="BN58">
        <v>-2.875</v>
      </c>
      <c r="BO58">
        <v>8</v>
      </c>
      <c r="BP58">
        <v>-0.375</v>
      </c>
      <c r="BQ58">
        <v>-0.125</v>
      </c>
      <c r="BR58">
        <v>12</v>
      </c>
      <c r="BS58">
        <v>13.25</v>
      </c>
      <c r="BT58">
        <v>11</v>
      </c>
      <c r="BU58">
        <v>-1.8536306254826516E-2</v>
      </c>
      <c r="BV58">
        <v>5</v>
      </c>
      <c r="BW58">
        <v>2.7283187566742247E-2</v>
      </c>
      <c r="BX58">
        <v>21</v>
      </c>
      <c r="BY58">
        <v>6.2375000000000043</v>
      </c>
      <c r="BZ58">
        <v>16</v>
      </c>
      <c r="CA58">
        <v>1.625</v>
      </c>
      <c r="CB58">
        <v>-1.125</v>
      </c>
      <c r="CC58">
        <v>-0.875</v>
      </c>
      <c r="CD58">
        <v>1.3125</v>
      </c>
      <c r="CE58">
        <v>-6.9375</v>
      </c>
      <c r="CF58">
        <v>11</v>
      </c>
      <c r="CG58">
        <v>-15.375</v>
      </c>
      <c r="CH58">
        <v>-3.5625</v>
      </c>
      <c r="CI58">
        <v>1</v>
      </c>
      <c r="CJ58">
        <v>12</v>
      </c>
      <c r="CK58">
        <v>3.2112499999999997</v>
      </c>
      <c r="CL58">
        <v>1.0938749999999993</v>
      </c>
      <c r="CM58">
        <v>26.375</v>
      </c>
      <c r="CN58">
        <v>-3.2112499999999997</v>
      </c>
      <c r="CO58">
        <v>0.35875000000000012</v>
      </c>
      <c r="CP58">
        <v>-0.38000000000000078</v>
      </c>
      <c r="CQ58">
        <v>13.25</v>
      </c>
      <c r="CR58">
        <v>7.8750000000001208E-2</v>
      </c>
      <c r="CS58">
        <v>-9.25</v>
      </c>
      <c r="CT58">
        <v>1.4375</v>
      </c>
      <c r="CU58">
        <v>-0.75</v>
      </c>
      <c r="CV58">
        <v>-0.1513281250000004</v>
      </c>
      <c r="CW58">
        <v>-9.8750000000000282E-2</v>
      </c>
      <c r="CX58" t="s">
        <v>304</v>
      </c>
      <c r="CY58">
        <v>16</v>
      </c>
      <c r="CZ58">
        <v>-1.1625000000000008</v>
      </c>
      <c r="DA58">
        <v>17</v>
      </c>
      <c r="DB58">
        <v>18</v>
      </c>
      <c r="DC58">
        <v>20</v>
      </c>
      <c r="DD58">
        <v>-0.13750000000000107</v>
      </c>
      <c r="DE58">
        <v>16</v>
      </c>
      <c r="DF58">
        <v>-2.5</v>
      </c>
      <c r="DG58">
        <v>0.625</v>
      </c>
      <c r="DH58">
        <v>4</v>
      </c>
      <c r="DI58">
        <v>6.5</v>
      </c>
      <c r="DJ58">
        <v>7</v>
      </c>
      <c r="DK58">
        <v>-0.59375</v>
      </c>
      <c r="DL58">
        <v>6</v>
      </c>
      <c r="DM58">
        <v>-6.9375</v>
      </c>
      <c r="DN58">
        <v>-0.875</v>
      </c>
      <c r="DO58">
        <v>19</v>
      </c>
      <c r="DP58">
        <v>19.5</v>
      </c>
      <c r="DQ58">
        <v>17</v>
      </c>
      <c r="DR58">
        <v>-1.3750000000000009</v>
      </c>
      <c r="DS58">
        <v>22</v>
      </c>
      <c r="DT58">
        <v>-3.625</v>
      </c>
      <c r="DU58">
        <v>0.6875</v>
      </c>
      <c r="DV58">
        <v>11</v>
      </c>
      <c r="DW58">
        <v>13</v>
      </c>
      <c r="DX58">
        <v>10</v>
      </c>
      <c r="DY58">
        <v>2.5687499999999996</v>
      </c>
      <c r="DZ58">
        <v>16</v>
      </c>
      <c r="EA58">
        <v>9.625</v>
      </c>
      <c r="EB58">
        <v>0.1875</v>
      </c>
      <c r="EC58">
        <v>2</v>
      </c>
      <c r="ED58">
        <v>2</v>
      </c>
      <c r="EE58">
        <v>2</v>
      </c>
      <c r="EF58">
        <v>-1.6937500000000001</v>
      </c>
      <c r="EG58">
        <v>2</v>
      </c>
      <c r="EH58">
        <v>-6.125</v>
      </c>
      <c r="EI58">
        <v>-0.375</v>
      </c>
      <c r="EJ58">
        <v>14</v>
      </c>
      <c r="EK58">
        <v>14</v>
      </c>
      <c r="EL58">
        <v>11</v>
      </c>
      <c r="EM58">
        <v>2.1562500000000004</v>
      </c>
      <c r="EN58">
        <v>17</v>
      </c>
      <c r="EO58">
        <v>-0.3125</v>
      </c>
      <c r="EP58">
        <v>4.3125</v>
      </c>
      <c r="EQ58">
        <v>25</v>
      </c>
      <c r="ER58">
        <v>24.5</v>
      </c>
      <c r="ES58">
        <v>29</v>
      </c>
      <c r="ET58">
        <v>-0.11250000000000115</v>
      </c>
      <c r="EU58">
        <v>20</v>
      </c>
      <c r="EV58">
        <v>-7</v>
      </c>
      <c r="EW58">
        <v>0.9375</v>
      </c>
      <c r="EX58">
        <v>28</v>
      </c>
      <c r="EY58">
        <v>26.5</v>
      </c>
      <c r="EZ58">
        <v>29</v>
      </c>
      <c r="FA58">
        <v>0.875</v>
      </c>
      <c r="FB58">
        <v>24</v>
      </c>
      <c r="FC58">
        <v>0</v>
      </c>
      <c r="FD58">
        <v>-1.125</v>
      </c>
      <c r="FE58">
        <v>14</v>
      </c>
      <c r="FF58">
        <v>15</v>
      </c>
      <c r="FG58">
        <v>22</v>
      </c>
      <c r="FH58">
        <v>4.3455078870373171E-3</v>
      </c>
      <c r="FI58">
        <v>10</v>
      </c>
      <c r="FJ58">
        <v>-1.1827450233645396E-2</v>
      </c>
      <c r="FK58">
        <v>22</v>
      </c>
      <c r="FL58">
        <v>3.375</v>
      </c>
      <c r="FM58">
        <v>6</v>
      </c>
      <c r="FN58">
        <v>-0.375</v>
      </c>
      <c r="FO58">
        <v>2.375</v>
      </c>
      <c r="FP58">
        <v>0</v>
      </c>
      <c r="FQ58">
        <v>-0.6875</v>
      </c>
      <c r="FR58">
        <v>1.1875</v>
      </c>
      <c r="FS58">
        <v>1.6875</v>
      </c>
      <c r="FT58">
        <v>-0.125</v>
      </c>
      <c r="FU58">
        <v>-32.8125</v>
      </c>
      <c r="FV58">
        <v>-14.625</v>
      </c>
      <c r="FW58">
        <v>-10.75</v>
      </c>
      <c r="FX58">
        <v>-3</v>
      </c>
      <c r="FY58">
        <v>-4.4375</v>
      </c>
      <c r="FZ58">
        <v>19</v>
      </c>
      <c r="GA58">
        <v>-0.43124999999999969</v>
      </c>
      <c r="GB58">
        <v>1.062499999999994E-2</v>
      </c>
      <c r="GC58">
        <v>-3.875</v>
      </c>
      <c r="GD58">
        <v>0.43124999999999969</v>
      </c>
      <c r="GE58">
        <v>-0.20390625000000051</v>
      </c>
      <c r="GF58">
        <v>-0.50000000000000133</v>
      </c>
      <c r="GG58">
        <v>-0.125</v>
      </c>
      <c r="GH58">
        <v>-0.73125000000000107</v>
      </c>
      <c r="GI58">
        <v>-9.4375</v>
      </c>
      <c r="GJ58">
        <v>1.4375</v>
      </c>
      <c r="GK58">
        <v>-0.25</v>
      </c>
    </row>
    <row r="59" spans="1:193" x14ac:dyDescent="0.2">
      <c r="A59" s="39">
        <v>43744</v>
      </c>
      <c r="B59" s="22" t="s">
        <v>381</v>
      </c>
      <c r="C59" s="41" t="s">
        <v>284</v>
      </c>
      <c r="D59" s="22" t="s">
        <v>307</v>
      </c>
      <c r="E59">
        <v>0</v>
      </c>
      <c r="F59">
        <v>34.5</v>
      </c>
      <c r="G59">
        <v>2.1</v>
      </c>
      <c r="H59">
        <v>4.0999999999999996</v>
      </c>
      <c r="I59">
        <v>3</v>
      </c>
      <c r="J59">
        <v>46</v>
      </c>
      <c r="L59" s="1" t="s">
        <v>284</v>
      </c>
      <c r="M59">
        <v>12</v>
      </c>
      <c r="N59">
        <v>5.3712499999999981</v>
      </c>
      <c r="O59">
        <v>24</v>
      </c>
      <c r="P59">
        <v>22.5</v>
      </c>
      <c r="Q59">
        <v>20</v>
      </c>
      <c r="R59">
        <v>2.5000000000000799E-2</v>
      </c>
      <c r="S59">
        <v>25</v>
      </c>
      <c r="T59">
        <v>10.9375</v>
      </c>
      <c r="U59">
        <v>-2.3125</v>
      </c>
      <c r="V59">
        <v>20</v>
      </c>
      <c r="W59">
        <v>18.5</v>
      </c>
      <c r="X59">
        <v>12</v>
      </c>
      <c r="Y59">
        <v>-0.32499999999999973</v>
      </c>
      <c r="Z59">
        <v>25</v>
      </c>
      <c r="AA59">
        <v>5.625</v>
      </c>
      <c r="AB59">
        <v>0.25</v>
      </c>
      <c r="AC59">
        <v>24</v>
      </c>
      <c r="AD59">
        <v>22.5</v>
      </c>
      <c r="AE59">
        <v>26</v>
      </c>
      <c r="AF59">
        <v>4.6562500000000009</v>
      </c>
      <c r="AG59">
        <v>19</v>
      </c>
      <c r="AH59">
        <v>21.0625</v>
      </c>
      <c r="AI59">
        <v>0.1875</v>
      </c>
      <c r="AJ59">
        <v>2</v>
      </c>
      <c r="AK59">
        <v>3</v>
      </c>
      <c r="AL59">
        <v>3</v>
      </c>
      <c r="AM59">
        <v>8.1937500000000014</v>
      </c>
      <c r="AN59">
        <v>3</v>
      </c>
      <c r="AO59">
        <v>23.3125</v>
      </c>
      <c r="AP59">
        <v>1.0625</v>
      </c>
      <c r="AQ59">
        <v>4</v>
      </c>
      <c r="AR59">
        <v>4.5</v>
      </c>
      <c r="AS59">
        <v>5</v>
      </c>
      <c r="AT59">
        <v>-2.1749999999999998</v>
      </c>
      <c r="AU59">
        <v>4</v>
      </c>
      <c r="AV59">
        <v>-10.8125</v>
      </c>
      <c r="AW59">
        <v>0.5</v>
      </c>
      <c r="AX59">
        <v>6</v>
      </c>
      <c r="AY59">
        <v>5.5</v>
      </c>
      <c r="AZ59">
        <v>6</v>
      </c>
      <c r="BA59">
        <v>0.44375000000000142</v>
      </c>
      <c r="BB59">
        <v>5</v>
      </c>
      <c r="BC59">
        <v>6.3125</v>
      </c>
      <c r="BD59">
        <v>-3</v>
      </c>
      <c r="BE59">
        <v>20</v>
      </c>
      <c r="BF59">
        <v>22</v>
      </c>
      <c r="BG59">
        <v>22</v>
      </c>
      <c r="BH59">
        <v>1.5875000000000001</v>
      </c>
      <c r="BI59">
        <v>17.375</v>
      </c>
      <c r="BJ59">
        <v>-0.3125</v>
      </c>
      <c r="BK59">
        <v>18</v>
      </c>
      <c r="BL59">
        <v>17.5</v>
      </c>
      <c r="BM59">
        <v>16</v>
      </c>
      <c r="BN59">
        <v>2.9375</v>
      </c>
      <c r="BO59">
        <v>19</v>
      </c>
      <c r="BP59">
        <v>0.6875</v>
      </c>
      <c r="BQ59">
        <v>3.875</v>
      </c>
      <c r="BR59">
        <v>14</v>
      </c>
      <c r="BS59">
        <v>14</v>
      </c>
      <c r="BT59">
        <v>29</v>
      </c>
      <c r="BU59">
        <v>4.8222279477570462E-2</v>
      </c>
      <c r="BV59">
        <v>22</v>
      </c>
      <c r="BW59">
        <v>-1.1932460423095918E-3</v>
      </c>
      <c r="BX59">
        <v>1</v>
      </c>
      <c r="BY59">
        <v>6.6750000000000007</v>
      </c>
      <c r="BZ59">
        <v>4</v>
      </c>
      <c r="CA59">
        <v>1.8125</v>
      </c>
      <c r="CB59">
        <v>4.625</v>
      </c>
      <c r="CC59">
        <v>7</v>
      </c>
      <c r="CD59">
        <v>2.625</v>
      </c>
      <c r="CE59">
        <v>69.6875</v>
      </c>
      <c r="CF59">
        <v>59.875</v>
      </c>
      <c r="CG59">
        <v>16.375</v>
      </c>
      <c r="CH59">
        <v>-1.3125</v>
      </c>
      <c r="CI59">
        <v>-5.25</v>
      </c>
      <c r="CJ59">
        <v>7</v>
      </c>
      <c r="CK59">
        <v>5.671249999999997</v>
      </c>
      <c r="CL59">
        <v>3.6767499999999993</v>
      </c>
      <c r="CM59">
        <v>43.5</v>
      </c>
      <c r="CN59">
        <v>-5.671249999999997</v>
      </c>
      <c r="CO59">
        <v>2.5339062499999998</v>
      </c>
      <c r="CP59">
        <v>10.675000000000001</v>
      </c>
      <c r="CQ59">
        <v>33.5625</v>
      </c>
      <c r="CR59">
        <v>-0.29999999999999893</v>
      </c>
      <c r="CS59">
        <v>16.5625</v>
      </c>
      <c r="CT59">
        <v>1.4375</v>
      </c>
      <c r="CU59">
        <v>-2.0625</v>
      </c>
      <c r="CV59">
        <v>0.48656250000000006</v>
      </c>
      <c r="CW59">
        <v>1.5404687499999998</v>
      </c>
      <c r="CX59" t="s">
        <v>307</v>
      </c>
      <c r="CY59">
        <v>18</v>
      </c>
      <c r="CZ59">
        <v>3.5050000000000003</v>
      </c>
      <c r="DA59">
        <v>29</v>
      </c>
      <c r="DB59">
        <v>27.5</v>
      </c>
      <c r="DC59">
        <v>26</v>
      </c>
      <c r="DD59">
        <v>-2.3625000000000003</v>
      </c>
      <c r="DE59">
        <v>29</v>
      </c>
      <c r="DF59">
        <v>-7.4375</v>
      </c>
      <c r="DG59">
        <v>0</v>
      </c>
      <c r="DH59">
        <v>7</v>
      </c>
      <c r="DI59">
        <v>10</v>
      </c>
      <c r="DJ59">
        <v>8</v>
      </c>
      <c r="DK59">
        <v>-0.31875000000000009</v>
      </c>
      <c r="DL59">
        <v>12</v>
      </c>
      <c r="DM59">
        <v>-6.1875</v>
      </c>
      <c r="DN59">
        <v>1.1875</v>
      </c>
      <c r="DO59">
        <v>15</v>
      </c>
      <c r="DP59">
        <v>19</v>
      </c>
      <c r="DQ59">
        <v>18</v>
      </c>
      <c r="DR59">
        <v>5.4375000000000018</v>
      </c>
      <c r="DS59">
        <v>20</v>
      </c>
      <c r="DT59">
        <v>29.375</v>
      </c>
      <c r="DU59">
        <v>2.0625</v>
      </c>
      <c r="DV59">
        <v>29</v>
      </c>
      <c r="DW59">
        <v>29.5</v>
      </c>
      <c r="DX59">
        <v>27</v>
      </c>
      <c r="DY59">
        <v>-6.2687500000000007</v>
      </c>
      <c r="DZ59">
        <v>32</v>
      </c>
      <c r="EA59">
        <v>-23.5</v>
      </c>
      <c r="EB59">
        <v>-3.75</v>
      </c>
      <c r="EC59">
        <v>27</v>
      </c>
      <c r="ED59">
        <v>25</v>
      </c>
      <c r="EE59">
        <v>25</v>
      </c>
      <c r="EF59">
        <v>0.47500000000000031</v>
      </c>
      <c r="EG59">
        <v>25</v>
      </c>
      <c r="EH59">
        <v>-2.9375</v>
      </c>
      <c r="EI59">
        <v>-0.125</v>
      </c>
      <c r="EJ59">
        <v>24</v>
      </c>
      <c r="EK59">
        <v>23.5</v>
      </c>
      <c r="EL59">
        <v>20</v>
      </c>
      <c r="EM59">
        <v>4.8375000000000012</v>
      </c>
      <c r="EN59">
        <v>27</v>
      </c>
      <c r="EO59">
        <v>22.75</v>
      </c>
      <c r="EP59">
        <v>1.0625</v>
      </c>
      <c r="EQ59">
        <v>3</v>
      </c>
      <c r="ER59">
        <v>3.5</v>
      </c>
      <c r="ES59">
        <v>3</v>
      </c>
      <c r="ET59">
        <v>-3.0687499999999992</v>
      </c>
      <c r="EU59">
        <v>4</v>
      </c>
      <c r="EV59">
        <v>2.4375</v>
      </c>
      <c r="EW59">
        <v>-0.1875</v>
      </c>
      <c r="EX59">
        <v>8</v>
      </c>
      <c r="EY59">
        <v>8.5</v>
      </c>
      <c r="EZ59">
        <v>9</v>
      </c>
      <c r="FA59">
        <v>-1.9375</v>
      </c>
      <c r="FB59">
        <v>8</v>
      </c>
      <c r="FC59">
        <v>-0.875</v>
      </c>
      <c r="FD59">
        <v>-2.0625</v>
      </c>
      <c r="FE59">
        <v>17</v>
      </c>
      <c r="FF59">
        <v>16</v>
      </c>
      <c r="FG59">
        <v>6</v>
      </c>
      <c r="FH59">
        <v>6.1982681330107814E-2</v>
      </c>
      <c r="FI59">
        <v>18</v>
      </c>
      <c r="FJ59">
        <v>-4.6531655680710597E-4</v>
      </c>
      <c r="FK59">
        <v>21</v>
      </c>
      <c r="FL59">
        <v>-0.13749999999999574</v>
      </c>
      <c r="FM59">
        <v>19</v>
      </c>
      <c r="FN59">
        <v>2.5</v>
      </c>
      <c r="FO59">
        <v>0.3125</v>
      </c>
      <c r="FP59">
        <v>-2.0625</v>
      </c>
      <c r="FQ59">
        <v>0.1875</v>
      </c>
      <c r="FR59">
        <v>-1.3125</v>
      </c>
      <c r="FS59">
        <v>-1.4375</v>
      </c>
      <c r="FT59">
        <v>-0.875</v>
      </c>
      <c r="FU59">
        <v>8.0625</v>
      </c>
      <c r="FV59">
        <v>15.125</v>
      </c>
      <c r="FW59">
        <v>-14.125</v>
      </c>
      <c r="FX59">
        <v>-6.25E-2</v>
      </c>
      <c r="FY59">
        <v>7.125</v>
      </c>
      <c r="FZ59">
        <v>4</v>
      </c>
      <c r="GA59">
        <v>6.1862500000000011</v>
      </c>
      <c r="GB59">
        <v>1.3566250000000009</v>
      </c>
      <c r="GC59">
        <v>29.25</v>
      </c>
      <c r="GD59">
        <v>-6.1862500000000011</v>
      </c>
      <c r="GE59">
        <v>-0.5673437499999997</v>
      </c>
      <c r="GF59">
        <v>-0.35624999999999862</v>
      </c>
      <c r="GG59">
        <v>2.9375</v>
      </c>
      <c r="GH59">
        <v>-2.6812500000000004</v>
      </c>
      <c r="GI59">
        <v>-13.625</v>
      </c>
      <c r="GJ59">
        <v>-2</v>
      </c>
      <c r="GK59">
        <v>1.1875</v>
      </c>
    </row>
    <row r="60" spans="1:193" x14ac:dyDescent="0.2">
      <c r="A60" s="39">
        <v>43744</v>
      </c>
      <c r="B60" s="22" t="s">
        <v>381</v>
      </c>
      <c r="C60" s="41" t="s">
        <v>310</v>
      </c>
      <c r="D60" s="22" t="s">
        <v>276</v>
      </c>
      <c r="E60">
        <v>4.8</v>
      </c>
      <c r="F60" s="14">
        <v>7</v>
      </c>
      <c r="G60">
        <v>4.7</v>
      </c>
      <c r="H60">
        <v>8.6999999999999993</v>
      </c>
      <c r="I60">
        <v>-3.5</v>
      </c>
      <c r="J60">
        <v>39.5</v>
      </c>
      <c r="L60" s="1" t="s">
        <v>310</v>
      </c>
      <c r="M60">
        <v>7</v>
      </c>
      <c r="N60">
        <v>-0.61500000000000021</v>
      </c>
      <c r="O60">
        <v>1</v>
      </c>
      <c r="P60">
        <v>1.5</v>
      </c>
      <c r="Q60">
        <v>2</v>
      </c>
      <c r="R60">
        <v>1.9249999999999998</v>
      </c>
      <c r="S60">
        <v>1</v>
      </c>
      <c r="T60">
        <v>8.625</v>
      </c>
      <c r="U60">
        <v>-0.875</v>
      </c>
      <c r="V60">
        <v>29</v>
      </c>
      <c r="W60">
        <v>29</v>
      </c>
      <c r="X60">
        <v>29</v>
      </c>
      <c r="Y60">
        <v>-0.87500000000000011</v>
      </c>
      <c r="Z60">
        <v>29</v>
      </c>
      <c r="AA60">
        <v>-11.25</v>
      </c>
      <c r="AB60">
        <v>0.375</v>
      </c>
      <c r="AC60">
        <v>28</v>
      </c>
      <c r="AD60">
        <v>27.5</v>
      </c>
      <c r="AE60">
        <v>28</v>
      </c>
      <c r="AF60">
        <v>-8.7187499999999982</v>
      </c>
      <c r="AG60">
        <v>27</v>
      </c>
      <c r="AH60">
        <v>-24.0625</v>
      </c>
      <c r="AI60">
        <v>-2.5</v>
      </c>
      <c r="AJ60">
        <v>28</v>
      </c>
      <c r="AK60">
        <v>27.5</v>
      </c>
      <c r="AL60">
        <v>28</v>
      </c>
      <c r="AM60">
        <v>4.9249999999999989</v>
      </c>
      <c r="AN60">
        <v>27</v>
      </c>
      <c r="AO60">
        <v>25.0625</v>
      </c>
      <c r="AP60">
        <v>0.5625</v>
      </c>
      <c r="AQ60">
        <v>15</v>
      </c>
      <c r="AR60">
        <v>15</v>
      </c>
      <c r="AS60">
        <v>12</v>
      </c>
      <c r="AT60">
        <v>-3.8375000000000004</v>
      </c>
      <c r="AU60">
        <v>18</v>
      </c>
      <c r="AV60">
        <v>-18.9375</v>
      </c>
      <c r="AW60">
        <v>-0.8125</v>
      </c>
      <c r="AX60">
        <v>20</v>
      </c>
      <c r="AY60">
        <v>20</v>
      </c>
      <c r="AZ60">
        <v>22</v>
      </c>
      <c r="BA60">
        <v>-4.9187499999999993</v>
      </c>
      <c r="BB60">
        <v>18</v>
      </c>
      <c r="BC60">
        <v>-10.4375</v>
      </c>
      <c r="BD60">
        <v>-0.8125</v>
      </c>
      <c r="BE60">
        <v>14</v>
      </c>
      <c r="BF60">
        <v>13.5</v>
      </c>
      <c r="BG60">
        <v>15</v>
      </c>
      <c r="BH60">
        <v>0.13125000000000009</v>
      </c>
      <c r="BI60">
        <v>-5.4375</v>
      </c>
      <c r="BJ60">
        <v>-6.25E-2</v>
      </c>
      <c r="BK60">
        <v>29</v>
      </c>
      <c r="BL60">
        <v>29</v>
      </c>
      <c r="BM60">
        <v>28</v>
      </c>
      <c r="BN60">
        <v>-0.625</v>
      </c>
      <c r="BO60">
        <v>30</v>
      </c>
      <c r="BP60">
        <v>-0.25</v>
      </c>
      <c r="BQ60">
        <v>3.625</v>
      </c>
      <c r="BR60">
        <v>25</v>
      </c>
      <c r="BS60">
        <v>21</v>
      </c>
      <c r="BT60">
        <v>27</v>
      </c>
      <c r="BU60">
        <v>1.8200072353711932E-2</v>
      </c>
      <c r="BV60">
        <v>2</v>
      </c>
      <c r="BW60">
        <v>3.5271798615045695E-2</v>
      </c>
      <c r="BX60">
        <v>30</v>
      </c>
      <c r="BY60">
        <v>3.1750000000000025</v>
      </c>
      <c r="BZ60">
        <v>25</v>
      </c>
      <c r="CA60">
        <v>-6.25E-2</v>
      </c>
      <c r="CB60">
        <v>1.0625</v>
      </c>
      <c r="CC60">
        <v>0.4375</v>
      </c>
      <c r="CD60">
        <v>1.25</v>
      </c>
      <c r="CE60">
        <v>-11.625</v>
      </c>
      <c r="CF60">
        <v>-15.4375</v>
      </c>
      <c r="CG60">
        <v>-6</v>
      </c>
      <c r="CH60">
        <v>-4.625</v>
      </c>
      <c r="CI60">
        <v>14.4375</v>
      </c>
      <c r="CJ60">
        <v>22</v>
      </c>
      <c r="CK60">
        <v>-1.665</v>
      </c>
      <c r="CL60">
        <v>-2.1479999999999997</v>
      </c>
      <c r="CM60">
        <v>-9.4375</v>
      </c>
      <c r="CN60">
        <v>1.665</v>
      </c>
      <c r="CO60">
        <v>-0.96125000000000016</v>
      </c>
      <c r="CP60">
        <v>-7.6312499999999996</v>
      </c>
      <c r="CQ60">
        <v>-17.9375</v>
      </c>
      <c r="CR60">
        <v>1.0499999999999998</v>
      </c>
      <c r="CS60">
        <v>-2.625</v>
      </c>
      <c r="CT60">
        <v>-2.8125</v>
      </c>
      <c r="CU60">
        <v>-0.5</v>
      </c>
      <c r="CV60">
        <v>-1.8165625000000001</v>
      </c>
      <c r="CW60">
        <v>-1.7523437500000001</v>
      </c>
      <c r="CX60" t="s">
        <v>276</v>
      </c>
      <c r="CY60">
        <v>24</v>
      </c>
      <c r="CZ60">
        <v>-4.4537500000000012</v>
      </c>
      <c r="DA60">
        <v>10</v>
      </c>
      <c r="DB60">
        <v>10.5</v>
      </c>
      <c r="DC60">
        <v>8</v>
      </c>
      <c r="DD60">
        <v>3.3145833333333341</v>
      </c>
      <c r="DE60">
        <v>13</v>
      </c>
      <c r="DF60">
        <v>15.520833333333332</v>
      </c>
      <c r="DG60">
        <v>-0.16666666666666674</v>
      </c>
      <c r="DH60">
        <v>3</v>
      </c>
      <c r="DI60">
        <v>6</v>
      </c>
      <c r="DJ60">
        <v>2</v>
      </c>
      <c r="DK60">
        <v>-2.270833333333333</v>
      </c>
      <c r="DL60">
        <v>10</v>
      </c>
      <c r="DM60">
        <v>-11.229166666666668</v>
      </c>
      <c r="DN60">
        <v>4.1666666666666685E-2</v>
      </c>
      <c r="DO60">
        <v>17</v>
      </c>
      <c r="DP60">
        <v>19</v>
      </c>
      <c r="DQ60">
        <v>20</v>
      </c>
      <c r="DR60">
        <v>-0.11749999999999927</v>
      </c>
      <c r="DS60">
        <v>18</v>
      </c>
      <c r="DT60">
        <v>1.8125</v>
      </c>
      <c r="DU60">
        <v>2.5</v>
      </c>
      <c r="DV60">
        <v>20</v>
      </c>
      <c r="DW60">
        <v>19</v>
      </c>
      <c r="DX60">
        <v>20</v>
      </c>
      <c r="DY60">
        <v>-5.3687500000000004</v>
      </c>
      <c r="DZ60">
        <v>18</v>
      </c>
      <c r="EA60">
        <v>-26.6875</v>
      </c>
      <c r="EB60">
        <v>6.25E-2</v>
      </c>
      <c r="EC60">
        <v>8</v>
      </c>
      <c r="ED60">
        <v>21</v>
      </c>
      <c r="EE60">
        <v>11</v>
      </c>
      <c r="EF60">
        <v>0.18750000000000044</v>
      </c>
      <c r="EG60">
        <v>31</v>
      </c>
      <c r="EH60">
        <v>0.3125</v>
      </c>
      <c r="EI60">
        <v>1.1875</v>
      </c>
      <c r="EJ60">
        <v>20</v>
      </c>
      <c r="EK60">
        <v>19</v>
      </c>
      <c r="EL60">
        <v>19</v>
      </c>
      <c r="EM60">
        <v>-7.8187500000000014</v>
      </c>
      <c r="EN60">
        <v>19</v>
      </c>
      <c r="EO60">
        <v>-35.6875</v>
      </c>
      <c r="EP60">
        <v>-1.5</v>
      </c>
      <c r="EQ60">
        <v>32</v>
      </c>
      <c r="ER60">
        <v>32</v>
      </c>
      <c r="ES60">
        <v>32</v>
      </c>
      <c r="ET60">
        <v>-4.3375000000000004</v>
      </c>
      <c r="EU60">
        <v>32</v>
      </c>
      <c r="EV60">
        <v>-19</v>
      </c>
      <c r="EW60">
        <v>-1.5625</v>
      </c>
      <c r="EX60">
        <v>32</v>
      </c>
      <c r="EY60">
        <v>32</v>
      </c>
      <c r="EZ60">
        <v>32</v>
      </c>
      <c r="FA60">
        <v>-2</v>
      </c>
      <c r="FB60">
        <v>32</v>
      </c>
      <c r="FC60">
        <v>-0.375</v>
      </c>
      <c r="FD60">
        <v>2.125</v>
      </c>
      <c r="FE60">
        <v>7</v>
      </c>
      <c r="FF60">
        <v>12.25</v>
      </c>
      <c r="FG60">
        <v>24</v>
      </c>
      <c r="FH60">
        <v>-5.1053919056739359E-2</v>
      </c>
      <c r="FI60">
        <v>3</v>
      </c>
      <c r="FJ60">
        <v>-3.9151835546562014E-2</v>
      </c>
      <c r="FK60">
        <v>17</v>
      </c>
      <c r="FL60">
        <v>-18.462500000000002</v>
      </c>
      <c r="FM60">
        <v>5</v>
      </c>
      <c r="FN60">
        <v>-3.0625</v>
      </c>
      <c r="FO60">
        <v>3.125</v>
      </c>
      <c r="FP60">
        <v>-1.6875</v>
      </c>
      <c r="FQ60">
        <v>-0.125</v>
      </c>
      <c r="FR60">
        <v>-0.375</v>
      </c>
      <c r="FS60">
        <v>-4.125</v>
      </c>
      <c r="FT60">
        <v>0.8125</v>
      </c>
      <c r="FU60">
        <v>-40.0625</v>
      </c>
      <c r="FV60">
        <v>-41</v>
      </c>
      <c r="FW60">
        <v>5.125</v>
      </c>
      <c r="FX60">
        <v>0.9375</v>
      </c>
      <c r="FY60">
        <v>-5.125</v>
      </c>
      <c r="FZ60">
        <v>27</v>
      </c>
      <c r="GA60">
        <v>-5.4975000000000023</v>
      </c>
      <c r="GB60">
        <v>-3.339875000000001</v>
      </c>
      <c r="GC60">
        <v>-46.125</v>
      </c>
      <c r="GD60">
        <v>5.4975000000000023</v>
      </c>
      <c r="GE60">
        <v>-1.8807812500000001</v>
      </c>
      <c r="GF60">
        <v>-5.2987500000000001</v>
      </c>
      <c r="GG60">
        <v>-24.5625</v>
      </c>
      <c r="GH60">
        <v>1.0437500000000011</v>
      </c>
      <c r="GI60">
        <v>4.2916666666666643</v>
      </c>
      <c r="GJ60">
        <v>2.1875</v>
      </c>
      <c r="GK60">
        <v>-0.12500000000000006</v>
      </c>
    </row>
    <row r="61" spans="1:193" x14ac:dyDescent="0.2">
      <c r="A61" s="39">
        <v>43744</v>
      </c>
      <c r="B61" s="22" t="s">
        <v>381</v>
      </c>
      <c r="C61" s="41" t="s">
        <v>306</v>
      </c>
      <c r="D61" s="22" t="s">
        <v>302</v>
      </c>
      <c r="E61">
        <v>8.1</v>
      </c>
      <c r="F61">
        <v>3.4</v>
      </c>
      <c r="G61" s="14">
        <v>3.5</v>
      </c>
      <c r="H61">
        <v>3.7</v>
      </c>
      <c r="I61">
        <v>15.5</v>
      </c>
      <c r="J61">
        <v>42</v>
      </c>
      <c r="L61" s="1" t="s">
        <v>306</v>
      </c>
      <c r="M61">
        <v>32</v>
      </c>
      <c r="N61">
        <v>-1.2775000000000007</v>
      </c>
      <c r="O61">
        <v>9</v>
      </c>
      <c r="P61">
        <v>9</v>
      </c>
      <c r="Q61">
        <v>11</v>
      </c>
      <c r="R61">
        <v>-4.84375</v>
      </c>
      <c r="S61">
        <v>7</v>
      </c>
      <c r="T61">
        <v>-15.4375</v>
      </c>
      <c r="U61">
        <v>-1.40625</v>
      </c>
      <c r="V61">
        <v>19</v>
      </c>
      <c r="W61">
        <v>18</v>
      </c>
      <c r="X61">
        <v>25</v>
      </c>
      <c r="Y61">
        <v>4.3187500000000014</v>
      </c>
      <c r="Z61">
        <v>11</v>
      </c>
      <c r="AA61">
        <v>-9.125</v>
      </c>
      <c r="AB61">
        <v>3.5625</v>
      </c>
      <c r="AC61">
        <v>29</v>
      </c>
      <c r="AD61">
        <v>29</v>
      </c>
      <c r="AE61">
        <v>29</v>
      </c>
      <c r="AF61">
        <v>-9.3750000000000888E-2</v>
      </c>
      <c r="AG61">
        <v>29</v>
      </c>
      <c r="AH61">
        <v>-8.375</v>
      </c>
      <c r="AI61">
        <v>-1.125</v>
      </c>
      <c r="AJ61">
        <v>28</v>
      </c>
      <c r="AK61">
        <v>27.5</v>
      </c>
      <c r="AL61">
        <v>30</v>
      </c>
      <c r="AM61">
        <v>-3.537500000000001</v>
      </c>
      <c r="AN61">
        <v>25</v>
      </c>
      <c r="AO61">
        <v>-31.625</v>
      </c>
      <c r="AP61">
        <v>-1.0625</v>
      </c>
      <c r="AQ61">
        <v>30</v>
      </c>
      <c r="AR61">
        <v>29.5</v>
      </c>
      <c r="AS61">
        <v>31</v>
      </c>
      <c r="AT61">
        <v>0.52500000000000058</v>
      </c>
      <c r="AU61">
        <v>28</v>
      </c>
      <c r="AV61">
        <v>0.125</v>
      </c>
      <c r="AW61">
        <v>1.1875</v>
      </c>
      <c r="AX61">
        <v>30</v>
      </c>
      <c r="AY61">
        <v>30</v>
      </c>
      <c r="AZ61">
        <v>30</v>
      </c>
      <c r="BA61">
        <v>2.5437500000000006</v>
      </c>
      <c r="BB61">
        <v>30</v>
      </c>
      <c r="BC61">
        <v>6.0625</v>
      </c>
      <c r="BD61">
        <v>0.5</v>
      </c>
      <c r="BE61">
        <v>31</v>
      </c>
      <c r="BF61">
        <v>30</v>
      </c>
      <c r="BG61">
        <v>31</v>
      </c>
      <c r="BH61">
        <v>-3.1875</v>
      </c>
      <c r="BI61">
        <v>-7.5</v>
      </c>
      <c r="BJ61">
        <v>-0.75</v>
      </c>
      <c r="BK61">
        <v>1</v>
      </c>
      <c r="BL61">
        <v>1</v>
      </c>
      <c r="BM61">
        <v>1</v>
      </c>
      <c r="BN61">
        <v>-1.6875</v>
      </c>
      <c r="BO61">
        <v>1</v>
      </c>
      <c r="BP61">
        <v>-0.5</v>
      </c>
      <c r="BQ61">
        <v>-1.25</v>
      </c>
      <c r="BR61">
        <v>1</v>
      </c>
      <c r="BS61">
        <v>5.25</v>
      </c>
      <c r="BT61">
        <v>9</v>
      </c>
      <c r="BU61">
        <v>-7.9610955567034764E-3</v>
      </c>
      <c r="BV61">
        <v>1</v>
      </c>
      <c r="BW61">
        <v>-5.3729369881807924E-3</v>
      </c>
      <c r="BX61">
        <v>2</v>
      </c>
      <c r="BY61">
        <v>-12.599999999999998</v>
      </c>
      <c r="BZ61">
        <v>9</v>
      </c>
      <c r="CA61">
        <v>3.8125</v>
      </c>
      <c r="CB61">
        <v>-6.0625</v>
      </c>
      <c r="CC61">
        <v>-2</v>
      </c>
      <c r="CD61">
        <v>-0.4375</v>
      </c>
      <c r="CE61">
        <v>-46.625</v>
      </c>
      <c r="CF61">
        <v>-13.9375</v>
      </c>
      <c r="CG61">
        <v>-29.1875</v>
      </c>
      <c r="CH61">
        <v>0.625</v>
      </c>
      <c r="CI61">
        <v>-4.125</v>
      </c>
      <c r="CJ61">
        <v>19</v>
      </c>
      <c r="CK61">
        <v>-0.75250000000000217</v>
      </c>
      <c r="CL61">
        <v>-1.2517500000000013</v>
      </c>
      <c r="CM61">
        <v>15.25</v>
      </c>
      <c r="CN61">
        <v>0.75250000000000217</v>
      </c>
      <c r="CO61">
        <v>-1.2229687500000002</v>
      </c>
      <c r="CP61">
        <v>-3.1062500000000011</v>
      </c>
      <c r="CQ61">
        <v>-39.875</v>
      </c>
      <c r="CR61">
        <v>-0.52499999999999858</v>
      </c>
      <c r="CS61">
        <v>-24.5625</v>
      </c>
      <c r="CT61">
        <v>-1.75</v>
      </c>
      <c r="CU61">
        <v>2.15625</v>
      </c>
      <c r="CV61">
        <v>-0.42484374999999974</v>
      </c>
      <c r="CW61">
        <v>1.2029687500000006</v>
      </c>
      <c r="CX61" t="s">
        <v>302</v>
      </c>
      <c r="CY61">
        <v>28</v>
      </c>
      <c r="CZ61">
        <v>-3.95</v>
      </c>
      <c r="DA61">
        <v>20</v>
      </c>
      <c r="DB61">
        <v>21</v>
      </c>
      <c r="DC61">
        <v>26</v>
      </c>
      <c r="DD61">
        <v>-2.7312499999999997</v>
      </c>
      <c r="DE61">
        <v>16</v>
      </c>
      <c r="DF61">
        <v>-2.125</v>
      </c>
      <c r="DG61">
        <v>-1.375</v>
      </c>
      <c r="DH61">
        <v>19</v>
      </c>
      <c r="DI61">
        <v>17</v>
      </c>
      <c r="DJ61">
        <v>15</v>
      </c>
      <c r="DK61">
        <v>-1.9837500000000001</v>
      </c>
      <c r="DL61">
        <v>19</v>
      </c>
      <c r="DM61">
        <v>-12.75</v>
      </c>
      <c r="DN61">
        <v>0.8125</v>
      </c>
      <c r="DO61">
        <v>31</v>
      </c>
      <c r="DP61">
        <v>29</v>
      </c>
      <c r="DQ61">
        <v>30</v>
      </c>
      <c r="DR61">
        <v>-1.9749999999999988</v>
      </c>
      <c r="DS61">
        <v>28</v>
      </c>
      <c r="DT61">
        <v>-0.5</v>
      </c>
      <c r="DU61">
        <v>-0.125</v>
      </c>
      <c r="DV61">
        <v>24</v>
      </c>
      <c r="DW61">
        <v>25</v>
      </c>
      <c r="DX61">
        <v>26</v>
      </c>
      <c r="DY61">
        <v>-3.9437500000000005</v>
      </c>
      <c r="DZ61">
        <v>24</v>
      </c>
      <c r="EA61">
        <v>-22.8125</v>
      </c>
      <c r="EB61">
        <v>2.125</v>
      </c>
      <c r="EC61">
        <v>23</v>
      </c>
      <c r="ED61">
        <v>21</v>
      </c>
      <c r="EE61">
        <v>25</v>
      </c>
      <c r="EF61">
        <v>0.96250000000000002</v>
      </c>
      <c r="EG61">
        <v>17</v>
      </c>
      <c r="EH61">
        <v>3.0625</v>
      </c>
      <c r="EI61">
        <v>2.3125</v>
      </c>
      <c r="EJ61">
        <v>22</v>
      </c>
      <c r="EK61">
        <v>23</v>
      </c>
      <c r="EL61">
        <v>24</v>
      </c>
      <c r="EM61">
        <v>2.7312500000000002</v>
      </c>
      <c r="EN61">
        <v>22</v>
      </c>
      <c r="EO61">
        <v>24.1875</v>
      </c>
      <c r="EP61">
        <v>3.6875</v>
      </c>
      <c r="EQ61">
        <v>20</v>
      </c>
      <c r="ER61">
        <v>20</v>
      </c>
      <c r="ES61">
        <v>18</v>
      </c>
      <c r="ET61">
        <v>-0.5499999999999996</v>
      </c>
      <c r="EU61">
        <v>22</v>
      </c>
      <c r="EV61">
        <v>8.8125</v>
      </c>
      <c r="EW61">
        <v>-0.75</v>
      </c>
      <c r="EX61">
        <v>24</v>
      </c>
      <c r="EY61">
        <v>23</v>
      </c>
      <c r="EZ61">
        <v>24</v>
      </c>
      <c r="FA61">
        <v>-2.25</v>
      </c>
      <c r="FB61">
        <v>22</v>
      </c>
      <c r="FC61">
        <v>-0.6875</v>
      </c>
      <c r="FD61">
        <v>-1.5</v>
      </c>
      <c r="FE61">
        <v>5</v>
      </c>
      <c r="FF61">
        <v>9.75</v>
      </c>
      <c r="FG61">
        <v>1</v>
      </c>
      <c r="FH61">
        <v>-2.3661413072460939E-2</v>
      </c>
      <c r="FI61">
        <v>12</v>
      </c>
      <c r="FJ61">
        <v>2.3066948167724727E-2</v>
      </c>
      <c r="FK61">
        <v>23</v>
      </c>
      <c r="FL61">
        <v>-14.30625</v>
      </c>
      <c r="FM61">
        <v>3</v>
      </c>
      <c r="FN61">
        <v>7.375</v>
      </c>
      <c r="FO61">
        <v>4.3125</v>
      </c>
      <c r="FP61">
        <v>-2.375</v>
      </c>
      <c r="FQ61">
        <v>-1.125</v>
      </c>
      <c r="FR61">
        <v>1.0625</v>
      </c>
      <c r="FS61">
        <v>-8.875</v>
      </c>
      <c r="FT61">
        <v>2.0625</v>
      </c>
      <c r="FU61">
        <v>-15.25</v>
      </c>
      <c r="FV61">
        <v>5.3125</v>
      </c>
      <c r="FW61">
        <v>-14.375</v>
      </c>
      <c r="FX61">
        <v>-4.4375</v>
      </c>
      <c r="FY61">
        <v>-1.75</v>
      </c>
      <c r="FZ61">
        <v>16</v>
      </c>
      <c r="GA61">
        <v>0.76499999999999968</v>
      </c>
      <c r="GB61">
        <v>0.4662500000000005</v>
      </c>
      <c r="GC61">
        <v>19.6875</v>
      </c>
      <c r="GD61">
        <v>-0.76499999999999968</v>
      </c>
      <c r="GE61">
        <v>-2.0526562500000001</v>
      </c>
      <c r="GF61">
        <v>-4.9562499999999989</v>
      </c>
      <c r="GG61">
        <v>-20.25</v>
      </c>
      <c r="GH61">
        <v>-4.7149999999999999</v>
      </c>
      <c r="GI61">
        <v>-14.875</v>
      </c>
      <c r="GJ61">
        <v>3.5625</v>
      </c>
      <c r="GK61">
        <v>-0.5625</v>
      </c>
    </row>
    <row r="62" spans="1:193" x14ac:dyDescent="0.2">
      <c r="A62" s="39">
        <v>43751</v>
      </c>
      <c r="B62" s="22" t="s">
        <v>252</v>
      </c>
      <c r="C62" s="41" t="s">
        <v>285</v>
      </c>
      <c r="D62" s="22" t="s">
        <v>295</v>
      </c>
      <c r="E62">
        <v>12.9</v>
      </c>
      <c r="F62">
        <v>8</v>
      </c>
      <c r="G62">
        <v>4.8</v>
      </c>
      <c r="H62">
        <f>12.4+2.8</f>
        <v>15.2</v>
      </c>
      <c r="I62">
        <v>3</v>
      </c>
      <c r="J62">
        <v>52.5</v>
      </c>
      <c r="K62" t="s">
        <v>109</v>
      </c>
      <c r="L62" s="1" t="s">
        <v>285</v>
      </c>
      <c r="M62">
        <v>8</v>
      </c>
      <c r="N62">
        <v>2.3816000000000002</v>
      </c>
      <c r="O62">
        <v>24</v>
      </c>
      <c r="P62">
        <v>22.5</v>
      </c>
      <c r="Q62">
        <v>22</v>
      </c>
      <c r="R62">
        <v>0.13199999999999967</v>
      </c>
      <c r="S62">
        <v>23</v>
      </c>
      <c r="T62">
        <v>-9.8000000000000025</v>
      </c>
      <c r="U62">
        <v>1.8800000000000001</v>
      </c>
      <c r="V62">
        <v>29</v>
      </c>
      <c r="W62">
        <v>29</v>
      </c>
      <c r="X62">
        <v>30</v>
      </c>
      <c r="Y62">
        <v>-3.2039999999999997</v>
      </c>
      <c r="Z62">
        <v>28</v>
      </c>
      <c r="AA62">
        <v>-4.5200000000000005</v>
      </c>
      <c r="AB62">
        <v>-0.6</v>
      </c>
      <c r="AC62">
        <v>27</v>
      </c>
      <c r="AD62">
        <v>26.5</v>
      </c>
      <c r="AE62">
        <v>27</v>
      </c>
      <c r="AF62">
        <v>2.5640000000000001</v>
      </c>
      <c r="AG62">
        <v>26</v>
      </c>
      <c r="AH62">
        <v>10.599999999999998</v>
      </c>
      <c r="AI62">
        <v>0.44000000000000006</v>
      </c>
      <c r="AJ62">
        <v>7</v>
      </c>
      <c r="AK62">
        <v>8</v>
      </c>
      <c r="AL62">
        <v>6</v>
      </c>
      <c r="AM62">
        <v>-2.8639999999999999</v>
      </c>
      <c r="AN62">
        <v>10</v>
      </c>
      <c r="AO62">
        <v>-16.560000000000002</v>
      </c>
      <c r="AP62">
        <v>1.1200000000000001</v>
      </c>
      <c r="AQ62">
        <v>11</v>
      </c>
      <c r="AR62">
        <v>10.5</v>
      </c>
      <c r="AS62">
        <v>9</v>
      </c>
      <c r="AT62">
        <v>1.6760000000000002</v>
      </c>
      <c r="AU62">
        <v>12</v>
      </c>
      <c r="AV62">
        <v>6.04</v>
      </c>
      <c r="AW62">
        <v>1.6</v>
      </c>
      <c r="AX62">
        <v>16</v>
      </c>
      <c r="AY62">
        <v>16</v>
      </c>
      <c r="AZ62">
        <v>18</v>
      </c>
      <c r="BA62">
        <v>5.952</v>
      </c>
      <c r="BB62">
        <v>14</v>
      </c>
      <c r="BC62">
        <v>33.120000000000005</v>
      </c>
      <c r="BD62">
        <v>4.76</v>
      </c>
      <c r="BE62">
        <v>24</v>
      </c>
      <c r="BF62">
        <v>23.5</v>
      </c>
      <c r="BG62">
        <v>29</v>
      </c>
      <c r="BH62">
        <v>-6.3280000000000003</v>
      </c>
      <c r="BI62">
        <v>-28.119999999999997</v>
      </c>
      <c r="BJ62">
        <v>-2.96</v>
      </c>
      <c r="BK62">
        <v>21</v>
      </c>
      <c r="BL62">
        <v>20</v>
      </c>
      <c r="BM62">
        <v>17</v>
      </c>
      <c r="BN62">
        <v>1.0800000000000003</v>
      </c>
      <c r="BO62">
        <v>23</v>
      </c>
      <c r="BP62">
        <v>0.76</v>
      </c>
      <c r="BQ62">
        <v>-4</v>
      </c>
      <c r="BR62">
        <v>9</v>
      </c>
      <c r="BS62">
        <v>12.25</v>
      </c>
      <c r="BT62">
        <v>20</v>
      </c>
      <c r="BU62">
        <v>-4.455822094190507E-2</v>
      </c>
      <c r="BV62">
        <v>7</v>
      </c>
      <c r="BW62">
        <v>3.3326114534736988E-2</v>
      </c>
      <c r="BX62">
        <v>4</v>
      </c>
      <c r="BY62">
        <v>-5.6360000000000001</v>
      </c>
      <c r="BZ62">
        <v>18</v>
      </c>
      <c r="CA62">
        <v>1.7600000000000002</v>
      </c>
      <c r="CB62">
        <v>4.4800000000000022</v>
      </c>
      <c r="CC62">
        <v>-3.2399999999999998</v>
      </c>
      <c r="CD62">
        <v>-0.83999999999999986</v>
      </c>
      <c r="CE62">
        <v>4.9199999999999928</v>
      </c>
      <c r="CF62">
        <v>-1.1600000000000079</v>
      </c>
      <c r="CG62">
        <v>-17.28</v>
      </c>
      <c r="CH62">
        <v>2.16</v>
      </c>
      <c r="CI62">
        <v>21.2</v>
      </c>
      <c r="CJ62">
        <v>7</v>
      </c>
      <c r="CK62">
        <v>5.4535999999999998</v>
      </c>
      <c r="CL62">
        <v>1.0219200000000002</v>
      </c>
      <c r="CM62">
        <v>16.119999999999994</v>
      </c>
      <c r="CN62">
        <v>-5.4535999999999998</v>
      </c>
      <c r="CO62">
        <v>-0.57030000000000003</v>
      </c>
      <c r="CP62">
        <v>1.3760000000000003</v>
      </c>
      <c r="CQ62">
        <v>7.999999999999563E-2</v>
      </c>
      <c r="CR62">
        <v>-3.0720000000000001</v>
      </c>
      <c r="CS62">
        <v>-14.320000000000004</v>
      </c>
      <c r="CT62">
        <v>0.20000000000000018</v>
      </c>
      <c r="CU62">
        <v>1.2800000000000002</v>
      </c>
      <c r="CV62">
        <v>1.9186500000000004</v>
      </c>
      <c r="CW62">
        <v>1.4955000000000003</v>
      </c>
      <c r="CX62" t="s">
        <v>295</v>
      </c>
      <c r="CY62">
        <v>27</v>
      </c>
      <c r="CZ62">
        <v>5.8664000000000023</v>
      </c>
      <c r="DA62">
        <v>30</v>
      </c>
      <c r="DB62">
        <v>28</v>
      </c>
      <c r="DC62">
        <v>28</v>
      </c>
      <c r="DD62">
        <v>-0.871999999999999</v>
      </c>
      <c r="DE62">
        <v>28</v>
      </c>
      <c r="DF62">
        <v>-3.9600000000000022</v>
      </c>
      <c r="DG62">
        <v>-0.11999999999999993</v>
      </c>
      <c r="DH62">
        <v>28</v>
      </c>
      <c r="DI62">
        <v>25.5</v>
      </c>
      <c r="DJ62">
        <v>30</v>
      </c>
      <c r="DK62">
        <v>-0.97999999999999987</v>
      </c>
      <c r="DL62">
        <v>21</v>
      </c>
      <c r="DM62">
        <v>-0.6399999999999999</v>
      </c>
      <c r="DN62">
        <v>0.11999999999999997</v>
      </c>
      <c r="DO62">
        <v>22</v>
      </c>
      <c r="DP62">
        <v>18.5</v>
      </c>
      <c r="DQ62">
        <v>21</v>
      </c>
      <c r="DR62">
        <v>4.16</v>
      </c>
      <c r="DS62">
        <v>16</v>
      </c>
      <c r="DT62">
        <v>19.36</v>
      </c>
      <c r="DU62">
        <v>0.51999999999999991</v>
      </c>
      <c r="DV62">
        <v>9</v>
      </c>
      <c r="DW62">
        <v>10</v>
      </c>
      <c r="DX62">
        <v>9</v>
      </c>
      <c r="DY62">
        <v>9.5560000000000009</v>
      </c>
      <c r="DZ62">
        <v>11</v>
      </c>
      <c r="EA62">
        <v>32.840000000000003</v>
      </c>
      <c r="EB62">
        <v>1.0399999999999998</v>
      </c>
      <c r="EC62">
        <v>17</v>
      </c>
      <c r="ED62">
        <v>26.5</v>
      </c>
      <c r="EE62">
        <v>29</v>
      </c>
      <c r="EF62">
        <v>-0.20799999999999982</v>
      </c>
      <c r="EG62">
        <v>24</v>
      </c>
      <c r="EH62">
        <v>1.2</v>
      </c>
      <c r="EI62">
        <v>-0.8</v>
      </c>
      <c r="EJ62">
        <v>10</v>
      </c>
      <c r="EK62">
        <v>11.5</v>
      </c>
      <c r="EL62">
        <v>14</v>
      </c>
      <c r="EM62">
        <v>1.8039999999999992</v>
      </c>
      <c r="EN62">
        <v>9</v>
      </c>
      <c r="EO62">
        <v>5.24</v>
      </c>
      <c r="EP62">
        <v>0.83999999999999964</v>
      </c>
      <c r="EQ62">
        <v>29</v>
      </c>
      <c r="ER62">
        <v>26.5</v>
      </c>
      <c r="ES62">
        <v>30</v>
      </c>
      <c r="ET62">
        <v>-0.58799999999999975</v>
      </c>
      <c r="EU62">
        <v>23</v>
      </c>
      <c r="EV62">
        <v>-2.6</v>
      </c>
      <c r="EW62">
        <v>-0.2</v>
      </c>
      <c r="EX62">
        <v>17</v>
      </c>
      <c r="EY62">
        <v>14.5</v>
      </c>
      <c r="EZ62">
        <v>14</v>
      </c>
      <c r="FA62">
        <v>1.8</v>
      </c>
      <c r="FB62">
        <v>15</v>
      </c>
      <c r="FC62">
        <v>-0.20000000000000004</v>
      </c>
      <c r="FD62">
        <v>0.64</v>
      </c>
      <c r="FE62">
        <v>19</v>
      </c>
      <c r="FF62">
        <v>16.5</v>
      </c>
      <c r="FG62">
        <v>10</v>
      </c>
      <c r="FH62">
        <v>-5.3170540967374821E-2</v>
      </c>
      <c r="FI62">
        <v>20</v>
      </c>
      <c r="FJ62">
        <v>-3.4445334301213867E-2</v>
      </c>
      <c r="FK62">
        <v>25</v>
      </c>
      <c r="FL62">
        <v>4.4120000000000044</v>
      </c>
      <c r="FM62">
        <v>11</v>
      </c>
      <c r="FN62">
        <v>-4</v>
      </c>
      <c r="FO62">
        <v>0.12000000000000099</v>
      </c>
      <c r="FP62">
        <v>2.0799999999999996</v>
      </c>
      <c r="FQ62">
        <v>-0.44000000000000011</v>
      </c>
      <c r="FR62">
        <v>-0.24000000000000199</v>
      </c>
      <c r="FS62">
        <v>5.96</v>
      </c>
      <c r="FT62">
        <v>0.12</v>
      </c>
      <c r="FU62">
        <v>20.560000000000002</v>
      </c>
      <c r="FV62">
        <v>32.839999999999996</v>
      </c>
      <c r="FW62">
        <v>-10.239999999999998</v>
      </c>
      <c r="FX62">
        <v>-1.72</v>
      </c>
      <c r="FY62">
        <v>-0.31999999999999956</v>
      </c>
      <c r="FZ62">
        <v>2</v>
      </c>
      <c r="GA62">
        <v>7.7184000000000008</v>
      </c>
      <c r="GB62">
        <v>4.6832799999999999</v>
      </c>
      <c r="GC62">
        <v>43.08</v>
      </c>
      <c r="GD62">
        <v>-7.7184000000000008</v>
      </c>
      <c r="GE62">
        <v>2.3418000000000005</v>
      </c>
      <c r="GF62">
        <v>13.508000000000001</v>
      </c>
      <c r="GG62">
        <v>53.400000000000006</v>
      </c>
      <c r="GH62">
        <v>-1.851999999999999</v>
      </c>
      <c r="GI62">
        <v>-4.6000000000000023</v>
      </c>
      <c r="GJ62">
        <v>0.55999999999999961</v>
      </c>
      <c r="GK62">
        <v>0</v>
      </c>
    </row>
    <row r="63" spans="1:193" x14ac:dyDescent="0.2">
      <c r="A63" s="39">
        <v>43751</v>
      </c>
      <c r="B63" s="22" t="s">
        <v>252</v>
      </c>
      <c r="C63" s="41" t="s">
        <v>295</v>
      </c>
      <c r="D63" s="22" t="s">
        <v>285</v>
      </c>
      <c r="E63">
        <v>21.8</v>
      </c>
      <c r="F63">
        <v>14.8</v>
      </c>
      <c r="G63" s="14">
        <v>5.9</v>
      </c>
      <c r="H63">
        <f>28.7+3.1+1</f>
        <v>32.799999999999997</v>
      </c>
      <c r="I63">
        <v>-3</v>
      </c>
      <c r="J63">
        <v>52.5</v>
      </c>
      <c r="K63" t="s">
        <v>109</v>
      </c>
      <c r="L63" s="1" t="s">
        <v>295</v>
      </c>
      <c r="M63">
        <v>2</v>
      </c>
      <c r="N63">
        <v>6.9256000000000002</v>
      </c>
      <c r="O63">
        <v>29</v>
      </c>
      <c r="P63">
        <v>28</v>
      </c>
      <c r="Q63">
        <v>29</v>
      </c>
      <c r="R63">
        <v>-2.0960000000000001</v>
      </c>
      <c r="S63">
        <v>27</v>
      </c>
      <c r="T63">
        <v>-13.919999999999998</v>
      </c>
      <c r="U63">
        <v>0.17999999999999988</v>
      </c>
      <c r="V63">
        <v>11</v>
      </c>
      <c r="W63">
        <v>11</v>
      </c>
      <c r="X63">
        <v>10</v>
      </c>
      <c r="Y63">
        <v>1.6240000000000001</v>
      </c>
      <c r="Z63">
        <v>12</v>
      </c>
      <c r="AA63">
        <v>4.1199999999999992</v>
      </c>
      <c r="AB63">
        <v>0.36</v>
      </c>
      <c r="AC63">
        <v>15</v>
      </c>
      <c r="AD63">
        <v>16</v>
      </c>
      <c r="AE63">
        <v>23</v>
      </c>
      <c r="AF63">
        <v>1.6560000000000006</v>
      </c>
      <c r="AG63">
        <v>9</v>
      </c>
      <c r="AH63">
        <v>-1.9199999999999975</v>
      </c>
      <c r="AI63">
        <v>0.48000000000000009</v>
      </c>
      <c r="AJ63">
        <v>6</v>
      </c>
      <c r="AK63">
        <v>7</v>
      </c>
      <c r="AL63">
        <v>8</v>
      </c>
      <c r="AM63">
        <v>4.1239999999999997</v>
      </c>
      <c r="AN63">
        <v>6</v>
      </c>
      <c r="AO63">
        <v>14.079999999999998</v>
      </c>
      <c r="AP63">
        <v>0.71999999999999986</v>
      </c>
      <c r="AQ63">
        <v>6</v>
      </c>
      <c r="AR63">
        <v>6</v>
      </c>
      <c r="AS63">
        <v>6</v>
      </c>
      <c r="AT63">
        <v>2.9759999999999991</v>
      </c>
      <c r="AU63">
        <v>6</v>
      </c>
      <c r="AV63">
        <v>16.759999999999998</v>
      </c>
      <c r="AW63">
        <v>1.72</v>
      </c>
      <c r="AX63">
        <v>7</v>
      </c>
      <c r="AY63">
        <v>6.5</v>
      </c>
      <c r="AZ63">
        <v>7</v>
      </c>
      <c r="BA63">
        <v>4.1840000000000019</v>
      </c>
      <c r="BB63">
        <v>6</v>
      </c>
      <c r="BC63">
        <v>18.639999999999997</v>
      </c>
      <c r="BD63">
        <v>2.4</v>
      </c>
      <c r="BE63">
        <v>16</v>
      </c>
      <c r="BF63">
        <v>17</v>
      </c>
      <c r="BG63">
        <v>17</v>
      </c>
      <c r="BH63">
        <v>5.74</v>
      </c>
      <c r="BI63">
        <v>25.240000000000002</v>
      </c>
      <c r="BJ63">
        <v>2.2399999999999993</v>
      </c>
      <c r="BK63">
        <v>4</v>
      </c>
      <c r="BL63">
        <v>7</v>
      </c>
      <c r="BM63">
        <v>10</v>
      </c>
      <c r="BN63">
        <v>-1.3199999999999998</v>
      </c>
      <c r="BO63">
        <v>4</v>
      </c>
      <c r="BP63">
        <v>-0.31999999999999995</v>
      </c>
      <c r="BQ63">
        <v>-4</v>
      </c>
      <c r="BR63">
        <v>14</v>
      </c>
      <c r="BS63">
        <v>14</v>
      </c>
      <c r="BT63">
        <v>7</v>
      </c>
      <c r="BU63">
        <v>2.6640458395730373E-3</v>
      </c>
      <c r="BV63">
        <v>9</v>
      </c>
      <c r="BW63">
        <v>-2.3328999920988677E-2</v>
      </c>
      <c r="BX63">
        <v>26</v>
      </c>
      <c r="BY63">
        <v>5.171999999999997</v>
      </c>
      <c r="BZ63">
        <v>14</v>
      </c>
      <c r="CA63">
        <v>0.64</v>
      </c>
      <c r="CB63">
        <v>2.5200000000000005</v>
      </c>
      <c r="CC63">
        <v>1.5599999999999998</v>
      </c>
      <c r="CD63">
        <v>-0.55999999999999994</v>
      </c>
      <c r="CE63">
        <v>42.080000000000005</v>
      </c>
      <c r="CF63">
        <v>67.039999999999992</v>
      </c>
      <c r="CG63">
        <v>-18.72</v>
      </c>
      <c r="CH63">
        <v>-4.6800000000000006</v>
      </c>
      <c r="CI63">
        <v>-1.56</v>
      </c>
      <c r="CJ63">
        <v>3</v>
      </c>
      <c r="CK63">
        <v>7.3975999999999988</v>
      </c>
      <c r="CL63">
        <v>4.520319999999999</v>
      </c>
      <c r="CM63">
        <v>85.759999999999991</v>
      </c>
      <c r="CN63">
        <v>-7.3976000000000006</v>
      </c>
      <c r="CO63">
        <v>2.4536999999999995</v>
      </c>
      <c r="CP63">
        <v>8.7560000000000002</v>
      </c>
      <c r="CQ63">
        <v>28.919999999999998</v>
      </c>
      <c r="CR63">
        <v>-0.47199999999999998</v>
      </c>
      <c r="CS63">
        <v>-9.7999999999999989</v>
      </c>
      <c r="CT63">
        <v>5.1599999999999993</v>
      </c>
      <c r="CU63">
        <v>0.53999999999999981</v>
      </c>
      <c r="CV63">
        <v>1.9186500000000004</v>
      </c>
      <c r="CW63">
        <v>2.3418000000000005</v>
      </c>
      <c r="CX63" t="s">
        <v>285</v>
      </c>
      <c r="CY63">
        <v>1</v>
      </c>
      <c r="CZ63">
        <v>3.7440000000000007</v>
      </c>
      <c r="DA63">
        <v>16</v>
      </c>
      <c r="DB63">
        <v>16.5</v>
      </c>
      <c r="DC63">
        <v>12</v>
      </c>
      <c r="DD63">
        <v>-2.3159999999999998</v>
      </c>
      <c r="DE63">
        <v>21</v>
      </c>
      <c r="DF63">
        <v>15.879999999999995</v>
      </c>
      <c r="DG63">
        <v>-1.22</v>
      </c>
      <c r="DH63">
        <v>11</v>
      </c>
      <c r="DI63">
        <v>14</v>
      </c>
      <c r="DJ63">
        <v>23</v>
      </c>
      <c r="DK63">
        <v>-1.252</v>
      </c>
      <c r="DL63">
        <v>5</v>
      </c>
      <c r="DM63">
        <v>-6.56</v>
      </c>
      <c r="DN63">
        <v>-0.72</v>
      </c>
      <c r="DO63">
        <v>8</v>
      </c>
      <c r="DP63">
        <v>7</v>
      </c>
      <c r="DQ63">
        <v>7</v>
      </c>
      <c r="DR63">
        <v>0.5080000000000009</v>
      </c>
      <c r="DS63">
        <v>7</v>
      </c>
      <c r="DT63">
        <v>-1.680000000000001</v>
      </c>
      <c r="DU63">
        <v>-4.0000000000000036E-2</v>
      </c>
      <c r="DV63">
        <v>1</v>
      </c>
      <c r="DW63">
        <v>1.5</v>
      </c>
      <c r="DX63">
        <v>2</v>
      </c>
      <c r="DY63">
        <v>-3.3159999999999998</v>
      </c>
      <c r="DZ63">
        <v>1</v>
      </c>
      <c r="EA63">
        <v>-24.759999999999998</v>
      </c>
      <c r="EB63">
        <v>-1.44</v>
      </c>
      <c r="EC63">
        <v>4</v>
      </c>
      <c r="ED63">
        <v>5.5</v>
      </c>
      <c r="EE63">
        <v>4</v>
      </c>
      <c r="EF63">
        <v>3.6759999999999997</v>
      </c>
      <c r="EG63">
        <v>7</v>
      </c>
      <c r="EH63">
        <v>11.959999999999999</v>
      </c>
      <c r="EI63">
        <v>0.68</v>
      </c>
      <c r="EJ63">
        <v>1</v>
      </c>
      <c r="EK63">
        <v>1.5</v>
      </c>
      <c r="EL63">
        <v>2</v>
      </c>
      <c r="EM63">
        <v>8.1359999999999992</v>
      </c>
      <c r="EN63">
        <v>1</v>
      </c>
      <c r="EO63">
        <v>33.760000000000005</v>
      </c>
      <c r="EP63">
        <v>2.7199999999999998</v>
      </c>
      <c r="EQ63">
        <v>5</v>
      </c>
      <c r="ER63">
        <v>6</v>
      </c>
      <c r="ES63">
        <v>4</v>
      </c>
      <c r="ET63">
        <v>9.1199999999999992</v>
      </c>
      <c r="EU63">
        <v>8</v>
      </c>
      <c r="EV63">
        <v>28.32</v>
      </c>
      <c r="EW63">
        <v>1.2</v>
      </c>
      <c r="EX63">
        <v>19</v>
      </c>
      <c r="EY63">
        <v>20.5</v>
      </c>
      <c r="EZ63">
        <v>19</v>
      </c>
      <c r="FA63">
        <v>1.8</v>
      </c>
      <c r="FB63">
        <v>22</v>
      </c>
      <c r="FC63">
        <v>0.15999999999999998</v>
      </c>
      <c r="FD63">
        <v>1.7600000000000002</v>
      </c>
      <c r="FE63">
        <v>26</v>
      </c>
      <c r="FF63">
        <v>22</v>
      </c>
      <c r="FG63">
        <v>5</v>
      </c>
      <c r="FH63">
        <v>3.5615549927246658E-2</v>
      </c>
      <c r="FI63">
        <v>31</v>
      </c>
      <c r="FJ63">
        <v>-7.7865905667242078E-3</v>
      </c>
      <c r="FK63">
        <v>20</v>
      </c>
      <c r="FL63">
        <v>7.0039999999999996</v>
      </c>
      <c r="FM63">
        <v>32</v>
      </c>
      <c r="FN63">
        <v>-4</v>
      </c>
      <c r="FO63">
        <v>-0.75999999999999868</v>
      </c>
      <c r="FP63">
        <v>0.4</v>
      </c>
      <c r="FQ63">
        <v>0.67999999999999972</v>
      </c>
      <c r="FR63">
        <v>0.32000000000000028</v>
      </c>
      <c r="FS63">
        <v>2.2399999999999998</v>
      </c>
      <c r="FT63">
        <v>0.48</v>
      </c>
      <c r="FU63">
        <v>30.119999999999994</v>
      </c>
      <c r="FV63">
        <v>15.000000000000011</v>
      </c>
      <c r="FW63">
        <v>3.8400000000000034</v>
      </c>
      <c r="FX63">
        <v>1.36</v>
      </c>
      <c r="FY63">
        <v>9.92</v>
      </c>
      <c r="FZ63">
        <v>3</v>
      </c>
      <c r="GA63">
        <v>7.3120000000000003</v>
      </c>
      <c r="GB63">
        <v>4.5304000000000002</v>
      </c>
      <c r="GC63">
        <v>11.160000000000007</v>
      </c>
      <c r="GD63">
        <v>-7.3120000000000003</v>
      </c>
      <c r="GE63">
        <v>1.4955000000000003</v>
      </c>
      <c r="GF63">
        <v>0.86800000000000077</v>
      </c>
      <c r="GG63">
        <v>-14.479999999999999</v>
      </c>
      <c r="GH63">
        <v>-3.5679999999999996</v>
      </c>
      <c r="GI63">
        <v>9.3199999999999967</v>
      </c>
      <c r="GJ63">
        <v>0.4</v>
      </c>
      <c r="GK63">
        <v>-1.94</v>
      </c>
    </row>
    <row r="64" spans="1:193" x14ac:dyDescent="0.2">
      <c r="A64" s="39">
        <v>43751</v>
      </c>
      <c r="B64" s="22" t="s">
        <v>252</v>
      </c>
      <c r="C64" s="41" t="s">
        <v>305</v>
      </c>
      <c r="D64" s="22" t="s">
        <v>272</v>
      </c>
      <c r="H64">
        <f>14.9+3.8+1.4</f>
        <v>20.099999999999998</v>
      </c>
      <c r="I64">
        <v>-10.5</v>
      </c>
      <c r="J64">
        <v>47</v>
      </c>
      <c r="L64" s="1" t="s">
        <v>305</v>
      </c>
      <c r="M64">
        <v>3</v>
      </c>
      <c r="N64">
        <v>6.62</v>
      </c>
      <c r="O64">
        <v>4</v>
      </c>
      <c r="P64">
        <v>6.5</v>
      </c>
      <c r="Q64">
        <v>4</v>
      </c>
      <c r="R64">
        <v>2.5679999999999987</v>
      </c>
      <c r="S64">
        <v>9</v>
      </c>
      <c r="T64">
        <v>-8.68</v>
      </c>
      <c r="U64">
        <v>-0.84000000000000008</v>
      </c>
      <c r="V64">
        <v>5</v>
      </c>
      <c r="W64">
        <v>8</v>
      </c>
      <c r="X64">
        <v>14</v>
      </c>
      <c r="Y64">
        <v>-2.992</v>
      </c>
      <c r="Z64">
        <v>2</v>
      </c>
      <c r="AA64">
        <v>3.9999999999999991</v>
      </c>
      <c r="AB64">
        <v>-1.48</v>
      </c>
      <c r="AC64">
        <v>26</v>
      </c>
      <c r="AD64">
        <v>25</v>
      </c>
      <c r="AE64">
        <v>22</v>
      </c>
      <c r="AF64">
        <v>-0.53119999999999901</v>
      </c>
      <c r="AG64">
        <v>28</v>
      </c>
      <c r="AH64">
        <v>5.2399999999999993</v>
      </c>
      <c r="AI64">
        <v>0.55999999999999994</v>
      </c>
      <c r="AJ64">
        <v>25</v>
      </c>
      <c r="AK64">
        <v>26</v>
      </c>
      <c r="AL64">
        <v>24</v>
      </c>
      <c r="AM64">
        <v>-1.0599999999999994</v>
      </c>
      <c r="AN64">
        <v>28</v>
      </c>
      <c r="AO64">
        <v>-6.4799999999999995</v>
      </c>
      <c r="AP64">
        <v>-1.56</v>
      </c>
      <c r="AQ64">
        <v>31</v>
      </c>
      <c r="AR64">
        <v>30</v>
      </c>
      <c r="AS64">
        <v>29</v>
      </c>
      <c r="AT64">
        <v>-4.18</v>
      </c>
      <c r="AU64">
        <v>31</v>
      </c>
      <c r="AV64">
        <v>-19.520000000000003</v>
      </c>
      <c r="AW64">
        <v>-2.16</v>
      </c>
      <c r="AX64">
        <v>10</v>
      </c>
      <c r="AY64">
        <v>11</v>
      </c>
      <c r="AZ64">
        <v>5</v>
      </c>
      <c r="BA64">
        <v>4.3999999999999995</v>
      </c>
      <c r="BB64">
        <v>17</v>
      </c>
      <c r="BC64">
        <v>17.600000000000001</v>
      </c>
      <c r="BD64">
        <v>2.04</v>
      </c>
      <c r="BE64">
        <v>2</v>
      </c>
      <c r="BF64">
        <v>2</v>
      </c>
      <c r="BG64">
        <v>2</v>
      </c>
      <c r="BH64">
        <v>10.884</v>
      </c>
      <c r="BI64">
        <v>46.2</v>
      </c>
      <c r="BJ64">
        <v>6.0000000000000009</v>
      </c>
      <c r="BK64">
        <v>8</v>
      </c>
      <c r="BL64">
        <v>8.5</v>
      </c>
      <c r="BM64">
        <v>2</v>
      </c>
      <c r="BN64">
        <v>0.84000000000000019</v>
      </c>
      <c r="BO64">
        <v>15</v>
      </c>
      <c r="BP64">
        <v>-0.20000000000000009</v>
      </c>
      <c r="BQ64">
        <v>-4.5999999999999996</v>
      </c>
      <c r="BR64">
        <v>31</v>
      </c>
      <c r="BS64">
        <v>29.25</v>
      </c>
      <c r="BT64">
        <v>27</v>
      </c>
      <c r="BU64">
        <v>-7.4389902506587727E-3</v>
      </c>
      <c r="BV64">
        <v>31</v>
      </c>
      <c r="BW64">
        <v>7.5765835039474944E-3</v>
      </c>
      <c r="BX64">
        <v>27</v>
      </c>
      <c r="BY64">
        <v>2.8960000000000008</v>
      </c>
      <c r="BZ64">
        <v>32</v>
      </c>
      <c r="CA64">
        <v>-0.95999999999999974</v>
      </c>
      <c r="CB64">
        <v>6.160000000000001</v>
      </c>
      <c r="CC64">
        <v>6.7199999999999989</v>
      </c>
      <c r="CD64">
        <v>-1.2</v>
      </c>
      <c r="CE64">
        <v>33.440000000000012</v>
      </c>
      <c r="CF64">
        <v>-1.3999999999999944</v>
      </c>
      <c r="CG64">
        <v>-4.8799999999999955</v>
      </c>
      <c r="CH64">
        <v>-4.24</v>
      </c>
      <c r="CI64">
        <v>43.959999999999994</v>
      </c>
      <c r="CJ64">
        <v>4</v>
      </c>
      <c r="CK64">
        <v>7.0440000000000014</v>
      </c>
      <c r="CL64">
        <v>2.5585600000000008</v>
      </c>
      <c r="CM64">
        <v>3.4800000000000013</v>
      </c>
      <c r="CN64">
        <v>-7.0440000000000014</v>
      </c>
      <c r="CO64">
        <v>1.5186000000000002</v>
      </c>
      <c r="CP64">
        <v>-5.7711999999999986</v>
      </c>
      <c r="CQ64">
        <v>-20.760000000000005</v>
      </c>
      <c r="CR64">
        <v>-0.42400000000000126</v>
      </c>
      <c r="CS64">
        <v>-4.6800000000000006</v>
      </c>
      <c r="CT64">
        <v>2.8400000000000007</v>
      </c>
      <c r="CU64">
        <v>-2.3200000000000003</v>
      </c>
      <c r="CV64">
        <v>1.3869999999999998</v>
      </c>
      <c r="CW64">
        <v>1.6721999999999997</v>
      </c>
      <c r="CX64" t="s">
        <v>272</v>
      </c>
      <c r="CY64">
        <v>10</v>
      </c>
      <c r="CZ64">
        <v>0.9663999999999987</v>
      </c>
      <c r="DA64">
        <v>25</v>
      </c>
      <c r="DB64">
        <v>23.5</v>
      </c>
      <c r="DC64">
        <v>29</v>
      </c>
      <c r="DD64">
        <v>5.5080000000000009</v>
      </c>
      <c r="DE64">
        <v>18</v>
      </c>
      <c r="DF64">
        <v>11.12</v>
      </c>
      <c r="DG64">
        <v>0.91999999999999993</v>
      </c>
      <c r="DH64">
        <v>24</v>
      </c>
      <c r="DI64">
        <v>21.5</v>
      </c>
      <c r="DJ64">
        <v>19</v>
      </c>
      <c r="DK64">
        <v>5.8199999999999985</v>
      </c>
      <c r="DL64">
        <v>24</v>
      </c>
      <c r="DM64">
        <v>14.12</v>
      </c>
      <c r="DN64">
        <v>1.48</v>
      </c>
      <c r="DO64">
        <v>1</v>
      </c>
      <c r="DP64">
        <v>4</v>
      </c>
      <c r="DQ64">
        <v>5</v>
      </c>
      <c r="DR64">
        <v>-3.0879999999999987</v>
      </c>
      <c r="DS64">
        <v>3</v>
      </c>
      <c r="DT64">
        <v>-16.759999999999998</v>
      </c>
      <c r="DU64">
        <v>-1.8800000000000001</v>
      </c>
      <c r="DV64">
        <v>17</v>
      </c>
      <c r="DW64">
        <v>16.5</v>
      </c>
      <c r="DX64">
        <v>19</v>
      </c>
      <c r="DY64">
        <v>3.5799999999999996</v>
      </c>
      <c r="DZ64">
        <v>14</v>
      </c>
      <c r="EA64">
        <v>17.919999999999998</v>
      </c>
      <c r="EB64">
        <v>-4.0000000000000036E-2</v>
      </c>
      <c r="EC64">
        <v>6</v>
      </c>
      <c r="ED64">
        <v>8</v>
      </c>
      <c r="EE64">
        <v>6</v>
      </c>
      <c r="EF64">
        <v>-2.952</v>
      </c>
      <c r="EG64">
        <v>10</v>
      </c>
      <c r="EH64">
        <v>-12.36</v>
      </c>
      <c r="EI64">
        <v>-2.04</v>
      </c>
      <c r="EJ64">
        <v>2</v>
      </c>
      <c r="EK64">
        <v>3.5</v>
      </c>
      <c r="EL64">
        <v>5</v>
      </c>
      <c r="EM64">
        <v>1.247999999999998</v>
      </c>
      <c r="EN64">
        <v>2</v>
      </c>
      <c r="EO64">
        <v>1.680000000000001</v>
      </c>
      <c r="EP64">
        <v>-1.36</v>
      </c>
      <c r="EQ64">
        <v>9</v>
      </c>
      <c r="ER64">
        <v>10</v>
      </c>
      <c r="ES64">
        <v>9</v>
      </c>
      <c r="ET64">
        <v>-2.66</v>
      </c>
      <c r="EU64">
        <v>11</v>
      </c>
      <c r="EV64">
        <v>-3.4400000000000004</v>
      </c>
      <c r="EW64">
        <v>-1.64</v>
      </c>
      <c r="EX64">
        <v>20</v>
      </c>
      <c r="EY64">
        <v>21</v>
      </c>
      <c r="EZ64">
        <v>18</v>
      </c>
      <c r="FA64">
        <v>1.64</v>
      </c>
      <c r="FB64">
        <v>24</v>
      </c>
      <c r="FC64">
        <v>0.96000000000000019</v>
      </c>
      <c r="FD64">
        <v>1.6400000000000006</v>
      </c>
      <c r="FE64">
        <v>22</v>
      </c>
      <c r="FF64">
        <v>18.25</v>
      </c>
      <c r="FG64">
        <v>13</v>
      </c>
      <c r="FH64">
        <v>4.6908794813689033E-3</v>
      </c>
      <c r="FI64">
        <v>15</v>
      </c>
      <c r="FJ64">
        <v>-1.6213987792158518E-2</v>
      </c>
      <c r="FK64">
        <v>19</v>
      </c>
      <c r="FL64">
        <v>-4.743999999999998</v>
      </c>
      <c r="FM64">
        <v>26</v>
      </c>
      <c r="FN64">
        <v>-5.1599999999999993</v>
      </c>
      <c r="FO64">
        <v>-5.68</v>
      </c>
      <c r="FP64">
        <v>3.0000000000000009</v>
      </c>
      <c r="FQ64">
        <v>0.88000000000000012</v>
      </c>
      <c r="FR64">
        <v>-1.2799999999999983</v>
      </c>
      <c r="FS64">
        <v>5.2799999999999994</v>
      </c>
      <c r="FT64">
        <v>-0.83999999999999986</v>
      </c>
      <c r="FU64">
        <v>34.079999999999984</v>
      </c>
      <c r="FV64">
        <v>-4.880000000000007</v>
      </c>
      <c r="FW64">
        <v>27.839999999999996</v>
      </c>
      <c r="FX64">
        <v>2.3199999999999998</v>
      </c>
      <c r="FY64">
        <v>8.7999999999999989</v>
      </c>
      <c r="FZ64">
        <v>32</v>
      </c>
      <c r="GA64">
        <v>-10.361600000000001</v>
      </c>
      <c r="GB64">
        <v>-6.49472</v>
      </c>
      <c r="GC64">
        <v>-32.720000000000006</v>
      </c>
      <c r="GD64">
        <v>10.361600000000001</v>
      </c>
      <c r="GE64">
        <v>1.1017999999999999</v>
      </c>
      <c r="GF64">
        <v>-2.4599999999999991</v>
      </c>
      <c r="GG64">
        <v>-11.2</v>
      </c>
      <c r="GH64">
        <v>11.327999999999999</v>
      </c>
      <c r="GI64">
        <v>25.24</v>
      </c>
      <c r="GJ64">
        <v>-5.6</v>
      </c>
      <c r="GK64">
        <v>2.4</v>
      </c>
    </row>
    <row r="65" spans="1:193" x14ac:dyDescent="0.2">
      <c r="A65" s="39">
        <v>43751</v>
      </c>
      <c r="B65" s="22" t="s">
        <v>252</v>
      </c>
      <c r="C65" s="41" t="s">
        <v>301</v>
      </c>
      <c r="D65" s="22" t="s">
        <v>284</v>
      </c>
      <c r="E65">
        <v>15.6</v>
      </c>
      <c r="F65">
        <v>23.8</v>
      </c>
      <c r="G65">
        <v>1.6</v>
      </c>
      <c r="H65">
        <v>9.1999999999999993</v>
      </c>
      <c r="I65">
        <v>-2</v>
      </c>
      <c r="J65">
        <v>48.5</v>
      </c>
      <c r="L65" s="1" t="s">
        <v>301</v>
      </c>
      <c r="M65">
        <v>32</v>
      </c>
      <c r="N65">
        <v>-8.8647999999999989</v>
      </c>
      <c r="O65">
        <v>2</v>
      </c>
      <c r="P65">
        <v>3</v>
      </c>
      <c r="Q65">
        <v>1</v>
      </c>
      <c r="R65">
        <v>15.659200000000002</v>
      </c>
      <c r="S65">
        <v>5</v>
      </c>
      <c r="T65">
        <v>46.639999999999993</v>
      </c>
      <c r="U65">
        <v>3.28</v>
      </c>
      <c r="V65">
        <v>32</v>
      </c>
      <c r="W65">
        <v>31.5</v>
      </c>
      <c r="X65">
        <v>31</v>
      </c>
      <c r="Y65">
        <v>-0.70399999999999996</v>
      </c>
      <c r="Z65">
        <v>32</v>
      </c>
      <c r="AA65">
        <v>-3.0000000000000009</v>
      </c>
      <c r="AB65">
        <v>-1</v>
      </c>
      <c r="AC65">
        <v>7</v>
      </c>
      <c r="AD65">
        <v>6.5</v>
      </c>
      <c r="AE65">
        <v>7</v>
      </c>
      <c r="AF65">
        <v>-4.8719999999999999</v>
      </c>
      <c r="AG65">
        <v>6</v>
      </c>
      <c r="AH65">
        <v>-9.4</v>
      </c>
      <c r="AI65">
        <v>-0.88000000000000012</v>
      </c>
      <c r="AJ65">
        <v>21</v>
      </c>
      <c r="AK65">
        <v>20.5</v>
      </c>
      <c r="AL65">
        <v>20</v>
      </c>
      <c r="AM65">
        <v>-2.5999999999999996</v>
      </c>
      <c r="AN65">
        <v>21</v>
      </c>
      <c r="AO65">
        <v>-13.679999999999998</v>
      </c>
      <c r="AP65">
        <v>0.80000000000000016</v>
      </c>
      <c r="AQ65">
        <v>23</v>
      </c>
      <c r="AR65">
        <v>23.5</v>
      </c>
      <c r="AS65">
        <v>23</v>
      </c>
      <c r="AT65">
        <v>-1.6400000000000001</v>
      </c>
      <c r="AU65">
        <v>24</v>
      </c>
      <c r="AV65">
        <v>-4.76</v>
      </c>
      <c r="AW65">
        <v>-0.28000000000000014</v>
      </c>
      <c r="AX65">
        <v>24</v>
      </c>
      <c r="AY65">
        <v>25</v>
      </c>
      <c r="AZ65">
        <v>23</v>
      </c>
      <c r="BA65">
        <v>-6.9239999999999995</v>
      </c>
      <c r="BB65">
        <v>27</v>
      </c>
      <c r="BC65">
        <v>-37.64</v>
      </c>
      <c r="BD65">
        <v>-3.04</v>
      </c>
      <c r="BE65">
        <v>20</v>
      </c>
      <c r="BF65">
        <v>22</v>
      </c>
      <c r="BG65">
        <v>20</v>
      </c>
      <c r="BH65">
        <v>-3.596000000000001</v>
      </c>
      <c r="BI65">
        <v>-16.32</v>
      </c>
      <c r="BJ65">
        <v>-1.4</v>
      </c>
      <c r="BK65">
        <v>32</v>
      </c>
      <c r="BL65">
        <v>31.5</v>
      </c>
      <c r="BM65">
        <v>32</v>
      </c>
      <c r="BN65">
        <v>0.64000000000000024</v>
      </c>
      <c r="BO65">
        <v>31</v>
      </c>
      <c r="BP65">
        <v>0.32000000000000006</v>
      </c>
      <c r="BQ65">
        <v>2.4</v>
      </c>
      <c r="BR65">
        <v>4</v>
      </c>
      <c r="BS65">
        <v>8.5</v>
      </c>
      <c r="BT65">
        <v>4</v>
      </c>
      <c r="BU65">
        <v>-5.0478967816341355E-2</v>
      </c>
      <c r="BV65">
        <v>6</v>
      </c>
      <c r="BW65">
        <v>8.1600907059733978E-3</v>
      </c>
      <c r="BX65">
        <v>17</v>
      </c>
      <c r="BY65">
        <v>-10.247999999999998</v>
      </c>
      <c r="BZ65">
        <v>7</v>
      </c>
      <c r="CA65">
        <v>0.12000000000000011</v>
      </c>
      <c r="CB65">
        <v>-1.0000000000000013</v>
      </c>
      <c r="CC65">
        <v>-0.67999999999999972</v>
      </c>
      <c r="CD65">
        <v>3.9999999999999945E-2</v>
      </c>
      <c r="CE65">
        <v>-3.8400000000000203</v>
      </c>
      <c r="CF65">
        <v>-38.080000000000005</v>
      </c>
      <c r="CG65">
        <v>43.2</v>
      </c>
      <c r="CH65">
        <v>5.1199999999999992</v>
      </c>
      <c r="CI65">
        <v>-14.080000000000002</v>
      </c>
      <c r="CJ65">
        <v>32</v>
      </c>
      <c r="CK65">
        <v>-23.82</v>
      </c>
      <c r="CL65">
        <v>-11.792159999999999</v>
      </c>
      <c r="CM65">
        <v>-81.28</v>
      </c>
      <c r="CN65">
        <v>23.82</v>
      </c>
      <c r="CO65">
        <v>-0.74719999999999964</v>
      </c>
      <c r="CP65">
        <v>-9.1120000000000001</v>
      </c>
      <c r="CQ65">
        <v>-27.839999999999996</v>
      </c>
      <c r="CR65">
        <v>14.955200000000001</v>
      </c>
      <c r="CS65">
        <v>43.639999999999993</v>
      </c>
      <c r="CT65">
        <v>-1.76</v>
      </c>
      <c r="CU65">
        <v>2.2799999999999998</v>
      </c>
      <c r="CV65">
        <v>0.22703749999999989</v>
      </c>
      <c r="CW65">
        <v>-1.7878000000000001</v>
      </c>
      <c r="CX65" t="s">
        <v>284</v>
      </c>
      <c r="CY65">
        <v>4</v>
      </c>
      <c r="CZ65">
        <v>7.6519999999999984</v>
      </c>
      <c r="DA65">
        <v>25</v>
      </c>
      <c r="DB65">
        <v>23.5</v>
      </c>
      <c r="DC65">
        <v>24</v>
      </c>
      <c r="DD65">
        <v>-5.1859999999999982</v>
      </c>
      <c r="DE65">
        <v>23</v>
      </c>
      <c r="DF65">
        <v>-35.950000000000003</v>
      </c>
      <c r="DG65">
        <v>1.5999999999999999</v>
      </c>
      <c r="DH65">
        <v>31</v>
      </c>
      <c r="DI65">
        <v>31</v>
      </c>
      <c r="DJ65">
        <v>31</v>
      </c>
      <c r="DK65">
        <v>-4.5150000000000006</v>
      </c>
      <c r="DL65">
        <v>31</v>
      </c>
      <c r="DM65">
        <v>-11.750000000000002</v>
      </c>
      <c r="DN65">
        <v>-0.25</v>
      </c>
      <c r="DO65">
        <v>9</v>
      </c>
      <c r="DP65">
        <v>6</v>
      </c>
      <c r="DQ65">
        <v>6</v>
      </c>
      <c r="DR65">
        <v>7.668000000000001</v>
      </c>
      <c r="DS65">
        <v>6</v>
      </c>
      <c r="DT65">
        <v>23.56</v>
      </c>
      <c r="DU65">
        <v>1.7600000000000002</v>
      </c>
      <c r="DV65">
        <v>1</v>
      </c>
      <c r="DW65">
        <v>1.5</v>
      </c>
      <c r="DX65">
        <v>1</v>
      </c>
      <c r="DY65">
        <v>4.444</v>
      </c>
      <c r="DZ65">
        <v>2</v>
      </c>
      <c r="EA65">
        <v>29.96</v>
      </c>
      <c r="EB65">
        <v>1.5599999999999996</v>
      </c>
      <c r="EC65">
        <v>8</v>
      </c>
      <c r="ED65">
        <v>12.5</v>
      </c>
      <c r="EE65">
        <v>17</v>
      </c>
      <c r="EF65">
        <v>-0.99600000000000066</v>
      </c>
      <c r="EG65">
        <v>8</v>
      </c>
      <c r="EH65">
        <v>-3.3199999999999994</v>
      </c>
      <c r="EI65">
        <v>0.84000000000000008</v>
      </c>
      <c r="EJ65">
        <v>2</v>
      </c>
      <c r="EK65">
        <v>3.5</v>
      </c>
      <c r="EL65">
        <v>1</v>
      </c>
      <c r="EM65">
        <v>6.5440000000000014</v>
      </c>
      <c r="EN65">
        <v>6</v>
      </c>
      <c r="EO65">
        <v>24.639999999999997</v>
      </c>
      <c r="EP65">
        <v>2.04</v>
      </c>
      <c r="EQ65">
        <v>21</v>
      </c>
      <c r="ER65">
        <v>20.5</v>
      </c>
      <c r="ES65">
        <v>15</v>
      </c>
      <c r="ET65">
        <v>6.6679999999999993</v>
      </c>
      <c r="EU65">
        <v>26</v>
      </c>
      <c r="EV65">
        <v>27.359999999999996</v>
      </c>
      <c r="EW65">
        <v>2.2799999999999998</v>
      </c>
      <c r="EX65">
        <v>16</v>
      </c>
      <c r="EY65">
        <v>14</v>
      </c>
      <c r="EZ65">
        <v>13</v>
      </c>
      <c r="FA65">
        <v>2.2000000000000002</v>
      </c>
      <c r="FB65">
        <v>15</v>
      </c>
      <c r="FC65">
        <v>0</v>
      </c>
      <c r="FD65">
        <v>1.1200000000000003</v>
      </c>
      <c r="FE65">
        <v>10</v>
      </c>
      <c r="FF65">
        <v>13.25</v>
      </c>
      <c r="FG65">
        <v>9</v>
      </c>
      <c r="FH65">
        <v>3.7245682924897218E-3</v>
      </c>
      <c r="FI65">
        <v>26</v>
      </c>
      <c r="FJ65">
        <v>-7.65381626492527E-4</v>
      </c>
      <c r="FK65">
        <v>6</v>
      </c>
      <c r="FL65">
        <v>10.315999999999997</v>
      </c>
      <c r="FM65">
        <v>12</v>
      </c>
      <c r="FN65">
        <v>2.44</v>
      </c>
      <c r="FO65">
        <v>6.6400000000000006</v>
      </c>
      <c r="FP65">
        <v>-4.1999999999999993</v>
      </c>
      <c r="FQ65">
        <v>-0.12000000000000006</v>
      </c>
      <c r="FR65">
        <v>2.6799999999999984</v>
      </c>
      <c r="FS65">
        <v>1.6799999999999997</v>
      </c>
      <c r="FT65">
        <v>2.5599999999999996</v>
      </c>
      <c r="FU65">
        <v>12.8</v>
      </c>
      <c r="FV65">
        <v>70.760000000000005</v>
      </c>
      <c r="FW65">
        <v>-54.839999999999996</v>
      </c>
      <c r="FX65">
        <v>-5.1199999999999992</v>
      </c>
      <c r="FY65">
        <v>2.0000000000000004</v>
      </c>
      <c r="FZ65">
        <v>1</v>
      </c>
      <c r="GA65">
        <v>17.352999999999998</v>
      </c>
      <c r="GB65">
        <v>9.9376999999999995</v>
      </c>
      <c r="GC65">
        <v>125.6</v>
      </c>
      <c r="GD65">
        <v>-17.352999999999998</v>
      </c>
      <c r="GE65">
        <v>2.2418749999999998</v>
      </c>
      <c r="GF65">
        <v>11.116000000000001</v>
      </c>
      <c r="GG65">
        <v>50.199999999999996</v>
      </c>
      <c r="GH65">
        <v>-9.7009999999999987</v>
      </c>
      <c r="GI65">
        <v>-47.7</v>
      </c>
      <c r="GJ65">
        <v>6.4399999999999995</v>
      </c>
      <c r="GK65">
        <v>1.3499999999999999</v>
      </c>
    </row>
    <row r="66" spans="1:193" x14ac:dyDescent="0.2">
      <c r="A66" s="39">
        <v>43751</v>
      </c>
      <c r="B66" s="22" t="s">
        <v>252</v>
      </c>
      <c r="C66" s="17" t="s">
        <v>272</v>
      </c>
      <c r="D66" s="22" t="s">
        <v>305</v>
      </c>
      <c r="E66">
        <v>4</v>
      </c>
      <c r="F66">
        <v>14.1</v>
      </c>
      <c r="G66">
        <v>10.4</v>
      </c>
      <c r="H66">
        <f>4.6+3.3+0.9</f>
        <v>8.7999999999999989</v>
      </c>
      <c r="I66">
        <v>10.5</v>
      </c>
      <c r="J66">
        <v>47</v>
      </c>
      <c r="L66" s="1" t="s">
        <v>272</v>
      </c>
      <c r="M66">
        <v>14</v>
      </c>
      <c r="N66">
        <v>1.3992000000000004</v>
      </c>
      <c r="O66">
        <v>29</v>
      </c>
      <c r="P66">
        <v>28</v>
      </c>
      <c r="Q66">
        <v>26</v>
      </c>
      <c r="R66">
        <v>-4.18</v>
      </c>
      <c r="S66">
        <v>30</v>
      </c>
      <c r="T66">
        <v>-12.52</v>
      </c>
      <c r="U66">
        <v>-0.36</v>
      </c>
      <c r="V66">
        <v>24</v>
      </c>
      <c r="W66">
        <v>24</v>
      </c>
      <c r="X66">
        <v>24</v>
      </c>
      <c r="Y66">
        <v>0.38800000000000046</v>
      </c>
      <c r="Z66">
        <v>24</v>
      </c>
      <c r="AA66">
        <v>-8.360000000000003</v>
      </c>
      <c r="AB66">
        <v>1.3599999999999999</v>
      </c>
      <c r="AC66">
        <v>22</v>
      </c>
      <c r="AD66">
        <v>20</v>
      </c>
      <c r="AE66">
        <v>17</v>
      </c>
      <c r="AF66">
        <v>4.0808</v>
      </c>
      <c r="AG66">
        <v>23</v>
      </c>
      <c r="AH66">
        <v>19.799999999999997</v>
      </c>
      <c r="AI66">
        <v>1.9599999999999997</v>
      </c>
      <c r="AJ66">
        <v>20</v>
      </c>
      <c r="AK66">
        <v>19</v>
      </c>
      <c r="AL66">
        <v>23</v>
      </c>
      <c r="AM66">
        <v>6.0679999999999996</v>
      </c>
      <c r="AN66">
        <v>15</v>
      </c>
      <c r="AO66">
        <v>26.360000000000003</v>
      </c>
      <c r="AP66">
        <v>1.8399999999999999</v>
      </c>
      <c r="AQ66">
        <v>2</v>
      </c>
      <c r="AR66">
        <v>2</v>
      </c>
      <c r="AS66">
        <v>2</v>
      </c>
      <c r="AT66">
        <v>0.22799999999999984</v>
      </c>
      <c r="AU66">
        <v>2</v>
      </c>
      <c r="AV66">
        <v>13.280000000000001</v>
      </c>
      <c r="AW66">
        <v>1.6800000000000002</v>
      </c>
      <c r="AX66">
        <v>14</v>
      </c>
      <c r="AY66">
        <v>14.5</v>
      </c>
      <c r="AZ66">
        <v>16</v>
      </c>
      <c r="BA66">
        <v>1.0279999999999987</v>
      </c>
      <c r="BB66">
        <v>13</v>
      </c>
      <c r="BC66">
        <v>9.0800000000000036</v>
      </c>
      <c r="BD66">
        <v>1.1599999999999997</v>
      </c>
      <c r="BE66">
        <v>17</v>
      </c>
      <c r="BF66">
        <v>17.5</v>
      </c>
      <c r="BG66">
        <v>19</v>
      </c>
      <c r="BH66">
        <v>-3.444</v>
      </c>
      <c r="BI66">
        <v>-11.959999999999999</v>
      </c>
      <c r="BJ66">
        <v>-0.55999999999999994</v>
      </c>
      <c r="BK66">
        <v>12</v>
      </c>
      <c r="BL66">
        <v>11.5</v>
      </c>
      <c r="BM66">
        <v>12</v>
      </c>
      <c r="BN66">
        <v>8.8817841970012528E-17</v>
      </c>
      <c r="BO66">
        <v>11</v>
      </c>
      <c r="BP66">
        <v>3.9999999999999994E-2</v>
      </c>
      <c r="BQ66">
        <v>-5.1599999999999993</v>
      </c>
      <c r="BR66">
        <v>10</v>
      </c>
      <c r="BS66">
        <v>12.75</v>
      </c>
      <c r="BT66">
        <v>13</v>
      </c>
      <c r="BU66">
        <v>-2.9043167287131355E-2</v>
      </c>
      <c r="BV66">
        <v>15</v>
      </c>
      <c r="BW66">
        <v>9.3674410248068881E-3</v>
      </c>
      <c r="BX66">
        <v>11</v>
      </c>
      <c r="BY66">
        <v>8.1760000000000019</v>
      </c>
      <c r="BZ66">
        <v>12</v>
      </c>
      <c r="CA66">
        <v>1.6400000000000006</v>
      </c>
      <c r="CB66">
        <v>1.2799999999999998</v>
      </c>
      <c r="CC66">
        <v>-2.4000000000000004</v>
      </c>
      <c r="CD66">
        <v>-1.7600000000000002</v>
      </c>
      <c r="CE66">
        <v>2.119999999999993</v>
      </c>
      <c r="CF66">
        <v>44.11999999999999</v>
      </c>
      <c r="CG66">
        <v>-25.759999999999998</v>
      </c>
      <c r="CH66">
        <v>-5.4</v>
      </c>
      <c r="CI66">
        <v>-10.84</v>
      </c>
      <c r="CJ66">
        <v>8</v>
      </c>
      <c r="CK66">
        <v>5.1911999999999994</v>
      </c>
      <c r="CL66">
        <v>3.5623999999999998</v>
      </c>
      <c r="CM66">
        <v>69.88</v>
      </c>
      <c r="CN66">
        <v>-5.1912000000000003</v>
      </c>
      <c r="CO66">
        <v>0.5675</v>
      </c>
      <c r="CP66">
        <v>10.376799999999999</v>
      </c>
      <c r="CQ66">
        <v>59.44</v>
      </c>
      <c r="CR66">
        <v>-3.7919999999999994</v>
      </c>
      <c r="CS66">
        <v>-20.880000000000003</v>
      </c>
      <c r="CT66">
        <v>4.9200000000000008</v>
      </c>
      <c r="CU66">
        <v>0.99999999999999989</v>
      </c>
      <c r="CV66">
        <v>1.3869999999999998</v>
      </c>
      <c r="CW66">
        <v>1.1017999999999999</v>
      </c>
      <c r="CX66" t="s">
        <v>305</v>
      </c>
      <c r="CY66">
        <v>32</v>
      </c>
      <c r="CZ66">
        <v>1.869599999999999</v>
      </c>
      <c r="DA66">
        <v>4</v>
      </c>
      <c r="DB66">
        <v>5.5</v>
      </c>
      <c r="DC66">
        <v>6</v>
      </c>
      <c r="DD66">
        <v>2.5159999999999982</v>
      </c>
      <c r="DE66">
        <v>5</v>
      </c>
      <c r="DF66">
        <v>9.4800000000000022</v>
      </c>
      <c r="DG66">
        <v>-2.8</v>
      </c>
      <c r="DH66">
        <v>27</v>
      </c>
      <c r="DI66">
        <v>24.5</v>
      </c>
      <c r="DJ66">
        <v>29</v>
      </c>
      <c r="DK66">
        <v>0.81199999999999994</v>
      </c>
      <c r="DL66">
        <v>20</v>
      </c>
      <c r="DM66">
        <v>-1.0399999999999991</v>
      </c>
      <c r="DN66">
        <v>0.40000000000000008</v>
      </c>
      <c r="DO66">
        <v>20</v>
      </c>
      <c r="DP66">
        <v>25</v>
      </c>
      <c r="DQ66">
        <v>27</v>
      </c>
      <c r="DR66">
        <v>-1.8159999999999996</v>
      </c>
      <c r="DS66">
        <v>23</v>
      </c>
      <c r="DT66">
        <v>-11.639999999999997</v>
      </c>
      <c r="DU66">
        <v>-0.56000000000000016</v>
      </c>
      <c r="DV66">
        <v>16</v>
      </c>
      <c r="DW66">
        <v>16</v>
      </c>
      <c r="DX66">
        <v>12</v>
      </c>
      <c r="DY66">
        <v>4.1959999999999997</v>
      </c>
      <c r="DZ66">
        <v>20</v>
      </c>
      <c r="EA66">
        <v>30.04</v>
      </c>
      <c r="EB66">
        <v>0.55999999999999994</v>
      </c>
      <c r="EC66">
        <v>22</v>
      </c>
      <c r="ED66">
        <v>29</v>
      </c>
      <c r="EE66">
        <v>31</v>
      </c>
      <c r="EF66">
        <v>2.6279999999999992</v>
      </c>
      <c r="EG66">
        <v>27</v>
      </c>
      <c r="EH66">
        <v>14.48</v>
      </c>
      <c r="EI66">
        <v>0.52</v>
      </c>
      <c r="EJ66">
        <v>26</v>
      </c>
      <c r="EK66">
        <v>26.5</v>
      </c>
      <c r="EL66">
        <v>23</v>
      </c>
      <c r="EM66">
        <v>2.3640000000000003</v>
      </c>
      <c r="EN66">
        <v>30</v>
      </c>
      <c r="EO66">
        <v>34.440000000000005</v>
      </c>
      <c r="EP66">
        <v>-0.72000000000000031</v>
      </c>
      <c r="EQ66">
        <v>31</v>
      </c>
      <c r="ER66">
        <v>30.5</v>
      </c>
      <c r="ES66">
        <v>30</v>
      </c>
      <c r="ET66">
        <v>1.4519999999999995</v>
      </c>
      <c r="EU66">
        <v>31</v>
      </c>
      <c r="EV66">
        <v>13.319999999999999</v>
      </c>
      <c r="EW66">
        <v>0.1999999999999999</v>
      </c>
      <c r="EX66">
        <v>23</v>
      </c>
      <c r="EY66">
        <v>22.5</v>
      </c>
      <c r="EZ66">
        <v>27</v>
      </c>
      <c r="FA66">
        <v>1.72</v>
      </c>
      <c r="FB66">
        <v>18</v>
      </c>
      <c r="FC66">
        <v>3.9999999999999945E-2</v>
      </c>
      <c r="FD66">
        <v>-0.95999999999999974</v>
      </c>
      <c r="FE66">
        <v>5</v>
      </c>
      <c r="FF66">
        <v>9.75</v>
      </c>
      <c r="FG66">
        <v>15</v>
      </c>
      <c r="FH66">
        <v>1.0378535092778574E-2</v>
      </c>
      <c r="FI66">
        <v>8</v>
      </c>
      <c r="FJ66">
        <v>-2.1270772680937453E-2</v>
      </c>
      <c r="FK66">
        <v>15</v>
      </c>
      <c r="FL66">
        <v>8.94</v>
      </c>
      <c r="FM66">
        <v>1</v>
      </c>
      <c r="FN66">
        <v>-4.5999999999999996</v>
      </c>
      <c r="FO66">
        <v>-2.4799999999999995</v>
      </c>
      <c r="FP66">
        <v>-1.3200000000000003</v>
      </c>
      <c r="FQ66">
        <v>-3.9999999999999945E-2</v>
      </c>
      <c r="FR66">
        <v>-4.9599999999999991</v>
      </c>
      <c r="FS66">
        <v>5.6400000000000006</v>
      </c>
      <c r="FT66">
        <v>-0.27999999999999997</v>
      </c>
      <c r="FU66">
        <v>31.599999999999987</v>
      </c>
      <c r="FV66">
        <v>32.04</v>
      </c>
      <c r="FW66">
        <v>7.4399999999999951</v>
      </c>
      <c r="FX66">
        <v>-1.6800000000000004</v>
      </c>
      <c r="FY66">
        <v>-6.2</v>
      </c>
      <c r="FZ66">
        <v>20</v>
      </c>
      <c r="GA66">
        <v>-1.4583999999999993</v>
      </c>
      <c r="GB66">
        <v>1.9200000000003659E-3</v>
      </c>
      <c r="GC66">
        <v>24.600000000000005</v>
      </c>
      <c r="GD66">
        <v>1.458399999999999</v>
      </c>
      <c r="GE66">
        <v>1.6721999999999997</v>
      </c>
      <c r="GF66">
        <v>5.0079999999999991</v>
      </c>
      <c r="GG66">
        <v>32.880000000000003</v>
      </c>
      <c r="GH66">
        <v>3.3279999999999981</v>
      </c>
      <c r="GI66">
        <v>8.4400000000000031</v>
      </c>
      <c r="GJ66">
        <v>0.71999999999999975</v>
      </c>
      <c r="GK66">
        <v>-2.4</v>
      </c>
    </row>
    <row r="67" spans="1:193" x14ac:dyDescent="0.2">
      <c r="A67" s="39">
        <v>43751</v>
      </c>
      <c r="B67" s="22" t="s">
        <v>252</v>
      </c>
      <c r="C67" s="41" t="s">
        <v>281</v>
      </c>
      <c r="D67" s="22" t="s">
        <v>308</v>
      </c>
      <c r="E67">
        <v>19.100000000000001</v>
      </c>
      <c r="F67">
        <v>6.6</v>
      </c>
      <c r="G67">
        <v>4.2</v>
      </c>
      <c r="H67">
        <f>13.7+2+1.9</f>
        <v>17.599999999999998</v>
      </c>
      <c r="I67" s="22">
        <v>-1</v>
      </c>
      <c r="J67" s="22">
        <v>45.5</v>
      </c>
      <c r="K67" t="s">
        <v>110</v>
      </c>
      <c r="L67" s="1" t="s">
        <v>281</v>
      </c>
      <c r="M67">
        <v>27</v>
      </c>
      <c r="N67">
        <v>-4.1528000000000009</v>
      </c>
      <c r="O67">
        <v>5</v>
      </c>
      <c r="P67">
        <v>7</v>
      </c>
      <c r="Q67">
        <v>8</v>
      </c>
      <c r="R67">
        <v>5.0400000000000009</v>
      </c>
      <c r="S67">
        <v>6</v>
      </c>
      <c r="T67">
        <v>32.64</v>
      </c>
      <c r="U67">
        <v>0.4</v>
      </c>
      <c r="V67">
        <v>4</v>
      </c>
      <c r="W67">
        <v>6</v>
      </c>
      <c r="X67">
        <v>6</v>
      </c>
      <c r="Y67">
        <v>0.36959999999999987</v>
      </c>
      <c r="Z67">
        <v>6</v>
      </c>
      <c r="AA67">
        <v>-6.6</v>
      </c>
      <c r="AB67">
        <v>-0.32000000000000006</v>
      </c>
      <c r="AC67">
        <v>25</v>
      </c>
      <c r="AD67">
        <v>24.5</v>
      </c>
      <c r="AE67">
        <v>25</v>
      </c>
      <c r="AF67">
        <v>-0.6720000000000006</v>
      </c>
      <c r="AG67">
        <v>24</v>
      </c>
      <c r="AH67">
        <v>2.5599999999999996</v>
      </c>
      <c r="AI67">
        <v>0.9600000000000003</v>
      </c>
      <c r="AJ67">
        <v>1</v>
      </c>
      <c r="AK67">
        <v>2.5</v>
      </c>
      <c r="AL67">
        <v>1</v>
      </c>
      <c r="AM67">
        <v>0.37599999999999961</v>
      </c>
      <c r="AN67">
        <v>4</v>
      </c>
      <c r="AO67">
        <v>20.28</v>
      </c>
      <c r="AP67">
        <v>1.44</v>
      </c>
      <c r="AQ67">
        <v>18</v>
      </c>
      <c r="AR67">
        <v>17.5</v>
      </c>
      <c r="AS67">
        <v>19</v>
      </c>
      <c r="AT67">
        <v>-1.9799999999999998</v>
      </c>
      <c r="AU67">
        <v>16</v>
      </c>
      <c r="AV67">
        <v>-4.32</v>
      </c>
      <c r="AW67">
        <v>-1.5200000000000002</v>
      </c>
      <c r="AX67">
        <v>15</v>
      </c>
      <c r="AY67">
        <v>15.5</v>
      </c>
      <c r="AZ67">
        <v>15</v>
      </c>
      <c r="BA67">
        <v>0.55599999999999949</v>
      </c>
      <c r="BB67">
        <v>16</v>
      </c>
      <c r="BC67">
        <v>9.1600000000000019</v>
      </c>
      <c r="BD67">
        <v>-0.52000000000000024</v>
      </c>
      <c r="BE67">
        <v>23</v>
      </c>
      <c r="BF67">
        <v>23</v>
      </c>
      <c r="BG67">
        <v>21</v>
      </c>
      <c r="BH67">
        <v>-1.4840000000000013</v>
      </c>
      <c r="BI67">
        <v>-13.279999999999998</v>
      </c>
      <c r="BJ67">
        <v>-2.4799999999999995</v>
      </c>
      <c r="BK67">
        <v>4</v>
      </c>
      <c r="BL67">
        <v>7</v>
      </c>
      <c r="BM67">
        <v>7</v>
      </c>
      <c r="BN67">
        <v>-0.55999999999999961</v>
      </c>
      <c r="BO67">
        <v>7</v>
      </c>
      <c r="BP67">
        <v>-0.12000000000000002</v>
      </c>
      <c r="BQ67">
        <v>-0.72000000000000008</v>
      </c>
      <c r="BR67">
        <v>30</v>
      </c>
      <c r="BS67">
        <v>29</v>
      </c>
      <c r="BT67">
        <v>31</v>
      </c>
      <c r="BU67">
        <v>1.3657467104589927E-2</v>
      </c>
      <c r="BV67">
        <v>30</v>
      </c>
      <c r="BW67">
        <v>3.0226944669430201E-2</v>
      </c>
      <c r="BX67">
        <v>24</v>
      </c>
      <c r="BY67">
        <v>-11.651999999999997</v>
      </c>
      <c r="BZ67">
        <v>31</v>
      </c>
      <c r="CA67">
        <v>2.2399999999999998</v>
      </c>
      <c r="CB67">
        <v>-2.4399999999999991</v>
      </c>
      <c r="CC67">
        <v>-1.28</v>
      </c>
      <c r="CD67">
        <v>-1.1199999999999999</v>
      </c>
      <c r="CE67">
        <v>16.239999999999988</v>
      </c>
      <c r="CF67">
        <v>0.71999999999999886</v>
      </c>
      <c r="CG67">
        <v>24.32</v>
      </c>
      <c r="CH67">
        <v>0.96</v>
      </c>
      <c r="CI67">
        <v>-9.76</v>
      </c>
      <c r="CJ67">
        <v>29</v>
      </c>
      <c r="CK67">
        <v>-9.562400000000002</v>
      </c>
      <c r="CL67">
        <v>-4.2873600000000014</v>
      </c>
      <c r="CM67">
        <v>-23.6</v>
      </c>
      <c r="CN67">
        <v>9.562400000000002</v>
      </c>
      <c r="CO67">
        <v>-0.38290000000000024</v>
      </c>
      <c r="CP67">
        <v>-2.2760000000000007</v>
      </c>
      <c r="CQ67">
        <v>18.52</v>
      </c>
      <c r="CR67">
        <v>5.4096000000000011</v>
      </c>
      <c r="CS67">
        <v>26.04</v>
      </c>
      <c r="CT67">
        <v>-1.5999999999999994</v>
      </c>
      <c r="CU67">
        <v>7.999999999999996E-2</v>
      </c>
      <c r="CV67">
        <v>9.4999999999999599E-2</v>
      </c>
      <c r="CW67">
        <v>0.17069999999999955</v>
      </c>
      <c r="CX67" t="s">
        <v>308</v>
      </c>
      <c r="CY67">
        <v>17</v>
      </c>
      <c r="CZ67">
        <v>1.6471999999999993</v>
      </c>
      <c r="DA67">
        <v>24</v>
      </c>
      <c r="DB67">
        <v>22</v>
      </c>
      <c r="DC67">
        <v>18</v>
      </c>
      <c r="DD67">
        <v>2.1912000000000007</v>
      </c>
      <c r="DE67">
        <v>26</v>
      </c>
      <c r="DF67">
        <v>-10.4</v>
      </c>
      <c r="DG67">
        <v>1.3599999999999999</v>
      </c>
      <c r="DH67">
        <v>25</v>
      </c>
      <c r="DI67">
        <v>22.5</v>
      </c>
      <c r="DJ67">
        <v>16</v>
      </c>
      <c r="DK67">
        <v>-2.6680000000000001</v>
      </c>
      <c r="DL67">
        <v>29</v>
      </c>
      <c r="DM67">
        <v>-3.7600000000000007</v>
      </c>
      <c r="DN67">
        <v>-1.52</v>
      </c>
      <c r="DO67">
        <v>5</v>
      </c>
      <c r="DP67">
        <v>3.5</v>
      </c>
      <c r="DQ67">
        <v>3</v>
      </c>
      <c r="DR67">
        <v>-4.0480000000000009</v>
      </c>
      <c r="DS67">
        <v>4</v>
      </c>
      <c r="DT67">
        <v>-17.88</v>
      </c>
      <c r="DU67">
        <v>-0.72000000000000008</v>
      </c>
      <c r="DV67">
        <v>19</v>
      </c>
      <c r="DW67">
        <v>17.5</v>
      </c>
      <c r="DX67">
        <v>18</v>
      </c>
      <c r="DY67">
        <v>0.57599999999999985</v>
      </c>
      <c r="DZ67">
        <v>17</v>
      </c>
      <c r="EA67">
        <v>-0.63999999999999768</v>
      </c>
      <c r="EB67">
        <v>-0.2</v>
      </c>
      <c r="EC67">
        <v>13</v>
      </c>
      <c r="ED67">
        <v>13.5</v>
      </c>
      <c r="EE67">
        <v>6</v>
      </c>
      <c r="EF67">
        <v>-1.6760000000000002</v>
      </c>
      <c r="EG67">
        <v>21</v>
      </c>
      <c r="EH67">
        <v>-14.440000000000001</v>
      </c>
      <c r="EI67">
        <v>-0.83999999999999986</v>
      </c>
      <c r="EJ67">
        <v>18</v>
      </c>
      <c r="EK67">
        <v>18</v>
      </c>
      <c r="EL67">
        <v>16</v>
      </c>
      <c r="EM67">
        <v>-3.1759999999999993</v>
      </c>
      <c r="EN67">
        <v>20</v>
      </c>
      <c r="EO67">
        <v>-14.960000000000003</v>
      </c>
      <c r="EP67">
        <v>-0.75999999999999979</v>
      </c>
      <c r="EQ67">
        <v>15</v>
      </c>
      <c r="ER67">
        <v>15</v>
      </c>
      <c r="ES67">
        <v>11</v>
      </c>
      <c r="ET67">
        <v>6.331999999999999</v>
      </c>
      <c r="EU67">
        <v>19</v>
      </c>
      <c r="EV67">
        <v>27.879999999999995</v>
      </c>
      <c r="EW67">
        <v>1.9600000000000002</v>
      </c>
      <c r="EX67">
        <v>12</v>
      </c>
      <c r="EY67">
        <v>12.5</v>
      </c>
      <c r="EZ67">
        <v>17</v>
      </c>
      <c r="FA67">
        <v>-2.2000000000000002</v>
      </c>
      <c r="FB67">
        <v>8</v>
      </c>
      <c r="FC67">
        <v>4.0000000000000036E-2</v>
      </c>
      <c r="FD67">
        <v>-0.43999999999999978</v>
      </c>
      <c r="FE67">
        <v>21</v>
      </c>
      <c r="FF67">
        <v>17.25</v>
      </c>
      <c r="FG67">
        <v>30</v>
      </c>
      <c r="FH67">
        <v>2.4450760577108977E-2</v>
      </c>
      <c r="FI67">
        <v>28</v>
      </c>
      <c r="FJ67">
        <v>-7.4550356626637056E-3</v>
      </c>
      <c r="FK67">
        <v>4</v>
      </c>
      <c r="FL67">
        <v>3.7439999999999984</v>
      </c>
      <c r="FM67">
        <v>7</v>
      </c>
      <c r="FN67">
        <v>0.28000000000000008</v>
      </c>
      <c r="FO67">
        <v>0.40000000000000141</v>
      </c>
      <c r="FP67">
        <v>-2.1999999999999993</v>
      </c>
      <c r="FQ67">
        <v>-0.48000000000000009</v>
      </c>
      <c r="FR67">
        <v>-2.72</v>
      </c>
      <c r="FS67">
        <v>0.2</v>
      </c>
      <c r="FT67">
        <v>1.6799999999999997</v>
      </c>
      <c r="FU67">
        <v>5.0399999999999974</v>
      </c>
      <c r="FV67">
        <v>8.6800000000000068</v>
      </c>
      <c r="FW67">
        <v>-10.68</v>
      </c>
      <c r="FX67">
        <v>3.56</v>
      </c>
      <c r="FY67">
        <v>3.4799999999999995</v>
      </c>
      <c r="FZ67">
        <v>15</v>
      </c>
      <c r="GA67">
        <v>2.1239999999999988</v>
      </c>
      <c r="GB67">
        <v>0.80463999999999913</v>
      </c>
      <c r="GC67">
        <v>19.360000000000007</v>
      </c>
      <c r="GD67">
        <v>-2.1239999999999988</v>
      </c>
      <c r="GE67">
        <v>1.9299999999999651E-2</v>
      </c>
      <c r="GF67">
        <v>-5.1480000000000015</v>
      </c>
      <c r="GG67">
        <v>-32.959999999999994</v>
      </c>
      <c r="GH67">
        <v>-0.47679999999999945</v>
      </c>
      <c r="GI67">
        <v>-14.16</v>
      </c>
      <c r="GJ67">
        <v>0.20000000000000018</v>
      </c>
      <c r="GK67">
        <v>-0.16000000000000014</v>
      </c>
    </row>
    <row r="68" spans="1:193" x14ac:dyDescent="0.2">
      <c r="A68" s="39">
        <v>43751</v>
      </c>
      <c r="B68" s="22" t="s">
        <v>252</v>
      </c>
      <c r="C68" s="41" t="s">
        <v>291</v>
      </c>
      <c r="D68" s="22" t="s">
        <v>298</v>
      </c>
      <c r="F68">
        <v>8.8000000000000007</v>
      </c>
      <c r="G68">
        <v>11.4</v>
      </c>
      <c r="H68">
        <f>10.7+2.6+1.6</f>
        <v>14.899999999999999</v>
      </c>
      <c r="I68">
        <v>-7</v>
      </c>
      <c r="J68">
        <v>43.5</v>
      </c>
      <c r="L68" s="1" t="s">
        <v>291</v>
      </c>
      <c r="M68">
        <v>7</v>
      </c>
      <c r="N68">
        <v>2.6767999999999992</v>
      </c>
      <c r="O68">
        <v>5</v>
      </c>
      <c r="P68">
        <v>7</v>
      </c>
      <c r="Q68">
        <v>6</v>
      </c>
      <c r="R68">
        <v>0.55599999999999949</v>
      </c>
      <c r="S68">
        <v>8</v>
      </c>
      <c r="T68">
        <v>2.2799999999999985</v>
      </c>
      <c r="U68">
        <v>0.84000000000000008</v>
      </c>
      <c r="V68">
        <v>27</v>
      </c>
      <c r="W68">
        <v>27.5</v>
      </c>
      <c r="X68">
        <v>28</v>
      </c>
      <c r="Y68">
        <v>-1.7879999999999996</v>
      </c>
      <c r="Z68">
        <v>27</v>
      </c>
      <c r="AA68">
        <v>0.27999999999999903</v>
      </c>
      <c r="AB68">
        <v>-1.8000000000000003</v>
      </c>
      <c r="AC68">
        <v>10</v>
      </c>
      <c r="AD68">
        <v>12</v>
      </c>
      <c r="AE68">
        <v>12</v>
      </c>
      <c r="AF68">
        <v>2.88</v>
      </c>
      <c r="AG68">
        <v>12</v>
      </c>
      <c r="AH68">
        <v>15.800000000000006</v>
      </c>
      <c r="AI68">
        <v>0.3999999999999998</v>
      </c>
      <c r="AJ68">
        <v>10</v>
      </c>
      <c r="AK68">
        <v>9</v>
      </c>
      <c r="AL68">
        <v>11</v>
      </c>
      <c r="AM68">
        <v>5.1120000000000001</v>
      </c>
      <c r="AN68">
        <v>7</v>
      </c>
      <c r="AO68">
        <v>31.4</v>
      </c>
      <c r="AP68">
        <v>2.2000000000000002</v>
      </c>
      <c r="AQ68">
        <v>1</v>
      </c>
      <c r="AR68">
        <v>1</v>
      </c>
      <c r="AS68">
        <v>1</v>
      </c>
      <c r="AT68">
        <v>3.0119999999999996</v>
      </c>
      <c r="AU68">
        <v>1</v>
      </c>
      <c r="AV68">
        <v>16.8</v>
      </c>
      <c r="AW68">
        <v>2.2399999999999998</v>
      </c>
      <c r="AX68">
        <v>2</v>
      </c>
      <c r="AY68">
        <v>3.5</v>
      </c>
      <c r="AZ68">
        <v>3</v>
      </c>
      <c r="BA68">
        <v>-0.7759999999999998</v>
      </c>
      <c r="BB68">
        <v>4</v>
      </c>
      <c r="BC68">
        <v>11.040000000000003</v>
      </c>
      <c r="BD68">
        <v>1.32</v>
      </c>
      <c r="BE68">
        <v>8</v>
      </c>
      <c r="BF68">
        <v>7</v>
      </c>
      <c r="BG68">
        <v>7</v>
      </c>
      <c r="BH68">
        <v>2.984</v>
      </c>
      <c r="BI68">
        <v>7.8400000000000007</v>
      </c>
      <c r="BJ68">
        <v>-0.12000000000000011</v>
      </c>
      <c r="BK68">
        <v>11</v>
      </c>
      <c r="BL68">
        <v>9.5</v>
      </c>
      <c r="BM68">
        <v>14</v>
      </c>
      <c r="BN68">
        <v>-1.1200000000000001</v>
      </c>
      <c r="BO68">
        <v>5</v>
      </c>
      <c r="BP68">
        <v>-0.11999999999999997</v>
      </c>
      <c r="BQ68">
        <v>-3</v>
      </c>
      <c r="BR68">
        <v>26</v>
      </c>
      <c r="BS68">
        <v>22.25</v>
      </c>
      <c r="BT68">
        <v>18</v>
      </c>
      <c r="BU68">
        <v>-6.6962746718900318E-2</v>
      </c>
      <c r="BV68">
        <v>32</v>
      </c>
      <c r="BW68">
        <v>-3.2708442387240619E-2</v>
      </c>
      <c r="BX68">
        <v>16</v>
      </c>
      <c r="BY68">
        <v>-0.69599999999999651</v>
      </c>
      <c r="BZ68">
        <v>23</v>
      </c>
      <c r="CA68">
        <v>-1.9600000000000002</v>
      </c>
      <c r="CB68">
        <v>-1.1599999999999995</v>
      </c>
      <c r="CC68">
        <v>0.79999999999999927</v>
      </c>
      <c r="CD68">
        <v>-1.2</v>
      </c>
      <c r="CE68">
        <v>51.6</v>
      </c>
      <c r="CF68">
        <v>46.44</v>
      </c>
      <c r="CG68">
        <v>-4.3199999999999985</v>
      </c>
      <c r="CH68">
        <v>0.47999999999999982</v>
      </c>
      <c r="CI68">
        <v>9.0000000000000018</v>
      </c>
      <c r="CJ68">
        <v>11</v>
      </c>
      <c r="CK68">
        <v>3.9087999999999994</v>
      </c>
      <c r="CL68">
        <v>3.94896</v>
      </c>
      <c r="CM68">
        <v>50.76</v>
      </c>
      <c r="CN68">
        <v>-3.9087999999999994</v>
      </c>
      <c r="CO68">
        <v>1.7890999999999999</v>
      </c>
      <c r="CP68">
        <v>11.004</v>
      </c>
      <c r="CQ68">
        <v>64</v>
      </c>
      <c r="CR68">
        <v>-1.2320000000000002</v>
      </c>
      <c r="CS68">
        <v>2.5599999999999974</v>
      </c>
      <c r="CT68">
        <v>4.72</v>
      </c>
      <c r="CU68">
        <v>-0.96000000000000019</v>
      </c>
      <c r="CV68">
        <v>0.45087499999999991</v>
      </c>
      <c r="CW68">
        <v>0.43969999999999987</v>
      </c>
      <c r="CX68" t="s">
        <v>298</v>
      </c>
      <c r="CY68">
        <v>9</v>
      </c>
      <c r="CZ68">
        <v>-1.4456000000000007</v>
      </c>
      <c r="DA68">
        <v>32</v>
      </c>
      <c r="DB68">
        <v>30.5</v>
      </c>
      <c r="DC68">
        <v>30</v>
      </c>
      <c r="DD68">
        <v>1.5839999999999996</v>
      </c>
      <c r="DE68">
        <v>31</v>
      </c>
      <c r="DF68">
        <v>-8.48</v>
      </c>
      <c r="DG68">
        <v>0.72</v>
      </c>
      <c r="DH68">
        <v>16</v>
      </c>
      <c r="DI68">
        <v>16.5</v>
      </c>
      <c r="DJ68">
        <v>18</v>
      </c>
      <c r="DK68">
        <v>-0.61200000000000032</v>
      </c>
      <c r="DL68">
        <v>15</v>
      </c>
      <c r="DM68">
        <v>-4.2400000000000011</v>
      </c>
      <c r="DN68">
        <v>0.11999999999999993</v>
      </c>
      <c r="DO68">
        <v>7</v>
      </c>
      <c r="DP68">
        <v>10.5</v>
      </c>
      <c r="DQ68">
        <v>8</v>
      </c>
      <c r="DR68">
        <v>6.0659999999999998</v>
      </c>
      <c r="DS68">
        <v>13</v>
      </c>
      <c r="DT68">
        <v>31.4</v>
      </c>
      <c r="DU68">
        <v>0.85000000000000031</v>
      </c>
      <c r="DV68">
        <v>5</v>
      </c>
      <c r="DW68">
        <v>5.5</v>
      </c>
      <c r="DX68">
        <v>5</v>
      </c>
      <c r="DY68">
        <v>-4.927999999999999</v>
      </c>
      <c r="DZ68">
        <v>6</v>
      </c>
      <c r="EA68">
        <v>-24.2</v>
      </c>
      <c r="EB68">
        <v>0.28000000000000025</v>
      </c>
      <c r="EC68">
        <v>26</v>
      </c>
      <c r="ED68">
        <v>28.5</v>
      </c>
      <c r="EE68">
        <v>28</v>
      </c>
      <c r="EF68">
        <v>1.9320000000000004</v>
      </c>
      <c r="EG68">
        <v>29</v>
      </c>
      <c r="EH68">
        <v>8.84</v>
      </c>
      <c r="EI68">
        <v>0.23999999999999994</v>
      </c>
      <c r="EJ68">
        <v>25</v>
      </c>
      <c r="EK68">
        <v>26</v>
      </c>
      <c r="EL68">
        <v>26</v>
      </c>
      <c r="EM68">
        <v>-1.528</v>
      </c>
      <c r="EN68">
        <v>26</v>
      </c>
      <c r="EO68">
        <v>6.3199999999999958</v>
      </c>
      <c r="EP68">
        <v>8.0000000000000071E-2</v>
      </c>
      <c r="EQ68">
        <v>13</v>
      </c>
      <c r="ER68">
        <v>13.5</v>
      </c>
      <c r="ES68">
        <v>17</v>
      </c>
      <c r="ET68">
        <v>-1.6600000000000006</v>
      </c>
      <c r="EU68">
        <v>10</v>
      </c>
      <c r="EV68">
        <v>-2.2400000000000007</v>
      </c>
      <c r="EW68">
        <v>0.11999999999999984</v>
      </c>
      <c r="EX68">
        <v>24</v>
      </c>
      <c r="EY68">
        <v>23</v>
      </c>
      <c r="EZ68">
        <v>28</v>
      </c>
      <c r="FA68">
        <v>2.76</v>
      </c>
      <c r="FB68">
        <v>18</v>
      </c>
      <c r="FC68">
        <v>0.55999999999999994</v>
      </c>
      <c r="FD68">
        <v>4.4400000000000004</v>
      </c>
      <c r="FE68">
        <v>23</v>
      </c>
      <c r="FF68">
        <v>20</v>
      </c>
      <c r="FG68">
        <v>32</v>
      </c>
      <c r="FH68">
        <v>5.2129441364179227E-2</v>
      </c>
      <c r="FI68">
        <v>22</v>
      </c>
      <c r="FJ68">
        <v>-2.0188714594689506E-2</v>
      </c>
      <c r="FK68">
        <v>11</v>
      </c>
      <c r="FL68">
        <v>7.572000000000001</v>
      </c>
      <c r="FM68">
        <v>15</v>
      </c>
      <c r="FN68">
        <v>1.4</v>
      </c>
      <c r="FO68">
        <v>1.9600000000000009</v>
      </c>
      <c r="FP68">
        <v>4.000000000000057E-2</v>
      </c>
      <c r="FQ68">
        <v>0.24000000000000007</v>
      </c>
      <c r="FR68">
        <v>1.1199999999999974</v>
      </c>
      <c r="FS68">
        <v>-1.1599999999999995</v>
      </c>
      <c r="FT68">
        <v>1.4</v>
      </c>
      <c r="FU68">
        <v>-19.520000000000003</v>
      </c>
      <c r="FV68">
        <v>4.9599999999999964</v>
      </c>
      <c r="FW68">
        <v>-19.440000000000001</v>
      </c>
      <c r="FX68">
        <v>-1.8800000000000001</v>
      </c>
      <c r="FY68">
        <v>-3.1599999999999993</v>
      </c>
      <c r="FZ68">
        <v>21</v>
      </c>
      <c r="GA68">
        <v>-2.4176000000000002</v>
      </c>
      <c r="GB68">
        <v>-0.49311999999999967</v>
      </c>
      <c r="GC68">
        <v>24.4</v>
      </c>
      <c r="GD68">
        <v>2.4176000000000002</v>
      </c>
      <c r="GE68">
        <v>0.46204999999999991</v>
      </c>
      <c r="GF68">
        <v>3.0700000000000012</v>
      </c>
      <c r="GG68">
        <v>16.04</v>
      </c>
      <c r="GH68">
        <v>0.97199999999999931</v>
      </c>
      <c r="GI68">
        <v>-12.720000000000002</v>
      </c>
      <c r="GJ68">
        <v>1.4900000000000004</v>
      </c>
      <c r="GK68">
        <v>0.83999999999999986</v>
      </c>
    </row>
    <row r="69" spans="1:193" x14ac:dyDescent="0.2">
      <c r="A69" s="39">
        <v>43751</v>
      </c>
      <c r="B69" t="s">
        <v>252</v>
      </c>
      <c r="C69" s="41" t="s">
        <v>278</v>
      </c>
      <c r="D69" t="s">
        <v>310</v>
      </c>
      <c r="E69">
        <v>11.6</v>
      </c>
      <c r="F69">
        <v>1</v>
      </c>
      <c r="G69">
        <v>4.5</v>
      </c>
      <c r="H69">
        <v>3.6</v>
      </c>
      <c r="I69">
        <v>-1</v>
      </c>
      <c r="J69">
        <v>41</v>
      </c>
      <c r="L69" s="4" t="s">
        <v>278</v>
      </c>
      <c r="M69" s="3">
        <v>24</v>
      </c>
      <c r="N69" s="3">
        <v>-2.2351999999999999</v>
      </c>
      <c r="O69" s="3">
        <v>17</v>
      </c>
      <c r="P69" s="3">
        <v>17</v>
      </c>
      <c r="Q69" s="3">
        <v>24</v>
      </c>
      <c r="R69" s="3">
        <v>-0.43199999999999966</v>
      </c>
      <c r="S69" s="3">
        <v>10</v>
      </c>
      <c r="T69" s="3">
        <v>-1.7200000000000017</v>
      </c>
      <c r="U69" s="3">
        <v>1.1200000000000001</v>
      </c>
      <c r="V69" s="3">
        <v>18</v>
      </c>
      <c r="W69" s="3">
        <v>17.5</v>
      </c>
      <c r="X69" s="3">
        <v>22</v>
      </c>
      <c r="Y69" s="3">
        <v>2.6379999999999999</v>
      </c>
      <c r="Z69" s="3">
        <v>13</v>
      </c>
      <c r="AA69">
        <v>19.2</v>
      </c>
      <c r="AB69">
        <v>1.33</v>
      </c>
      <c r="AC69">
        <v>11</v>
      </c>
      <c r="AD69">
        <v>12.5</v>
      </c>
      <c r="AE69">
        <v>11</v>
      </c>
      <c r="AF69">
        <v>3.1799999999999993</v>
      </c>
      <c r="AG69">
        <v>14</v>
      </c>
      <c r="AH69">
        <v>16.990000000000002</v>
      </c>
      <c r="AI69">
        <v>1.1599999999999999</v>
      </c>
      <c r="AJ69">
        <v>31</v>
      </c>
      <c r="AK69">
        <v>30.5</v>
      </c>
      <c r="AL69">
        <v>31</v>
      </c>
      <c r="AM69">
        <v>1.1749999999999996</v>
      </c>
      <c r="AN69">
        <v>30</v>
      </c>
      <c r="AO69">
        <v>2.5100000000000007</v>
      </c>
      <c r="AP69">
        <v>0.45000000000000018</v>
      </c>
      <c r="AQ69">
        <v>32</v>
      </c>
      <c r="AR69">
        <v>32</v>
      </c>
      <c r="AS69">
        <v>32</v>
      </c>
      <c r="AT69">
        <v>-1.1100000000000003</v>
      </c>
      <c r="AU69">
        <v>32</v>
      </c>
      <c r="AV69">
        <v>-6.8400000000000007</v>
      </c>
      <c r="AW69">
        <v>-0.17</v>
      </c>
      <c r="AX69">
        <v>31</v>
      </c>
      <c r="AY69">
        <v>31.5</v>
      </c>
      <c r="AZ69">
        <v>31</v>
      </c>
      <c r="BA69">
        <v>-4.168000000000001</v>
      </c>
      <c r="BB69">
        <v>32</v>
      </c>
      <c r="BC69">
        <v>-11.28</v>
      </c>
      <c r="BD69">
        <v>-1.7200000000000002</v>
      </c>
      <c r="BE69">
        <v>9</v>
      </c>
      <c r="BF69">
        <v>8.5</v>
      </c>
      <c r="BG69">
        <v>9</v>
      </c>
      <c r="BH69">
        <v>-2.3440000000000007</v>
      </c>
      <c r="BI69">
        <v>-7.0400000000000009</v>
      </c>
      <c r="BJ69">
        <v>-1.0399999999999998</v>
      </c>
      <c r="BK69">
        <v>10</v>
      </c>
      <c r="BL69">
        <v>9</v>
      </c>
      <c r="BM69">
        <v>6</v>
      </c>
      <c r="BN69">
        <v>2</v>
      </c>
      <c r="BO69">
        <v>12</v>
      </c>
      <c r="BP69">
        <v>0.55999999999999994</v>
      </c>
      <c r="BQ69">
        <v>-2.2800000000000002</v>
      </c>
      <c r="BR69">
        <v>22</v>
      </c>
      <c r="BS69">
        <v>20.25</v>
      </c>
      <c r="BT69">
        <v>15</v>
      </c>
      <c r="BU69">
        <v>2.3213101329641141E-2</v>
      </c>
      <c r="BV69">
        <v>19</v>
      </c>
      <c r="BW69">
        <v>1.245320076793814E-2</v>
      </c>
      <c r="BX69">
        <v>28</v>
      </c>
      <c r="BY69">
        <v>6.3480000000000061</v>
      </c>
      <c r="BZ69">
        <v>19</v>
      </c>
      <c r="CA69">
        <v>-3.9999999999999855E-2</v>
      </c>
      <c r="CB69">
        <v>1</v>
      </c>
      <c r="CC69">
        <v>-2.120000000000001</v>
      </c>
      <c r="CD69">
        <v>-0.27999999999999997</v>
      </c>
      <c r="CE69">
        <v>-1.0799999999999954</v>
      </c>
      <c r="CF69">
        <v>-5.8800000000000008</v>
      </c>
      <c r="CG69">
        <v>12.6</v>
      </c>
      <c r="CH69">
        <v>-1.48</v>
      </c>
      <c r="CI69">
        <v>-6.32</v>
      </c>
      <c r="CJ69">
        <v>26</v>
      </c>
      <c r="CK69">
        <v>-4.4412000000000003</v>
      </c>
      <c r="CL69">
        <v>-1.3698400000000006</v>
      </c>
      <c r="CM69">
        <v>-18.48</v>
      </c>
      <c r="CN69">
        <v>4.4412000000000003</v>
      </c>
      <c r="CO69">
        <v>0.35897499999999977</v>
      </c>
      <c r="CP69">
        <v>3.2449999999999983</v>
      </c>
      <c r="CQ69">
        <v>12.660000000000004</v>
      </c>
      <c r="CR69">
        <v>2.2060000000000004</v>
      </c>
      <c r="CS69">
        <v>17.479999999999997</v>
      </c>
      <c r="CT69">
        <v>0.40000000000000036</v>
      </c>
      <c r="CU69">
        <v>2.4500000000000002</v>
      </c>
      <c r="CV69">
        <v>-1.1117000000000001</v>
      </c>
      <c r="CW69">
        <v>-1.1539000000000004</v>
      </c>
      <c r="CX69" t="s">
        <v>310</v>
      </c>
      <c r="CY69">
        <v>11</v>
      </c>
      <c r="CZ69">
        <v>-0.70399999999999885</v>
      </c>
      <c r="DA69">
        <v>7</v>
      </c>
      <c r="DB69">
        <v>10</v>
      </c>
      <c r="DC69">
        <v>13</v>
      </c>
      <c r="DD69">
        <v>-4.6440000000000001</v>
      </c>
      <c r="DE69">
        <v>7</v>
      </c>
      <c r="DF69">
        <v>-24.919999999999998</v>
      </c>
      <c r="DG69">
        <v>1.0799999999999998</v>
      </c>
      <c r="DH69">
        <v>23</v>
      </c>
      <c r="DI69">
        <v>19.5</v>
      </c>
      <c r="DJ69">
        <v>22</v>
      </c>
      <c r="DK69">
        <v>0.30800000000000038</v>
      </c>
      <c r="DL69">
        <v>17</v>
      </c>
      <c r="DM69">
        <v>-1.44</v>
      </c>
      <c r="DN69">
        <v>-4.0000000000000036E-2</v>
      </c>
      <c r="DO69">
        <v>3</v>
      </c>
      <c r="DP69">
        <v>1.5</v>
      </c>
      <c r="DQ69">
        <v>2</v>
      </c>
      <c r="DR69">
        <v>-2.1359999999999997</v>
      </c>
      <c r="DS69">
        <v>1</v>
      </c>
      <c r="DT69">
        <v>-2.1199999999999988</v>
      </c>
      <c r="DU69">
        <v>-0.80000000000000038</v>
      </c>
      <c r="DV69">
        <v>11</v>
      </c>
      <c r="DW69">
        <v>13</v>
      </c>
      <c r="DX69">
        <v>14</v>
      </c>
      <c r="DY69">
        <v>-3.156000000000001</v>
      </c>
      <c r="DZ69">
        <v>12</v>
      </c>
      <c r="EA69">
        <v>-17.880000000000003</v>
      </c>
      <c r="EB69">
        <v>-1.8399999999999999</v>
      </c>
      <c r="EC69">
        <v>28</v>
      </c>
      <c r="ED69">
        <v>30</v>
      </c>
      <c r="EE69">
        <v>30</v>
      </c>
      <c r="EF69">
        <v>0.93199999999999983</v>
      </c>
      <c r="EG69">
        <v>30</v>
      </c>
      <c r="EH69">
        <v>8.0400000000000009</v>
      </c>
      <c r="EI69">
        <v>3.1599999999999997</v>
      </c>
      <c r="EJ69">
        <v>6</v>
      </c>
      <c r="EK69">
        <v>5.5</v>
      </c>
      <c r="EL69">
        <v>6</v>
      </c>
      <c r="EM69">
        <v>-1.9680000000000017</v>
      </c>
      <c r="EN69">
        <v>5</v>
      </c>
      <c r="EO69">
        <v>-7.2799999999999985</v>
      </c>
      <c r="EP69">
        <v>-0.40000000000000036</v>
      </c>
      <c r="EQ69">
        <v>6</v>
      </c>
      <c r="ER69">
        <v>8</v>
      </c>
      <c r="ES69">
        <v>7</v>
      </c>
      <c r="ET69">
        <v>3.3239999999999994</v>
      </c>
      <c r="EU69">
        <v>9</v>
      </c>
      <c r="EV69">
        <v>3.72</v>
      </c>
      <c r="EW69">
        <v>0.83999999999999986</v>
      </c>
      <c r="EX69">
        <v>3</v>
      </c>
      <c r="EY69">
        <v>3.5</v>
      </c>
      <c r="EZ69">
        <v>6</v>
      </c>
      <c r="FA69">
        <v>-2.48</v>
      </c>
      <c r="FB69">
        <v>1</v>
      </c>
      <c r="FC69">
        <v>-1</v>
      </c>
      <c r="FD69">
        <v>7.9999999999999891E-2</v>
      </c>
      <c r="FE69">
        <v>15</v>
      </c>
      <c r="FF69">
        <v>15.75</v>
      </c>
      <c r="FG69">
        <v>16</v>
      </c>
      <c r="FH69">
        <v>-5.0217051769135469E-2</v>
      </c>
      <c r="FI69">
        <v>21</v>
      </c>
      <c r="FJ69">
        <v>1.2881196572488837E-2</v>
      </c>
      <c r="FK69">
        <v>13</v>
      </c>
      <c r="FL69">
        <v>3.6360000000000001</v>
      </c>
      <c r="FM69">
        <v>13</v>
      </c>
      <c r="FN69">
        <v>2</v>
      </c>
      <c r="FO69">
        <v>-7.999999999999971E-2</v>
      </c>
      <c r="FP69">
        <v>-2.4</v>
      </c>
      <c r="FQ69">
        <v>1.8399999999999999</v>
      </c>
      <c r="FR69">
        <v>0.59999999999999853</v>
      </c>
      <c r="FS69">
        <v>-3.6799999999999997</v>
      </c>
      <c r="FT69">
        <v>-0.64</v>
      </c>
      <c r="FU69">
        <v>-7.6</v>
      </c>
      <c r="FV69">
        <v>-2.8000000000000056</v>
      </c>
      <c r="FW69">
        <v>-13.040000000000001</v>
      </c>
      <c r="FX69">
        <v>0.96000000000000019</v>
      </c>
      <c r="FY69">
        <v>7.2799999999999994</v>
      </c>
      <c r="FZ69">
        <v>8</v>
      </c>
      <c r="GA69">
        <v>3.632000000000001</v>
      </c>
      <c r="GB69">
        <v>1.8199999999999996</v>
      </c>
      <c r="GC69">
        <v>10.239999999999995</v>
      </c>
      <c r="GD69">
        <v>-3.6320000000000006</v>
      </c>
      <c r="GE69">
        <v>-1.0694999999999999</v>
      </c>
      <c r="GF69">
        <v>-4.3600000000000012</v>
      </c>
      <c r="GG69">
        <v>-11.959999999999999</v>
      </c>
      <c r="GH69">
        <v>-4.3359999999999994</v>
      </c>
      <c r="GI69">
        <v>-26.36</v>
      </c>
      <c r="GJ69">
        <v>1.3599999999999994</v>
      </c>
      <c r="GK69">
        <v>1.0399999999999998</v>
      </c>
    </row>
    <row r="70" spans="1:193" x14ac:dyDescent="0.2">
      <c r="A70" s="39">
        <v>43751</v>
      </c>
      <c r="B70" s="23" t="s">
        <v>252</v>
      </c>
      <c r="C70" s="41" t="s">
        <v>299</v>
      </c>
      <c r="D70" s="22" t="s">
        <v>300</v>
      </c>
      <c r="E70">
        <v>20.100000000000001</v>
      </c>
      <c r="F70" s="14">
        <v>3.7</v>
      </c>
      <c r="G70">
        <v>6.8</v>
      </c>
      <c r="H70">
        <f>6.1+1.8</f>
        <v>7.8999999999999995</v>
      </c>
      <c r="I70">
        <v>3.5</v>
      </c>
      <c r="J70">
        <v>47</v>
      </c>
      <c r="L70" s="1" t="s">
        <v>299</v>
      </c>
      <c r="M70">
        <v>15</v>
      </c>
      <c r="N70">
        <v>5.6799999999999427E-2</v>
      </c>
      <c r="O70">
        <v>28</v>
      </c>
      <c r="P70">
        <v>26</v>
      </c>
      <c r="Q70">
        <v>31</v>
      </c>
      <c r="R70">
        <v>-4.0120000000000005</v>
      </c>
      <c r="S70">
        <v>21</v>
      </c>
      <c r="T70">
        <v>-24.800000000000004</v>
      </c>
      <c r="U70">
        <v>-0.60000000000000009</v>
      </c>
      <c r="V70">
        <v>13</v>
      </c>
      <c r="W70">
        <v>13.5</v>
      </c>
      <c r="X70">
        <v>8</v>
      </c>
      <c r="Y70">
        <v>-2.3519999999999994</v>
      </c>
      <c r="Z70">
        <v>19</v>
      </c>
      <c r="AA70">
        <v>-3.3199999999999994</v>
      </c>
      <c r="AB70">
        <v>-0.96</v>
      </c>
      <c r="AC70">
        <v>5</v>
      </c>
      <c r="AD70">
        <v>5.5</v>
      </c>
      <c r="AE70">
        <v>8</v>
      </c>
      <c r="AF70">
        <v>1.5079999999999991</v>
      </c>
      <c r="AG70">
        <v>3</v>
      </c>
      <c r="AH70">
        <v>2.2000000000000002</v>
      </c>
      <c r="AI70">
        <v>1.0799999999999998</v>
      </c>
      <c r="AJ70">
        <v>3</v>
      </c>
      <c r="AK70">
        <v>3.5</v>
      </c>
      <c r="AL70">
        <v>2</v>
      </c>
      <c r="AM70">
        <v>1.4560000000000004</v>
      </c>
      <c r="AN70">
        <v>5</v>
      </c>
      <c r="AO70">
        <v>12.319999999999999</v>
      </c>
      <c r="AP70">
        <v>0.4</v>
      </c>
      <c r="AQ70">
        <v>10</v>
      </c>
      <c r="AR70">
        <v>10</v>
      </c>
      <c r="AS70">
        <v>10</v>
      </c>
      <c r="AT70">
        <v>2.5919999999999992</v>
      </c>
      <c r="AU70">
        <v>10</v>
      </c>
      <c r="AV70">
        <v>14.88</v>
      </c>
      <c r="AW70">
        <v>0.91999999999999993</v>
      </c>
      <c r="AX70">
        <v>9</v>
      </c>
      <c r="AY70">
        <v>10.5</v>
      </c>
      <c r="AZ70">
        <v>13</v>
      </c>
      <c r="BA70">
        <v>5.7639999999999985</v>
      </c>
      <c r="BB70">
        <v>8</v>
      </c>
      <c r="BC70">
        <v>29.24</v>
      </c>
      <c r="BD70">
        <v>1.6799999999999997</v>
      </c>
      <c r="BE70">
        <v>20</v>
      </c>
      <c r="BF70">
        <v>22</v>
      </c>
      <c r="BG70">
        <v>23</v>
      </c>
      <c r="BH70">
        <v>-0.5880000000000003</v>
      </c>
      <c r="BI70">
        <v>0.55999999999999805</v>
      </c>
      <c r="BJ70">
        <v>-0.11999999999999975</v>
      </c>
      <c r="BK70">
        <v>23</v>
      </c>
      <c r="BL70">
        <v>22.5</v>
      </c>
      <c r="BM70">
        <v>20</v>
      </c>
      <c r="BN70">
        <v>4.2799999999999994</v>
      </c>
      <c r="BO70">
        <v>25</v>
      </c>
      <c r="BP70">
        <v>0.96000000000000019</v>
      </c>
      <c r="BQ70">
        <v>2.6800000000000006</v>
      </c>
      <c r="BR70">
        <v>5</v>
      </c>
      <c r="BS70">
        <v>9</v>
      </c>
      <c r="BT70">
        <v>6</v>
      </c>
      <c r="BU70">
        <v>-4.6671000339999956E-2</v>
      </c>
      <c r="BV70">
        <v>12</v>
      </c>
      <c r="BW70">
        <v>-1.6341383249389139E-2</v>
      </c>
      <c r="BX70">
        <v>9</v>
      </c>
      <c r="BY70">
        <v>-14.811999999999998</v>
      </c>
      <c r="BZ70">
        <v>9</v>
      </c>
      <c r="CA70">
        <v>-0.75999999999999979</v>
      </c>
      <c r="CB70">
        <v>2.0799999999999983</v>
      </c>
      <c r="CC70">
        <v>0.99999999999999933</v>
      </c>
      <c r="CD70">
        <v>0.83999999999999986</v>
      </c>
      <c r="CE70">
        <v>-3.3199999999999932</v>
      </c>
      <c r="CF70">
        <v>14.919999999999993</v>
      </c>
      <c r="CG70">
        <v>-11.599999999999998</v>
      </c>
      <c r="CH70">
        <v>-2.4799999999999995</v>
      </c>
      <c r="CI70">
        <v>-4.16</v>
      </c>
      <c r="CJ70">
        <v>5</v>
      </c>
      <c r="CK70">
        <v>6.420799999999999</v>
      </c>
      <c r="CL70">
        <v>4.1869599999999991</v>
      </c>
      <c r="CM70">
        <v>26.519999999999989</v>
      </c>
      <c r="CN70">
        <v>-6.420799999999999</v>
      </c>
      <c r="CO70">
        <v>0.3675999999999997</v>
      </c>
      <c r="CP70">
        <v>5.5559999999999992</v>
      </c>
      <c r="CQ70">
        <v>29.4</v>
      </c>
      <c r="CR70">
        <v>-6.3639999999999999</v>
      </c>
      <c r="CS70">
        <v>-28.120000000000005</v>
      </c>
      <c r="CT70">
        <v>2.2800000000000002</v>
      </c>
      <c r="CU70">
        <v>-1.56</v>
      </c>
      <c r="CV70">
        <v>-0.45779999999999993</v>
      </c>
      <c r="CW70">
        <v>-0.10460000000000007</v>
      </c>
      <c r="CX70" t="s">
        <v>300</v>
      </c>
      <c r="CY70">
        <v>21</v>
      </c>
      <c r="CZ70">
        <v>-2.0599999999999996</v>
      </c>
      <c r="DA70">
        <v>5</v>
      </c>
      <c r="DB70">
        <v>6</v>
      </c>
      <c r="DC70">
        <v>8</v>
      </c>
      <c r="DD70">
        <v>5.8280000000000003</v>
      </c>
      <c r="DE70">
        <v>4</v>
      </c>
      <c r="DF70">
        <v>10.999999999999996</v>
      </c>
      <c r="DG70">
        <v>-0.27999999999999992</v>
      </c>
      <c r="DH70">
        <v>9</v>
      </c>
      <c r="DI70">
        <v>11.5</v>
      </c>
      <c r="DJ70">
        <v>19</v>
      </c>
      <c r="DK70">
        <v>-0.60800000000000054</v>
      </c>
      <c r="DL70">
        <v>4</v>
      </c>
      <c r="DM70">
        <v>3.1999999999999997</v>
      </c>
      <c r="DN70">
        <v>0.23999999999999985</v>
      </c>
      <c r="DO70">
        <v>23</v>
      </c>
      <c r="DP70">
        <v>27.5</v>
      </c>
      <c r="DQ70">
        <v>29</v>
      </c>
      <c r="DR70">
        <v>-1.2520000000000011</v>
      </c>
      <c r="DS70">
        <v>26</v>
      </c>
      <c r="DT70">
        <v>11.239999999999998</v>
      </c>
      <c r="DU70">
        <v>0.88000000000000023</v>
      </c>
      <c r="DV70">
        <v>13</v>
      </c>
      <c r="DW70">
        <v>13.5</v>
      </c>
      <c r="DX70">
        <v>17</v>
      </c>
      <c r="DY70">
        <v>-4.0239999999999991</v>
      </c>
      <c r="DZ70">
        <v>10</v>
      </c>
      <c r="EA70">
        <v>-21.439999999999998</v>
      </c>
      <c r="EB70">
        <v>4.0000000000000216E-2</v>
      </c>
      <c r="EC70">
        <v>12</v>
      </c>
      <c r="ED70">
        <v>17</v>
      </c>
      <c r="EE70">
        <v>20</v>
      </c>
      <c r="EF70">
        <v>-0.39199999999999957</v>
      </c>
      <c r="EG70">
        <v>14</v>
      </c>
      <c r="EH70">
        <v>5.3599999999999994</v>
      </c>
      <c r="EI70">
        <v>-0.88000000000000012</v>
      </c>
      <c r="EJ70">
        <v>16</v>
      </c>
      <c r="EK70">
        <v>16</v>
      </c>
      <c r="EL70">
        <v>17</v>
      </c>
      <c r="EM70">
        <v>-4.1839999999999993</v>
      </c>
      <c r="EN70">
        <v>15</v>
      </c>
      <c r="EO70">
        <v>-9.4400000000000013</v>
      </c>
      <c r="EP70">
        <v>-1.9599999999999995</v>
      </c>
      <c r="EQ70">
        <v>1</v>
      </c>
      <c r="ER70">
        <v>1</v>
      </c>
      <c r="ES70">
        <v>1</v>
      </c>
      <c r="ET70">
        <v>-1.379999999999999</v>
      </c>
      <c r="EU70">
        <v>1</v>
      </c>
      <c r="EV70">
        <v>-8.4</v>
      </c>
      <c r="EW70">
        <v>-0.48000000000000009</v>
      </c>
      <c r="EX70">
        <v>6</v>
      </c>
      <c r="EY70">
        <v>5</v>
      </c>
      <c r="EZ70">
        <v>2</v>
      </c>
      <c r="FA70">
        <v>-2.6</v>
      </c>
      <c r="FB70">
        <v>8</v>
      </c>
      <c r="FC70">
        <v>-0.20000000000000004</v>
      </c>
      <c r="FD70">
        <v>-3.7199999999999998</v>
      </c>
      <c r="FE70">
        <v>29</v>
      </c>
      <c r="FF70">
        <v>24</v>
      </c>
      <c r="FG70">
        <v>17</v>
      </c>
      <c r="FH70">
        <v>8.8121797504564878E-2</v>
      </c>
      <c r="FI70">
        <v>23</v>
      </c>
      <c r="FJ70">
        <v>1.2524227984281152E-2</v>
      </c>
      <c r="FK70">
        <v>27</v>
      </c>
      <c r="FL70">
        <v>-9.5479999999999929</v>
      </c>
      <c r="FM70">
        <v>29</v>
      </c>
      <c r="FN70">
        <v>3.5200000000000005</v>
      </c>
      <c r="FO70">
        <v>2.9999999999999991</v>
      </c>
      <c r="FP70">
        <v>-0.6399999999999999</v>
      </c>
      <c r="FQ70">
        <v>0.51999999999999991</v>
      </c>
      <c r="FR70">
        <v>3.2399999999999993</v>
      </c>
      <c r="FS70">
        <v>-2.9199999999999995</v>
      </c>
      <c r="FT70">
        <v>-0.91999999999999993</v>
      </c>
      <c r="FU70">
        <v>29.560000000000002</v>
      </c>
      <c r="FV70">
        <v>15.000000000000005</v>
      </c>
      <c r="FW70">
        <v>12.88</v>
      </c>
      <c r="FX70">
        <v>-2.6799999999999997</v>
      </c>
      <c r="FY70">
        <v>4.3600000000000012</v>
      </c>
      <c r="FZ70">
        <v>28</v>
      </c>
      <c r="GA70">
        <v>-7.2799999999999994</v>
      </c>
      <c r="GB70">
        <v>-4.4315999999999995</v>
      </c>
      <c r="GC70">
        <v>2.1200000000000045</v>
      </c>
      <c r="GD70">
        <v>7.2799999999999994</v>
      </c>
      <c r="GE70">
        <v>-0.81099999999999983</v>
      </c>
      <c r="GF70">
        <v>-5.6679999999999993</v>
      </c>
      <c r="GG70">
        <v>-4.84</v>
      </c>
      <c r="GH70">
        <v>5.22</v>
      </c>
      <c r="GI70">
        <v>14.199999999999996</v>
      </c>
      <c r="GJ70">
        <v>-0.43999999999999972</v>
      </c>
      <c r="GK70">
        <v>-4.0000000000000063E-2</v>
      </c>
    </row>
    <row r="71" spans="1:193" x14ac:dyDescent="0.2">
      <c r="A71" s="39">
        <v>43751</v>
      </c>
      <c r="B71" s="22" t="s">
        <v>252</v>
      </c>
      <c r="C71" s="41" t="s">
        <v>300</v>
      </c>
      <c r="D71" s="22" t="s">
        <v>299</v>
      </c>
      <c r="E71" s="30">
        <v>7</v>
      </c>
      <c r="F71" s="3">
        <v>16.5</v>
      </c>
      <c r="G71" s="3">
        <v>7.7</v>
      </c>
      <c r="H71">
        <v>10.7</v>
      </c>
      <c r="I71">
        <v>-3.5</v>
      </c>
      <c r="J71">
        <v>47</v>
      </c>
      <c r="L71" s="1" t="s">
        <v>300</v>
      </c>
      <c r="M71">
        <v>12</v>
      </c>
      <c r="N71">
        <v>1.6271999999999998</v>
      </c>
      <c r="O71">
        <v>22</v>
      </c>
      <c r="P71">
        <v>21.5</v>
      </c>
      <c r="Q71">
        <v>14</v>
      </c>
      <c r="R71">
        <v>7.804000000000002</v>
      </c>
      <c r="S71">
        <v>29</v>
      </c>
      <c r="T71">
        <v>4.4800000000000013</v>
      </c>
      <c r="U71">
        <v>-1.9999999999999928E-2</v>
      </c>
      <c r="V71">
        <v>2</v>
      </c>
      <c r="W71">
        <v>4</v>
      </c>
      <c r="X71">
        <v>4</v>
      </c>
      <c r="Y71">
        <v>-0.23000000000000007</v>
      </c>
      <c r="Z71">
        <v>4</v>
      </c>
      <c r="AA71">
        <v>1.0399999999999998</v>
      </c>
      <c r="AB71">
        <v>-0.66999999999999993</v>
      </c>
      <c r="AC71">
        <v>3</v>
      </c>
      <c r="AD71">
        <v>3.5</v>
      </c>
      <c r="AE71">
        <v>5</v>
      </c>
      <c r="AF71">
        <v>1.3839999999999992</v>
      </c>
      <c r="AG71">
        <v>2</v>
      </c>
      <c r="AH71">
        <v>24.630000000000003</v>
      </c>
      <c r="AI71">
        <v>0.84000000000000019</v>
      </c>
      <c r="AJ71">
        <v>16</v>
      </c>
      <c r="AK71">
        <v>17</v>
      </c>
      <c r="AL71">
        <v>17</v>
      </c>
      <c r="AM71">
        <v>-2.4090000000000007</v>
      </c>
      <c r="AN71">
        <v>17</v>
      </c>
      <c r="AO71">
        <v>-4.93</v>
      </c>
      <c r="AP71">
        <v>0.12999999999999989</v>
      </c>
      <c r="AQ71">
        <v>20</v>
      </c>
      <c r="AR71">
        <v>19</v>
      </c>
      <c r="AS71">
        <v>18</v>
      </c>
      <c r="AT71">
        <v>-0.86599999999999999</v>
      </c>
      <c r="AU71">
        <v>20</v>
      </c>
      <c r="AV71">
        <v>-9.4</v>
      </c>
      <c r="AW71">
        <v>-1.61</v>
      </c>
      <c r="AX71">
        <v>18</v>
      </c>
      <c r="AY71">
        <v>17</v>
      </c>
      <c r="AZ71">
        <v>12</v>
      </c>
      <c r="BA71">
        <v>2.1640000000000006</v>
      </c>
      <c r="BB71">
        <v>22</v>
      </c>
      <c r="BC71">
        <v>5.6399999999999988</v>
      </c>
      <c r="BD71">
        <v>-1.3199999999999998</v>
      </c>
      <c r="BE71">
        <v>27</v>
      </c>
      <c r="BF71">
        <v>27</v>
      </c>
      <c r="BG71">
        <v>26</v>
      </c>
      <c r="BH71">
        <v>-0.32799999999999996</v>
      </c>
      <c r="BI71">
        <v>-0.8</v>
      </c>
      <c r="BJ71">
        <v>-0.91999999999999971</v>
      </c>
      <c r="BK71">
        <v>31</v>
      </c>
      <c r="BL71">
        <v>31</v>
      </c>
      <c r="BM71">
        <v>30</v>
      </c>
      <c r="BN71">
        <v>0.6</v>
      </c>
      <c r="BO71">
        <v>32</v>
      </c>
      <c r="BP71">
        <v>-0.19999999999999996</v>
      </c>
      <c r="BQ71">
        <v>3.5200000000000005</v>
      </c>
      <c r="BR71">
        <v>16</v>
      </c>
      <c r="BS71">
        <v>14.5</v>
      </c>
      <c r="BT71">
        <v>17</v>
      </c>
      <c r="BU71">
        <v>4.9381937038810844E-2</v>
      </c>
      <c r="BV71">
        <v>14</v>
      </c>
      <c r="BW71">
        <v>-7.6003156759539532E-3</v>
      </c>
      <c r="BX71">
        <v>3</v>
      </c>
      <c r="BY71">
        <v>2.644000000000001</v>
      </c>
      <c r="BZ71">
        <v>24</v>
      </c>
      <c r="CA71">
        <v>-3.7199999999999998</v>
      </c>
      <c r="CB71">
        <v>0.24000000000000057</v>
      </c>
      <c r="CC71">
        <v>6.3999999999999995</v>
      </c>
      <c r="CD71">
        <v>-0.55999999999999994</v>
      </c>
      <c r="CE71">
        <v>17.600000000000012</v>
      </c>
      <c r="CF71">
        <v>16.799999999999994</v>
      </c>
      <c r="CG71">
        <v>0.8</v>
      </c>
      <c r="CH71">
        <v>-3.72</v>
      </c>
      <c r="CI71">
        <v>3.72</v>
      </c>
      <c r="CJ71">
        <v>27</v>
      </c>
      <c r="CK71">
        <v>-5.9468000000000014</v>
      </c>
      <c r="CL71">
        <v>-3.9053600000000013</v>
      </c>
      <c r="CM71">
        <v>15.999999999999993</v>
      </c>
      <c r="CN71">
        <v>5.9468000000000014</v>
      </c>
      <c r="CO71">
        <v>0.94777499999999992</v>
      </c>
      <c r="CP71">
        <v>-1.8910000000000013</v>
      </c>
      <c r="CQ71">
        <v>10.300000000000002</v>
      </c>
      <c r="CR71">
        <v>7.5740000000000016</v>
      </c>
      <c r="CS71">
        <v>5.5200000000000014</v>
      </c>
      <c r="CT71">
        <v>-1.5599999999999996</v>
      </c>
      <c r="CU71">
        <v>-0.68999999999999984</v>
      </c>
      <c r="CV71">
        <v>-0.45779999999999993</v>
      </c>
      <c r="CW71">
        <v>-0.81099999999999983</v>
      </c>
      <c r="CX71" t="s">
        <v>299</v>
      </c>
      <c r="CY71">
        <v>3</v>
      </c>
      <c r="CZ71">
        <v>-1.0287999999999999</v>
      </c>
      <c r="DA71">
        <v>14</v>
      </c>
      <c r="DB71">
        <v>16</v>
      </c>
      <c r="DC71">
        <v>14</v>
      </c>
      <c r="DD71">
        <v>-1.5040000000000007</v>
      </c>
      <c r="DE71">
        <v>18</v>
      </c>
      <c r="DF71">
        <v>12.200000000000001</v>
      </c>
      <c r="DG71">
        <v>0.28000000000000025</v>
      </c>
      <c r="DH71">
        <v>11</v>
      </c>
      <c r="DI71">
        <v>14</v>
      </c>
      <c r="DJ71">
        <v>3</v>
      </c>
      <c r="DK71">
        <v>4.7359999999999989</v>
      </c>
      <c r="DL71">
        <v>25</v>
      </c>
      <c r="DM71">
        <v>12.759999999999998</v>
      </c>
      <c r="DN71">
        <v>-0.36000000000000004</v>
      </c>
      <c r="DO71">
        <v>10</v>
      </c>
      <c r="DP71">
        <v>9.5</v>
      </c>
      <c r="DQ71">
        <v>10</v>
      </c>
      <c r="DR71">
        <v>-1.7519999999999996</v>
      </c>
      <c r="DS71">
        <v>9</v>
      </c>
      <c r="DT71">
        <v>-9.6799999999999979</v>
      </c>
      <c r="DU71">
        <v>1.3599999999999999</v>
      </c>
      <c r="DV71">
        <v>3</v>
      </c>
      <c r="DW71">
        <v>3.5</v>
      </c>
      <c r="DX71">
        <v>4</v>
      </c>
      <c r="DY71">
        <v>-0.39999999999999891</v>
      </c>
      <c r="DZ71">
        <v>3</v>
      </c>
      <c r="EA71">
        <v>-0.55999999999999939</v>
      </c>
      <c r="EB71">
        <v>0.83999999999999986</v>
      </c>
      <c r="EC71">
        <v>15</v>
      </c>
      <c r="ED71">
        <v>3.5</v>
      </c>
      <c r="EE71">
        <v>3</v>
      </c>
      <c r="EF71">
        <v>-0.42400000000000004</v>
      </c>
      <c r="EG71">
        <v>4</v>
      </c>
      <c r="EH71">
        <v>3.5600000000000009</v>
      </c>
      <c r="EI71">
        <v>0.76</v>
      </c>
      <c r="EJ71">
        <v>2</v>
      </c>
      <c r="EK71">
        <v>3.5</v>
      </c>
      <c r="EL71">
        <v>3</v>
      </c>
      <c r="EM71">
        <v>-0.11200000000000046</v>
      </c>
      <c r="EN71">
        <v>4</v>
      </c>
      <c r="EO71">
        <v>-7.1199999999999992</v>
      </c>
      <c r="EP71">
        <v>2.2000000000000002</v>
      </c>
      <c r="EQ71">
        <v>11</v>
      </c>
      <c r="ER71">
        <v>12.5</v>
      </c>
      <c r="ES71">
        <v>8</v>
      </c>
      <c r="ET71">
        <v>-1.4639999999999997</v>
      </c>
      <c r="EU71">
        <v>17</v>
      </c>
      <c r="EV71">
        <v>2.96</v>
      </c>
      <c r="EW71">
        <v>-0.88000000000000023</v>
      </c>
      <c r="EX71">
        <v>12</v>
      </c>
      <c r="EY71">
        <v>12.5</v>
      </c>
      <c r="EZ71">
        <v>7</v>
      </c>
      <c r="FA71">
        <v>0.99999999999999967</v>
      </c>
      <c r="FB71">
        <v>18</v>
      </c>
      <c r="FC71">
        <v>0.67999999999999994</v>
      </c>
      <c r="FD71">
        <v>-0.75999999999999979</v>
      </c>
      <c r="FE71">
        <v>24</v>
      </c>
      <c r="FF71">
        <v>21</v>
      </c>
      <c r="FG71">
        <v>26</v>
      </c>
      <c r="FH71">
        <v>-6.0338078712177411E-2</v>
      </c>
      <c r="FI71">
        <v>23</v>
      </c>
      <c r="FJ71">
        <v>-1.0454141513245056E-2</v>
      </c>
      <c r="FK71">
        <v>5</v>
      </c>
      <c r="FL71">
        <v>-7.5119999999999987</v>
      </c>
      <c r="FM71">
        <v>30</v>
      </c>
      <c r="FN71">
        <v>2.6800000000000006</v>
      </c>
      <c r="FO71">
        <v>3.4</v>
      </c>
      <c r="FP71">
        <v>2.12</v>
      </c>
      <c r="FQ71">
        <v>-0.15999999999999998</v>
      </c>
      <c r="FR71">
        <v>4.92</v>
      </c>
      <c r="FS71">
        <v>-1.1199999999999997</v>
      </c>
      <c r="FT71">
        <v>0.27999999999999997</v>
      </c>
      <c r="FU71">
        <v>38.519999999999996</v>
      </c>
      <c r="FV71">
        <v>7.2000000000000117</v>
      </c>
      <c r="FW71">
        <v>21.639999999999997</v>
      </c>
      <c r="FX71">
        <v>2</v>
      </c>
      <c r="FY71">
        <v>7.6799999999999979</v>
      </c>
      <c r="FZ71">
        <v>24</v>
      </c>
      <c r="GA71">
        <v>-4.2607999999999979</v>
      </c>
      <c r="GB71">
        <v>-2.6297599999999988</v>
      </c>
      <c r="GC71">
        <v>-14.439999999999985</v>
      </c>
      <c r="GD71">
        <v>4.2607999999999979</v>
      </c>
      <c r="GE71">
        <v>-0.10460000000000007</v>
      </c>
      <c r="GF71">
        <v>-2.5759999999999983</v>
      </c>
      <c r="GG71">
        <v>-6.6799999999999962</v>
      </c>
      <c r="GH71">
        <v>3.2319999999999984</v>
      </c>
      <c r="GI71">
        <v>24.96</v>
      </c>
      <c r="GJ71">
        <v>2.0799999999999996</v>
      </c>
      <c r="GK71">
        <v>-7.9999999999999793E-2</v>
      </c>
    </row>
    <row r="72" spans="1:193" x14ac:dyDescent="0.2">
      <c r="A72" s="39">
        <v>43751</v>
      </c>
      <c r="B72" s="22" t="s">
        <v>252</v>
      </c>
      <c r="C72" s="41" t="s">
        <v>311</v>
      </c>
      <c r="D72" s="22" t="s">
        <v>288</v>
      </c>
      <c r="E72">
        <v>16.5</v>
      </c>
      <c r="F72" s="14">
        <v>9.4</v>
      </c>
      <c r="G72">
        <v>7.9</v>
      </c>
      <c r="H72">
        <f>12.9+6.9</f>
        <v>19.8</v>
      </c>
      <c r="I72">
        <v>3.5</v>
      </c>
      <c r="J72">
        <v>54.5</v>
      </c>
      <c r="K72" t="s">
        <v>109</v>
      </c>
      <c r="L72" s="1" t="s">
        <v>311</v>
      </c>
      <c r="M72">
        <v>4</v>
      </c>
      <c r="N72">
        <v>5.7455999999999978</v>
      </c>
      <c r="O72">
        <v>22</v>
      </c>
      <c r="P72">
        <v>21.5</v>
      </c>
      <c r="Q72">
        <v>30</v>
      </c>
      <c r="R72">
        <v>-6.4480000000000004</v>
      </c>
      <c r="S72">
        <v>13</v>
      </c>
      <c r="T72">
        <v>-10.199999999999999</v>
      </c>
      <c r="U72">
        <v>-1.8399999999999999</v>
      </c>
      <c r="V72">
        <v>8</v>
      </c>
      <c r="W72">
        <v>9.5</v>
      </c>
      <c r="X72">
        <v>3</v>
      </c>
      <c r="Y72">
        <v>1.0960000000000001</v>
      </c>
      <c r="Z72">
        <v>16</v>
      </c>
      <c r="AA72">
        <v>12.280000000000001</v>
      </c>
      <c r="AB72">
        <v>0.51999999999999991</v>
      </c>
      <c r="AC72">
        <v>2</v>
      </c>
      <c r="AD72">
        <v>2.5</v>
      </c>
      <c r="AE72">
        <v>1</v>
      </c>
      <c r="AF72">
        <v>-0.73599999999999921</v>
      </c>
      <c r="AG72">
        <v>4</v>
      </c>
      <c r="AH72">
        <v>-1.9199999999999975</v>
      </c>
      <c r="AI72">
        <v>1.0799999999999998</v>
      </c>
      <c r="AJ72">
        <v>15</v>
      </c>
      <c r="AK72">
        <v>15</v>
      </c>
      <c r="AL72">
        <v>16</v>
      </c>
      <c r="AM72">
        <v>2.9040000000000017</v>
      </c>
      <c r="AN72">
        <v>14</v>
      </c>
      <c r="AO72">
        <v>13.639999999999997</v>
      </c>
      <c r="AP72">
        <v>1.4000000000000001</v>
      </c>
      <c r="AQ72">
        <v>21</v>
      </c>
      <c r="AR72">
        <v>21</v>
      </c>
      <c r="AS72">
        <v>21</v>
      </c>
      <c r="AT72">
        <v>4.3959999999999999</v>
      </c>
      <c r="AU72">
        <v>21</v>
      </c>
      <c r="AV72">
        <v>26</v>
      </c>
      <c r="AW72">
        <v>0.27999999999999997</v>
      </c>
      <c r="AX72">
        <v>17</v>
      </c>
      <c r="AY72">
        <v>16.5</v>
      </c>
      <c r="AZ72">
        <v>21</v>
      </c>
      <c r="BA72">
        <v>1.4679999999999978</v>
      </c>
      <c r="BB72">
        <v>12</v>
      </c>
      <c r="BC72">
        <v>10.680000000000003</v>
      </c>
      <c r="BD72">
        <v>-0.64</v>
      </c>
      <c r="BE72">
        <v>11</v>
      </c>
      <c r="BF72">
        <v>12</v>
      </c>
      <c r="BG72">
        <v>11</v>
      </c>
      <c r="BH72">
        <v>4.4120000000000008</v>
      </c>
      <c r="BI72">
        <v>5</v>
      </c>
      <c r="BJ72">
        <v>-0.23999999999999985</v>
      </c>
      <c r="BK72">
        <v>22</v>
      </c>
      <c r="BL72">
        <v>20.5</v>
      </c>
      <c r="BM72">
        <v>22</v>
      </c>
      <c r="BN72">
        <v>-0.67999999999999972</v>
      </c>
      <c r="BO72">
        <v>19</v>
      </c>
      <c r="BP72">
        <v>-0.36000000000000004</v>
      </c>
      <c r="BQ72">
        <v>0.91999999999999993</v>
      </c>
      <c r="BR72">
        <v>20</v>
      </c>
      <c r="BS72">
        <v>17.5</v>
      </c>
      <c r="BT72">
        <v>1</v>
      </c>
      <c r="BU72">
        <v>4.2425775435519626E-2</v>
      </c>
      <c r="BV72">
        <v>24</v>
      </c>
      <c r="BW72">
        <v>1.9633256402785942E-2</v>
      </c>
      <c r="BX72">
        <v>15</v>
      </c>
      <c r="BY72">
        <v>4.788000000000002</v>
      </c>
      <c r="BZ72">
        <v>30</v>
      </c>
      <c r="CA72">
        <v>-0.4799999999999997</v>
      </c>
      <c r="CB72">
        <v>-0.75999999999999945</v>
      </c>
      <c r="CC72">
        <v>1.36</v>
      </c>
      <c r="CD72">
        <v>0.83999999999999986</v>
      </c>
      <c r="CE72">
        <v>27.279999999999994</v>
      </c>
      <c r="CF72">
        <v>21.840000000000003</v>
      </c>
      <c r="CG72">
        <v>-0.27999999999999831</v>
      </c>
      <c r="CH72">
        <v>-2.2000000000000002</v>
      </c>
      <c r="CI72">
        <v>7.92</v>
      </c>
      <c r="CJ72">
        <v>1</v>
      </c>
      <c r="CK72">
        <v>11.097599999999998</v>
      </c>
      <c r="CL72">
        <v>6.0203200000000008</v>
      </c>
      <c r="CM72">
        <v>22.12</v>
      </c>
      <c r="CN72">
        <v>-11.097599999999998</v>
      </c>
      <c r="CO72">
        <v>1.3362000000000001</v>
      </c>
      <c r="CP72">
        <v>6.5640000000000018</v>
      </c>
      <c r="CQ72">
        <v>37.72</v>
      </c>
      <c r="CR72">
        <v>-5.3520000000000003</v>
      </c>
      <c r="CS72">
        <v>2.0800000000000018</v>
      </c>
      <c r="CT72">
        <v>2.52</v>
      </c>
      <c r="CU72">
        <v>-1.3199999999999998</v>
      </c>
      <c r="CV72">
        <v>0.19089999999999996</v>
      </c>
      <c r="CW72">
        <v>0.40449999999999997</v>
      </c>
      <c r="CX72" t="s">
        <v>288</v>
      </c>
      <c r="CY72">
        <v>7</v>
      </c>
      <c r="CZ72">
        <v>-0.58559999999999945</v>
      </c>
      <c r="DA72">
        <v>3</v>
      </c>
      <c r="DB72">
        <v>3</v>
      </c>
      <c r="DC72">
        <v>3</v>
      </c>
      <c r="DD72">
        <v>3.2840000000000003</v>
      </c>
      <c r="DE72">
        <v>3</v>
      </c>
      <c r="DF72">
        <v>23.639999999999997</v>
      </c>
      <c r="DG72">
        <v>0.38</v>
      </c>
      <c r="DH72">
        <v>20</v>
      </c>
      <c r="DI72">
        <v>17.5</v>
      </c>
      <c r="DJ72">
        <v>5</v>
      </c>
      <c r="DK72">
        <v>0.7</v>
      </c>
      <c r="DL72">
        <v>30</v>
      </c>
      <c r="DM72">
        <v>3.1600000000000006</v>
      </c>
      <c r="DN72">
        <v>0.72</v>
      </c>
      <c r="DO72">
        <v>32</v>
      </c>
      <c r="DP72">
        <v>32</v>
      </c>
      <c r="DQ72">
        <v>32</v>
      </c>
      <c r="DR72">
        <v>-1.0800000000000007</v>
      </c>
      <c r="DS72">
        <v>32</v>
      </c>
      <c r="DT72">
        <v>-12.72</v>
      </c>
      <c r="DU72">
        <v>-0.28000000000000008</v>
      </c>
      <c r="DV72">
        <v>24</v>
      </c>
      <c r="DW72">
        <v>25</v>
      </c>
      <c r="DX72">
        <v>23</v>
      </c>
      <c r="DY72">
        <v>-0.30799999999999983</v>
      </c>
      <c r="DZ72">
        <v>27</v>
      </c>
      <c r="EA72">
        <v>11.080000000000002</v>
      </c>
      <c r="EB72">
        <v>-7.9999999999999988E-2</v>
      </c>
      <c r="EC72">
        <v>13</v>
      </c>
      <c r="ED72">
        <v>12.5</v>
      </c>
      <c r="EE72">
        <v>12</v>
      </c>
      <c r="EF72">
        <v>0.68399999999999994</v>
      </c>
      <c r="EG72">
        <v>13</v>
      </c>
      <c r="EH72">
        <v>8.2399999999999984</v>
      </c>
      <c r="EI72">
        <v>-0.6399999999999999</v>
      </c>
      <c r="EJ72">
        <v>12</v>
      </c>
      <c r="EK72">
        <v>12</v>
      </c>
      <c r="EL72">
        <v>8</v>
      </c>
      <c r="EM72">
        <v>1.44</v>
      </c>
      <c r="EN72">
        <v>16</v>
      </c>
      <c r="EO72">
        <v>-4.8</v>
      </c>
      <c r="EP72">
        <v>0.31999999999999956</v>
      </c>
      <c r="EQ72">
        <v>2</v>
      </c>
      <c r="ER72">
        <v>2</v>
      </c>
      <c r="ES72">
        <v>2</v>
      </c>
      <c r="ET72">
        <v>-2.996</v>
      </c>
      <c r="EU72">
        <v>2</v>
      </c>
      <c r="EV72">
        <v>-10.16</v>
      </c>
      <c r="EW72">
        <v>-3.9999999999999855E-2</v>
      </c>
      <c r="EX72">
        <v>20</v>
      </c>
      <c r="EY72">
        <v>21</v>
      </c>
      <c r="EZ72">
        <v>25</v>
      </c>
      <c r="FA72">
        <v>0.11999999999999975</v>
      </c>
      <c r="FB72">
        <v>17</v>
      </c>
      <c r="FC72">
        <v>7.9999999999999988E-2</v>
      </c>
      <c r="FD72">
        <v>-2.7199999999999998</v>
      </c>
      <c r="FE72">
        <v>2</v>
      </c>
      <c r="FF72">
        <v>7.25</v>
      </c>
      <c r="FG72">
        <v>4</v>
      </c>
      <c r="FH72">
        <v>2.9779749585955716E-2</v>
      </c>
      <c r="FI72">
        <v>13</v>
      </c>
      <c r="FJ72">
        <v>1.3153321774424756E-3</v>
      </c>
      <c r="FK72">
        <v>3</v>
      </c>
      <c r="FL72">
        <v>9.4640000000000022</v>
      </c>
      <c r="FM72">
        <v>9</v>
      </c>
      <c r="FN72">
        <v>1.2399999999999998</v>
      </c>
      <c r="FO72">
        <v>1.3599999999999994</v>
      </c>
      <c r="FP72">
        <v>0.71999999999999953</v>
      </c>
      <c r="FQ72">
        <v>-0.96000000000000019</v>
      </c>
      <c r="FR72">
        <v>1.4399999999999991</v>
      </c>
      <c r="FS72">
        <v>-1.1200000000000003</v>
      </c>
      <c r="FT72">
        <v>-0.55999999999999994</v>
      </c>
      <c r="FU72">
        <v>19.880000000000006</v>
      </c>
      <c r="FV72">
        <v>3.7600000000000025</v>
      </c>
      <c r="FW72">
        <v>22.2</v>
      </c>
      <c r="FX72">
        <v>-1.6</v>
      </c>
      <c r="FY72">
        <v>-4.4799999999999995</v>
      </c>
      <c r="FZ72">
        <v>25</v>
      </c>
      <c r="GA72">
        <v>-4.5695999999999994</v>
      </c>
      <c r="GB72">
        <v>-2.8491200000000001</v>
      </c>
      <c r="GC72">
        <v>-18.439999999999998</v>
      </c>
      <c r="GD72">
        <v>4.5695999999999994</v>
      </c>
      <c r="GE72">
        <v>-2.2700000000000043E-2</v>
      </c>
      <c r="GF72">
        <v>-0.70400000000000063</v>
      </c>
      <c r="GG72">
        <v>6.6</v>
      </c>
      <c r="GH72">
        <v>3.984</v>
      </c>
      <c r="GI72">
        <v>26.799999999999997</v>
      </c>
      <c r="GJ72">
        <v>-1.0399999999999998</v>
      </c>
      <c r="GK72">
        <v>1.1000000000000001</v>
      </c>
    </row>
    <row r="73" spans="1:193" x14ac:dyDescent="0.2">
      <c r="A73" s="39">
        <v>43751</v>
      </c>
      <c r="B73" s="22" t="s">
        <v>252</v>
      </c>
      <c r="C73" s="41" t="s">
        <v>297</v>
      </c>
      <c r="D73" s="22" t="s">
        <v>307</v>
      </c>
      <c r="E73">
        <v>8.3000000000000007</v>
      </c>
      <c r="F73">
        <v>7.3</v>
      </c>
      <c r="G73">
        <v>0</v>
      </c>
      <c r="H73">
        <f>2.6+1.5</f>
        <v>4.0999999999999996</v>
      </c>
      <c r="I73">
        <v>-2.5</v>
      </c>
      <c r="J73">
        <v>42.5</v>
      </c>
      <c r="K73" t="s">
        <v>110</v>
      </c>
      <c r="L73" s="1" t="s">
        <v>297</v>
      </c>
      <c r="M73">
        <v>6</v>
      </c>
      <c r="N73">
        <v>4.1199999999999992</v>
      </c>
      <c r="O73">
        <v>10</v>
      </c>
      <c r="P73">
        <v>9.5</v>
      </c>
      <c r="Q73">
        <v>3</v>
      </c>
      <c r="R73">
        <v>1.0760000000000001</v>
      </c>
      <c r="S73">
        <v>16</v>
      </c>
      <c r="T73">
        <v>26.880000000000003</v>
      </c>
      <c r="U73">
        <v>1</v>
      </c>
      <c r="V73">
        <v>28</v>
      </c>
      <c r="W73">
        <v>28.5</v>
      </c>
      <c r="X73">
        <v>26</v>
      </c>
      <c r="Y73">
        <v>-3.3599999999999985</v>
      </c>
      <c r="Z73">
        <v>31</v>
      </c>
      <c r="AA73">
        <v>-10.56</v>
      </c>
      <c r="AB73">
        <v>-1.7599999999999998</v>
      </c>
      <c r="AC73">
        <v>31</v>
      </c>
      <c r="AD73">
        <v>31.5</v>
      </c>
      <c r="AE73">
        <v>32</v>
      </c>
      <c r="AF73">
        <v>-2.992</v>
      </c>
      <c r="AG73">
        <v>31</v>
      </c>
      <c r="AH73">
        <v>-12.56</v>
      </c>
      <c r="AI73">
        <v>-0.40000000000000019</v>
      </c>
      <c r="AJ73">
        <v>7</v>
      </c>
      <c r="AK73">
        <v>8</v>
      </c>
      <c r="AL73">
        <v>4</v>
      </c>
      <c r="AM73">
        <v>8.8960000000000008</v>
      </c>
      <c r="AN73">
        <v>12</v>
      </c>
      <c r="AO73">
        <v>36.200000000000003</v>
      </c>
      <c r="AP73">
        <v>0.48000000000000009</v>
      </c>
      <c r="AQ73">
        <v>3</v>
      </c>
      <c r="AR73">
        <v>3</v>
      </c>
      <c r="AS73">
        <v>3</v>
      </c>
      <c r="AT73">
        <v>2.5759999999999996</v>
      </c>
      <c r="AU73">
        <v>3</v>
      </c>
      <c r="AV73">
        <v>17.68</v>
      </c>
      <c r="AW73">
        <v>-0.20000000000000026</v>
      </c>
      <c r="AX73">
        <v>13</v>
      </c>
      <c r="AY73">
        <v>12.5</v>
      </c>
      <c r="AZ73">
        <v>10</v>
      </c>
      <c r="BA73">
        <v>-0.90800000000000058</v>
      </c>
      <c r="BB73">
        <v>15</v>
      </c>
      <c r="BC73">
        <v>-2.680000000000001</v>
      </c>
      <c r="BD73">
        <v>-0.6000000000000002</v>
      </c>
      <c r="BE73">
        <v>32</v>
      </c>
      <c r="BF73">
        <v>31</v>
      </c>
      <c r="BG73">
        <v>32</v>
      </c>
      <c r="BH73">
        <v>0.97199999999999975</v>
      </c>
      <c r="BI73">
        <v>-0.48000000000000043</v>
      </c>
      <c r="BJ73">
        <v>0.48000000000000009</v>
      </c>
      <c r="BK73">
        <v>27</v>
      </c>
      <c r="BL73">
        <v>27</v>
      </c>
      <c r="BM73">
        <v>27</v>
      </c>
      <c r="BN73">
        <v>1.2399999999999998</v>
      </c>
      <c r="BO73">
        <v>27</v>
      </c>
      <c r="BP73">
        <v>0.24</v>
      </c>
      <c r="BQ73">
        <v>-0.83999999999999986</v>
      </c>
      <c r="BR73">
        <v>7</v>
      </c>
      <c r="BS73">
        <v>11.25</v>
      </c>
      <c r="BT73">
        <v>7</v>
      </c>
      <c r="BU73">
        <v>3.020129333117717E-2</v>
      </c>
      <c r="BV73">
        <v>17</v>
      </c>
      <c r="BW73">
        <v>-3.3467236141587987E-3</v>
      </c>
      <c r="BX73">
        <v>18</v>
      </c>
      <c r="BY73">
        <v>3.883999999999999</v>
      </c>
      <c r="BZ73">
        <v>3</v>
      </c>
      <c r="CA73">
        <v>-0.67999999999999972</v>
      </c>
      <c r="CB73">
        <v>-2.6399999999999992</v>
      </c>
      <c r="CC73">
        <v>2</v>
      </c>
      <c r="CD73">
        <v>-0.27999999999999997</v>
      </c>
      <c r="CE73">
        <v>41.11999999999999</v>
      </c>
      <c r="CF73">
        <v>26.4</v>
      </c>
      <c r="CG73">
        <v>10.159999999999997</v>
      </c>
      <c r="CH73">
        <v>-4.04</v>
      </c>
      <c r="CI73">
        <v>8.6</v>
      </c>
      <c r="CJ73">
        <v>6</v>
      </c>
      <c r="CK73">
        <v>6.4039999999999981</v>
      </c>
      <c r="CL73">
        <v>3.8563999999999998</v>
      </c>
      <c r="CM73">
        <v>16.240000000000002</v>
      </c>
      <c r="CN73">
        <v>-6.4039999999999981</v>
      </c>
      <c r="CO73">
        <v>1.5660000000000003</v>
      </c>
      <c r="CP73">
        <v>8.48</v>
      </c>
      <c r="CQ73">
        <v>41.32</v>
      </c>
      <c r="CR73">
        <v>-2.2839999999999985</v>
      </c>
      <c r="CS73">
        <v>16.32</v>
      </c>
      <c r="CT73">
        <v>0.35999999999999976</v>
      </c>
      <c r="CU73">
        <v>-0.75999999999999979</v>
      </c>
      <c r="CV73">
        <v>-1.2846499999999998</v>
      </c>
      <c r="CW73">
        <v>-0.94689999999999996</v>
      </c>
      <c r="CX73" t="s">
        <v>307</v>
      </c>
      <c r="CY73">
        <v>18</v>
      </c>
      <c r="CZ73">
        <v>0.73280000000000245</v>
      </c>
      <c r="DA73">
        <v>29</v>
      </c>
      <c r="DB73">
        <v>27.5</v>
      </c>
      <c r="DC73">
        <v>26</v>
      </c>
      <c r="DD73">
        <v>-3.4079999999999999</v>
      </c>
      <c r="DE73">
        <v>29</v>
      </c>
      <c r="DF73">
        <v>-13.720000000000002</v>
      </c>
      <c r="DG73">
        <v>0.36</v>
      </c>
      <c r="DH73">
        <v>7</v>
      </c>
      <c r="DI73">
        <v>10</v>
      </c>
      <c r="DJ73">
        <v>8</v>
      </c>
      <c r="DK73">
        <v>0.94800000000000006</v>
      </c>
      <c r="DL73">
        <v>12</v>
      </c>
      <c r="DM73">
        <v>-3.2</v>
      </c>
      <c r="DN73">
        <v>0.96</v>
      </c>
      <c r="DO73">
        <v>15</v>
      </c>
      <c r="DP73">
        <v>19</v>
      </c>
      <c r="DQ73">
        <v>18</v>
      </c>
      <c r="DR73">
        <v>0.10800000000000054</v>
      </c>
      <c r="DS73">
        <v>20</v>
      </c>
      <c r="DT73">
        <v>2.1199999999999988</v>
      </c>
      <c r="DU73">
        <v>0.44000000000000006</v>
      </c>
      <c r="DV73">
        <v>29</v>
      </c>
      <c r="DW73">
        <v>29.5</v>
      </c>
      <c r="DX73">
        <v>27</v>
      </c>
      <c r="DY73">
        <v>-5.572000000000001</v>
      </c>
      <c r="DZ73">
        <v>32</v>
      </c>
      <c r="EA73">
        <v>-20.6</v>
      </c>
      <c r="EB73">
        <v>-3.4800000000000004</v>
      </c>
      <c r="EC73">
        <v>27</v>
      </c>
      <c r="ED73">
        <v>25</v>
      </c>
      <c r="EE73">
        <v>25</v>
      </c>
      <c r="EF73">
        <v>0.70400000000000029</v>
      </c>
      <c r="EG73">
        <v>25</v>
      </c>
      <c r="EH73">
        <v>-1.64</v>
      </c>
      <c r="EI73">
        <v>-0.28000000000000008</v>
      </c>
      <c r="EJ73">
        <v>24</v>
      </c>
      <c r="EK73">
        <v>23.5</v>
      </c>
      <c r="EL73">
        <v>20</v>
      </c>
      <c r="EM73">
        <v>5.3480000000000008</v>
      </c>
      <c r="EN73">
        <v>27</v>
      </c>
      <c r="EO73">
        <v>22.279999999999998</v>
      </c>
      <c r="EP73">
        <v>1.56</v>
      </c>
      <c r="EQ73">
        <v>3</v>
      </c>
      <c r="ER73">
        <v>3.5</v>
      </c>
      <c r="ES73">
        <v>3</v>
      </c>
      <c r="ET73">
        <v>-3.8520000000000012</v>
      </c>
      <c r="EU73">
        <v>4</v>
      </c>
      <c r="EV73">
        <v>-7.3600000000000021</v>
      </c>
      <c r="EW73">
        <v>-0.3999999999999998</v>
      </c>
      <c r="EX73">
        <v>8</v>
      </c>
      <c r="EY73">
        <v>8.5</v>
      </c>
      <c r="EZ73">
        <v>9</v>
      </c>
      <c r="FA73">
        <v>-2.6399999999999997</v>
      </c>
      <c r="FB73">
        <v>8</v>
      </c>
      <c r="FC73">
        <v>-1.1600000000000001</v>
      </c>
      <c r="FD73">
        <v>-2.6</v>
      </c>
      <c r="FE73">
        <v>17</v>
      </c>
      <c r="FF73">
        <v>16</v>
      </c>
      <c r="FG73">
        <v>6</v>
      </c>
      <c r="FH73">
        <v>4.0878567474878627E-2</v>
      </c>
      <c r="FI73">
        <v>18</v>
      </c>
      <c r="FJ73">
        <v>2.1314766936584725E-2</v>
      </c>
      <c r="FK73">
        <v>21</v>
      </c>
      <c r="FL73">
        <v>-5.4600000000000009</v>
      </c>
      <c r="FM73">
        <v>19</v>
      </c>
      <c r="FN73">
        <v>1.6800000000000002</v>
      </c>
      <c r="FO73">
        <v>-1.3600000000000008</v>
      </c>
      <c r="FP73">
        <v>-3.28</v>
      </c>
      <c r="FQ73">
        <v>-1.7763568394002506E-16</v>
      </c>
      <c r="FR73">
        <v>-3.5199999999999987</v>
      </c>
      <c r="FS73">
        <v>-2.9200000000000004</v>
      </c>
      <c r="FT73">
        <v>-1.4</v>
      </c>
      <c r="FU73">
        <v>-30.839999999999996</v>
      </c>
      <c r="FV73">
        <v>-19.239999999999998</v>
      </c>
      <c r="FW73">
        <v>-17.88</v>
      </c>
      <c r="FX73">
        <v>1.04</v>
      </c>
      <c r="FY73">
        <v>5.24</v>
      </c>
      <c r="FZ73">
        <v>9</v>
      </c>
      <c r="GA73">
        <v>3.1928000000000023</v>
      </c>
      <c r="GB73">
        <v>-0.3458399999999997</v>
      </c>
      <c r="GC73">
        <v>-1.3599999999999994</v>
      </c>
      <c r="GD73">
        <v>-3.1928000000000023</v>
      </c>
      <c r="GE73">
        <v>-1.6223999999999998</v>
      </c>
      <c r="GF73">
        <v>-4.76</v>
      </c>
      <c r="GG73">
        <v>-20.120000000000005</v>
      </c>
      <c r="GH73">
        <v>-2.46</v>
      </c>
      <c r="GI73">
        <v>-16.920000000000002</v>
      </c>
      <c r="GJ73">
        <v>-3.7200000000000006</v>
      </c>
      <c r="GK73">
        <v>1.3199999999999998</v>
      </c>
    </row>
    <row r="74" spans="1:193" x14ac:dyDescent="0.2">
      <c r="A74" s="39">
        <v>43751</v>
      </c>
      <c r="B74" s="22" t="s">
        <v>252</v>
      </c>
      <c r="C74" s="41" t="s">
        <v>288</v>
      </c>
      <c r="D74" s="22" t="s">
        <v>311</v>
      </c>
      <c r="E74">
        <v>25</v>
      </c>
      <c r="F74" s="14">
        <v>8.5</v>
      </c>
      <c r="G74">
        <v>4.4000000000000004</v>
      </c>
      <c r="H74">
        <v>9.8000000000000007</v>
      </c>
      <c r="I74">
        <v>-3.5</v>
      </c>
      <c r="J74">
        <v>54.5</v>
      </c>
      <c r="K74" t="s">
        <v>109</v>
      </c>
      <c r="L74" s="1" t="s">
        <v>288</v>
      </c>
      <c r="M74">
        <v>1</v>
      </c>
      <c r="N74">
        <v>7.8775999999999984</v>
      </c>
      <c r="O74">
        <v>32</v>
      </c>
      <c r="P74">
        <v>30</v>
      </c>
      <c r="Q74">
        <v>28</v>
      </c>
      <c r="R74">
        <v>-2.2800000000000002</v>
      </c>
      <c r="S74">
        <v>32</v>
      </c>
      <c r="T74">
        <v>-28.479999999999997</v>
      </c>
      <c r="U74">
        <v>0.64</v>
      </c>
      <c r="V74">
        <v>17</v>
      </c>
      <c r="W74">
        <v>16.5</v>
      </c>
      <c r="X74">
        <v>19</v>
      </c>
      <c r="Y74">
        <v>2.6295999999999995</v>
      </c>
      <c r="Z74">
        <v>14</v>
      </c>
      <c r="AA74">
        <v>5.0799999999999983</v>
      </c>
      <c r="AB74">
        <v>0.48</v>
      </c>
      <c r="AC74">
        <v>8</v>
      </c>
      <c r="AD74">
        <v>7</v>
      </c>
      <c r="AE74">
        <v>6</v>
      </c>
      <c r="AF74">
        <v>4.7320000000000011</v>
      </c>
      <c r="AG74">
        <v>8</v>
      </c>
      <c r="AH74">
        <v>24.96</v>
      </c>
      <c r="AI74">
        <v>1.6</v>
      </c>
      <c r="AJ74">
        <v>26</v>
      </c>
      <c r="AK74">
        <v>26.5</v>
      </c>
      <c r="AL74">
        <v>27</v>
      </c>
      <c r="AM74">
        <v>2.0080000000000013</v>
      </c>
      <c r="AN74">
        <v>26</v>
      </c>
      <c r="AO74">
        <v>1.1200000000000003</v>
      </c>
      <c r="AP74">
        <v>-0.79999999999999993</v>
      </c>
      <c r="AQ74">
        <v>9</v>
      </c>
      <c r="AR74">
        <v>9.5</v>
      </c>
      <c r="AS74">
        <v>11</v>
      </c>
      <c r="AT74">
        <v>3.5520000000000005</v>
      </c>
      <c r="AU74">
        <v>8</v>
      </c>
      <c r="AV74">
        <v>20.6</v>
      </c>
      <c r="AW74">
        <v>0.76</v>
      </c>
      <c r="AX74">
        <v>2</v>
      </c>
      <c r="AY74">
        <v>3.5</v>
      </c>
      <c r="AZ74">
        <v>4</v>
      </c>
      <c r="BA74">
        <v>7.7799999999999994</v>
      </c>
      <c r="BB74">
        <v>3</v>
      </c>
      <c r="BC74">
        <v>45.4</v>
      </c>
      <c r="BD74">
        <v>2.52</v>
      </c>
      <c r="BE74">
        <v>3</v>
      </c>
      <c r="BF74">
        <v>3.5</v>
      </c>
      <c r="BG74">
        <v>4</v>
      </c>
      <c r="BH74">
        <v>5.7119999999999997</v>
      </c>
      <c r="BI74">
        <v>39.720000000000006</v>
      </c>
      <c r="BJ74">
        <v>2.7199999999999998</v>
      </c>
      <c r="BK74">
        <v>15</v>
      </c>
      <c r="BL74">
        <v>14.5</v>
      </c>
      <c r="BM74">
        <v>12</v>
      </c>
      <c r="BN74">
        <v>1.8800000000000001</v>
      </c>
      <c r="BO74">
        <v>17</v>
      </c>
      <c r="BP74">
        <v>0.24000000000000005</v>
      </c>
      <c r="BQ74">
        <v>1.2399999999999998</v>
      </c>
      <c r="BR74">
        <v>29</v>
      </c>
      <c r="BS74">
        <v>25</v>
      </c>
      <c r="BT74">
        <v>26</v>
      </c>
      <c r="BU74">
        <v>-2.272091929463993E-2</v>
      </c>
      <c r="BV74">
        <v>23</v>
      </c>
      <c r="BW74">
        <v>-2.4195046901238412E-2</v>
      </c>
      <c r="BX74">
        <v>25</v>
      </c>
      <c r="BY74">
        <v>4.7959999999999976</v>
      </c>
      <c r="BZ74">
        <v>26</v>
      </c>
      <c r="CA74">
        <v>-2.7199999999999998</v>
      </c>
      <c r="CB74">
        <v>1.8800000000000012</v>
      </c>
      <c r="CC74">
        <v>4.6399999999999988</v>
      </c>
      <c r="CD74">
        <v>0.55999999999999983</v>
      </c>
      <c r="CE74">
        <v>65.2</v>
      </c>
      <c r="CF74">
        <v>89.44</v>
      </c>
      <c r="CG74">
        <v>-24.4</v>
      </c>
      <c r="CH74">
        <v>-4.04</v>
      </c>
      <c r="CI74">
        <v>4.2000000000000011</v>
      </c>
      <c r="CJ74">
        <v>2</v>
      </c>
      <c r="CK74">
        <v>7.5279999999999987</v>
      </c>
      <c r="CL74">
        <v>4.6015200000000007</v>
      </c>
      <c r="CM74">
        <v>113.84</v>
      </c>
      <c r="CN74">
        <v>-7.5279999999999987</v>
      </c>
      <c r="CO74">
        <v>3.2639</v>
      </c>
      <c r="CP74">
        <v>10.292000000000002</v>
      </c>
      <c r="CQ74">
        <v>46.680000000000007</v>
      </c>
      <c r="CR74">
        <v>0.34959999999999924</v>
      </c>
      <c r="CS74">
        <v>-23.4</v>
      </c>
      <c r="CT74">
        <v>4.2799999999999994</v>
      </c>
      <c r="CU74">
        <v>1.1200000000000001</v>
      </c>
      <c r="CV74">
        <v>0.19089999999999996</v>
      </c>
      <c r="CW74">
        <v>-2.2700000000000043E-2</v>
      </c>
      <c r="CX74" t="s">
        <v>311</v>
      </c>
      <c r="CY74">
        <v>6</v>
      </c>
      <c r="CZ74">
        <v>2.3008000000000002</v>
      </c>
      <c r="DA74">
        <v>27</v>
      </c>
      <c r="DB74">
        <v>24</v>
      </c>
      <c r="DC74">
        <v>18</v>
      </c>
      <c r="DD74">
        <v>-1.5288000000000004</v>
      </c>
      <c r="DE74">
        <v>30</v>
      </c>
      <c r="DF74">
        <v>-13.600000000000003</v>
      </c>
      <c r="DG74">
        <v>0.48000000000000009</v>
      </c>
      <c r="DH74">
        <v>1</v>
      </c>
      <c r="DI74">
        <v>1</v>
      </c>
      <c r="DJ74">
        <v>1</v>
      </c>
      <c r="DK74">
        <v>0.9</v>
      </c>
      <c r="DL74">
        <v>1</v>
      </c>
      <c r="DM74">
        <v>-2.9200000000000008</v>
      </c>
      <c r="DN74">
        <v>0.88000000000000012</v>
      </c>
      <c r="DO74">
        <v>15</v>
      </c>
      <c r="DP74">
        <v>11.5</v>
      </c>
      <c r="DQ74">
        <v>11</v>
      </c>
      <c r="DR74">
        <v>-0.21199999999999869</v>
      </c>
      <c r="DS74">
        <v>12</v>
      </c>
      <c r="DT74">
        <v>0.84000000000000052</v>
      </c>
      <c r="DU74">
        <v>0.23999999999999969</v>
      </c>
      <c r="DV74">
        <v>23</v>
      </c>
      <c r="DW74">
        <v>23</v>
      </c>
      <c r="DX74">
        <v>25</v>
      </c>
      <c r="DY74">
        <v>1.1920000000000004</v>
      </c>
      <c r="DZ74">
        <v>21</v>
      </c>
      <c r="EA74">
        <v>2.8800000000000012</v>
      </c>
      <c r="EB74">
        <v>1.2799999999999998</v>
      </c>
      <c r="EC74">
        <v>10</v>
      </c>
      <c r="ED74">
        <v>8.5</v>
      </c>
      <c r="EE74">
        <v>8</v>
      </c>
      <c r="EF74">
        <v>3.6560000000000001</v>
      </c>
      <c r="EG74">
        <v>9</v>
      </c>
      <c r="EH74">
        <v>13.279999999999998</v>
      </c>
      <c r="EI74">
        <v>0.59999999999999987</v>
      </c>
      <c r="EJ74">
        <v>15</v>
      </c>
      <c r="EK74">
        <v>15.5</v>
      </c>
      <c r="EL74">
        <v>18</v>
      </c>
      <c r="EM74">
        <v>1.5159999999999987</v>
      </c>
      <c r="EN74">
        <v>13</v>
      </c>
      <c r="EO74">
        <v>7.1599999999999993</v>
      </c>
      <c r="EP74">
        <v>0.11999999999999993</v>
      </c>
      <c r="EQ74">
        <v>14</v>
      </c>
      <c r="ER74">
        <v>14</v>
      </c>
      <c r="ES74">
        <v>14</v>
      </c>
      <c r="ET74">
        <v>-4.1920000000000019</v>
      </c>
      <c r="EU74">
        <v>14</v>
      </c>
      <c r="EV74">
        <v>-16.16</v>
      </c>
      <c r="EW74">
        <v>-1.2000000000000002</v>
      </c>
      <c r="EX74">
        <v>22</v>
      </c>
      <c r="EY74">
        <v>21.5</v>
      </c>
      <c r="EZ74">
        <v>19</v>
      </c>
      <c r="FA74">
        <v>1.1199999999999999</v>
      </c>
      <c r="FB74">
        <v>24</v>
      </c>
      <c r="FC74">
        <v>0.20000000000000004</v>
      </c>
      <c r="FD74">
        <v>-0.4799999999999997</v>
      </c>
      <c r="FE74">
        <v>27</v>
      </c>
      <c r="FF74">
        <v>22.75</v>
      </c>
      <c r="FG74">
        <v>31</v>
      </c>
      <c r="FH74">
        <v>3.7047734958900881E-2</v>
      </c>
      <c r="FI74">
        <v>30</v>
      </c>
      <c r="FJ74">
        <v>1.3651769396303429E-2</v>
      </c>
      <c r="FK74">
        <v>2</v>
      </c>
      <c r="FL74">
        <v>-5.3160000000000043</v>
      </c>
      <c r="FM74">
        <v>28</v>
      </c>
      <c r="FN74">
        <v>0.91999999999999993</v>
      </c>
      <c r="FO74">
        <v>2.8800000000000012</v>
      </c>
      <c r="FP74">
        <v>-1.64</v>
      </c>
      <c r="FQ74">
        <v>-0.16</v>
      </c>
      <c r="FR74">
        <v>1.8799999999999983</v>
      </c>
      <c r="FS74">
        <v>0.80000000000000071</v>
      </c>
      <c r="FT74">
        <v>-1.2</v>
      </c>
      <c r="FU74">
        <v>-1.0000000000000113</v>
      </c>
      <c r="FV74">
        <v>12.520000000000005</v>
      </c>
      <c r="FW74">
        <v>-16.88</v>
      </c>
      <c r="FX74">
        <v>-1.52</v>
      </c>
      <c r="FY74">
        <v>4.88</v>
      </c>
      <c r="FZ74">
        <v>12</v>
      </c>
      <c r="GA74">
        <v>2.9296000000000006</v>
      </c>
      <c r="GB74">
        <v>0.86336000000000013</v>
      </c>
      <c r="GC74">
        <v>29.400000000000006</v>
      </c>
      <c r="GD74">
        <v>-2.9296000000000006</v>
      </c>
      <c r="GE74">
        <v>0.40449999999999997</v>
      </c>
      <c r="GF74">
        <v>4.6360000000000019</v>
      </c>
      <c r="GG74">
        <v>17</v>
      </c>
      <c r="GH74">
        <v>-0.62880000000000036</v>
      </c>
      <c r="GI74">
        <v>-16.520000000000003</v>
      </c>
      <c r="GJ74">
        <v>0.91999999999999904</v>
      </c>
      <c r="GK74">
        <v>1.3600000000000003</v>
      </c>
    </row>
    <row r="75" spans="1:193" x14ac:dyDescent="0.2">
      <c r="A75" s="39">
        <v>43751</v>
      </c>
      <c r="B75" s="22" t="s">
        <v>252</v>
      </c>
      <c r="C75" s="41" t="s">
        <v>287</v>
      </c>
      <c r="D75" s="22" t="s">
        <v>309</v>
      </c>
      <c r="E75">
        <v>5.3</v>
      </c>
      <c r="F75">
        <v>12.2</v>
      </c>
      <c r="G75">
        <v>6.3</v>
      </c>
      <c r="H75">
        <f>33+2.5</f>
        <v>35.5</v>
      </c>
      <c r="I75">
        <v>-6</v>
      </c>
      <c r="J75">
        <v>42.5</v>
      </c>
      <c r="L75" s="1" t="s">
        <v>287</v>
      </c>
      <c r="M75">
        <v>22</v>
      </c>
      <c r="N75">
        <v>-1.4359999999999999</v>
      </c>
      <c r="O75">
        <v>17</v>
      </c>
      <c r="P75">
        <v>17</v>
      </c>
      <c r="Q75">
        <v>17</v>
      </c>
      <c r="R75">
        <v>6.5</v>
      </c>
      <c r="S75">
        <v>17</v>
      </c>
      <c r="T75">
        <v>-27.76</v>
      </c>
      <c r="U75">
        <v>3.4799999999999995</v>
      </c>
      <c r="V75">
        <v>3</v>
      </c>
      <c r="W75">
        <v>4.5</v>
      </c>
      <c r="X75">
        <v>1</v>
      </c>
      <c r="Y75">
        <v>-0.15999999999999986</v>
      </c>
      <c r="Z75">
        <v>8</v>
      </c>
      <c r="AA75">
        <v>8.84</v>
      </c>
      <c r="AB75">
        <v>0.8</v>
      </c>
      <c r="AC75">
        <v>9</v>
      </c>
      <c r="AD75">
        <v>10</v>
      </c>
      <c r="AE75">
        <v>9</v>
      </c>
      <c r="AF75">
        <v>3.776000000000002</v>
      </c>
      <c r="AG75">
        <v>11</v>
      </c>
      <c r="AH75">
        <v>17.880000000000003</v>
      </c>
      <c r="AI75">
        <v>2.68</v>
      </c>
      <c r="AJ75">
        <v>5</v>
      </c>
      <c r="AK75">
        <v>5.5</v>
      </c>
      <c r="AL75">
        <v>10</v>
      </c>
      <c r="AM75">
        <v>0.27599999999999997</v>
      </c>
      <c r="AN75">
        <v>1</v>
      </c>
      <c r="AO75">
        <v>15.080000000000002</v>
      </c>
      <c r="AP75">
        <v>0.8</v>
      </c>
      <c r="AQ75">
        <v>28</v>
      </c>
      <c r="AR75">
        <v>28.5</v>
      </c>
      <c r="AS75">
        <v>30</v>
      </c>
      <c r="AT75">
        <v>-2.4800000000000009</v>
      </c>
      <c r="AU75">
        <v>27</v>
      </c>
      <c r="AV75">
        <v>-6.12</v>
      </c>
      <c r="AW75">
        <v>-1.1600000000000001</v>
      </c>
      <c r="AX75">
        <v>10</v>
      </c>
      <c r="AY75">
        <v>11</v>
      </c>
      <c r="AZ75">
        <v>11</v>
      </c>
      <c r="BA75">
        <v>-2.7039999999999988</v>
      </c>
      <c r="BB75">
        <v>11</v>
      </c>
      <c r="BC75">
        <v>-17.040000000000003</v>
      </c>
      <c r="BD75">
        <v>-0.3999999999999998</v>
      </c>
      <c r="BE75">
        <v>26</v>
      </c>
      <c r="BF75">
        <v>26.5</v>
      </c>
      <c r="BG75">
        <v>27</v>
      </c>
      <c r="BH75">
        <v>-6.3639999999999999</v>
      </c>
      <c r="BI75">
        <v>-24.68</v>
      </c>
      <c r="BJ75">
        <v>-3.4799999999999995</v>
      </c>
      <c r="BK75">
        <v>4</v>
      </c>
      <c r="BL75">
        <v>7</v>
      </c>
      <c r="BM75">
        <v>11</v>
      </c>
      <c r="BN75">
        <v>-0.43999999999999984</v>
      </c>
      <c r="BO75">
        <v>3</v>
      </c>
      <c r="BP75">
        <v>0.12000000000000011</v>
      </c>
      <c r="BQ75">
        <v>-0.56000000000000016</v>
      </c>
      <c r="BR75">
        <v>10</v>
      </c>
      <c r="BS75">
        <v>12.75</v>
      </c>
      <c r="BT75">
        <v>24</v>
      </c>
      <c r="BU75">
        <v>4.762281287089546E-2</v>
      </c>
      <c r="BV75">
        <v>12</v>
      </c>
      <c r="BW75">
        <v>4.3710141647736196E-3</v>
      </c>
      <c r="BX75">
        <v>7</v>
      </c>
      <c r="BY75">
        <v>6.6559999999999988</v>
      </c>
      <c r="BZ75">
        <v>8</v>
      </c>
      <c r="CA75">
        <v>2.08</v>
      </c>
      <c r="CB75">
        <v>4.0000000000001992E-2</v>
      </c>
      <c r="CC75">
        <v>-4.5600000000000005</v>
      </c>
      <c r="CD75">
        <v>0</v>
      </c>
      <c r="CE75">
        <v>-4.5999999999999996</v>
      </c>
      <c r="CF75">
        <v>31.32</v>
      </c>
      <c r="CG75">
        <v>-22.439999999999998</v>
      </c>
      <c r="CH75">
        <v>-6.12</v>
      </c>
      <c r="CI75">
        <v>-7.3599999999999994</v>
      </c>
      <c r="CJ75">
        <v>28</v>
      </c>
      <c r="CK75">
        <v>-7.7759999999999998</v>
      </c>
      <c r="CL75">
        <v>-4.4155999999999995</v>
      </c>
      <c r="CM75">
        <v>53.76</v>
      </c>
      <c r="CN75">
        <v>7.7759999999999998</v>
      </c>
      <c r="CO75">
        <v>-4.0999999999999856E-2</v>
      </c>
      <c r="CP75">
        <v>1.5720000000000014</v>
      </c>
      <c r="CQ75">
        <v>26.840000000000007</v>
      </c>
      <c r="CR75">
        <v>6.34</v>
      </c>
      <c r="CS75">
        <v>-18.920000000000002</v>
      </c>
      <c r="CT75">
        <v>-1.1599999999999993</v>
      </c>
      <c r="CU75">
        <v>4.2799999999999994</v>
      </c>
      <c r="CV75">
        <v>-1.0772999999999999</v>
      </c>
      <c r="CW75">
        <v>-0.62259999999999982</v>
      </c>
      <c r="CX75" t="s">
        <v>309</v>
      </c>
      <c r="CY75">
        <v>31</v>
      </c>
      <c r="CZ75">
        <v>-4.1128</v>
      </c>
      <c r="DA75">
        <v>22</v>
      </c>
      <c r="DB75">
        <v>21.5</v>
      </c>
      <c r="DC75">
        <v>32</v>
      </c>
      <c r="DD75">
        <v>-4.7159999999999993</v>
      </c>
      <c r="DE75">
        <v>11</v>
      </c>
      <c r="DF75">
        <v>-16.440000000000005</v>
      </c>
      <c r="DG75">
        <v>0.36</v>
      </c>
      <c r="DH75">
        <v>16</v>
      </c>
      <c r="DI75">
        <v>16.5</v>
      </c>
      <c r="DJ75">
        <v>12</v>
      </c>
      <c r="DK75">
        <v>-0.83200000000000041</v>
      </c>
      <c r="DL75">
        <v>21</v>
      </c>
      <c r="DM75">
        <v>6.2399999999999993</v>
      </c>
      <c r="DN75">
        <v>3.9999999999999855E-2</v>
      </c>
      <c r="DO75">
        <v>26</v>
      </c>
      <c r="DP75">
        <v>29.5</v>
      </c>
      <c r="DQ75">
        <v>28</v>
      </c>
      <c r="DR75">
        <v>-3.7152000000000003</v>
      </c>
      <c r="DS75">
        <v>31</v>
      </c>
      <c r="DT75">
        <v>-15.12</v>
      </c>
      <c r="DU75">
        <v>-0.24000000000000005</v>
      </c>
      <c r="DV75">
        <v>29</v>
      </c>
      <c r="DW75">
        <v>29.5</v>
      </c>
      <c r="DX75">
        <v>31</v>
      </c>
      <c r="DY75">
        <v>0.84400000000000031</v>
      </c>
      <c r="DZ75">
        <v>28</v>
      </c>
      <c r="EA75">
        <v>-2.7199999999999989</v>
      </c>
      <c r="EB75">
        <v>8.0000000000000071E-2</v>
      </c>
      <c r="EC75">
        <v>5</v>
      </c>
      <c r="ED75">
        <v>25</v>
      </c>
      <c r="EE75">
        <v>27</v>
      </c>
      <c r="EF75">
        <v>2.7359999999999998</v>
      </c>
      <c r="EG75">
        <v>23</v>
      </c>
      <c r="EH75">
        <v>17.96</v>
      </c>
      <c r="EI75">
        <v>-0.6399999999999999</v>
      </c>
      <c r="EJ75">
        <v>27</v>
      </c>
      <c r="EK75">
        <v>27</v>
      </c>
      <c r="EL75">
        <v>30</v>
      </c>
      <c r="EM75">
        <v>6.3479999999999999</v>
      </c>
      <c r="EN75">
        <v>24</v>
      </c>
      <c r="EO75">
        <v>27.48</v>
      </c>
      <c r="EP75">
        <v>3.4799999999999995</v>
      </c>
      <c r="EQ75">
        <v>24</v>
      </c>
      <c r="ER75">
        <v>24</v>
      </c>
      <c r="ES75">
        <v>24</v>
      </c>
      <c r="ET75">
        <v>-3.5800000000000005</v>
      </c>
      <c r="EU75">
        <v>24</v>
      </c>
      <c r="EV75">
        <v>-17.16</v>
      </c>
      <c r="EW75">
        <v>-0.51999999999999991</v>
      </c>
      <c r="EX75">
        <v>30</v>
      </c>
      <c r="EY75">
        <v>27.5</v>
      </c>
      <c r="EZ75">
        <v>31</v>
      </c>
      <c r="FA75">
        <v>1.1199999999999999</v>
      </c>
      <c r="FB75">
        <v>24</v>
      </c>
      <c r="FC75">
        <v>7.9999999999999988E-2</v>
      </c>
      <c r="FD75">
        <v>-4.04</v>
      </c>
      <c r="FE75">
        <v>1</v>
      </c>
      <c r="FF75">
        <v>5.25</v>
      </c>
      <c r="FG75">
        <v>2</v>
      </c>
      <c r="FH75">
        <v>2.01642254272612E-2</v>
      </c>
      <c r="FI75">
        <v>1</v>
      </c>
      <c r="FJ75">
        <v>2.8321291752997892E-2</v>
      </c>
      <c r="FK75">
        <v>16</v>
      </c>
      <c r="FL75">
        <v>-6.7520000000000007</v>
      </c>
      <c r="FM75">
        <v>2</v>
      </c>
      <c r="FN75">
        <v>3.0799999999999992</v>
      </c>
      <c r="FO75">
        <v>-0.71999999999999886</v>
      </c>
      <c r="FP75">
        <v>0.92000000000000104</v>
      </c>
      <c r="FQ75">
        <v>1.1199999999999999</v>
      </c>
      <c r="FR75">
        <v>2.0800000000000027</v>
      </c>
      <c r="FS75">
        <v>-2.5600000000000009</v>
      </c>
      <c r="FT75">
        <v>-1.6799999999999997</v>
      </c>
      <c r="FU75">
        <v>-21.320000000000004</v>
      </c>
      <c r="FV75">
        <v>-17.160000000000004</v>
      </c>
      <c r="FW75">
        <v>-3.5599999999999978</v>
      </c>
      <c r="FX75">
        <v>-2.8</v>
      </c>
      <c r="FY75">
        <v>2.2000000000000002</v>
      </c>
      <c r="FZ75">
        <v>16</v>
      </c>
      <c r="GA75">
        <v>1.4351999999999996</v>
      </c>
      <c r="GB75">
        <v>1.2083999999999997</v>
      </c>
      <c r="GC75">
        <v>-13.600000000000005</v>
      </c>
      <c r="GD75">
        <v>-1.4352</v>
      </c>
      <c r="GE75">
        <v>-1.532</v>
      </c>
      <c r="GF75">
        <v>-0.13520000000000021</v>
      </c>
      <c r="GG75">
        <v>0.12000000000000455</v>
      </c>
      <c r="GH75">
        <v>-5.548</v>
      </c>
      <c r="GI75">
        <v>-10.200000000000006</v>
      </c>
      <c r="GJ75">
        <v>-1.3199999999999998</v>
      </c>
      <c r="GK75">
        <v>0.39999999999999986</v>
      </c>
    </row>
    <row r="76" spans="1:193" x14ac:dyDescent="0.2">
      <c r="A76" s="39">
        <v>43751</v>
      </c>
      <c r="B76" s="22" t="s">
        <v>252</v>
      </c>
      <c r="C76" s="41" t="s">
        <v>304</v>
      </c>
      <c r="D76" s="22" t="s">
        <v>256</v>
      </c>
      <c r="E76" s="14">
        <v>5.7</v>
      </c>
      <c r="F76">
        <v>7.6</v>
      </c>
      <c r="G76">
        <v>6.2</v>
      </c>
      <c r="H76">
        <f>5.5+2.9</f>
        <v>8.4</v>
      </c>
      <c r="I76">
        <v>-3</v>
      </c>
      <c r="J76">
        <v>49.5</v>
      </c>
      <c r="K76" t="s">
        <v>109</v>
      </c>
      <c r="L76" s="1" t="s">
        <v>304</v>
      </c>
      <c r="M76">
        <v>21</v>
      </c>
      <c r="N76">
        <v>-1.3296000000000003</v>
      </c>
      <c r="O76">
        <v>12</v>
      </c>
      <c r="P76">
        <v>14.5</v>
      </c>
      <c r="Q76">
        <v>15</v>
      </c>
      <c r="R76">
        <v>0.34719999999999979</v>
      </c>
      <c r="S76">
        <v>14</v>
      </c>
      <c r="T76">
        <v>-1.8399999999999992</v>
      </c>
      <c r="U76">
        <v>-0.11999999999999993</v>
      </c>
      <c r="V76">
        <v>21</v>
      </c>
      <c r="W76">
        <v>19</v>
      </c>
      <c r="X76">
        <v>21</v>
      </c>
      <c r="Y76">
        <v>-0.80399999999999994</v>
      </c>
      <c r="Z76">
        <v>17</v>
      </c>
      <c r="AA76">
        <v>-1.4799999999999998</v>
      </c>
      <c r="AB76">
        <v>-0.91999999999999993</v>
      </c>
      <c r="AC76">
        <v>12</v>
      </c>
      <c r="AD76">
        <v>13</v>
      </c>
      <c r="AE76">
        <v>13</v>
      </c>
      <c r="AF76">
        <v>8.4079999999999995</v>
      </c>
      <c r="AG76">
        <v>13</v>
      </c>
      <c r="AH76">
        <v>30.2</v>
      </c>
      <c r="AI76">
        <v>3.5999999999999992</v>
      </c>
      <c r="AJ76">
        <v>4</v>
      </c>
      <c r="AK76">
        <v>4.5</v>
      </c>
      <c r="AL76">
        <v>7</v>
      </c>
      <c r="AM76">
        <v>0.65600000000000003</v>
      </c>
      <c r="AN76">
        <v>2</v>
      </c>
      <c r="AO76">
        <v>3.6399999999999992</v>
      </c>
      <c r="AP76">
        <v>2.72</v>
      </c>
      <c r="AQ76">
        <v>8</v>
      </c>
      <c r="AR76">
        <v>8.5</v>
      </c>
      <c r="AS76">
        <v>8</v>
      </c>
      <c r="AT76">
        <v>7.2399999999999993</v>
      </c>
      <c r="AU76">
        <v>9</v>
      </c>
      <c r="AV76">
        <v>38.4</v>
      </c>
      <c r="AW76">
        <v>2.8</v>
      </c>
      <c r="AX76">
        <v>5</v>
      </c>
      <c r="AY76">
        <v>5</v>
      </c>
      <c r="AZ76">
        <v>8</v>
      </c>
      <c r="BA76">
        <v>6.7359999999999989</v>
      </c>
      <c r="BB76">
        <v>2</v>
      </c>
      <c r="BC76">
        <v>32.160000000000011</v>
      </c>
      <c r="BD76">
        <v>4.4799999999999995</v>
      </c>
      <c r="BE76">
        <v>12</v>
      </c>
      <c r="BF76">
        <v>12.5</v>
      </c>
      <c r="BG76">
        <v>14</v>
      </c>
      <c r="BH76">
        <v>2.4199999999999995</v>
      </c>
      <c r="BI76">
        <v>14.12</v>
      </c>
      <c r="BJ76">
        <v>2.0800000000000005</v>
      </c>
      <c r="BK76">
        <v>16</v>
      </c>
      <c r="BL76">
        <v>15.5</v>
      </c>
      <c r="BM76">
        <v>18</v>
      </c>
      <c r="BN76">
        <v>4.2799999999999994</v>
      </c>
      <c r="BO76">
        <v>13</v>
      </c>
      <c r="BP76">
        <v>0.91999999999999993</v>
      </c>
      <c r="BQ76">
        <v>-1.04</v>
      </c>
      <c r="BR76">
        <v>23</v>
      </c>
      <c r="BS76">
        <v>20.5</v>
      </c>
      <c r="BT76">
        <v>32</v>
      </c>
      <c r="BU76">
        <v>5.6831637156475913E-2</v>
      </c>
      <c r="BV76">
        <v>29</v>
      </c>
      <c r="BW76">
        <v>-3.317534235534414E-2</v>
      </c>
      <c r="BX76">
        <v>8</v>
      </c>
      <c r="BY76">
        <v>-5.1519999999999992</v>
      </c>
      <c r="BZ76">
        <v>13</v>
      </c>
      <c r="CA76">
        <v>-1.1999999999999997</v>
      </c>
      <c r="CB76">
        <v>4.8800000000000008</v>
      </c>
      <c r="CC76">
        <v>5.2</v>
      </c>
      <c r="CD76">
        <v>-0.43999999999999984</v>
      </c>
      <c r="CE76">
        <v>48.199999999999989</v>
      </c>
      <c r="CF76">
        <v>60.679999999999993</v>
      </c>
      <c r="CG76">
        <v>-6.5199999999999987</v>
      </c>
      <c r="CH76">
        <v>9.0800000000000018</v>
      </c>
      <c r="CI76">
        <v>-15.039999999999997</v>
      </c>
      <c r="CJ76">
        <v>22</v>
      </c>
      <c r="CK76">
        <v>-0.87280000000000013</v>
      </c>
      <c r="CL76">
        <v>3.7072799999999995</v>
      </c>
      <c r="CM76">
        <v>67.199999999999989</v>
      </c>
      <c r="CN76">
        <v>0.87280000000000024</v>
      </c>
      <c r="CO76">
        <v>2.6521999999999997</v>
      </c>
      <c r="CP76">
        <v>16.303999999999998</v>
      </c>
      <c r="CQ76">
        <v>72.239999999999995</v>
      </c>
      <c r="CR76">
        <v>-0.45680000000000015</v>
      </c>
      <c r="CS76">
        <v>-3.319999999999999</v>
      </c>
      <c r="CT76">
        <v>11.2</v>
      </c>
      <c r="CU76">
        <v>-1.0399999999999998</v>
      </c>
      <c r="CV76">
        <v>-2.0659999999999998</v>
      </c>
      <c r="CW76">
        <v>0.17100000000000018</v>
      </c>
      <c r="CX76" t="s">
        <v>256</v>
      </c>
      <c r="CY76">
        <v>22</v>
      </c>
      <c r="CZ76">
        <v>-6.7359999999999989</v>
      </c>
      <c r="DA76">
        <v>14</v>
      </c>
      <c r="DB76">
        <v>16</v>
      </c>
      <c r="DC76">
        <v>22</v>
      </c>
      <c r="DD76">
        <v>-6.492</v>
      </c>
      <c r="DE76">
        <v>10</v>
      </c>
      <c r="DF76">
        <v>-8.92</v>
      </c>
      <c r="DG76">
        <v>-1.0400000000000003</v>
      </c>
      <c r="DH76">
        <v>32</v>
      </c>
      <c r="DI76">
        <v>32</v>
      </c>
      <c r="DJ76">
        <v>32</v>
      </c>
      <c r="DK76">
        <v>-2.5880000000000005</v>
      </c>
      <c r="DL76">
        <v>32</v>
      </c>
      <c r="DM76">
        <v>0.51999999999999991</v>
      </c>
      <c r="DN76">
        <v>-0.12000000000000002</v>
      </c>
      <c r="DO76">
        <v>28</v>
      </c>
      <c r="DP76">
        <v>26.5</v>
      </c>
      <c r="DQ76">
        <v>23</v>
      </c>
      <c r="DR76">
        <v>-5.6280000000000001</v>
      </c>
      <c r="DS76">
        <v>30</v>
      </c>
      <c r="DT76">
        <v>-22.88</v>
      </c>
      <c r="DU76">
        <v>-2.4</v>
      </c>
      <c r="DV76">
        <v>31</v>
      </c>
      <c r="DW76">
        <v>30.5</v>
      </c>
      <c r="DX76">
        <v>32</v>
      </c>
      <c r="DY76">
        <v>-1.5920000000000012</v>
      </c>
      <c r="DZ76">
        <v>29</v>
      </c>
      <c r="EA76">
        <v>-13.959999999999999</v>
      </c>
      <c r="EB76">
        <v>-1.9600000000000002</v>
      </c>
      <c r="EC76">
        <v>7</v>
      </c>
      <c r="ED76">
        <v>14</v>
      </c>
      <c r="EE76">
        <v>12</v>
      </c>
      <c r="EF76">
        <v>-3.0920000000000005</v>
      </c>
      <c r="EG76">
        <v>16</v>
      </c>
      <c r="EH76">
        <v>-21.48</v>
      </c>
      <c r="EI76">
        <v>-1.0399999999999998</v>
      </c>
      <c r="EJ76">
        <v>27</v>
      </c>
      <c r="EK76">
        <v>27</v>
      </c>
      <c r="EL76">
        <v>26</v>
      </c>
      <c r="EM76">
        <v>-8.6079999999999988</v>
      </c>
      <c r="EN76">
        <v>28</v>
      </c>
      <c r="EO76">
        <v>-34.08</v>
      </c>
      <c r="EP76">
        <v>-4.6799999999999988</v>
      </c>
      <c r="EQ76">
        <v>22</v>
      </c>
      <c r="ER76">
        <v>23.5</v>
      </c>
      <c r="ES76">
        <v>19</v>
      </c>
      <c r="ET76">
        <v>-3.8160000000000003</v>
      </c>
      <c r="EU76">
        <v>28</v>
      </c>
      <c r="EV76">
        <v>-18.880000000000003</v>
      </c>
      <c r="EW76">
        <v>-3.9999999999999945E-2</v>
      </c>
      <c r="EX76">
        <v>18</v>
      </c>
      <c r="EY76">
        <v>20</v>
      </c>
      <c r="EZ76">
        <v>22</v>
      </c>
      <c r="FA76">
        <v>-4.4799999999999995</v>
      </c>
      <c r="FB76">
        <v>18</v>
      </c>
      <c r="FC76">
        <v>-1</v>
      </c>
      <c r="FD76">
        <v>-0.76</v>
      </c>
      <c r="FE76">
        <v>13</v>
      </c>
      <c r="FF76">
        <v>14.75</v>
      </c>
      <c r="FG76">
        <v>23</v>
      </c>
      <c r="FH76">
        <v>4.3640317582626875E-2</v>
      </c>
      <c r="FI76">
        <v>8</v>
      </c>
      <c r="FJ76">
        <v>3.5577552373849519E-2</v>
      </c>
      <c r="FK76">
        <v>24</v>
      </c>
      <c r="FL76">
        <v>-18.596000000000004</v>
      </c>
      <c r="FM76">
        <v>4</v>
      </c>
      <c r="FN76">
        <v>5.1599999999999993</v>
      </c>
      <c r="FO76">
        <v>-6.3599999999999994</v>
      </c>
      <c r="FP76">
        <v>-2.0399999999999991</v>
      </c>
      <c r="FQ76">
        <v>0.27999999999999992</v>
      </c>
      <c r="FR76">
        <v>-6.919999999999999</v>
      </c>
      <c r="FS76">
        <v>-10.32</v>
      </c>
      <c r="FT76">
        <v>0.56000000000000005</v>
      </c>
      <c r="FU76">
        <v>-100.32000000000001</v>
      </c>
      <c r="FV76">
        <v>-98.359999999999985</v>
      </c>
      <c r="FW76">
        <v>-9.2799999999999994</v>
      </c>
      <c r="FX76">
        <v>5.8</v>
      </c>
      <c r="FY76">
        <v>1.52</v>
      </c>
      <c r="FZ76">
        <v>13</v>
      </c>
      <c r="GA76">
        <v>2.3440000000000016</v>
      </c>
      <c r="GB76">
        <v>0.36719999999999953</v>
      </c>
      <c r="GC76">
        <v>-89.079999999999984</v>
      </c>
      <c r="GD76">
        <v>-2.3440000000000012</v>
      </c>
      <c r="GE76">
        <v>-4.3029999999999999</v>
      </c>
      <c r="GF76">
        <v>-10.312000000000001</v>
      </c>
      <c r="GG76">
        <v>-58.319999999999993</v>
      </c>
      <c r="GH76">
        <v>-9.08</v>
      </c>
      <c r="GI76">
        <v>-8.4</v>
      </c>
      <c r="GJ76">
        <v>-5.44</v>
      </c>
      <c r="GK76">
        <v>-1.1600000000000004</v>
      </c>
    </row>
    <row r="77" spans="1:193" x14ac:dyDescent="0.2">
      <c r="A77" s="39">
        <v>43751</v>
      </c>
      <c r="B77" s="28" t="s">
        <v>252</v>
      </c>
      <c r="C77" s="41" t="s">
        <v>293</v>
      </c>
      <c r="D77" s="28" t="s">
        <v>306</v>
      </c>
      <c r="E77" s="30">
        <v>5.0999999999999996</v>
      </c>
      <c r="F77" s="3">
        <v>11.8</v>
      </c>
      <c r="G77" s="3">
        <v>6.5</v>
      </c>
      <c r="H77" s="3">
        <f>8.1+1.3</f>
        <v>9.4</v>
      </c>
      <c r="I77" s="3">
        <v>6</v>
      </c>
      <c r="J77" s="3">
        <v>42</v>
      </c>
      <c r="K77" s="3"/>
      <c r="L77" s="1" t="s">
        <v>293</v>
      </c>
      <c r="M77">
        <v>31</v>
      </c>
      <c r="N77">
        <v>-6.6383999999999999</v>
      </c>
      <c r="O77">
        <v>31</v>
      </c>
      <c r="P77">
        <v>29</v>
      </c>
      <c r="Q77">
        <v>27</v>
      </c>
      <c r="R77">
        <v>-7.3440000000000012</v>
      </c>
      <c r="S77">
        <v>31</v>
      </c>
      <c r="T77">
        <v>-33.799999999999997</v>
      </c>
      <c r="U77">
        <v>2.6</v>
      </c>
      <c r="V77">
        <v>26</v>
      </c>
      <c r="W77">
        <v>24.5</v>
      </c>
      <c r="X77">
        <v>23</v>
      </c>
      <c r="Y77">
        <v>-1.6344000000000005</v>
      </c>
      <c r="Z77">
        <v>26</v>
      </c>
      <c r="AA77">
        <v>0.72000000000000031</v>
      </c>
      <c r="AB77">
        <v>0.16000000000000006</v>
      </c>
      <c r="AC77">
        <v>1</v>
      </c>
      <c r="AD77">
        <v>1.5</v>
      </c>
      <c r="AE77">
        <v>2</v>
      </c>
      <c r="AF77">
        <v>-4.556</v>
      </c>
      <c r="AG77">
        <v>1</v>
      </c>
      <c r="AH77">
        <v>-15.439999999999998</v>
      </c>
      <c r="AI77">
        <v>-0.19999999999999982</v>
      </c>
      <c r="AJ77">
        <v>18</v>
      </c>
      <c r="AK77">
        <v>18.5</v>
      </c>
      <c r="AL77">
        <v>18</v>
      </c>
      <c r="AM77">
        <v>-2.5439999999999996</v>
      </c>
      <c r="AN77">
        <v>19</v>
      </c>
      <c r="AO77">
        <v>-9.16</v>
      </c>
      <c r="AP77">
        <v>-0.91999999999999993</v>
      </c>
      <c r="AQ77">
        <v>5</v>
      </c>
      <c r="AR77">
        <v>5.5</v>
      </c>
      <c r="AS77">
        <v>4</v>
      </c>
      <c r="AT77">
        <v>-0.54799999999999982</v>
      </c>
      <c r="AU77">
        <v>7</v>
      </c>
      <c r="AV77">
        <v>-7.4799999999999995</v>
      </c>
      <c r="AW77">
        <v>0.87999999999999989</v>
      </c>
      <c r="AX77">
        <v>1</v>
      </c>
      <c r="AY77">
        <v>1</v>
      </c>
      <c r="AZ77">
        <v>1</v>
      </c>
      <c r="BA77">
        <v>-5.120000000000001</v>
      </c>
      <c r="BB77">
        <v>1</v>
      </c>
      <c r="BC77">
        <v>-28</v>
      </c>
      <c r="BD77">
        <v>-0.91999999999999971</v>
      </c>
      <c r="BE77">
        <v>10</v>
      </c>
      <c r="BF77">
        <v>11</v>
      </c>
      <c r="BG77">
        <v>12</v>
      </c>
      <c r="BH77">
        <v>-5.24</v>
      </c>
      <c r="BI77">
        <v>-18.8</v>
      </c>
      <c r="BJ77">
        <v>-1.2</v>
      </c>
      <c r="BK77">
        <v>13</v>
      </c>
      <c r="BL77">
        <v>12</v>
      </c>
      <c r="BM77">
        <v>3</v>
      </c>
      <c r="BN77">
        <v>-2.2000000000000002</v>
      </c>
      <c r="BO77">
        <v>21</v>
      </c>
      <c r="BP77">
        <v>-8.0000000000000043E-2</v>
      </c>
      <c r="BQ77">
        <v>-6.0399999999999991</v>
      </c>
      <c r="BR77">
        <v>16</v>
      </c>
      <c r="BS77">
        <v>14.5</v>
      </c>
      <c r="BT77">
        <v>12</v>
      </c>
      <c r="BU77">
        <v>4.7760040664507467E-2</v>
      </c>
      <c r="BV77">
        <v>10</v>
      </c>
      <c r="BW77">
        <v>3.7307312923229516E-2</v>
      </c>
      <c r="BX77">
        <v>14</v>
      </c>
      <c r="BY77">
        <v>-16.431999999999995</v>
      </c>
      <c r="BZ77">
        <v>22</v>
      </c>
      <c r="CA77">
        <v>8.24</v>
      </c>
      <c r="CB77">
        <v>-1.5600000000000009</v>
      </c>
      <c r="CC77">
        <v>-10.16</v>
      </c>
      <c r="CD77">
        <v>-1.1199999999999999</v>
      </c>
      <c r="CE77">
        <v>-94.11999999999999</v>
      </c>
      <c r="CF77">
        <v>-45.64</v>
      </c>
      <c r="CG77">
        <v>-36</v>
      </c>
      <c r="CH77">
        <v>-7</v>
      </c>
      <c r="CI77">
        <v>-5.4799999999999995</v>
      </c>
      <c r="CJ77">
        <v>17</v>
      </c>
      <c r="CK77">
        <v>2.3400000000000016</v>
      </c>
      <c r="CL77">
        <v>0.58392000000000133</v>
      </c>
      <c r="CM77">
        <v>-9.64</v>
      </c>
      <c r="CN77">
        <v>-2.3400000000000025</v>
      </c>
      <c r="CO77">
        <v>-3.8381000000000003</v>
      </c>
      <c r="CP77">
        <v>-7.6479999999999997</v>
      </c>
      <c r="CQ77">
        <v>-32.08</v>
      </c>
      <c r="CR77">
        <v>-8.9784000000000024</v>
      </c>
      <c r="CS77">
        <v>-33.08</v>
      </c>
      <c r="CT77">
        <v>-1.4399999999999997</v>
      </c>
      <c r="CU77">
        <v>2.7600000000000002</v>
      </c>
      <c r="CV77">
        <v>1.7779499999999997</v>
      </c>
      <c r="CW77">
        <v>1.7088999999999996</v>
      </c>
      <c r="CX77" t="s">
        <v>306</v>
      </c>
      <c r="CY77">
        <v>22</v>
      </c>
      <c r="CZ77">
        <v>4.0152000000000001</v>
      </c>
      <c r="DA77">
        <v>11</v>
      </c>
      <c r="DB77">
        <v>11</v>
      </c>
      <c r="DC77">
        <v>16</v>
      </c>
      <c r="DD77">
        <v>3.2280000000000002</v>
      </c>
      <c r="DE77">
        <v>6</v>
      </c>
      <c r="DF77">
        <v>10</v>
      </c>
      <c r="DG77">
        <v>0.33999999999999997</v>
      </c>
      <c r="DH77">
        <v>10</v>
      </c>
      <c r="DI77">
        <v>12.5</v>
      </c>
      <c r="DJ77">
        <v>16</v>
      </c>
      <c r="DK77">
        <v>-1.488</v>
      </c>
      <c r="DL77">
        <v>9</v>
      </c>
      <c r="DM77">
        <v>2.5099999999999989</v>
      </c>
      <c r="DN77">
        <v>-0.2100000000000001</v>
      </c>
      <c r="DO77">
        <v>13</v>
      </c>
      <c r="DP77">
        <v>12</v>
      </c>
      <c r="DQ77">
        <v>14</v>
      </c>
      <c r="DR77">
        <v>2.479999999999798E-2</v>
      </c>
      <c r="DS77">
        <v>10</v>
      </c>
      <c r="DT77">
        <v>-6.0800000000000036</v>
      </c>
      <c r="DU77">
        <v>-1.64</v>
      </c>
      <c r="DV77">
        <v>26</v>
      </c>
      <c r="DW77">
        <v>26.5</v>
      </c>
      <c r="DX77">
        <v>23</v>
      </c>
      <c r="DY77">
        <v>10.708000000000002</v>
      </c>
      <c r="DZ77">
        <v>30</v>
      </c>
      <c r="EA77">
        <v>29.4</v>
      </c>
      <c r="EB77">
        <v>1.52</v>
      </c>
      <c r="EC77">
        <v>32</v>
      </c>
      <c r="ED77">
        <v>15</v>
      </c>
      <c r="EE77">
        <v>15</v>
      </c>
      <c r="EF77">
        <v>-2.9440000000000004</v>
      </c>
      <c r="EG77">
        <v>15</v>
      </c>
      <c r="EH77">
        <v>-13.48</v>
      </c>
      <c r="EI77">
        <v>-0.68</v>
      </c>
      <c r="EJ77">
        <v>7</v>
      </c>
      <c r="EK77">
        <v>7.5</v>
      </c>
      <c r="EL77">
        <v>7</v>
      </c>
      <c r="EM77">
        <v>0.45600000000000163</v>
      </c>
      <c r="EN77">
        <v>8</v>
      </c>
      <c r="EO77">
        <v>-13.040000000000006</v>
      </c>
      <c r="EP77">
        <v>-1.3199999999999998</v>
      </c>
      <c r="EQ77">
        <v>10</v>
      </c>
      <c r="ER77">
        <v>10.5</v>
      </c>
      <c r="ES77">
        <v>6</v>
      </c>
      <c r="ET77">
        <v>0.71200000000000008</v>
      </c>
      <c r="EU77">
        <v>15</v>
      </c>
      <c r="EV77">
        <v>2.5199999999999996</v>
      </c>
      <c r="EW77">
        <v>0.15999999999999978</v>
      </c>
      <c r="EX77">
        <v>12</v>
      </c>
      <c r="EY77">
        <v>12.5</v>
      </c>
      <c r="EZ77">
        <v>12</v>
      </c>
      <c r="FA77">
        <v>0.52000000000000013</v>
      </c>
      <c r="FB77">
        <v>13</v>
      </c>
      <c r="FC77">
        <v>-3.9999999999999994E-2</v>
      </c>
      <c r="FD77">
        <v>1.4800000000000004</v>
      </c>
      <c r="FE77">
        <v>3</v>
      </c>
      <c r="FF77">
        <v>8</v>
      </c>
      <c r="FG77">
        <v>13</v>
      </c>
      <c r="FH77">
        <v>-2.8309701599881398E-2</v>
      </c>
      <c r="FI77">
        <v>2</v>
      </c>
      <c r="FJ77">
        <v>2.5739081704012059E-3</v>
      </c>
      <c r="FK77">
        <v>9</v>
      </c>
      <c r="FL77">
        <v>18.360000000000003</v>
      </c>
      <c r="FM77">
        <v>8</v>
      </c>
      <c r="FN77">
        <v>-1.56</v>
      </c>
      <c r="FO77">
        <v>-1.5600000000000009</v>
      </c>
      <c r="FP77">
        <v>3.6000000000000005</v>
      </c>
      <c r="FQ77">
        <v>0.1999999999999999</v>
      </c>
      <c r="FR77">
        <v>2.9199999999999973</v>
      </c>
      <c r="FS77">
        <v>4.92</v>
      </c>
      <c r="FT77">
        <v>0.83999999999999986</v>
      </c>
      <c r="FU77">
        <v>50.640000000000008</v>
      </c>
      <c r="FV77">
        <v>15.8</v>
      </c>
      <c r="FW77">
        <v>21.64</v>
      </c>
      <c r="FX77">
        <v>2.96</v>
      </c>
      <c r="FY77">
        <v>10.24</v>
      </c>
      <c r="FZ77">
        <v>14</v>
      </c>
      <c r="GA77">
        <v>2.2751999999999999</v>
      </c>
      <c r="GB77">
        <v>1.6332</v>
      </c>
      <c r="GC77">
        <v>-5.84</v>
      </c>
      <c r="GD77">
        <v>-2.2751999999999999</v>
      </c>
      <c r="GE77">
        <v>1.8469999999999998</v>
      </c>
      <c r="GF77">
        <v>7.7887999999999984</v>
      </c>
      <c r="GG77">
        <v>9.8399999999999928</v>
      </c>
      <c r="GH77">
        <v>1.7400000000000002</v>
      </c>
      <c r="GI77">
        <v>12.509999999999998</v>
      </c>
      <c r="GJ77">
        <v>-0.64000000000000012</v>
      </c>
      <c r="GK77">
        <v>0.12999999999999987</v>
      </c>
    </row>
    <row r="78" spans="1:193" x14ac:dyDescent="0.2">
      <c r="A78" s="39">
        <v>43751</v>
      </c>
      <c r="B78" s="22" t="s">
        <v>252</v>
      </c>
      <c r="C78" s="41" t="s">
        <v>312</v>
      </c>
      <c r="D78" s="22" t="s">
        <v>294</v>
      </c>
      <c r="E78">
        <v>17.7</v>
      </c>
      <c r="F78">
        <v>46.5</v>
      </c>
      <c r="G78">
        <v>2.6</v>
      </c>
      <c r="H78">
        <f>6.6+4.9</f>
        <v>11.5</v>
      </c>
      <c r="I78">
        <v>-3.5</v>
      </c>
      <c r="J78">
        <v>44</v>
      </c>
      <c r="K78" t="s">
        <v>110</v>
      </c>
      <c r="L78" s="1" t="s">
        <v>312</v>
      </c>
      <c r="M78">
        <v>30</v>
      </c>
      <c r="N78">
        <v>-5.3848000000000003</v>
      </c>
      <c r="O78">
        <v>12</v>
      </c>
      <c r="P78">
        <v>14.5</v>
      </c>
      <c r="Q78">
        <v>7</v>
      </c>
      <c r="R78">
        <v>11.343999999999999</v>
      </c>
      <c r="S78">
        <v>22</v>
      </c>
      <c r="T78">
        <v>43.6</v>
      </c>
      <c r="U78">
        <v>1.6800000000000002</v>
      </c>
      <c r="V78">
        <v>5</v>
      </c>
      <c r="W78">
        <v>8</v>
      </c>
      <c r="X78">
        <v>13</v>
      </c>
      <c r="Y78">
        <v>-2.4419999999999993</v>
      </c>
      <c r="Z78">
        <v>3</v>
      </c>
      <c r="AA78">
        <v>7.2</v>
      </c>
      <c r="AB78">
        <v>-2.71</v>
      </c>
      <c r="AC78">
        <v>16</v>
      </c>
      <c r="AD78">
        <v>17</v>
      </c>
      <c r="AE78">
        <v>18</v>
      </c>
      <c r="AF78">
        <v>-2.4000000000001263E-2</v>
      </c>
      <c r="AG78">
        <v>16</v>
      </c>
      <c r="AH78">
        <v>-4.2899999999999991</v>
      </c>
      <c r="AI78">
        <v>-1.8</v>
      </c>
      <c r="AJ78">
        <v>23</v>
      </c>
      <c r="AK78">
        <v>22</v>
      </c>
      <c r="AL78">
        <v>26</v>
      </c>
      <c r="AM78">
        <v>-6.2010000000000005</v>
      </c>
      <c r="AN78">
        <v>18</v>
      </c>
      <c r="AO78">
        <v>-20.65</v>
      </c>
      <c r="AP78">
        <v>-1.7100000000000002</v>
      </c>
      <c r="AQ78">
        <v>27</v>
      </c>
      <c r="AR78">
        <v>28</v>
      </c>
      <c r="AS78">
        <v>27</v>
      </c>
      <c r="AT78">
        <v>-0.35399999999999993</v>
      </c>
      <c r="AU78">
        <v>29</v>
      </c>
      <c r="AV78">
        <v>4.9200000000000008</v>
      </c>
      <c r="AW78">
        <v>-1.05</v>
      </c>
      <c r="AX78">
        <v>29</v>
      </c>
      <c r="AY78">
        <v>29</v>
      </c>
      <c r="AZ78">
        <v>29</v>
      </c>
      <c r="BA78">
        <v>-5.984</v>
      </c>
      <c r="BB78">
        <v>29</v>
      </c>
      <c r="BC78">
        <v>-25.839999999999996</v>
      </c>
      <c r="BD78">
        <v>-4.68</v>
      </c>
      <c r="BE78">
        <v>5</v>
      </c>
      <c r="BF78">
        <v>6</v>
      </c>
      <c r="BG78">
        <v>3</v>
      </c>
      <c r="BH78">
        <v>-7.5</v>
      </c>
      <c r="BI78">
        <v>-28.72</v>
      </c>
      <c r="BJ78">
        <v>-3.6799999999999997</v>
      </c>
      <c r="BK78">
        <v>26</v>
      </c>
      <c r="BL78">
        <v>25</v>
      </c>
      <c r="BM78">
        <v>21</v>
      </c>
      <c r="BN78">
        <v>0.72</v>
      </c>
      <c r="BO78">
        <v>29</v>
      </c>
      <c r="BP78">
        <v>8.0000000000000029E-2</v>
      </c>
      <c r="BQ78">
        <v>2.12</v>
      </c>
      <c r="BR78">
        <v>28</v>
      </c>
      <c r="BS78">
        <v>24.5</v>
      </c>
      <c r="BT78">
        <v>22</v>
      </c>
      <c r="BU78">
        <v>9.2588759899809872E-2</v>
      </c>
      <c r="BV78">
        <v>27</v>
      </c>
      <c r="BW78">
        <v>1.0555998053454647E-2</v>
      </c>
      <c r="BX78">
        <v>22</v>
      </c>
      <c r="BY78">
        <v>16.312000000000001</v>
      </c>
      <c r="BZ78">
        <v>27</v>
      </c>
      <c r="CA78">
        <v>-0.23999999999999991</v>
      </c>
      <c r="CB78">
        <v>-5.4</v>
      </c>
      <c r="CC78">
        <v>-0.12000000000000099</v>
      </c>
      <c r="CD78">
        <v>4.0000000000000036E-2</v>
      </c>
      <c r="CE78">
        <v>-8.7600000000000016</v>
      </c>
      <c r="CF78">
        <v>-62.52</v>
      </c>
      <c r="CG78">
        <v>57.919999999999995</v>
      </c>
      <c r="CH78">
        <v>-1</v>
      </c>
      <c r="CI78">
        <v>-3.1599999999999997</v>
      </c>
      <c r="CJ78">
        <v>31</v>
      </c>
      <c r="CK78">
        <v>-14.286799999999999</v>
      </c>
      <c r="CL78">
        <v>-8.3437599999999996</v>
      </c>
      <c r="CM78">
        <v>-120.44</v>
      </c>
      <c r="CN78">
        <v>14.286800000000001</v>
      </c>
      <c r="CO78">
        <v>-1.2302250000000001</v>
      </c>
      <c r="CP78">
        <v>-6.5790000000000015</v>
      </c>
      <c r="CQ78">
        <v>-20.019999999999996</v>
      </c>
      <c r="CR78">
        <v>8.902000000000001</v>
      </c>
      <c r="CS78">
        <v>50.800000000000004</v>
      </c>
      <c r="CT78">
        <v>-8.24</v>
      </c>
      <c r="CU78">
        <v>-1.0299999999999998</v>
      </c>
      <c r="CV78">
        <v>-8.989999999999998E-2</v>
      </c>
      <c r="CW78">
        <v>-1.2994000000000001</v>
      </c>
      <c r="CX78" t="s">
        <v>294</v>
      </c>
      <c r="CY78">
        <v>30</v>
      </c>
      <c r="CZ78">
        <v>2.5808000000000009</v>
      </c>
      <c r="DA78">
        <v>18</v>
      </c>
      <c r="DB78">
        <v>19.5</v>
      </c>
      <c r="DC78">
        <v>7</v>
      </c>
      <c r="DD78">
        <v>-2.2519999999999998</v>
      </c>
      <c r="DE78">
        <v>32</v>
      </c>
      <c r="DF78">
        <v>-23.84</v>
      </c>
      <c r="DG78">
        <v>0.76</v>
      </c>
      <c r="DH78">
        <v>5</v>
      </c>
      <c r="DI78">
        <v>8</v>
      </c>
      <c r="DJ78">
        <v>13</v>
      </c>
      <c r="DK78">
        <v>-1.4399999999999995</v>
      </c>
      <c r="DL78">
        <v>3</v>
      </c>
      <c r="DM78">
        <v>-4.88</v>
      </c>
      <c r="DN78">
        <v>0.12000000000000002</v>
      </c>
      <c r="DO78">
        <v>30</v>
      </c>
      <c r="DP78">
        <v>24</v>
      </c>
      <c r="DQ78">
        <v>24</v>
      </c>
      <c r="DR78">
        <v>3.5679999999999992</v>
      </c>
      <c r="DS78">
        <v>24</v>
      </c>
      <c r="DT78">
        <v>17.760000000000002</v>
      </c>
      <c r="DU78">
        <v>0.3999999999999998</v>
      </c>
      <c r="DV78">
        <v>31</v>
      </c>
      <c r="DW78">
        <v>30.5</v>
      </c>
      <c r="DX78">
        <v>30</v>
      </c>
      <c r="DY78">
        <v>3.0480000000000005</v>
      </c>
      <c r="DZ78">
        <v>31</v>
      </c>
      <c r="EA78">
        <v>11.040000000000001</v>
      </c>
      <c r="EB78">
        <v>1.2</v>
      </c>
      <c r="EC78">
        <v>29</v>
      </c>
      <c r="ED78">
        <v>20</v>
      </c>
      <c r="EE78">
        <v>18</v>
      </c>
      <c r="EF78">
        <v>2.0199999999999996</v>
      </c>
      <c r="EG78">
        <v>22</v>
      </c>
      <c r="EH78">
        <v>2.1199999999999974</v>
      </c>
      <c r="EI78">
        <v>1.24</v>
      </c>
      <c r="EJ78">
        <v>32</v>
      </c>
      <c r="EK78">
        <v>32</v>
      </c>
      <c r="EL78">
        <v>32</v>
      </c>
      <c r="EM78">
        <v>-4.5160000000000027</v>
      </c>
      <c r="EN78">
        <v>32</v>
      </c>
      <c r="EO78">
        <v>-20.360000000000003</v>
      </c>
      <c r="EP78">
        <v>-1.9200000000000004</v>
      </c>
      <c r="EQ78">
        <v>8</v>
      </c>
      <c r="ER78">
        <v>8.5</v>
      </c>
      <c r="ES78">
        <v>12</v>
      </c>
      <c r="ET78">
        <v>0.11199999999999974</v>
      </c>
      <c r="EU78">
        <v>5</v>
      </c>
      <c r="EV78">
        <v>-1.6799999999999997</v>
      </c>
      <c r="EW78">
        <v>0.31999999999999973</v>
      </c>
      <c r="EX78">
        <v>31</v>
      </c>
      <c r="EY78">
        <v>28.5</v>
      </c>
      <c r="EZ78">
        <v>26</v>
      </c>
      <c r="FA78">
        <v>1.3199999999999998</v>
      </c>
      <c r="FB78">
        <v>31</v>
      </c>
      <c r="FC78">
        <v>0.48</v>
      </c>
      <c r="FD78">
        <v>-1.2800000000000002</v>
      </c>
      <c r="FE78">
        <v>4</v>
      </c>
      <c r="FF78">
        <v>8.75</v>
      </c>
      <c r="FG78">
        <v>3</v>
      </c>
      <c r="FH78">
        <v>7.5912896900556331E-2</v>
      </c>
      <c r="FI78">
        <v>4</v>
      </c>
      <c r="FJ78">
        <v>-8.9269579253529237E-3</v>
      </c>
      <c r="FK78">
        <v>14</v>
      </c>
      <c r="FL78">
        <v>-1.4600000000000009</v>
      </c>
      <c r="FM78">
        <v>14</v>
      </c>
      <c r="FN78">
        <v>0.68000000000000038</v>
      </c>
      <c r="FO78">
        <v>2.7600000000000007</v>
      </c>
      <c r="FP78">
        <v>-2.4399999999999995</v>
      </c>
      <c r="FQ78">
        <v>-0.11999999999999997</v>
      </c>
      <c r="FR78">
        <v>0.35999999999999943</v>
      </c>
      <c r="FS78">
        <v>2.9600000000000004</v>
      </c>
      <c r="FT78">
        <v>0.2</v>
      </c>
      <c r="FU78">
        <v>12.759999999999996</v>
      </c>
      <c r="FV78">
        <v>29.52000000000001</v>
      </c>
      <c r="FW78">
        <v>-18.68</v>
      </c>
      <c r="FX78">
        <v>0.4799999999999997</v>
      </c>
      <c r="FY78">
        <v>1.4399999999999986</v>
      </c>
      <c r="FZ78">
        <v>5</v>
      </c>
      <c r="GA78">
        <v>6.2728000000000002</v>
      </c>
      <c r="GB78">
        <v>4.1117599999999994</v>
      </c>
      <c r="GC78">
        <v>48.20000000000001</v>
      </c>
      <c r="GD78">
        <v>-6.2728000000000002</v>
      </c>
      <c r="GE78">
        <v>1.1196000000000002</v>
      </c>
      <c r="GF78">
        <v>8.6359999999999992</v>
      </c>
      <c r="GG78">
        <v>30.92</v>
      </c>
      <c r="GH78">
        <v>-3.6919999999999993</v>
      </c>
      <c r="GI78">
        <v>-28.72</v>
      </c>
      <c r="GJ78">
        <v>3.1599999999999997</v>
      </c>
      <c r="GK78">
        <v>0.88</v>
      </c>
    </row>
    <row r="79" spans="1:193" x14ac:dyDescent="0.2">
      <c r="A79" s="39">
        <v>43751</v>
      </c>
      <c r="B79" s="22" t="s">
        <v>252</v>
      </c>
      <c r="C79" s="41" t="s">
        <v>302</v>
      </c>
      <c r="D79" s="22" t="s">
        <v>296</v>
      </c>
      <c r="E79">
        <v>23.3</v>
      </c>
      <c r="F79" s="14"/>
      <c r="G79">
        <v>9.4</v>
      </c>
      <c r="H79">
        <v>5.0999999999999996</v>
      </c>
      <c r="I79">
        <v>-16.5</v>
      </c>
      <c r="J79">
        <v>43</v>
      </c>
      <c r="L79" s="1" t="s">
        <v>302</v>
      </c>
      <c r="M79">
        <v>9</v>
      </c>
      <c r="N79">
        <v>2.2032000000000003</v>
      </c>
      <c r="O79">
        <v>27</v>
      </c>
      <c r="P79">
        <v>25</v>
      </c>
      <c r="Q79">
        <v>32</v>
      </c>
      <c r="R79">
        <v>-6.452</v>
      </c>
      <c r="S79">
        <v>18</v>
      </c>
      <c r="T79">
        <v>-18.360000000000003</v>
      </c>
      <c r="U79">
        <v>-2.2000000000000002</v>
      </c>
      <c r="V79">
        <v>12</v>
      </c>
      <c r="W79">
        <v>11.5</v>
      </c>
      <c r="X79">
        <v>5</v>
      </c>
      <c r="Y79">
        <v>6.2719999999999994</v>
      </c>
      <c r="Z79">
        <v>18</v>
      </c>
      <c r="AA79">
        <v>-3.5200000000000005</v>
      </c>
      <c r="AB79">
        <v>4.28</v>
      </c>
      <c r="AC79">
        <v>4</v>
      </c>
      <c r="AD79">
        <v>4</v>
      </c>
      <c r="AE79">
        <v>3</v>
      </c>
      <c r="AF79">
        <v>0.58880000000000021</v>
      </c>
      <c r="AG79">
        <v>5</v>
      </c>
      <c r="AH79">
        <v>-0.27999999999999831</v>
      </c>
      <c r="AI79">
        <v>1.24</v>
      </c>
      <c r="AJ79">
        <v>14</v>
      </c>
      <c r="AK79">
        <v>14</v>
      </c>
      <c r="AL79">
        <v>15</v>
      </c>
      <c r="AM79">
        <v>0.34400000000000014</v>
      </c>
      <c r="AN79">
        <v>13</v>
      </c>
      <c r="AO79">
        <v>11.8</v>
      </c>
      <c r="AP79">
        <v>0.55999999999999994</v>
      </c>
      <c r="AQ79">
        <v>16</v>
      </c>
      <c r="AR79">
        <v>16</v>
      </c>
      <c r="AS79">
        <v>13</v>
      </c>
      <c r="AT79">
        <v>4.2640000000000002</v>
      </c>
      <c r="AU79">
        <v>19</v>
      </c>
      <c r="AV79">
        <v>6.4799999999999995</v>
      </c>
      <c r="AW79">
        <v>1.1199999999999999</v>
      </c>
      <c r="AX79">
        <v>4</v>
      </c>
      <c r="AY79">
        <v>4.5</v>
      </c>
      <c r="AZ79">
        <v>2</v>
      </c>
      <c r="BA79">
        <v>7.8159999999999981</v>
      </c>
      <c r="BB79">
        <v>7</v>
      </c>
      <c r="BC79">
        <v>35.36</v>
      </c>
      <c r="BD79">
        <v>0.83999999999999986</v>
      </c>
      <c r="BE79">
        <v>25</v>
      </c>
      <c r="BF79">
        <v>25.5</v>
      </c>
      <c r="BG79">
        <v>28</v>
      </c>
      <c r="BH79">
        <v>-5.3079999999999981</v>
      </c>
      <c r="BI79">
        <v>-21.080000000000002</v>
      </c>
      <c r="BJ79">
        <v>-3.6799999999999997</v>
      </c>
      <c r="BK79">
        <v>2</v>
      </c>
      <c r="BL79">
        <v>5</v>
      </c>
      <c r="BM79">
        <v>8</v>
      </c>
      <c r="BN79">
        <v>1.0000000000000004</v>
      </c>
      <c r="BO79">
        <v>2</v>
      </c>
      <c r="BP79">
        <v>0.15999999999999998</v>
      </c>
      <c r="BQ79">
        <v>7.3600000000000012</v>
      </c>
      <c r="BR79">
        <v>27</v>
      </c>
      <c r="BS79">
        <v>23.25</v>
      </c>
      <c r="BT79">
        <v>23</v>
      </c>
      <c r="BU79">
        <v>-4.4008688400902884E-2</v>
      </c>
      <c r="BV79">
        <v>26</v>
      </c>
      <c r="BW79">
        <v>-1.6919940613386482E-2</v>
      </c>
      <c r="BX79">
        <v>23</v>
      </c>
      <c r="BY79">
        <v>-16.464000000000006</v>
      </c>
      <c r="BZ79">
        <v>21</v>
      </c>
      <c r="CA79">
        <v>-0.88000000000000012</v>
      </c>
      <c r="CB79">
        <v>2.3200000000000016</v>
      </c>
      <c r="CC79">
        <v>3.5999999999999992</v>
      </c>
      <c r="CD79">
        <v>1.8799999999999997</v>
      </c>
      <c r="CE79">
        <v>7.2400000000000091</v>
      </c>
      <c r="CF79">
        <v>31.600000000000005</v>
      </c>
      <c r="CG79">
        <v>-12.479999999999995</v>
      </c>
      <c r="CH79">
        <v>1.0399999999999998</v>
      </c>
      <c r="CI79">
        <v>-12.919999999999998</v>
      </c>
      <c r="CJ79">
        <v>16</v>
      </c>
      <c r="CK79">
        <v>2.3832000000000013</v>
      </c>
      <c r="CL79">
        <v>0.50840000000000096</v>
      </c>
      <c r="CM79">
        <v>44.08</v>
      </c>
      <c r="CN79">
        <v>-2.3832000000000009</v>
      </c>
      <c r="CO79">
        <v>0.36400000000000038</v>
      </c>
      <c r="CP79">
        <v>5.1968000000000005</v>
      </c>
      <c r="CQ79">
        <v>18.000000000000004</v>
      </c>
      <c r="CR79">
        <v>-0.1800000000000006</v>
      </c>
      <c r="CS79">
        <v>-21.880000000000003</v>
      </c>
      <c r="CT79">
        <v>-0.75999999999999979</v>
      </c>
      <c r="CU79">
        <v>2.08</v>
      </c>
      <c r="CV79">
        <v>-0.63929999999999987</v>
      </c>
      <c r="CW79">
        <v>-2.9612999999999996</v>
      </c>
      <c r="CX79" t="s">
        <v>296</v>
      </c>
      <c r="CY79">
        <v>5</v>
      </c>
      <c r="CZ79">
        <v>4.2375999999999987</v>
      </c>
      <c r="DA79">
        <v>31</v>
      </c>
      <c r="DB79">
        <v>29</v>
      </c>
      <c r="DC79">
        <v>31</v>
      </c>
      <c r="DD79">
        <v>-1.1119999999999997</v>
      </c>
      <c r="DE79">
        <v>27</v>
      </c>
      <c r="DF79">
        <v>-0.72000000000000453</v>
      </c>
      <c r="DG79">
        <v>-0.91999999999999993</v>
      </c>
      <c r="DH79">
        <v>15</v>
      </c>
      <c r="DI79">
        <v>16</v>
      </c>
      <c r="DJ79">
        <v>24</v>
      </c>
      <c r="DK79">
        <v>0.57600000000000018</v>
      </c>
      <c r="DL79">
        <v>8</v>
      </c>
      <c r="DM79">
        <v>11.28</v>
      </c>
      <c r="DN79">
        <v>-0.68</v>
      </c>
      <c r="DO79">
        <v>4</v>
      </c>
      <c r="DP79">
        <v>4.5</v>
      </c>
      <c r="DQ79">
        <v>4</v>
      </c>
      <c r="DR79">
        <v>7.9760000000000009</v>
      </c>
      <c r="DS79">
        <v>5</v>
      </c>
      <c r="DT79">
        <v>25.360000000000003</v>
      </c>
      <c r="DU79">
        <v>1.6400000000000001</v>
      </c>
      <c r="DV79">
        <v>13</v>
      </c>
      <c r="DW79">
        <v>13.5</v>
      </c>
      <c r="DX79">
        <v>14</v>
      </c>
      <c r="DY79">
        <v>-3.628000000000001</v>
      </c>
      <c r="DZ79">
        <v>13</v>
      </c>
      <c r="EA79">
        <v>1.3199999999999974</v>
      </c>
      <c r="EB79">
        <v>-2.08</v>
      </c>
      <c r="EC79">
        <v>24</v>
      </c>
      <c r="ED79">
        <v>13.5</v>
      </c>
      <c r="EE79">
        <v>16</v>
      </c>
      <c r="EF79">
        <v>3.0040000000000004</v>
      </c>
      <c r="EG79">
        <v>11</v>
      </c>
      <c r="EH79">
        <v>7.44</v>
      </c>
      <c r="EI79">
        <v>-1.0400000000000003</v>
      </c>
      <c r="EJ79">
        <v>2</v>
      </c>
      <c r="EK79">
        <v>3.5</v>
      </c>
      <c r="EL79">
        <v>4</v>
      </c>
      <c r="EM79">
        <v>-0.18000000000000077</v>
      </c>
      <c r="EN79">
        <v>3</v>
      </c>
      <c r="EO79">
        <v>-16.600000000000001</v>
      </c>
      <c r="EP79">
        <v>-2</v>
      </c>
      <c r="EQ79">
        <v>17</v>
      </c>
      <c r="ER79">
        <v>15.5</v>
      </c>
      <c r="ES79">
        <v>15</v>
      </c>
      <c r="ET79">
        <v>0.12799999999999975</v>
      </c>
      <c r="EU79">
        <v>16</v>
      </c>
      <c r="EV79">
        <v>-3.8800000000000012</v>
      </c>
      <c r="EW79">
        <v>0.44000000000000006</v>
      </c>
      <c r="EX79">
        <v>2</v>
      </c>
      <c r="EY79">
        <v>3</v>
      </c>
      <c r="EZ79">
        <v>2</v>
      </c>
      <c r="FA79">
        <v>2.2799999999999998</v>
      </c>
      <c r="FB79">
        <v>4</v>
      </c>
      <c r="FC79">
        <v>0.48</v>
      </c>
      <c r="FD79">
        <v>0.96</v>
      </c>
      <c r="FE79">
        <v>29</v>
      </c>
      <c r="FF79">
        <v>24</v>
      </c>
      <c r="FG79">
        <v>11</v>
      </c>
      <c r="FH79">
        <v>-6.0990352648478983E-2</v>
      </c>
      <c r="FI79">
        <v>27</v>
      </c>
      <c r="FJ79">
        <v>4.5809872949552858E-3</v>
      </c>
      <c r="FK79">
        <v>31</v>
      </c>
      <c r="FL79">
        <v>0.55200000000000105</v>
      </c>
      <c r="FM79">
        <v>27</v>
      </c>
      <c r="FN79">
        <v>-1.9599999999999997</v>
      </c>
      <c r="FO79">
        <v>-2.04</v>
      </c>
      <c r="FP79">
        <v>3.04</v>
      </c>
      <c r="FQ79">
        <v>8.0000000000000154E-2</v>
      </c>
      <c r="FR79">
        <v>0.87999999999999967</v>
      </c>
      <c r="FS79">
        <v>3.12</v>
      </c>
      <c r="FT79">
        <v>-0.23999999999999994</v>
      </c>
      <c r="FU79">
        <v>44.559999999999988</v>
      </c>
      <c r="FV79">
        <v>39.080000000000005</v>
      </c>
      <c r="FW79">
        <v>11.960000000000003</v>
      </c>
      <c r="FX79">
        <v>-3.1199999999999997</v>
      </c>
      <c r="FY79">
        <v>-3.3600000000000003</v>
      </c>
      <c r="FZ79">
        <v>6</v>
      </c>
      <c r="GA79">
        <v>4.7735999999999983</v>
      </c>
      <c r="GB79">
        <v>2.6115200000000001</v>
      </c>
      <c r="GC79">
        <v>27.120000000000005</v>
      </c>
      <c r="GD79">
        <v>-4.7735999999999983</v>
      </c>
      <c r="GE79">
        <v>1.6826999999999999</v>
      </c>
      <c r="GF79">
        <v>7.3520000000000003</v>
      </c>
      <c r="GG79">
        <v>34.119999999999997</v>
      </c>
      <c r="GH79">
        <v>-0.53599999999999948</v>
      </c>
      <c r="GI79">
        <v>10.559999999999995</v>
      </c>
      <c r="GJ79">
        <v>-1.04</v>
      </c>
      <c r="GK79">
        <v>-1.6</v>
      </c>
    </row>
    <row r="80" spans="1:193" x14ac:dyDescent="0.2">
      <c r="A80" s="39">
        <v>43751</v>
      </c>
      <c r="B80" s="22" t="s">
        <v>252</v>
      </c>
      <c r="C80" s="41" t="s">
        <v>307</v>
      </c>
      <c r="D80" s="22" t="s">
        <v>297</v>
      </c>
      <c r="E80">
        <v>16.899999999999999</v>
      </c>
      <c r="F80">
        <v>6.8</v>
      </c>
      <c r="G80">
        <v>0</v>
      </c>
      <c r="H80">
        <f>12.7+1.8</f>
        <v>14.5</v>
      </c>
      <c r="I80">
        <v>2.5</v>
      </c>
      <c r="J80">
        <v>42.5</v>
      </c>
      <c r="K80" t="s">
        <v>110</v>
      </c>
      <c r="L80" s="1" t="s">
        <v>307</v>
      </c>
      <c r="M80">
        <v>16</v>
      </c>
      <c r="N80">
        <v>-0.15679999999999944</v>
      </c>
      <c r="O80">
        <v>8</v>
      </c>
      <c r="P80">
        <v>8.5</v>
      </c>
      <c r="Q80">
        <v>5</v>
      </c>
      <c r="R80">
        <v>0.40720000000000062</v>
      </c>
      <c r="S80">
        <v>12</v>
      </c>
      <c r="T80">
        <v>8.5599999999999987</v>
      </c>
      <c r="U80">
        <v>0.4</v>
      </c>
      <c r="V80">
        <v>16</v>
      </c>
      <c r="W80">
        <v>15</v>
      </c>
      <c r="X80">
        <v>15</v>
      </c>
      <c r="Y80">
        <v>-6.4000000000000057E-2</v>
      </c>
      <c r="Z80">
        <v>15</v>
      </c>
      <c r="AA80">
        <v>4.3600000000000003</v>
      </c>
      <c r="AB80">
        <v>-0.36000000000000004</v>
      </c>
      <c r="AC80">
        <v>5</v>
      </c>
      <c r="AD80">
        <v>5.5</v>
      </c>
      <c r="AE80">
        <v>4</v>
      </c>
      <c r="AF80">
        <v>7.2240000000000011</v>
      </c>
      <c r="AG80">
        <v>7</v>
      </c>
      <c r="AH80">
        <v>30.839999999999996</v>
      </c>
      <c r="AI80">
        <v>1.6800000000000002</v>
      </c>
      <c r="AJ80">
        <v>32</v>
      </c>
      <c r="AK80">
        <v>32</v>
      </c>
      <c r="AL80">
        <v>32</v>
      </c>
      <c r="AM80">
        <v>-3.4520000000000004</v>
      </c>
      <c r="AN80">
        <v>32</v>
      </c>
      <c r="AO80">
        <v>-17.52</v>
      </c>
      <c r="AP80">
        <v>-2.4799999999999995</v>
      </c>
      <c r="AQ80">
        <v>29</v>
      </c>
      <c r="AR80">
        <v>29</v>
      </c>
      <c r="AS80">
        <v>28</v>
      </c>
      <c r="AT80">
        <v>-2.4640000000000004</v>
      </c>
      <c r="AU80">
        <v>30</v>
      </c>
      <c r="AV80">
        <v>-20.04</v>
      </c>
      <c r="AW80">
        <v>-3.3200000000000003</v>
      </c>
      <c r="AX80">
        <v>28</v>
      </c>
      <c r="AY80">
        <v>28</v>
      </c>
      <c r="AZ80">
        <v>28</v>
      </c>
      <c r="BA80">
        <v>0.40799999999999842</v>
      </c>
      <c r="BB80">
        <v>28</v>
      </c>
      <c r="BC80">
        <v>6.0799999999999983</v>
      </c>
      <c r="BD80">
        <v>-0.23999999999999985</v>
      </c>
      <c r="BE80">
        <v>4</v>
      </c>
      <c r="BF80">
        <v>4.5</v>
      </c>
      <c r="BG80">
        <v>5</v>
      </c>
      <c r="BH80">
        <v>-5.0440000000000014</v>
      </c>
      <c r="BI80">
        <v>-19.999999999999996</v>
      </c>
      <c r="BJ80">
        <v>-0.68</v>
      </c>
      <c r="BK80">
        <v>4</v>
      </c>
      <c r="BL80">
        <v>7</v>
      </c>
      <c r="BM80">
        <v>4</v>
      </c>
      <c r="BN80">
        <v>0.80000000000000016</v>
      </c>
      <c r="BO80">
        <v>10</v>
      </c>
      <c r="BP80">
        <v>8.0000000000000071E-2</v>
      </c>
      <c r="BQ80">
        <v>1.72</v>
      </c>
      <c r="BR80">
        <v>32</v>
      </c>
      <c r="BS80">
        <v>29.5</v>
      </c>
      <c r="BT80">
        <v>30</v>
      </c>
      <c r="BU80">
        <v>-7.1954634359717426E-2</v>
      </c>
      <c r="BV80">
        <v>28</v>
      </c>
      <c r="BW80">
        <v>-1.1093884610144282E-2</v>
      </c>
      <c r="BX80">
        <v>31</v>
      </c>
      <c r="BY80">
        <v>11.204000000000004</v>
      </c>
      <c r="BZ80">
        <v>29</v>
      </c>
      <c r="CA80">
        <v>-2.6</v>
      </c>
      <c r="CB80">
        <v>-3.9200000000000004</v>
      </c>
      <c r="CC80">
        <v>-2.04</v>
      </c>
      <c r="CD80">
        <v>1.0399999999999998</v>
      </c>
      <c r="CE80">
        <v>-13.520000000000016</v>
      </c>
      <c r="CF80">
        <v>-27.360000000000014</v>
      </c>
      <c r="CG80">
        <v>10.84</v>
      </c>
      <c r="CH80">
        <v>-1.6799999999999997</v>
      </c>
      <c r="CI80">
        <v>4.68</v>
      </c>
      <c r="CJ80">
        <v>21</v>
      </c>
      <c r="CK80">
        <v>-0.5</v>
      </c>
      <c r="CL80">
        <v>-0.95016000000000045</v>
      </c>
      <c r="CM80">
        <v>-38.200000000000017</v>
      </c>
      <c r="CN80">
        <v>0.5</v>
      </c>
      <c r="CO80">
        <v>-0.34370000000000001</v>
      </c>
      <c r="CP80">
        <v>1.3080000000000003</v>
      </c>
      <c r="CQ80">
        <v>-6.7200000000000024</v>
      </c>
      <c r="CR80">
        <v>0.34320000000000056</v>
      </c>
      <c r="CS80">
        <v>12.919999999999998</v>
      </c>
      <c r="CT80">
        <v>-4.7999999999999989</v>
      </c>
      <c r="CU80">
        <v>3.999999999999998E-2</v>
      </c>
      <c r="CV80">
        <v>-1.2846499999999998</v>
      </c>
      <c r="CW80">
        <v>-1.6223999999999998</v>
      </c>
      <c r="CX80" t="s">
        <v>297</v>
      </c>
      <c r="CY80">
        <v>20</v>
      </c>
      <c r="CZ80">
        <v>-0.10720000000000027</v>
      </c>
      <c r="DA80">
        <v>1</v>
      </c>
      <c r="DB80">
        <v>1.5</v>
      </c>
      <c r="DC80">
        <v>2</v>
      </c>
      <c r="DD80">
        <v>0.86000000000000087</v>
      </c>
      <c r="DE80">
        <v>1</v>
      </c>
      <c r="DF80">
        <v>6.6799999999999971</v>
      </c>
      <c r="DG80">
        <v>-0.43999999999999995</v>
      </c>
      <c r="DH80">
        <v>13</v>
      </c>
      <c r="DI80">
        <v>14.5</v>
      </c>
      <c r="DJ80">
        <v>11</v>
      </c>
      <c r="DK80">
        <v>0.43599999999999978</v>
      </c>
      <c r="DL80">
        <v>18</v>
      </c>
      <c r="DM80">
        <v>13.2</v>
      </c>
      <c r="DN80">
        <v>-0.64</v>
      </c>
      <c r="DO80">
        <v>12</v>
      </c>
      <c r="DP80">
        <v>13</v>
      </c>
      <c r="DQ80">
        <v>11</v>
      </c>
      <c r="DR80">
        <v>1.1359999999999999</v>
      </c>
      <c r="DS80">
        <v>15</v>
      </c>
      <c r="DT80">
        <v>3.8399999999999976</v>
      </c>
      <c r="DU80">
        <v>-1.4400000000000002</v>
      </c>
      <c r="DV80">
        <v>26</v>
      </c>
      <c r="DW80">
        <v>26.5</v>
      </c>
      <c r="DX80">
        <v>28</v>
      </c>
      <c r="DY80">
        <v>-3.3</v>
      </c>
      <c r="DZ80">
        <v>25</v>
      </c>
      <c r="EA80">
        <v>-8.52</v>
      </c>
      <c r="EB80">
        <v>3.9999999999999855E-2</v>
      </c>
      <c r="EC80">
        <v>1</v>
      </c>
      <c r="ED80">
        <v>5</v>
      </c>
      <c r="EE80">
        <v>5</v>
      </c>
      <c r="EF80">
        <v>-2.2039999999999997</v>
      </c>
      <c r="EG80">
        <v>5</v>
      </c>
      <c r="EH80">
        <v>-9.6399999999999988</v>
      </c>
      <c r="EI80">
        <v>7.9999999999999988E-2</v>
      </c>
      <c r="EJ80">
        <v>27</v>
      </c>
      <c r="EK80">
        <v>27</v>
      </c>
      <c r="EL80">
        <v>29</v>
      </c>
      <c r="EM80">
        <v>-3.0759999999999992</v>
      </c>
      <c r="EN80">
        <v>25</v>
      </c>
      <c r="EO80">
        <v>-12.759999999999996</v>
      </c>
      <c r="EP80">
        <v>0.4399999999999995</v>
      </c>
      <c r="EQ80">
        <v>26</v>
      </c>
      <c r="ER80">
        <v>25.5</v>
      </c>
      <c r="ES80">
        <v>22</v>
      </c>
      <c r="ET80">
        <v>-3.4760000000000004</v>
      </c>
      <c r="EU80">
        <v>29</v>
      </c>
      <c r="EV80">
        <v>-8.9600000000000009</v>
      </c>
      <c r="EW80">
        <v>-0.11999999999999993</v>
      </c>
      <c r="EX80">
        <v>26</v>
      </c>
      <c r="EY80">
        <v>25</v>
      </c>
      <c r="EZ80">
        <v>21</v>
      </c>
      <c r="FA80">
        <v>-0.92000000000000026</v>
      </c>
      <c r="FB80">
        <v>29</v>
      </c>
      <c r="FC80">
        <v>-0.24000000000000013</v>
      </c>
      <c r="FD80">
        <v>-0.67999999999999972</v>
      </c>
      <c r="FE80">
        <v>20</v>
      </c>
      <c r="FF80">
        <v>16.75</v>
      </c>
      <c r="FG80">
        <v>21</v>
      </c>
      <c r="FH80">
        <v>-1.1496069398059462E-2</v>
      </c>
      <c r="FI80">
        <v>5</v>
      </c>
      <c r="FJ80">
        <v>-3.6893002735955971E-3</v>
      </c>
      <c r="FK80">
        <v>32</v>
      </c>
      <c r="FL80">
        <v>-3.3359999999999972</v>
      </c>
      <c r="FM80">
        <v>9</v>
      </c>
      <c r="FN80">
        <v>-0.83999999999999986</v>
      </c>
      <c r="FO80">
        <v>0.32000000000000028</v>
      </c>
      <c r="FP80">
        <v>-0.40000000000000069</v>
      </c>
      <c r="FQ80">
        <v>-0.24000000000000016</v>
      </c>
      <c r="FR80">
        <v>0.159999999999998</v>
      </c>
      <c r="FS80">
        <v>1.7200000000000002</v>
      </c>
      <c r="FT80">
        <v>0.12000000000000011</v>
      </c>
      <c r="FU80">
        <v>10</v>
      </c>
      <c r="FV80">
        <v>-7.5999999999999943</v>
      </c>
      <c r="FW80">
        <v>19.28</v>
      </c>
      <c r="FX80">
        <v>3.16</v>
      </c>
      <c r="FY80">
        <v>-4.839999999999999</v>
      </c>
      <c r="FZ80">
        <v>19</v>
      </c>
      <c r="GA80">
        <v>-1.4032000000000009</v>
      </c>
      <c r="GB80">
        <v>-2.2382400000000002</v>
      </c>
      <c r="GC80">
        <v>-26.879999999999995</v>
      </c>
      <c r="GD80">
        <v>1.4032000000000009</v>
      </c>
      <c r="GE80">
        <v>-0.94689999999999996</v>
      </c>
      <c r="GF80">
        <v>-4.3679999999999994</v>
      </c>
      <c r="GG80">
        <v>-14.32</v>
      </c>
      <c r="GH80">
        <v>1.2960000000000007</v>
      </c>
      <c r="GI80">
        <v>19.879999999999995</v>
      </c>
      <c r="GJ80">
        <v>-1.4400000000000002</v>
      </c>
      <c r="GK80">
        <v>-1.08</v>
      </c>
    </row>
    <row r="81" spans="1:193" x14ac:dyDescent="0.2">
      <c r="A81" s="39">
        <v>43751</v>
      </c>
      <c r="B81" s="28" t="s">
        <v>252</v>
      </c>
      <c r="C81" s="41" t="s">
        <v>296</v>
      </c>
      <c r="D81" s="28" t="s">
        <v>302</v>
      </c>
      <c r="E81" s="3">
        <v>25.2</v>
      </c>
      <c r="F81" s="3">
        <v>6.2</v>
      </c>
      <c r="G81" s="3">
        <v>0</v>
      </c>
      <c r="H81" s="3">
        <v>6</v>
      </c>
      <c r="I81" s="3">
        <v>16.5</v>
      </c>
      <c r="J81" s="3">
        <v>43</v>
      </c>
      <c r="K81" s="3"/>
      <c r="L81" s="1" t="s">
        <v>296</v>
      </c>
      <c r="M81">
        <v>13</v>
      </c>
      <c r="N81">
        <v>1.4104000000000005</v>
      </c>
      <c r="O81">
        <v>20</v>
      </c>
      <c r="P81">
        <v>21</v>
      </c>
      <c r="Q81">
        <v>16</v>
      </c>
      <c r="R81">
        <v>0.27519999999999972</v>
      </c>
      <c r="S81">
        <v>26</v>
      </c>
      <c r="T81">
        <v>3.8</v>
      </c>
      <c r="U81">
        <v>0.15999999999999998</v>
      </c>
      <c r="V81">
        <v>31</v>
      </c>
      <c r="W81">
        <v>31</v>
      </c>
      <c r="X81">
        <v>32</v>
      </c>
      <c r="Y81">
        <v>-2.144000000000001</v>
      </c>
      <c r="Z81">
        <v>30</v>
      </c>
      <c r="AA81">
        <v>-2.7599999999999993</v>
      </c>
      <c r="AB81">
        <v>-1.8399999999999999</v>
      </c>
      <c r="AC81">
        <v>14</v>
      </c>
      <c r="AD81">
        <v>15.5</v>
      </c>
      <c r="AE81">
        <v>10</v>
      </c>
      <c r="AF81">
        <v>-0.74400000000000044</v>
      </c>
      <c r="AG81">
        <v>21</v>
      </c>
      <c r="AH81">
        <v>-5.0799999999999983</v>
      </c>
      <c r="AI81">
        <v>0.19999999999999982</v>
      </c>
      <c r="AJ81">
        <v>13</v>
      </c>
      <c r="AK81">
        <v>13.5</v>
      </c>
      <c r="AL81">
        <v>5</v>
      </c>
      <c r="AM81">
        <v>-4.7439999999999998</v>
      </c>
      <c r="AN81">
        <v>22</v>
      </c>
      <c r="AO81">
        <v>-11.44</v>
      </c>
      <c r="AP81">
        <v>-1.28</v>
      </c>
      <c r="AQ81">
        <v>12</v>
      </c>
      <c r="AR81">
        <v>12.5</v>
      </c>
      <c r="AS81">
        <v>14</v>
      </c>
      <c r="AT81">
        <v>1.7399999999999998</v>
      </c>
      <c r="AU81">
        <v>11</v>
      </c>
      <c r="AV81">
        <v>4.2399999999999993</v>
      </c>
      <c r="AW81">
        <v>-0.24000000000000005</v>
      </c>
      <c r="AX81">
        <v>22</v>
      </c>
      <c r="AY81">
        <v>21</v>
      </c>
      <c r="AZ81">
        <v>17</v>
      </c>
      <c r="BA81">
        <v>0.31199999999999906</v>
      </c>
      <c r="BB81">
        <v>25</v>
      </c>
      <c r="BC81">
        <v>7.919999999999999</v>
      </c>
      <c r="BD81">
        <v>1.72</v>
      </c>
      <c r="BE81">
        <v>19</v>
      </c>
      <c r="BF81">
        <v>19</v>
      </c>
      <c r="BG81">
        <v>18</v>
      </c>
      <c r="BH81">
        <v>6.3719999999999999</v>
      </c>
      <c r="BI81">
        <v>24</v>
      </c>
      <c r="BJ81">
        <v>3.4799999999999995</v>
      </c>
      <c r="BK81">
        <v>28</v>
      </c>
      <c r="BL81">
        <v>27.5</v>
      </c>
      <c r="BM81">
        <v>29</v>
      </c>
      <c r="BN81">
        <v>-1.92</v>
      </c>
      <c r="BO81">
        <v>26</v>
      </c>
      <c r="BP81">
        <v>-0.67999999999999994</v>
      </c>
      <c r="BQ81">
        <v>-2.12</v>
      </c>
      <c r="BR81">
        <v>2</v>
      </c>
      <c r="BS81">
        <v>7.5</v>
      </c>
      <c r="BT81">
        <v>3</v>
      </c>
      <c r="BU81">
        <v>2.1446728730212833E-2</v>
      </c>
      <c r="BV81">
        <v>16</v>
      </c>
      <c r="BW81">
        <v>-8.5881022087991657E-3</v>
      </c>
      <c r="BX81">
        <v>10</v>
      </c>
      <c r="BY81">
        <v>-17.835999999999999</v>
      </c>
      <c r="BZ81">
        <v>1</v>
      </c>
      <c r="CA81">
        <v>0.96</v>
      </c>
      <c r="CB81">
        <v>-0.44000000000000056</v>
      </c>
      <c r="CC81">
        <v>-1.1599999999999997</v>
      </c>
      <c r="CD81">
        <v>-0.72</v>
      </c>
      <c r="CE81">
        <v>23.240000000000009</v>
      </c>
      <c r="CF81">
        <v>6.3199999999999985</v>
      </c>
      <c r="CG81">
        <v>3.5200000000000018</v>
      </c>
      <c r="CH81">
        <v>6.4</v>
      </c>
      <c r="CI81">
        <v>7</v>
      </c>
      <c r="CJ81">
        <v>14</v>
      </c>
      <c r="CK81">
        <v>3.2792000000000021</v>
      </c>
      <c r="CL81">
        <v>1.7412800000000006</v>
      </c>
      <c r="CM81">
        <v>2.7999999999999967</v>
      </c>
      <c r="CN81">
        <v>-3.2792000000000021</v>
      </c>
      <c r="CO81">
        <v>3.069999999999995E-2</v>
      </c>
      <c r="CP81">
        <v>-3.7480000000000007</v>
      </c>
      <c r="CQ81">
        <v>-12.279999999999998</v>
      </c>
      <c r="CR81">
        <v>-1.8688000000000013</v>
      </c>
      <c r="CS81">
        <v>1.0400000000000005</v>
      </c>
      <c r="CT81">
        <v>2.1599999999999993</v>
      </c>
      <c r="CU81">
        <v>-1.68</v>
      </c>
      <c r="CV81">
        <v>-0.63929999999999987</v>
      </c>
      <c r="CW81">
        <v>1.6826999999999999</v>
      </c>
      <c r="CX81" t="s">
        <v>302</v>
      </c>
      <c r="CY81">
        <v>28</v>
      </c>
      <c r="CZ81">
        <v>-5.8744000000000014</v>
      </c>
      <c r="DA81">
        <v>20</v>
      </c>
      <c r="DB81">
        <v>21</v>
      </c>
      <c r="DC81">
        <v>26</v>
      </c>
      <c r="DD81">
        <v>-2.532</v>
      </c>
      <c r="DE81">
        <v>16</v>
      </c>
      <c r="DF81">
        <v>-3.6400000000000015</v>
      </c>
      <c r="DG81">
        <v>-1.08</v>
      </c>
      <c r="DH81">
        <v>19</v>
      </c>
      <c r="DI81">
        <v>17</v>
      </c>
      <c r="DJ81">
        <v>15</v>
      </c>
      <c r="DK81">
        <v>-2.1319999999999992</v>
      </c>
      <c r="DL81">
        <v>19</v>
      </c>
      <c r="DM81">
        <v>-8.6000000000000014</v>
      </c>
      <c r="DN81">
        <v>0.28000000000000008</v>
      </c>
      <c r="DO81">
        <v>31</v>
      </c>
      <c r="DP81">
        <v>29</v>
      </c>
      <c r="DQ81">
        <v>30</v>
      </c>
      <c r="DR81">
        <v>-3.1479999999999988</v>
      </c>
      <c r="DS81">
        <v>28</v>
      </c>
      <c r="DT81">
        <v>-4.7999999999999972</v>
      </c>
      <c r="DU81">
        <v>0</v>
      </c>
      <c r="DV81">
        <v>24</v>
      </c>
      <c r="DW81">
        <v>25</v>
      </c>
      <c r="DX81">
        <v>26</v>
      </c>
      <c r="DY81">
        <v>-4.8720000000000008</v>
      </c>
      <c r="DZ81">
        <v>24</v>
      </c>
      <c r="EA81">
        <v>-22.48</v>
      </c>
      <c r="EB81">
        <v>1.2400000000000002</v>
      </c>
      <c r="EC81">
        <v>23</v>
      </c>
      <c r="ED81">
        <v>21</v>
      </c>
      <c r="EE81">
        <v>25</v>
      </c>
      <c r="EF81">
        <v>-0.55999999999999939</v>
      </c>
      <c r="EG81">
        <v>17</v>
      </c>
      <c r="EH81">
        <v>-4.04</v>
      </c>
      <c r="EI81">
        <v>1.56</v>
      </c>
      <c r="EJ81">
        <v>22</v>
      </c>
      <c r="EK81">
        <v>23</v>
      </c>
      <c r="EL81">
        <v>24</v>
      </c>
      <c r="EM81">
        <v>-0.27999999999999936</v>
      </c>
      <c r="EN81">
        <v>22</v>
      </c>
      <c r="EO81">
        <v>7.1999999999999984</v>
      </c>
      <c r="EP81">
        <v>2.4799999999999995</v>
      </c>
      <c r="EQ81">
        <v>20</v>
      </c>
      <c r="ER81">
        <v>20</v>
      </c>
      <c r="ES81">
        <v>18</v>
      </c>
      <c r="ET81">
        <v>-1.9319999999999999</v>
      </c>
      <c r="EU81">
        <v>22</v>
      </c>
      <c r="EV81">
        <v>1.4399999999999991</v>
      </c>
      <c r="EW81">
        <v>-1.44</v>
      </c>
      <c r="EX81">
        <v>24</v>
      </c>
      <c r="EY81">
        <v>23</v>
      </c>
      <c r="EZ81">
        <v>24</v>
      </c>
      <c r="FA81">
        <v>-2.6399999999999997</v>
      </c>
      <c r="FB81">
        <v>22</v>
      </c>
      <c r="FC81">
        <v>-0.72</v>
      </c>
      <c r="FD81">
        <v>-0.88000000000000012</v>
      </c>
      <c r="FE81">
        <v>5</v>
      </c>
      <c r="FF81">
        <v>9.75</v>
      </c>
      <c r="FG81">
        <v>1</v>
      </c>
      <c r="FH81">
        <v>1.2883281346094567E-3</v>
      </c>
      <c r="FI81">
        <v>12</v>
      </c>
      <c r="FJ81">
        <v>3.9482876602704983E-2</v>
      </c>
      <c r="FK81">
        <v>23</v>
      </c>
      <c r="FL81">
        <v>-12.923999999999996</v>
      </c>
      <c r="FM81">
        <v>3</v>
      </c>
      <c r="FN81">
        <v>7.3600000000000012</v>
      </c>
      <c r="FO81">
        <v>1.6400000000000019</v>
      </c>
      <c r="FP81">
        <v>-1.3999999999999997</v>
      </c>
      <c r="FQ81">
        <v>-1.0799999999999998</v>
      </c>
      <c r="FR81">
        <v>0.11999999999999886</v>
      </c>
      <c r="FS81">
        <v>-9.76</v>
      </c>
      <c r="FT81">
        <v>1.8800000000000001</v>
      </c>
      <c r="FU81">
        <v>-27.120000000000012</v>
      </c>
      <c r="FV81">
        <v>-25.96</v>
      </c>
      <c r="FW81">
        <v>-7.2</v>
      </c>
      <c r="FX81">
        <v>6.4799999999999995</v>
      </c>
      <c r="FY81">
        <v>-0.44000000000000022</v>
      </c>
      <c r="FZ81">
        <v>18</v>
      </c>
      <c r="GA81">
        <v>-1.2104000000000021</v>
      </c>
      <c r="GB81">
        <v>-0.9452799999999999</v>
      </c>
      <c r="GC81">
        <v>-18.760000000000002</v>
      </c>
      <c r="GD81">
        <v>1.2104000000000017</v>
      </c>
      <c r="GE81">
        <v>-2.9612999999999996</v>
      </c>
      <c r="GF81">
        <v>-8.5799999999999983</v>
      </c>
      <c r="GG81">
        <v>-31.319999999999997</v>
      </c>
      <c r="GH81">
        <v>-4.6639999999999997</v>
      </c>
      <c r="GI81">
        <v>-12.240000000000002</v>
      </c>
      <c r="GJ81">
        <v>1.3600000000000003</v>
      </c>
      <c r="GK81">
        <v>-0.8</v>
      </c>
    </row>
    <row r="82" spans="1:193" x14ac:dyDescent="0.2">
      <c r="A82" s="39">
        <v>43751</v>
      </c>
      <c r="B82" s="22" t="s">
        <v>252</v>
      </c>
      <c r="C82" s="41" t="s">
        <v>298</v>
      </c>
      <c r="D82" s="22" t="s">
        <v>291</v>
      </c>
      <c r="E82">
        <v>15.8</v>
      </c>
      <c r="F82">
        <v>26.5</v>
      </c>
      <c r="G82">
        <v>10.199999999999999</v>
      </c>
      <c r="H82">
        <v>11.8</v>
      </c>
      <c r="I82">
        <v>7</v>
      </c>
      <c r="J82">
        <v>43.5</v>
      </c>
      <c r="K82" t="s">
        <v>110</v>
      </c>
      <c r="L82" s="1" t="s">
        <v>298</v>
      </c>
      <c r="M82">
        <v>26</v>
      </c>
      <c r="N82">
        <v>-4.1424000000000003</v>
      </c>
      <c r="O82">
        <v>19</v>
      </c>
      <c r="P82">
        <v>20.5</v>
      </c>
      <c r="Q82">
        <v>13</v>
      </c>
      <c r="R82">
        <v>1.5399999999999998</v>
      </c>
      <c r="S82">
        <v>28</v>
      </c>
      <c r="T82">
        <v>-4.7199999999999971</v>
      </c>
      <c r="U82">
        <v>2.74</v>
      </c>
      <c r="V82">
        <v>24</v>
      </c>
      <c r="W82">
        <v>24</v>
      </c>
      <c r="X82">
        <v>27</v>
      </c>
      <c r="Y82">
        <v>-3.8440000000000003</v>
      </c>
      <c r="Z82">
        <v>21</v>
      </c>
      <c r="AA82">
        <v>-7.2000000000000011</v>
      </c>
      <c r="AB82">
        <v>-1.92</v>
      </c>
      <c r="AC82">
        <v>31</v>
      </c>
      <c r="AD82">
        <v>31</v>
      </c>
      <c r="AE82">
        <v>30</v>
      </c>
      <c r="AF82">
        <v>-1.7920000000000005</v>
      </c>
      <c r="AG82">
        <v>32</v>
      </c>
      <c r="AH82">
        <v>-6.4399999999999977</v>
      </c>
      <c r="AI82">
        <v>-8.0000000000000071E-2</v>
      </c>
      <c r="AJ82">
        <v>21</v>
      </c>
      <c r="AK82">
        <v>20.5</v>
      </c>
      <c r="AL82">
        <v>21</v>
      </c>
      <c r="AM82">
        <v>1.4119999999999997</v>
      </c>
      <c r="AN82">
        <v>20</v>
      </c>
      <c r="AO82">
        <v>9.24</v>
      </c>
      <c r="AP82">
        <v>-0.4</v>
      </c>
      <c r="AQ82">
        <v>6</v>
      </c>
      <c r="AR82">
        <v>6</v>
      </c>
      <c r="AS82">
        <v>7</v>
      </c>
      <c r="AT82">
        <v>-1.8600000000000008</v>
      </c>
      <c r="AU82">
        <v>5</v>
      </c>
      <c r="AV82">
        <v>-0.55999999999999939</v>
      </c>
      <c r="AW82">
        <v>-0.36</v>
      </c>
      <c r="AX82">
        <v>24</v>
      </c>
      <c r="AY82">
        <v>25</v>
      </c>
      <c r="AZ82">
        <v>24</v>
      </c>
      <c r="BA82">
        <v>-0.67199999999999993</v>
      </c>
      <c r="BB82">
        <v>26</v>
      </c>
      <c r="BC82">
        <v>1.2799999999999983</v>
      </c>
      <c r="BD82">
        <v>-1</v>
      </c>
      <c r="BE82">
        <v>14</v>
      </c>
      <c r="BF82">
        <v>13.5</v>
      </c>
      <c r="BG82">
        <v>13</v>
      </c>
      <c r="BH82">
        <v>-6.6320000000000006</v>
      </c>
      <c r="BI82">
        <v>-34.4</v>
      </c>
      <c r="BJ82">
        <v>-3.6400000000000006</v>
      </c>
      <c r="BK82">
        <v>14</v>
      </c>
      <c r="BL82">
        <v>13.5</v>
      </c>
      <c r="BM82">
        <v>19</v>
      </c>
      <c r="BN82">
        <v>-3.1999999999999997</v>
      </c>
      <c r="BO82">
        <v>8</v>
      </c>
      <c r="BP82">
        <v>-0.88000000000000012</v>
      </c>
      <c r="BQ82">
        <v>1.4</v>
      </c>
      <c r="BR82">
        <v>8</v>
      </c>
      <c r="BS82">
        <v>12</v>
      </c>
      <c r="BT82">
        <v>2</v>
      </c>
      <c r="BU82">
        <v>5.5602477762056512E-2</v>
      </c>
      <c r="BV82">
        <v>17</v>
      </c>
      <c r="BW82">
        <v>5.7807328641446554E-2</v>
      </c>
      <c r="BX82">
        <v>12</v>
      </c>
      <c r="BY82">
        <v>13.180000000000001</v>
      </c>
      <c r="BZ82">
        <v>17</v>
      </c>
      <c r="CA82">
        <v>4.4400000000000004</v>
      </c>
      <c r="CB82">
        <v>-5.3600000000000012</v>
      </c>
      <c r="CC82">
        <v>-7.24</v>
      </c>
      <c r="CD82">
        <v>2.76</v>
      </c>
      <c r="CE82">
        <v>-76.239999999999981</v>
      </c>
      <c r="CF82">
        <v>-43.960000000000008</v>
      </c>
      <c r="CG82">
        <v>-17.84</v>
      </c>
      <c r="CH82">
        <v>-4.1599999999999993</v>
      </c>
      <c r="CI82">
        <v>-10.28</v>
      </c>
      <c r="CJ82">
        <v>25</v>
      </c>
      <c r="CK82">
        <v>-1.8384</v>
      </c>
      <c r="CL82">
        <v>-1.4508800000000002</v>
      </c>
      <c r="CM82">
        <v>-26.120000000000008</v>
      </c>
      <c r="CN82">
        <v>1.8384</v>
      </c>
      <c r="CO82">
        <v>-2.3148</v>
      </c>
      <c r="CP82">
        <v>-2.2400000000000015</v>
      </c>
      <c r="CQ82">
        <v>2.2400000000000029</v>
      </c>
      <c r="CR82">
        <v>-2.3040000000000003</v>
      </c>
      <c r="CS82">
        <v>-11.919999999999998</v>
      </c>
      <c r="CT82">
        <v>-4.4800000000000004</v>
      </c>
      <c r="CU82">
        <v>0.82000000000000028</v>
      </c>
      <c r="CV82">
        <v>0.45087499999999991</v>
      </c>
      <c r="CW82">
        <v>0.46204999999999991</v>
      </c>
      <c r="CX82" t="s">
        <v>291</v>
      </c>
      <c r="CY82">
        <v>19</v>
      </c>
      <c r="CZ82">
        <v>-2.9936000000000007</v>
      </c>
      <c r="DA82">
        <v>6</v>
      </c>
      <c r="DB82">
        <v>8</v>
      </c>
      <c r="DC82">
        <v>4</v>
      </c>
      <c r="DD82">
        <v>5.5031999999999996</v>
      </c>
      <c r="DE82">
        <v>12</v>
      </c>
      <c r="DF82">
        <v>18.68</v>
      </c>
      <c r="DG82">
        <v>0.26000000000000006</v>
      </c>
      <c r="DH82">
        <v>22</v>
      </c>
      <c r="DI82">
        <v>19</v>
      </c>
      <c r="DJ82">
        <v>24</v>
      </c>
      <c r="DK82">
        <v>1.6200000000000003</v>
      </c>
      <c r="DL82">
        <v>14</v>
      </c>
      <c r="DM82">
        <v>-4.25</v>
      </c>
      <c r="DN82">
        <v>0.67</v>
      </c>
      <c r="DO82">
        <v>26</v>
      </c>
      <c r="DP82">
        <v>29.5</v>
      </c>
      <c r="DQ82">
        <v>30</v>
      </c>
      <c r="DR82">
        <v>-3.9120000000000004</v>
      </c>
      <c r="DS82">
        <v>29</v>
      </c>
      <c r="DT82">
        <v>-10.359999999999998</v>
      </c>
      <c r="DU82">
        <v>-0.28000000000000008</v>
      </c>
      <c r="DV82">
        <v>15</v>
      </c>
      <c r="DW82">
        <v>14</v>
      </c>
      <c r="DX82">
        <v>13</v>
      </c>
      <c r="DY82">
        <v>-1.1999999999999997</v>
      </c>
      <c r="DZ82">
        <v>15</v>
      </c>
      <c r="EA82">
        <v>-3.9599999999999982</v>
      </c>
      <c r="EB82">
        <v>0.15999999999999998</v>
      </c>
      <c r="EC82">
        <v>19</v>
      </c>
      <c r="ED82">
        <v>10.5</v>
      </c>
      <c r="EE82">
        <v>9</v>
      </c>
      <c r="EF82">
        <v>-0.49200000000000016</v>
      </c>
      <c r="EG82">
        <v>12</v>
      </c>
      <c r="EH82">
        <v>2.4399999999999991</v>
      </c>
      <c r="EI82">
        <v>0.67999999999999994</v>
      </c>
      <c r="EJ82">
        <v>8</v>
      </c>
      <c r="EK82">
        <v>8.5</v>
      </c>
      <c r="EL82">
        <v>10</v>
      </c>
      <c r="EM82">
        <v>-3.9200000000000017</v>
      </c>
      <c r="EN82">
        <v>7</v>
      </c>
      <c r="EO82">
        <v>-9.6000000000000032</v>
      </c>
      <c r="EP82">
        <v>-0.44000000000000022</v>
      </c>
      <c r="EQ82">
        <v>27</v>
      </c>
      <c r="ER82">
        <v>26</v>
      </c>
      <c r="ES82">
        <v>22</v>
      </c>
      <c r="ET82">
        <v>3.472</v>
      </c>
      <c r="EU82">
        <v>30</v>
      </c>
      <c r="EV82">
        <v>14.680000000000001</v>
      </c>
      <c r="EW82">
        <v>1.1199999999999999</v>
      </c>
      <c r="EX82">
        <v>7</v>
      </c>
      <c r="EY82">
        <v>7</v>
      </c>
      <c r="EZ82">
        <v>10</v>
      </c>
      <c r="FA82">
        <v>1.52</v>
      </c>
      <c r="FB82">
        <v>4</v>
      </c>
      <c r="FC82">
        <v>0.48</v>
      </c>
      <c r="FD82">
        <v>-1.9200000000000004</v>
      </c>
      <c r="FE82">
        <v>15</v>
      </c>
      <c r="FF82">
        <v>15.75</v>
      </c>
      <c r="FG82">
        <v>7</v>
      </c>
      <c r="FH82">
        <v>-2.1496512247217815E-2</v>
      </c>
      <c r="FI82">
        <v>7</v>
      </c>
      <c r="FJ82">
        <v>-6.2725163635416747E-3</v>
      </c>
      <c r="FK82">
        <v>28</v>
      </c>
      <c r="FL82">
        <v>12.676</v>
      </c>
      <c r="FM82">
        <v>21</v>
      </c>
      <c r="FN82">
        <v>-3</v>
      </c>
      <c r="FO82">
        <v>1.8000000000000014</v>
      </c>
      <c r="FP82">
        <v>0.44000000000000022</v>
      </c>
      <c r="FQ82">
        <v>0.48000000000000009</v>
      </c>
      <c r="FR82">
        <v>2.6399999999999992</v>
      </c>
      <c r="FS82">
        <v>1</v>
      </c>
      <c r="FT82">
        <v>-0.83999999999999986</v>
      </c>
      <c r="FU82">
        <v>10.520000000000005</v>
      </c>
      <c r="FV82">
        <v>-3.039999999999992</v>
      </c>
      <c r="FW82">
        <v>16.079999999999998</v>
      </c>
      <c r="FX82">
        <v>-0.39999999999999963</v>
      </c>
      <c r="FY82">
        <v>-2.12</v>
      </c>
      <c r="FZ82">
        <v>31</v>
      </c>
      <c r="GA82">
        <v>-10.116800000000001</v>
      </c>
      <c r="GB82">
        <v>-4.5867200000000006</v>
      </c>
      <c r="GC82">
        <v>-19.11999999999999</v>
      </c>
      <c r="GD82">
        <v>10.116800000000001</v>
      </c>
      <c r="GE82">
        <v>0.43969999999999987</v>
      </c>
      <c r="GF82">
        <v>-5.6040000000000001</v>
      </c>
      <c r="GG82">
        <v>-11.879999999999997</v>
      </c>
      <c r="GH82">
        <v>7.1231999999999998</v>
      </c>
      <c r="GI82">
        <v>14.43</v>
      </c>
      <c r="GJ82">
        <v>1.6799999999999997</v>
      </c>
      <c r="GK82">
        <v>0.93000000000000016</v>
      </c>
    </row>
    <row r="83" spans="1:193" x14ac:dyDescent="0.2">
      <c r="A83" s="39">
        <v>43751</v>
      </c>
      <c r="B83" s="22" t="s">
        <v>252</v>
      </c>
      <c r="C83" s="41" t="s">
        <v>294</v>
      </c>
      <c r="D83" s="22" t="s">
        <v>312</v>
      </c>
      <c r="E83">
        <v>23.6</v>
      </c>
      <c r="F83">
        <v>8.1999999999999993</v>
      </c>
      <c r="G83">
        <v>0</v>
      </c>
      <c r="H83">
        <f>9.8+8.4</f>
        <v>18.200000000000003</v>
      </c>
      <c r="I83">
        <v>3.5</v>
      </c>
      <c r="J83">
        <v>44</v>
      </c>
      <c r="L83" s="1" t="s">
        <v>294</v>
      </c>
      <c r="M83">
        <v>17</v>
      </c>
      <c r="N83">
        <v>-0.19040000000000176</v>
      </c>
      <c r="O83">
        <v>16</v>
      </c>
      <c r="P83">
        <v>16.5</v>
      </c>
      <c r="Q83">
        <v>18</v>
      </c>
      <c r="R83">
        <v>-4.4600000000000009</v>
      </c>
      <c r="S83">
        <v>15</v>
      </c>
      <c r="T83">
        <v>-18.84</v>
      </c>
      <c r="U83">
        <v>-0.83999999999999986</v>
      </c>
      <c r="V83">
        <v>9</v>
      </c>
      <c r="W83">
        <v>10.5</v>
      </c>
      <c r="X83">
        <v>16</v>
      </c>
      <c r="Y83">
        <v>0.1439999999999996</v>
      </c>
      <c r="Z83">
        <v>5</v>
      </c>
      <c r="AA83">
        <v>4.08</v>
      </c>
      <c r="AB83">
        <v>-0.48000000000000009</v>
      </c>
      <c r="AC83">
        <v>19</v>
      </c>
      <c r="AD83">
        <v>18.5</v>
      </c>
      <c r="AE83">
        <v>20</v>
      </c>
      <c r="AF83">
        <v>1.4319999999999999</v>
      </c>
      <c r="AG83">
        <v>17</v>
      </c>
      <c r="AH83">
        <v>-17.88</v>
      </c>
      <c r="AI83">
        <v>0.84000000000000008</v>
      </c>
      <c r="AJ83">
        <v>30</v>
      </c>
      <c r="AK83">
        <v>30</v>
      </c>
      <c r="AL83">
        <v>29</v>
      </c>
      <c r="AM83">
        <v>-2.3600000000000008</v>
      </c>
      <c r="AN83">
        <v>31</v>
      </c>
      <c r="AO83">
        <v>-6.4</v>
      </c>
      <c r="AP83">
        <v>-1.4</v>
      </c>
      <c r="AQ83">
        <v>23</v>
      </c>
      <c r="AR83">
        <v>23.5</v>
      </c>
      <c r="AS83">
        <v>24</v>
      </c>
      <c r="AT83">
        <v>-3.0880000000000001</v>
      </c>
      <c r="AU83">
        <v>23</v>
      </c>
      <c r="AV83">
        <v>-17.599999999999998</v>
      </c>
      <c r="AW83">
        <v>-0.44000000000000022</v>
      </c>
      <c r="AX83">
        <v>20</v>
      </c>
      <c r="AY83">
        <v>20</v>
      </c>
      <c r="AZ83">
        <v>19</v>
      </c>
      <c r="BA83">
        <v>7.9599999999999982</v>
      </c>
      <c r="BB83">
        <v>21</v>
      </c>
      <c r="BC83">
        <v>16</v>
      </c>
      <c r="BD83">
        <v>3.28</v>
      </c>
      <c r="BE83">
        <v>1</v>
      </c>
      <c r="BF83">
        <v>1</v>
      </c>
      <c r="BG83">
        <v>1</v>
      </c>
      <c r="BH83">
        <v>5.9719999999999995</v>
      </c>
      <c r="BI83">
        <v>22.6</v>
      </c>
      <c r="BJ83">
        <v>4.5999999999999996</v>
      </c>
      <c r="BK83">
        <v>23</v>
      </c>
      <c r="BL83">
        <v>22.5</v>
      </c>
      <c r="BM83">
        <v>24</v>
      </c>
      <c r="BN83">
        <v>-1.5999999999999999</v>
      </c>
      <c r="BO83">
        <v>21</v>
      </c>
      <c r="BP83">
        <v>-0.79999999999999982</v>
      </c>
      <c r="BQ83">
        <v>0.68000000000000038</v>
      </c>
      <c r="BR83">
        <v>6</v>
      </c>
      <c r="BS83">
        <v>10.25</v>
      </c>
      <c r="BT83">
        <v>16</v>
      </c>
      <c r="BU83">
        <v>1.6782138604225595E-2</v>
      </c>
      <c r="BV83">
        <v>4</v>
      </c>
      <c r="BW83">
        <v>-7.3512213604605484E-3</v>
      </c>
      <c r="BX83">
        <v>6</v>
      </c>
      <c r="BY83">
        <v>-2.4720000000000013</v>
      </c>
      <c r="BZ83">
        <v>15</v>
      </c>
      <c r="CA83">
        <v>-1.2800000000000002</v>
      </c>
      <c r="CB83">
        <v>0.15999999999999942</v>
      </c>
      <c r="CC83">
        <v>1.6</v>
      </c>
      <c r="CD83">
        <v>1.1199999999999997</v>
      </c>
      <c r="CE83">
        <v>-52.120000000000005</v>
      </c>
      <c r="CF83">
        <v>-37.56</v>
      </c>
      <c r="CG83">
        <v>-4.8799999999999981</v>
      </c>
      <c r="CH83">
        <v>-3.6799999999999997</v>
      </c>
      <c r="CI83">
        <v>-6</v>
      </c>
      <c r="CJ83">
        <v>10</v>
      </c>
      <c r="CK83">
        <v>4.1255999999999995</v>
      </c>
      <c r="CL83">
        <v>2.5111200000000005</v>
      </c>
      <c r="CM83">
        <v>-32.680000000000007</v>
      </c>
      <c r="CN83">
        <v>-4.1255999999999995</v>
      </c>
      <c r="CO83">
        <v>-0.51880000000000059</v>
      </c>
      <c r="CP83">
        <v>-4.0160000000000009</v>
      </c>
      <c r="CQ83">
        <v>-41.879999999999995</v>
      </c>
      <c r="CR83">
        <v>-4.3160000000000016</v>
      </c>
      <c r="CS83">
        <v>-14.76</v>
      </c>
      <c r="CT83">
        <v>3.5999999999999996</v>
      </c>
      <c r="CU83">
        <v>-1.3199999999999998</v>
      </c>
      <c r="CV83">
        <v>-8.989999999999998E-2</v>
      </c>
      <c r="CW83">
        <v>1.1196000000000002</v>
      </c>
      <c r="CX83" t="s">
        <v>312</v>
      </c>
      <c r="CY83">
        <v>7</v>
      </c>
      <c r="CZ83">
        <v>-1.5872000000000004</v>
      </c>
      <c r="DA83">
        <v>22</v>
      </c>
      <c r="DB83">
        <v>21.5</v>
      </c>
      <c r="DC83">
        <v>22</v>
      </c>
      <c r="DD83">
        <v>-6.2239999999999993</v>
      </c>
      <c r="DE83">
        <v>21</v>
      </c>
      <c r="DF83">
        <v>-8.76</v>
      </c>
      <c r="DG83">
        <v>-0.13999999999999999</v>
      </c>
      <c r="DH83">
        <v>8</v>
      </c>
      <c r="DI83">
        <v>11</v>
      </c>
      <c r="DJ83">
        <v>9</v>
      </c>
      <c r="DK83">
        <v>0.89200000000000013</v>
      </c>
      <c r="DL83">
        <v>13</v>
      </c>
      <c r="DM83">
        <v>5.2700000000000005</v>
      </c>
      <c r="DN83">
        <v>-0.29000000000000004</v>
      </c>
      <c r="DO83">
        <v>6</v>
      </c>
      <c r="DP83">
        <v>14.5</v>
      </c>
      <c r="DQ83">
        <v>15</v>
      </c>
      <c r="DR83">
        <v>-1.3640000000000003</v>
      </c>
      <c r="DS83">
        <v>14</v>
      </c>
      <c r="DT83">
        <v>-10.000000000000002</v>
      </c>
      <c r="DU83">
        <v>-1.7763568394002506E-16</v>
      </c>
      <c r="DV83">
        <v>4</v>
      </c>
      <c r="DW83">
        <v>5</v>
      </c>
      <c r="DX83">
        <v>3</v>
      </c>
      <c r="DY83">
        <v>-1.5</v>
      </c>
      <c r="DZ83">
        <v>7</v>
      </c>
      <c r="EA83">
        <v>-8.16</v>
      </c>
      <c r="EB83">
        <v>-0.28000000000000008</v>
      </c>
      <c r="EC83">
        <v>3</v>
      </c>
      <c r="ED83">
        <v>1</v>
      </c>
      <c r="EE83">
        <v>1</v>
      </c>
      <c r="EF83">
        <v>4.0559999999999992</v>
      </c>
      <c r="EG83">
        <v>1</v>
      </c>
      <c r="EH83">
        <v>14.440000000000001</v>
      </c>
      <c r="EI83">
        <v>1</v>
      </c>
      <c r="EJ83">
        <v>13</v>
      </c>
      <c r="EK83">
        <v>12.5</v>
      </c>
      <c r="EL83">
        <v>13</v>
      </c>
      <c r="EM83">
        <v>1.5239999999999998</v>
      </c>
      <c r="EN83">
        <v>12</v>
      </c>
      <c r="EO83">
        <v>6.0399999999999991</v>
      </c>
      <c r="EP83">
        <v>0.68</v>
      </c>
      <c r="EQ83">
        <v>18</v>
      </c>
      <c r="ER83">
        <v>16</v>
      </c>
      <c r="ES83">
        <v>20</v>
      </c>
      <c r="ET83">
        <v>-2.5080000000000005</v>
      </c>
      <c r="EU83">
        <v>12</v>
      </c>
      <c r="EV83">
        <v>-10.599999999999998</v>
      </c>
      <c r="EW83">
        <v>0.36</v>
      </c>
      <c r="EX83">
        <v>11</v>
      </c>
      <c r="EY83">
        <v>12</v>
      </c>
      <c r="EZ83">
        <v>11</v>
      </c>
      <c r="FA83">
        <v>-2.16</v>
      </c>
      <c r="FB83">
        <v>13</v>
      </c>
      <c r="FC83">
        <v>-0.32</v>
      </c>
      <c r="FD83">
        <v>-0.19999999999999987</v>
      </c>
      <c r="FE83">
        <v>7</v>
      </c>
      <c r="FF83">
        <v>12.25</v>
      </c>
      <c r="FG83">
        <v>19</v>
      </c>
      <c r="FH83">
        <v>4.8374956732376163E-2</v>
      </c>
      <c r="FI83">
        <v>13</v>
      </c>
      <c r="FJ83">
        <v>2.154514587031681E-2</v>
      </c>
      <c r="FK83">
        <v>1</v>
      </c>
      <c r="FL83">
        <v>-9.2479999999999958</v>
      </c>
      <c r="FM83">
        <v>16</v>
      </c>
      <c r="FN83">
        <v>2.12</v>
      </c>
      <c r="FO83">
        <v>-8.000000000000114E-2</v>
      </c>
      <c r="FP83">
        <v>0.84000000000000052</v>
      </c>
      <c r="FQ83">
        <v>7.9999999999999988E-2</v>
      </c>
      <c r="FR83">
        <v>1.8799999999999997</v>
      </c>
      <c r="FS83">
        <v>-4.88</v>
      </c>
      <c r="FT83">
        <v>-0.83999999999999986</v>
      </c>
      <c r="FU83">
        <v>-38.879999999999995</v>
      </c>
      <c r="FV83">
        <v>-28.159999999999997</v>
      </c>
      <c r="FW83">
        <v>-0.68000000000000116</v>
      </c>
      <c r="FX83">
        <v>-8.1999999999999993</v>
      </c>
      <c r="FY83">
        <v>-1.8399999999999999</v>
      </c>
      <c r="FZ83">
        <v>7</v>
      </c>
      <c r="GA83">
        <v>3.7447999999999988</v>
      </c>
      <c r="GB83">
        <v>2.0853599999999988</v>
      </c>
      <c r="GC83">
        <v>-27.479999999999997</v>
      </c>
      <c r="GD83">
        <v>-3.7447999999999988</v>
      </c>
      <c r="GE83">
        <v>-1.2994000000000001</v>
      </c>
      <c r="GF83">
        <v>1.1919999999999988</v>
      </c>
      <c r="GG83">
        <v>-3.7200000000000024</v>
      </c>
      <c r="GH83">
        <v>-5.331999999999999</v>
      </c>
      <c r="GI83">
        <v>-3.4899999999999993</v>
      </c>
      <c r="GJ83">
        <v>1.0799999999999996</v>
      </c>
      <c r="GK83">
        <v>-0.43000000000000005</v>
      </c>
    </row>
    <row r="84" spans="1:193" x14ac:dyDescent="0.2">
      <c r="A84" s="39">
        <v>43751</v>
      </c>
      <c r="B84" s="22" t="s">
        <v>252</v>
      </c>
      <c r="C84" s="41" t="s">
        <v>309</v>
      </c>
      <c r="D84" s="22" t="s">
        <v>287</v>
      </c>
      <c r="E84">
        <v>1.7</v>
      </c>
      <c r="F84">
        <v>3.4</v>
      </c>
      <c r="G84">
        <v>2.1</v>
      </c>
      <c r="H84">
        <v>3</v>
      </c>
      <c r="I84">
        <v>6</v>
      </c>
      <c r="J84">
        <v>42.5</v>
      </c>
      <c r="L84" s="1" t="s">
        <v>309</v>
      </c>
      <c r="M84">
        <v>19</v>
      </c>
      <c r="N84">
        <v>-0.99919999999999976</v>
      </c>
      <c r="O84">
        <v>12</v>
      </c>
      <c r="P84">
        <v>14.5</v>
      </c>
      <c r="Q84">
        <v>9</v>
      </c>
      <c r="R84">
        <v>-0.90000000000000069</v>
      </c>
      <c r="S84">
        <v>20</v>
      </c>
      <c r="T84">
        <v>-14.919999999999998</v>
      </c>
      <c r="U84">
        <v>0.44000000000000011</v>
      </c>
      <c r="V84">
        <v>9</v>
      </c>
      <c r="W84">
        <v>10.5</v>
      </c>
      <c r="X84">
        <v>11</v>
      </c>
      <c r="Y84">
        <v>-8.0000000000000598E-2</v>
      </c>
      <c r="Z84">
        <v>10</v>
      </c>
      <c r="AA84">
        <v>-9.84</v>
      </c>
      <c r="AB84">
        <v>0.32000000000000012</v>
      </c>
      <c r="AC84">
        <v>13</v>
      </c>
      <c r="AD84">
        <v>14.5</v>
      </c>
      <c r="AE84">
        <v>19</v>
      </c>
      <c r="AF84">
        <v>1.1320000000000008</v>
      </c>
      <c r="AG84">
        <v>10</v>
      </c>
      <c r="AH84">
        <v>7.9999999999999982</v>
      </c>
      <c r="AI84">
        <v>-0.51999999999999991</v>
      </c>
      <c r="AJ84">
        <v>17</v>
      </c>
      <c r="AK84">
        <v>17.5</v>
      </c>
      <c r="AL84">
        <v>19</v>
      </c>
      <c r="AM84">
        <v>-2.5600000000000005</v>
      </c>
      <c r="AN84">
        <v>16</v>
      </c>
      <c r="AO84">
        <v>-19.560000000000002</v>
      </c>
      <c r="AP84">
        <v>-0.20000000000000018</v>
      </c>
      <c r="AQ84">
        <v>18</v>
      </c>
      <c r="AR84">
        <v>17.5</v>
      </c>
      <c r="AS84">
        <v>20</v>
      </c>
      <c r="AT84">
        <v>-0.37199999999999989</v>
      </c>
      <c r="AU84">
        <v>15</v>
      </c>
      <c r="AV84">
        <v>-1.1999999999999997</v>
      </c>
      <c r="AW84">
        <v>7.9999999999999932E-2</v>
      </c>
      <c r="AX84">
        <v>31</v>
      </c>
      <c r="AY84">
        <v>31.5</v>
      </c>
      <c r="AZ84">
        <v>32</v>
      </c>
      <c r="BA84">
        <v>-3.148000000000001</v>
      </c>
      <c r="BB84">
        <v>31</v>
      </c>
      <c r="BC84">
        <v>-24.279999999999994</v>
      </c>
      <c r="BD84">
        <v>-0.11999999999999993</v>
      </c>
      <c r="BE84">
        <v>28</v>
      </c>
      <c r="BF84">
        <v>27.5</v>
      </c>
      <c r="BG84">
        <v>24</v>
      </c>
      <c r="BH84">
        <v>-0.77200000000000024</v>
      </c>
      <c r="BI84">
        <v>-14.479999999999999</v>
      </c>
      <c r="BJ84">
        <v>-0.76</v>
      </c>
      <c r="BK84">
        <v>3</v>
      </c>
      <c r="BL84">
        <v>5.5</v>
      </c>
      <c r="BM84">
        <v>5</v>
      </c>
      <c r="BN84">
        <v>2.0400000000000005</v>
      </c>
      <c r="BO84">
        <v>6</v>
      </c>
      <c r="BP84">
        <v>7.999999999999996E-2</v>
      </c>
      <c r="BQ84">
        <v>3.0799999999999992</v>
      </c>
      <c r="BR84">
        <v>12</v>
      </c>
      <c r="BS84">
        <v>13.25</v>
      </c>
      <c r="BT84">
        <v>9</v>
      </c>
      <c r="BU84">
        <v>-7.0619516488219111E-2</v>
      </c>
      <c r="BV84">
        <v>20</v>
      </c>
      <c r="BW84">
        <v>-4.3432333815609049E-2</v>
      </c>
      <c r="BX84">
        <v>19</v>
      </c>
      <c r="BY84">
        <v>-0.27199999999999702</v>
      </c>
      <c r="BZ84">
        <v>5</v>
      </c>
      <c r="CA84">
        <v>-4.04</v>
      </c>
      <c r="CB84">
        <v>-4.3599999999999994</v>
      </c>
      <c r="CC84">
        <v>2.1999999999999997</v>
      </c>
      <c r="CD84">
        <v>-1.4</v>
      </c>
      <c r="CE84">
        <v>-56.480000000000004</v>
      </c>
      <c r="CF84">
        <v>-23.240000000000009</v>
      </c>
      <c r="CG84">
        <v>-24.080000000000005</v>
      </c>
      <c r="CH84">
        <v>-5.2</v>
      </c>
      <c r="CI84">
        <v>-3.9599999999999995</v>
      </c>
      <c r="CJ84">
        <v>20</v>
      </c>
      <c r="CK84">
        <v>-1.9199999999998468E-2</v>
      </c>
      <c r="CL84">
        <v>-0.22423999999999933</v>
      </c>
      <c r="CM84">
        <v>0.83999999999999631</v>
      </c>
      <c r="CN84">
        <v>1.9199999999998441E-2</v>
      </c>
      <c r="CO84">
        <v>-0.31390000000000001</v>
      </c>
      <c r="CP84">
        <v>-1.7999999999999996</v>
      </c>
      <c r="CQ84">
        <v>-12.760000000000003</v>
      </c>
      <c r="CR84">
        <v>-0.98000000000000131</v>
      </c>
      <c r="CS84">
        <v>-24.759999999999998</v>
      </c>
      <c r="CT84">
        <v>-1.4000000000000001</v>
      </c>
      <c r="CU84">
        <v>0.76000000000000023</v>
      </c>
      <c r="CV84">
        <v>-1.0772999999999999</v>
      </c>
      <c r="CW84">
        <v>-1.532</v>
      </c>
      <c r="CX84" t="s">
        <v>287</v>
      </c>
      <c r="CY84">
        <v>26</v>
      </c>
      <c r="CZ84">
        <v>-1.0447999999999993</v>
      </c>
      <c r="DA84">
        <v>7</v>
      </c>
      <c r="DB84">
        <v>10</v>
      </c>
      <c r="DC84">
        <v>11</v>
      </c>
      <c r="DD84">
        <v>5.0440000000000014</v>
      </c>
      <c r="DE84">
        <v>9</v>
      </c>
      <c r="DF84">
        <v>18</v>
      </c>
      <c r="DG84">
        <v>-0.86</v>
      </c>
      <c r="DH84">
        <v>21</v>
      </c>
      <c r="DI84">
        <v>18.5</v>
      </c>
      <c r="DJ84">
        <v>9</v>
      </c>
      <c r="DK84">
        <v>-1.4320000000000002</v>
      </c>
      <c r="DL84">
        <v>28</v>
      </c>
      <c r="DM84">
        <v>-4.8</v>
      </c>
      <c r="DN84">
        <v>-0.96</v>
      </c>
      <c r="DO84">
        <v>28</v>
      </c>
      <c r="DP84">
        <v>26.5</v>
      </c>
      <c r="DQ84">
        <v>26</v>
      </c>
      <c r="DR84">
        <v>0.30800000000000055</v>
      </c>
      <c r="DS84">
        <v>27</v>
      </c>
      <c r="DT84">
        <v>-2.6400000000000006</v>
      </c>
      <c r="DU84">
        <v>-1.4400000000000002</v>
      </c>
      <c r="DV84">
        <v>21</v>
      </c>
      <c r="DW84">
        <v>22</v>
      </c>
      <c r="DX84">
        <v>22</v>
      </c>
      <c r="DY84">
        <v>-3.5720000000000001</v>
      </c>
      <c r="DZ84">
        <v>22</v>
      </c>
      <c r="EA84">
        <v>-14.319999999999999</v>
      </c>
      <c r="EB84">
        <v>-1.2799999999999998</v>
      </c>
      <c r="EC84">
        <v>18</v>
      </c>
      <c r="ED84">
        <v>20.5</v>
      </c>
      <c r="EE84">
        <v>23</v>
      </c>
      <c r="EF84">
        <v>-2.1359999999999997</v>
      </c>
      <c r="EG84">
        <v>18</v>
      </c>
      <c r="EH84">
        <v>-4.4000000000000004</v>
      </c>
      <c r="EI84">
        <v>-2.76</v>
      </c>
      <c r="EJ84">
        <v>22</v>
      </c>
      <c r="EK84">
        <v>23</v>
      </c>
      <c r="EL84">
        <v>25</v>
      </c>
      <c r="EM84">
        <v>-2.7880000000000011</v>
      </c>
      <c r="EN84">
        <v>21</v>
      </c>
      <c r="EO84">
        <v>-9.08</v>
      </c>
      <c r="EP84">
        <v>-3.0000000000000004</v>
      </c>
      <c r="EQ84">
        <v>30</v>
      </c>
      <c r="ER84">
        <v>27.5</v>
      </c>
      <c r="ES84">
        <v>28</v>
      </c>
      <c r="ET84">
        <v>0.45199999999999962</v>
      </c>
      <c r="EU84">
        <v>27</v>
      </c>
      <c r="EV84">
        <v>-1.6000000000000014</v>
      </c>
      <c r="EW84">
        <v>-0.11999999999999993</v>
      </c>
      <c r="EX84">
        <v>3</v>
      </c>
      <c r="EY84">
        <v>3.5</v>
      </c>
      <c r="EZ84">
        <v>4</v>
      </c>
      <c r="FA84">
        <v>-2.6</v>
      </c>
      <c r="FB84">
        <v>3</v>
      </c>
      <c r="FC84">
        <v>0.11999999999999993</v>
      </c>
      <c r="FD84">
        <v>2.08</v>
      </c>
      <c r="FE84">
        <v>25</v>
      </c>
      <c r="FF84">
        <v>21.5</v>
      </c>
      <c r="FG84">
        <v>20</v>
      </c>
      <c r="FH84">
        <v>-1.9629488482797608E-2</v>
      </c>
      <c r="FI84">
        <v>25</v>
      </c>
      <c r="FJ84">
        <v>3.4603401641558409E-3</v>
      </c>
      <c r="FK84">
        <v>18</v>
      </c>
      <c r="FL84">
        <v>1.7000000000000028</v>
      </c>
      <c r="FM84">
        <v>23</v>
      </c>
      <c r="FN84">
        <v>-0.56000000000000016</v>
      </c>
      <c r="FO84">
        <v>-4.4399999999999995</v>
      </c>
      <c r="FP84">
        <v>-0.64000000000000057</v>
      </c>
      <c r="FQ84">
        <v>0.4</v>
      </c>
      <c r="FR84">
        <v>-7.4400000000000022</v>
      </c>
      <c r="FS84">
        <v>-0.44000000000000022</v>
      </c>
      <c r="FT84">
        <v>-0.55999999999999994</v>
      </c>
      <c r="FU84">
        <v>-4.0799999999999956</v>
      </c>
      <c r="FV84">
        <v>-13.319999999999999</v>
      </c>
      <c r="FW84">
        <v>10.279999999999998</v>
      </c>
      <c r="FX84">
        <v>1.3599999999999999</v>
      </c>
      <c r="FY84">
        <v>-2.3999999999999995</v>
      </c>
      <c r="FZ84">
        <v>26</v>
      </c>
      <c r="GA84">
        <v>-4.6568000000000005</v>
      </c>
      <c r="GB84">
        <v>-3.0045600000000006</v>
      </c>
      <c r="GC84">
        <v>-23.599999999999994</v>
      </c>
      <c r="GD84">
        <v>4.6568000000000005</v>
      </c>
      <c r="GE84">
        <v>-0.62259999999999982</v>
      </c>
      <c r="GF84">
        <v>-5.3999999999999986</v>
      </c>
      <c r="GG84">
        <v>-21.36</v>
      </c>
      <c r="GH84">
        <v>3.612000000000001</v>
      </c>
      <c r="GI84">
        <v>13.2</v>
      </c>
      <c r="GJ84">
        <v>-5.6</v>
      </c>
      <c r="GK84">
        <v>-1.8199999999999998</v>
      </c>
    </row>
    <row r="85" spans="1:193" x14ac:dyDescent="0.2">
      <c r="A85" s="39">
        <v>43751</v>
      </c>
      <c r="B85" s="22" t="s">
        <v>252</v>
      </c>
      <c r="C85" s="40" t="s">
        <v>256</v>
      </c>
      <c r="D85" s="22" t="s">
        <v>304</v>
      </c>
      <c r="E85">
        <v>7.5</v>
      </c>
      <c r="F85">
        <v>4.9000000000000004</v>
      </c>
      <c r="G85">
        <v>3.5</v>
      </c>
      <c r="H85">
        <f>21.3+1.8</f>
        <v>23.1</v>
      </c>
      <c r="I85">
        <v>3</v>
      </c>
      <c r="J85">
        <v>49.5</v>
      </c>
      <c r="K85" t="s">
        <v>109</v>
      </c>
      <c r="L85" s="1" t="s">
        <v>256</v>
      </c>
      <c r="M85">
        <v>28</v>
      </c>
      <c r="N85">
        <v>-4.6776</v>
      </c>
      <c r="O85">
        <v>26</v>
      </c>
      <c r="P85">
        <v>24.5</v>
      </c>
      <c r="Q85">
        <v>25</v>
      </c>
      <c r="R85">
        <v>-2.1528000000000005</v>
      </c>
      <c r="S85">
        <v>24</v>
      </c>
      <c r="T85">
        <v>13.48</v>
      </c>
      <c r="U85">
        <v>-2.04</v>
      </c>
      <c r="V85">
        <v>5</v>
      </c>
      <c r="W85">
        <v>8</v>
      </c>
      <c r="X85">
        <v>9</v>
      </c>
      <c r="Y85">
        <v>7.4544000000000015</v>
      </c>
      <c r="Z85">
        <v>7</v>
      </c>
      <c r="AA85">
        <v>41.6</v>
      </c>
      <c r="AB85">
        <v>0.4</v>
      </c>
      <c r="AC85">
        <v>23</v>
      </c>
      <c r="AD85">
        <v>22</v>
      </c>
      <c r="AE85">
        <v>24</v>
      </c>
      <c r="AF85">
        <v>-5.3151999999999999</v>
      </c>
      <c r="AG85">
        <v>20</v>
      </c>
      <c r="AH85">
        <v>-16.84</v>
      </c>
      <c r="AI85">
        <v>-2.9200000000000004</v>
      </c>
      <c r="AJ85">
        <v>27</v>
      </c>
      <c r="AK85">
        <v>27</v>
      </c>
      <c r="AL85">
        <v>25</v>
      </c>
      <c r="AM85">
        <v>-5.7960000000000012</v>
      </c>
      <c r="AN85">
        <v>29</v>
      </c>
      <c r="AO85">
        <v>-36.799999999999997</v>
      </c>
      <c r="AP85">
        <v>-2.3199999999999998</v>
      </c>
      <c r="AQ85">
        <v>13</v>
      </c>
      <c r="AR85">
        <v>14.5</v>
      </c>
      <c r="AS85">
        <v>16</v>
      </c>
      <c r="AT85">
        <v>-0.71200000000000008</v>
      </c>
      <c r="AU85">
        <v>13</v>
      </c>
      <c r="AV85">
        <v>-6.6400000000000006</v>
      </c>
      <c r="AW85">
        <v>-0.51999999999999991</v>
      </c>
      <c r="AX85">
        <v>19</v>
      </c>
      <c r="AY85">
        <v>19.5</v>
      </c>
      <c r="AZ85">
        <v>20</v>
      </c>
      <c r="BA85">
        <v>-3.7600000000000025</v>
      </c>
      <c r="BB85">
        <v>19</v>
      </c>
      <c r="BC85">
        <v>-12</v>
      </c>
      <c r="BD85">
        <v>-3.5200000000000005</v>
      </c>
      <c r="BE85">
        <v>17</v>
      </c>
      <c r="BF85">
        <v>17.5</v>
      </c>
      <c r="BG85">
        <v>16</v>
      </c>
      <c r="BH85">
        <v>2.54</v>
      </c>
      <c r="BI85">
        <v>14.76</v>
      </c>
      <c r="BJ85">
        <v>1.28</v>
      </c>
      <c r="BK85">
        <v>17</v>
      </c>
      <c r="BL85">
        <v>16</v>
      </c>
      <c r="BM85">
        <v>15</v>
      </c>
      <c r="BN85">
        <v>-0.71999999999999953</v>
      </c>
      <c r="BO85">
        <v>17</v>
      </c>
      <c r="BP85">
        <v>0.51999999999999991</v>
      </c>
      <c r="BQ85">
        <v>5.2</v>
      </c>
      <c r="BR85">
        <v>21</v>
      </c>
      <c r="BS85">
        <v>17.75</v>
      </c>
      <c r="BT85">
        <v>19</v>
      </c>
      <c r="BU85">
        <v>-9.5543356539650917E-2</v>
      </c>
      <c r="BV85">
        <v>3</v>
      </c>
      <c r="BW85">
        <v>-2.7369812667338976E-2</v>
      </c>
      <c r="BX85">
        <v>29</v>
      </c>
      <c r="BY85">
        <v>-2.295999999999998</v>
      </c>
      <c r="BZ85">
        <v>20</v>
      </c>
      <c r="CA85">
        <v>-0.76</v>
      </c>
      <c r="CB85">
        <v>3.680000000000001</v>
      </c>
      <c r="CC85">
        <v>2</v>
      </c>
      <c r="CD85">
        <v>1.24</v>
      </c>
      <c r="CE85">
        <v>25.560000000000002</v>
      </c>
      <c r="CF85">
        <v>-30.72</v>
      </c>
      <c r="CG85">
        <v>68.52000000000001</v>
      </c>
      <c r="CH85">
        <v>3.1999999999999997</v>
      </c>
      <c r="CI85">
        <v>-15.440000000000001</v>
      </c>
      <c r="CJ85">
        <v>30</v>
      </c>
      <c r="CK85">
        <v>-9.9792000000000005</v>
      </c>
      <c r="CL85">
        <v>-5.4429600000000011</v>
      </c>
      <c r="CM85">
        <v>-99.240000000000009</v>
      </c>
      <c r="CN85">
        <v>9.9792000000000005</v>
      </c>
      <c r="CO85">
        <v>-1.1724000000000001</v>
      </c>
      <c r="CP85">
        <v>-11.8232</v>
      </c>
      <c r="CQ85">
        <v>-60.28</v>
      </c>
      <c r="CR85">
        <v>5.3016000000000005</v>
      </c>
      <c r="CS85">
        <v>55.08</v>
      </c>
      <c r="CT85">
        <v>-4.4799999999999995</v>
      </c>
      <c r="CU85">
        <v>-1.6400000000000001</v>
      </c>
      <c r="CV85">
        <v>-2.0659999999999998</v>
      </c>
      <c r="CW85">
        <v>-4.3029999999999999</v>
      </c>
      <c r="CX85" t="s">
        <v>304</v>
      </c>
      <c r="CY85">
        <v>16</v>
      </c>
      <c r="CZ85">
        <v>-4.719999999999995E-2</v>
      </c>
      <c r="DA85">
        <v>17</v>
      </c>
      <c r="DB85">
        <v>18</v>
      </c>
      <c r="DC85">
        <v>20</v>
      </c>
      <c r="DD85">
        <v>0.9472000000000016</v>
      </c>
      <c r="DE85">
        <v>16</v>
      </c>
      <c r="DF85">
        <v>5.9199999999999964</v>
      </c>
      <c r="DG85">
        <v>0.2</v>
      </c>
      <c r="DH85">
        <v>4</v>
      </c>
      <c r="DI85">
        <v>6.5</v>
      </c>
      <c r="DJ85">
        <v>7</v>
      </c>
      <c r="DK85">
        <v>-1.052</v>
      </c>
      <c r="DL85">
        <v>6</v>
      </c>
      <c r="DM85">
        <v>-9.64</v>
      </c>
      <c r="DN85">
        <v>-0.6</v>
      </c>
      <c r="DO85">
        <v>19</v>
      </c>
      <c r="DP85">
        <v>19.5</v>
      </c>
      <c r="DQ85">
        <v>17</v>
      </c>
      <c r="DR85">
        <v>-1.6359999999999997</v>
      </c>
      <c r="DS85">
        <v>22</v>
      </c>
      <c r="DT85">
        <v>-6.8799999999999981</v>
      </c>
      <c r="DU85">
        <v>0.16000000000000014</v>
      </c>
      <c r="DV85">
        <v>11</v>
      </c>
      <c r="DW85">
        <v>13</v>
      </c>
      <c r="DX85">
        <v>10</v>
      </c>
      <c r="DY85">
        <v>2.1960000000000002</v>
      </c>
      <c r="DZ85">
        <v>16</v>
      </c>
      <c r="EA85">
        <v>6.7200000000000015</v>
      </c>
      <c r="EB85">
        <v>-4.0000000000000216E-2</v>
      </c>
      <c r="EC85">
        <v>2</v>
      </c>
      <c r="ED85">
        <v>2</v>
      </c>
      <c r="EE85">
        <v>2</v>
      </c>
      <c r="EF85">
        <v>-0.97600000000000031</v>
      </c>
      <c r="EG85">
        <v>2</v>
      </c>
      <c r="EH85">
        <v>-2.0399999999999991</v>
      </c>
      <c r="EI85">
        <v>0</v>
      </c>
      <c r="EJ85">
        <v>14</v>
      </c>
      <c r="EK85">
        <v>14</v>
      </c>
      <c r="EL85">
        <v>11</v>
      </c>
      <c r="EM85">
        <v>-1.1800000000000008</v>
      </c>
      <c r="EN85">
        <v>17</v>
      </c>
      <c r="EO85">
        <v>-8.6</v>
      </c>
      <c r="EP85">
        <v>2.2799999999999998</v>
      </c>
      <c r="EQ85">
        <v>25</v>
      </c>
      <c r="ER85">
        <v>24.5</v>
      </c>
      <c r="ES85">
        <v>29</v>
      </c>
      <c r="ET85">
        <v>1.599999999999966E-2</v>
      </c>
      <c r="EU85">
        <v>20</v>
      </c>
      <c r="EV85">
        <v>2.0799999999999983</v>
      </c>
      <c r="EW85">
        <v>0.60000000000000009</v>
      </c>
      <c r="EX85">
        <v>28</v>
      </c>
      <c r="EY85">
        <v>26.5</v>
      </c>
      <c r="EZ85">
        <v>29</v>
      </c>
      <c r="FA85">
        <v>1.92</v>
      </c>
      <c r="FB85">
        <v>24</v>
      </c>
      <c r="FC85">
        <v>0.27999999999999997</v>
      </c>
      <c r="FD85">
        <v>-1.1999999999999997</v>
      </c>
      <c r="FE85">
        <v>14</v>
      </c>
      <c r="FF85">
        <v>15</v>
      </c>
      <c r="FG85">
        <v>22</v>
      </c>
      <c r="FH85">
        <v>3.9376517957391853E-2</v>
      </c>
      <c r="FI85">
        <v>10</v>
      </c>
      <c r="FJ85">
        <v>-2.4967715296170406E-2</v>
      </c>
      <c r="FK85">
        <v>22</v>
      </c>
      <c r="FL85">
        <v>5.2039999999999988</v>
      </c>
      <c r="FM85">
        <v>6</v>
      </c>
      <c r="FN85">
        <v>-1.0799999999999998</v>
      </c>
      <c r="FO85">
        <v>1.320000000000001</v>
      </c>
      <c r="FP85">
        <v>1.9600000000000002</v>
      </c>
      <c r="FQ85">
        <v>-8.0000000000000071E-2</v>
      </c>
      <c r="FR85">
        <v>2.3600000000000008</v>
      </c>
      <c r="FS85">
        <v>2.5200000000000005</v>
      </c>
      <c r="FT85">
        <v>-0.35999999999999993</v>
      </c>
      <c r="FU85">
        <v>-15.720000000000004</v>
      </c>
      <c r="FV85">
        <v>-3.9599999999999964</v>
      </c>
      <c r="FW85">
        <v>-4.7199999999999989</v>
      </c>
      <c r="FX85">
        <v>-4.3199999999999994</v>
      </c>
      <c r="FY85">
        <v>-2.72</v>
      </c>
      <c r="FZ85">
        <v>17</v>
      </c>
      <c r="GA85">
        <v>5.7599999999998541E-2</v>
      </c>
      <c r="GB85">
        <v>-3.7040000000000781E-2</v>
      </c>
      <c r="GC85">
        <v>0.76000000000000245</v>
      </c>
      <c r="GD85">
        <v>-5.75999999999985E-2</v>
      </c>
      <c r="GE85">
        <v>0.17100000000000018</v>
      </c>
      <c r="GF85">
        <v>-0.41599999999999981</v>
      </c>
      <c r="GG85">
        <v>-2.1999999999999957</v>
      </c>
      <c r="GH85">
        <v>-0.10479999999999845</v>
      </c>
      <c r="GI85">
        <v>-3.7200000000000042</v>
      </c>
      <c r="GJ85">
        <v>0.72</v>
      </c>
      <c r="GK85">
        <v>-0.39999999999999997</v>
      </c>
    </row>
    <row r="86" spans="1:193" x14ac:dyDescent="0.2">
      <c r="A86" s="39">
        <v>43751</v>
      </c>
      <c r="B86" s="22" t="s">
        <v>252</v>
      </c>
      <c r="C86" s="41" t="s">
        <v>308</v>
      </c>
      <c r="D86" s="22" t="s">
        <v>281</v>
      </c>
      <c r="E86">
        <v>12.8</v>
      </c>
      <c r="F86">
        <v>11.3</v>
      </c>
      <c r="G86" s="14">
        <v>17.899999999999999</v>
      </c>
      <c r="H86" s="22"/>
      <c r="I86" s="22">
        <v>1</v>
      </c>
      <c r="J86" s="22">
        <v>45.5</v>
      </c>
      <c r="K86" t="s">
        <v>110</v>
      </c>
      <c r="L86" s="1" t="s">
        <v>308</v>
      </c>
      <c r="M86">
        <v>5</v>
      </c>
      <c r="N86">
        <v>5.4768000000000008</v>
      </c>
      <c r="O86">
        <v>3</v>
      </c>
      <c r="P86">
        <v>6</v>
      </c>
      <c r="Q86">
        <v>10</v>
      </c>
      <c r="R86">
        <v>1.1239999999999988</v>
      </c>
      <c r="S86">
        <v>2</v>
      </c>
      <c r="T86">
        <v>4.3599999999999977</v>
      </c>
      <c r="U86">
        <v>-0.15999999999999998</v>
      </c>
      <c r="V86">
        <v>1</v>
      </c>
      <c r="W86">
        <v>1.5</v>
      </c>
      <c r="X86">
        <v>2</v>
      </c>
      <c r="Y86">
        <v>-0.28559999999999908</v>
      </c>
      <c r="Z86">
        <v>1</v>
      </c>
      <c r="AA86">
        <v>-4.68</v>
      </c>
      <c r="AB86">
        <v>-0.6</v>
      </c>
      <c r="AC86">
        <v>19</v>
      </c>
      <c r="AD86">
        <v>18.5</v>
      </c>
      <c r="AE86">
        <v>15</v>
      </c>
      <c r="AF86">
        <v>2.4767999999999999</v>
      </c>
      <c r="AG86">
        <v>22</v>
      </c>
      <c r="AH86">
        <v>9.1199999999999992</v>
      </c>
      <c r="AI86">
        <v>-0.64</v>
      </c>
      <c r="AJ86">
        <v>12</v>
      </c>
      <c r="AK86">
        <v>11.5</v>
      </c>
      <c r="AL86">
        <v>12</v>
      </c>
      <c r="AM86">
        <v>-2.1360000000000001</v>
      </c>
      <c r="AN86">
        <v>11</v>
      </c>
      <c r="AO86">
        <v>-0.72000000000000031</v>
      </c>
      <c r="AP86">
        <v>-0.20000000000000018</v>
      </c>
      <c r="AQ86">
        <v>17</v>
      </c>
      <c r="AR86">
        <v>17</v>
      </c>
      <c r="AS86">
        <v>17</v>
      </c>
      <c r="AT86">
        <v>-1.04</v>
      </c>
      <c r="AU86">
        <v>17</v>
      </c>
      <c r="AV86">
        <v>0.91999999999999926</v>
      </c>
      <c r="AW86">
        <v>-4.0000000000000077E-2</v>
      </c>
      <c r="AX86">
        <v>24</v>
      </c>
      <c r="AY86">
        <v>25</v>
      </c>
      <c r="AZ86">
        <v>26</v>
      </c>
      <c r="BA86">
        <v>-0.1</v>
      </c>
      <c r="BB86">
        <v>24</v>
      </c>
      <c r="BC86">
        <v>3.8000000000000056</v>
      </c>
      <c r="BD86">
        <v>-1.8000000000000003</v>
      </c>
      <c r="BE86">
        <v>12</v>
      </c>
      <c r="BF86">
        <v>12.5</v>
      </c>
      <c r="BG86">
        <v>10</v>
      </c>
      <c r="BH86">
        <v>4.0399999999999991</v>
      </c>
      <c r="BI86">
        <v>11.64</v>
      </c>
      <c r="BJ86">
        <v>0.44000000000000011</v>
      </c>
      <c r="BK86">
        <v>8</v>
      </c>
      <c r="BL86">
        <v>8.5</v>
      </c>
      <c r="BM86">
        <v>9</v>
      </c>
      <c r="BN86">
        <v>-3.7599999999999993</v>
      </c>
      <c r="BO86">
        <v>8</v>
      </c>
      <c r="BP86">
        <v>-0.6</v>
      </c>
      <c r="BQ86">
        <v>8.0000000000000071E-2</v>
      </c>
      <c r="BR86">
        <v>12</v>
      </c>
      <c r="BS86">
        <v>13.25</v>
      </c>
      <c r="BT86">
        <v>11</v>
      </c>
      <c r="BU86">
        <v>2.9346748028822939E-2</v>
      </c>
      <c r="BV86">
        <v>5</v>
      </c>
      <c r="BW86">
        <v>1.5372710467381557E-2</v>
      </c>
      <c r="BX86">
        <v>21</v>
      </c>
      <c r="BY86">
        <v>11.400000000000002</v>
      </c>
      <c r="BZ86">
        <v>16</v>
      </c>
      <c r="CA86">
        <v>0.56000000000000028</v>
      </c>
      <c r="CB86">
        <v>-0.4799999999999997</v>
      </c>
      <c r="CC86">
        <v>0.24000000000000057</v>
      </c>
      <c r="CD86">
        <v>0.83999999999999986</v>
      </c>
      <c r="CE86">
        <v>13.879999999999995</v>
      </c>
      <c r="CF86">
        <v>19.52</v>
      </c>
      <c r="CG86">
        <v>-4.0400000000000009</v>
      </c>
      <c r="CH86">
        <v>-3.6</v>
      </c>
      <c r="CI86">
        <v>1.9999999999999987</v>
      </c>
      <c r="CJ86">
        <v>9</v>
      </c>
      <c r="CK86">
        <v>4.6384000000000007</v>
      </c>
      <c r="CL86">
        <v>1.34432</v>
      </c>
      <c r="CM86">
        <v>23.560000000000002</v>
      </c>
      <c r="CN86">
        <v>-4.6384000000000007</v>
      </c>
      <c r="CO86">
        <v>0.7370000000000001</v>
      </c>
      <c r="CP86">
        <v>-0.69920000000000027</v>
      </c>
      <c r="CQ86">
        <v>9.3199999999999985</v>
      </c>
      <c r="CR86">
        <v>0.8383999999999997</v>
      </c>
      <c r="CS86">
        <v>-0.32000000000000206</v>
      </c>
      <c r="CT86">
        <v>-0.44000000000000011</v>
      </c>
      <c r="CU86">
        <v>-0.76</v>
      </c>
      <c r="CV86">
        <v>9.4999999999999599E-2</v>
      </c>
      <c r="CW86">
        <v>1.9299999999999651E-2</v>
      </c>
      <c r="CX86" t="s">
        <v>281</v>
      </c>
      <c r="CY86">
        <v>11</v>
      </c>
      <c r="CZ86">
        <v>0.14159999999999934</v>
      </c>
      <c r="DA86">
        <v>19</v>
      </c>
      <c r="DB86">
        <v>20</v>
      </c>
      <c r="DC86">
        <v>20</v>
      </c>
      <c r="DD86">
        <v>-0.48800000000000027</v>
      </c>
      <c r="DE86">
        <v>20</v>
      </c>
      <c r="DF86">
        <v>5.599999999999997</v>
      </c>
      <c r="DG86">
        <v>-0.51999999999999991</v>
      </c>
      <c r="DH86">
        <v>25</v>
      </c>
      <c r="DI86">
        <v>22.5</v>
      </c>
      <c r="DJ86">
        <v>19</v>
      </c>
      <c r="DK86">
        <v>3.1279999999999992</v>
      </c>
      <c r="DL86">
        <v>26</v>
      </c>
      <c r="DM86">
        <v>7.3599999999999994</v>
      </c>
      <c r="DN86">
        <v>0.72</v>
      </c>
      <c r="DO86">
        <v>10</v>
      </c>
      <c r="DP86">
        <v>12</v>
      </c>
      <c r="DQ86">
        <v>13</v>
      </c>
      <c r="DR86">
        <v>-2.0759999999999996</v>
      </c>
      <c r="DS86">
        <v>11</v>
      </c>
      <c r="DT86">
        <v>-20.48</v>
      </c>
      <c r="DU86">
        <v>-1.1199999999999999</v>
      </c>
      <c r="DV86">
        <v>21</v>
      </c>
      <c r="DW86">
        <v>22</v>
      </c>
      <c r="DX86">
        <v>21</v>
      </c>
      <c r="DY86">
        <v>-0.36000000000000087</v>
      </c>
      <c r="DZ86">
        <v>23</v>
      </c>
      <c r="EA86">
        <v>6.8799999999999981</v>
      </c>
      <c r="EB86">
        <v>-0.92000000000000015</v>
      </c>
      <c r="EC86">
        <v>21</v>
      </c>
      <c r="ED86">
        <v>19.5</v>
      </c>
      <c r="EE86">
        <v>19</v>
      </c>
      <c r="EF86">
        <v>1.2999999999999996</v>
      </c>
      <c r="EG86">
        <v>20</v>
      </c>
      <c r="EH86">
        <v>4.08</v>
      </c>
      <c r="EI86">
        <v>0.84000000000000019</v>
      </c>
      <c r="EJ86">
        <v>10</v>
      </c>
      <c r="EK86">
        <v>11.5</v>
      </c>
      <c r="EL86">
        <v>12</v>
      </c>
      <c r="EM86">
        <v>-2.8320000000000012</v>
      </c>
      <c r="EN86">
        <v>11</v>
      </c>
      <c r="EO86">
        <v>-26.32</v>
      </c>
      <c r="EP86">
        <v>-2.52</v>
      </c>
      <c r="EQ86">
        <v>4</v>
      </c>
      <c r="ER86">
        <v>4</v>
      </c>
      <c r="ES86">
        <v>5</v>
      </c>
      <c r="ET86">
        <v>-0.56000000000000083</v>
      </c>
      <c r="EU86">
        <v>3</v>
      </c>
      <c r="EV86">
        <v>-17.240000000000002</v>
      </c>
      <c r="EW86">
        <v>-1.44</v>
      </c>
      <c r="EX86">
        <v>29</v>
      </c>
      <c r="EY86">
        <v>27</v>
      </c>
      <c r="EZ86">
        <v>30</v>
      </c>
      <c r="FA86">
        <v>0.28000000000000008</v>
      </c>
      <c r="FB86">
        <v>24</v>
      </c>
      <c r="FC86">
        <v>7.9999999999999988E-2</v>
      </c>
      <c r="FD86">
        <v>2.2399999999999998</v>
      </c>
      <c r="FE86">
        <v>9</v>
      </c>
      <c r="FF86">
        <v>12.5</v>
      </c>
      <c r="FG86">
        <v>8</v>
      </c>
      <c r="FH86">
        <v>-1.6008838274264164E-2</v>
      </c>
      <c r="FI86">
        <v>16</v>
      </c>
      <c r="FJ86">
        <v>1.1595269883120349E-2</v>
      </c>
      <c r="FK86">
        <v>7</v>
      </c>
      <c r="FL86">
        <v>0.50800000000000411</v>
      </c>
      <c r="FM86">
        <v>19</v>
      </c>
      <c r="FN86">
        <v>-0.72000000000000008</v>
      </c>
      <c r="FO86">
        <v>-1.7199999999999989</v>
      </c>
      <c r="FP86">
        <v>-0.35999999999999943</v>
      </c>
      <c r="FQ86">
        <v>-0.64000000000000024</v>
      </c>
      <c r="FR86">
        <v>-2.1599999999999979</v>
      </c>
      <c r="FS86">
        <v>-0.40000000000000069</v>
      </c>
      <c r="FT86">
        <v>-0.31999999999999973</v>
      </c>
      <c r="FU86">
        <v>7.8800000000000008</v>
      </c>
      <c r="FV86">
        <v>-16.119999999999997</v>
      </c>
      <c r="FW86">
        <v>15.000000000000004</v>
      </c>
      <c r="FX86">
        <v>7.4399999999999995</v>
      </c>
      <c r="FY86">
        <v>1.5600000000000005</v>
      </c>
      <c r="FZ86">
        <v>22</v>
      </c>
      <c r="GA86">
        <v>-2.4983999999999997</v>
      </c>
      <c r="GB86">
        <v>-1.6308799999999999</v>
      </c>
      <c r="GC86">
        <v>-31.12</v>
      </c>
      <c r="GD86">
        <v>2.4983999999999993</v>
      </c>
      <c r="GE86">
        <v>0.17069999999999955</v>
      </c>
      <c r="GF86">
        <v>-1.1360000000000008</v>
      </c>
      <c r="GG86">
        <v>-9.5200000000000014</v>
      </c>
      <c r="GH86">
        <v>2.6399999999999988</v>
      </c>
      <c r="GI86">
        <v>12.959999999999997</v>
      </c>
      <c r="GJ86">
        <v>-2.6399999999999997</v>
      </c>
      <c r="GK86">
        <v>0.20000000000000007</v>
      </c>
    </row>
    <row r="87" spans="1:193" x14ac:dyDescent="0.2">
      <c r="A87" s="39">
        <v>43751</v>
      </c>
      <c r="B87" s="22" t="s">
        <v>252</v>
      </c>
      <c r="C87" s="41" t="s">
        <v>284</v>
      </c>
      <c r="D87" s="22" t="s">
        <v>301</v>
      </c>
      <c r="E87">
        <v>20.6</v>
      </c>
      <c r="F87">
        <v>28.1</v>
      </c>
      <c r="G87">
        <v>6.9</v>
      </c>
      <c r="H87">
        <f>12.7+5.5</f>
        <v>18.2</v>
      </c>
      <c r="I87">
        <v>2</v>
      </c>
      <c r="J87">
        <v>48.5</v>
      </c>
      <c r="L87" s="1" t="s">
        <v>284</v>
      </c>
      <c r="M87">
        <v>10</v>
      </c>
      <c r="N87">
        <v>2.1943999999999995</v>
      </c>
      <c r="O87">
        <v>24</v>
      </c>
      <c r="P87">
        <v>22.5</v>
      </c>
      <c r="Q87">
        <v>20</v>
      </c>
      <c r="R87">
        <v>-1.8120000000000005</v>
      </c>
      <c r="S87">
        <v>25</v>
      </c>
      <c r="T87">
        <v>-0.40000000000000141</v>
      </c>
      <c r="U87">
        <v>-1.9599999999999997</v>
      </c>
      <c r="V87">
        <v>20</v>
      </c>
      <c r="W87">
        <v>18.5</v>
      </c>
      <c r="X87">
        <v>12</v>
      </c>
      <c r="Y87">
        <v>0.42000000000000026</v>
      </c>
      <c r="Z87">
        <v>25</v>
      </c>
      <c r="AA87">
        <v>4.8</v>
      </c>
      <c r="AB87">
        <v>-4.0000000000000036E-2</v>
      </c>
      <c r="AC87">
        <v>24</v>
      </c>
      <c r="AD87">
        <v>22.5</v>
      </c>
      <c r="AE87">
        <v>26</v>
      </c>
      <c r="AF87">
        <v>-0.55200000000000082</v>
      </c>
      <c r="AG87">
        <v>19</v>
      </c>
      <c r="AH87">
        <v>-0.31999999999999884</v>
      </c>
      <c r="AI87">
        <v>-0.92000000000000015</v>
      </c>
      <c r="AJ87">
        <v>2</v>
      </c>
      <c r="AK87">
        <v>3</v>
      </c>
      <c r="AL87">
        <v>3</v>
      </c>
      <c r="AM87">
        <v>10.924000000000001</v>
      </c>
      <c r="AN87">
        <v>3</v>
      </c>
      <c r="AO87">
        <v>33.519999999999996</v>
      </c>
      <c r="AP87">
        <v>2.08</v>
      </c>
      <c r="AQ87">
        <v>4</v>
      </c>
      <c r="AR87">
        <v>4.5</v>
      </c>
      <c r="AS87">
        <v>5</v>
      </c>
      <c r="AT87">
        <v>-3.2159999999999997</v>
      </c>
      <c r="AU87">
        <v>4</v>
      </c>
      <c r="AV87">
        <v>-16.16</v>
      </c>
      <c r="AW87">
        <v>-7.9999999999999988E-2</v>
      </c>
      <c r="AX87">
        <v>6</v>
      </c>
      <c r="AY87">
        <v>5.5</v>
      </c>
      <c r="AZ87">
        <v>6</v>
      </c>
      <c r="BA87">
        <v>-1.2279999999999998</v>
      </c>
      <c r="BB87">
        <v>5</v>
      </c>
      <c r="BC87">
        <v>-2.2799999999999967</v>
      </c>
      <c r="BD87">
        <v>-2.7600000000000007</v>
      </c>
      <c r="BE87">
        <v>20</v>
      </c>
      <c r="BF87">
        <v>22</v>
      </c>
      <c r="BG87">
        <v>22</v>
      </c>
      <c r="BH87">
        <v>-1.6000000000000902E-2</v>
      </c>
      <c r="BI87">
        <v>5.4</v>
      </c>
      <c r="BJ87">
        <v>-0.76000000000000012</v>
      </c>
      <c r="BK87">
        <v>18</v>
      </c>
      <c r="BL87">
        <v>17.5</v>
      </c>
      <c r="BM87">
        <v>16</v>
      </c>
      <c r="BN87">
        <v>2.68</v>
      </c>
      <c r="BO87">
        <v>19</v>
      </c>
      <c r="BP87">
        <v>0.6</v>
      </c>
      <c r="BQ87">
        <v>2.44</v>
      </c>
      <c r="BR87">
        <v>14</v>
      </c>
      <c r="BS87">
        <v>14</v>
      </c>
      <c r="BT87">
        <v>29</v>
      </c>
      <c r="BU87">
        <v>1.4066968455257978E-2</v>
      </c>
      <c r="BV87">
        <v>22</v>
      </c>
      <c r="BW87">
        <v>1.478359758297508E-2</v>
      </c>
      <c r="BX87">
        <v>1</v>
      </c>
      <c r="BY87">
        <v>-2.3359999999999959</v>
      </c>
      <c r="BZ87">
        <v>4</v>
      </c>
      <c r="CA87">
        <v>1.2800000000000002</v>
      </c>
      <c r="CB87">
        <v>2.1600000000000024</v>
      </c>
      <c r="CC87">
        <v>5.4</v>
      </c>
      <c r="CD87">
        <v>2.1599999999999997</v>
      </c>
      <c r="CE87">
        <v>24.95999999999998</v>
      </c>
      <c r="CF87">
        <v>29.399999999999995</v>
      </c>
      <c r="CG87">
        <v>2.6799999999999984</v>
      </c>
      <c r="CH87">
        <v>0.11999999999999958</v>
      </c>
      <c r="CI87">
        <v>-7.2399999999999993</v>
      </c>
      <c r="CJ87">
        <v>13</v>
      </c>
      <c r="CK87">
        <v>3.5863999999999998</v>
      </c>
      <c r="CL87">
        <v>2.5628799999999998</v>
      </c>
      <c r="CM87">
        <v>26.719999999999995</v>
      </c>
      <c r="CN87">
        <v>-3.5863999999999998</v>
      </c>
      <c r="CO87">
        <v>1.3278000000000001</v>
      </c>
      <c r="CP87">
        <v>7.1560000000000006</v>
      </c>
      <c r="CQ87">
        <v>17.039999999999996</v>
      </c>
      <c r="CR87">
        <v>-1.3920000000000003</v>
      </c>
      <c r="CS87">
        <v>4.3999999999999986</v>
      </c>
      <c r="CT87">
        <v>0.31999999999999973</v>
      </c>
      <c r="CU87">
        <v>-1.9999999999999998</v>
      </c>
      <c r="CV87">
        <v>0.22703749999999989</v>
      </c>
      <c r="CW87">
        <v>2.2418749999999998</v>
      </c>
      <c r="CX87" t="s">
        <v>301</v>
      </c>
      <c r="CY87">
        <v>14</v>
      </c>
      <c r="CZ87">
        <v>-5.2823999999999982</v>
      </c>
      <c r="DA87">
        <v>7</v>
      </c>
      <c r="DB87">
        <v>10</v>
      </c>
      <c r="DC87">
        <v>5</v>
      </c>
      <c r="DD87">
        <v>1.4279999999999995</v>
      </c>
      <c r="DE87">
        <v>15</v>
      </c>
      <c r="DF87">
        <v>8.52</v>
      </c>
      <c r="DG87">
        <v>0.6399999999999999</v>
      </c>
      <c r="DH87">
        <v>2</v>
      </c>
      <c r="DI87">
        <v>3</v>
      </c>
      <c r="DJ87">
        <v>4</v>
      </c>
      <c r="DK87">
        <v>1.0400000000000005</v>
      </c>
      <c r="DL87">
        <v>2</v>
      </c>
      <c r="DM87">
        <v>1.0000000000000007</v>
      </c>
      <c r="DN87">
        <v>-0.20000000000000009</v>
      </c>
      <c r="DO87">
        <v>20</v>
      </c>
      <c r="DP87">
        <v>16.5</v>
      </c>
      <c r="DQ87">
        <v>16</v>
      </c>
      <c r="DR87">
        <v>-5.0640000000000001</v>
      </c>
      <c r="DS87">
        <v>17</v>
      </c>
      <c r="DT87">
        <v>-19.16</v>
      </c>
      <c r="DU87">
        <v>-0.24000000000000021</v>
      </c>
      <c r="DV87">
        <v>7</v>
      </c>
      <c r="DW87">
        <v>6.5</v>
      </c>
      <c r="DX87">
        <v>8</v>
      </c>
      <c r="DY87">
        <v>2.7039999999999993</v>
      </c>
      <c r="DZ87">
        <v>5</v>
      </c>
      <c r="EA87">
        <v>6.8</v>
      </c>
      <c r="EB87">
        <v>1.8399999999999999</v>
      </c>
      <c r="EC87">
        <v>11</v>
      </c>
      <c r="ED87">
        <v>7.5</v>
      </c>
      <c r="EE87">
        <v>12</v>
      </c>
      <c r="EF87">
        <v>-4.5640000000000001</v>
      </c>
      <c r="EG87">
        <v>3</v>
      </c>
      <c r="EH87">
        <v>-21.240000000000002</v>
      </c>
      <c r="EI87">
        <v>-0.88000000000000012</v>
      </c>
      <c r="EJ87">
        <v>18</v>
      </c>
      <c r="EK87">
        <v>18</v>
      </c>
      <c r="EL87">
        <v>22</v>
      </c>
      <c r="EM87">
        <v>-3.6640000000000015</v>
      </c>
      <c r="EN87">
        <v>14</v>
      </c>
      <c r="EO87">
        <v>-15.040000000000001</v>
      </c>
      <c r="EP87">
        <v>1.0399999999999996</v>
      </c>
      <c r="EQ87">
        <v>12</v>
      </c>
      <c r="ER87">
        <v>13</v>
      </c>
      <c r="ES87">
        <v>20</v>
      </c>
      <c r="ET87">
        <v>-3.9640000000000022</v>
      </c>
      <c r="EU87">
        <v>6</v>
      </c>
      <c r="EV87">
        <v>-17.560000000000002</v>
      </c>
      <c r="EW87">
        <v>-1.8799999999999997</v>
      </c>
      <c r="EX87">
        <v>10</v>
      </c>
      <c r="EY87">
        <v>11.5</v>
      </c>
      <c r="EZ87">
        <v>16</v>
      </c>
      <c r="FA87">
        <v>-0.6000000000000002</v>
      </c>
      <c r="FB87">
        <v>7</v>
      </c>
      <c r="FC87">
        <v>8.0000000000000071E-2</v>
      </c>
      <c r="FD87">
        <v>0.12000000000000011</v>
      </c>
      <c r="FE87">
        <v>18</v>
      </c>
      <c r="FF87">
        <v>16.25</v>
      </c>
      <c r="FG87">
        <v>18</v>
      </c>
      <c r="FH87">
        <v>1.9153840439789106E-2</v>
      </c>
      <c r="FI87">
        <v>16</v>
      </c>
      <c r="FJ87">
        <v>1.6718294484017026E-2</v>
      </c>
      <c r="FK87">
        <v>8</v>
      </c>
      <c r="FL87">
        <v>-5.5720000000000045</v>
      </c>
      <c r="FM87">
        <v>23</v>
      </c>
      <c r="FN87">
        <v>2.3600000000000003</v>
      </c>
      <c r="FO87">
        <v>-4.0000000000001278E-2</v>
      </c>
      <c r="FP87">
        <v>1.56</v>
      </c>
      <c r="FQ87">
        <v>1.2400000000000002</v>
      </c>
      <c r="FR87">
        <v>3.6400000000000006</v>
      </c>
      <c r="FS87">
        <v>-2.8800000000000003</v>
      </c>
      <c r="FT87">
        <v>-1.1199999999999999</v>
      </c>
      <c r="FU87">
        <v>-47.760000000000005</v>
      </c>
      <c r="FV87">
        <v>-62.320000000000007</v>
      </c>
      <c r="FW87">
        <v>9.64</v>
      </c>
      <c r="FX87">
        <v>-1.4000000000000001</v>
      </c>
      <c r="FY87">
        <v>6.3199999999999985</v>
      </c>
      <c r="FZ87">
        <v>29</v>
      </c>
      <c r="GA87">
        <v>-7.7503999999999991</v>
      </c>
      <c r="GB87">
        <v>-4.4680800000000005</v>
      </c>
      <c r="GC87">
        <v>-71.960000000000008</v>
      </c>
      <c r="GD87">
        <v>7.7503999999999982</v>
      </c>
      <c r="GE87">
        <v>-1.7878000000000001</v>
      </c>
      <c r="GF87">
        <v>-6.9240000000000013</v>
      </c>
      <c r="GG87">
        <v>-33.6</v>
      </c>
      <c r="GH87">
        <v>2.468</v>
      </c>
      <c r="GI87">
        <v>9.52</v>
      </c>
      <c r="GJ87">
        <v>-1.1600000000000001</v>
      </c>
      <c r="GK87">
        <v>0.43999999999999984</v>
      </c>
    </row>
    <row r="88" spans="1:193" x14ac:dyDescent="0.2">
      <c r="A88" s="39">
        <v>43751</v>
      </c>
      <c r="B88" s="22" t="s">
        <v>252</v>
      </c>
      <c r="C88" s="41" t="s">
        <v>310</v>
      </c>
      <c r="D88" s="22" t="s">
        <v>278</v>
      </c>
      <c r="E88">
        <v>6.6</v>
      </c>
      <c r="F88" s="14">
        <v>10.7</v>
      </c>
      <c r="G88">
        <v>4.3</v>
      </c>
      <c r="H88">
        <f>7.3+3.5+1.8</f>
        <v>12.600000000000001</v>
      </c>
      <c r="I88">
        <v>1</v>
      </c>
      <c r="J88">
        <v>41</v>
      </c>
      <c r="L88" s="1" t="s">
        <v>310</v>
      </c>
      <c r="M88">
        <v>23</v>
      </c>
      <c r="N88">
        <v>-1.4672000000000007</v>
      </c>
      <c r="O88">
        <v>1</v>
      </c>
      <c r="P88">
        <v>1.5</v>
      </c>
      <c r="Q88">
        <v>2</v>
      </c>
      <c r="R88">
        <v>3.5999999999999588E-2</v>
      </c>
      <c r="S88">
        <v>1</v>
      </c>
      <c r="T88">
        <v>4.480000000000004</v>
      </c>
      <c r="U88">
        <v>-1.48</v>
      </c>
      <c r="V88">
        <v>29</v>
      </c>
      <c r="W88">
        <v>29</v>
      </c>
      <c r="X88">
        <v>29</v>
      </c>
      <c r="Y88">
        <v>-2.0640000000000001</v>
      </c>
      <c r="Z88">
        <v>29</v>
      </c>
      <c r="AA88">
        <v>-14.160000000000002</v>
      </c>
      <c r="AB88">
        <v>0.52</v>
      </c>
      <c r="AC88">
        <v>28</v>
      </c>
      <c r="AD88">
        <v>27.5</v>
      </c>
      <c r="AE88">
        <v>28</v>
      </c>
      <c r="AF88">
        <v>-8.2759999999999998</v>
      </c>
      <c r="AG88">
        <v>27</v>
      </c>
      <c r="AH88">
        <v>-26.8</v>
      </c>
      <c r="AI88">
        <v>-3.2</v>
      </c>
      <c r="AJ88">
        <v>28</v>
      </c>
      <c r="AK88">
        <v>27.5</v>
      </c>
      <c r="AL88">
        <v>28</v>
      </c>
      <c r="AM88">
        <v>2.944</v>
      </c>
      <c r="AN88">
        <v>27</v>
      </c>
      <c r="AO88">
        <v>17.360000000000003</v>
      </c>
      <c r="AP88">
        <v>-7.9999999999999988E-2</v>
      </c>
      <c r="AQ88">
        <v>15</v>
      </c>
      <c r="AR88">
        <v>15</v>
      </c>
      <c r="AS88">
        <v>12</v>
      </c>
      <c r="AT88">
        <v>-3.5480000000000005</v>
      </c>
      <c r="AU88">
        <v>18</v>
      </c>
      <c r="AV88">
        <v>-18.559999999999999</v>
      </c>
      <c r="AW88">
        <v>-1.44</v>
      </c>
      <c r="AX88">
        <v>20</v>
      </c>
      <c r="AY88">
        <v>20</v>
      </c>
      <c r="AZ88">
        <v>22</v>
      </c>
      <c r="BA88">
        <v>-5.136000000000001</v>
      </c>
      <c r="BB88">
        <v>18</v>
      </c>
      <c r="BC88">
        <v>-15.760000000000002</v>
      </c>
      <c r="BD88">
        <v>-0.6399999999999999</v>
      </c>
      <c r="BE88">
        <v>14</v>
      </c>
      <c r="BF88">
        <v>13.5</v>
      </c>
      <c r="BG88">
        <v>15</v>
      </c>
      <c r="BH88">
        <v>0.73199999999999987</v>
      </c>
      <c r="BI88">
        <v>4.5200000000000005</v>
      </c>
      <c r="BJ88">
        <v>0.1999999999999999</v>
      </c>
      <c r="BK88">
        <v>29</v>
      </c>
      <c r="BL88">
        <v>29</v>
      </c>
      <c r="BM88">
        <v>28</v>
      </c>
      <c r="BN88">
        <v>-0.9199999999999996</v>
      </c>
      <c r="BO88">
        <v>30</v>
      </c>
      <c r="BP88">
        <v>0.11999999999999997</v>
      </c>
      <c r="BQ88">
        <v>1.3599999999999999</v>
      </c>
      <c r="BR88">
        <v>25</v>
      </c>
      <c r="BS88">
        <v>21</v>
      </c>
      <c r="BT88">
        <v>27</v>
      </c>
      <c r="BU88">
        <v>3.5199171787367908E-2</v>
      </c>
      <c r="BV88">
        <v>2</v>
      </c>
      <c r="BW88">
        <v>4.9032921285496321E-2</v>
      </c>
      <c r="BX88">
        <v>30</v>
      </c>
      <c r="BY88">
        <v>13.244</v>
      </c>
      <c r="BZ88">
        <v>25</v>
      </c>
      <c r="CA88">
        <v>0.72</v>
      </c>
      <c r="CB88">
        <v>-1.0400000000000005</v>
      </c>
      <c r="CC88">
        <v>-1.3600000000000008</v>
      </c>
      <c r="CD88">
        <v>-4.0000000000000036E-2</v>
      </c>
      <c r="CE88">
        <v>-26.759999999999991</v>
      </c>
      <c r="CF88">
        <v>-20.599999999999994</v>
      </c>
      <c r="CG88">
        <v>-13.440000000000001</v>
      </c>
      <c r="CH88">
        <v>-5.92</v>
      </c>
      <c r="CI88">
        <v>13.2</v>
      </c>
      <c r="CJ88">
        <v>19</v>
      </c>
      <c r="CK88">
        <v>0.56079999999999974</v>
      </c>
      <c r="CL88">
        <v>-0.90904000000000007</v>
      </c>
      <c r="CM88">
        <v>-7.159999999999993</v>
      </c>
      <c r="CN88">
        <v>-0.56079999999999974</v>
      </c>
      <c r="CO88">
        <v>-1.5704000000000002</v>
      </c>
      <c r="CP88">
        <v>-8.8800000000000008</v>
      </c>
      <c r="CQ88">
        <v>-27.999999999999996</v>
      </c>
      <c r="CR88">
        <v>-2.0280000000000005</v>
      </c>
      <c r="CS88">
        <v>-9.6799999999999979</v>
      </c>
      <c r="CT88">
        <v>-4.5200000000000005</v>
      </c>
      <c r="CU88">
        <v>-0.96</v>
      </c>
      <c r="CV88">
        <v>-1.1117000000000001</v>
      </c>
      <c r="CW88">
        <v>-1.0694999999999999</v>
      </c>
      <c r="CX88" t="s">
        <v>278</v>
      </c>
      <c r="CY88">
        <v>15</v>
      </c>
      <c r="CZ88">
        <v>-5.2031999999999998</v>
      </c>
      <c r="DA88">
        <v>28</v>
      </c>
      <c r="DB88">
        <v>24.5</v>
      </c>
      <c r="DC88">
        <v>25</v>
      </c>
      <c r="DD88">
        <v>2.024</v>
      </c>
      <c r="DE88">
        <v>24</v>
      </c>
      <c r="DF88">
        <v>11.759999999999998</v>
      </c>
      <c r="DG88">
        <v>0.1600000000000002</v>
      </c>
      <c r="DH88">
        <v>28</v>
      </c>
      <c r="DI88">
        <v>25.5</v>
      </c>
      <c r="DJ88">
        <v>28</v>
      </c>
      <c r="DK88">
        <v>0.67199999999999949</v>
      </c>
      <c r="DL88">
        <v>23</v>
      </c>
      <c r="DM88">
        <v>13.199999999999998</v>
      </c>
      <c r="DN88">
        <v>-0.20000000000000009</v>
      </c>
      <c r="DO88">
        <v>14</v>
      </c>
      <c r="DP88">
        <v>8.5</v>
      </c>
      <c r="DQ88">
        <v>9</v>
      </c>
      <c r="DR88">
        <v>-3.2680000000000007</v>
      </c>
      <c r="DS88">
        <v>8</v>
      </c>
      <c r="DT88">
        <v>-12.000000000000002</v>
      </c>
      <c r="DU88">
        <v>-2.0800000000000005</v>
      </c>
      <c r="DV88">
        <v>17</v>
      </c>
      <c r="DW88">
        <v>16.5</v>
      </c>
      <c r="DX88">
        <v>14</v>
      </c>
      <c r="DY88">
        <v>-1.52</v>
      </c>
      <c r="DZ88">
        <v>19</v>
      </c>
      <c r="EA88">
        <v>-6.76</v>
      </c>
      <c r="EB88">
        <v>1.1599999999999999</v>
      </c>
      <c r="EC88">
        <v>15</v>
      </c>
      <c r="ED88">
        <v>7.5</v>
      </c>
      <c r="EE88">
        <v>9</v>
      </c>
      <c r="EF88">
        <v>-3.2480000000000002</v>
      </c>
      <c r="EG88">
        <v>6</v>
      </c>
      <c r="EH88">
        <v>-11.52</v>
      </c>
      <c r="EI88">
        <v>-0.28000000000000003</v>
      </c>
      <c r="EJ88">
        <v>30</v>
      </c>
      <c r="EK88">
        <v>28.5</v>
      </c>
      <c r="EL88">
        <v>28</v>
      </c>
      <c r="EM88">
        <v>-3.1080000000000001</v>
      </c>
      <c r="EN88">
        <v>29</v>
      </c>
      <c r="EO88">
        <v>-12.680000000000003</v>
      </c>
      <c r="EP88">
        <v>-1.3599999999999999</v>
      </c>
      <c r="EQ88">
        <v>6</v>
      </c>
      <c r="ER88">
        <v>8</v>
      </c>
      <c r="ES88">
        <v>9</v>
      </c>
      <c r="ET88">
        <v>-1.9280000000000002</v>
      </c>
      <c r="EU88">
        <v>7</v>
      </c>
      <c r="EV88">
        <v>-10.199999999999999</v>
      </c>
      <c r="EW88">
        <v>-0.3999999999999998</v>
      </c>
      <c r="EX88">
        <v>9</v>
      </c>
      <c r="EY88">
        <v>9.5</v>
      </c>
      <c r="EZ88">
        <v>8</v>
      </c>
      <c r="FA88">
        <v>3.2399999999999998</v>
      </c>
      <c r="FB88">
        <v>11</v>
      </c>
      <c r="FC88">
        <v>0.96</v>
      </c>
      <c r="FD88">
        <v>-3.9999999999999855E-2</v>
      </c>
      <c r="FE88">
        <v>12</v>
      </c>
      <c r="FF88">
        <v>14.5</v>
      </c>
      <c r="FG88">
        <v>25</v>
      </c>
      <c r="FH88">
        <v>-2.4111413301673167E-2</v>
      </c>
      <c r="FI88">
        <v>6</v>
      </c>
      <c r="FJ88">
        <v>-2.7913462536239719E-2</v>
      </c>
      <c r="FK88">
        <v>10</v>
      </c>
      <c r="FL88">
        <v>-10.404</v>
      </c>
      <c r="FM88">
        <v>17</v>
      </c>
      <c r="FN88">
        <v>-2.2800000000000002</v>
      </c>
      <c r="FO88">
        <v>-2.4000000000000012</v>
      </c>
      <c r="FP88">
        <v>3.4800000000000004</v>
      </c>
      <c r="FQ88">
        <v>-1.2399999999999998</v>
      </c>
      <c r="FR88">
        <v>-1.6399999999999992</v>
      </c>
      <c r="FS88">
        <v>-0.27999999999999969</v>
      </c>
      <c r="FT88">
        <v>0.55999999999999983</v>
      </c>
      <c r="FU88">
        <v>-23.4</v>
      </c>
      <c r="FV88">
        <v>-42.959999999999994</v>
      </c>
      <c r="FW88">
        <v>22.8</v>
      </c>
      <c r="FX88">
        <v>5.24</v>
      </c>
      <c r="FY88">
        <v>-8.4799999999999986</v>
      </c>
      <c r="FZ88">
        <v>30</v>
      </c>
      <c r="GA88">
        <v>-7.8991999999999996</v>
      </c>
      <c r="GB88">
        <v>-4.3814399999999996</v>
      </c>
      <c r="GC88">
        <v>-65.759999999999991</v>
      </c>
      <c r="GD88">
        <v>7.8991999999999996</v>
      </c>
      <c r="GE88">
        <v>-1.1539000000000004</v>
      </c>
      <c r="GF88">
        <v>-8.0360000000000014</v>
      </c>
      <c r="GG88">
        <v>-30.28</v>
      </c>
      <c r="GH88">
        <v>2.6959999999999997</v>
      </c>
      <c r="GI88">
        <v>24.959999999999994</v>
      </c>
      <c r="GJ88">
        <v>-1.6000000000000005</v>
      </c>
      <c r="GK88">
        <v>-3.9999999999999897E-2</v>
      </c>
    </row>
    <row r="89" spans="1:193" x14ac:dyDescent="0.2">
      <c r="A89" s="39">
        <v>43751</v>
      </c>
      <c r="B89" s="22" t="s">
        <v>252</v>
      </c>
      <c r="C89" s="41" t="s">
        <v>306</v>
      </c>
      <c r="D89" s="22" t="s">
        <v>293</v>
      </c>
      <c r="E89">
        <v>29</v>
      </c>
      <c r="F89">
        <v>0</v>
      </c>
      <c r="G89" s="14">
        <v>2.8</v>
      </c>
      <c r="H89">
        <v>4.4000000000000004</v>
      </c>
      <c r="I89">
        <v>-6</v>
      </c>
      <c r="J89">
        <v>42</v>
      </c>
      <c r="L89" s="1" t="s">
        <v>306</v>
      </c>
      <c r="M89">
        <v>18</v>
      </c>
      <c r="N89">
        <v>-0.25760000000000077</v>
      </c>
      <c r="O89">
        <v>9</v>
      </c>
      <c r="P89">
        <v>9</v>
      </c>
      <c r="Q89">
        <v>11</v>
      </c>
      <c r="R89">
        <v>-8.7880000000000003</v>
      </c>
      <c r="S89">
        <v>7</v>
      </c>
      <c r="T89">
        <v>-26.24</v>
      </c>
      <c r="U89">
        <v>-2.2599999999999998</v>
      </c>
      <c r="V89">
        <v>19</v>
      </c>
      <c r="W89">
        <v>18</v>
      </c>
      <c r="X89">
        <v>25</v>
      </c>
      <c r="Y89">
        <v>4.7060000000000004</v>
      </c>
      <c r="Z89">
        <v>11</v>
      </c>
      <c r="AA89">
        <v>-4.76</v>
      </c>
      <c r="AB89">
        <v>3.7300000000000004</v>
      </c>
      <c r="AC89">
        <v>29</v>
      </c>
      <c r="AD89">
        <v>29</v>
      </c>
      <c r="AE89">
        <v>29</v>
      </c>
      <c r="AF89">
        <v>0.37599999999999872</v>
      </c>
      <c r="AG89">
        <v>29</v>
      </c>
      <c r="AH89">
        <v>-4.6099999999999977</v>
      </c>
      <c r="AI89">
        <v>-0.43999999999999984</v>
      </c>
      <c r="AJ89">
        <v>28</v>
      </c>
      <c r="AK89">
        <v>27.5</v>
      </c>
      <c r="AL89">
        <v>30</v>
      </c>
      <c r="AM89">
        <v>-2.2650000000000001</v>
      </c>
      <c r="AN89">
        <v>25</v>
      </c>
      <c r="AO89">
        <v>-22.85</v>
      </c>
      <c r="AP89">
        <v>-1.7100000000000002</v>
      </c>
      <c r="AQ89">
        <v>30</v>
      </c>
      <c r="AR89">
        <v>29.5</v>
      </c>
      <c r="AS89">
        <v>31</v>
      </c>
      <c r="AT89">
        <v>0.40199999999999997</v>
      </c>
      <c r="AU89">
        <v>28</v>
      </c>
      <c r="AV89">
        <v>-0.83999999999999986</v>
      </c>
      <c r="AW89">
        <v>0.42999999999999988</v>
      </c>
      <c r="AX89">
        <v>30</v>
      </c>
      <c r="AY89">
        <v>30</v>
      </c>
      <c r="AZ89">
        <v>30</v>
      </c>
      <c r="BA89">
        <v>1.0600000000000016</v>
      </c>
      <c r="BB89">
        <v>30</v>
      </c>
      <c r="BC89">
        <v>-3.4000000000000012</v>
      </c>
      <c r="BD89">
        <v>-0.3999999999999998</v>
      </c>
      <c r="BE89">
        <v>31</v>
      </c>
      <c r="BF89">
        <v>30</v>
      </c>
      <c r="BG89">
        <v>31</v>
      </c>
      <c r="BH89">
        <v>-2.3160000000000007</v>
      </c>
      <c r="BI89">
        <v>-8.36</v>
      </c>
      <c r="BJ89">
        <v>-0.15999999999999998</v>
      </c>
      <c r="BK89">
        <v>1</v>
      </c>
      <c r="BL89">
        <v>1</v>
      </c>
      <c r="BM89">
        <v>1</v>
      </c>
      <c r="BN89">
        <v>-1.8400000000000003</v>
      </c>
      <c r="BO89">
        <v>1</v>
      </c>
      <c r="BP89">
        <v>-0.55999999999999994</v>
      </c>
      <c r="BQ89">
        <v>-1.56</v>
      </c>
      <c r="BR89">
        <v>1</v>
      </c>
      <c r="BS89">
        <v>5.25</v>
      </c>
      <c r="BT89">
        <v>9</v>
      </c>
      <c r="BU89">
        <v>-6.8356436994656657E-3</v>
      </c>
      <c r="BV89">
        <v>1</v>
      </c>
      <c r="BW89">
        <v>-1.1805193242768505E-3</v>
      </c>
      <c r="BX89">
        <v>2</v>
      </c>
      <c r="BY89">
        <v>-13.127999999999997</v>
      </c>
      <c r="BZ89">
        <v>9</v>
      </c>
      <c r="CA89">
        <v>1.4400000000000006</v>
      </c>
      <c r="CB89">
        <v>-6.0400000000000009</v>
      </c>
      <c r="CC89">
        <v>-1.6400000000000006</v>
      </c>
      <c r="CD89">
        <v>-0.91999999999999993</v>
      </c>
      <c r="CE89">
        <v>-38.200000000000003</v>
      </c>
      <c r="CF89">
        <v>-16.120000000000015</v>
      </c>
      <c r="CG89">
        <v>-31.560000000000002</v>
      </c>
      <c r="CH89">
        <v>10.84</v>
      </c>
      <c r="CI89">
        <v>-1.36</v>
      </c>
      <c r="CJ89">
        <v>12</v>
      </c>
      <c r="CK89">
        <v>3.8243999999999998</v>
      </c>
      <c r="CL89">
        <v>1.2288799999999993</v>
      </c>
      <c r="CM89">
        <v>15.439999999999987</v>
      </c>
      <c r="CN89">
        <v>-3.8243999999999989</v>
      </c>
      <c r="CO89">
        <v>-1.2478250000000002</v>
      </c>
      <c r="CP89">
        <v>-1.4870000000000014</v>
      </c>
      <c r="CQ89">
        <v>-28.3</v>
      </c>
      <c r="CR89">
        <v>-4.0819999999999999</v>
      </c>
      <c r="CS89">
        <v>-31</v>
      </c>
      <c r="CT89">
        <v>-1.88</v>
      </c>
      <c r="CU89">
        <v>1.4700000000000006</v>
      </c>
      <c r="CV89">
        <v>1.7779499999999997</v>
      </c>
      <c r="CW89">
        <v>1.8469999999999998</v>
      </c>
      <c r="CX89" t="s">
        <v>293</v>
      </c>
      <c r="CY89">
        <v>2</v>
      </c>
      <c r="CZ89">
        <v>4.4383999999999997</v>
      </c>
      <c r="DA89">
        <v>1</v>
      </c>
      <c r="DB89">
        <v>1.5</v>
      </c>
      <c r="DC89">
        <v>1</v>
      </c>
      <c r="DD89">
        <v>5.4359999999999991</v>
      </c>
      <c r="DE89">
        <v>2</v>
      </c>
      <c r="DF89">
        <v>43.999999999999993</v>
      </c>
      <c r="DG89">
        <v>-1.1999999999999997</v>
      </c>
      <c r="DH89">
        <v>30</v>
      </c>
      <c r="DI89">
        <v>27</v>
      </c>
      <c r="DJ89">
        <v>27</v>
      </c>
      <c r="DK89">
        <v>2.4880000000000004</v>
      </c>
      <c r="DL89">
        <v>27</v>
      </c>
      <c r="DM89">
        <v>12.080000000000002</v>
      </c>
      <c r="DN89">
        <v>-1.44</v>
      </c>
      <c r="DO89">
        <v>2</v>
      </c>
      <c r="DP89">
        <v>1.5</v>
      </c>
      <c r="DQ89">
        <v>1</v>
      </c>
      <c r="DR89">
        <v>4.4808000000000003</v>
      </c>
      <c r="DS89">
        <v>2</v>
      </c>
      <c r="DT89">
        <v>9</v>
      </c>
      <c r="DU89">
        <v>-2.08</v>
      </c>
      <c r="DV89">
        <v>8</v>
      </c>
      <c r="DW89">
        <v>7</v>
      </c>
      <c r="DX89">
        <v>6</v>
      </c>
      <c r="DY89">
        <v>-3.5479999999999996</v>
      </c>
      <c r="DZ89">
        <v>8</v>
      </c>
      <c r="EA89">
        <v>-16.080000000000002</v>
      </c>
      <c r="EB89">
        <v>-1.3199999999999998</v>
      </c>
      <c r="EC89">
        <v>29</v>
      </c>
      <c r="ED89">
        <v>24</v>
      </c>
      <c r="EE89">
        <v>22</v>
      </c>
      <c r="EF89">
        <v>-2.9919999999999995</v>
      </c>
      <c r="EG89">
        <v>26</v>
      </c>
      <c r="EH89">
        <v>-10.96</v>
      </c>
      <c r="EI89">
        <v>-0.72000000000000008</v>
      </c>
      <c r="EJ89">
        <v>9</v>
      </c>
      <c r="EK89">
        <v>9</v>
      </c>
      <c r="EL89">
        <v>8</v>
      </c>
      <c r="EM89">
        <v>1.2679999999999996</v>
      </c>
      <c r="EN89">
        <v>10</v>
      </c>
      <c r="EO89">
        <v>10.679999999999996</v>
      </c>
      <c r="EP89">
        <v>-2.2000000000000002</v>
      </c>
      <c r="EQ89">
        <v>19</v>
      </c>
      <c r="ER89">
        <v>18.5</v>
      </c>
      <c r="ES89">
        <v>25</v>
      </c>
      <c r="ET89">
        <v>1.6080000000000005</v>
      </c>
      <c r="EU89">
        <v>12</v>
      </c>
      <c r="EV89">
        <v>15.319999999999999</v>
      </c>
      <c r="EW89">
        <v>-0.2</v>
      </c>
      <c r="EX89">
        <v>1</v>
      </c>
      <c r="EY89">
        <v>1.5</v>
      </c>
      <c r="EZ89">
        <v>1</v>
      </c>
      <c r="FA89">
        <v>1.7599999999999998</v>
      </c>
      <c r="FB89">
        <v>2</v>
      </c>
      <c r="FC89">
        <v>0.24000000000000005</v>
      </c>
      <c r="FD89">
        <v>8.24</v>
      </c>
      <c r="FE89">
        <v>31</v>
      </c>
      <c r="FF89">
        <v>29</v>
      </c>
      <c r="FG89">
        <v>29</v>
      </c>
      <c r="FH89">
        <v>-5.4820745969143991E-2</v>
      </c>
      <c r="FI89">
        <v>32</v>
      </c>
      <c r="FJ89">
        <v>-2.103702322821489E-2</v>
      </c>
      <c r="FK89">
        <v>30</v>
      </c>
      <c r="FL89">
        <v>6.8759999999999994</v>
      </c>
      <c r="FM89">
        <v>25</v>
      </c>
      <c r="FN89">
        <v>-6.0399999999999991</v>
      </c>
      <c r="FO89">
        <v>-8.68</v>
      </c>
      <c r="FP89">
        <v>9.24</v>
      </c>
      <c r="FQ89">
        <v>0.23999999999999985</v>
      </c>
      <c r="FR89">
        <v>0.7600000000000009</v>
      </c>
      <c r="FS89">
        <v>9.4</v>
      </c>
      <c r="FT89">
        <v>1.6800000000000002</v>
      </c>
      <c r="FU89">
        <v>27.360000000000003</v>
      </c>
      <c r="FV89">
        <v>-15.319999999999993</v>
      </c>
      <c r="FW89">
        <v>60.36</v>
      </c>
      <c r="FX89">
        <v>-4.1599999999999993</v>
      </c>
      <c r="FY89">
        <v>-13.52</v>
      </c>
      <c r="FZ89">
        <v>23</v>
      </c>
      <c r="GA89">
        <v>-3.4855999999999998</v>
      </c>
      <c r="GB89">
        <v>-3.1645599999999998</v>
      </c>
      <c r="GC89">
        <v>-75.679999999999993</v>
      </c>
      <c r="GD89">
        <v>3.4855999999999998</v>
      </c>
      <c r="GE89">
        <v>1.7088999999999996</v>
      </c>
      <c r="GF89">
        <v>-2.0591999999999988</v>
      </c>
      <c r="GG89">
        <v>-18.040000000000003</v>
      </c>
      <c r="GH89">
        <v>7.9239999999999995</v>
      </c>
      <c r="GI89">
        <v>56.08</v>
      </c>
      <c r="GJ89">
        <v>-4.32</v>
      </c>
      <c r="GK89">
        <v>-2.6399999999999997</v>
      </c>
    </row>
    <row r="90" spans="1:193" x14ac:dyDescent="0.2">
      <c r="A90" s="39">
        <v>43758</v>
      </c>
      <c r="B90" s="22" t="s">
        <v>250</v>
      </c>
      <c r="C90" s="41" t="s">
        <v>285</v>
      </c>
      <c r="D90" s="22" t="s">
        <v>296</v>
      </c>
      <c r="E90">
        <v>2.2000000000000002</v>
      </c>
      <c r="F90">
        <v>6.9</v>
      </c>
      <c r="G90">
        <v>2.8</v>
      </c>
      <c r="H90">
        <f>2.2+1.5</f>
        <v>3.7</v>
      </c>
      <c r="I90">
        <v>3.5</v>
      </c>
      <c r="J90">
        <v>49.5</v>
      </c>
      <c r="K90" t="s">
        <v>109</v>
      </c>
      <c r="L90" s="1" t="s">
        <v>285</v>
      </c>
      <c r="M90">
        <v>12</v>
      </c>
      <c r="N90">
        <v>0.72159999999999935</v>
      </c>
      <c r="O90">
        <v>24</v>
      </c>
      <c r="P90">
        <v>22.5</v>
      </c>
      <c r="Q90">
        <v>22</v>
      </c>
      <c r="R90">
        <v>0.4080000000000002</v>
      </c>
      <c r="S90">
        <v>23</v>
      </c>
      <c r="T90">
        <v>-20.240000000000002</v>
      </c>
      <c r="U90">
        <v>2.56</v>
      </c>
      <c r="V90">
        <v>29</v>
      </c>
      <c r="W90">
        <v>29</v>
      </c>
      <c r="X90">
        <v>30</v>
      </c>
      <c r="Y90">
        <v>0.98000000000000098</v>
      </c>
      <c r="Z90">
        <v>28</v>
      </c>
      <c r="AA90">
        <v>7.5200000000000005</v>
      </c>
      <c r="AB90">
        <v>-0.64</v>
      </c>
      <c r="AC90">
        <v>27</v>
      </c>
      <c r="AD90">
        <v>26.5</v>
      </c>
      <c r="AE90">
        <v>27</v>
      </c>
      <c r="AF90">
        <v>-0.81600000000000106</v>
      </c>
      <c r="AG90">
        <v>26</v>
      </c>
      <c r="AH90">
        <v>-2.12</v>
      </c>
      <c r="AI90">
        <v>-0.43999999999999967</v>
      </c>
      <c r="AJ90">
        <v>7</v>
      </c>
      <c r="AK90">
        <v>8</v>
      </c>
      <c r="AL90">
        <v>6</v>
      </c>
      <c r="AM90">
        <v>-4.4439999999999991</v>
      </c>
      <c r="AN90">
        <v>10</v>
      </c>
      <c r="AO90">
        <v>-14.279999999999998</v>
      </c>
      <c r="AP90">
        <v>-0.28000000000000025</v>
      </c>
      <c r="AQ90">
        <v>11</v>
      </c>
      <c r="AR90">
        <v>10.5</v>
      </c>
      <c r="AS90">
        <v>9</v>
      </c>
      <c r="AT90">
        <v>0.45599999999999979</v>
      </c>
      <c r="AU90">
        <v>12</v>
      </c>
      <c r="AV90">
        <v>-0.6</v>
      </c>
      <c r="AW90">
        <v>0.47999999999999987</v>
      </c>
      <c r="AX90">
        <v>16</v>
      </c>
      <c r="AY90">
        <v>16</v>
      </c>
      <c r="AZ90">
        <v>18</v>
      </c>
      <c r="BA90">
        <v>3.4880000000000018</v>
      </c>
      <c r="BB90">
        <v>14</v>
      </c>
      <c r="BC90">
        <v>19.280000000000005</v>
      </c>
      <c r="BD90">
        <v>3.84</v>
      </c>
      <c r="BE90">
        <v>24</v>
      </c>
      <c r="BF90">
        <v>23.5</v>
      </c>
      <c r="BG90">
        <v>29</v>
      </c>
      <c r="BH90">
        <v>-6.0239999999999991</v>
      </c>
      <c r="BI90">
        <v>-28.2</v>
      </c>
      <c r="BJ90">
        <v>-3.04</v>
      </c>
      <c r="BK90">
        <v>21</v>
      </c>
      <c r="BL90">
        <v>20</v>
      </c>
      <c r="BM90">
        <v>17</v>
      </c>
      <c r="BN90">
        <v>0.51999999999999991</v>
      </c>
      <c r="BO90">
        <v>23</v>
      </c>
      <c r="BP90">
        <v>0.79999999999999993</v>
      </c>
      <c r="BQ90">
        <v>-4.84</v>
      </c>
      <c r="BR90">
        <v>9</v>
      </c>
      <c r="BS90">
        <v>12.25</v>
      </c>
      <c r="BT90">
        <v>20</v>
      </c>
      <c r="BU90">
        <v>-3.7486223402579393E-2</v>
      </c>
      <c r="BV90">
        <v>7</v>
      </c>
      <c r="BW90">
        <v>2.7514284995964127E-2</v>
      </c>
      <c r="BX90">
        <v>4</v>
      </c>
      <c r="BY90">
        <v>3.3000000000000029</v>
      </c>
      <c r="BZ90">
        <v>18</v>
      </c>
      <c r="CA90">
        <v>1.1200000000000003</v>
      </c>
      <c r="CB90">
        <v>0.92000000000000026</v>
      </c>
      <c r="CC90">
        <v>-3.6800000000000006</v>
      </c>
      <c r="CD90">
        <v>-1.1199999999999999</v>
      </c>
      <c r="CE90">
        <v>-2.9199999999999933</v>
      </c>
      <c r="CF90">
        <v>-3.960000000000008</v>
      </c>
      <c r="CG90">
        <v>-18.599999999999998</v>
      </c>
      <c r="CH90">
        <v>1.04</v>
      </c>
      <c r="CI90">
        <v>18.599999999999998</v>
      </c>
      <c r="CJ90">
        <v>21</v>
      </c>
      <c r="CK90">
        <v>-0.66640000000000188</v>
      </c>
      <c r="CL90">
        <v>-2.7152800000000008</v>
      </c>
      <c r="CM90">
        <v>14.63999999999999</v>
      </c>
      <c r="CN90">
        <v>0.66640000000000188</v>
      </c>
      <c r="CO90">
        <v>-1.0247999999999999</v>
      </c>
      <c r="CP90">
        <v>-4.8040000000000003</v>
      </c>
      <c r="CQ90">
        <v>-17</v>
      </c>
      <c r="CR90">
        <v>1.3880000000000012</v>
      </c>
      <c r="CS90">
        <v>-12.720000000000002</v>
      </c>
      <c r="CT90">
        <v>-3.2800000000000002</v>
      </c>
      <c r="CU90">
        <v>1.92</v>
      </c>
      <c r="CV90">
        <v>1.0465999999999998</v>
      </c>
      <c r="CW90">
        <v>1.4759249999999997</v>
      </c>
      <c r="CX90" t="s">
        <v>296</v>
      </c>
      <c r="CY90">
        <v>5</v>
      </c>
      <c r="CZ90">
        <v>2.5591999999999997</v>
      </c>
      <c r="DA90">
        <v>31</v>
      </c>
      <c r="DB90">
        <v>29</v>
      </c>
      <c r="DC90">
        <v>31</v>
      </c>
      <c r="DD90">
        <v>0.79200000000000037</v>
      </c>
      <c r="DE90">
        <v>27</v>
      </c>
      <c r="DF90">
        <v>11.04</v>
      </c>
      <c r="DG90">
        <v>1.0000000000000002</v>
      </c>
      <c r="DH90">
        <v>15</v>
      </c>
      <c r="DI90">
        <v>16</v>
      </c>
      <c r="DJ90">
        <v>24</v>
      </c>
      <c r="DK90">
        <v>1.2400000000000004</v>
      </c>
      <c r="DL90">
        <v>8</v>
      </c>
      <c r="DM90">
        <v>8.84</v>
      </c>
      <c r="DN90">
        <v>-1.0399999999999998</v>
      </c>
      <c r="DO90">
        <v>4</v>
      </c>
      <c r="DP90">
        <v>4.5</v>
      </c>
      <c r="DQ90">
        <v>4</v>
      </c>
      <c r="DR90">
        <v>7.992</v>
      </c>
      <c r="DS90">
        <v>5</v>
      </c>
      <c r="DT90">
        <v>31.72</v>
      </c>
      <c r="DU90">
        <v>2.0799999999999996</v>
      </c>
      <c r="DV90">
        <v>13</v>
      </c>
      <c r="DW90">
        <v>13.5</v>
      </c>
      <c r="DX90">
        <v>14</v>
      </c>
      <c r="DY90">
        <v>-9.3090000000000011</v>
      </c>
      <c r="DZ90">
        <v>13</v>
      </c>
      <c r="EA90">
        <v>-30.869999999999997</v>
      </c>
      <c r="EB90">
        <v>-3.8200000000000003</v>
      </c>
      <c r="EC90">
        <v>24</v>
      </c>
      <c r="ED90">
        <v>13.5</v>
      </c>
      <c r="EE90">
        <v>16</v>
      </c>
      <c r="EF90">
        <v>2.024</v>
      </c>
      <c r="EG90">
        <v>11</v>
      </c>
      <c r="EH90">
        <v>6.76</v>
      </c>
      <c r="EI90">
        <v>-1</v>
      </c>
      <c r="EJ90">
        <v>2</v>
      </c>
      <c r="EK90">
        <v>3.5</v>
      </c>
      <c r="EL90">
        <v>4</v>
      </c>
      <c r="EM90">
        <v>-1.4920000000000013</v>
      </c>
      <c r="EN90">
        <v>3</v>
      </c>
      <c r="EO90">
        <v>-30.76</v>
      </c>
      <c r="EP90">
        <v>15.440000000000001</v>
      </c>
      <c r="EQ90">
        <v>17</v>
      </c>
      <c r="ER90">
        <v>15.5</v>
      </c>
      <c r="ES90">
        <v>15</v>
      </c>
      <c r="ET90">
        <v>-2.3200000000000003</v>
      </c>
      <c r="EU90">
        <v>16</v>
      </c>
      <c r="EV90">
        <v>-6.0400000000000009</v>
      </c>
      <c r="EW90">
        <v>0.35999999999999988</v>
      </c>
      <c r="EX90">
        <v>2</v>
      </c>
      <c r="EY90">
        <v>3</v>
      </c>
      <c r="EZ90">
        <v>2</v>
      </c>
      <c r="FA90">
        <v>1.9599999999999997</v>
      </c>
      <c r="FB90">
        <v>4</v>
      </c>
      <c r="FC90">
        <v>0.4</v>
      </c>
      <c r="FD90">
        <v>2.16</v>
      </c>
      <c r="FE90">
        <v>29</v>
      </c>
      <c r="FF90">
        <v>24</v>
      </c>
      <c r="FG90">
        <v>11</v>
      </c>
      <c r="FH90">
        <v>-2.6540828689013578E-2</v>
      </c>
      <c r="FI90">
        <v>27</v>
      </c>
      <c r="FJ90">
        <v>1.5047908799414941E-2</v>
      </c>
      <c r="FK90">
        <v>31</v>
      </c>
      <c r="FL90">
        <v>6.8519999999999994</v>
      </c>
      <c r="FM90">
        <v>27</v>
      </c>
      <c r="FN90">
        <v>1.36</v>
      </c>
      <c r="FO90">
        <v>-1.4799999999999998</v>
      </c>
      <c r="FP90">
        <v>2.6399999999999997</v>
      </c>
      <c r="FQ90">
        <v>1.1599999999999997</v>
      </c>
      <c r="FR90">
        <v>1.9999999999999987</v>
      </c>
      <c r="FS90">
        <v>-0.23999999999999949</v>
      </c>
      <c r="FT90">
        <v>1.1599999999999997</v>
      </c>
      <c r="FU90">
        <v>44.6</v>
      </c>
      <c r="FV90">
        <v>25.480000000000008</v>
      </c>
      <c r="FW90">
        <v>22.279999999999994</v>
      </c>
      <c r="FX90">
        <v>-3.839999999999999</v>
      </c>
      <c r="FY90">
        <v>0.68000000000000038</v>
      </c>
      <c r="FZ90">
        <v>13</v>
      </c>
      <c r="GA90">
        <v>0.527199999999999</v>
      </c>
      <c r="GB90">
        <v>-0.82676000000000083</v>
      </c>
      <c r="GC90">
        <v>3.2000000000000135</v>
      </c>
      <c r="GD90">
        <v>-0.52719999999999878</v>
      </c>
      <c r="GE90">
        <v>0.61727500000000002</v>
      </c>
      <c r="GF90">
        <v>0.70699999999999896</v>
      </c>
      <c r="GG90">
        <v>7.6100000000000012</v>
      </c>
      <c r="GH90">
        <v>2.0320000000000009</v>
      </c>
      <c r="GI90">
        <v>19.88</v>
      </c>
      <c r="GJ90">
        <v>-2.3800000000000008</v>
      </c>
      <c r="GK90">
        <v>-3.9999999999999591E-2</v>
      </c>
    </row>
    <row r="91" spans="1:193" x14ac:dyDescent="0.2">
      <c r="A91" s="39">
        <v>43758</v>
      </c>
      <c r="B91" s="22" t="s">
        <v>250</v>
      </c>
      <c r="C91" s="41" t="s">
        <v>295</v>
      </c>
      <c r="D91" s="22" t="s">
        <v>304</v>
      </c>
      <c r="E91">
        <v>15.3</v>
      </c>
      <c r="F91">
        <v>7</v>
      </c>
      <c r="G91" s="14">
        <v>1.3</v>
      </c>
      <c r="H91">
        <v>14.6</v>
      </c>
      <c r="I91">
        <v>3</v>
      </c>
      <c r="J91">
        <v>54.5</v>
      </c>
      <c r="K91" t="s">
        <v>109</v>
      </c>
      <c r="L91" s="1" t="s">
        <v>295</v>
      </c>
      <c r="M91">
        <v>2</v>
      </c>
      <c r="N91">
        <v>7.9047999999999998</v>
      </c>
      <c r="O91">
        <v>29</v>
      </c>
      <c r="P91">
        <v>28</v>
      </c>
      <c r="Q91">
        <v>29</v>
      </c>
      <c r="R91">
        <v>1.9039999999999995</v>
      </c>
      <c r="S91">
        <v>27</v>
      </c>
      <c r="T91">
        <v>-5.0400000000000009</v>
      </c>
      <c r="U91">
        <v>0.82000000000000006</v>
      </c>
      <c r="V91">
        <v>11</v>
      </c>
      <c r="W91">
        <v>11</v>
      </c>
      <c r="X91">
        <v>10</v>
      </c>
      <c r="Y91">
        <v>2.0800000000000005</v>
      </c>
      <c r="Z91">
        <v>12</v>
      </c>
      <c r="AA91">
        <v>-0.72000000000000031</v>
      </c>
      <c r="AB91">
        <v>1</v>
      </c>
      <c r="AC91">
        <v>15</v>
      </c>
      <c r="AD91">
        <v>16</v>
      </c>
      <c r="AE91">
        <v>23</v>
      </c>
      <c r="AF91">
        <v>3.1440000000000001</v>
      </c>
      <c r="AG91">
        <v>9</v>
      </c>
      <c r="AH91">
        <v>16.32</v>
      </c>
      <c r="AI91">
        <v>0.4399999999999995</v>
      </c>
      <c r="AJ91">
        <v>6</v>
      </c>
      <c r="AK91">
        <v>7</v>
      </c>
      <c r="AL91">
        <v>8</v>
      </c>
      <c r="AM91">
        <v>2.4439999999999995</v>
      </c>
      <c r="AN91">
        <v>6</v>
      </c>
      <c r="AO91">
        <v>9.1999999999999993</v>
      </c>
      <c r="AP91">
        <v>0.88000000000000012</v>
      </c>
      <c r="AQ91">
        <v>6</v>
      </c>
      <c r="AR91">
        <v>6</v>
      </c>
      <c r="AS91">
        <v>6</v>
      </c>
      <c r="AT91">
        <v>3.532</v>
      </c>
      <c r="AU91">
        <v>6</v>
      </c>
      <c r="AV91">
        <v>13.680000000000001</v>
      </c>
      <c r="AW91">
        <v>1.8800000000000001</v>
      </c>
      <c r="AX91">
        <v>7</v>
      </c>
      <c r="AY91">
        <v>6.5</v>
      </c>
      <c r="AZ91">
        <v>7</v>
      </c>
      <c r="BA91">
        <v>3.9520000000000004</v>
      </c>
      <c r="BB91">
        <v>6</v>
      </c>
      <c r="BC91">
        <v>17.120000000000005</v>
      </c>
      <c r="BD91">
        <v>1.92</v>
      </c>
      <c r="BE91">
        <v>16</v>
      </c>
      <c r="BF91">
        <v>17</v>
      </c>
      <c r="BG91">
        <v>17</v>
      </c>
      <c r="BH91">
        <v>7.2239999999999993</v>
      </c>
      <c r="BI91">
        <v>31.839999999999996</v>
      </c>
      <c r="BJ91">
        <v>2.5200000000000005</v>
      </c>
      <c r="BK91">
        <v>4</v>
      </c>
      <c r="BL91">
        <v>7</v>
      </c>
      <c r="BM91">
        <v>10</v>
      </c>
      <c r="BN91">
        <v>-0.88000000000000012</v>
      </c>
      <c r="BO91">
        <v>4</v>
      </c>
      <c r="BP91">
        <v>-0.4</v>
      </c>
      <c r="BQ91">
        <v>-5.4</v>
      </c>
      <c r="BR91">
        <v>14</v>
      </c>
      <c r="BS91">
        <v>14</v>
      </c>
      <c r="BT91">
        <v>7</v>
      </c>
      <c r="BU91">
        <v>-1.2445594924166003E-2</v>
      </c>
      <c r="BV91">
        <v>9</v>
      </c>
      <c r="BW91">
        <v>-2.289016798368157E-2</v>
      </c>
      <c r="BX91">
        <v>26</v>
      </c>
      <c r="BY91">
        <v>8.6439999999999948</v>
      </c>
      <c r="BZ91">
        <v>14</v>
      </c>
      <c r="CA91">
        <v>-0.40000000000000019</v>
      </c>
      <c r="CB91">
        <v>2.5600000000000009</v>
      </c>
      <c r="CC91">
        <v>3.16</v>
      </c>
      <c r="CD91">
        <v>-0.83999999999999986</v>
      </c>
      <c r="CE91">
        <v>50.56</v>
      </c>
      <c r="CF91">
        <v>78.52000000000001</v>
      </c>
      <c r="CG91">
        <v>-13.160000000000002</v>
      </c>
      <c r="CH91">
        <v>-5.28</v>
      </c>
      <c r="CI91">
        <v>-9.52</v>
      </c>
      <c r="CJ91">
        <v>11</v>
      </c>
      <c r="CK91">
        <v>3.9207999999999994</v>
      </c>
      <c r="CL91">
        <v>2.8577599999999999</v>
      </c>
      <c r="CM91">
        <v>91.68</v>
      </c>
      <c r="CN91">
        <v>-3.9207999999999998</v>
      </c>
      <c r="CO91">
        <v>3.4191000000000003</v>
      </c>
      <c r="CP91">
        <v>9.1199999999999992</v>
      </c>
      <c r="CQ91">
        <v>39.200000000000003</v>
      </c>
      <c r="CR91">
        <v>3.984</v>
      </c>
      <c r="CS91">
        <v>-5.7600000000000016</v>
      </c>
      <c r="CT91">
        <v>5.7200000000000006</v>
      </c>
      <c r="CU91">
        <v>1.82</v>
      </c>
      <c r="CV91">
        <v>1.7071875000000005</v>
      </c>
      <c r="CW91">
        <v>3.729200000000001</v>
      </c>
      <c r="CX91" t="s">
        <v>304</v>
      </c>
      <c r="CY91">
        <v>16</v>
      </c>
      <c r="CZ91">
        <v>0.23119999999999977</v>
      </c>
      <c r="DA91">
        <v>17</v>
      </c>
      <c r="DB91">
        <v>18</v>
      </c>
      <c r="DC91">
        <v>20</v>
      </c>
      <c r="DD91">
        <v>-1.7687999999999999</v>
      </c>
      <c r="DE91">
        <v>16</v>
      </c>
      <c r="DF91">
        <v>-2.6799999999999997</v>
      </c>
      <c r="DG91">
        <v>-8.0000000000000071E-2</v>
      </c>
      <c r="DH91">
        <v>4</v>
      </c>
      <c r="DI91">
        <v>6.5</v>
      </c>
      <c r="DJ91">
        <v>7</v>
      </c>
      <c r="DK91">
        <v>-2.36</v>
      </c>
      <c r="DL91">
        <v>6</v>
      </c>
      <c r="DM91">
        <v>-11.4</v>
      </c>
      <c r="DN91">
        <v>-0.44000000000000006</v>
      </c>
      <c r="DO91">
        <v>19</v>
      </c>
      <c r="DP91">
        <v>19.5</v>
      </c>
      <c r="DQ91">
        <v>17</v>
      </c>
      <c r="DR91">
        <v>-2.8640000000000008</v>
      </c>
      <c r="DS91">
        <v>22</v>
      </c>
      <c r="DT91">
        <v>-14.24</v>
      </c>
      <c r="DU91">
        <v>-0.64</v>
      </c>
      <c r="DV91">
        <v>11</v>
      </c>
      <c r="DW91">
        <v>13</v>
      </c>
      <c r="DX91">
        <v>10</v>
      </c>
      <c r="DY91">
        <v>2.5760000000000001</v>
      </c>
      <c r="DZ91">
        <v>16</v>
      </c>
      <c r="EA91">
        <v>7.0799999999999983</v>
      </c>
      <c r="EB91">
        <v>0.87999999999999989</v>
      </c>
      <c r="EC91">
        <v>2</v>
      </c>
      <c r="ED91">
        <v>2</v>
      </c>
      <c r="EE91">
        <v>2</v>
      </c>
      <c r="EF91">
        <v>-0.64400000000000035</v>
      </c>
      <c r="EG91">
        <v>2</v>
      </c>
      <c r="EH91">
        <v>0.44000000000000022</v>
      </c>
      <c r="EI91">
        <v>0.36</v>
      </c>
      <c r="EJ91">
        <v>14</v>
      </c>
      <c r="EK91">
        <v>14</v>
      </c>
      <c r="EL91">
        <v>11</v>
      </c>
      <c r="EM91">
        <v>-1.8880000000000006</v>
      </c>
      <c r="EN91">
        <v>17</v>
      </c>
      <c r="EO91">
        <v>-13.279999999999998</v>
      </c>
      <c r="EP91">
        <v>1.8799999999999997</v>
      </c>
      <c r="EQ91">
        <v>25</v>
      </c>
      <c r="ER91">
        <v>24.5</v>
      </c>
      <c r="ES91">
        <v>29</v>
      </c>
      <c r="ET91">
        <v>0.75100000000000089</v>
      </c>
      <c r="EU91">
        <v>20</v>
      </c>
      <c r="EV91">
        <v>8.0799999999999983</v>
      </c>
      <c r="EW91">
        <v>-6.0000000000000053E-2</v>
      </c>
      <c r="EX91">
        <v>28</v>
      </c>
      <c r="EY91">
        <v>26.5</v>
      </c>
      <c r="EZ91">
        <v>29</v>
      </c>
      <c r="FA91">
        <v>1.5599999999999998</v>
      </c>
      <c r="FB91">
        <v>24</v>
      </c>
      <c r="FC91">
        <v>0.32</v>
      </c>
      <c r="FD91">
        <v>1.7763568394002506E-16</v>
      </c>
      <c r="FE91">
        <v>14</v>
      </c>
      <c r="FF91">
        <v>15</v>
      </c>
      <c r="FG91">
        <v>22</v>
      </c>
      <c r="FH91">
        <v>5.0394854655662749E-2</v>
      </c>
      <c r="FI91">
        <v>10</v>
      </c>
      <c r="FJ91">
        <v>-1.418277190389074E-2</v>
      </c>
      <c r="FK91">
        <v>22</v>
      </c>
      <c r="FL91">
        <v>-2.8000000000001534E-2</v>
      </c>
      <c r="FM91">
        <v>6</v>
      </c>
      <c r="FN91">
        <v>-0.6</v>
      </c>
      <c r="FO91">
        <v>0.96000000000000085</v>
      </c>
      <c r="FP91">
        <v>2.6800000000000006</v>
      </c>
      <c r="FQ91">
        <v>-0.6</v>
      </c>
      <c r="FR91">
        <v>2.2400000000000007</v>
      </c>
      <c r="FS91">
        <v>-7.999999999999971E-2</v>
      </c>
      <c r="FT91">
        <v>0.27999999999999992</v>
      </c>
      <c r="FU91">
        <v>-32.04</v>
      </c>
      <c r="FV91">
        <v>-4.8399999999999981</v>
      </c>
      <c r="FW91">
        <v>-17.720000000000002</v>
      </c>
      <c r="FX91">
        <v>-4.5200000000000005</v>
      </c>
      <c r="FY91">
        <v>-4.9600000000000009</v>
      </c>
      <c r="FZ91">
        <v>6</v>
      </c>
      <c r="GA91">
        <v>4.3599999999999994</v>
      </c>
      <c r="GB91">
        <v>2.0744400000000001</v>
      </c>
      <c r="GC91">
        <v>12.880000000000004</v>
      </c>
      <c r="GD91">
        <v>-4.3599999999999994</v>
      </c>
      <c r="GE91">
        <v>-0.31482500000000002</v>
      </c>
      <c r="GF91">
        <v>-0.93200000000000105</v>
      </c>
      <c r="GG91">
        <v>-6.7200000000000015</v>
      </c>
      <c r="GH91">
        <v>-4.1288</v>
      </c>
      <c r="GI91">
        <v>-14.08</v>
      </c>
      <c r="GJ91">
        <v>0.53999999999999981</v>
      </c>
      <c r="GK91">
        <v>-0.52000000000000013</v>
      </c>
    </row>
    <row r="92" spans="1:193" x14ac:dyDescent="0.2">
      <c r="A92" s="39">
        <v>43758</v>
      </c>
      <c r="B92" s="22" t="s">
        <v>250</v>
      </c>
      <c r="C92" s="41" t="s">
        <v>305</v>
      </c>
      <c r="D92" s="22" t="s">
        <v>308</v>
      </c>
      <c r="H92">
        <f>5.9+3+2</f>
        <v>10.9</v>
      </c>
      <c r="I92">
        <v>3</v>
      </c>
      <c r="J92">
        <v>49</v>
      </c>
      <c r="L92" s="1" t="s">
        <v>305</v>
      </c>
      <c r="M92">
        <v>4</v>
      </c>
      <c r="N92">
        <v>5.0192000000000014</v>
      </c>
      <c r="O92">
        <v>4</v>
      </c>
      <c r="P92">
        <v>6.5</v>
      </c>
      <c r="Q92">
        <v>4</v>
      </c>
      <c r="R92">
        <v>-0.42400000000000021</v>
      </c>
      <c r="S92">
        <v>9</v>
      </c>
      <c r="T92">
        <v>-20.48</v>
      </c>
      <c r="U92">
        <v>-0.68</v>
      </c>
      <c r="V92">
        <v>5</v>
      </c>
      <c r="W92">
        <v>8</v>
      </c>
      <c r="X92">
        <v>14</v>
      </c>
      <c r="Y92">
        <v>-4.121599999999999</v>
      </c>
      <c r="Z92">
        <v>2</v>
      </c>
      <c r="AA92">
        <v>-1.4800000000000004</v>
      </c>
      <c r="AB92">
        <v>-1.7200000000000002</v>
      </c>
      <c r="AC92">
        <v>26</v>
      </c>
      <c r="AD92">
        <v>25</v>
      </c>
      <c r="AE92">
        <v>22</v>
      </c>
      <c r="AF92">
        <v>-3.9000000000000008</v>
      </c>
      <c r="AG92">
        <v>28</v>
      </c>
      <c r="AH92">
        <v>-13.9</v>
      </c>
      <c r="AI92">
        <v>0.95</v>
      </c>
      <c r="AJ92">
        <v>25</v>
      </c>
      <c r="AK92">
        <v>26</v>
      </c>
      <c r="AL92">
        <v>24</v>
      </c>
      <c r="AM92">
        <v>-1.25</v>
      </c>
      <c r="AN92">
        <v>28</v>
      </c>
      <c r="AO92">
        <v>-0.90000000000000036</v>
      </c>
      <c r="AP92">
        <v>-2.25</v>
      </c>
      <c r="AQ92">
        <v>31</v>
      </c>
      <c r="AR92">
        <v>30</v>
      </c>
      <c r="AS92">
        <v>29</v>
      </c>
      <c r="AT92">
        <v>-2.9950000000000001</v>
      </c>
      <c r="AU92">
        <v>31</v>
      </c>
      <c r="AV92">
        <v>-14.6</v>
      </c>
      <c r="AW92">
        <v>-1.75</v>
      </c>
      <c r="AX92">
        <v>10</v>
      </c>
      <c r="AY92">
        <v>11</v>
      </c>
      <c r="AZ92">
        <v>5</v>
      </c>
      <c r="BA92">
        <v>4.4250000000000007</v>
      </c>
      <c r="BB92">
        <v>17</v>
      </c>
      <c r="BC92">
        <v>14.25</v>
      </c>
      <c r="BD92">
        <v>2.65</v>
      </c>
      <c r="BE92">
        <v>2</v>
      </c>
      <c r="BF92">
        <v>2</v>
      </c>
      <c r="BG92">
        <v>2</v>
      </c>
      <c r="BH92">
        <v>6.5280000000000005</v>
      </c>
      <c r="BI92">
        <v>32.6</v>
      </c>
      <c r="BJ92">
        <v>5.84</v>
      </c>
      <c r="BK92">
        <v>8</v>
      </c>
      <c r="BL92">
        <v>8.5</v>
      </c>
      <c r="BM92">
        <v>2</v>
      </c>
      <c r="BN92">
        <v>1.6</v>
      </c>
      <c r="BO92">
        <v>15</v>
      </c>
      <c r="BP92">
        <v>7.9999999999999891E-2</v>
      </c>
      <c r="BQ92">
        <v>-3.8</v>
      </c>
      <c r="BR92">
        <v>31</v>
      </c>
      <c r="BS92">
        <v>29.25</v>
      </c>
      <c r="BT92">
        <v>27</v>
      </c>
      <c r="BU92">
        <v>-1.2590185827370037E-2</v>
      </c>
      <c r="BV92">
        <v>31</v>
      </c>
      <c r="BW92">
        <v>1.3315433298636678E-2</v>
      </c>
      <c r="BX92">
        <v>27</v>
      </c>
      <c r="BY92">
        <v>-0.57599999999999763</v>
      </c>
      <c r="BZ92">
        <v>32</v>
      </c>
      <c r="CA92">
        <v>0.48</v>
      </c>
      <c r="CB92">
        <v>5.24</v>
      </c>
      <c r="CC92">
        <v>0.9199999999999996</v>
      </c>
      <c r="CD92">
        <v>-0.27999999999999997</v>
      </c>
      <c r="CE92">
        <v>20.880000000000006</v>
      </c>
      <c r="CF92">
        <v>-13.719999999999999</v>
      </c>
      <c r="CG92">
        <v>-20.080000000000002</v>
      </c>
      <c r="CH92">
        <v>-4.9999999999999991</v>
      </c>
      <c r="CI92">
        <v>59.679999999999993</v>
      </c>
      <c r="CJ92">
        <v>2</v>
      </c>
      <c r="CK92">
        <v>9.5648000000000017</v>
      </c>
      <c r="CL92">
        <v>2.9532400000000001</v>
      </c>
      <c r="CM92">
        <v>6.360000000000003</v>
      </c>
      <c r="CN92">
        <v>-9.5648000000000017</v>
      </c>
      <c r="CO92">
        <v>5.7075000000000153E-2</v>
      </c>
      <c r="CP92">
        <v>-8.1449999999999996</v>
      </c>
      <c r="CQ92">
        <v>-29.4</v>
      </c>
      <c r="CR92">
        <v>-4.5455999999999994</v>
      </c>
      <c r="CS92">
        <v>-21.96</v>
      </c>
      <c r="CT92">
        <v>2.79</v>
      </c>
      <c r="CU92">
        <v>-2.4000000000000004</v>
      </c>
      <c r="CV92">
        <v>0.88869999999999993</v>
      </c>
      <c r="CW92">
        <v>1.4556</v>
      </c>
      <c r="CX92" t="s">
        <v>308</v>
      </c>
      <c r="CY92">
        <v>17</v>
      </c>
      <c r="CZ92">
        <v>2.8912</v>
      </c>
      <c r="DA92">
        <v>24</v>
      </c>
      <c r="DB92">
        <v>22</v>
      </c>
      <c r="DC92">
        <v>18</v>
      </c>
      <c r="DD92">
        <v>6.2191999999999998</v>
      </c>
      <c r="DE92">
        <v>26</v>
      </c>
      <c r="DF92">
        <v>6.1599999999999993</v>
      </c>
      <c r="DG92">
        <v>1.7600000000000002</v>
      </c>
      <c r="DH92">
        <v>25</v>
      </c>
      <c r="DI92">
        <v>22.5</v>
      </c>
      <c r="DJ92">
        <v>16</v>
      </c>
      <c r="DK92">
        <v>-3.3920000000000003</v>
      </c>
      <c r="DL92">
        <v>29</v>
      </c>
      <c r="DM92">
        <v>-8.16</v>
      </c>
      <c r="DN92">
        <v>-1.3599999999999999</v>
      </c>
      <c r="DO92">
        <v>5</v>
      </c>
      <c r="DP92">
        <v>3.5</v>
      </c>
      <c r="DQ92">
        <v>3</v>
      </c>
      <c r="DR92">
        <v>-0.35199999999999998</v>
      </c>
      <c r="DS92">
        <v>4</v>
      </c>
      <c r="DT92">
        <v>0.87999999999999967</v>
      </c>
      <c r="DU92">
        <v>0.15999999999999978</v>
      </c>
      <c r="DV92">
        <v>19</v>
      </c>
      <c r="DW92">
        <v>17.5</v>
      </c>
      <c r="DX92">
        <v>18</v>
      </c>
      <c r="DY92">
        <v>-4.1639999999999997</v>
      </c>
      <c r="DZ92">
        <v>17</v>
      </c>
      <c r="EA92">
        <v>-22.360000000000003</v>
      </c>
      <c r="EB92">
        <v>-1.1200000000000001</v>
      </c>
      <c r="EC92">
        <v>13</v>
      </c>
      <c r="ED92">
        <v>13.5</v>
      </c>
      <c r="EE92">
        <v>6</v>
      </c>
      <c r="EF92">
        <v>-0.86800000000000033</v>
      </c>
      <c r="EG92">
        <v>21</v>
      </c>
      <c r="EH92">
        <v>-10.199999999999999</v>
      </c>
      <c r="EI92">
        <v>-0.24000000000000013</v>
      </c>
      <c r="EJ92">
        <v>18</v>
      </c>
      <c r="EK92">
        <v>18</v>
      </c>
      <c r="EL92">
        <v>16</v>
      </c>
      <c r="EM92">
        <v>-0.53200000000000114</v>
      </c>
      <c r="EN92">
        <v>20</v>
      </c>
      <c r="EO92">
        <v>2.6800000000000024</v>
      </c>
      <c r="EP92">
        <v>0.23999999999999985</v>
      </c>
      <c r="EQ92">
        <v>15</v>
      </c>
      <c r="ER92">
        <v>15</v>
      </c>
      <c r="ES92">
        <v>11</v>
      </c>
      <c r="ET92">
        <v>5.08</v>
      </c>
      <c r="EU92">
        <v>19</v>
      </c>
      <c r="EV92">
        <v>20</v>
      </c>
      <c r="EW92">
        <v>1.6</v>
      </c>
      <c r="EX92">
        <v>12</v>
      </c>
      <c r="EY92">
        <v>12.5</v>
      </c>
      <c r="EZ92">
        <v>17</v>
      </c>
      <c r="FA92">
        <v>-2.8400000000000007</v>
      </c>
      <c r="FB92">
        <v>8</v>
      </c>
      <c r="FC92">
        <v>-0.32000000000000012</v>
      </c>
      <c r="FD92">
        <v>-2.6</v>
      </c>
      <c r="FE92">
        <v>21</v>
      </c>
      <c r="FF92">
        <v>17.25</v>
      </c>
      <c r="FG92">
        <v>30</v>
      </c>
      <c r="FH92">
        <v>-2.9118507621729583E-2</v>
      </c>
      <c r="FI92">
        <v>28</v>
      </c>
      <c r="FJ92">
        <v>-2.1887772527266619E-2</v>
      </c>
      <c r="FK92">
        <v>4</v>
      </c>
      <c r="FL92">
        <v>4.4320000000000039</v>
      </c>
      <c r="FM92">
        <v>7</v>
      </c>
      <c r="FN92">
        <v>-0.3999999999999998</v>
      </c>
      <c r="FO92">
        <v>0.87999999999999967</v>
      </c>
      <c r="FP92">
        <v>-2</v>
      </c>
      <c r="FQ92">
        <v>0.2</v>
      </c>
      <c r="FR92">
        <v>-2.319999999999999</v>
      </c>
      <c r="FS92">
        <v>2.2799999999999998</v>
      </c>
      <c r="FT92">
        <v>1.3999999999999997</v>
      </c>
      <c r="FU92">
        <v>11.319999999999993</v>
      </c>
      <c r="FV92">
        <v>-1.3199999999999932</v>
      </c>
      <c r="FW92">
        <v>1.6399999999999992</v>
      </c>
      <c r="FX92">
        <v>1.44</v>
      </c>
      <c r="FY92">
        <v>9.56</v>
      </c>
      <c r="FZ92">
        <v>15</v>
      </c>
      <c r="GA92">
        <v>6.4000000000000501E-2</v>
      </c>
      <c r="GB92">
        <v>-0.89615999999999973</v>
      </c>
      <c r="GC92">
        <v>-2.9599999999999924</v>
      </c>
      <c r="GD92">
        <v>-6.4000000000000501E-2</v>
      </c>
      <c r="GE92">
        <v>0.32179999999999986</v>
      </c>
      <c r="GF92">
        <v>-5.3840000000000003</v>
      </c>
      <c r="GG92">
        <v>-31.680000000000003</v>
      </c>
      <c r="GH92">
        <v>2.8271999999999995</v>
      </c>
      <c r="GI92">
        <v>-2.0000000000000009</v>
      </c>
      <c r="GJ92">
        <v>0.39999999999999969</v>
      </c>
      <c r="GK92">
        <v>0.40000000000000036</v>
      </c>
    </row>
    <row r="93" spans="1:193" x14ac:dyDescent="0.2">
      <c r="A93" s="39">
        <v>43758</v>
      </c>
      <c r="B93" s="22" t="s">
        <v>250</v>
      </c>
      <c r="C93" s="41" t="s">
        <v>276</v>
      </c>
      <c r="D93" s="23" t="s">
        <v>293</v>
      </c>
      <c r="E93">
        <v>19.3</v>
      </c>
      <c r="F93">
        <v>10.6</v>
      </c>
      <c r="G93" s="14">
        <v>3.3</v>
      </c>
      <c r="H93">
        <f>4.2+1.9</f>
        <v>6.1</v>
      </c>
      <c r="I93">
        <v>-17</v>
      </c>
      <c r="J93">
        <v>42.5</v>
      </c>
      <c r="L93" s="1" t="s">
        <v>276</v>
      </c>
      <c r="M93">
        <v>10</v>
      </c>
      <c r="N93">
        <v>1.4039999999999995</v>
      </c>
      <c r="O93">
        <v>15</v>
      </c>
      <c r="P93">
        <v>16</v>
      </c>
      <c r="Q93">
        <v>21</v>
      </c>
      <c r="R93">
        <v>-3.3720000000000012</v>
      </c>
      <c r="S93">
        <v>11</v>
      </c>
      <c r="T93">
        <v>-1.319999999999999</v>
      </c>
      <c r="U93">
        <v>-2.3199999999999994</v>
      </c>
      <c r="V93">
        <v>15</v>
      </c>
      <c r="W93">
        <v>14.5</v>
      </c>
      <c r="X93">
        <v>20</v>
      </c>
      <c r="Y93">
        <v>-0.24559999999999943</v>
      </c>
      <c r="Z93">
        <v>9</v>
      </c>
      <c r="AA93">
        <v>4.9999999999999982</v>
      </c>
      <c r="AB93">
        <v>-0.15999999999999998</v>
      </c>
      <c r="AC93">
        <v>21</v>
      </c>
      <c r="AD93">
        <v>19.5</v>
      </c>
      <c r="AE93">
        <v>14</v>
      </c>
      <c r="AF93">
        <v>-1.6479999999999992</v>
      </c>
      <c r="AG93">
        <v>25</v>
      </c>
      <c r="AH93">
        <v>4.5999999999999996</v>
      </c>
      <c r="AI93">
        <v>4.0000000000000216E-2</v>
      </c>
      <c r="AJ93">
        <v>9</v>
      </c>
      <c r="AK93">
        <v>8.5</v>
      </c>
      <c r="AL93">
        <v>9</v>
      </c>
      <c r="AM93">
        <v>3.8600000000000003</v>
      </c>
      <c r="AN93">
        <v>8</v>
      </c>
      <c r="AO93">
        <v>14.360000000000003</v>
      </c>
      <c r="AP93">
        <v>2.3600000000000003</v>
      </c>
      <c r="AQ93">
        <v>13</v>
      </c>
      <c r="AR93">
        <v>14.5</v>
      </c>
      <c r="AS93">
        <v>15</v>
      </c>
      <c r="AT93">
        <v>1.1880000000000004</v>
      </c>
      <c r="AU93">
        <v>14</v>
      </c>
      <c r="AV93">
        <v>6.4399999999999995</v>
      </c>
      <c r="AW93">
        <v>-1.1200000000000001</v>
      </c>
      <c r="AX93">
        <v>23</v>
      </c>
      <c r="AY93">
        <v>22.5</v>
      </c>
      <c r="AZ93">
        <v>25</v>
      </c>
      <c r="BA93">
        <v>0.18800000000000025</v>
      </c>
      <c r="BB93">
        <v>20</v>
      </c>
      <c r="BC93">
        <v>2.0400000000000005</v>
      </c>
      <c r="BD93">
        <v>-2.8</v>
      </c>
      <c r="BE93">
        <v>29</v>
      </c>
      <c r="BF93">
        <v>28.5</v>
      </c>
      <c r="BG93">
        <v>30</v>
      </c>
      <c r="BH93">
        <v>1.2079999999999997</v>
      </c>
      <c r="BI93">
        <v>-0.95999999999999941</v>
      </c>
      <c r="BJ93">
        <v>0.43999999999999995</v>
      </c>
      <c r="BK93">
        <v>25</v>
      </c>
      <c r="BL93">
        <v>23</v>
      </c>
      <c r="BM93">
        <v>23</v>
      </c>
      <c r="BN93">
        <v>-1.1599999999999999</v>
      </c>
      <c r="BO93">
        <v>23</v>
      </c>
      <c r="BP93">
        <v>-0.32</v>
      </c>
      <c r="BQ93">
        <v>-2.7600000000000002</v>
      </c>
      <c r="BR93">
        <v>24</v>
      </c>
      <c r="BS93">
        <v>20.75</v>
      </c>
      <c r="BT93">
        <v>25</v>
      </c>
      <c r="BU93">
        <v>5.6968549955647173E-2</v>
      </c>
      <c r="BV93">
        <v>25</v>
      </c>
      <c r="BW93">
        <v>9.4936751676844931E-3</v>
      </c>
      <c r="BX93">
        <v>5</v>
      </c>
      <c r="BY93">
        <v>3.2680000000000007</v>
      </c>
      <c r="BZ93">
        <v>28</v>
      </c>
      <c r="CA93">
        <v>-0.72</v>
      </c>
      <c r="CB93">
        <v>2.0799999999999996</v>
      </c>
      <c r="CC93">
        <v>0.15999999999999961</v>
      </c>
      <c r="CD93">
        <v>-0.92000000000000015</v>
      </c>
      <c r="CE93">
        <v>7.2</v>
      </c>
      <c r="CF93">
        <v>5.1200000000000045</v>
      </c>
      <c r="CG93">
        <v>-6.3599999999999994</v>
      </c>
      <c r="CH93">
        <v>-0.27999999999999997</v>
      </c>
      <c r="CI93">
        <v>8.7199999999999989</v>
      </c>
      <c r="CJ93">
        <v>8</v>
      </c>
      <c r="CK93">
        <v>5.0216000000000003</v>
      </c>
      <c r="CL93">
        <v>3.0112000000000005</v>
      </c>
      <c r="CM93">
        <v>11.480000000000004</v>
      </c>
      <c r="CN93">
        <v>-5.0216000000000003</v>
      </c>
      <c r="CO93">
        <v>0.15430000000000002</v>
      </c>
      <c r="CP93">
        <v>3.4000000000000012</v>
      </c>
      <c r="CQ93">
        <v>25.4</v>
      </c>
      <c r="CR93">
        <v>-3.6176000000000008</v>
      </c>
      <c r="CS93">
        <v>3.6799999999999993</v>
      </c>
      <c r="CT93">
        <v>1.7200000000000002</v>
      </c>
      <c r="CU93">
        <v>-2.4799999999999995</v>
      </c>
      <c r="CV93">
        <v>-0.1896874999999999</v>
      </c>
      <c r="CW93">
        <v>-1.1367499999999999</v>
      </c>
      <c r="CX93" t="s">
        <v>293</v>
      </c>
      <c r="CY93">
        <v>2</v>
      </c>
      <c r="CZ93">
        <v>3.3319999999999994</v>
      </c>
      <c r="DA93">
        <v>1</v>
      </c>
      <c r="DB93">
        <v>1.5</v>
      </c>
      <c r="DC93">
        <v>1</v>
      </c>
      <c r="DD93">
        <v>2.1720000000000006</v>
      </c>
      <c r="DE93">
        <v>2</v>
      </c>
      <c r="DF93">
        <v>22.200000000000003</v>
      </c>
      <c r="DG93">
        <v>-1.4</v>
      </c>
      <c r="DH93">
        <v>30</v>
      </c>
      <c r="DI93">
        <v>27</v>
      </c>
      <c r="DJ93">
        <v>27</v>
      </c>
      <c r="DK93">
        <v>2.4440000000000004</v>
      </c>
      <c r="DL93">
        <v>27</v>
      </c>
      <c r="DM93">
        <v>14.919999999999998</v>
      </c>
      <c r="DN93">
        <v>-1.2799999999999998</v>
      </c>
      <c r="DO93">
        <v>2</v>
      </c>
      <c r="DP93">
        <v>1.5</v>
      </c>
      <c r="DQ93">
        <v>1</v>
      </c>
      <c r="DR93">
        <v>2.5600000000000009</v>
      </c>
      <c r="DS93">
        <v>2</v>
      </c>
      <c r="DT93">
        <v>-1.2600000000000009</v>
      </c>
      <c r="DU93">
        <v>-1.7</v>
      </c>
      <c r="DV93">
        <v>8</v>
      </c>
      <c r="DW93">
        <v>7</v>
      </c>
      <c r="DX93">
        <v>6</v>
      </c>
      <c r="DY93">
        <v>-3.4370000000000003</v>
      </c>
      <c r="DZ93">
        <v>8</v>
      </c>
      <c r="EA93">
        <v>-17.87</v>
      </c>
      <c r="EB93">
        <v>-1.8200000000000003</v>
      </c>
      <c r="EC93">
        <v>29</v>
      </c>
      <c r="ED93">
        <v>24</v>
      </c>
      <c r="EE93">
        <v>22</v>
      </c>
      <c r="EF93">
        <v>-2.1840000000000002</v>
      </c>
      <c r="EG93">
        <v>26</v>
      </c>
      <c r="EH93">
        <v>-9.52</v>
      </c>
      <c r="EI93">
        <v>-0.96</v>
      </c>
      <c r="EJ93">
        <v>9</v>
      </c>
      <c r="EK93">
        <v>9</v>
      </c>
      <c r="EL93">
        <v>8</v>
      </c>
      <c r="EM93">
        <v>0.491999999999997</v>
      </c>
      <c r="EN93">
        <v>10</v>
      </c>
      <c r="EO93">
        <v>-0.51999999999999891</v>
      </c>
      <c r="EP93">
        <v>-5.7200000000000006</v>
      </c>
      <c r="EQ93">
        <v>19</v>
      </c>
      <c r="ER93">
        <v>18.5</v>
      </c>
      <c r="ES93">
        <v>25</v>
      </c>
      <c r="ET93">
        <v>-2.1079999999999997</v>
      </c>
      <c r="EU93">
        <v>12</v>
      </c>
      <c r="EV93">
        <v>-1.9200000000000017</v>
      </c>
      <c r="EW93">
        <v>-0.44000000000000011</v>
      </c>
      <c r="EX93">
        <v>1</v>
      </c>
      <c r="EY93">
        <v>1.5</v>
      </c>
      <c r="EZ93">
        <v>1</v>
      </c>
      <c r="FA93">
        <v>3.28</v>
      </c>
      <c r="FB93">
        <v>2</v>
      </c>
      <c r="FC93">
        <v>0.6399999999999999</v>
      </c>
      <c r="FD93">
        <v>5.9599999999999991</v>
      </c>
      <c r="FE93">
        <v>31</v>
      </c>
      <c r="FF93">
        <v>29</v>
      </c>
      <c r="FG93">
        <v>29</v>
      </c>
      <c r="FH93">
        <v>-7.3754677872322968E-2</v>
      </c>
      <c r="FI93">
        <v>32</v>
      </c>
      <c r="FJ93">
        <v>-1.3298117139573917E-2</v>
      </c>
      <c r="FK93">
        <v>30</v>
      </c>
      <c r="FL93">
        <v>-0.51999999999999891</v>
      </c>
      <c r="FM93">
        <v>25</v>
      </c>
      <c r="FN93">
        <v>-6.919999999999999</v>
      </c>
      <c r="FO93">
        <v>-7.88</v>
      </c>
      <c r="FP93">
        <v>6</v>
      </c>
      <c r="FQ93">
        <v>0</v>
      </c>
      <c r="FR93">
        <v>-3.0799999999999996</v>
      </c>
      <c r="FS93">
        <v>6.88</v>
      </c>
      <c r="FT93">
        <v>2.2399999999999998</v>
      </c>
      <c r="FU93">
        <v>8.2400000000000091</v>
      </c>
      <c r="FV93">
        <v>-22.280000000000008</v>
      </c>
      <c r="FW93">
        <v>39.6</v>
      </c>
      <c r="FX93">
        <v>-5.2</v>
      </c>
      <c r="FY93">
        <v>-3.88</v>
      </c>
      <c r="FZ93">
        <v>18</v>
      </c>
      <c r="GA93">
        <v>-1.2840000000000016</v>
      </c>
      <c r="GB93">
        <v>-2.6754000000000007</v>
      </c>
      <c r="GC93">
        <v>-61.88000000000001</v>
      </c>
      <c r="GD93">
        <v>1.284000000000002</v>
      </c>
      <c r="GE93">
        <v>0.75737500000000013</v>
      </c>
      <c r="GF93">
        <v>-3.0609999999999995</v>
      </c>
      <c r="GG93">
        <v>-28.650000000000002</v>
      </c>
      <c r="GH93">
        <v>4.6160000000000014</v>
      </c>
      <c r="GI93">
        <v>37.120000000000005</v>
      </c>
      <c r="GJ93">
        <v>-4.9200000000000008</v>
      </c>
      <c r="GK93">
        <v>-2.6799999999999997</v>
      </c>
    </row>
    <row r="94" spans="1:193" x14ac:dyDescent="0.2">
      <c r="A94" s="39">
        <v>43758</v>
      </c>
      <c r="B94" s="22" t="s">
        <v>250</v>
      </c>
      <c r="C94" s="41" t="s">
        <v>265</v>
      </c>
      <c r="D94" s="23" t="s">
        <v>307</v>
      </c>
      <c r="E94">
        <v>24.7</v>
      </c>
      <c r="F94" s="14">
        <v>10.3</v>
      </c>
      <c r="G94">
        <v>1.6</v>
      </c>
      <c r="H94">
        <v>9.5</v>
      </c>
      <c r="I94">
        <v>-4</v>
      </c>
      <c r="J94">
        <v>37</v>
      </c>
      <c r="K94" t="s">
        <v>110</v>
      </c>
      <c r="L94" s="1" t="s">
        <v>265</v>
      </c>
      <c r="M94">
        <v>28</v>
      </c>
      <c r="N94">
        <v>-3.6320000000000006</v>
      </c>
      <c r="O94">
        <v>20</v>
      </c>
      <c r="P94">
        <v>21</v>
      </c>
      <c r="Q94">
        <v>23</v>
      </c>
      <c r="R94">
        <v>-5.0999999999999996</v>
      </c>
      <c r="S94">
        <v>19</v>
      </c>
      <c r="T94">
        <v>-17.360000000000003</v>
      </c>
      <c r="U94">
        <v>-1.24</v>
      </c>
      <c r="V94">
        <v>13</v>
      </c>
      <c r="W94">
        <v>13.5</v>
      </c>
      <c r="X94">
        <v>7</v>
      </c>
      <c r="Y94">
        <v>0.42000000000000048</v>
      </c>
      <c r="Z94">
        <v>20</v>
      </c>
      <c r="AA94">
        <v>-11.52</v>
      </c>
      <c r="AB94">
        <v>3.3600000000000003</v>
      </c>
      <c r="AC94">
        <v>16</v>
      </c>
      <c r="AD94">
        <v>17</v>
      </c>
      <c r="AE94">
        <v>16</v>
      </c>
      <c r="AF94">
        <v>2.903999999999999</v>
      </c>
      <c r="AG94">
        <v>18</v>
      </c>
      <c r="AH94">
        <v>6.1599999999999984</v>
      </c>
      <c r="AI94">
        <v>1.6799999999999997</v>
      </c>
      <c r="AJ94">
        <v>11</v>
      </c>
      <c r="AK94">
        <v>11</v>
      </c>
      <c r="AL94">
        <v>13</v>
      </c>
      <c r="AM94">
        <v>0.64800000000000035</v>
      </c>
      <c r="AN94">
        <v>9</v>
      </c>
      <c r="AO94">
        <v>-1.9200000000000004</v>
      </c>
      <c r="AP94">
        <v>-4.0000000000000036E-2</v>
      </c>
      <c r="AQ94">
        <v>26</v>
      </c>
      <c r="AR94">
        <v>26</v>
      </c>
      <c r="AS94">
        <v>26</v>
      </c>
      <c r="AT94">
        <v>-3.6399999999999997</v>
      </c>
      <c r="AU94">
        <v>26</v>
      </c>
      <c r="AV94">
        <v>-14.48</v>
      </c>
      <c r="AW94">
        <v>-1.64</v>
      </c>
      <c r="AX94">
        <v>8</v>
      </c>
      <c r="AY94">
        <v>9</v>
      </c>
      <c r="AZ94">
        <v>9</v>
      </c>
      <c r="BA94">
        <v>-3.1360000000000001</v>
      </c>
      <c r="BB94">
        <v>9</v>
      </c>
      <c r="BC94">
        <v>-10.16</v>
      </c>
      <c r="BD94">
        <v>0.8</v>
      </c>
      <c r="BE94">
        <v>29</v>
      </c>
      <c r="BF94">
        <v>28.5</v>
      </c>
      <c r="BG94">
        <v>25</v>
      </c>
      <c r="BH94">
        <v>-3.5720000000000005</v>
      </c>
      <c r="BI94">
        <v>-18.440000000000005</v>
      </c>
      <c r="BJ94">
        <v>-0.96000000000000019</v>
      </c>
      <c r="BK94">
        <v>30</v>
      </c>
      <c r="BL94">
        <v>29.5</v>
      </c>
      <c r="BM94">
        <v>31</v>
      </c>
      <c r="BN94">
        <v>1.3599999999999999</v>
      </c>
      <c r="BO94">
        <v>28</v>
      </c>
      <c r="BP94">
        <v>0.32</v>
      </c>
      <c r="BQ94">
        <v>2.96</v>
      </c>
      <c r="BR94">
        <v>18</v>
      </c>
      <c r="BS94">
        <v>15.5</v>
      </c>
      <c r="BT94">
        <v>20</v>
      </c>
      <c r="BU94">
        <v>-1.2002428876065886E-2</v>
      </c>
      <c r="BV94">
        <v>11</v>
      </c>
      <c r="BW94">
        <v>-5.1547829064612525E-3</v>
      </c>
      <c r="BX94">
        <v>20</v>
      </c>
      <c r="BY94">
        <v>-6.9760000000000018</v>
      </c>
      <c r="BZ94">
        <v>11</v>
      </c>
      <c r="CA94">
        <v>-1.6800000000000002</v>
      </c>
      <c r="CB94">
        <v>-3.72</v>
      </c>
      <c r="CC94">
        <v>-1.8</v>
      </c>
      <c r="CD94">
        <v>1.9599999999999997</v>
      </c>
      <c r="CE94">
        <v>-70.760000000000005</v>
      </c>
      <c r="CF94">
        <v>-42.199999999999996</v>
      </c>
      <c r="CG94">
        <v>-33.119999999999997</v>
      </c>
      <c r="CH94">
        <v>12.2</v>
      </c>
      <c r="CI94">
        <v>-7.6400000000000006</v>
      </c>
      <c r="CJ94">
        <v>19</v>
      </c>
      <c r="CK94">
        <v>1.0479999999999987</v>
      </c>
      <c r="CL94">
        <v>0.88159999999999905</v>
      </c>
      <c r="CM94">
        <v>-9.0799999999999983</v>
      </c>
      <c r="CN94">
        <v>-1.0479999999999983</v>
      </c>
      <c r="CO94">
        <v>-1.3265</v>
      </c>
      <c r="CP94">
        <v>-8.8000000000000078E-2</v>
      </c>
      <c r="CQ94">
        <v>-10.240000000000002</v>
      </c>
      <c r="CR94">
        <v>-4.6799999999999988</v>
      </c>
      <c r="CS94">
        <v>-28.880000000000003</v>
      </c>
      <c r="CT94">
        <v>-0.96000000000000041</v>
      </c>
      <c r="CU94">
        <v>2.12</v>
      </c>
      <c r="CV94">
        <v>-1.0698750000000001</v>
      </c>
      <c r="CW94">
        <v>0.88597499999999973</v>
      </c>
      <c r="CX94" t="s">
        <v>307</v>
      </c>
      <c r="CY94">
        <v>18</v>
      </c>
      <c r="CZ94">
        <v>-2.4487999999999994</v>
      </c>
      <c r="DA94">
        <v>29</v>
      </c>
      <c r="DB94">
        <v>27.5</v>
      </c>
      <c r="DC94">
        <v>26</v>
      </c>
      <c r="DD94">
        <v>-4.2439999999999998</v>
      </c>
      <c r="DE94">
        <v>29</v>
      </c>
      <c r="DF94">
        <v>-24.559999999999995</v>
      </c>
      <c r="DG94">
        <v>0.47999999999999987</v>
      </c>
      <c r="DH94">
        <v>7</v>
      </c>
      <c r="DI94">
        <v>10</v>
      </c>
      <c r="DJ94">
        <v>8</v>
      </c>
      <c r="DK94">
        <v>-0.37199999999999978</v>
      </c>
      <c r="DL94">
        <v>12</v>
      </c>
      <c r="DM94">
        <v>-5.2799999999999994</v>
      </c>
      <c r="DN94">
        <v>0.15999999999999998</v>
      </c>
      <c r="DO94">
        <v>15</v>
      </c>
      <c r="DP94">
        <v>19</v>
      </c>
      <c r="DQ94">
        <v>18</v>
      </c>
      <c r="DR94">
        <v>-4.0839999999999996</v>
      </c>
      <c r="DS94">
        <v>20</v>
      </c>
      <c r="DT94">
        <v>-8.3400000000000034</v>
      </c>
      <c r="DU94">
        <v>-0.78</v>
      </c>
      <c r="DV94">
        <v>29</v>
      </c>
      <c r="DW94">
        <v>29.5</v>
      </c>
      <c r="DX94">
        <v>27</v>
      </c>
      <c r="DY94">
        <v>-5.427999999999999</v>
      </c>
      <c r="DZ94">
        <v>32</v>
      </c>
      <c r="EA94">
        <v>-21</v>
      </c>
      <c r="EB94">
        <v>-2.5599999999999996</v>
      </c>
      <c r="EC94">
        <v>27</v>
      </c>
      <c r="ED94">
        <v>25</v>
      </c>
      <c r="EE94">
        <v>25</v>
      </c>
      <c r="EF94">
        <v>-1.5640000000000005</v>
      </c>
      <c r="EG94">
        <v>25</v>
      </c>
      <c r="EH94">
        <v>-5.76</v>
      </c>
      <c r="EI94">
        <v>-0.48</v>
      </c>
      <c r="EJ94">
        <v>24</v>
      </c>
      <c r="EK94">
        <v>23.5</v>
      </c>
      <c r="EL94">
        <v>20</v>
      </c>
      <c r="EM94">
        <v>2.6680000000000015</v>
      </c>
      <c r="EN94">
        <v>27</v>
      </c>
      <c r="EO94">
        <v>17.880000000000003</v>
      </c>
      <c r="EP94">
        <v>1.0400000000000003</v>
      </c>
      <c r="EQ94">
        <v>3</v>
      </c>
      <c r="ER94">
        <v>3.5</v>
      </c>
      <c r="ES94">
        <v>3</v>
      </c>
      <c r="ET94">
        <v>-3.145</v>
      </c>
      <c r="EU94">
        <v>4</v>
      </c>
      <c r="EV94">
        <v>-8.6</v>
      </c>
      <c r="EW94">
        <v>-0.82000000000000006</v>
      </c>
      <c r="EX94">
        <v>8</v>
      </c>
      <c r="EY94">
        <v>8.5</v>
      </c>
      <c r="EZ94">
        <v>9</v>
      </c>
      <c r="FA94">
        <v>-2.9200000000000004</v>
      </c>
      <c r="FB94">
        <v>8</v>
      </c>
      <c r="FC94">
        <v>-0.92000000000000015</v>
      </c>
      <c r="FD94">
        <v>-0.72</v>
      </c>
      <c r="FE94">
        <v>17</v>
      </c>
      <c r="FF94">
        <v>16</v>
      </c>
      <c r="FG94">
        <v>6</v>
      </c>
      <c r="FH94">
        <v>-1.4956785877840429E-2</v>
      </c>
      <c r="FI94">
        <v>18</v>
      </c>
      <c r="FJ94">
        <v>4.2605743407032968E-3</v>
      </c>
      <c r="FK94">
        <v>21</v>
      </c>
      <c r="FL94">
        <v>-11.167999999999997</v>
      </c>
      <c r="FM94">
        <v>19</v>
      </c>
      <c r="FN94">
        <v>1.9599999999999997</v>
      </c>
      <c r="FO94">
        <v>-2.9199999999999973</v>
      </c>
      <c r="FP94">
        <v>-2.9199999999999995</v>
      </c>
      <c r="FQ94">
        <v>-0.20000000000000009</v>
      </c>
      <c r="FR94">
        <v>-5.8399999999999981</v>
      </c>
      <c r="FS94">
        <v>-5.64</v>
      </c>
      <c r="FT94">
        <v>-0.83999999999999986</v>
      </c>
      <c r="FU94">
        <v>-69.439999999999984</v>
      </c>
      <c r="FV94">
        <v>-35.119999999999997</v>
      </c>
      <c r="FW94">
        <v>-32.08</v>
      </c>
      <c r="FX94">
        <v>0.59999999999999987</v>
      </c>
      <c r="FY94">
        <v>-2.8400000000000003</v>
      </c>
      <c r="FZ94">
        <v>11</v>
      </c>
      <c r="GA94">
        <v>2.1672000000000002</v>
      </c>
      <c r="GB94">
        <v>-1.02596</v>
      </c>
      <c r="GC94">
        <v>-3.0399999999999991</v>
      </c>
      <c r="GD94">
        <v>-2.1672000000000002</v>
      </c>
      <c r="GE94">
        <v>-3.025725</v>
      </c>
      <c r="GF94">
        <v>-11.075999999999999</v>
      </c>
      <c r="GG94">
        <v>-35.1</v>
      </c>
      <c r="GH94">
        <v>-4.6159999999999997</v>
      </c>
      <c r="GI94">
        <v>-29.839999999999996</v>
      </c>
      <c r="GJ94">
        <v>-4.6399999999999997</v>
      </c>
      <c r="GK94">
        <v>0.6399999999999999</v>
      </c>
    </row>
    <row r="95" spans="1:193" x14ac:dyDescent="0.2">
      <c r="A95" s="39">
        <v>43758</v>
      </c>
      <c r="B95" s="22" t="s">
        <v>250</v>
      </c>
      <c r="C95" s="17" t="s">
        <v>272</v>
      </c>
      <c r="D95" s="22" t="s">
        <v>297</v>
      </c>
      <c r="E95">
        <v>9.5</v>
      </c>
      <c r="F95">
        <v>9.5</v>
      </c>
      <c r="G95">
        <v>24.5</v>
      </c>
      <c r="H95">
        <v>4.3</v>
      </c>
      <c r="I95">
        <v>4</v>
      </c>
      <c r="J95">
        <v>44.5</v>
      </c>
      <c r="L95" s="1" t="s">
        <v>272</v>
      </c>
      <c r="M95">
        <v>16</v>
      </c>
      <c r="N95">
        <v>-0.66360000000000097</v>
      </c>
      <c r="O95">
        <v>29</v>
      </c>
      <c r="P95">
        <v>28</v>
      </c>
      <c r="Q95">
        <v>26</v>
      </c>
      <c r="R95">
        <v>-3.8439999999999999</v>
      </c>
      <c r="S95">
        <v>30</v>
      </c>
      <c r="T95">
        <v>-16.72</v>
      </c>
      <c r="U95">
        <v>0.55999999999999994</v>
      </c>
      <c r="V95">
        <v>24</v>
      </c>
      <c r="W95">
        <v>24</v>
      </c>
      <c r="X95">
        <v>24</v>
      </c>
      <c r="Y95">
        <v>-1.1503999999999999</v>
      </c>
      <c r="Z95">
        <v>24</v>
      </c>
      <c r="AA95">
        <v>-12.84</v>
      </c>
      <c r="AB95">
        <v>1.04</v>
      </c>
      <c r="AC95">
        <v>22</v>
      </c>
      <c r="AD95">
        <v>20</v>
      </c>
      <c r="AE95">
        <v>17</v>
      </c>
      <c r="AF95">
        <v>3.7599999999999989</v>
      </c>
      <c r="AG95">
        <v>23</v>
      </c>
      <c r="AH95">
        <v>14.2</v>
      </c>
      <c r="AI95">
        <v>2.16</v>
      </c>
      <c r="AJ95">
        <v>20</v>
      </c>
      <c r="AK95">
        <v>19</v>
      </c>
      <c r="AL95">
        <v>23</v>
      </c>
      <c r="AM95">
        <v>0.44399999999999978</v>
      </c>
      <c r="AN95">
        <v>15</v>
      </c>
      <c r="AO95">
        <v>6.5199999999999987</v>
      </c>
      <c r="AP95">
        <v>1.2</v>
      </c>
      <c r="AQ95">
        <v>2</v>
      </c>
      <c r="AR95">
        <v>2</v>
      </c>
      <c r="AS95">
        <v>2</v>
      </c>
      <c r="AT95">
        <v>1.3880000000000003</v>
      </c>
      <c r="AU95">
        <v>2</v>
      </c>
      <c r="AV95">
        <v>13.2</v>
      </c>
      <c r="AW95">
        <v>2</v>
      </c>
      <c r="AX95">
        <v>14</v>
      </c>
      <c r="AY95">
        <v>14.5</v>
      </c>
      <c r="AZ95">
        <v>16</v>
      </c>
      <c r="BA95">
        <v>-1.595999999999999</v>
      </c>
      <c r="BB95">
        <v>13</v>
      </c>
      <c r="BC95">
        <v>-7.9599999999999991</v>
      </c>
      <c r="BD95">
        <v>0.15999999999999998</v>
      </c>
      <c r="BE95">
        <v>17</v>
      </c>
      <c r="BF95">
        <v>17.5</v>
      </c>
      <c r="BG95">
        <v>19</v>
      </c>
      <c r="BH95">
        <v>-5.9279999999999999</v>
      </c>
      <c r="BI95">
        <v>-24.88</v>
      </c>
      <c r="BJ95">
        <v>-1.0399999999999996</v>
      </c>
      <c r="BK95">
        <v>12</v>
      </c>
      <c r="BL95">
        <v>11.5</v>
      </c>
      <c r="BM95">
        <v>12</v>
      </c>
      <c r="BN95">
        <v>-0.48000000000000015</v>
      </c>
      <c r="BO95">
        <v>11</v>
      </c>
      <c r="BP95">
        <v>-0.16000000000000006</v>
      </c>
      <c r="BQ95">
        <v>-3.1599999999999997</v>
      </c>
      <c r="BR95">
        <v>10</v>
      </c>
      <c r="BS95">
        <v>12.75</v>
      </c>
      <c r="BT95">
        <v>13</v>
      </c>
      <c r="BU95">
        <v>-3.7411528338698583E-2</v>
      </c>
      <c r="BV95">
        <v>15</v>
      </c>
      <c r="BW95">
        <v>3.41217352507691E-3</v>
      </c>
      <c r="BX95">
        <v>11</v>
      </c>
      <c r="BY95">
        <v>-7.7479999999999993</v>
      </c>
      <c r="BZ95">
        <v>12</v>
      </c>
      <c r="CA95">
        <v>1.2799999999999998</v>
      </c>
      <c r="CB95">
        <v>0.63999999999999913</v>
      </c>
      <c r="CC95">
        <v>-4.92</v>
      </c>
      <c r="CD95">
        <v>0.55999999999999983</v>
      </c>
      <c r="CE95">
        <v>-36.279999999999994</v>
      </c>
      <c r="CF95">
        <v>6.6799999999999953</v>
      </c>
      <c r="CG95">
        <v>-32.160000000000004</v>
      </c>
      <c r="CH95">
        <v>-1.6</v>
      </c>
      <c r="CI95">
        <v>-9.2000000000000011</v>
      </c>
      <c r="CJ95">
        <v>10</v>
      </c>
      <c r="CK95">
        <v>4.3307999999999982</v>
      </c>
      <c r="CL95">
        <v>2.2972799999999993</v>
      </c>
      <c r="CM95">
        <v>38.839999999999996</v>
      </c>
      <c r="CN95">
        <v>-4.3307999999999991</v>
      </c>
      <c r="CO95">
        <v>-0.80925000000000036</v>
      </c>
      <c r="CP95">
        <v>5.5919999999999987</v>
      </c>
      <c r="CQ95">
        <v>33.92</v>
      </c>
      <c r="CR95">
        <v>-4.9943999999999997</v>
      </c>
      <c r="CS95">
        <v>-29.56</v>
      </c>
      <c r="CT95">
        <v>4.32</v>
      </c>
      <c r="CU95">
        <v>1.6</v>
      </c>
      <c r="CV95">
        <v>0.16732499999999995</v>
      </c>
      <c r="CW95">
        <v>1.4745500000000002</v>
      </c>
      <c r="CX95" t="s">
        <v>297</v>
      </c>
      <c r="CY95">
        <v>20</v>
      </c>
      <c r="CZ95">
        <v>-0.25840000000000141</v>
      </c>
      <c r="DA95">
        <v>1</v>
      </c>
      <c r="DB95">
        <v>1.5</v>
      </c>
      <c r="DC95">
        <v>2</v>
      </c>
      <c r="DD95">
        <v>0.62719999999999776</v>
      </c>
      <c r="DE95">
        <v>1</v>
      </c>
      <c r="DF95">
        <v>7.0400000000000009</v>
      </c>
      <c r="DG95">
        <v>-7.9999999999999988E-2</v>
      </c>
      <c r="DH95">
        <v>13</v>
      </c>
      <c r="DI95">
        <v>14.5</v>
      </c>
      <c r="DJ95">
        <v>11</v>
      </c>
      <c r="DK95">
        <v>1.7720000000000002</v>
      </c>
      <c r="DL95">
        <v>18</v>
      </c>
      <c r="DM95">
        <v>11.16</v>
      </c>
      <c r="DN95">
        <v>8.8817841970012528E-17</v>
      </c>
      <c r="DO95">
        <v>12</v>
      </c>
      <c r="DP95">
        <v>13</v>
      </c>
      <c r="DQ95">
        <v>11</v>
      </c>
      <c r="DR95">
        <v>-5.0720000000000001</v>
      </c>
      <c r="DS95">
        <v>15</v>
      </c>
      <c r="DT95">
        <v>-16.920000000000002</v>
      </c>
      <c r="DU95">
        <v>-1.56</v>
      </c>
      <c r="DV95">
        <v>26</v>
      </c>
      <c r="DW95">
        <v>26.5</v>
      </c>
      <c r="DX95">
        <v>28</v>
      </c>
      <c r="DY95">
        <v>-1.151999999999999</v>
      </c>
      <c r="DZ95">
        <v>25</v>
      </c>
      <c r="EA95">
        <v>6.24</v>
      </c>
      <c r="EB95">
        <v>0.84000000000000008</v>
      </c>
      <c r="EC95">
        <v>1</v>
      </c>
      <c r="ED95">
        <v>5</v>
      </c>
      <c r="EE95">
        <v>5</v>
      </c>
      <c r="EF95">
        <v>-0.66400000000000003</v>
      </c>
      <c r="EG95">
        <v>5</v>
      </c>
      <c r="EH95">
        <v>-1.0399999999999996</v>
      </c>
      <c r="EI95">
        <v>0.39999999999999991</v>
      </c>
      <c r="EJ95">
        <v>27</v>
      </c>
      <c r="EK95">
        <v>27</v>
      </c>
      <c r="EL95">
        <v>29</v>
      </c>
      <c r="EM95">
        <v>1.416000000000001</v>
      </c>
      <c r="EN95">
        <v>25</v>
      </c>
      <c r="EO95">
        <v>6.1600000000000019</v>
      </c>
      <c r="EP95">
        <v>0.3999999999999998</v>
      </c>
      <c r="EQ95">
        <v>26</v>
      </c>
      <c r="ER95">
        <v>25.5</v>
      </c>
      <c r="ES95">
        <v>22</v>
      </c>
      <c r="ET95">
        <v>-2.0520000000000009</v>
      </c>
      <c r="EU95">
        <v>29</v>
      </c>
      <c r="EV95">
        <v>-12.12</v>
      </c>
      <c r="EW95">
        <v>-0.64</v>
      </c>
      <c r="EX95">
        <v>26</v>
      </c>
      <c r="EY95">
        <v>25</v>
      </c>
      <c r="EZ95">
        <v>21</v>
      </c>
      <c r="FA95">
        <v>-2.3199999999999998</v>
      </c>
      <c r="FB95">
        <v>29</v>
      </c>
      <c r="FC95">
        <v>-0.64</v>
      </c>
      <c r="FD95">
        <v>-0.96</v>
      </c>
      <c r="FE95">
        <v>20</v>
      </c>
      <c r="FF95">
        <v>16.75</v>
      </c>
      <c r="FG95">
        <v>21</v>
      </c>
      <c r="FH95">
        <v>3.7767582567428723E-2</v>
      </c>
      <c r="FI95">
        <v>5</v>
      </c>
      <c r="FJ95">
        <v>1.4414576860299035E-2</v>
      </c>
      <c r="FK95">
        <v>32</v>
      </c>
      <c r="FL95">
        <v>-9.408000000000003</v>
      </c>
      <c r="FM95">
        <v>9</v>
      </c>
      <c r="FN95">
        <v>0.28000000000000008</v>
      </c>
      <c r="FO95">
        <v>1.9199999999999995</v>
      </c>
      <c r="FP95">
        <v>-2.12</v>
      </c>
      <c r="FQ95">
        <v>-0.11999999999999997</v>
      </c>
      <c r="FR95">
        <v>0.51999999999999891</v>
      </c>
      <c r="FS95">
        <v>-0.55999999999999983</v>
      </c>
      <c r="FT95">
        <v>0.20000000000000009</v>
      </c>
      <c r="FU95">
        <v>17.079999999999984</v>
      </c>
      <c r="FV95">
        <v>-2.4800000000000013</v>
      </c>
      <c r="FW95">
        <v>17.919999999999995</v>
      </c>
      <c r="FX95">
        <v>3.2400000000000007</v>
      </c>
      <c r="FY95">
        <v>-1.6</v>
      </c>
      <c r="FZ95">
        <v>21</v>
      </c>
      <c r="GA95">
        <v>-2.6575999999999995</v>
      </c>
      <c r="GB95">
        <v>-3.0392799999999989</v>
      </c>
      <c r="GC95">
        <v>-20.399999999999995</v>
      </c>
      <c r="GD95">
        <v>2.6575999999999991</v>
      </c>
      <c r="GE95">
        <v>-1.1399000000000004</v>
      </c>
      <c r="GF95">
        <v>-6.887999999999999</v>
      </c>
      <c r="GG95">
        <v>-11.72</v>
      </c>
      <c r="GH95">
        <v>2.3991999999999978</v>
      </c>
      <c r="GI95">
        <v>18.200000000000003</v>
      </c>
      <c r="GJ95">
        <v>-0.96000000000000008</v>
      </c>
      <c r="GK95">
        <v>-7.9999999999999905E-2</v>
      </c>
    </row>
    <row r="96" spans="1:193" x14ac:dyDescent="0.2">
      <c r="A96" s="39">
        <v>43758</v>
      </c>
      <c r="B96" s="22" t="s">
        <v>250</v>
      </c>
      <c r="C96" s="41" t="s">
        <v>291</v>
      </c>
      <c r="D96" s="22" t="s">
        <v>294</v>
      </c>
      <c r="E96">
        <v>18.600000000000001</v>
      </c>
      <c r="F96">
        <v>6.4</v>
      </c>
      <c r="G96" s="14">
        <v>4.9000000000000004</v>
      </c>
      <c r="H96">
        <v>14.4</v>
      </c>
      <c r="I96">
        <v>-3</v>
      </c>
      <c r="J96">
        <v>50</v>
      </c>
      <c r="L96" s="4" t="s">
        <v>291</v>
      </c>
      <c r="M96" s="3">
        <v>7</v>
      </c>
      <c r="N96" s="3">
        <v>2.7871999999999986</v>
      </c>
      <c r="O96" s="3">
        <v>5</v>
      </c>
      <c r="P96" s="3">
        <v>7</v>
      </c>
      <c r="Q96" s="3">
        <v>6</v>
      </c>
      <c r="R96" s="3">
        <v>2.7959999999999998</v>
      </c>
      <c r="S96" s="3">
        <v>8</v>
      </c>
      <c r="T96" s="3">
        <v>17.84</v>
      </c>
      <c r="U96" s="3">
        <v>0.87999999999999989</v>
      </c>
      <c r="V96" s="3">
        <v>27</v>
      </c>
      <c r="W96" s="3">
        <v>27.5</v>
      </c>
      <c r="X96" s="3">
        <v>28</v>
      </c>
      <c r="Y96" s="3">
        <v>-1.4</v>
      </c>
      <c r="Z96" s="3">
        <v>27</v>
      </c>
      <c r="AA96">
        <v>4.88</v>
      </c>
      <c r="AB96">
        <v>-2.08</v>
      </c>
      <c r="AC96">
        <v>10</v>
      </c>
      <c r="AD96">
        <v>12</v>
      </c>
      <c r="AE96">
        <v>12</v>
      </c>
      <c r="AF96">
        <v>6.4250000000000007</v>
      </c>
      <c r="AG96">
        <v>12</v>
      </c>
      <c r="AH96">
        <v>24.95</v>
      </c>
      <c r="AI96">
        <v>0.89999999999999991</v>
      </c>
      <c r="AJ96">
        <v>10</v>
      </c>
      <c r="AK96">
        <v>9</v>
      </c>
      <c r="AL96">
        <v>11</v>
      </c>
      <c r="AM96">
        <v>3.3080000000000007</v>
      </c>
      <c r="AN96">
        <v>7</v>
      </c>
      <c r="AO96">
        <v>21</v>
      </c>
      <c r="AP96">
        <v>1.8</v>
      </c>
      <c r="AQ96">
        <v>1</v>
      </c>
      <c r="AR96">
        <v>1</v>
      </c>
      <c r="AS96">
        <v>1</v>
      </c>
      <c r="AT96">
        <v>1.8520000000000003</v>
      </c>
      <c r="AU96">
        <v>1</v>
      </c>
      <c r="AV96">
        <v>12.6</v>
      </c>
      <c r="AW96">
        <v>2.12</v>
      </c>
      <c r="AX96">
        <v>2</v>
      </c>
      <c r="AY96">
        <v>3.5</v>
      </c>
      <c r="AZ96">
        <v>3</v>
      </c>
      <c r="BA96">
        <v>0.18000000000000077</v>
      </c>
      <c r="BB96">
        <v>4</v>
      </c>
      <c r="BC96">
        <v>10.199999999999999</v>
      </c>
      <c r="BD96">
        <v>1.4</v>
      </c>
      <c r="BE96">
        <v>8</v>
      </c>
      <c r="BF96">
        <v>7</v>
      </c>
      <c r="BG96">
        <v>7</v>
      </c>
      <c r="BH96">
        <v>2.5399999999999991</v>
      </c>
      <c r="BI96">
        <v>15.4</v>
      </c>
      <c r="BJ96">
        <v>0.91999999999999993</v>
      </c>
      <c r="BK96">
        <v>11</v>
      </c>
      <c r="BL96">
        <v>9.5</v>
      </c>
      <c r="BM96">
        <v>14</v>
      </c>
      <c r="BN96">
        <v>-0.23999999999999985</v>
      </c>
      <c r="BO96">
        <v>5</v>
      </c>
      <c r="BP96">
        <v>0.36</v>
      </c>
      <c r="BQ96">
        <v>-5.32</v>
      </c>
      <c r="BR96">
        <v>26</v>
      </c>
      <c r="BS96">
        <v>22.25</v>
      </c>
      <c r="BT96">
        <v>18</v>
      </c>
      <c r="BU96">
        <v>1.2213887774738886E-2</v>
      </c>
      <c r="BV96">
        <v>32</v>
      </c>
      <c r="BW96">
        <v>-1.8873618040061137E-2</v>
      </c>
      <c r="BX96">
        <v>16</v>
      </c>
      <c r="BY96">
        <v>9.8719999999999981</v>
      </c>
      <c r="BZ96">
        <v>23</v>
      </c>
      <c r="CA96">
        <v>-0.92000000000000026</v>
      </c>
      <c r="CB96">
        <v>1.7199999999999989</v>
      </c>
      <c r="CC96">
        <v>0.36000000000000015</v>
      </c>
      <c r="CD96">
        <v>-2.04</v>
      </c>
      <c r="CE96">
        <v>68.88</v>
      </c>
      <c r="CF96">
        <v>37.4</v>
      </c>
      <c r="CG96">
        <v>19.84</v>
      </c>
      <c r="CH96">
        <v>-0.16000000000000023</v>
      </c>
      <c r="CI96">
        <v>11.8</v>
      </c>
      <c r="CJ96">
        <v>18</v>
      </c>
      <c r="CK96">
        <v>1.3911999999999987</v>
      </c>
      <c r="CL96">
        <v>2.6844399999999999</v>
      </c>
      <c r="CM96">
        <v>17.559999999999999</v>
      </c>
      <c r="CN96">
        <v>-1.3911999999999987</v>
      </c>
      <c r="CO96">
        <v>2.2585250000000001</v>
      </c>
      <c r="CP96">
        <v>11.585000000000001</v>
      </c>
      <c r="CQ96">
        <v>58.550000000000004</v>
      </c>
      <c r="CR96">
        <v>1.3959999999999999</v>
      </c>
      <c r="CS96">
        <v>22.72</v>
      </c>
      <c r="CT96">
        <v>5.74</v>
      </c>
      <c r="CU96">
        <v>-1.2000000000000002</v>
      </c>
      <c r="CV96">
        <v>0.94782499999999992</v>
      </c>
      <c r="CW96">
        <v>1.4864499999999996</v>
      </c>
      <c r="CX96" t="s">
        <v>294</v>
      </c>
      <c r="CY96">
        <v>30</v>
      </c>
      <c r="CZ96">
        <v>2.2055999999999996</v>
      </c>
      <c r="DA96">
        <v>18</v>
      </c>
      <c r="DB96">
        <v>19.5</v>
      </c>
      <c r="DC96">
        <v>7</v>
      </c>
      <c r="DD96">
        <v>-5.2759999999999989</v>
      </c>
      <c r="DE96">
        <v>32</v>
      </c>
      <c r="DF96">
        <v>-36.680000000000007</v>
      </c>
      <c r="DG96">
        <v>-0.19999999999999982</v>
      </c>
      <c r="DH96">
        <v>5</v>
      </c>
      <c r="DI96">
        <v>8</v>
      </c>
      <c r="DJ96">
        <v>13</v>
      </c>
      <c r="DK96">
        <v>-3.0280000000000005</v>
      </c>
      <c r="DL96">
        <v>3</v>
      </c>
      <c r="DM96">
        <v>-2.8400000000000007</v>
      </c>
      <c r="DN96">
        <v>-0.76</v>
      </c>
      <c r="DO96">
        <v>30</v>
      </c>
      <c r="DP96">
        <v>24</v>
      </c>
      <c r="DQ96">
        <v>24</v>
      </c>
      <c r="DR96">
        <v>2.1879999999999997</v>
      </c>
      <c r="DS96">
        <v>24</v>
      </c>
      <c r="DT96">
        <v>3.6400000000000006</v>
      </c>
      <c r="DU96">
        <v>1.6</v>
      </c>
      <c r="DV96">
        <v>31</v>
      </c>
      <c r="DW96">
        <v>30.5</v>
      </c>
      <c r="DX96">
        <v>30</v>
      </c>
      <c r="DY96">
        <v>7.7120000000000006</v>
      </c>
      <c r="DZ96">
        <v>31</v>
      </c>
      <c r="EA96">
        <v>27.439999999999998</v>
      </c>
      <c r="EB96">
        <v>1.3599999999999999</v>
      </c>
      <c r="EC96">
        <v>29</v>
      </c>
      <c r="ED96">
        <v>20</v>
      </c>
      <c r="EE96">
        <v>18</v>
      </c>
      <c r="EF96">
        <v>6.7999999999999797E-2</v>
      </c>
      <c r="EG96">
        <v>22</v>
      </c>
      <c r="EH96">
        <v>-5.04</v>
      </c>
      <c r="EI96">
        <v>0.67999999999999994</v>
      </c>
      <c r="EJ96">
        <v>32</v>
      </c>
      <c r="EK96">
        <v>32</v>
      </c>
      <c r="EL96">
        <v>32</v>
      </c>
      <c r="EM96">
        <v>-6.0120000000000022</v>
      </c>
      <c r="EN96">
        <v>32</v>
      </c>
      <c r="EO96">
        <v>-24.92</v>
      </c>
      <c r="EP96">
        <v>-2.12</v>
      </c>
      <c r="EQ96">
        <v>8</v>
      </c>
      <c r="ER96">
        <v>8.5</v>
      </c>
      <c r="ES96">
        <v>12</v>
      </c>
      <c r="ET96">
        <v>4.0000000000002698E-3</v>
      </c>
      <c r="EU96">
        <v>5</v>
      </c>
      <c r="EV96">
        <v>1.6400000000000006</v>
      </c>
      <c r="EW96">
        <v>0.3999999999999998</v>
      </c>
      <c r="EX96">
        <v>31</v>
      </c>
      <c r="EY96">
        <v>28.5</v>
      </c>
      <c r="EZ96">
        <v>26</v>
      </c>
      <c r="FA96">
        <v>-0.59999999999999987</v>
      </c>
      <c r="FB96">
        <v>31</v>
      </c>
      <c r="FC96">
        <v>0.72</v>
      </c>
      <c r="FD96">
        <v>1.52</v>
      </c>
      <c r="FE96">
        <v>4</v>
      </c>
      <c r="FF96">
        <v>8.75</v>
      </c>
      <c r="FG96">
        <v>3</v>
      </c>
      <c r="FH96">
        <v>5.404984635809075E-2</v>
      </c>
      <c r="FI96">
        <v>4</v>
      </c>
      <c r="FJ96">
        <v>5.3654151415937369E-3</v>
      </c>
      <c r="FK96">
        <v>14</v>
      </c>
      <c r="FL96">
        <v>-7.0840000000000032</v>
      </c>
      <c r="FM96">
        <v>14</v>
      </c>
      <c r="FN96">
        <v>1.9999999999999993</v>
      </c>
      <c r="FO96">
        <v>1.5200000000000002</v>
      </c>
      <c r="FP96">
        <v>-1.5600000000000009</v>
      </c>
      <c r="FQ96">
        <v>0.12000000000000002</v>
      </c>
      <c r="FR96">
        <v>1.5199999999999989</v>
      </c>
      <c r="FS96">
        <v>2.08</v>
      </c>
      <c r="FT96">
        <v>0.48</v>
      </c>
      <c r="FU96">
        <v>-4.9200000000000044</v>
      </c>
      <c r="FV96">
        <v>16.040000000000013</v>
      </c>
      <c r="FW96">
        <v>-30.6</v>
      </c>
      <c r="FX96">
        <v>6.4799999999999995</v>
      </c>
      <c r="FY96">
        <v>3.1599999999999997</v>
      </c>
      <c r="FZ96">
        <v>2</v>
      </c>
      <c r="GA96">
        <v>10.509599999999999</v>
      </c>
      <c r="GB96">
        <v>6.5875199999999987</v>
      </c>
      <c r="GC96">
        <v>46.640000000000015</v>
      </c>
      <c r="GD96">
        <v>-10.509599999999999</v>
      </c>
      <c r="GE96">
        <v>0.40920000000000012</v>
      </c>
      <c r="GF96">
        <v>9.968</v>
      </c>
      <c r="GG96">
        <v>26.04</v>
      </c>
      <c r="GH96">
        <v>-8.3039999999999985</v>
      </c>
      <c r="GI96">
        <v>-39.52000000000001</v>
      </c>
      <c r="GJ96">
        <v>4.0399999999999991</v>
      </c>
      <c r="GK96">
        <v>-0.95999999999999985</v>
      </c>
    </row>
    <row r="97" spans="1:193" x14ac:dyDescent="0.2">
      <c r="A97" s="39">
        <v>43758</v>
      </c>
      <c r="B97" t="s">
        <v>250</v>
      </c>
      <c r="C97" s="41" t="s">
        <v>278</v>
      </c>
      <c r="D97" t="s">
        <v>288</v>
      </c>
      <c r="E97">
        <v>14.7</v>
      </c>
      <c r="F97">
        <v>11</v>
      </c>
      <c r="G97">
        <v>2.4</v>
      </c>
      <c r="H97">
        <v>1.7</v>
      </c>
      <c r="I97">
        <v>3</v>
      </c>
      <c r="J97">
        <v>49.5</v>
      </c>
      <c r="L97" s="1" t="s">
        <v>278</v>
      </c>
      <c r="M97">
        <v>25</v>
      </c>
      <c r="N97">
        <v>-2.9968000000000004</v>
      </c>
      <c r="O97">
        <v>17</v>
      </c>
      <c r="P97">
        <v>17</v>
      </c>
      <c r="Q97">
        <v>24</v>
      </c>
      <c r="R97">
        <v>-1.0999999999999992</v>
      </c>
      <c r="S97">
        <v>10</v>
      </c>
      <c r="T97">
        <v>2.9600000000000022</v>
      </c>
      <c r="U97">
        <v>-0.47999999999999987</v>
      </c>
      <c r="V97">
        <v>18</v>
      </c>
      <c r="W97">
        <v>17.5</v>
      </c>
      <c r="X97">
        <v>22</v>
      </c>
      <c r="Y97">
        <v>4.4960000000000004</v>
      </c>
      <c r="Z97">
        <v>13</v>
      </c>
      <c r="AA97">
        <v>16.850000000000001</v>
      </c>
      <c r="AB97">
        <v>2.44</v>
      </c>
      <c r="AC97">
        <v>11</v>
      </c>
      <c r="AD97">
        <v>12.5</v>
      </c>
      <c r="AE97">
        <v>11</v>
      </c>
      <c r="AF97">
        <v>3.6369999999999991</v>
      </c>
      <c r="AG97">
        <v>14</v>
      </c>
      <c r="AH97">
        <v>12.400000000000002</v>
      </c>
      <c r="AI97">
        <v>1.5699999999999998</v>
      </c>
      <c r="AJ97">
        <v>31</v>
      </c>
      <c r="AK97">
        <v>30.5</v>
      </c>
      <c r="AL97">
        <v>31</v>
      </c>
      <c r="AM97">
        <v>-0.48899999999999971</v>
      </c>
      <c r="AN97">
        <v>30</v>
      </c>
      <c r="AO97">
        <v>-5.009999999999998</v>
      </c>
      <c r="AP97">
        <v>0.1</v>
      </c>
      <c r="AQ97">
        <v>32</v>
      </c>
      <c r="AR97">
        <v>32</v>
      </c>
      <c r="AS97">
        <v>32</v>
      </c>
      <c r="AT97">
        <v>-1.4100000000000001</v>
      </c>
      <c r="AU97">
        <v>32</v>
      </c>
      <c r="AV97">
        <v>-8.48</v>
      </c>
      <c r="AW97">
        <v>-1.55</v>
      </c>
      <c r="AX97">
        <v>31</v>
      </c>
      <c r="AY97">
        <v>31.5</v>
      </c>
      <c r="AZ97">
        <v>31</v>
      </c>
      <c r="BA97">
        <v>-3.0000000000000009</v>
      </c>
      <c r="BB97">
        <v>32</v>
      </c>
      <c r="BC97">
        <v>-8.0000000000000018</v>
      </c>
      <c r="BD97">
        <v>-0.92000000000000026</v>
      </c>
      <c r="BE97">
        <v>9</v>
      </c>
      <c r="BF97">
        <v>8.5</v>
      </c>
      <c r="BG97">
        <v>9</v>
      </c>
      <c r="BH97">
        <v>-2.1720000000000006</v>
      </c>
      <c r="BI97">
        <v>-3.7199999999999989</v>
      </c>
      <c r="BJ97">
        <v>-0.96</v>
      </c>
      <c r="BK97">
        <v>10</v>
      </c>
      <c r="BL97">
        <v>9</v>
      </c>
      <c r="BM97">
        <v>6</v>
      </c>
      <c r="BN97">
        <v>1.9599999999999997</v>
      </c>
      <c r="BO97">
        <v>12</v>
      </c>
      <c r="BP97">
        <v>0.24</v>
      </c>
      <c r="BQ97">
        <v>0.88000000000000023</v>
      </c>
      <c r="BR97">
        <v>22</v>
      </c>
      <c r="BS97">
        <v>20.25</v>
      </c>
      <c r="BT97">
        <v>15</v>
      </c>
      <c r="BU97">
        <v>7.9017336281335775E-3</v>
      </c>
      <c r="BV97">
        <v>19</v>
      </c>
      <c r="BW97">
        <v>5.344277584303567E-3</v>
      </c>
      <c r="BX97">
        <v>28</v>
      </c>
      <c r="BY97">
        <v>3.7000000000000028</v>
      </c>
      <c r="BZ97">
        <v>19</v>
      </c>
      <c r="CA97">
        <v>-0.24000000000000005</v>
      </c>
      <c r="CB97">
        <v>0.83999999999999775</v>
      </c>
      <c r="CC97">
        <v>-0.71999999999999953</v>
      </c>
      <c r="CD97">
        <v>-0.6399999999999999</v>
      </c>
      <c r="CE97">
        <v>-8.1600000000000019</v>
      </c>
      <c r="CF97">
        <v>-11.319999999999993</v>
      </c>
      <c r="CG97">
        <v>14.239999999999998</v>
      </c>
      <c r="CH97">
        <v>-1.0000000000000002</v>
      </c>
      <c r="CI97">
        <v>-10.079999999999998</v>
      </c>
      <c r="CJ97">
        <v>27</v>
      </c>
      <c r="CK97">
        <v>-6.3928000000000011</v>
      </c>
      <c r="CL97">
        <v>-2.3841600000000009</v>
      </c>
      <c r="CM97">
        <v>-25.559999999999992</v>
      </c>
      <c r="CN97">
        <v>6.3928000000000011</v>
      </c>
      <c r="CO97">
        <v>0.24064999999999978</v>
      </c>
      <c r="CP97">
        <v>1.7379999999999991</v>
      </c>
      <c r="CQ97">
        <v>-1.0899999999999963</v>
      </c>
      <c r="CR97">
        <v>3.3960000000000012</v>
      </c>
      <c r="CS97">
        <v>19.810000000000002</v>
      </c>
      <c r="CT97">
        <v>-0.84000000000000008</v>
      </c>
      <c r="CU97">
        <v>1.96</v>
      </c>
      <c r="CV97">
        <v>-0.81567499999999993</v>
      </c>
      <c r="CW97">
        <v>-1.6570999999999998</v>
      </c>
      <c r="CX97" t="s">
        <v>288</v>
      </c>
      <c r="CY97">
        <v>7</v>
      </c>
      <c r="CZ97">
        <v>-1.5680000000000003</v>
      </c>
      <c r="DA97">
        <v>3</v>
      </c>
      <c r="DB97">
        <v>3</v>
      </c>
      <c r="DC97">
        <v>3</v>
      </c>
      <c r="DD97">
        <v>7.8600000000000012</v>
      </c>
      <c r="DE97">
        <v>3</v>
      </c>
      <c r="DF97">
        <v>46.120000000000005</v>
      </c>
      <c r="DG97">
        <v>-0.13999999999999996</v>
      </c>
      <c r="DH97">
        <v>20</v>
      </c>
      <c r="DI97">
        <v>17.5</v>
      </c>
      <c r="DJ97">
        <v>5</v>
      </c>
      <c r="DK97">
        <v>2.1119999999999997</v>
      </c>
      <c r="DL97">
        <v>30</v>
      </c>
      <c r="DM97">
        <v>3.6800000000000006</v>
      </c>
      <c r="DN97">
        <v>0.88000000000000012</v>
      </c>
      <c r="DO97">
        <v>32</v>
      </c>
      <c r="DP97">
        <v>32</v>
      </c>
      <c r="DQ97">
        <v>32</v>
      </c>
      <c r="DR97">
        <v>1.4269999999999998</v>
      </c>
      <c r="DS97">
        <v>32</v>
      </c>
      <c r="DT97">
        <v>-2.5299999999999998</v>
      </c>
      <c r="DU97">
        <v>0.82000000000000006</v>
      </c>
      <c r="DV97">
        <v>24</v>
      </c>
      <c r="DW97">
        <v>25</v>
      </c>
      <c r="DX97">
        <v>23</v>
      </c>
      <c r="DY97">
        <v>-5.2080000000000002</v>
      </c>
      <c r="DZ97">
        <v>27</v>
      </c>
      <c r="EA97">
        <v>-9.3000000000000007</v>
      </c>
      <c r="EB97">
        <v>0.19000000000000003</v>
      </c>
      <c r="EC97">
        <v>13</v>
      </c>
      <c r="ED97">
        <v>12.5</v>
      </c>
      <c r="EE97">
        <v>12</v>
      </c>
      <c r="EF97">
        <v>-1.8169999999999995</v>
      </c>
      <c r="EG97">
        <v>13</v>
      </c>
      <c r="EH97">
        <v>-4.5699999999999994</v>
      </c>
      <c r="EI97">
        <v>-0.71</v>
      </c>
      <c r="EJ97">
        <v>12</v>
      </c>
      <c r="EK97">
        <v>12</v>
      </c>
      <c r="EL97">
        <v>8</v>
      </c>
      <c r="EM97">
        <v>0.79200000000000093</v>
      </c>
      <c r="EN97">
        <v>16</v>
      </c>
      <c r="EO97">
        <v>-4.4800000000000013</v>
      </c>
      <c r="EP97">
        <v>1.6800000000000002</v>
      </c>
      <c r="EQ97">
        <v>2</v>
      </c>
      <c r="ER97">
        <v>2</v>
      </c>
      <c r="ES97">
        <v>2</v>
      </c>
      <c r="ET97">
        <v>-3.0399999999999996</v>
      </c>
      <c r="EU97">
        <v>2</v>
      </c>
      <c r="EV97">
        <v>-2.6</v>
      </c>
      <c r="EW97">
        <v>-0.12000000000000011</v>
      </c>
      <c r="EX97">
        <v>20</v>
      </c>
      <c r="EY97">
        <v>21</v>
      </c>
      <c r="EZ97">
        <v>25</v>
      </c>
      <c r="FA97">
        <v>0.43999999999999984</v>
      </c>
      <c r="FB97">
        <v>17</v>
      </c>
      <c r="FC97">
        <v>0.31999999999999995</v>
      </c>
      <c r="FD97">
        <v>-0.64</v>
      </c>
      <c r="FE97">
        <v>2</v>
      </c>
      <c r="FF97">
        <v>7.25</v>
      </c>
      <c r="FG97">
        <v>4</v>
      </c>
      <c r="FH97">
        <v>1.6544146213552026E-2</v>
      </c>
      <c r="FI97">
        <v>13</v>
      </c>
      <c r="FJ97">
        <v>-2.223461485304337E-3</v>
      </c>
      <c r="FK97">
        <v>3</v>
      </c>
      <c r="FL97">
        <v>-1.8839999999999961</v>
      </c>
      <c r="FM97">
        <v>9</v>
      </c>
      <c r="FN97">
        <v>1.0000000000000002</v>
      </c>
      <c r="FO97">
        <v>2.0399999999999991</v>
      </c>
      <c r="FP97">
        <v>4.6800000000000006</v>
      </c>
      <c r="FQ97">
        <v>4.0000000000000299E-2</v>
      </c>
      <c r="FR97">
        <v>7.1199999999999974</v>
      </c>
      <c r="FS97">
        <v>0.40000000000000069</v>
      </c>
      <c r="FT97">
        <v>-0.91999999999999993</v>
      </c>
      <c r="FU97">
        <v>26.520000000000003</v>
      </c>
      <c r="FV97">
        <v>-14.999999999999995</v>
      </c>
      <c r="FW97">
        <v>44.92</v>
      </c>
      <c r="FX97">
        <v>-1.72</v>
      </c>
      <c r="FY97">
        <v>-1.6799999999999997</v>
      </c>
      <c r="FZ97">
        <v>32</v>
      </c>
      <c r="GA97">
        <v>-11.540000000000001</v>
      </c>
      <c r="GB97">
        <v>-7.0272000000000006</v>
      </c>
      <c r="GC97">
        <v>-59.919999999999995</v>
      </c>
      <c r="GD97">
        <v>11.540000000000001</v>
      </c>
      <c r="GE97">
        <v>2.5750000000000037E-2</v>
      </c>
      <c r="GF97">
        <v>-5.5979999999999999</v>
      </c>
      <c r="GG97">
        <v>-16.399999999999999</v>
      </c>
      <c r="GH97">
        <v>9.9720000000000013</v>
      </c>
      <c r="GI97">
        <v>49.800000000000004</v>
      </c>
      <c r="GJ97">
        <v>0.17999999999999994</v>
      </c>
      <c r="GK97">
        <v>0.74000000000000021</v>
      </c>
    </row>
    <row r="98" spans="1:193" x14ac:dyDescent="0.2">
      <c r="A98" s="39">
        <v>43758</v>
      </c>
      <c r="B98" s="22" t="s">
        <v>250</v>
      </c>
      <c r="C98" s="41" t="s">
        <v>299</v>
      </c>
      <c r="D98" s="22" t="s">
        <v>312</v>
      </c>
      <c r="E98">
        <v>3.1</v>
      </c>
      <c r="F98" s="14">
        <v>43.3</v>
      </c>
      <c r="G98">
        <v>21.5</v>
      </c>
      <c r="H98">
        <f>6.2+1.7</f>
        <v>7.9</v>
      </c>
      <c r="I98">
        <v>2.5</v>
      </c>
      <c r="J98">
        <v>43.5</v>
      </c>
      <c r="L98" s="1" t="s">
        <v>299</v>
      </c>
      <c r="M98">
        <v>9</v>
      </c>
      <c r="N98">
        <v>2.0368000000000013</v>
      </c>
      <c r="O98">
        <v>28</v>
      </c>
      <c r="P98">
        <v>26</v>
      </c>
      <c r="Q98">
        <v>31</v>
      </c>
      <c r="R98">
        <v>-3.1320000000000001</v>
      </c>
      <c r="S98">
        <v>21</v>
      </c>
      <c r="T98">
        <v>-16.440000000000001</v>
      </c>
      <c r="U98">
        <v>-0.24000000000000005</v>
      </c>
      <c r="V98">
        <v>13</v>
      </c>
      <c r="W98">
        <v>13.5</v>
      </c>
      <c r="X98">
        <v>8</v>
      </c>
      <c r="Y98">
        <v>-2.6439999999999997</v>
      </c>
      <c r="Z98">
        <v>19</v>
      </c>
      <c r="AA98">
        <v>-10.8</v>
      </c>
      <c r="AB98">
        <v>-0.16000000000000009</v>
      </c>
      <c r="AC98">
        <v>5</v>
      </c>
      <c r="AD98">
        <v>5.5</v>
      </c>
      <c r="AE98">
        <v>8</v>
      </c>
      <c r="AF98">
        <v>0.79599999999999971</v>
      </c>
      <c r="AG98">
        <v>3</v>
      </c>
      <c r="AH98">
        <v>2.3599999999999981</v>
      </c>
      <c r="AI98">
        <v>-0.2</v>
      </c>
      <c r="AJ98">
        <v>3</v>
      </c>
      <c r="AK98">
        <v>3.5</v>
      </c>
      <c r="AL98">
        <v>2</v>
      </c>
      <c r="AM98">
        <v>7.7559999999999985</v>
      </c>
      <c r="AN98">
        <v>5</v>
      </c>
      <c r="AO98">
        <v>19.080000000000002</v>
      </c>
      <c r="AP98">
        <v>1.7200000000000002</v>
      </c>
      <c r="AQ98">
        <v>10</v>
      </c>
      <c r="AR98">
        <v>10</v>
      </c>
      <c r="AS98">
        <v>10</v>
      </c>
      <c r="AT98">
        <v>2.6</v>
      </c>
      <c r="AU98">
        <v>10</v>
      </c>
      <c r="AV98">
        <v>20.56</v>
      </c>
      <c r="AW98">
        <v>0.84000000000000008</v>
      </c>
      <c r="AX98">
        <v>9</v>
      </c>
      <c r="AY98">
        <v>10.5</v>
      </c>
      <c r="AZ98">
        <v>13</v>
      </c>
      <c r="BA98">
        <v>5.3000000000000016</v>
      </c>
      <c r="BB98">
        <v>8</v>
      </c>
      <c r="BC98">
        <v>29.4</v>
      </c>
      <c r="BD98">
        <v>1.6799999999999997</v>
      </c>
      <c r="BE98">
        <v>20</v>
      </c>
      <c r="BF98">
        <v>22</v>
      </c>
      <c r="BG98">
        <v>23</v>
      </c>
      <c r="BH98">
        <v>-3.12</v>
      </c>
      <c r="BI98">
        <v>-17.48</v>
      </c>
      <c r="BJ98">
        <v>-0.64000000000000024</v>
      </c>
      <c r="BK98">
        <v>23</v>
      </c>
      <c r="BL98">
        <v>22.5</v>
      </c>
      <c r="BM98">
        <v>20</v>
      </c>
      <c r="BN98">
        <v>3.72</v>
      </c>
      <c r="BO98">
        <v>25</v>
      </c>
      <c r="BP98">
        <v>0.51999999999999991</v>
      </c>
      <c r="BQ98">
        <v>-0.15999999999999998</v>
      </c>
      <c r="BR98">
        <v>5</v>
      </c>
      <c r="BS98">
        <v>9</v>
      </c>
      <c r="BT98">
        <v>6</v>
      </c>
      <c r="BU98">
        <v>-3.8045086315224498E-2</v>
      </c>
      <c r="BV98">
        <v>12</v>
      </c>
      <c r="BW98">
        <v>-1.6498976903959267E-2</v>
      </c>
      <c r="BX98">
        <v>9</v>
      </c>
      <c r="BY98">
        <v>-10.796000000000001</v>
      </c>
      <c r="BZ98">
        <v>9</v>
      </c>
      <c r="CA98">
        <v>-2.04</v>
      </c>
      <c r="CB98">
        <v>-1.0400000000000005</v>
      </c>
      <c r="CC98">
        <v>2.4800000000000004</v>
      </c>
      <c r="CD98">
        <v>0.83999999999999986</v>
      </c>
      <c r="CE98">
        <v>6.8799999999999955</v>
      </c>
      <c r="CF98">
        <v>27.320000000000004</v>
      </c>
      <c r="CG98">
        <v>-11.680000000000001</v>
      </c>
      <c r="CH98">
        <v>-3.44</v>
      </c>
      <c r="CI98">
        <v>-5.32</v>
      </c>
      <c r="CJ98">
        <v>3</v>
      </c>
      <c r="CK98">
        <v>7.8128000000000011</v>
      </c>
      <c r="CL98">
        <v>4.9017599999999995</v>
      </c>
      <c r="CM98">
        <v>39.000000000000007</v>
      </c>
      <c r="CN98">
        <v>-7.8128000000000011</v>
      </c>
      <c r="CO98">
        <v>1.0015999999999998</v>
      </c>
      <c r="CP98">
        <v>11.151999999999997</v>
      </c>
      <c r="CQ98">
        <v>42</v>
      </c>
      <c r="CR98">
        <v>-5.7759999999999998</v>
      </c>
      <c r="CS98">
        <v>-27.240000000000002</v>
      </c>
      <c r="CT98">
        <v>1.7200000000000002</v>
      </c>
      <c r="CU98">
        <v>-0.40000000000000013</v>
      </c>
      <c r="CV98">
        <v>0.15853750000000016</v>
      </c>
      <c r="CW98">
        <v>0.87350000000000028</v>
      </c>
      <c r="CX98" t="s">
        <v>312</v>
      </c>
      <c r="CY98">
        <v>7</v>
      </c>
      <c r="CZ98">
        <v>-0.71039999999999992</v>
      </c>
      <c r="DA98">
        <v>22</v>
      </c>
      <c r="DB98">
        <v>21.5</v>
      </c>
      <c r="DC98">
        <v>22</v>
      </c>
      <c r="DD98">
        <v>-5.5840000000000005</v>
      </c>
      <c r="DE98">
        <v>21</v>
      </c>
      <c r="DF98">
        <v>-3.7399999999999975</v>
      </c>
      <c r="DG98">
        <v>-0.54</v>
      </c>
      <c r="DH98">
        <v>8</v>
      </c>
      <c r="DI98">
        <v>11</v>
      </c>
      <c r="DJ98">
        <v>9</v>
      </c>
      <c r="DK98">
        <v>2.5669999999999997</v>
      </c>
      <c r="DL98">
        <v>13</v>
      </c>
      <c r="DM98">
        <v>-6.26</v>
      </c>
      <c r="DN98">
        <v>4.0000000000000036E-2</v>
      </c>
      <c r="DO98">
        <v>6</v>
      </c>
      <c r="DP98">
        <v>14.5</v>
      </c>
      <c r="DQ98">
        <v>15</v>
      </c>
      <c r="DR98">
        <v>-2.7999999999999046E-2</v>
      </c>
      <c r="DS98">
        <v>14</v>
      </c>
      <c r="DT98">
        <v>0.64000000000000201</v>
      </c>
      <c r="DU98">
        <v>-0.20000000000000018</v>
      </c>
      <c r="DV98">
        <v>4</v>
      </c>
      <c r="DW98">
        <v>5</v>
      </c>
      <c r="DX98">
        <v>3</v>
      </c>
      <c r="DY98">
        <v>-1.8480000000000003</v>
      </c>
      <c r="DZ98">
        <v>7</v>
      </c>
      <c r="EA98">
        <v>-8.08</v>
      </c>
      <c r="EB98">
        <v>0.11999999999999993</v>
      </c>
      <c r="EC98">
        <v>3</v>
      </c>
      <c r="ED98">
        <v>1</v>
      </c>
      <c r="EE98">
        <v>1</v>
      </c>
      <c r="EF98">
        <v>4.1599999999999993</v>
      </c>
      <c r="EG98">
        <v>1</v>
      </c>
      <c r="EH98">
        <v>12.120000000000001</v>
      </c>
      <c r="EI98">
        <v>1.24</v>
      </c>
      <c r="EJ98">
        <v>13</v>
      </c>
      <c r="EK98">
        <v>12.5</v>
      </c>
      <c r="EL98">
        <v>13</v>
      </c>
      <c r="EM98">
        <v>-1.907999999999999</v>
      </c>
      <c r="EN98">
        <v>12</v>
      </c>
      <c r="EO98">
        <v>-13.879999999999999</v>
      </c>
      <c r="EP98">
        <v>-1.0799999999999996</v>
      </c>
      <c r="EQ98">
        <v>18</v>
      </c>
      <c r="ER98">
        <v>16</v>
      </c>
      <c r="ES98">
        <v>20</v>
      </c>
      <c r="ET98">
        <v>-2.1279999999999988</v>
      </c>
      <c r="EU98">
        <v>12</v>
      </c>
      <c r="EV98">
        <v>-6.4</v>
      </c>
      <c r="EW98">
        <v>1.3600000000000005</v>
      </c>
      <c r="EX98">
        <v>11</v>
      </c>
      <c r="EY98">
        <v>12</v>
      </c>
      <c r="EZ98">
        <v>11</v>
      </c>
      <c r="FA98">
        <v>-0.87999999999999989</v>
      </c>
      <c r="FB98">
        <v>13</v>
      </c>
      <c r="FC98">
        <v>4.0000000000000036E-2</v>
      </c>
      <c r="FD98">
        <v>-1.44</v>
      </c>
      <c r="FE98">
        <v>7</v>
      </c>
      <c r="FF98">
        <v>12.25</v>
      </c>
      <c r="FG98">
        <v>19</v>
      </c>
      <c r="FH98">
        <v>3.1735850421121446E-2</v>
      </c>
      <c r="FI98">
        <v>13</v>
      </c>
      <c r="FJ98">
        <v>2.2530934486844813E-2</v>
      </c>
      <c r="FK98">
        <v>1</v>
      </c>
      <c r="FL98">
        <v>-5.851999999999995</v>
      </c>
      <c r="FM98">
        <v>16</v>
      </c>
      <c r="FN98">
        <v>0.36</v>
      </c>
      <c r="FO98">
        <v>0.15999999999999942</v>
      </c>
      <c r="FP98">
        <v>0.4</v>
      </c>
      <c r="FQ98">
        <v>-0.11999999999999993</v>
      </c>
      <c r="FR98">
        <v>1.4800000000000011</v>
      </c>
      <c r="FS98">
        <v>-4.5199999999999996</v>
      </c>
      <c r="FT98">
        <v>-1.9599999999999997</v>
      </c>
      <c r="FU98">
        <v>-22.8</v>
      </c>
      <c r="FV98">
        <v>-8.7600000000000016</v>
      </c>
      <c r="FW98">
        <v>-3.3999999999999986</v>
      </c>
      <c r="FX98">
        <v>-8.36</v>
      </c>
      <c r="FY98">
        <v>-2.2800000000000002</v>
      </c>
      <c r="FZ98">
        <v>10</v>
      </c>
      <c r="GA98">
        <v>2.3066000000000009</v>
      </c>
      <c r="GB98">
        <v>1.3976200000000005</v>
      </c>
      <c r="GC98">
        <v>-5.360000000000003</v>
      </c>
      <c r="GD98">
        <v>-2.3066000000000009</v>
      </c>
      <c r="GE98">
        <v>-0.55642499999999995</v>
      </c>
      <c r="GF98">
        <v>2.2839999999999998</v>
      </c>
      <c r="GG98">
        <v>4.6800000000000033</v>
      </c>
      <c r="GH98">
        <v>-3.0170000000000008</v>
      </c>
      <c r="GI98">
        <v>-9.9999999999999964</v>
      </c>
      <c r="GJ98">
        <v>2.5200000000000005</v>
      </c>
      <c r="GK98">
        <v>-0.5</v>
      </c>
    </row>
    <row r="99" spans="1:193" x14ac:dyDescent="0.2">
      <c r="A99" s="39">
        <v>43758</v>
      </c>
      <c r="B99" s="22" t="s">
        <v>250</v>
      </c>
      <c r="C99" s="41" t="s">
        <v>300</v>
      </c>
      <c r="D99" s="22" t="s">
        <v>303</v>
      </c>
      <c r="E99" s="3">
        <v>24.3</v>
      </c>
      <c r="F99" s="30">
        <v>7.3</v>
      </c>
      <c r="G99" s="3">
        <v>7.2</v>
      </c>
      <c r="H99">
        <v>16.5</v>
      </c>
      <c r="I99">
        <v>-5.5</v>
      </c>
      <c r="J99">
        <v>48</v>
      </c>
      <c r="L99" s="1" t="s">
        <v>300</v>
      </c>
      <c r="M99">
        <v>11</v>
      </c>
      <c r="N99">
        <v>1.3784000000000003</v>
      </c>
      <c r="O99">
        <v>22</v>
      </c>
      <c r="P99">
        <v>21.5</v>
      </c>
      <c r="Q99">
        <v>14</v>
      </c>
      <c r="R99">
        <v>8.5719999999999992</v>
      </c>
      <c r="S99">
        <v>29</v>
      </c>
      <c r="T99">
        <v>5.2799999999999994</v>
      </c>
      <c r="U99">
        <v>1.4999999999999998</v>
      </c>
      <c r="V99">
        <v>2</v>
      </c>
      <c r="W99">
        <v>4</v>
      </c>
      <c r="X99">
        <v>4</v>
      </c>
      <c r="Y99">
        <v>3.3160000000000003</v>
      </c>
      <c r="Z99">
        <v>4</v>
      </c>
      <c r="AA99">
        <v>17.080000000000002</v>
      </c>
      <c r="AB99">
        <v>0.40000000000000008</v>
      </c>
      <c r="AC99">
        <v>3</v>
      </c>
      <c r="AD99">
        <v>3.5</v>
      </c>
      <c r="AE99">
        <v>5</v>
      </c>
      <c r="AF99">
        <v>7.9999999999999363E-2</v>
      </c>
      <c r="AG99">
        <v>2</v>
      </c>
      <c r="AH99">
        <v>21.759999999999998</v>
      </c>
      <c r="AI99">
        <v>-0.43999999999999984</v>
      </c>
      <c r="AJ99">
        <v>16</v>
      </c>
      <c r="AK99">
        <v>17</v>
      </c>
      <c r="AL99">
        <v>17</v>
      </c>
      <c r="AM99">
        <v>-1.8480000000000014</v>
      </c>
      <c r="AN99">
        <v>17</v>
      </c>
      <c r="AO99">
        <v>-8.4000000000000021</v>
      </c>
      <c r="AP99">
        <v>4.0000000000000216E-2</v>
      </c>
      <c r="AQ99">
        <v>20</v>
      </c>
      <c r="AR99">
        <v>19</v>
      </c>
      <c r="AS99">
        <v>18</v>
      </c>
      <c r="AT99">
        <v>1.7760000000000005</v>
      </c>
      <c r="AU99">
        <v>20</v>
      </c>
      <c r="AV99">
        <v>2.0799999999999996</v>
      </c>
      <c r="AW99">
        <v>-0.52</v>
      </c>
      <c r="AX99">
        <v>18</v>
      </c>
      <c r="AY99">
        <v>17</v>
      </c>
      <c r="AZ99">
        <v>12</v>
      </c>
      <c r="BA99">
        <v>3.4040000000000021</v>
      </c>
      <c r="BB99">
        <v>22</v>
      </c>
      <c r="BC99">
        <v>8.4399999999999977</v>
      </c>
      <c r="BD99">
        <v>-0.4</v>
      </c>
      <c r="BE99">
        <v>27</v>
      </c>
      <c r="BF99">
        <v>27</v>
      </c>
      <c r="BG99">
        <v>26</v>
      </c>
      <c r="BH99">
        <v>-0.96000000000000019</v>
      </c>
      <c r="BI99">
        <v>-1.5199999999999989</v>
      </c>
      <c r="BJ99">
        <v>-0.8</v>
      </c>
      <c r="BK99">
        <v>31</v>
      </c>
      <c r="BL99">
        <v>31</v>
      </c>
      <c r="BM99">
        <v>30</v>
      </c>
      <c r="BN99">
        <v>1.4000000000000001</v>
      </c>
      <c r="BO99">
        <v>32</v>
      </c>
      <c r="BP99">
        <v>-0.16000000000000006</v>
      </c>
      <c r="BQ99">
        <v>0.76000000000000012</v>
      </c>
      <c r="BR99">
        <v>16</v>
      </c>
      <c r="BS99">
        <v>14.5</v>
      </c>
      <c r="BT99">
        <v>17</v>
      </c>
      <c r="BU99">
        <v>3.4258156889234039E-2</v>
      </c>
      <c r="BV99">
        <v>14</v>
      </c>
      <c r="BW99">
        <v>-2.6293805378768288E-2</v>
      </c>
      <c r="BX99">
        <v>3</v>
      </c>
      <c r="BY99">
        <v>12.483999999999996</v>
      </c>
      <c r="BZ99">
        <v>24</v>
      </c>
      <c r="CA99">
        <v>-3.6399999999999997</v>
      </c>
      <c r="CB99">
        <v>2.2800000000000011</v>
      </c>
      <c r="CC99">
        <v>6.6400000000000006</v>
      </c>
      <c r="CD99">
        <v>-0.83999999999999986</v>
      </c>
      <c r="CE99">
        <v>42.2</v>
      </c>
      <c r="CF99">
        <v>28.160000000000007</v>
      </c>
      <c r="CG99">
        <v>16.32</v>
      </c>
      <c r="CH99">
        <v>-3.0400000000000005</v>
      </c>
      <c r="CI99">
        <v>0.76000000000000101</v>
      </c>
      <c r="CJ99">
        <v>31</v>
      </c>
      <c r="CK99">
        <v>-10.509599999999999</v>
      </c>
      <c r="CL99">
        <v>-5.8587199999999999</v>
      </c>
      <c r="CM99">
        <v>11.840000000000007</v>
      </c>
      <c r="CN99">
        <v>10.509599999999999</v>
      </c>
      <c r="CO99">
        <v>1.7142999999999999</v>
      </c>
      <c r="CP99">
        <v>7.9999999999984528E-3</v>
      </c>
      <c r="CQ99">
        <v>15.439999999999996</v>
      </c>
      <c r="CR99">
        <v>11.888</v>
      </c>
      <c r="CS99">
        <v>22.36</v>
      </c>
      <c r="CT99">
        <v>-1.7199999999999998</v>
      </c>
      <c r="CU99">
        <v>1.9</v>
      </c>
      <c r="CV99">
        <v>0.51675000000000026</v>
      </c>
      <c r="CW99">
        <v>-0.60919999999999963</v>
      </c>
      <c r="CX99" t="s">
        <v>303</v>
      </c>
      <c r="CY99">
        <v>13</v>
      </c>
      <c r="CZ99">
        <v>7.2295999999999996</v>
      </c>
      <c r="DA99">
        <v>13</v>
      </c>
      <c r="DB99">
        <v>12</v>
      </c>
      <c r="DC99">
        <v>10</v>
      </c>
      <c r="DD99">
        <v>-2.8079999999999989</v>
      </c>
      <c r="DE99">
        <v>14</v>
      </c>
      <c r="DF99">
        <v>-12.88</v>
      </c>
      <c r="DG99">
        <v>-0.83999999999999986</v>
      </c>
      <c r="DH99">
        <v>6</v>
      </c>
      <c r="DI99">
        <v>8.5</v>
      </c>
      <c r="DJ99">
        <v>6</v>
      </c>
      <c r="DK99">
        <v>2.0200000000000005</v>
      </c>
      <c r="DL99">
        <v>11</v>
      </c>
      <c r="DM99">
        <v>-4.2799999999999994</v>
      </c>
      <c r="DN99">
        <v>0.8</v>
      </c>
      <c r="DO99">
        <v>18</v>
      </c>
      <c r="DP99">
        <v>25</v>
      </c>
      <c r="DQ99">
        <v>25</v>
      </c>
      <c r="DR99">
        <v>3.112000000000001</v>
      </c>
      <c r="DS99">
        <v>25</v>
      </c>
      <c r="DT99">
        <v>9.8399999999999981</v>
      </c>
      <c r="DU99">
        <v>-0.87999999999999967</v>
      </c>
      <c r="DV99">
        <v>9</v>
      </c>
      <c r="DW99">
        <v>10</v>
      </c>
      <c r="DX99">
        <v>11</v>
      </c>
      <c r="DY99">
        <v>0.4719999999999992</v>
      </c>
      <c r="DZ99">
        <v>9</v>
      </c>
      <c r="EA99">
        <v>5.9200000000000017</v>
      </c>
      <c r="EB99">
        <v>-0.36</v>
      </c>
      <c r="EC99">
        <v>25</v>
      </c>
      <c r="ED99">
        <v>32</v>
      </c>
      <c r="EE99">
        <v>32</v>
      </c>
      <c r="EF99">
        <v>0.12400000000000055</v>
      </c>
      <c r="EG99">
        <v>32</v>
      </c>
      <c r="EH99">
        <v>-0.56000000000000083</v>
      </c>
      <c r="EI99">
        <v>-0.2</v>
      </c>
      <c r="EJ99">
        <v>31</v>
      </c>
      <c r="EK99">
        <v>31</v>
      </c>
      <c r="EL99">
        <v>31</v>
      </c>
      <c r="EM99">
        <v>9.0400000000000009</v>
      </c>
      <c r="EN99">
        <v>31</v>
      </c>
      <c r="EO99">
        <v>41.6</v>
      </c>
      <c r="EP99">
        <v>3.0800000000000005</v>
      </c>
      <c r="EQ99">
        <v>22</v>
      </c>
      <c r="ER99">
        <v>23.5</v>
      </c>
      <c r="ES99">
        <v>26</v>
      </c>
      <c r="ET99">
        <v>4.7519999999999998</v>
      </c>
      <c r="EU99">
        <v>21</v>
      </c>
      <c r="EV99">
        <v>12</v>
      </c>
      <c r="EW99">
        <v>0.24000000000000005</v>
      </c>
      <c r="EX99">
        <v>27</v>
      </c>
      <c r="EY99">
        <v>25.5</v>
      </c>
      <c r="EZ99">
        <v>22</v>
      </c>
      <c r="FA99">
        <v>-1.7600000000000002</v>
      </c>
      <c r="FB99">
        <v>29</v>
      </c>
      <c r="FC99">
        <v>-1.1599999999999999</v>
      </c>
      <c r="FD99">
        <v>-1.7200000000000002</v>
      </c>
      <c r="FE99">
        <v>10</v>
      </c>
      <c r="FF99">
        <v>13.25</v>
      </c>
      <c r="FG99">
        <v>12</v>
      </c>
      <c r="FH99">
        <v>-6.5847694695701967E-2</v>
      </c>
      <c r="FI99">
        <v>11</v>
      </c>
      <c r="FJ99">
        <v>-3.5669368567934944E-3</v>
      </c>
      <c r="FK99">
        <v>12</v>
      </c>
      <c r="FL99">
        <v>8.3520000000000021</v>
      </c>
      <c r="FM99">
        <v>18</v>
      </c>
      <c r="FN99">
        <v>-1.64</v>
      </c>
      <c r="FO99">
        <v>-0.99999999999999856</v>
      </c>
      <c r="FP99">
        <v>-1.2000000000000006</v>
      </c>
      <c r="FQ99">
        <v>0.55999999999999994</v>
      </c>
      <c r="FR99">
        <v>-2.4000000000000012</v>
      </c>
      <c r="FS99">
        <v>6.24</v>
      </c>
      <c r="FT99">
        <v>-1</v>
      </c>
      <c r="FU99">
        <v>20.639999999999997</v>
      </c>
      <c r="FV99">
        <v>43.440000000000012</v>
      </c>
      <c r="FW99">
        <v>-15.76</v>
      </c>
      <c r="FX99">
        <v>-4.68</v>
      </c>
      <c r="FY99">
        <v>-2.3600000000000003</v>
      </c>
      <c r="FZ99">
        <v>3</v>
      </c>
      <c r="GA99">
        <v>8.0175999999999981</v>
      </c>
      <c r="GB99">
        <v>3.5319199999999991</v>
      </c>
      <c r="GC99">
        <v>59.20000000000001</v>
      </c>
      <c r="GD99">
        <v>-8.0175999999999981</v>
      </c>
      <c r="GE99">
        <v>1.6427000000000003</v>
      </c>
      <c r="GF99">
        <v>3.7080000000000006</v>
      </c>
      <c r="GG99">
        <v>15.2</v>
      </c>
      <c r="GH99">
        <v>-0.78799999999999848</v>
      </c>
      <c r="GI99">
        <v>-17.16</v>
      </c>
      <c r="GJ99">
        <v>-1.1999999999999997</v>
      </c>
      <c r="GK99">
        <v>-3.9999999999999813E-2</v>
      </c>
    </row>
    <row r="100" spans="1:193" x14ac:dyDescent="0.2">
      <c r="A100" s="39">
        <v>43758</v>
      </c>
      <c r="B100" s="22" t="s">
        <v>250</v>
      </c>
      <c r="C100" s="41" t="s">
        <v>311</v>
      </c>
      <c r="D100" s="22" t="s">
        <v>289</v>
      </c>
      <c r="E100">
        <v>28.6</v>
      </c>
      <c r="F100">
        <v>17.5</v>
      </c>
      <c r="G100">
        <v>11.9</v>
      </c>
      <c r="H100">
        <f>4.7+3.7</f>
        <v>8.4</v>
      </c>
      <c r="I100">
        <v>1.5</v>
      </c>
      <c r="J100">
        <v>46.5</v>
      </c>
      <c r="L100" s="1" t="s">
        <v>311</v>
      </c>
      <c r="M100">
        <v>3</v>
      </c>
      <c r="N100">
        <v>6.3128000000000002</v>
      </c>
      <c r="O100">
        <v>22</v>
      </c>
      <c r="P100">
        <v>21.5</v>
      </c>
      <c r="Q100">
        <v>30</v>
      </c>
      <c r="R100">
        <v>-5.8759999999999994</v>
      </c>
      <c r="S100">
        <v>13</v>
      </c>
      <c r="T100">
        <v>-4.1599999999999993</v>
      </c>
      <c r="U100">
        <v>-2.2000000000000002</v>
      </c>
      <c r="V100">
        <v>8</v>
      </c>
      <c r="W100">
        <v>9.5</v>
      </c>
      <c r="X100">
        <v>3</v>
      </c>
      <c r="Y100">
        <v>0.81600000000000072</v>
      </c>
      <c r="Z100">
        <v>16</v>
      </c>
      <c r="AA100">
        <v>9.7600000000000016</v>
      </c>
      <c r="AB100">
        <v>-8.0000000000000071E-2</v>
      </c>
      <c r="AC100">
        <v>2</v>
      </c>
      <c r="AD100">
        <v>2.5</v>
      </c>
      <c r="AE100">
        <v>1</v>
      </c>
      <c r="AF100">
        <v>-1.0239999999999998</v>
      </c>
      <c r="AG100">
        <v>4</v>
      </c>
      <c r="AH100">
        <v>-1.3599999999999994</v>
      </c>
      <c r="AI100">
        <v>0.76000000000000012</v>
      </c>
      <c r="AJ100">
        <v>15</v>
      </c>
      <c r="AK100">
        <v>15</v>
      </c>
      <c r="AL100">
        <v>16</v>
      </c>
      <c r="AM100">
        <v>3.276000000000002</v>
      </c>
      <c r="AN100">
        <v>14</v>
      </c>
      <c r="AO100">
        <v>7.8400000000000007</v>
      </c>
      <c r="AP100">
        <v>2.2800000000000002</v>
      </c>
      <c r="AQ100">
        <v>21</v>
      </c>
      <c r="AR100">
        <v>21</v>
      </c>
      <c r="AS100">
        <v>21</v>
      </c>
      <c r="AT100">
        <v>4.2120000000000006</v>
      </c>
      <c r="AU100">
        <v>21</v>
      </c>
      <c r="AV100">
        <v>29.679999999999996</v>
      </c>
      <c r="AW100">
        <v>0.96</v>
      </c>
      <c r="AX100">
        <v>17</v>
      </c>
      <c r="AY100">
        <v>16.5</v>
      </c>
      <c r="AZ100">
        <v>21</v>
      </c>
      <c r="BA100">
        <v>0.56000000000000016</v>
      </c>
      <c r="BB100">
        <v>12</v>
      </c>
      <c r="BC100">
        <v>14.8</v>
      </c>
      <c r="BD100">
        <v>0.99999999999999967</v>
      </c>
      <c r="BE100">
        <v>11</v>
      </c>
      <c r="BF100">
        <v>12</v>
      </c>
      <c r="BG100">
        <v>11</v>
      </c>
      <c r="BH100">
        <v>5.9240000000000022</v>
      </c>
      <c r="BI100">
        <v>16.96</v>
      </c>
      <c r="BJ100">
        <v>0.4799999999999997</v>
      </c>
      <c r="BK100">
        <v>22</v>
      </c>
      <c r="BL100">
        <v>20.5</v>
      </c>
      <c r="BM100">
        <v>22</v>
      </c>
      <c r="BN100">
        <v>-0.6000000000000002</v>
      </c>
      <c r="BO100">
        <v>19</v>
      </c>
      <c r="BP100">
        <v>-8.0000000000000029E-2</v>
      </c>
      <c r="BQ100">
        <v>2.0000000000000004</v>
      </c>
      <c r="BR100">
        <v>20</v>
      </c>
      <c r="BS100">
        <v>17.5</v>
      </c>
      <c r="BT100">
        <v>1</v>
      </c>
      <c r="BU100">
        <v>1.6330151421233324E-2</v>
      </c>
      <c r="BV100">
        <v>24</v>
      </c>
      <c r="BW100">
        <v>-3.5754874068989776E-3</v>
      </c>
      <c r="BX100">
        <v>15</v>
      </c>
      <c r="BY100">
        <v>1.1080000000000028</v>
      </c>
      <c r="BZ100">
        <v>30</v>
      </c>
      <c r="CA100">
        <v>-1.64</v>
      </c>
      <c r="CB100">
        <v>0.7600000000000009</v>
      </c>
      <c r="CC100">
        <v>3.16</v>
      </c>
      <c r="CD100">
        <v>0.55999999999999983</v>
      </c>
      <c r="CE100">
        <v>26.880000000000006</v>
      </c>
      <c r="CF100">
        <v>21.719999999999992</v>
      </c>
      <c r="CG100">
        <v>0.24000000000000057</v>
      </c>
      <c r="CH100">
        <v>-0.72</v>
      </c>
      <c r="CI100">
        <v>5.64</v>
      </c>
      <c r="CJ100">
        <v>1</v>
      </c>
      <c r="CK100">
        <v>11.3728</v>
      </c>
      <c r="CL100">
        <v>6.2701600000000006</v>
      </c>
      <c r="CM100">
        <v>21.47999999999999</v>
      </c>
      <c r="CN100">
        <v>-11.372799999999998</v>
      </c>
      <c r="CO100">
        <v>1.6301000000000008</v>
      </c>
      <c r="CP100">
        <v>6.4640000000000031</v>
      </c>
      <c r="CQ100">
        <v>36.159999999999997</v>
      </c>
      <c r="CR100">
        <v>-5.0599999999999987</v>
      </c>
      <c r="CS100">
        <v>5.6000000000000023</v>
      </c>
      <c r="CT100">
        <v>4.4799999999999995</v>
      </c>
      <c r="CU100">
        <v>-2.2800000000000002</v>
      </c>
      <c r="CV100">
        <v>-0.91494999999999993</v>
      </c>
      <c r="CW100">
        <v>-0.9337000000000002</v>
      </c>
      <c r="CX100" t="s">
        <v>289</v>
      </c>
      <c r="CY100">
        <v>25</v>
      </c>
      <c r="CZ100">
        <v>-2.6296000000000004</v>
      </c>
      <c r="DA100">
        <v>20</v>
      </c>
      <c r="DB100">
        <v>21</v>
      </c>
      <c r="DC100">
        <v>17</v>
      </c>
      <c r="DD100">
        <v>-3.4560000000000008</v>
      </c>
      <c r="DE100">
        <v>25</v>
      </c>
      <c r="DF100">
        <v>-0.63999999999999913</v>
      </c>
      <c r="DG100">
        <v>-0.2</v>
      </c>
      <c r="DH100">
        <v>16</v>
      </c>
      <c r="DI100">
        <v>16.5</v>
      </c>
      <c r="DJ100">
        <v>26</v>
      </c>
      <c r="DK100">
        <v>-3.056</v>
      </c>
      <c r="DL100">
        <v>7</v>
      </c>
      <c r="DM100">
        <v>-8.68</v>
      </c>
      <c r="DN100">
        <v>-1.3599999999999999</v>
      </c>
      <c r="DO100">
        <v>24</v>
      </c>
      <c r="DP100">
        <v>20</v>
      </c>
      <c r="DQ100">
        <v>21</v>
      </c>
      <c r="DR100">
        <v>7.1320000000000023</v>
      </c>
      <c r="DS100">
        <v>19</v>
      </c>
      <c r="DT100">
        <v>22.560000000000002</v>
      </c>
      <c r="DU100">
        <v>1.1200000000000001</v>
      </c>
      <c r="DV100">
        <v>5</v>
      </c>
      <c r="DW100">
        <v>5.5</v>
      </c>
      <c r="DX100">
        <v>7</v>
      </c>
      <c r="DY100">
        <v>-6.0239999999999991</v>
      </c>
      <c r="DZ100">
        <v>4</v>
      </c>
      <c r="EA100">
        <v>-19.04</v>
      </c>
      <c r="EB100">
        <v>-2.2800000000000002</v>
      </c>
      <c r="EC100">
        <v>29</v>
      </c>
      <c r="ED100">
        <v>26</v>
      </c>
      <c r="EE100">
        <v>24</v>
      </c>
      <c r="EF100">
        <v>2.3280000000000003</v>
      </c>
      <c r="EG100">
        <v>28</v>
      </c>
      <c r="EH100">
        <v>-1.4000000000000004</v>
      </c>
      <c r="EI100">
        <v>-0.6</v>
      </c>
      <c r="EJ100">
        <v>17</v>
      </c>
      <c r="EK100">
        <v>16.5</v>
      </c>
      <c r="EL100">
        <v>15</v>
      </c>
      <c r="EM100">
        <v>-0.92000000000000104</v>
      </c>
      <c r="EN100">
        <v>18</v>
      </c>
      <c r="EO100">
        <v>-5.6000000000000032</v>
      </c>
      <c r="EP100">
        <v>-0.55999999999999983</v>
      </c>
      <c r="EQ100">
        <v>27</v>
      </c>
      <c r="ER100">
        <v>26</v>
      </c>
      <c r="ES100">
        <v>27</v>
      </c>
      <c r="ET100">
        <v>-3.1040000000000001</v>
      </c>
      <c r="EU100">
        <v>25</v>
      </c>
      <c r="EV100">
        <v>-21.159999999999997</v>
      </c>
      <c r="EW100">
        <v>-0.76</v>
      </c>
      <c r="EX100">
        <v>5</v>
      </c>
      <c r="EY100">
        <v>4.5</v>
      </c>
      <c r="EZ100">
        <v>5</v>
      </c>
      <c r="FA100">
        <v>1.64</v>
      </c>
      <c r="FB100">
        <v>4</v>
      </c>
      <c r="FC100">
        <v>0.27999999999999997</v>
      </c>
      <c r="FD100">
        <v>-0.47999999999999987</v>
      </c>
      <c r="FE100">
        <v>28</v>
      </c>
      <c r="FF100">
        <v>23</v>
      </c>
      <c r="FG100">
        <v>27</v>
      </c>
      <c r="FH100">
        <v>-4.7124176658283725E-3</v>
      </c>
      <c r="FI100">
        <v>18</v>
      </c>
      <c r="FJ100">
        <v>1.9313187677867133E-3</v>
      </c>
      <c r="FK100">
        <v>26</v>
      </c>
      <c r="FL100">
        <v>0.39599999999999935</v>
      </c>
      <c r="FM100">
        <v>21</v>
      </c>
      <c r="FN100">
        <v>-0.79999999999999982</v>
      </c>
      <c r="FO100">
        <v>-2.6800000000000006</v>
      </c>
      <c r="FP100">
        <v>-2.3199999999999994</v>
      </c>
      <c r="FQ100">
        <v>-0.92000000000000015</v>
      </c>
      <c r="FR100">
        <v>-4.6800000000000015</v>
      </c>
      <c r="FS100">
        <v>-1.3599999999999999</v>
      </c>
      <c r="FT100">
        <v>0.55999999999999994</v>
      </c>
      <c r="FU100">
        <v>-23.76</v>
      </c>
      <c r="FV100">
        <v>-27.639999999999993</v>
      </c>
      <c r="FW100">
        <v>-8.64</v>
      </c>
      <c r="FX100">
        <v>10.959999999999999</v>
      </c>
      <c r="FY100">
        <v>1.56</v>
      </c>
      <c r="FZ100">
        <v>7</v>
      </c>
      <c r="GA100">
        <v>3.8824000000000005</v>
      </c>
      <c r="GB100">
        <v>2.7964800000000007</v>
      </c>
      <c r="GC100">
        <v>-18.999999999999993</v>
      </c>
      <c r="GD100">
        <v>-3.8824000000000001</v>
      </c>
      <c r="GE100">
        <v>-0.89619999999999955</v>
      </c>
      <c r="GF100">
        <v>3.4360000000000035</v>
      </c>
      <c r="GG100">
        <v>2.1200000000000028</v>
      </c>
      <c r="GH100">
        <v>-6.5120000000000005</v>
      </c>
      <c r="GI100">
        <v>-9.3199999999999985</v>
      </c>
      <c r="GJ100">
        <v>-2.5200000000000005</v>
      </c>
      <c r="GK100">
        <v>-1.5599999999999998</v>
      </c>
    </row>
    <row r="101" spans="1:193" x14ac:dyDescent="0.2">
      <c r="A101" s="39">
        <v>43758</v>
      </c>
      <c r="B101" s="22" t="s">
        <v>250</v>
      </c>
      <c r="C101" s="41" t="s">
        <v>289</v>
      </c>
      <c r="D101" s="22" t="s">
        <v>311</v>
      </c>
      <c r="E101">
        <v>19.399999999999999</v>
      </c>
      <c r="F101">
        <v>31.6</v>
      </c>
      <c r="G101">
        <v>4.4000000000000004</v>
      </c>
      <c r="H101">
        <v>22.1</v>
      </c>
      <c r="I101">
        <v>-1.5</v>
      </c>
      <c r="J101">
        <v>46.5</v>
      </c>
      <c r="L101" s="4" t="s">
        <v>289</v>
      </c>
      <c r="M101" s="3">
        <v>17</v>
      </c>
      <c r="N101" s="3">
        <v>-0.67360000000000009</v>
      </c>
      <c r="O101" s="3">
        <v>11</v>
      </c>
      <c r="P101" s="3">
        <v>11.5</v>
      </c>
      <c r="Q101" s="3">
        <v>19</v>
      </c>
      <c r="R101" s="3">
        <v>-4.8279999999999985</v>
      </c>
      <c r="S101" s="3">
        <v>4</v>
      </c>
      <c r="T101" s="3">
        <v>4.4000000000000004</v>
      </c>
      <c r="U101" s="3">
        <v>-1.52</v>
      </c>
      <c r="V101" s="3">
        <v>23</v>
      </c>
      <c r="W101" s="3">
        <v>20.5</v>
      </c>
      <c r="X101" s="3">
        <v>18</v>
      </c>
      <c r="Y101" s="3">
        <v>-1.4359999999999993</v>
      </c>
      <c r="Z101" s="3">
        <v>23</v>
      </c>
      <c r="AA101">
        <v>-15.64</v>
      </c>
      <c r="AB101">
        <v>0.59999999999999987</v>
      </c>
      <c r="AC101">
        <v>18</v>
      </c>
      <c r="AD101">
        <v>18</v>
      </c>
      <c r="AE101">
        <v>21</v>
      </c>
      <c r="AF101">
        <v>-1.2480000000000016</v>
      </c>
      <c r="AG101">
        <v>15</v>
      </c>
      <c r="AH101">
        <v>-7.7600000000000007</v>
      </c>
      <c r="AI101">
        <v>0.11999999999999975</v>
      </c>
      <c r="AJ101">
        <v>18</v>
      </c>
      <c r="AK101">
        <v>18.5</v>
      </c>
      <c r="AL101">
        <v>14</v>
      </c>
      <c r="AM101">
        <v>1.1040000000000012</v>
      </c>
      <c r="AN101">
        <v>23</v>
      </c>
      <c r="AO101">
        <v>-10.919999999999998</v>
      </c>
      <c r="AP101">
        <v>-1.8800000000000001</v>
      </c>
      <c r="AQ101">
        <v>22</v>
      </c>
      <c r="AR101">
        <v>22</v>
      </c>
      <c r="AS101">
        <v>22</v>
      </c>
      <c r="AT101">
        <v>-1.8519999999999996</v>
      </c>
      <c r="AU101">
        <v>22</v>
      </c>
      <c r="AV101">
        <v>-15.88</v>
      </c>
      <c r="AW101">
        <v>2.84</v>
      </c>
      <c r="AX101">
        <v>12</v>
      </c>
      <c r="AY101">
        <v>12</v>
      </c>
      <c r="AZ101">
        <v>14</v>
      </c>
      <c r="BA101">
        <v>1.9520000000000006</v>
      </c>
      <c r="BB101">
        <v>10</v>
      </c>
      <c r="BC101">
        <v>0.72000000000000175</v>
      </c>
      <c r="BD101">
        <v>-1.1600000000000006</v>
      </c>
      <c r="BE101">
        <v>7</v>
      </c>
      <c r="BF101">
        <v>6.5</v>
      </c>
      <c r="BG101">
        <v>8</v>
      </c>
      <c r="BH101">
        <v>4.3120000000000021</v>
      </c>
      <c r="BI101">
        <v>15.640000000000004</v>
      </c>
      <c r="BJ101">
        <v>1.4</v>
      </c>
      <c r="BK101">
        <v>19</v>
      </c>
      <c r="BL101">
        <v>19.5</v>
      </c>
      <c r="BM101">
        <v>24</v>
      </c>
      <c r="BN101">
        <v>-0.92000000000000026</v>
      </c>
      <c r="BO101">
        <v>15</v>
      </c>
      <c r="BP101">
        <v>-4.0000000000000036E-2</v>
      </c>
      <c r="BQ101">
        <v>-0.79999999999999982</v>
      </c>
      <c r="BR101">
        <v>3</v>
      </c>
      <c r="BS101">
        <v>7.75</v>
      </c>
      <c r="BT101">
        <v>4</v>
      </c>
      <c r="BU101">
        <v>1.8565830413906498E-2</v>
      </c>
      <c r="BV101">
        <v>8</v>
      </c>
      <c r="BW101">
        <v>-2.2830842537296763E-2</v>
      </c>
      <c r="BX101">
        <v>13</v>
      </c>
      <c r="BY101">
        <v>-5.2719999999999985</v>
      </c>
      <c r="BZ101">
        <v>6</v>
      </c>
      <c r="CA101">
        <v>-0.47999999999999987</v>
      </c>
      <c r="CB101">
        <v>2.7200000000000033</v>
      </c>
      <c r="CC101">
        <v>-0.64000000000000057</v>
      </c>
      <c r="CD101">
        <v>0.12000000000000002</v>
      </c>
      <c r="CE101">
        <v>-28.599999999999987</v>
      </c>
      <c r="CF101">
        <v>-32.239999999999995</v>
      </c>
      <c r="CG101">
        <v>7.7199999999999989</v>
      </c>
      <c r="CH101">
        <v>0.7599999999999999</v>
      </c>
      <c r="CI101">
        <v>-4.8400000000000007</v>
      </c>
      <c r="CJ101">
        <v>5</v>
      </c>
      <c r="CK101">
        <v>5.5903999999999971</v>
      </c>
      <c r="CL101">
        <v>3.4604799999999991</v>
      </c>
      <c r="CM101">
        <v>-39.959999999999994</v>
      </c>
      <c r="CN101">
        <v>-5.5903999999999971</v>
      </c>
      <c r="CO101">
        <v>-0.69269999999999954</v>
      </c>
      <c r="CP101">
        <v>-1.996</v>
      </c>
      <c r="CQ101">
        <v>-34.56</v>
      </c>
      <c r="CR101">
        <v>-6.2639999999999976</v>
      </c>
      <c r="CS101">
        <v>-11.24</v>
      </c>
      <c r="CT101">
        <v>2.4799999999999995</v>
      </c>
      <c r="CU101">
        <v>-0.92000000000000015</v>
      </c>
      <c r="CV101">
        <v>-0.91494999999999993</v>
      </c>
      <c r="CW101">
        <v>-0.89619999999999955</v>
      </c>
      <c r="CX101" t="s">
        <v>311</v>
      </c>
      <c r="CY101">
        <v>6</v>
      </c>
      <c r="CZ101">
        <v>5.4399999999998269E-2</v>
      </c>
      <c r="DA101">
        <v>27</v>
      </c>
      <c r="DB101">
        <v>24</v>
      </c>
      <c r="DC101">
        <v>18</v>
      </c>
      <c r="DD101">
        <v>-2.0600000000000018</v>
      </c>
      <c r="DE101">
        <v>30</v>
      </c>
      <c r="DF101">
        <v>-21.52</v>
      </c>
      <c r="DG101">
        <v>4.0000000000000126E-2</v>
      </c>
      <c r="DH101">
        <v>1</v>
      </c>
      <c r="DI101">
        <v>1</v>
      </c>
      <c r="DJ101">
        <v>1</v>
      </c>
      <c r="DK101">
        <v>-0.9</v>
      </c>
      <c r="DL101">
        <v>1</v>
      </c>
      <c r="DM101">
        <v>-1.8000000000000003</v>
      </c>
      <c r="DN101">
        <v>0.36000000000000004</v>
      </c>
      <c r="DO101">
        <v>15</v>
      </c>
      <c r="DP101">
        <v>11.5</v>
      </c>
      <c r="DQ101">
        <v>11</v>
      </c>
      <c r="DR101">
        <v>2.3080000000000007</v>
      </c>
      <c r="DS101">
        <v>12</v>
      </c>
      <c r="DT101">
        <v>-0.32000000000000028</v>
      </c>
      <c r="DU101">
        <v>0.16000000000000014</v>
      </c>
      <c r="DV101">
        <v>23</v>
      </c>
      <c r="DW101">
        <v>23</v>
      </c>
      <c r="DX101">
        <v>25</v>
      </c>
      <c r="DY101">
        <v>-2.2719999999999998</v>
      </c>
      <c r="DZ101">
        <v>21</v>
      </c>
      <c r="EA101">
        <v>-11.080000000000002</v>
      </c>
      <c r="EB101">
        <v>-8.0000000000000071E-2</v>
      </c>
      <c r="EC101">
        <v>10</v>
      </c>
      <c r="ED101">
        <v>8.5</v>
      </c>
      <c r="EE101">
        <v>8</v>
      </c>
      <c r="EF101">
        <v>1.964</v>
      </c>
      <c r="EG101">
        <v>9</v>
      </c>
      <c r="EH101">
        <v>7.1599999999999993</v>
      </c>
      <c r="EI101">
        <v>7.9999999999999988E-2</v>
      </c>
      <c r="EJ101">
        <v>15</v>
      </c>
      <c r="EK101">
        <v>15.5</v>
      </c>
      <c r="EL101">
        <v>18</v>
      </c>
      <c r="EM101">
        <v>-4.4400000000000013</v>
      </c>
      <c r="EN101">
        <v>13</v>
      </c>
      <c r="EO101">
        <v>-30.8</v>
      </c>
      <c r="EP101">
        <v>-1.1599999999999995</v>
      </c>
      <c r="EQ101">
        <v>14</v>
      </c>
      <c r="ER101">
        <v>14</v>
      </c>
      <c r="ES101">
        <v>14</v>
      </c>
      <c r="ET101">
        <v>-6.2039999999999988</v>
      </c>
      <c r="EU101">
        <v>14</v>
      </c>
      <c r="EV101">
        <v>-25.639999999999997</v>
      </c>
      <c r="EW101">
        <v>-0.92000000000000015</v>
      </c>
      <c r="EX101">
        <v>22</v>
      </c>
      <c r="EY101">
        <v>21.5</v>
      </c>
      <c r="EZ101">
        <v>19</v>
      </c>
      <c r="FA101">
        <v>-0.36</v>
      </c>
      <c r="FB101">
        <v>24</v>
      </c>
      <c r="FC101">
        <v>-0.28000000000000003</v>
      </c>
      <c r="FD101">
        <v>-1.64</v>
      </c>
      <c r="FE101">
        <v>27</v>
      </c>
      <c r="FF101">
        <v>22.75</v>
      </c>
      <c r="FG101">
        <v>31</v>
      </c>
      <c r="FH101">
        <v>5.9551559297075549E-2</v>
      </c>
      <c r="FI101">
        <v>30</v>
      </c>
      <c r="FJ101">
        <v>1.8069064446590809E-2</v>
      </c>
      <c r="FK101">
        <v>2</v>
      </c>
      <c r="FL101">
        <v>-2.1439999999999984</v>
      </c>
      <c r="FM101">
        <v>28</v>
      </c>
      <c r="FN101">
        <v>2.0000000000000004</v>
      </c>
      <c r="FO101">
        <v>0.7600000000000009</v>
      </c>
      <c r="FP101">
        <v>-3.3600000000000003</v>
      </c>
      <c r="FQ101">
        <v>-0.2</v>
      </c>
      <c r="FR101">
        <v>-1.8000000000000014</v>
      </c>
      <c r="FS101">
        <v>-1.2800000000000005</v>
      </c>
      <c r="FT101">
        <v>-0.91999999999999993</v>
      </c>
      <c r="FU101">
        <v>-40</v>
      </c>
      <c r="FV101">
        <v>-18.52</v>
      </c>
      <c r="FW101">
        <v>-24.04</v>
      </c>
      <c r="FX101">
        <v>-1.3199999999999998</v>
      </c>
      <c r="FY101">
        <v>3.88</v>
      </c>
      <c r="FZ101">
        <v>8</v>
      </c>
      <c r="GA101">
        <v>3.0144000000000002</v>
      </c>
      <c r="GB101">
        <v>0.65008000000000099</v>
      </c>
      <c r="GC101">
        <v>5.52</v>
      </c>
      <c r="GD101">
        <v>-3.0144000000000002</v>
      </c>
      <c r="GE101">
        <v>-0.9337000000000002</v>
      </c>
      <c r="GF101">
        <v>2.0000000000000009</v>
      </c>
      <c r="GG101">
        <v>-4.2400000000000029</v>
      </c>
      <c r="GH101">
        <v>-2.9600000000000017</v>
      </c>
      <c r="GI101">
        <v>-23.32</v>
      </c>
      <c r="GJ101">
        <v>-0.76000000000000012</v>
      </c>
      <c r="GK101">
        <v>0.40000000000000019</v>
      </c>
    </row>
    <row r="102" spans="1:193" x14ac:dyDescent="0.2">
      <c r="A102" s="39">
        <v>43758</v>
      </c>
      <c r="B102" s="22" t="s">
        <v>250</v>
      </c>
      <c r="C102" s="41" t="s">
        <v>297</v>
      </c>
      <c r="D102" s="22" t="s">
        <v>272</v>
      </c>
      <c r="E102">
        <v>20.7</v>
      </c>
      <c r="F102">
        <v>10.3</v>
      </c>
      <c r="G102">
        <v>13.3</v>
      </c>
      <c r="H102">
        <v>0</v>
      </c>
      <c r="I102">
        <v>-4</v>
      </c>
      <c r="J102">
        <v>44.5</v>
      </c>
      <c r="L102" s="1" t="s">
        <v>297</v>
      </c>
      <c r="M102">
        <v>14</v>
      </c>
      <c r="N102">
        <v>2.5599999999999311E-2</v>
      </c>
      <c r="O102">
        <v>10</v>
      </c>
      <c r="P102">
        <v>9.5</v>
      </c>
      <c r="Q102">
        <v>3</v>
      </c>
      <c r="R102">
        <v>5.0600000000000005</v>
      </c>
      <c r="S102">
        <v>16</v>
      </c>
      <c r="T102">
        <v>48.36</v>
      </c>
      <c r="U102">
        <v>1.0799999999999998</v>
      </c>
      <c r="V102">
        <v>28</v>
      </c>
      <c r="W102">
        <v>28.5</v>
      </c>
      <c r="X102">
        <v>26</v>
      </c>
      <c r="Y102">
        <v>-3.3159999999999998</v>
      </c>
      <c r="Z102">
        <v>31</v>
      </c>
      <c r="AA102">
        <v>-10.16</v>
      </c>
      <c r="AB102">
        <v>-2.12</v>
      </c>
      <c r="AC102">
        <v>31</v>
      </c>
      <c r="AD102">
        <v>31.5</v>
      </c>
      <c r="AE102">
        <v>32</v>
      </c>
      <c r="AF102">
        <v>-3.4399999999999991</v>
      </c>
      <c r="AG102">
        <v>31</v>
      </c>
      <c r="AH102">
        <v>-8.56</v>
      </c>
      <c r="AI102">
        <v>0.11999999999999993</v>
      </c>
      <c r="AJ102">
        <v>7</v>
      </c>
      <c r="AK102">
        <v>8</v>
      </c>
      <c r="AL102">
        <v>4</v>
      </c>
      <c r="AM102">
        <v>4.9959999999999996</v>
      </c>
      <c r="AN102">
        <v>12</v>
      </c>
      <c r="AO102">
        <v>17.72</v>
      </c>
      <c r="AP102">
        <v>1.2799999999999998</v>
      </c>
      <c r="AQ102">
        <v>3</v>
      </c>
      <c r="AR102">
        <v>3</v>
      </c>
      <c r="AS102">
        <v>3</v>
      </c>
      <c r="AT102">
        <v>-1.2079999999999997</v>
      </c>
      <c r="AU102">
        <v>3</v>
      </c>
      <c r="AV102">
        <v>-1.4210854715202005E-15</v>
      </c>
      <c r="AW102">
        <v>-1.2</v>
      </c>
      <c r="AX102">
        <v>13</v>
      </c>
      <c r="AY102">
        <v>12.5</v>
      </c>
      <c r="AZ102">
        <v>10</v>
      </c>
      <c r="BA102">
        <v>-4.1320000000000006</v>
      </c>
      <c r="BB102">
        <v>15</v>
      </c>
      <c r="BC102">
        <v>-12.52</v>
      </c>
      <c r="BD102">
        <v>-0.91999999999999993</v>
      </c>
      <c r="BE102">
        <v>32</v>
      </c>
      <c r="BF102">
        <v>31</v>
      </c>
      <c r="BG102">
        <v>32</v>
      </c>
      <c r="BH102">
        <v>0.32800000000000029</v>
      </c>
      <c r="BI102">
        <v>-5.1199999999999992</v>
      </c>
      <c r="BJ102">
        <v>0.11999999999999993</v>
      </c>
      <c r="BK102">
        <v>27</v>
      </c>
      <c r="BL102">
        <v>27</v>
      </c>
      <c r="BM102">
        <v>27</v>
      </c>
      <c r="BN102">
        <v>1.8799999999999997</v>
      </c>
      <c r="BO102">
        <v>27</v>
      </c>
      <c r="BP102">
        <v>0.56000000000000005</v>
      </c>
      <c r="BQ102">
        <v>0.28000000000000008</v>
      </c>
      <c r="BR102">
        <v>7</v>
      </c>
      <c r="BS102">
        <v>11.25</v>
      </c>
      <c r="BT102">
        <v>7</v>
      </c>
      <c r="BU102">
        <v>1.2435475090462767E-2</v>
      </c>
      <c r="BV102">
        <v>17</v>
      </c>
      <c r="BW102">
        <v>-7.0540488234043059E-3</v>
      </c>
      <c r="BX102">
        <v>18</v>
      </c>
      <c r="BY102">
        <v>-4.6080000000000014</v>
      </c>
      <c r="BZ102">
        <v>3</v>
      </c>
      <c r="CA102">
        <v>-0.96</v>
      </c>
      <c r="CB102">
        <v>0.15999999999999942</v>
      </c>
      <c r="CC102">
        <v>-7.1054273576010023E-16</v>
      </c>
      <c r="CD102">
        <v>-0.27999999999999997</v>
      </c>
      <c r="CE102">
        <v>28.039999999999985</v>
      </c>
      <c r="CF102">
        <v>-10.159999999999997</v>
      </c>
      <c r="CG102">
        <v>33.720000000000006</v>
      </c>
      <c r="CH102">
        <v>-4.24</v>
      </c>
      <c r="CI102">
        <v>8.7199999999999989</v>
      </c>
      <c r="CJ102">
        <v>23</v>
      </c>
      <c r="CK102">
        <v>-1.7184000000000017</v>
      </c>
      <c r="CL102">
        <v>-0.73168000000000022</v>
      </c>
      <c r="CM102">
        <v>-43.88</v>
      </c>
      <c r="CN102">
        <v>1.7184000000000013</v>
      </c>
      <c r="CO102">
        <v>0.54070000000000007</v>
      </c>
      <c r="CP102">
        <v>0.34800000000000075</v>
      </c>
      <c r="CQ102">
        <v>9.1599999999999966</v>
      </c>
      <c r="CR102">
        <v>1.7440000000000007</v>
      </c>
      <c r="CS102">
        <v>38.200000000000003</v>
      </c>
      <c r="CT102">
        <v>0.31999999999999967</v>
      </c>
      <c r="CU102">
        <v>-1.0400000000000003</v>
      </c>
      <c r="CV102">
        <v>0.16732499999999995</v>
      </c>
      <c r="CW102">
        <v>-1.1399000000000004</v>
      </c>
      <c r="CX102" t="s">
        <v>272</v>
      </c>
      <c r="CY102">
        <v>10</v>
      </c>
      <c r="CZ102">
        <v>4.4544000000000015</v>
      </c>
      <c r="DA102">
        <v>25</v>
      </c>
      <c r="DB102">
        <v>23.5</v>
      </c>
      <c r="DC102">
        <v>29</v>
      </c>
      <c r="DD102">
        <v>3.2319999999999993</v>
      </c>
      <c r="DE102">
        <v>18</v>
      </c>
      <c r="DF102">
        <v>17.68</v>
      </c>
      <c r="DG102">
        <v>0.44000000000000006</v>
      </c>
      <c r="DH102">
        <v>24</v>
      </c>
      <c r="DI102">
        <v>21.5</v>
      </c>
      <c r="DJ102">
        <v>19</v>
      </c>
      <c r="DK102">
        <v>5.7</v>
      </c>
      <c r="DL102">
        <v>24</v>
      </c>
      <c r="DM102">
        <v>10.679999999999996</v>
      </c>
      <c r="DN102">
        <v>1.56</v>
      </c>
      <c r="DO102">
        <v>1</v>
      </c>
      <c r="DP102">
        <v>4</v>
      </c>
      <c r="DQ102">
        <v>5</v>
      </c>
      <c r="DR102">
        <v>-2.5969999999999995</v>
      </c>
      <c r="DS102">
        <v>3</v>
      </c>
      <c r="DT102">
        <v>-15.129999999999999</v>
      </c>
      <c r="DU102">
        <v>-2.06</v>
      </c>
      <c r="DV102">
        <v>17</v>
      </c>
      <c r="DW102">
        <v>16.5</v>
      </c>
      <c r="DX102">
        <v>19</v>
      </c>
      <c r="DY102">
        <v>1.3200000000000003</v>
      </c>
      <c r="DZ102">
        <v>14</v>
      </c>
      <c r="EA102">
        <v>0.73999999999999777</v>
      </c>
      <c r="EB102">
        <v>7.0000000000000021E-2</v>
      </c>
      <c r="EC102">
        <v>6</v>
      </c>
      <c r="ED102">
        <v>8</v>
      </c>
      <c r="EE102">
        <v>6</v>
      </c>
      <c r="EF102">
        <v>-1.6170000000000002</v>
      </c>
      <c r="EG102">
        <v>10</v>
      </c>
      <c r="EH102">
        <v>-5.93</v>
      </c>
      <c r="EI102">
        <v>-1.1499999999999999</v>
      </c>
      <c r="EJ102">
        <v>2</v>
      </c>
      <c r="EK102">
        <v>3.5</v>
      </c>
      <c r="EL102">
        <v>5</v>
      </c>
      <c r="EM102">
        <v>3.0999999999999988</v>
      </c>
      <c r="EN102">
        <v>2</v>
      </c>
      <c r="EO102">
        <v>19</v>
      </c>
      <c r="EP102">
        <v>0.51999999999999991</v>
      </c>
      <c r="EQ102">
        <v>9</v>
      </c>
      <c r="ER102">
        <v>10</v>
      </c>
      <c r="ES102">
        <v>9</v>
      </c>
      <c r="ET102">
        <v>-1.0159999999999996</v>
      </c>
      <c r="EU102">
        <v>11</v>
      </c>
      <c r="EV102">
        <v>9.9599999999999991</v>
      </c>
      <c r="EW102">
        <v>-1.24</v>
      </c>
      <c r="EX102">
        <v>20</v>
      </c>
      <c r="EY102">
        <v>21</v>
      </c>
      <c r="EZ102">
        <v>18</v>
      </c>
      <c r="FA102">
        <v>2.3199999999999998</v>
      </c>
      <c r="FB102">
        <v>24</v>
      </c>
      <c r="FC102">
        <v>0.76</v>
      </c>
      <c r="FD102">
        <v>1.2799999999999998</v>
      </c>
      <c r="FE102">
        <v>22</v>
      </c>
      <c r="FF102">
        <v>18.25</v>
      </c>
      <c r="FG102">
        <v>13</v>
      </c>
      <c r="FH102">
        <v>-1.9805685429181229E-2</v>
      </c>
      <c r="FI102">
        <v>15</v>
      </c>
      <c r="FJ102">
        <v>-4.1258268634499537E-2</v>
      </c>
      <c r="FK102">
        <v>19</v>
      </c>
      <c r="FL102">
        <v>-4.1719999999999988</v>
      </c>
      <c r="FM102">
        <v>26</v>
      </c>
      <c r="FN102">
        <v>-3.1599999999999997</v>
      </c>
      <c r="FO102">
        <v>-1.4</v>
      </c>
      <c r="FP102">
        <v>3.12</v>
      </c>
      <c r="FQ102">
        <v>2.0800000000000005</v>
      </c>
      <c r="FR102">
        <v>3.8</v>
      </c>
      <c r="FS102">
        <v>4.92</v>
      </c>
      <c r="FT102">
        <v>-0.55999999999999994</v>
      </c>
      <c r="FU102">
        <v>79.28</v>
      </c>
      <c r="FV102">
        <v>19.360000000000003</v>
      </c>
      <c r="FW102">
        <v>34.44</v>
      </c>
      <c r="FX102">
        <v>2.68</v>
      </c>
      <c r="FY102">
        <v>22.8</v>
      </c>
      <c r="FZ102">
        <v>28</v>
      </c>
      <c r="GA102">
        <v>-4.477599999999998</v>
      </c>
      <c r="GB102">
        <v>-4.3571199999999992</v>
      </c>
      <c r="GC102">
        <v>-15.079999999999995</v>
      </c>
      <c r="GD102">
        <v>4.4775999999999971</v>
      </c>
      <c r="GE102">
        <v>1.4745500000000002</v>
      </c>
      <c r="GF102">
        <v>-2.8939999999999992</v>
      </c>
      <c r="GG102">
        <v>-20.32</v>
      </c>
      <c r="GH102">
        <v>8.9319999999999986</v>
      </c>
      <c r="GI102">
        <v>28.359999999999996</v>
      </c>
      <c r="GJ102">
        <v>-4.38</v>
      </c>
      <c r="GK102">
        <v>2</v>
      </c>
    </row>
    <row r="103" spans="1:193" x14ac:dyDescent="0.2">
      <c r="A103" s="39">
        <v>43758</v>
      </c>
      <c r="B103" s="28" t="s">
        <v>250</v>
      </c>
      <c r="C103" s="41" t="s">
        <v>288</v>
      </c>
      <c r="D103" s="28" t="s">
        <v>278</v>
      </c>
      <c r="E103" s="3">
        <v>16.399999999999999</v>
      </c>
      <c r="F103" s="30">
        <v>10.8</v>
      </c>
      <c r="G103" s="3">
        <v>6.1</v>
      </c>
      <c r="H103" s="3">
        <v>10.4</v>
      </c>
      <c r="I103">
        <v>-3</v>
      </c>
      <c r="J103">
        <v>49.5</v>
      </c>
      <c r="K103" s="3"/>
      <c r="L103" s="1" t="s">
        <v>288</v>
      </c>
      <c r="M103">
        <v>5</v>
      </c>
      <c r="N103">
        <v>4.4239999999999986</v>
      </c>
      <c r="O103">
        <v>32</v>
      </c>
      <c r="P103">
        <v>30</v>
      </c>
      <c r="Q103">
        <v>28</v>
      </c>
      <c r="R103">
        <v>-2.984</v>
      </c>
      <c r="S103">
        <v>32</v>
      </c>
      <c r="T103">
        <v>-27.080000000000002</v>
      </c>
      <c r="U103">
        <v>-0.23999999999999994</v>
      </c>
      <c r="V103">
        <v>17</v>
      </c>
      <c r="W103">
        <v>16.5</v>
      </c>
      <c r="X103">
        <v>19</v>
      </c>
      <c r="Y103">
        <v>1.7296000000000007</v>
      </c>
      <c r="Z103">
        <v>14</v>
      </c>
      <c r="AA103">
        <v>5.5600000000000005</v>
      </c>
      <c r="AB103">
        <v>0.44000000000000006</v>
      </c>
      <c r="AC103">
        <v>8</v>
      </c>
      <c r="AD103">
        <v>7</v>
      </c>
      <c r="AE103">
        <v>6</v>
      </c>
      <c r="AF103">
        <v>-0.93200000000000005</v>
      </c>
      <c r="AG103">
        <v>8</v>
      </c>
      <c r="AH103">
        <v>3.9999999999997725E-2</v>
      </c>
      <c r="AI103">
        <v>0.71999999999999975</v>
      </c>
      <c r="AJ103">
        <v>26</v>
      </c>
      <c r="AK103">
        <v>26.5</v>
      </c>
      <c r="AL103">
        <v>27</v>
      </c>
      <c r="AM103">
        <v>1.8800000000000003</v>
      </c>
      <c r="AN103">
        <v>26</v>
      </c>
      <c r="AO103">
        <v>1.2399999999999978</v>
      </c>
      <c r="AP103">
        <v>-0.56000000000000016</v>
      </c>
      <c r="AQ103">
        <v>9</v>
      </c>
      <c r="AR103">
        <v>9.5</v>
      </c>
      <c r="AS103">
        <v>11</v>
      </c>
      <c r="AT103">
        <v>2.7320000000000002</v>
      </c>
      <c r="AU103">
        <v>8</v>
      </c>
      <c r="AV103">
        <v>19.239999999999998</v>
      </c>
      <c r="AW103">
        <v>1.0399999999999998</v>
      </c>
      <c r="AX103">
        <v>2</v>
      </c>
      <c r="AY103">
        <v>3.5</v>
      </c>
      <c r="AZ103">
        <v>4</v>
      </c>
      <c r="BA103">
        <v>9.1840000000000011</v>
      </c>
      <c r="BB103">
        <v>3</v>
      </c>
      <c r="BC103">
        <v>52.240000000000009</v>
      </c>
      <c r="BD103">
        <v>3</v>
      </c>
      <c r="BE103">
        <v>3</v>
      </c>
      <c r="BF103">
        <v>3.5</v>
      </c>
      <c r="BG103">
        <v>4</v>
      </c>
      <c r="BH103">
        <v>3.8679999999999994</v>
      </c>
      <c r="BI103">
        <v>30.28</v>
      </c>
      <c r="BJ103">
        <v>2.16</v>
      </c>
      <c r="BK103">
        <v>15</v>
      </c>
      <c r="BL103">
        <v>14.5</v>
      </c>
      <c r="BM103">
        <v>12</v>
      </c>
      <c r="BN103">
        <v>-8.0000000000000071E-2</v>
      </c>
      <c r="BO103">
        <v>17</v>
      </c>
      <c r="BP103">
        <v>-8.8817841970012528E-17</v>
      </c>
      <c r="BQ103">
        <v>1.0000000000000002</v>
      </c>
      <c r="BR103">
        <v>29</v>
      </c>
      <c r="BS103">
        <v>25</v>
      </c>
      <c r="BT103">
        <v>26</v>
      </c>
      <c r="BU103">
        <v>-1.4912573601115831E-2</v>
      </c>
      <c r="BV103">
        <v>23</v>
      </c>
      <c r="BW103">
        <v>-9.1447439433009377E-3</v>
      </c>
      <c r="BX103">
        <v>25</v>
      </c>
      <c r="BY103">
        <v>-2.2079999999999997</v>
      </c>
      <c r="BZ103">
        <v>26</v>
      </c>
      <c r="CA103">
        <v>-0.64</v>
      </c>
      <c r="CB103">
        <v>-0.35999999999999799</v>
      </c>
      <c r="CC103">
        <v>0.87999999999999967</v>
      </c>
      <c r="CD103">
        <v>0.55999999999999983</v>
      </c>
      <c r="CE103">
        <v>33.680000000000021</v>
      </c>
      <c r="CF103">
        <v>58.400000000000013</v>
      </c>
      <c r="CG103">
        <v>-23.080000000000002</v>
      </c>
      <c r="CH103">
        <v>-3.9200000000000004</v>
      </c>
      <c r="CI103">
        <v>2.2799999999999994</v>
      </c>
      <c r="CJ103">
        <v>4</v>
      </c>
      <c r="CK103">
        <v>5.6783999999999981</v>
      </c>
      <c r="CL103">
        <v>3.0215999999999994</v>
      </c>
      <c r="CM103">
        <v>81.480000000000018</v>
      </c>
      <c r="CN103">
        <v>-5.6783999999999981</v>
      </c>
      <c r="CO103">
        <v>1.3296999999999999</v>
      </c>
      <c r="CP103">
        <v>3.6800000000000006</v>
      </c>
      <c r="CQ103">
        <v>20.519999999999992</v>
      </c>
      <c r="CR103">
        <v>-1.2543999999999993</v>
      </c>
      <c r="CS103">
        <v>-21.520000000000003</v>
      </c>
      <c r="CT103">
        <v>3.3599999999999994</v>
      </c>
      <c r="CU103">
        <v>0.20000000000000012</v>
      </c>
      <c r="CV103">
        <v>-0.81567499999999993</v>
      </c>
      <c r="CW103">
        <v>2.5750000000000037E-2</v>
      </c>
      <c r="CX103" t="s">
        <v>278</v>
      </c>
      <c r="CY103">
        <v>15</v>
      </c>
      <c r="CZ103">
        <v>-6.4927999999999999</v>
      </c>
      <c r="DA103">
        <v>28</v>
      </c>
      <c r="DB103">
        <v>24.5</v>
      </c>
      <c r="DC103">
        <v>25</v>
      </c>
      <c r="DD103">
        <v>-0.1120000000000001</v>
      </c>
      <c r="DE103">
        <v>24</v>
      </c>
      <c r="DF103">
        <v>5.8400000000000016</v>
      </c>
      <c r="DG103">
        <v>0.36000000000000015</v>
      </c>
      <c r="DH103">
        <v>28</v>
      </c>
      <c r="DI103">
        <v>25.5</v>
      </c>
      <c r="DJ103">
        <v>28</v>
      </c>
      <c r="DK103">
        <v>0.96799999999999964</v>
      </c>
      <c r="DL103">
        <v>23</v>
      </c>
      <c r="DM103">
        <v>10.120000000000001</v>
      </c>
      <c r="DN103">
        <v>0.12000000000000011</v>
      </c>
      <c r="DO103">
        <v>14</v>
      </c>
      <c r="DP103">
        <v>8.5</v>
      </c>
      <c r="DQ103">
        <v>9</v>
      </c>
      <c r="DR103">
        <v>-5.1239999999999997</v>
      </c>
      <c r="DS103">
        <v>8</v>
      </c>
      <c r="DT103">
        <v>-23.040000000000003</v>
      </c>
      <c r="DU103">
        <v>-2.2799999999999998</v>
      </c>
      <c r="DV103">
        <v>17</v>
      </c>
      <c r="DW103">
        <v>16.5</v>
      </c>
      <c r="DX103">
        <v>14</v>
      </c>
      <c r="DY103">
        <v>-1.6880000000000002</v>
      </c>
      <c r="DZ103">
        <v>19</v>
      </c>
      <c r="EA103">
        <v>-6.4800000000000013</v>
      </c>
      <c r="EB103">
        <v>0.8</v>
      </c>
      <c r="EC103">
        <v>15</v>
      </c>
      <c r="ED103">
        <v>7.5</v>
      </c>
      <c r="EE103">
        <v>9</v>
      </c>
      <c r="EF103">
        <v>-1.9440000000000002</v>
      </c>
      <c r="EG103">
        <v>6</v>
      </c>
      <c r="EH103">
        <v>-9.4399999999999977</v>
      </c>
      <c r="EI103">
        <v>-4.0000000000000126E-2</v>
      </c>
      <c r="EJ103">
        <v>30</v>
      </c>
      <c r="EK103">
        <v>28.5</v>
      </c>
      <c r="EL103">
        <v>28</v>
      </c>
      <c r="EM103">
        <v>-2.98</v>
      </c>
      <c r="EN103">
        <v>29</v>
      </c>
      <c r="EO103">
        <v>-9.8000000000000007</v>
      </c>
      <c r="EP103">
        <v>-1.0799999999999996</v>
      </c>
      <c r="EQ103">
        <v>6</v>
      </c>
      <c r="ER103">
        <v>8</v>
      </c>
      <c r="ES103">
        <v>9</v>
      </c>
      <c r="ET103">
        <v>-1.0639999999999987</v>
      </c>
      <c r="EU103">
        <v>7</v>
      </c>
      <c r="EV103">
        <v>-5.44</v>
      </c>
      <c r="EW103">
        <v>0.40000000000000019</v>
      </c>
      <c r="EX103">
        <v>9</v>
      </c>
      <c r="EY103">
        <v>9.5</v>
      </c>
      <c r="EZ103">
        <v>8</v>
      </c>
      <c r="FA103">
        <v>2.2000000000000002</v>
      </c>
      <c r="FB103">
        <v>11</v>
      </c>
      <c r="FC103">
        <v>0.55999999999999994</v>
      </c>
      <c r="FD103">
        <v>-0.24000000000000005</v>
      </c>
      <c r="FE103">
        <v>12</v>
      </c>
      <c r="FF103">
        <v>14.5</v>
      </c>
      <c r="FG103">
        <v>25</v>
      </c>
      <c r="FH103">
        <v>-1.9145355925318353E-2</v>
      </c>
      <c r="FI103">
        <v>6</v>
      </c>
      <c r="FJ103">
        <v>-3.2541181234983911E-3</v>
      </c>
      <c r="FK103">
        <v>10</v>
      </c>
      <c r="FL103">
        <v>-14.191999999999997</v>
      </c>
      <c r="FM103">
        <v>17</v>
      </c>
      <c r="FN103">
        <v>0.88000000000000023</v>
      </c>
      <c r="FO103">
        <v>-1.3599999999999988</v>
      </c>
      <c r="FP103">
        <v>2.5199999999999996</v>
      </c>
      <c r="FQ103">
        <v>-1.56</v>
      </c>
      <c r="FR103">
        <v>-0.67999999999999972</v>
      </c>
      <c r="FS103">
        <v>-3.7600000000000002</v>
      </c>
      <c r="FT103">
        <v>0.55999999999999994</v>
      </c>
      <c r="FU103">
        <v>-32.799999999999997</v>
      </c>
      <c r="FV103">
        <v>-47.8</v>
      </c>
      <c r="FW103">
        <v>16.439999999999998</v>
      </c>
      <c r="FX103">
        <v>8</v>
      </c>
      <c r="FY103">
        <v>-9.4400000000000013</v>
      </c>
      <c r="FZ103">
        <v>31</v>
      </c>
      <c r="GA103">
        <v>-7.3487999999999998</v>
      </c>
      <c r="GB103">
        <v>-3.6905599999999996</v>
      </c>
      <c r="GC103">
        <v>-64.239999999999995</v>
      </c>
      <c r="GD103">
        <v>7.3487999999999998</v>
      </c>
      <c r="GE103">
        <v>-1.6570999999999998</v>
      </c>
      <c r="GF103">
        <v>-8.7560000000000002</v>
      </c>
      <c r="GG103">
        <v>-38.96</v>
      </c>
      <c r="GH103">
        <v>0.85599999999999954</v>
      </c>
      <c r="GI103">
        <v>15.960000000000003</v>
      </c>
      <c r="GJ103">
        <v>-1.1199999999999997</v>
      </c>
      <c r="GK103">
        <v>0.48000000000000026</v>
      </c>
    </row>
    <row r="104" spans="1:193" x14ac:dyDescent="0.2">
      <c r="A104" s="39">
        <v>43758</v>
      </c>
      <c r="B104" s="22" t="s">
        <v>250</v>
      </c>
      <c r="C104" s="41" t="s">
        <v>303</v>
      </c>
      <c r="D104" s="23" t="s">
        <v>300</v>
      </c>
      <c r="E104" s="3">
        <v>8.4</v>
      </c>
      <c r="F104" s="3">
        <v>3.4</v>
      </c>
      <c r="G104" s="3">
        <v>4.5999999999999996</v>
      </c>
      <c r="H104">
        <f>34.6+10.4+4.2</f>
        <v>49.2</v>
      </c>
      <c r="I104">
        <v>5.5</v>
      </c>
      <c r="J104">
        <v>48</v>
      </c>
      <c r="L104" s="1" t="s">
        <v>303</v>
      </c>
      <c r="M104">
        <v>24</v>
      </c>
      <c r="N104">
        <v>-2.6063999999999998</v>
      </c>
      <c r="O104">
        <v>7</v>
      </c>
      <c r="P104">
        <v>7.5</v>
      </c>
      <c r="Q104">
        <v>12</v>
      </c>
      <c r="R104">
        <v>-1.8680000000000008</v>
      </c>
      <c r="S104">
        <v>3</v>
      </c>
      <c r="T104">
        <v>16</v>
      </c>
      <c r="U104">
        <v>-1.2799999999999998</v>
      </c>
      <c r="V104">
        <v>22</v>
      </c>
      <c r="W104">
        <v>19.5</v>
      </c>
      <c r="X104">
        <v>17</v>
      </c>
      <c r="Y104">
        <v>-0.95999999999999974</v>
      </c>
      <c r="Z104">
        <v>22</v>
      </c>
      <c r="AA104">
        <v>-5.67</v>
      </c>
      <c r="AB104">
        <v>-8.0000000000000071E-2</v>
      </c>
      <c r="AC104">
        <v>30</v>
      </c>
      <c r="AD104">
        <v>30.5</v>
      </c>
      <c r="AE104">
        <v>31</v>
      </c>
      <c r="AF104">
        <v>-5.875</v>
      </c>
      <c r="AG104">
        <v>30</v>
      </c>
      <c r="AH104">
        <v>-34.799999999999997</v>
      </c>
      <c r="AI104">
        <v>-2.35</v>
      </c>
      <c r="AJ104">
        <v>24</v>
      </c>
      <c r="AK104">
        <v>23</v>
      </c>
      <c r="AL104">
        <v>22</v>
      </c>
      <c r="AM104">
        <v>-4.4450000000000003</v>
      </c>
      <c r="AN104">
        <v>24</v>
      </c>
      <c r="AO104">
        <v>-20.05</v>
      </c>
      <c r="AP104">
        <v>-1.5799999999999998</v>
      </c>
      <c r="AQ104">
        <v>25</v>
      </c>
      <c r="AR104">
        <v>25</v>
      </c>
      <c r="AS104">
        <v>25</v>
      </c>
      <c r="AT104">
        <v>0.39</v>
      </c>
      <c r="AU104">
        <v>25</v>
      </c>
      <c r="AV104">
        <v>-14.8</v>
      </c>
      <c r="AW104">
        <v>-0.83000000000000007</v>
      </c>
      <c r="AX104">
        <v>24</v>
      </c>
      <c r="AY104">
        <v>25</v>
      </c>
      <c r="AZ104">
        <v>27</v>
      </c>
      <c r="BA104">
        <v>0.10400000000000062</v>
      </c>
      <c r="BB104">
        <v>23</v>
      </c>
      <c r="BC104">
        <v>-14.16</v>
      </c>
      <c r="BD104">
        <v>-0.36000000000000049</v>
      </c>
      <c r="BE104">
        <v>5</v>
      </c>
      <c r="BF104">
        <v>6</v>
      </c>
      <c r="BG104">
        <v>6</v>
      </c>
      <c r="BH104">
        <v>14.976000000000003</v>
      </c>
      <c r="BI104">
        <v>58.879999999999995</v>
      </c>
      <c r="BJ104">
        <v>4.5600000000000005</v>
      </c>
      <c r="BK104">
        <v>19</v>
      </c>
      <c r="BL104">
        <v>19.5</v>
      </c>
      <c r="BM104">
        <v>26</v>
      </c>
      <c r="BN104">
        <v>-1.6</v>
      </c>
      <c r="BO104">
        <v>13</v>
      </c>
      <c r="BP104">
        <v>-0.88000000000000012</v>
      </c>
      <c r="BQ104">
        <v>-1.64</v>
      </c>
      <c r="BR104">
        <v>19</v>
      </c>
      <c r="BS104">
        <v>17.25</v>
      </c>
      <c r="BT104">
        <v>14</v>
      </c>
      <c r="BU104">
        <v>-0.10088090752894981</v>
      </c>
      <c r="BV104">
        <v>21</v>
      </c>
      <c r="BW104">
        <v>-1.8573134338657062E-2</v>
      </c>
      <c r="BX104">
        <v>32</v>
      </c>
      <c r="BY104">
        <v>14.827999999999999</v>
      </c>
      <c r="BZ104">
        <v>2</v>
      </c>
      <c r="CA104">
        <v>-1.7200000000000002</v>
      </c>
      <c r="CB104">
        <v>-2.7600000000000007</v>
      </c>
      <c r="CC104">
        <v>-1</v>
      </c>
      <c r="CD104">
        <v>1.0399999999999998</v>
      </c>
      <c r="CE104">
        <v>5.7200000000000042</v>
      </c>
      <c r="CF104">
        <v>-14.759999999999991</v>
      </c>
      <c r="CG104">
        <v>18.28</v>
      </c>
      <c r="CH104">
        <v>11.8</v>
      </c>
      <c r="CI104">
        <v>-9.6</v>
      </c>
      <c r="CJ104">
        <v>20</v>
      </c>
      <c r="CK104">
        <v>0.22160000000000069</v>
      </c>
      <c r="CL104">
        <v>1.9019200000000005</v>
      </c>
      <c r="CM104">
        <v>-33.039999999999992</v>
      </c>
      <c r="CN104">
        <v>-0.22160000000000046</v>
      </c>
      <c r="CO104">
        <v>-0.24854999999999966</v>
      </c>
      <c r="CP104">
        <v>-9.93</v>
      </c>
      <c r="CQ104">
        <v>-69.649999999999991</v>
      </c>
      <c r="CR104">
        <v>-2.8280000000000003</v>
      </c>
      <c r="CS104">
        <v>10.33</v>
      </c>
      <c r="CT104">
        <v>-0.19999999999999929</v>
      </c>
      <c r="CU104">
        <v>-1.3599999999999999</v>
      </c>
      <c r="CV104">
        <v>0.51675000000000026</v>
      </c>
      <c r="CW104">
        <v>1.6427000000000003</v>
      </c>
      <c r="CX104" t="s">
        <v>300</v>
      </c>
      <c r="CY104">
        <v>21</v>
      </c>
      <c r="CZ104">
        <v>-2.4416000000000002</v>
      </c>
      <c r="DA104">
        <v>5</v>
      </c>
      <c r="DB104">
        <v>6</v>
      </c>
      <c r="DC104">
        <v>8</v>
      </c>
      <c r="DD104">
        <v>6.3640000000000017</v>
      </c>
      <c r="DE104">
        <v>4</v>
      </c>
      <c r="DF104">
        <v>11.760000000000002</v>
      </c>
      <c r="DG104">
        <v>0.22000000000000003</v>
      </c>
      <c r="DH104">
        <v>9</v>
      </c>
      <c r="DI104">
        <v>11.5</v>
      </c>
      <c r="DJ104">
        <v>19</v>
      </c>
      <c r="DK104">
        <v>-2.0759999999999996</v>
      </c>
      <c r="DL104">
        <v>4</v>
      </c>
      <c r="DM104">
        <v>4.839999999999999</v>
      </c>
      <c r="DN104">
        <v>-0.48000000000000009</v>
      </c>
      <c r="DO104">
        <v>23</v>
      </c>
      <c r="DP104">
        <v>27.5</v>
      </c>
      <c r="DQ104">
        <v>29</v>
      </c>
      <c r="DR104">
        <v>-0.82800000000000007</v>
      </c>
      <c r="DS104">
        <v>26</v>
      </c>
      <c r="DT104">
        <v>16.7</v>
      </c>
      <c r="DU104">
        <v>-0.17999999999999988</v>
      </c>
      <c r="DV104">
        <v>13</v>
      </c>
      <c r="DW104">
        <v>13.5</v>
      </c>
      <c r="DX104">
        <v>17</v>
      </c>
      <c r="DY104">
        <v>-4.4960000000000004</v>
      </c>
      <c r="DZ104">
        <v>10</v>
      </c>
      <c r="EA104">
        <v>-20.240000000000002</v>
      </c>
      <c r="EB104">
        <v>-0.51999999999999991</v>
      </c>
      <c r="EC104">
        <v>12</v>
      </c>
      <c r="ED104">
        <v>17</v>
      </c>
      <c r="EE104">
        <v>20</v>
      </c>
      <c r="EF104">
        <v>-0.23200000000000037</v>
      </c>
      <c r="EG104">
        <v>14</v>
      </c>
      <c r="EH104">
        <v>7.7600000000000007</v>
      </c>
      <c r="EI104">
        <v>-1.2</v>
      </c>
      <c r="EJ104">
        <v>16</v>
      </c>
      <c r="EK104">
        <v>16</v>
      </c>
      <c r="EL104">
        <v>17</v>
      </c>
      <c r="EM104">
        <v>-3.092000000000001</v>
      </c>
      <c r="EN104">
        <v>15</v>
      </c>
      <c r="EO104">
        <v>-0.91999999999999882</v>
      </c>
      <c r="EP104">
        <v>-2.6800000000000006</v>
      </c>
      <c r="EQ104">
        <v>1</v>
      </c>
      <c r="ER104">
        <v>1</v>
      </c>
      <c r="ES104">
        <v>1</v>
      </c>
      <c r="ET104">
        <v>-0.76399999999999879</v>
      </c>
      <c r="EU104">
        <v>1</v>
      </c>
      <c r="EV104">
        <v>-8.8400000000000016</v>
      </c>
      <c r="EW104">
        <v>-0.31999999999999995</v>
      </c>
      <c r="EX104">
        <v>6</v>
      </c>
      <c r="EY104">
        <v>5</v>
      </c>
      <c r="EZ104">
        <v>2</v>
      </c>
      <c r="FA104">
        <v>-0.3999999999999998</v>
      </c>
      <c r="FB104">
        <v>8</v>
      </c>
      <c r="FC104">
        <v>7.9999999999999932E-2</v>
      </c>
      <c r="FD104">
        <v>-3.6399999999999997</v>
      </c>
      <c r="FE104">
        <v>29</v>
      </c>
      <c r="FF104">
        <v>24</v>
      </c>
      <c r="FG104">
        <v>17</v>
      </c>
      <c r="FH104">
        <v>5.0283851434233216E-2</v>
      </c>
      <c r="FI104">
        <v>23</v>
      </c>
      <c r="FJ104">
        <v>1.6924454075850751E-2</v>
      </c>
      <c r="FK104">
        <v>27</v>
      </c>
      <c r="FL104">
        <v>-9.5760000000000005</v>
      </c>
      <c r="FM104">
        <v>29</v>
      </c>
      <c r="FN104">
        <v>0.76000000000000012</v>
      </c>
      <c r="FO104">
        <v>-1.4799999999999998</v>
      </c>
      <c r="FP104">
        <v>-0.80000000000000071</v>
      </c>
      <c r="FQ104">
        <v>0.64</v>
      </c>
      <c r="FR104">
        <v>-0.4</v>
      </c>
      <c r="FS104">
        <v>7.999999999999971E-2</v>
      </c>
      <c r="FT104">
        <v>-0.91999999999999993</v>
      </c>
      <c r="FU104">
        <v>19.759999999999991</v>
      </c>
      <c r="FV104">
        <v>7.9599999999999964</v>
      </c>
      <c r="FW104">
        <v>8.2799999999999976</v>
      </c>
      <c r="FX104">
        <v>0.56000000000000016</v>
      </c>
      <c r="FY104">
        <v>2.96</v>
      </c>
      <c r="FZ104">
        <v>30</v>
      </c>
      <c r="GA104">
        <v>-6.7296000000000022</v>
      </c>
      <c r="GB104">
        <v>-3.8963200000000011</v>
      </c>
      <c r="GC104">
        <v>-0.32000000000000117</v>
      </c>
      <c r="GD104">
        <v>6.7296000000000022</v>
      </c>
      <c r="GE104">
        <v>-0.60919999999999963</v>
      </c>
      <c r="GF104">
        <v>-5.5560000000000009</v>
      </c>
      <c r="GG104">
        <v>4.219999999999998</v>
      </c>
      <c r="GH104">
        <v>4.288000000000002</v>
      </c>
      <c r="GI104">
        <v>16.600000000000001</v>
      </c>
      <c r="GJ104">
        <v>-2.2199999999999998</v>
      </c>
      <c r="GK104">
        <v>-0.26000000000000006</v>
      </c>
    </row>
    <row r="105" spans="1:193" x14ac:dyDescent="0.2">
      <c r="A105" s="39">
        <v>43758</v>
      </c>
      <c r="B105" s="22" t="s">
        <v>250</v>
      </c>
      <c r="C105" s="41" t="s">
        <v>287</v>
      </c>
      <c r="D105" s="22" t="s">
        <v>310</v>
      </c>
      <c r="E105">
        <v>10.1</v>
      </c>
      <c r="F105">
        <v>8.6999999999999993</v>
      </c>
      <c r="G105">
        <v>0</v>
      </c>
      <c r="H105">
        <f>15.7+1.9</f>
        <v>17.599999999999998</v>
      </c>
      <c r="I105">
        <v>3</v>
      </c>
      <c r="J105">
        <v>42.5</v>
      </c>
      <c r="K105" t="s">
        <v>110</v>
      </c>
      <c r="L105" s="1" t="s">
        <v>287</v>
      </c>
      <c r="M105">
        <v>19</v>
      </c>
      <c r="N105">
        <v>-0.73760000000000103</v>
      </c>
      <c r="O105">
        <v>17</v>
      </c>
      <c r="P105">
        <v>17</v>
      </c>
      <c r="Q105">
        <v>17</v>
      </c>
      <c r="R105">
        <v>3.7439999999999998</v>
      </c>
      <c r="S105">
        <v>17</v>
      </c>
      <c r="T105">
        <v>-25.919999999999995</v>
      </c>
      <c r="U105">
        <v>3.4</v>
      </c>
      <c r="V105">
        <v>3</v>
      </c>
      <c r="W105">
        <v>4.5</v>
      </c>
      <c r="X105">
        <v>1</v>
      </c>
      <c r="Y105">
        <v>-1.4119999999999999</v>
      </c>
      <c r="Z105">
        <v>8</v>
      </c>
      <c r="AA105">
        <v>-3.3999999999999995</v>
      </c>
      <c r="AB105">
        <v>0.72</v>
      </c>
      <c r="AC105">
        <v>9</v>
      </c>
      <c r="AD105">
        <v>10</v>
      </c>
      <c r="AE105">
        <v>9</v>
      </c>
      <c r="AF105">
        <v>2.7400000000000007</v>
      </c>
      <c r="AG105">
        <v>11</v>
      </c>
      <c r="AH105">
        <v>17.52</v>
      </c>
      <c r="AI105">
        <v>2.44</v>
      </c>
      <c r="AJ105">
        <v>5</v>
      </c>
      <c r="AK105">
        <v>5.5</v>
      </c>
      <c r="AL105">
        <v>10</v>
      </c>
      <c r="AM105">
        <v>0.13999999999999968</v>
      </c>
      <c r="AN105">
        <v>1</v>
      </c>
      <c r="AO105">
        <v>16.04</v>
      </c>
      <c r="AP105">
        <v>1.6800000000000004</v>
      </c>
      <c r="AQ105">
        <v>28</v>
      </c>
      <c r="AR105">
        <v>28.5</v>
      </c>
      <c r="AS105">
        <v>30</v>
      </c>
      <c r="AT105">
        <v>-0.56799999999999995</v>
      </c>
      <c r="AU105">
        <v>27</v>
      </c>
      <c r="AV105">
        <v>0.11999999999999958</v>
      </c>
      <c r="AW105">
        <v>-0.88000000000000012</v>
      </c>
      <c r="AX105">
        <v>10</v>
      </c>
      <c r="AY105">
        <v>11</v>
      </c>
      <c r="AZ105">
        <v>11</v>
      </c>
      <c r="BA105">
        <v>1.2680000000000013</v>
      </c>
      <c r="BB105">
        <v>11</v>
      </c>
      <c r="BC105">
        <v>-4.1200000000000028</v>
      </c>
      <c r="BD105">
        <v>-0.11999999999999993</v>
      </c>
      <c r="BE105">
        <v>26</v>
      </c>
      <c r="BF105">
        <v>26.5</v>
      </c>
      <c r="BG105">
        <v>27</v>
      </c>
      <c r="BH105">
        <v>-1.4</v>
      </c>
      <c r="BI105">
        <v>-13.2</v>
      </c>
      <c r="BJ105">
        <v>-2.6</v>
      </c>
      <c r="BK105">
        <v>4</v>
      </c>
      <c r="BL105">
        <v>7</v>
      </c>
      <c r="BM105">
        <v>11</v>
      </c>
      <c r="BN105">
        <v>-8.0000000000000071E-2</v>
      </c>
      <c r="BO105">
        <v>3</v>
      </c>
      <c r="BP105">
        <v>0.39999999999999997</v>
      </c>
      <c r="BQ105">
        <v>0.12000000000000029</v>
      </c>
      <c r="BR105">
        <v>10</v>
      </c>
      <c r="BS105">
        <v>12.75</v>
      </c>
      <c r="BT105">
        <v>24</v>
      </c>
      <c r="BU105">
        <v>5.2045253758965196E-2</v>
      </c>
      <c r="BV105">
        <v>12</v>
      </c>
      <c r="BW105">
        <v>-2.0669000519852564E-2</v>
      </c>
      <c r="BX105">
        <v>7</v>
      </c>
      <c r="BY105">
        <v>6.4960000000000022</v>
      </c>
      <c r="BZ105">
        <v>8</v>
      </c>
      <c r="CA105">
        <v>1.3199999999999998</v>
      </c>
      <c r="CB105">
        <v>-0.27999999999999969</v>
      </c>
      <c r="CC105">
        <v>-4.76</v>
      </c>
      <c r="CD105">
        <v>-8.8817841970012528E-17</v>
      </c>
      <c r="CE105">
        <v>-5.599999999999989</v>
      </c>
      <c r="CF105">
        <v>41.280000000000008</v>
      </c>
      <c r="CG105">
        <v>-33.519999999999996</v>
      </c>
      <c r="CH105">
        <v>-2.9600000000000004</v>
      </c>
      <c r="CI105">
        <v>-10.4</v>
      </c>
      <c r="CJ105">
        <v>24</v>
      </c>
      <c r="CK105">
        <v>-3.0696000000000012</v>
      </c>
      <c r="CL105">
        <v>-1.1311200000000001</v>
      </c>
      <c r="CM105">
        <v>74.800000000000011</v>
      </c>
      <c r="CN105">
        <v>3.0696000000000008</v>
      </c>
      <c r="CO105">
        <v>0.3032999999999999</v>
      </c>
      <c r="CP105">
        <v>2.3120000000000003</v>
      </c>
      <c r="CQ105">
        <v>33.68</v>
      </c>
      <c r="CR105">
        <v>2.3319999999999999</v>
      </c>
      <c r="CS105">
        <v>-29.319999999999993</v>
      </c>
      <c r="CT105">
        <v>0.64000000000000012</v>
      </c>
      <c r="CU105">
        <v>4.12</v>
      </c>
      <c r="CV105">
        <v>-1.5318000000000001</v>
      </c>
      <c r="CW105">
        <v>-1.24715</v>
      </c>
      <c r="CX105" t="s">
        <v>310</v>
      </c>
      <c r="CY105">
        <v>11</v>
      </c>
      <c r="CZ105">
        <v>-2.5556000000000014</v>
      </c>
      <c r="DA105">
        <v>7</v>
      </c>
      <c r="DB105">
        <v>10</v>
      </c>
      <c r="DC105">
        <v>13</v>
      </c>
      <c r="DD105">
        <v>-3.0880000000000005</v>
      </c>
      <c r="DE105">
        <v>7</v>
      </c>
      <c r="DF105">
        <v>-16.919999999999998</v>
      </c>
      <c r="DG105">
        <v>1</v>
      </c>
      <c r="DH105">
        <v>23</v>
      </c>
      <c r="DI105">
        <v>19.5</v>
      </c>
      <c r="DJ105">
        <v>22</v>
      </c>
      <c r="DK105">
        <v>0.13600000000000004</v>
      </c>
      <c r="DL105">
        <v>17</v>
      </c>
      <c r="DM105">
        <v>-3.8400000000000007</v>
      </c>
      <c r="DN105">
        <v>8.0000000000000071E-2</v>
      </c>
      <c r="DO105">
        <v>3</v>
      </c>
      <c r="DP105">
        <v>1.5</v>
      </c>
      <c r="DQ105">
        <v>2</v>
      </c>
      <c r="DR105">
        <v>-4.5679999999999996</v>
      </c>
      <c r="DS105">
        <v>1</v>
      </c>
      <c r="DT105">
        <v>-20.000000000000004</v>
      </c>
      <c r="DU105">
        <v>-2.56</v>
      </c>
      <c r="DV105">
        <v>11</v>
      </c>
      <c r="DW105">
        <v>13</v>
      </c>
      <c r="DX105">
        <v>14</v>
      </c>
      <c r="DY105">
        <v>-5.3559999999999999</v>
      </c>
      <c r="DZ105">
        <v>12</v>
      </c>
      <c r="EA105">
        <v>-23.48</v>
      </c>
      <c r="EB105">
        <v>-2.6</v>
      </c>
      <c r="EC105">
        <v>28</v>
      </c>
      <c r="ED105">
        <v>30</v>
      </c>
      <c r="EE105">
        <v>30</v>
      </c>
      <c r="EF105">
        <v>1.4120000000000004</v>
      </c>
      <c r="EG105">
        <v>30</v>
      </c>
      <c r="EH105">
        <v>8.3999999999999986</v>
      </c>
      <c r="EI105">
        <v>3.3600000000000003</v>
      </c>
      <c r="EJ105">
        <v>6</v>
      </c>
      <c r="EK105">
        <v>5.5</v>
      </c>
      <c r="EL105">
        <v>6</v>
      </c>
      <c r="EM105">
        <v>-3.6799999999999997</v>
      </c>
      <c r="EN105">
        <v>5</v>
      </c>
      <c r="EO105">
        <v>-14.800000000000002</v>
      </c>
      <c r="EP105">
        <v>-0.75999999999999956</v>
      </c>
      <c r="EQ105">
        <v>6</v>
      </c>
      <c r="ER105">
        <v>8</v>
      </c>
      <c r="ES105">
        <v>7</v>
      </c>
      <c r="ET105">
        <v>0.16799999999999979</v>
      </c>
      <c r="EU105">
        <v>9</v>
      </c>
      <c r="EV105">
        <v>-7.44</v>
      </c>
      <c r="EW105">
        <v>-0.12000000000000037</v>
      </c>
      <c r="EX105">
        <v>3</v>
      </c>
      <c r="EY105">
        <v>3.5</v>
      </c>
      <c r="EZ105">
        <v>6</v>
      </c>
      <c r="FA105">
        <v>-0.68</v>
      </c>
      <c r="FB105">
        <v>1</v>
      </c>
      <c r="FC105">
        <v>-0.4</v>
      </c>
      <c r="FD105">
        <v>4.6399999999999997</v>
      </c>
      <c r="FE105">
        <v>15</v>
      </c>
      <c r="FF105">
        <v>15.75</v>
      </c>
      <c r="FG105">
        <v>16</v>
      </c>
      <c r="FH105">
        <v>-5.3431099468023248E-2</v>
      </c>
      <c r="FI105">
        <v>21</v>
      </c>
      <c r="FJ105">
        <v>5.44959390423935E-3</v>
      </c>
      <c r="FK105">
        <v>13</v>
      </c>
      <c r="FL105">
        <v>-1.6239999999999994</v>
      </c>
      <c r="FM105">
        <v>13</v>
      </c>
      <c r="FN105">
        <v>-0.79999999999999982</v>
      </c>
      <c r="FO105">
        <v>-1.8799999999999983</v>
      </c>
      <c r="FP105">
        <v>-2.44</v>
      </c>
      <c r="FQ105">
        <v>2.0800000000000005</v>
      </c>
      <c r="FR105">
        <v>-1.4400000000000019</v>
      </c>
      <c r="FS105">
        <v>-3.7600000000000002</v>
      </c>
      <c r="FT105">
        <v>-0.36</v>
      </c>
      <c r="FU105">
        <v>-28.520000000000003</v>
      </c>
      <c r="FV105">
        <v>-25.52</v>
      </c>
      <c r="FW105">
        <v>-10.199999999999999</v>
      </c>
      <c r="FX105">
        <v>4.0000000000000036E-2</v>
      </c>
      <c r="FY105">
        <v>7.160000000000001</v>
      </c>
      <c r="FZ105">
        <v>14</v>
      </c>
      <c r="GA105">
        <v>0.39639999999999909</v>
      </c>
      <c r="GB105">
        <v>-0.70391999999999988</v>
      </c>
      <c r="GC105">
        <v>-15.32</v>
      </c>
      <c r="GD105">
        <v>-0.39639999999999898</v>
      </c>
      <c r="GE105">
        <v>-1.8164500000000001</v>
      </c>
      <c r="GF105">
        <v>-8.5119999999999987</v>
      </c>
      <c r="GG105">
        <v>-35.080000000000005</v>
      </c>
      <c r="GH105">
        <v>-2.9520000000000004</v>
      </c>
      <c r="GI105">
        <v>-20.759999999999998</v>
      </c>
      <c r="GJ105">
        <v>-1.9200000000000002</v>
      </c>
      <c r="GK105">
        <v>1.08</v>
      </c>
    </row>
    <row r="106" spans="1:193" x14ac:dyDescent="0.2">
      <c r="A106" s="39">
        <v>43758</v>
      </c>
      <c r="B106" s="22" t="s">
        <v>250</v>
      </c>
      <c r="C106" s="41" t="s">
        <v>304</v>
      </c>
      <c r="D106" s="22" t="s">
        <v>295</v>
      </c>
      <c r="E106" s="14">
        <v>11</v>
      </c>
      <c r="F106">
        <v>13.6</v>
      </c>
      <c r="G106">
        <v>9.9</v>
      </c>
      <c r="H106">
        <v>16.8</v>
      </c>
      <c r="I106">
        <v>-3</v>
      </c>
      <c r="J106">
        <v>54.5</v>
      </c>
      <c r="K106" t="s">
        <v>109</v>
      </c>
      <c r="L106" s="1" t="s">
        <v>304</v>
      </c>
      <c r="M106">
        <v>18</v>
      </c>
      <c r="N106">
        <v>-0.68479999999999941</v>
      </c>
      <c r="O106">
        <v>12</v>
      </c>
      <c r="P106">
        <v>14.5</v>
      </c>
      <c r="Q106">
        <v>15</v>
      </c>
      <c r="R106">
        <v>-1.1408</v>
      </c>
      <c r="S106">
        <v>14</v>
      </c>
      <c r="T106">
        <v>-13.159999999999997</v>
      </c>
      <c r="U106">
        <v>-0.32000000000000012</v>
      </c>
      <c r="V106">
        <v>21</v>
      </c>
      <c r="W106">
        <v>19</v>
      </c>
      <c r="X106">
        <v>21</v>
      </c>
      <c r="Y106">
        <v>-1.4319999999999999</v>
      </c>
      <c r="Z106">
        <v>17</v>
      </c>
      <c r="AA106">
        <v>2.6400000000000006</v>
      </c>
      <c r="AB106">
        <v>-0.27999999999999997</v>
      </c>
      <c r="AC106">
        <v>12</v>
      </c>
      <c r="AD106">
        <v>13</v>
      </c>
      <c r="AE106">
        <v>13</v>
      </c>
      <c r="AF106">
        <v>7.3</v>
      </c>
      <c r="AG106">
        <v>13</v>
      </c>
      <c r="AH106">
        <v>20.160000000000004</v>
      </c>
      <c r="AI106">
        <v>3.1599999999999997</v>
      </c>
      <c r="AJ106">
        <v>4</v>
      </c>
      <c r="AK106">
        <v>4.5</v>
      </c>
      <c r="AL106">
        <v>7</v>
      </c>
      <c r="AM106">
        <v>1.1999999999999997</v>
      </c>
      <c r="AN106">
        <v>2</v>
      </c>
      <c r="AO106">
        <v>1</v>
      </c>
      <c r="AP106">
        <v>1.8399999999999999</v>
      </c>
      <c r="AQ106">
        <v>8</v>
      </c>
      <c r="AR106">
        <v>8.5</v>
      </c>
      <c r="AS106">
        <v>8</v>
      </c>
      <c r="AT106">
        <v>7.7879999999999994</v>
      </c>
      <c r="AU106">
        <v>9</v>
      </c>
      <c r="AV106">
        <v>38.44</v>
      </c>
      <c r="AW106">
        <v>2.2399999999999998</v>
      </c>
      <c r="AX106">
        <v>5</v>
      </c>
      <c r="AY106">
        <v>5</v>
      </c>
      <c r="AZ106">
        <v>8</v>
      </c>
      <c r="BA106">
        <v>6.3080000000000016</v>
      </c>
      <c r="BB106">
        <v>2</v>
      </c>
      <c r="BC106">
        <v>26.680000000000007</v>
      </c>
      <c r="BD106">
        <v>3.9200000000000004</v>
      </c>
      <c r="BE106">
        <v>12</v>
      </c>
      <c r="BF106">
        <v>12.5</v>
      </c>
      <c r="BG106">
        <v>14</v>
      </c>
      <c r="BH106">
        <v>2.7319999999999998</v>
      </c>
      <c r="BI106">
        <v>21.24</v>
      </c>
      <c r="BJ106">
        <v>2.8</v>
      </c>
      <c r="BK106">
        <v>16</v>
      </c>
      <c r="BL106">
        <v>15.5</v>
      </c>
      <c r="BM106">
        <v>18</v>
      </c>
      <c r="BN106">
        <v>2.84</v>
      </c>
      <c r="BO106">
        <v>13</v>
      </c>
      <c r="BP106">
        <v>0.4</v>
      </c>
      <c r="BQ106">
        <v>-0.55999999999999983</v>
      </c>
      <c r="BR106">
        <v>23</v>
      </c>
      <c r="BS106">
        <v>20.5</v>
      </c>
      <c r="BT106">
        <v>32</v>
      </c>
      <c r="BU106">
        <v>9.0780050721000746E-2</v>
      </c>
      <c r="BV106">
        <v>29</v>
      </c>
      <c r="BW106">
        <v>-8.8088897539297974E-3</v>
      </c>
      <c r="BX106">
        <v>8</v>
      </c>
      <c r="BY106">
        <v>-4.5040000000000004</v>
      </c>
      <c r="BZ106">
        <v>13</v>
      </c>
      <c r="CA106">
        <v>1.7763568394002506E-16</v>
      </c>
      <c r="CB106">
        <v>3.7599999999999993</v>
      </c>
      <c r="CC106">
        <v>2.8400000000000003</v>
      </c>
      <c r="CD106">
        <v>0.48000000000000009</v>
      </c>
      <c r="CE106">
        <v>45.48</v>
      </c>
      <c r="CF106">
        <v>60.160000000000004</v>
      </c>
      <c r="CG106">
        <v>-13.8</v>
      </c>
      <c r="CH106">
        <v>9.879999999999999</v>
      </c>
      <c r="CI106">
        <v>-10.76</v>
      </c>
      <c r="CJ106">
        <v>15</v>
      </c>
      <c r="CK106">
        <v>1.8880000000000006</v>
      </c>
      <c r="CL106">
        <v>4.9534400000000005</v>
      </c>
      <c r="CM106">
        <v>73.960000000000008</v>
      </c>
      <c r="CN106">
        <v>-1.8880000000000006</v>
      </c>
      <c r="CO106">
        <v>2.3252999999999999</v>
      </c>
      <c r="CP106">
        <v>16.288</v>
      </c>
      <c r="CQ106">
        <v>59.6</v>
      </c>
      <c r="CR106">
        <v>-2.5728</v>
      </c>
      <c r="CS106">
        <v>-10.519999999999996</v>
      </c>
      <c r="CT106">
        <v>10.039999999999999</v>
      </c>
      <c r="CU106">
        <v>-0.60000000000000009</v>
      </c>
      <c r="CV106">
        <v>1.7071875000000005</v>
      </c>
      <c r="CW106">
        <v>-0.31482500000000002</v>
      </c>
      <c r="CX106" t="s">
        <v>295</v>
      </c>
      <c r="CY106">
        <v>27</v>
      </c>
      <c r="CZ106">
        <v>7.9056000000000024</v>
      </c>
      <c r="DA106">
        <v>30</v>
      </c>
      <c r="DB106">
        <v>28</v>
      </c>
      <c r="DC106">
        <v>28</v>
      </c>
      <c r="DD106">
        <v>1.8200000000000003</v>
      </c>
      <c r="DE106">
        <v>28</v>
      </c>
      <c r="DF106">
        <v>-1.1599999999999995</v>
      </c>
      <c r="DG106">
        <v>0.60000000000000009</v>
      </c>
      <c r="DH106">
        <v>28</v>
      </c>
      <c r="DI106">
        <v>25.5</v>
      </c>
      <c r="DJ106">
        <v>30</v>
      </c>
      <c r="DK106">
        <v>0.12799999999999975</v>
      </c>
      <c r="DL106">
        <v>21</v>
      </c>
      <c r="DM106">
        <v>0.96000000000000085</v>
      </c>
      <c r="DN106">
        <v>0.32000000000000012</v>
      </c>
      <c r="DO106">
        <v>22</v>
      </c>
      <c r="DP106">
        <v>18.5</v>
      </c>
      <c r="DQ106">
        <v>21</v>
      </c>
      <c r="DR106">
        <v>5.4960000000000013</v>
      </c>
      <c r="DS106">
        <v>16</v>
      </c>
      <c r="DT106">
        <v>25.76</v>
      </c>
      <c r="DU106">
        <v>0.72000000000000008</v>
      </c>
      <c r="DV106">
        <v>9</v>
      </c>
      <c r="DW106">
        <v>10</v>
      </c>
      <c r="DX106">
        <v>9</v>
      </c>
      <c r="DY106">
        <v>10.008000000000001</v>
      </c>
      <c r="DZ106">
        <v>11</v>
      </c>
      <c r="EA106">
        <v>40.520000000000003</v>
      </c>
      <c r="EB106">
        <v>0.32000000000000012</v>
      </c>
      <c r="EC106">
        <v>17</v>
      </c>
      <c r="ED106">
        <v>26.5</v>
      </c>
      <c r="EE106">
        <v>29</v>
      </c>
      <c r="EF106">
        <v>0.51600000000000035</v>
      </c>
      <c r="EG106">
        <v>24</v>
      </c>
      <c r="EH106">
        <v>3.72</v>
      </c>
      <c r="EI106">
        <v>-0.67999999999999994</v>
      </c>
      <c r="EJ106">
        <v>10</v>
      </c>
      <c r="EK106">
        <v>11.5</v>
      </c>
      <c r="EL106">
        <v>14</v>
      </c>
      <c r="EM106">
        <v>4.1599999999999993</v>
      </c>
      <c r="EN106">
        <v>9</v>
      </c>
      <c r="EO106">
        <v>5.6</v>
      </c>
      <c r="EP106">
        <v>0.48000000000000009</v>
      </c>
      <c r="EQ106">
        <v>29</v>
      </c>
      <c r="ER106">
        <v>26.5</v>
      </c>
      <c r="ES106">
        <v>30</v>
      </c>
      <c r="ET106">
        <v>1.0399999999999996</v>
      </c>
      <c r="EU106">
        <v>23</v>
      </c>
      <c r="EV106">
        <v>-3.5200000000000018</v>
      </c>
      <c r="EW106">
        <v>-0.11999999999999993</v>
      </c>
      <c r="EX106">
        <v>17</v>
      </c>
      <c r="EY106">
        <v>14.5</v>
      </c>
      <c r="EZ106">
        <v>14</v>
      </c>
      <c r="FA106">
        <v>2.9200000000000004</v>
      </c>
      <c r="FB106">
        <v>15</v>
      </c>
      <c r="FC106">
        <v>0</v>
      </c>
      <c r="FD106">
        <v>-0.40000000000000019</v>
      </c>
      <c r="FE106">
        <v>19</v>
      </c>
      <c r="FF106">
        <v>16.5</v>
      </c>
      <c r="FG106">
        <v>10</v>
      </c>
      <c r="FH106">
        <v>-7.832631225409413E-2</v>
      </c>
      <c r="FI106">
        <v>20</v>
      </c>
      <c r="FJ106">
        <v>-4.6038082226176433E-2</v>
      </c>
      <c r="FK106">
        <v>25</v>
      </c>
      <c r="FL106">
        <v>8.8160000000000007</v>
      </c>
      <c r="FM106">
        <v>11</v>
      </c>
      <c r="FN106">
        <v>-5.4</v>
      </c>
      <c r="FO106">
        <v>1.8000000000000007</v>
      </c>
      <c r="FP106">
        <v>1.4800000000000004</v>
      </c>
      <c r="FQ106">
        <v>-0.44000000000000006</v>
      </c>
      <c r="FR106">
        <v>0.67999999999999972</v>
      </c>
      <c r="FS106">
        <v>8.84</v>
      </c>
      <c r="FT106">
        <v>0.47999999999999987</v>
      </c>
      <c r="FU106">
        <v>55.879999999999995</v>
      </c>
      <c r="FV106">
        <v>64.64</v>
      </c>
      <c r="FW106">
        <v>-4.8400000000000007</v>
      </c>
      <c r="FX106">
        <v>-1.6</v>
      </c>
      <c r="FY106">
        <v>-2.3199999999999998</v>
      </c>
      <c r="FZ106">
        <v>4</v>
      </c>
      <c r="GA106">
        <v>5.957600000000002</v>
      </c>
      <c r="GB106">
        <v>4.0191200000000009</v>
      </c>
      <c r="GC106">
        <v>69.48</v>
      </c>
      <c r="GD106">
        <v>-5.9576000000000029</v>
      </c>
      <c r="GE106">
        <v>3.729200000000001</v>
      </c>
      <c r="GF106">
        <v>16.020000000000003</v>
      </c>
      <c r="GG106">
        <v>70</v>
      </c>
      <c r="GH106">
        <v>1.948</v>
      </c>
      <c r="GI106">
        <v>-0.19999999999999862</v>
      </c>
      <c r="GJ106">
        <v>0.24000000000000038</v>
      </c>
      <c r="GK106">
        <v>0.92000000000000015</v>
      </c>
    </row>
    <row r="107" spans="1:193" x14ac:dyDescent="0.2">
      <c r="A107" s="39">
        <v>43758</v>
      </c>
      <c r="B107" s="22" t="s">
        <v>250</v>
      </c>
      <c r="C107" s="41" t="s">
        <v>293</v>
      </c>
      <c r="D107" s="22" t="s">
        <v>276</v>
      </c>
      <c r="E107" s="14">
        <v>13.2</v>
      </c>
      <c r="F107">
        <v>16.5</v>
      </c>
      <c r="G107">
        <v>8.3000000000000007</v>
      </c>
      <c r="H107">
        <v>8.1</v>
      </c>
      <c r="I107">
        <v>17</v>
      </c>
      <c r="J107">
        <v>42.5</v>
      </c>
      <c r="L107" s="1" t="s">
        <v>293</v>
      </c>
      <c r="M107">
        <v>22</v>
      </c>
      <c r="N107">
        <v>-2.4400000000000004</v>
      </c>
      <c r="O107">
        <v>31</v>
      </c>
      <c r="P107">
        <v>29</v>
      </c>
      <c r="Q107">
        <v>27</v>
      </c>
      <c r="R107">
        <v>-5.7080000000000002</v>
      </c>
      <c r="S107">
        <v>31</v>
      </c>
      <c r="T107">
        <v>-26.360000000000003</v>
      </c>
      <c r="U107">
        <v>2.4400000000000004</v>
      </c>
      <c r="V107">
        <v>26</v>
      </c>
      <c r="W107">
        <v>24.5</v>
      </c>
      <c r="X107">
        <v>23</v>
      </c>
      <c r="Y107">
        <v>3.2000000000000028E-2</v>
      </c>
      <c r="Z107">
        <v>26</v>
      </c>
      <c r="AA107">
        <v>12.760000000000002</v>
      </c>
      <c r="AB107">
        <v>4.0000000000000036E-2</v>
      </c>
      <c r="AC107">
        <v>1</v>
      </c>
      <c r="AD107">
        <v>1.5</v>
      </c>
      <c r="AE107">
        <v>2</v>
      </c>
      <c r="AF107">
        <v>-2.5200000000000005</v>
      </c>
      <c r="AG107">
        <v>1</v>
      </c>
      <c r="AH107">
        <v>-1.8400000000000005</v>
      </c>
      <c r="AI107">
        <v>0.40000000000000019</v>
      </c>
      <c r="AJ107">
        <v>18</v>
      </c>
      <c r="AK107">
        <v>18.5</v>
      </c>
      <c r="AL107">
        <v>18</v>
      </c>
      <c r="AM107">
        <v>0.65999999999999948</v>
      </c>
      <c r="AN107">
        <v>19</v>
      </c>
      <c r="AO107">
        <v>-0.71999999999999886</v>
      </c>
      <c r="AP107">
        <v>0.24000000000000005</v>
      </c>
      <c r="AQ107">
        <v>5</v>
      </c>
      <c r="AR107">
        <v>5.5</v>
      </c>
      <c r="AS107">
        <v>4</v>
      </c>
      <c r="AT107">
        <v>0.70000000000000018</v>
      </c>
      <c r="AU107">
        <v>7</v>
      </c>
      <c r="AV107">
        <v>1.5599999999999998</v>
      </c>
      <c r="AW107">
        <v>0.72</v>
      </c>
      <c r="AX107">
        <v>1</v>
      </c>
      <c r="AY107">
        <v>1</v>
      </c>
      <c r="AZ107">
        <v>1</v>
      </c>
      <c r="BA107">
        <v>0.99200000000000121</v>
      </c>
      <c r="BB107">
        <v>1</v>
      </c>
      <c r="BC107">
        <v>4.7199999999999989</v>
      </c>
      <c r="BD107">
        <v>1.1600000000000001</v>
      </c>
      <c r="BE107">
        <v>10</v>
      </c>
      <c r="BF107">
        <v>11</v>
      </c>
      <c r="BG107">
        <v>12</v>
      </c>
      <c r="BH107">
        <v>-2.6280000000000001</v>
      </c>
      <c r="BI107">
        <v>-7.0799999999999983</v>
      </c>
      <c r="BJ107">
        <v>-0.68</v>
      </c>
      <c r="BK107">
        <v>13</v>
      </c>
      <c r="BL107">
        <v>12</v>
      </c>
      <c r="BM107">
        <v>3</v>
      </c>
      <c r="BN107">
        <v>-1.64</v>
      </c>
      <c r="BO107">
        <v>21</v>
      </c>
      <c r="BP107">
        <v>-3.9999999999999966E-2</v>
      </c>
      <c r="BQ107">
        <v>-6.919999999999999</v>
      </c>
      <c r="BR107">
        <v>16</v>
      </c>
      <c r="BS107">
        <v>14.5</v>
      </c>
      <c r="BT107">
        <v>12</v>
      </c>
      <c r="BU107">
        <v>3.001764313433869E-2</v>
      </c>
      <c r="BV107">
        <v>10</v>
      </c>
      <c r="BW107">
        <v>1.8864583533273548E-2</v>
      </c>
      <c r="BX107">
        <v>14</v>
      </c>
      <c r="BY107">
        <v>-7.8919999999999986</v>
      </c>
      <c r="BZ107">
        <v>22</v>
      </c>
      <c r="CA107">
        <v>5.9599999999999991</v>
      </c>
      <c r="CB107">
        <v>2.4400000000000004</v>
      </c>
      <c r="CC107">
        <v>-5.2799999999999994</v>
      </c>
      <c r="CD107">
        <v>-1.9600000000000002</v>
      </c>
      <c r="CE107">
        <v>-28.160000000000004</v>
      </c>
      <c r="CF107">
        <v>-3.4800000000000066</v>
      </c>
      <c r="CG107">
        <v>-13.560000000000002</v>
      </c>
      <c r="CH107">
        <v>-7.68</v>
      </c>
      <c r="CI107">
        <v>-3.44</v>
      </c>
      <c r="CJ107">
        <v>13</v>
      </c>
      <c r="CK107">
        <v>3.2359999999999998</v>
      </c>
      <c r="CL107">
        <v>1.5923999999999998</v>
      </c>
      <c r="CM107">
        <v>10.079999999999995</v>
      </c>
      <c r="CN107">
        <v>-3.2359999999999998</v>
      </c>
      <c r="CO107">
        <v>-1.6930000000000001</v>
      </c>
      <c r="CP107">
        <v>-1.1600000000000008</v>
      </c>
      <c r="CQ107">
        <v>-0.99999999999999978</v>
      </c>
      <c r="CR107">
        <v>-5.6760000000000002</v>
      </c>
      <c r="CS107">
        <v>-13.600000000000001</v>
      </c>
      <c r="CT107">
        <v>0.68000000000000027</v>
      </c>
      <c r="CU107">
        <v>2.4800000000000004</v>
      </c>
      <c r="CV107">
        <v>-0.1896874999999999</v>
      </c>
      <c r="CW107">
        <v>0.75737500000000013</v>
      </c>
      <c r="CX107" t="s">
        <v>276</v>
      </c>
      <c r="CY107">
        <v>24</v>
      </c>
      <c r="CZ107">
        <v>-2.92</v>
      </c>
      <c r="DA107">
        <v>10</v>
      </c>
      <c r="DB107">
        <v>10.5</v>
      </c>
      <c r="DC107">
        <v>8</v>
      </c>
      <c r="DD107">
        <v>2.1559999999999988</v>
      </c>
      <c r="DE107">
        <v>13</v>
      </c>
      <c r="DF107">
        <v>11.02</v>
      </c>
      <c r="DG107">
        <v>-1.06</v>
      </c>
      <c r="DH107">
        <v>3</v>
      </c>
      <c r="DI107">
        <v>6</v>
      </c>
      <c r="DJ107">
        <v>2</v>
      </c>
      <c r="DK107">
        <v>-0.32899999999999968</v>
      </c>
      <c r="DL107">
        <v>10</v>
      </c>
      <c r="DM107">
        <v>1.3399999999999992</v>
      </c>
      <c r="DN107">
        <v>0.16000000000000014</v>
      </c>
      <c r="DO107">
        <v>17</v>
      </c>
      <c r="DP107">
        <v>19</v>
      </c>
      <c r="DQ107">
        <v>20</v>
      </c>
      <c r="DR107">
        <v>-4.4719999999999995</v>
      </c>
      <c r="DS107">
        <v>18</v>
      </c>
      <c r="DT107">
        <v>-13.639999999999997</v>
      </c>
      <c r="DU107">
        <v>-0.28000000000000008</v>
      </c>
      <c r="DV107">
        <v>20</v>
      </c>
      <c r="DW107">
        <v>19</v>
      </c>
      <c r="DX107">
        <v>20</v>
      </c>
      <c r="DY107">
        <v>-2.3449999999999998</v>
      </c>
      <c r="DZ107">
        <v>18</v>
      </c>
      <c r="EA107">
        <v>-13.55</v>
      </c>
      <c r="EB107">
        <v>0.34</v>
      </c>
      <c r="EC107">
        <v>8</v>
      </c>
      <c r="ED107">
        <v>21</v>
      </c>
      <c r="EE107">
        <v>11</v>
      </c>
      <c r="EF107">
        <v>2.7</v>
      </c>
      <c r="EG107">
        <v>31</v>
      </c>
      <c r="EH107">
        <v>16.28</v>
      </c>
      <c r="EI107">
        <v>1.1600000000000001</v>
      </c>
      <c r="EJ107">
        <v>20</v>
      </c>
      <c r="EK107">
        <v>19</v>
      </c>
      <c r="EL107">
        <v>19</v>
      </c>
      <c r="EM107">
        <v>-5.0759999999999996</v>
      </c>
      <c r="EN107">
        <v>19</v>
      </c>
      <c r="EO107">
        <v>-15.8</v>
      </c>
      <c r="EP107">
        <v>-5.4</v>
      </c>
      <c r="EQ107">
        <v>32</v>
      </c>
      <c r="ER107">
        <v>32</v>
      </c>
      <c r="ES107">
        <v>32</v>
      </c>
      <c r="ET107">
        <v>-2.524</v>
      </c>
      <c r="EU107">
        <v>32</v>
      </c>
      <c r="EV107">
        <v>-7.0400000000000009</v>
      </c>
      <c r="EW107">
        <v>-2.12</v>
      </c>
      <c r="EX107">
        <v>32</v>
      </c>
      <c r="EY107">
        <v>32</v>
      </c>
      <c r="EZ107">
        <v>32</v>
      </c>
      <c r="FA107">
        <v>-1.3599999999999999</v>
      </c>
      <c r="FB107">
        <v>32</v>
      </c>
      <c r="FC107">
        <v>8.0000000000000029E-2</v>
      </c>
      <c r="FD107">
        <v>-0.68</v>
      </c>
      <c r="FE107">
        <v>7</v>
      </c>
      <c r="FF107">
        <v>12.25</v>
      </c>
      <c r="FG107">
        <v>24</v>
      </c>
      <c r="FH107">
        <v>-5.7213415791041219E-3</v>
      </c>
      <c r="FI107">
        <v>3</v>
      </c>
      <c r="FJ107">
        <v>-2.9869185457736213E-2</v>
      </c>
      <c r="FK107">
        <v>17</v>
      </c>
      <c r="FL107">
        <v>-4.8960000000000008</v>
      </c>
      <c r="FM107">
        <v>5</v>
      </c>
      <c r="FN107">
        <v>-2.7600000000000002</v>
      </c>
      <c r="FO107">
        <v>-0.6399999999999999</v>
      </c>
      <c r="FP107">
        <v>-3.9999999999999855E-2</v>
      </c>
      <c r="FQ107">
        <v>0.31999999999999995</v>
      </c>
      <c r="FR107">
        <v>-2.1200000000000019</v>
      </c>
      <c r="FS107">
        <v>-2.1199999999999997</v>
      </c>
      <c r="FT107">
        <v>-0.83999999999999986</v>
      </c>
      <c r="FU107">
        <v>-6.6</v>
      </c>
      <c r="FV107">
        <v>-15.88</v>
      </c>
      <c r="FW107">
        <v>12.559999999999997</v>
      </c>
      <c r="FX107">
        <v>1.6</v>
      </c>
      <c r="FY107">
        <v>-4.88</v>
      </c>
      <c r="FZ107">
        <v>29</v>
      </c>
      <c r="GA107">
        <v>-4.746999999999999</v>
      </c>
      <c r="GB107">
        <v>-2.8256999999999994</v>
      </c>
      <c r="GC107">
        <v>-28.439999999999998</v>
      </c>
      <c r="GD107">
        <v>4.746999999999999</v>
      </c>
      <c r="GE107">
        <v>-1.1367499999999999</v>
      </c>
      <c r="GF107">
        <v>-4.1169999999999991</v>
      </c>
      <c r="GG107">
        <v>-10.909999999999997</v>
      </c>
      <c r="GH107">
        <v>1.8269999999999991</v>
      </c>
      <c r="GI107">
        <v>12.36</v>
      </c>
      <c r="GJ107">
        <v>-0.89999999999999991</v>
      </c>
      <c r="GK107">
        <v>-0.89999999999999991</v>
      </c>
    </row>
    <row r="108" spans="1:193" x14ac:dyDescent="0.2">
      <c r="A108" s="39">
        <v>43758</v>
      </c>
      <c r="B108" s="22" t="s">
        <v>250</v>
      </c>
      <c r="C108" s="41" t="s">
        <v>312</v>
      </c>
      <c r="D108" s="22" t="s">
        <v>299</v>
      </c>
      <c r="E108">
        <f>14+9.5</f>
        <v>23.5</v>
      </c>
      <c r="F108">
        <v>24.2</v>
      </c>
      <c r="G108">
        <v>0</v>
      </c>
      <c r="H108">
        <v>27.8</v>
      </c>
      <c r="I108">
        <v>-2.5</v>
      </c>
      <c r="J108">
        <v>43.5</v>
      </c>
      <c r="L108" s="1" t="s">
        <v>312</v>
      </c>
      <c r="M108">
        <v>23</v>
      </c>
      <c r="N108">
        <v>-2.6048000000000004</v>
      </c>
      <c r="O108">
        <v>12</v>
      </c>
      <c r="P108">
        <v>14.5</v>
      </c>
      <c r="Q108">
        <v>7</v>
      </c>
      <c r="R108">
        <v>6.8320000000000007</v>
      </c>
      <c r="S108">
        <v>22</v>
      </c>
      <c r="T108">
        <v>33.96</v>
      </c>
      <c r="U108">
        <v>0.7</v>
      </c>
      <c r="V108">
        <v>5</v>
      </c>
      <c r="W108">
        <v>8</v>
      </c>
      <c r="X108">
        <v>13</v>
      </c>
      <c r="Y108">
        <v>-2.1119999999999997</v>
      </c>
      <c r="Z108">
        <v>3</v>
      </c>
      <c r="AA108">
        <v>13.65</v>
      </c>
      <c r="AB108">
        <v>-2.48</v>
      </c>
      <c r="AC108">
        <v>16</v>
      </c>
      <c r="AD108">
        <v>17</v>
      </c>
      <c r="AE108">
        <v>18</v>
      </c>
      <c r="AF108">
        <v>-0.43900000000000039</v>
      </c>
      <c r="AG108">
        <v>16</v>
      </c>
      <c r="AH108">
        <v>-11.64</v>
      </c>
      <c r="AI108">
        <v>-1.3900000000000001</v>
      </c>
      <c r="AJ108">
        <v>23</v>
      </c>
      <c r="AK108">
        <v>22</v>
      </c>
      <c r="AL108">
        <v>26</v>
      </c>
      <c r="AM108">
        <v>3.6549999999999998</v>
      </c>
      <c r="AN108">
        <v>18</v>
      </c>
      <c r="AO108">
        <v>14.870000000000001</v>
      </c>
      <c r="AP108">
        <v>0.17999999999999988</v>
      </c>
      <c r="AQ108">
        <v>27</v>
      </c>
      <c r="AR108">
        <v>28</v>
      </c>
      <c r="AS108">
        <v>27</v>
      </c>
      <c r="AT108">
        <v>-1.0580000000000001</v>
      </c>
      <c r="AU108">
        <v>29</v>
      </c>
      <c r="AV108">
        <v>1.36</v>
      </c>
      <c r="AW108">
        <v>-1.55</v>
      </c>
      <c r="AX108">
        <v>29</v>
      </c>
      <c r="AY108">
        <v>29</v>
      </c>
      <c r="AZ108">
        <v>29</v>
      </c>
      <c r="BA108">
        <v>-5.8199999999999994</v>
      </c>
      <c r="BB108">
        <v>29</v>
      </c>
      <c r="BC108">
        <v>-25.639999999999997</v>
      </c>
      <c r="BD108">
        <v>-8.6399999999999988</v>
      </c>
      <c r="BE108">
        <v>5</v>
      </c>
      <c r="BF108">
        <v>6</v>
      </c>
      <c r="BG108">
        <v>3</v>
      </c>
      <c r="BH108">
        <v>-4.620000000000001</v>
      </c>
      <c r="BI108">
        <v>-15.4</v>
      </c>
      <c r="BJ108">
        <v>-2.6399999999999997</v>
      </c>
      <c r="BK108">
        <v>26</v>
      </c>
      <c r="BL108">
        <v>25</v>
      </c>
      <c r="BM108">
        <v>21</v>
      </c>
      <c r="BN108">
        <v>0.99999999999999944</v>
      </c>
      <c r="BO108">
        <v>29</v>
      </c>
      <c r="BP108">
        <v>0.67999999999999994</v>
      </c>
      <c r="BQ108">
        <v>0.36</v>
      </c>
      <c r="BR108">
        <v>28</v>
      </c>
      <c r="BS108">
        <v>24.5</v>
      </c>
      <c r="BT108">
        <v>22</v>
      </c>
      <c r="BU108">
        <v>4.942206420538138E-2</v>
      </c>
      <c r="BV108">
        <v>27</v>
      </c>
      <c r="BW108">
        <v>-2.7571277587572856E-3</v>
      </c>
      <c r="BX108">
        <v>22</v>
      </c>
      <c r="BY108">
        <v>14.103999999999999</v>
      </c>
      <c r="BZ108">
        <v>27</v>
      </c>
      <c r="CA108">
        <v>-1.48</v>
      </c>
      <c r="CB108">
        <v>-3.2000000000000015</v>
      </c>
      <c r="CC108">
        <v>0.87999999999999967</v>
      </c>
      <c r="CD108">
        <v>-0.6</v>
      </c>
      <c r="CE108">
        <v>20.880000000000006</v>
      </c>
      <c r="CF108">
        <v>-26.91999999999998</v>
      </c>
      <c r="CG108">
        <v>50.519999999999996</v>
      </c>
      <c r="CH108">
        <v>0.55999999999999983</v>
      </c>
      <c r="CI108">
        <v>-3.2800000000000002</v>
      </c>
      <c r="CJ108">
        <v>28</v>
      </c>
      <c r="CK108">
        <v>-7.3248000000000015</v>
      </c>
      <c r="CL108">
        <v>-3.3733600000000008</v>
      </c>
      <c r="CM108">
        <v>-77.439999999999969</v>
      </c>
      <c r="CN108">
        <v>7.3248000000000015</v>
      </c>
      <c r="CO108">
        <v>8.1649999999999709E-2</v>
      </c>
      <c r="CP108">
        <v>2.1579999999999995</v>
      </c>
      <c r="CQ108">
        <v>4.5900000000000007</v>
      </c>
      <c r="CR108">
        <v>4.7200000000000006</v>
      </c>
      <c r="CS108">
        <v>47.61</v>
      </c>
      <c r="CT108">
        <v>-5.4</v>
      </c>
      <c r="CU108">
        <v>-1.78</v>
      </c>
      <c r="CV108">
        <v>0.15853750000000016</v>
      </c>
      <c r="CW108">
        <v>-0.55642499999999995</v>
      </c>
      <c r="CX108" t="s">
        <v>299</v>
      </c>
      <c r="CY108">
        <v>3</v>
      </c>
      <c r="CZ108">
        <v>1.6279999999999997</v>
      </c>
      <c r="DA108">
        <v>14</v>
      </c>
      <c r="DB108">
        <v>16</v>
      </c>
      <c r="DC108">
        <v>14</v>
      </c>
      <c r="DD108">
        <v>-0.13199999999999967</v>
      </c>
      <c r="DE108">
        <v>18</v>
      </c>
      <c r="DF108">
        <v>17</v>
      </c>
      <c r="DG108">
        <v>-0.19999999999999982</v>
      </c>
      <c r="DH108">
        <v>11</v>
      </c>
      <c r="DI108">
        <v>14</v>
      </c>
      <c r="DJ108">
        <v>3</v>
      </c>
      <c r="DK108">
        <v>5.4</v>
      </c>
      <c r="DL108">
        <v>25</v>
      </c>
      <c r="DM108">
        <v>11.2</v>
      </c>
      <c r="DN108">
        <v>-8.0000000000000071E-2</v>
      </c>
      <c r="DO108">
        <v>10</v>
      </c>
      <c r="DP108">
        <v>9.5</v>
      </c>
      <c r="DQ108">
        <v>10</v>
      </c>
      <c r="DR108">
        <v>-1.0199999999999991</v>
      </c>
      <c r="DS108">
        <v>9</v>
      </c>
      <c r="DT108">
        <v>-11.959999999999999</v>
      </c>
      <c r="DU108">
        <v>1.2000000000000002</v>
      </c>
      <c r="DV108">
        <v>3</v>
      </c>
      <c r="DW108">
        <v>3.5</v>
      </c>
      <c r="DX108">
        <v>4</v>
      </c>
      <c r="DY108">
        <v>1.6639999999999993</v>
      </c>
      <c r="DZ108">
        <v>3</v>
      </c>
      <c r="EA108">
        <v>17.760000000000002</v>
      </c>
      <c r="EB108">
        <v>0.31999999999999995</v>
      </c>
      <c r="EC108">
        <v>15</v>
      </c>
      <c r="ED108">
        <v>3.5</v>
      </c>
      <c r="EE108">
        <v>3</v>
      </c>
      <c r="EF108">
        <v>-2.52</v>
      </c>
      <c r="EG108">
        <v>4</v>
      </c>
      <c r="EH108">
        <v>-9.4400000000000013</v>
      </c>
      <c r="EI108">
        <v>-0.60000000000000009</v>
      </c>
      <c r="EJ108">
        <v>2</v>
      </c>
      <c r="EK108">
        <v>3.5</v>
      </c>
      <c r="EL108">
        <v>3</v>
      </c>
      <c r="EM108">
        <v>-1.3800000000000012</v>
      </c>
      <c r="EN108">
        <v>4</v>
      </c>
      <c r="EO108">
        <v>-9.4</v>
      </c>
      <c r="EP108">
        <v>1.5200000000000002</v>
      </c>
      <c r="EQ108">
        <v>11</v>
      </c>
      <c r="ER108">
        <v>12.5</v>
      </c>
      <c r="ES108">
        <v>8</v>
      </c>
      <c r="ET108">
        <v>2.1680000000000015</v>
      </c>
      <c r="EU108">
        <v>17</v>
      </c>
      <c r="EV108">
        <v>18.88</v>
      </c>
      <c r="EW108">
        <v>0.48000000000000009</v>
      </c>
      <c r="EX108">
        <v>12</v>
      </c>
      <c r="EY108">
        <v>12.5</v>
      </c>
      <c r="EZ108">
        <v>7</v>
      </c>
      <c r="FA108">
        <v>-0.2</v>
      </c>
      <c r="FB108">
        <v>18</v>
      </c>
      <c r="FC108">
        <v>0.15999999999999998</v>
      </c>
      <c r="FD108">
        <v>-2.04</v>
      </c>
      <c r="FE108">
        <v>24</v>
      </c>
      <c r="FF108">
        <v>21</v>
      </c>
      <c r="FG108">
        <v>26</v>
      </c>
      <c r="FH108">
        <v>-7.38521219994525E-2</v>
      </c>
      <c r="FI108">
        <v>23</v>
      </c>
      <c r="FJ108">
        <v>-1.6347826541173553E-2</v>
      </c>
      <c r="FK108">
        <v>5</v>
      </c>
      <c r="FL108">
        <v>-2.9919999999999987</v>
      </c>
      <c r="FM108">
        <v>30</v>
      </c>
      <c r="FN108">
        <v>-0.15999999999999998</v>
      </c>
      <c r="FO108">
        <v>0.7600000000000009</v>
      </c>
      <c r="FP108">
        <v>3.7599999999999993</v>
      </c>
      <c r="FQ108">
        <v>0.76</v>
      </c>
      <c r="FR108">
        <v>4.32</v>
      </c>
      <c r="FS108">
        <v>2.2000000000000002</v>
      </c>
      <c r="FT108">
        <v>0.1999999999999999</v>
      </c>
      <c r="FU108">
        <v>54.759999999999991</v>
      </c>
      <c r="FV108">
        <v>16.720000000000006</v>
      </c>
      <c r="FW108">
        <v>27.04</v>
      </c>
      <c r="FX108">
        <v>0.08</v>
      </c>
      <c r="FY108">
        <v>10.92</v>
      </c>
      <c r="FZ108">
        <v>25</v>
      </c>
      <c r="GA108">
        <v>-3.640000000000001</v>
      </c>
      <c r="GB108">
        <v>-2.25</v>
      </c>
      <c r="GC108">
        <v>-10.319999999999993</v>
      </c>
      <c r="GD108">
        <v>3.640000000000001</v>
      </c>
      <c r="GE108">
        <v>0.87350000000000028</v>
      </c>
      <c r="GF108">
        <v>-1.8759999999999999</v>
      </c>
      <c r="GG108">
        <v>-3.6399999999999988</v>
      </c>
      <c r="GH108">
        <v>5.2680000000000007</v>
      </c>
      <c r="GI108">
        <v>28.2</v>
      </c>
      <c r="GJ108">
        <v>1.4</v>
      </c>
      <c r="GK108">
        <v>-0.27999999999999992</v>
      </c>
    </row>
    <row r="109" spans="1:193" x14ac:dyDescent="0.2">
      <c r="A109" s="39">
        <v>43758</v>
      </c>
      <c r="B109" s="22" t="s">
        <v>250</v>
      </c>
      <c r="C109" s="41" t="s">
        <v>302</v>
      </c>
      <c r="D109" s="22" t="s">
        <v>298</v>
      </c>
      <c r="E109">
        <v>13.7</v>
      </c>
      <c r="F109" s="14">
        <v>13.6</v>
      </c>
      <c r="G109">
        <v>9.6999999999999993</v>
      </c>
      <c r="H109">
        <v>5.9</v>
      </c>
      <c r="I109">
        <v>-9.5</v>
      </c>
      <c r="J109">
        <v>43</v>
      </c>
      <c r="L109" s="1" t="s">
        <v>302</v>
      </c>
      <c r="M109">
        <v>8</v>
      </c>
      <c r="N109">
        <v>2.6827999999999994</v>
      </c>
      <c r="O109">
        <v>27</v>
      </c>
      <c r="P109">
        <v>25</v>
      </c>
      <c r="Q109">
        <v>32</v>
      </c>
      <c r="R109">
        <v>-4.2480000000000002</v>
      </c>
      <c r="S109">
        <v>18</v>
      </c>
      <c r="T109">
        <v>-4.0399999999999991</v>
      </c>
      <c r="U109">
        <v>-0.44000000000000006</v>
      </c>
      <c r="V109">
        <v>12</v>
      </c>
      <c r="W109">
        <v>11.5</v>
      </c>
      <c r="X109">
        <v>5</v>
      </c>
      <c r="Y109">
        <v>5.3559999999999999</v>
      </c>
      <c r="Z109">
        <v>18</v>
      </c>
      <c r="AA109">
        <v>-9.7600000000000016</v>
      </c>
      <c r="AB109">
        <v>3.12</v>
      </c>
      <c r="AC109">
        <v>4</v>
      </c>
      <c r="AD109">
        <v>4</v>
      </c>
      <c r="AE109">
        <v>3</v>
      </c>
      <c r="AF109">
        <v>1.6280000000000012</v>
      </c>
      <c r="AG109">
        <v>5</v>
      </c>
      <c r="AH109">
        <v>2.3599999999999981</v>
      </c>
      <c r="AI109">
        <v>1.7600000000000002</v>
      </c>
      <c r="AJ109">
        <v>14</v>
      </c>
      <c r="AK109">
        <v>14</v>
      </c>
      <c r="AL109">
        <v>15</v>
      </c>
      <c r="AM109">
        <v>-1.2479999999999998</v>
      </c>
      <c r="AN109">
        <v>13</v>
      </c>
      <c r="AO109">
        <v>4.2800000000000011</v>
      </c>
      <c r="AP109">
        <v>0.3999999999999998</v>
      </c>
      <c r="AQ109">
        <v>16</v>
      </c>
      <c r="AR109">
        <v>16</v>
      </c>
      <c r="AS109">
        <v>13</v>
      </c>
      <c r="AT109">
        <v>0.57600000000000051</v>
      </c>
      <c r="AU109">
        <v>19</v>
      </c>
      <c r="AV109">
        <v>-2.4799999999999995</v>
      </c>
      <c r="AW109">
        <v>1.1199999999999999</v>
      </c>
      <c r="AX109">
        <v>4</v>
      </c>
      <c r="AY109">
        <v>4.5</v>
      </c>
      <c r="AZ109">
        <v>2</v>
      </c>
      <c r="BA109">
        <v>5.3120000000000003</v>
      </c>
      <c r="BB109">
        <v>7</v>
      </c>
      <c r="BC109">
        <v>19.68</v>
      </c>
      <c r="BD109">
        <v>17.96</v>
      </c>
      <c r="BE109">
        <v>25</v>
      </c>
      <c r="BF109">
        <v>25.5</v>
      </c>
      <c r="BG109">
        <v>28</v>
      </c>
      <c r="BH109">
        <v>-1.972</v>
      </c>
      <c r="BI109">
        <v>-6.919999999999999</v>
      </c>
      <c r="BJ109">
        <v>-2.56</v>
      </c>
      <c r="BK109">
        <v>2</v>
      </c>
      <c r="BL109">
        <v>5</v>
      </c>
      <c r="BM109">
        <v>8</v>
      </c>
      <c r="BN109">
        <v>-1.32</v>
      </c>
      <c r="BO109">
        <v>2</v>
      </c>
      <c r="BP109">
        <v>-0.48</v>
      </c>
      <c r="BQ109">
        <v>9.52</v>
      </c>
      <c r="BR109">
        <v>27</v>
      </c>
      <c r="BS109">
        <v>23.25</v>
      </c>
      <c r="BT109">
        <v>23</v>
      </c>
      <c r="BU109">
        <v>-9.3523559266457099E-2</v>
      </c>
      <c r="BV109">
        <v>26</v>
      </c>
      <c r="BW109">
        <v>-7.8564589039876592E-3</v>
      </c>
      <c r="BX109">
        <v>23</v>
      </c>
      <c r="BY109">
        <v>-14.068000000000001</v>
      </c>
      <c r="BZ109">
        <v>21</v>
      </c>
      <c r="CA109">
        <v>1.48</v>
      </c>
      <c r="CB109">
        <v>5.6</v>
      </c>
      <c r="CC109">
        <v>2.3199999999999998</v>
      </c>
      <c r="CD109">
        <v>4.04</v>
      </c>
      <c r="CE109">
        <v>11.920000000000005</v>
      </c>
      <c r="CF109">
        <v>28.160000000000004</v>
      </c>
      <c r="CG109">
        <v>-6.6</v>
      </c>
      <c r="CH109">
        <v>-0.2</v>
      </c>
      <c r="CI109">
        <v>-9.4400000000000013</v>
      </c>
      <c r="CJ109">
        <v>17</v>
      </c>
      <c r="CK109">
        <v>1.5747999999999998</v>
      </c>
      <c r="CL109">
        <v>-0.22063999999999961</v>
      </c>
      <c r="CM109">
        <v>34.760000000000005</v>
      </c>
      <c r="CN109">
        <v>-1.5747999999999998</v>
      </c>
      <c r="CO109">
        <v>0.18185000000000004</v>
      </c>
      <c r="CP109">
        <v>0.95600000000000196</v>
      </c>
      <c r="CQ109">
        <v>4.1599999999999993</v>
      </c>
      <c r="CR109">
        <v>1.1079999999999997</v>
      </c>
      <c r="CS109">
        <v>-13.8</v>
      </c>
      <c r="CT109">
        <v>0.7200000000000002</v>
      </c>
      <c r="CU109">
        <v>2.68</v>
      </c>
      <c r="CV109">
        <v>-1.1980499999999998</v>
      </c>
      <c r="CW109">
        <v>-2.845475</v>
      </c>
      <c r="CX109" t="s">
        <v>298</v>
      </c>
      <c r="CY109">
        <v>9</v>
      </c>
      <c r="CZ109">
        <v>-2.7599999999999985</v>
      </c>
      <c r="DA109">
        <v>32</v>
      </c>
      <c r="DB109">
        <v>30.5</v>
      </c>
      <c r="DC109">
        <v>30</v>
      </c>
      <c r="DD109">
        <v>1.2760000000000002</v>
      </c>
      <c r="DE109">
        <v>31</v>
      </c>
      <c r="DF109">
        <v>-20.440000000000001</v>
      </c>
      <c r="DG109">
        <v>-0.68000000000000016</v>
      </c>
      <c r="DH109">
        <v>16</v>
      </c>
      <c r="DI109">
        <v>16.5</v>
      </c>
      <c r="DJ109">
        <v>18</v>
      </c>
      <c r="DK109">
        <v>0.34799999999999986</v>
      </c>
      <c r="DL109">
        <v>15</v>
      </c>
      <c r="DM109">
        <v>-2.9200000000000004</v>
      </c>
      <c r="DN109">
        <v>1.08</v>
      </c>
      <c r="DO109">
        <v>7</v>
      </c>
      <c r="DP109">
        <v>10.5</v>
      </c>
      <c r="DQ109">
        <v>8</v>
      </c>
      <c r="DR109">
        <v>0.88499999999999979</v>
      </c>
      <c r="DS109">
        <v>13</v>
      </c>
      <c r="DT109">
        <v>9</v>
      </c>
      <c r="DU109">
        <v>0.34999999999999964</v>
      </c>
      <c r="DV109">
        <v>5</v>
      </c>
      <c r="DW109">
        <v>5.5</v>
      </c>
      <c r="DX109">
        <v>5</v>
      </c>
      <c r="DY109">
        <v>-1.5619999999999992</v>
      </c>
      <c r="DZ109">
        <v>6</v>
      </c>
      <c r="EA109">
        <v>-13.620000000000001</v>
      </c>
      <c r="EB109">
        <v>-0.6</v>
      </c>
      <c r="EC109">
        <v>26</v>
      </c>
      <c r="ED109">
        <v>28.5</v>
      </c>
      <c r="EE109">
        <v>28</v>
      </c>
      <c r="EF109">
        <v>4.0119999999999987</v>
      </c>
      <c r="EG109">
        <v>29</v>
      </c>
      <c r="EH109">
        <v>18.32</v>
      </c>
      <c r="EI109">
        <v>8.0000000000000071E-2</v>
      </c>
      <c r="EJ109">
        <v>25</v>
      </c>
      <c r="EK109">
        <v>26</v>
      </c>
      <c r="EL109">
        <v>26</v>
      </c>
      <c r="EM109">
        <v>1.1039999999999968</v>
      </c>
      <c r="EN109">
        <v>26</v>
      </c>
      <c r="EO109">
        <v>17.360000000000007</v>
      </c>
      <c r="EP109">
        <v>-6.9599999999999991</v>
      </c>
      <c r="EQ109">
        <v>13</v>
      </c>
      <c r="ER109">
        <v>13.5</v>
      </c>
      <c r="ES109">
        <v>17</v>
      </c>
      <c r="ET109">
        <v>-1.2039999999999995</v>
      </c>
      <c r="EU109">
        <v>10</v>
      </c>
      <c r="EV109">
        <v>-7.6400000000000032</v>
      </c>
      <c r="EW109">
        <v>0.40000000000000024</v>
      </c>
      <c r="EX109">
        <v>24</v>
      </c>
      <c r="EY109">
        <v>23</v>
      </c>
      <c r="EZ109">
        <v>28</v>
      </c>
      <c r="FA109">
        <v>2.6</v>
      </c>
      <c r="FB109">
        <v>18</v>
      </c>
      <c r="FC109">
        <v>0.44000000000000006</v>
      </c>
      <c r="FD109">
        <v>3.7599999999999993</v>
      </c>
      <c r="FE109">
        <v>23</v>
      </c>
      <c r="FF109">
        <v>20</v>
      </c>
      <c r="FG109">
        <v>32</v>
      </c>
      <c r="FH109">
        <v>7.6954668175768196E-2</v>
      </c>
      <c r="FI109">
        <v>22</v>
      </c>
      <c r="FJ109">
        <v>-1.9577715947882331E-2</v>
      </c>
      <c r="FK109">
        <v>11</v>
      </c>
      <c r="FL109">
        <v>5.839999999999999</v>
      </c>
      <c r="FM109">
        <v>15</v>
      </c>
      <c r="FN109">
        <v>-1.7600000000000002</v>
      </c>
      <c r="FO109">
        <v>2.4</v>
      </c>
      <c r="FP109">
        <v>1.6800000000000004</v>
      </c>
      <c r="FQ109">
        <v>-0.59999999999999987</v>
      </c>
      <c r="FR109">
        <v>3.0799999999999983</v>
      </c>
      <c r="FS109">
        <v>1.2400000000000007</v>
      </c>
      <c r="FT109">
        <v>-0.16000000000000014</v>
      </c>
      <c r="FU109">
        <v>-27.879999999999995</v>
      </c>
      <c r="FV109">
        <v>4.4000000000000004</v>
      </c>
      <c r="FW109">
        <v>-27.520000000000003</v>
      </c>
      <c r="FX109">
        <v>2.52</v>
      </c>
      <c r="FY109">
        <v>-7.2799999999999994</v>
      </c>
      <c r="FZ109">
        <v>27</v>
      </c>
      <c r="GA109">
        <v>-4.3839999999999986</v>
      </c>
      <c r="GB109">
        <v>-0.93779999999999974</v>
      </c>
      <c r="GC109">
        <v>31.92</v>
      </c>
      <c r="GD109">
        <v>4.3839999999999986</v>
      </c>
      <c r="GE109">
        <v>0.44937500000000019</v>
      </c>
      <c r="GF109">
        <v>3.3349999999999991</v>
      </c>
      <c r="GG109">
        <v>13.7</v>
      </c>
      <c r="GH109">
        <v>1.6240000000000001</v>
      </c>
      <c r="GI109">
        <v>-23.360000000000003</v>
      </c>
      <c r="GJ109">
        <v>0.22999999999999998</v>
      </c>
      <c r="GK109">
        <v>0.39999999999999991</v>
      </c>
    </row>
    <row r="110" spans="1:193" x14ac:dyDescent="0.2">
      <c r="A110" s="39">
        <v>43758</v>
      </c>
      <c r="B110" s="22" t="s">
        <v>250</v>
      </c>
      <c r="C110" s="41" t="s">
        <v>307</v>
      </c>
      <c r="D110" s="22" t="s">
        <v>265</v>
      </c>
      <c r="E110">
        <v>25.1</v>
      </c>
      <c r="F110">
        <v>6.8</v>
      </c>
      <c r="G110">
        <v>0</v>
      </c>
      <c r="H110">
        <v>13.3</v>
      </c>
      <c r="I110">
        <v>4</v>
      </c>
      <c r="J110">
        <v>37</v>
      </c>
      <c r="K110" t="s">
        <v>110</v>
      </c>
      <c r="L110" s="1" t="s">
        <v>307</v>
      </c>
      <c r="M110">
        <v>20</v>
      </c>
      <c r="N110">
        <v>-2.1255999999999995</v>
      </c>
      <c r="O110">
        <v>8</v>
      </c>
      <c r="P110">
        <v>8.5</v>
      </c>
      <c r="Q110">
        <v>5</v>
      </c>
      <c r="R110">
        <v>-1.1527999999999992</v>
      </c>
      <c r="S110">
        <v>12</v>
      </c>
      <c r="T110">
        <v>-5.4799999999999986</v>
      </c>
      <c r="U110">
        <v>1.3599999999999999</v>
      </c>
      <c r="V110">
        <v>16</v>
      </c>
      <c r="W110">
        <v>15</v>
      </c>
      <c r="X110">
        <v>15</v>
      </c>
      <c r="Y110">
        <v>-0.20399999999999965</v>
      </c>
      <c r="Z110">
        <v>15</v>
      </c>
      <c r="AA110">
        <v>2.2800000000000011</v>
      </c>
      <c r="AB110">
        <v>-0.44000000000000006</v>
      </c>
      <c r="AC110">
        <v>5</v>
      </c>
      <c r="AD110">
        <v>5.5</v>
      </c>
      <c r="AE110">
        <v>4</v>
      </c>
      <c r="AF110">
        <v>6.5519999999999978</v>
      </c>
      <c r="AG110">
        <v>7</v>
      </c>
      <c r="AH110">
        <v>24.520000000000003</v>
      </c>
      <c r="AI110">
        <v>1.8800000000000003</v>
      </c>
      <c r="AJ110">
        <v>32</v>
      </c>
      <c r="AK110">
        <v>32</v>
      </c>
      <c r="AL110">
        <v>32</v>
      </c>
      <c r="AM110">
        <v>-5.6879999999999997</v>
      </c>
      <c r="AN110">
        <v>32</v>
      </c>
      <c r="AO110">
        <v>-28.48</v>
      </c>
      <c r="AP110">
        <v>-2.4799999999999995</v>
      </c>
      <c r="AQ110">
        <v>29</v>
      </c>
      <c r="AR110">
        <v>29</v>
      </c>
      <c r="AS110">
        <v>28</v>
      </c>
      <c r="AT110">
        <v>-2.8760000000000003</v>
      </c>
      <c r="AU110">
        <v>30</v>
      </c>
      <c r="AV110">
        <v>-19.8</v>
      </c>
      <c r="AW110">
        <v>-3.6</v>
      </c>
      <c r="AX110">
        <v>28</v>
      </c>
      <c r="AY110">
        <v>28</v>
      </c>
      <c r="AZ110">
        <v>28</v>
      </c>
      <c r="BA110">
        <v>-2.556</v>
      </c>
      <c r="BB110">
        <v>28</v>
      </c>
      <c r="BC110">
        <v>-18.759999999999998</v>
      </c>
      <c r="BD110">
        <v>-0.91999999999999993</v>
      </c>
      <c r="BE110">
        <v>4</v>
      </c>
      <c r="BF110">
        <v>4.5</v>
      </c>
      <c r="BG110">
        <v>5</v>
      </c>
      <c r="BH110">
        <v>-3.2800000000000002</v>
      </c>
      <c r="BI110">
        <v>-17.32</v>
      </c>
      <c r="BJ110">
        <v>0.2</v>
      </c>
      <c r="BK110">
        <v>4</v>
      </c>
      <c r="BL110">
        <v>7</v>
      </c>
      <c r="BM110">
        <v>4</v>
      </c>
      <c r="BN110">
        <v>0.6</v>
      </c>
      <c r="BO110">
        <v>10</v>
      </c>
      <c r="BP110">
        <v>-3.9999999999999994E-2</v>
      </c>
      <c r="BQ110">
        <v>2.0000000000000004</v>
      </c>
      <c r="BR110">
        <v>32</v>
      </c>
      <c r="BS110">
        <v>29.5</v>
      </c>
      <c r="BT110">
        <v>30</v>
      </c>
      <c r="BU110">
        <v>-1.7840273527344564E-2</v>
      </c>
      <c r="BV110">
        <v>28</v>
      </c>
      <c r="BW110">
        <v>-4.8950174943852695E-3</v>
      </c>
      <c r="BX110">
        <v>31</v>
      </c>
      <c r="BY110">
        <v>9.1280000000000037</v>
      </c>
      <c r="BZ110">
        <v>29</v>
      </c>
      <c r="CA110">
        <v>-0.72</v>
      </c>
      <c r="CB110">
        <v>-3.4</v>
      </c>
      <c r="CC110">
        <v>-6.0399999999999991</v>
      </c>
      <c r="CD110">
        <v>1.3199999999999998</v>
      </c>
      <c r="CE110">
        <v>-40.159999999999989</v>
      </c>
      <c r="CF110">
        <v>-38.760000000000005</v>
      </c>
      <c r="CG110">
        <v>-5.9599999999999991</v>
      </c>
      <c r="CH110">
        <v>-1.3199999999999998</v>
      </c>
      <c r="CI110">
        <v>5.8800000000000008</v>
      </c>
      <c r="CJ110">
        <v>22</v>
      </c>
      <c r="CK110">
        <v>-0.76880000000000071</v>
      </c>
      <c r="CL110">
        <v>-0.80512000000000095</v>
      </c>
      <c r="CM110">
        <v>-32.800000000000004</v>
      </c>
      <c r="CN110">
        <v>0.76880000000000059</v>
      </c>
      <c r="CO110">
        <v>-1.0218</v>
      </c>
      <c r="CP110">
        <v>-2.0120000000000022</v>
      </c>
      <c r="CQ110">
        <v>-23.759999999999998</v>
      </c>
      <c r="CR110">
        <v>-1.3567999999999989</v>
      </c>
      <c r="CS110">
        <v>-3.1999999999999975</v>
      </c>
      <c r="CT110">
        <v>-3.9999999999999991</v>
      </c>
      <c r="CU110">
        <v>0.91999999999999982</v>
      </c>
      <c r="CV110">
        <v>-1.0698750000000001</v>
      </c>
      <c r="CW110">
        <v>-3.025725</v>
      </c>
      <c r="CX110" t="s">
        <v>265</v>
      </c>
      <c r="CY110">
        <v>29</v>
      </c>
      <c r="CZ110">
        <v>1.6095999999999999</v>
      </c>
      <c r="DA110">
        <v>12</v>
      </c>
      <c r="DB110">
        <v>11.5</v>
      </c>
      <c r="DC110">
        <v>15</v>
      </c>
      <c r="DD110">
        <v>3.6791999999999989</v>
      </c>
      <c r="DE110">
        <v>8</v>
      </c>
      <c r="DF110">
        <v>-1.8800000000000012</v>
      </c>
      <c r="DG110">
        <v>1.8800000000000001</v>
      </c>
      <c r="DH110">
        <v>14</v>
      </c>
      <c r="DI110">
        <v>15</v>
      </c>
      <c r="DJ110">
        <v>14</v>
      </c>
      <c r="DK110">
        <v>-0.46399999999999936</v>
      </c>
      <c r="DL110">
        <v>16</v>
      </c>
      <c r="DM110">
        <v>-8.879999999999999</v>
      </c>
      <c r="DN110">
        <v>0.24000000000000007</v>
      </c>
      <c r="DO110">
        <v>25</v>
      </c>
      <c r="DP110">
        <v>20</v>
      </c>
      <c r="DQ110">
        <v>19</v>
      </c>
      <c r="DR110">
        <v>-6.21</v>
      </c>
      <c r="DS110">
        <v>21</v>
      </c>
      <c r="DT110">
        <v>-16.800000000000004</v>
      </c>
      <c r="DU110">
        <v>-2.35</v>
      </c>
      <c r="DV110">
        <v>28</v>
      </c>
      <c r="DW110">
        <v>27</v>
      </c>
      <c r="DX110">
        <v>28</v>
      </c>
      <c r="DY110">
        <v>8.6150000000000002</v>
      </c>
      <c r="DZ110">
        <v>26</v>
      </c>
      <c r="EA110">
        <v>40.200000000000003</v>
      </c>
      <c r="EB110">
        <v>3.25</v>
      </c>
      <c r="EC110">
        <v>20</v>
      </c>
      <c r="ED110">
        <v>19.5</v>
      </c>
      <c r="EE110">
        <v>20</v>
      </c>
      <c r="EF110">
        <v>1.03</v>
      </c>
      <c r="EG110">
        <v>19</v>
      </c>
      <c r="EH110">
        <v>2.25</v>
      </c>
      <c r="EI110">
        <v>2.35</v>
      </c>
      <c r="EJ110">
        <v>21</v>
      </c>
      <c r="EK110">
        <v>21.5</v>
      </c>
      <c r="EL110">
        <v>20</v>
      </c>
      <c r="EM110">
        <v>2.2999999999999998</v>
      </c>
      <c r="EN110">
        <v>23</v>
      </c>
      <c r="EO110">
        <v>3.400000000000003</v>
      </c>
      <c r="EP110">
        <v>2.0799999999999996</v>
      </c>
      <c r="EQ110">
        <v>15</v>
      </c>
      <c r="ER110">
        <v>15</v>
      </c>
      <c r="ES110">
        <v>12</v>
      </c>
      <c r="ET110">
        <v>6.7999999999999255E-2</v>
      </c>
      <c r="EU110">
        <v>18</v>
      </c>
      <c r="EV110">
        <v>2.160000000000001</v>
      </c>
      <c r="EW110">
        <v>0.24000000000000005</v>
      </c>
      <c r="EX110">
        <v>15</v>
      </c>
      <c r="EY110">
        <v>13</v>
      </c>
      <c r="EZ110">
        <v>14</v>
      </c>
      <c r="FA110">
        <v>-1.2400000000000002</v>
      </c>
      <c r="FB110">
        <v>12</v>
      </c>
      <c r="FC110">
        <v>7.9999999999999988E-2</v>
      </c>
      <c r="FD110">
        <v>-1.6800000000000002</v>
      </c>
      <c r="FE110">
        <v>32</v>
      </c>
      <c r="FF110">
        <v>29.25</v>
      </c>
      <c r="FG110">
        <v>28</v>
      </c>
      <c r="FH110">
        <v>-1.4219725411577438E-2</v>
      </c>
      <c r="FI110">
        <v>29</v>
      </c>
      <c r="FJ110">
        <v>-2.2127489369001135E-3</v>
      </c>
      <c r="FK110">
        <v>29</v>
      </c>
      <c r="FL110">
        <v>8.1480000000000015</v>
      </c>
      <c r="FM110">
        <v>31</v>
      </c>
      <c r="FN110">
        <v>2.96</v>
      </c>
      <c r="FO110">
        <v>7.88</v>
      </c>
      <c r="FP110">
        <v>1.4</v>
      </c>
      <c r="FQ110">
        <v>-0.4</v>
      </c>
      <c r="FR110">
        <v>8.5599999999999987</v>
      </c>
      <c r="FS110">
        <v>0.48000000000000009</v>
      </c>
      <c r="FT110">
        <v>-0.51999999999999991</v>
      </c>
      <c r="FU110">
        <v>24.239999999999988</v>
      </c>
      <c r="FV110">
        <v>43.12</v>
      </c>
      <c r="FW110">
        <v>-10.040000000000003</v>
      </c>
      <c r="FX110">
        <v>-8.5599999999999987</v>
      </c>
      <c r="FY110">
        <v>-0.28000000000000025</v>
      </c>
      <c r="FZ110">
        <v>20</v>
      </c>
      <c r="GA110">
        <v>-1.6055999999999997</v>
      </c>
      <c r="GB110">
        <v>-0.58507999999999982</v>
      </c>
      <c r="GC110">
        <v>53.16</v>
      </c>
      <c r="GD110">
        <v>1.6055999999999995</v>
      </c>
      <c r="GE110">
        <v>0.88597499999999973</v>
      </c>
      <c r="GF110">
        <v>3.4350000000000005</v>
      </c>
      <c r="GG110">
        <v>25.65</v>
      </c>
      <c r="GH110">
        <v>3.2151999999999994</v>
      </c>
      <c r="GI110">
        <v>-10.76</v>
      </c>
      <c r="GJ110">
        <v>3.49</v>
      </c>
      <c r="GK110">
        <v>2.12</v>
      </c>
    </row>
    <row r="111" spans="1:193" x14ac:dyDescent="0.2">
      <c r="A111" s="39">
        <v>43758</v>
      </c>
      <c r="B111" s="22" t="s">
        <v>250</v>
      </c>
      <c r="C111" s="41" t="s">
        <v>296</v>
      </c>
      <c r="D111" s="22" t="s">
        <v>285</v>
      </c>
      <c r="E111">
        <v>14</v>
      </c>
      <c r="F111">
        <v>7.5</v>
      </c>
      <c r="G111">
        <v>4.8</v>
      </c>
      <c r="H111">
        <f>12.9</f>
        <v>12.9</v>
      </c>
      <c r="I111">
        <v>-3.5</v>
      </c>
      <c r="J111">
        <v>49.5</v>
      </c>
      <c r="K111" t="s">
        <v>109</v>
      </c>
      <c r="L111" s="1" t="s">
        <v>296</v>
      </c>
      <c r="M111">
        <v>13</v>
      </c>
      <c r="N111">
        <v>0.46840000000000048</v>
      </c>
      <c r="O111">
        <v>20</v>
      </c>
      <c r="P111">
        <v>21</v>
      </c>
      <c r="Q111">
        <v>16</v>
      </c>
      <c r="R111">
        <v>-0.62079999999999946</v>
      </c>
      <c r="S111">
        <v>26</v>
      </c>
      <c r="T111">
        <v>-6.080000000000001</v>
      </c>
      <c r="U111">
        <v>-0.15999999999999978</v>
      </c>
      <c r="V111">
        <v>31</v>
      </c>
      <c r="W111">
        <v>31</v>
      </c>
      <c r="X111">
        <v>32</v>
      </c>
      <c r="Y111">
        <v>-4.1400000000000006</v>
      </c>
      <c r="Z111">
        <v>30</v>
      </c>
      <c r="AA111">
        <v>-3.6</v>
      </c>
      <c r="AB111">
        <v>-2.2399999999999998</v>
      </c>
      <c r="AC111">
        <v>14</v>
      </c>
      <c r="AD111">
        <v>15.5</v>
      </c>
      <c r="AE111">
        <v>10</v>
      </c>
      <c r="AF111">
        <v>2.6239999999999983</v>
      </c>
      <c r="AG111">
        <v>21</v>
      </c>
      <c r="AH111">
        <v>3.9599999999999982</v>
      </c>
      <c r="AI111">
        <v>0.76000000000000034</v>
      </c>
      <c r="AJ111">
        <v>13</v>
      </c>
      <c r="AK111">
        <v>13.5</v>
      </c>
      <c r="AL111">
        <v>5</v>
      </c>
      <c r="AM111">
        <v>-5.080000000000001</v>
      </c>
      <c r="AN111">
        <v>22</v>
      </c>
      <c r="AO111">
        <v>-15.280000000000001</v>
      </c>
      <c r="AP111">
        <v>-1.5999999999999999</v>
      </c>
      <c r="AQ111">
        <v>12</v>
      </c>
      <c r="AR111">
        <v>12.5</v>
      </c>
      <c r="AS111">
        <v>14</v>
      </c>
      <c r="AT111">
        <v>0.6960000000000004</v>
      </c>
      <c r="AU111">
        <v>11</v>
      </c>
      <c r="AV111">
        <v>-1.2000000000000004</v>
      </c>
      <c r="AW111">
        <v>-1.1599999999999997</v>
      </c>
      <c r="AX111">
        <v>22</v>
      </c>
      <c r="AY111">
        <v>21</v>
      </c>
      <c r="AZ111">
        <v>17</v>
      </c>
      <c r="BA111">
        <v>1.6880000000000002</v>
      </c>
      <c r="BB111">
        <v>25</v>
      </c>
      <c r="BC111">
        <v>11.280000000000001</v>
      </c>
      <c r="BD111">
        <v>0.96000000000000019</v>
      </c>
      <c r="BE111">
        <v>19</v>
      </c>
      <c r="BF111">
        <v>19</v>
      </c>
      <c r="BG111">
        <v>18</v>
      </c>
      <c r="BH111">
        <v>2.8679999999999999</v>
      </c>
      <c r="BI111">
        <v>10.56</v>
      </c>
      <c r="BJ111">
        <v>2.56</v>
      </c>
      <c r="BK111">
        <v>28</v>
      </c>
      <c r="BL111">
        <v>27.5</v>
      </c>
      <c r="BM111">
        <v>29</v>
      </c>
      <c r="BN111">
        <v>-1.9599999999999995</v>
      </c>
      <c r="BO111">
        <v>26</v>
      </c>
      <c r="BP111">
        <v>-0.6399999999999999</v>
      </c>
      <c r="BQ111">
        <v>1.2000000000000004</v>
      </c>
      <c r="BR111">
        <v>2</v>
      </c>
      <c r="BS111">
        <v>7.5</v>
      </c>
      <c r="BT111">
        <v>3</v>
      </c>
      <c r="BU111">
        <v>5.1796518530391002E-2</v>
      </c>
      <c r="BV111">
        <v>16</v>
      </c>
      <c r="BW111">
        <v>-1.8916761646132828E-2</v>
      </c>
      <c r="BX111">
        <v>10</v>
      </c>
      <c r="BY111">
        <v>-12.756000000000004</v>
      </c>
      <c r="BZ111">
        <v>1</v>
      </c>
      <c r="CA111">
        <v>2.16</v>
      </c>
      <c r="CB111">
        <v>-2.5599999999999996</v>
      </c>
      <c r="CC111">
        <v>-1.5599999999999998</v>
      </c>
      <c r="CD111">
        <v>0.76</v>
      </c>
      <c r="CE111">
        <v>-13.480000000000008</v>
      </c>
      <c r="CF111">
        <v>-14.640000000000004</v>
      </c>
      <c r="CG111">
        <v>-8.76</v>
      </c>
      <c r="CH111">
        <v>4.5200000000000005</v>
      </c>
      <c r="CI111">
        <v>5.4</v>
      </c>
      <c r="CJ111">
        <v>6</v>
      </c>
      <c r="CK111">
        <v>5.2292000000000005</v>
      </c>
      <c r="CL111">
        <v>2.6956799999999994</v>
      </c>
      <c r="CM111">
        <v>-5.8800000000000043</v>
      </c>
      <c r="CN111">
        <v>-5.2292000000000005</v>
      </c>
      <c r="CO111">
        <v>-0.64305000000000012</v>
      </c>
      <c r="CP111">
        <v>-1.7600000000000022</v>
      </c>
      <c r="CQ111">
        <v>-12.520000000000005</v>
      </c>
      <c r="CR111">
        <v>-4.7607999999999997</v>
      </c>
      <c r="CS111">
        <v>-9.6800000000000015</v>
      </c>
      <c r="CT111">
        <v>0.56000000000000094</v>
      </c>
      <c r="CU111">
        <v>-2.3999999999999995</v>
      </c>
      <c r="CV111">
        <v>1.0465999999999998</v>
      </c>
      <c r="CW111">
        <v>0.61727500000000002</v>
      </c>
      <c r="CX111" t="s">
        <v>285</v>
      </c>
      <c r="CY111">
        <v>1</v>
      </c>
      <c r="CZ111">
        <v>2.3944000000000001</v>
      </c>
      <c r="DA111">
        <v>16</v>
      </c>
      <c r="DB111">
        <v>16.5</v>
      </c>
      <c r="DC111">
        <v>12</v>
      </c>
      <c r="DD111">
        <v>1.959999999999998</v>
      </c>
      <c r="DE111">
        <v>21</v>
      </c>
      <c r="DF111">
        <v>26.399999999999995</v>
      </c>
      <c r="DG111">
        <v>-1.2399999999999998</v>
      </c>
      <c r="DH111">
        <v>11</v>
      </c>
      <c r="DI111">
        <v>14</v>
      </c>
      <c r="DJ111">
        <v>23</v>
      </c>
      <c r="DK111">
        <v>-2.1000000000000005</v>
      </c>
      <c r="DL111">
        <v>5</v>
      </c>
      <c r="DM111">
        <v>-9.9600000000000009</v>
      </c>
      <c r="DN111">
        <v>-1.1200000000000001</v>
      </c>
      <c r="DO111">
        <v>8</v>
      </c>
      <c r="DP111">
        <v>7</v>
      </c>
      <c r="DQ111">
        <v>7</v>
      </c>
      <c r="DR111">
        <v>2.9110000000000005</v>
      </c>
      <c r="DS111">
        <v>7</v>
      </c>
      <c r="DT111">
        <v>13.15</v>
      </c>
      <c r="DU111">
        <v>-1.9999999999999928E-2</v>
      </c>
      <c r="DV111">
        <v>1</v>
      </c>
      <c r="DW111">
        <v>1.5</v>
      </c>
      <c r="DX111">
        <v>2</v>
      </c>
      <c r="DY111">
        <v>-2.3319999999999999</v>
      </c>
      <c r="DZ111">
        <v>1</v>
      </c>
      <c r="EA111">
        <v>-23.82</v>
      </c>
      <c r="EB111">
        <v>-1.21</v>
      </c>
      <c r="EC111">
        <v>4</v>
      </c>
      <c r="ED111">
        <v>5.5</v>
      </c>
      <c r="EE111">
        <v>4</v>
      </c>
      <c r="EF111">
        <v>-1.7770000000000004</v>
      </c>
      <c r="EG111">
        <v>7</v>
      </c>
      <c r="EH111">
        <v>-5.17</v>
      </c>
      <c r="EI111">
        <v>-1.9100000000000001</v>
      </c>
      <c r="EJ111">
        <v>1</v>
      </c>
      <c r="EK111">
        <v>1.5</v>
      </c>
      <c r="EL111">
        <v>2</v>
      </c>
      <c r="EM111">
        <v>3.524</v>
      </c>
      <c r="EN111">
        <v>1</v>
      </c>
      <c r="EO111">
        <v>12.84</v>
      </c>
      <c r="EP111">
        <v>-0.11999999999999958</v>
      </c>
      <c r="EQ111">
        <v>5</v>
      </c>
      <c r="ER111">
        <v>6</v>
      </c>
      <c r="ES111">
        <v>4</v>
      </c>
      <c r="ET111">
        <v>8.5509999999999984</v>
      </c>
      <c r="EU111">
        <v>8</v>
      </c>
      <c r="EV111">
        <v>22.4</v>
      </c>
      <c r="EW111">
        <v>0.85999999999999976</v>
      </c>
      <c r="EX111">
        <v>19</v>
      </c>
      <c r="EY111">
        <v>20.5</v>
      </c>
      <c r="EZ111">
        <v>19</v>
      </c>
      <c r="FA111">
        <v>2.2000000000000002</v>
      </c>
      <c r="FB111">
        <v>22</v>
      </c>
      <c r="FC111">
        <v>0.2</v>
      </c>
      <c r="FD111">
        <v>1.1200000000000003</v>
      </c>
      <c r="FE111">
        <v>26</v>
      </c>
      <c r="FF111">
        <v>22</v>
      </c>
      <c r="FG111">
        <v>5</v>
      </c>
      <c r="FH111">
        <v>2.4658695700955245E-3</v>
      </c>
      <c r="FI111">
        <v>31</v>
      </c>
      <c r="FJ111">
        <v>-3.1283677961833414E-3</v>
      </c>
      <c r="FK111">
        <v>20</v>
      </c>
      <c r="FL111">
        <v>10.659999999999998</v>
      </c>
      <c r="FM111">
        <v>32</v>
      </c>
      <c r="FN111">
        <v>-4.84</v>
      </c>
      <c r="FO111">
        <v>-3.6399999999999992</v>
      </c>
      <c r="FP111">
        <v>1.44</v>
      </c>
      <c r="FQ111">
        <v>-7.9999999999999891E-2</v>
      </c>
      <c r="FR111">
        <v>-3.4000000000000012</v>
      </c>
      <c r="FS111">
        <v>4</v>
      </c>
      <c r="FT111">
        <v>0.47999999999999987</v>
      </c>
      <c r="FU111">
        <v>19.919999999999995</v>
      </c>
      <c r="FV111">
        <v>3.7600000000000025</v>
      </c>
      <c r="FW111">
        <v>16.04</v>
      </c>
      <c r="FX111">
        <v>-1.1199999999999999</v>
      </c>
      <c r="FY111">
        <v>1.2400000000000007</v>
      </c>
      <c r="FZ111">
        <v>9</v>
      </c>
      <c r="GA111">
        <v>2.5344000000000024</v>
      </c>
      <c r="GB111">
        <v>2.0194800000000011</v>
      </c>
      <c r="GC111">
        <v>-12.279999999999998</v>
      </c>
      <c r="GD111">
        <v>-2.5344000000000024</v>
      </c>
      <c r="GE111">
        <v>1.4759249999999997</v>
      </c>
      <c r="GF111">
        <v>-1.1979999999999997</v>
      </c>
      <c r="GG111">
        <v>-15.84</v>
      </c>
      <c r="GH111">
        <v>-0.14000000000000257</v>
      </c>
      <c r="GI111">
        <v>16.439999999999994</v>
      </c>
      <c r="GJ111">
        <v>-2.2800000000000002</v>
      </c>
      <c r="GK111">
        <v>-2.36</v>
      </c>
    </row>
    <row r="112" spans="1:193" x14ac:dyDescent="0.2">
      <c r="A112" s="39">
        <v>43758</v>
      </c>
      <c r="B112" s="22" t="s">
        <v>250</v>
      </c>
      <c r="C112" s="41" t="s">
        <v>298</v>
      </c>
      <c r="D112" s="22" t="s">
        <v>302</v>
      </c>
      <c r="E112">
        <v>6.6</v>
      </c>
      <c r="F112">
        <v>2</v>
      </c>
      <c r="G112">
        <v>7.2</v>
      </c>
      <c r="H112">
        <v>1.1000000000000001</v>
      </c>
      <c r="I112">
        <v>9.5</v>
      </c>
      <c r="J112">
        <v>43</v>
      </c>
      <c r="L112" s="1" t="s">
        <v>298</v>
      </c>
      <c r="M112">
        <v>31</v>
      </c>
      <c r="N112">
        <v>-6.5775999999999994</v>
      </c>
      <c r="O112">
        <v>19</v>
      </c>
      <c r="P112">
        <v>20.5</v>
      </c>
      <c r="Q112">
        <v>13</v>
      </c>
      <c r="R112">
        <v>0.78</v>
      </c>
      <c r="S112">
        <v>28</v>
      </c>
      <c r="T112">
        <v>2.8800000000000026</v>
      </c>
      <c r="U112">
        <v>2.1799999999999997</v>
      </c>
      <c r="V112">
        <v>24</v>
      </c>
      <c r="W112">
        <v>24</v>
      </c>
      <c r="X112">
        <v>27</v>
      </c>
      <c r="Y112">
        <v>-2.9920000000000004</v>
      </c>
      <c r="Z112">
        <v>21</v>
      </c>
      <c r="AA112">
        <v>-8.2799999999999994</v>
      </c>
      <c r="AB112">
        <v>-1.3599999999999999</v>
      </c>
      <c r="AC112">
        <v>31</v>
      </c>
      <c r="AD112">
        <v>31</v>
      </c>
      <c r="AE112">
        <v>30</v>
      </c>
      <c r="AF112">
        <v>-6.1360000000000001</v>
      </c>
      <c r="AG112">
        <v>32</v>
      </c>
      <c r="AH112">
        <v>-25.8</v>
      </c>
      <c r="AI112">
        <v>-2.2799999999999998</v>
      </c>
      <c r="AJ112">
        <v>21</v>
      </c>
      <c r="AK112">
        <v>20.5</v>
      </c>
      <c r="AL112">
        <v>21</v>
      </c>
      <c r="AM112">
        <v>-1.324000000000001</v>
      </c>
      <c r="AN112">
        <v>20</v>
      </c>
      <c r="AO112">
        <v>0.36000000000000087</v>
      </c>
      <c r="AP112">
        <v>-0.47999999999999987</v>
      </c>
      <c r="AQ112">
        <v>6</v>
      </c>
      <c r="AR112">
        <v>6</v>
      </c>
      <c r="AS112">
        <v>7</v>
      </c>
      <c r="AT112">
        <v>0.50799999999999945</v>
      </c>
      <c r="AU112">
        <v>5</v>
      </c>
      <c r="AV112">
        <v>12.2</v>
      </c>
      <c r="AW112">
        <v>1.1599999999999997</v>
      </c>
      <c r="AX112">
        <v>24</v>
      </c>
      <c r="AY112">
        <v>25</v>
      </c>
      <c r="AZ112">
        <v>24</v>
      </c>
      <c r="BA112">
        <v>-4.3999999999999986</v>
      </c>
      <c r="BB112">
        <v>26</v>
      </c>
      <c r="BC112">
        <v>-15.6</v>
      </c>
      <c r="BD112">
        <v>-1.9599999999999997</v>
      </c>
      <c r="BE112">
        <v>14</v>
      </c>
      <c r="BF112">
        <v>13.5</v>
      </c>
      <c r="BG112">
        <v>13</v>
      </c>
      <c r="BH112">
        <v>-5.0519999999999996</v>
      </c>
      <c r="BI112">
        <v>-29.4</v>
      </c>
      <c r="BJ112">
        <v>-3.2</v>
      </c>
      <c r="BK112">
        <v>14</v>
      </c>
      <c r="BL112">
        <v>13.5</v>
      </c>
      <c r="BM112">
        <v>19</v>
      </c>
      <c r="BN112">
        <v>-2.7600000000000002</v>
      </c>
      <c r="BO112">
        <v>8</v>
      </c>
      <c r="BP112">
        <v>-0.91999999999999993</v>
      </c>
      <c r="BQ112">
        <v>-1.7600000000000002</v>
      </c>
      <c r="BR112">
        <v>8</v>
      </c>
      <c r="BS112">
        <v>12</v>
      </c>
      <c r="BT112">
        <v>2</v>
      </c>
      <c r="BU112">
        <v>3.799271817806095E-2</v>
      </c>
      <c r="BV112">
        <v>17</v>
      </c>
      <c r="BW112">
        <v>3.476950796873432E-2</v>
      </c>
      <c r="BX112">
        <v>12</v>
      </c>
      <c r="BY112">
        <v>4.5799999999999956</v>
      </c>
      <c r="BZ112">
        <v>17</v>
      </c>
      <c r="CA112">
        <v>3.7599999999999993</v>
      </c>
      <c r="CB112">
        <v>-6.9599999999999991</v>
      </c>
      <c r="CC112">
        <v>-8.24</v>
      </c>
      <c r="CD112">
        <v>0.84000000000000019</v>
      </c>
      <c r="CE112">
        <v>-82.28</v>
      </c>
      <c r="CF112">
        <v>-51.240000000000009</v>
      </c>
      <c r="CG112">
        <v>-12.320000000000002</v>
      </c>
      <c r="CH112">
        <v>-6.68</v>
      </c>
      <c r="CI112">
        <v>-12.040000000000001</v>
      </c>
      <c r="CJ112">
        <v>25</v>
      </c>
      <c r="CK112">
        <v>-4.3655999999999988</v>
      </c>
      <c r="CL112">
        <v>-2.6103200000000002</v>
      </c>
      <c r="CM112">
        <v>-38.920000000000009</v>
      </c>
      <c r="CN112">
        <v>4.3655999999999988</v>
      </c>
      <c r="CO112">
        <v>-2.9442000000000004</v>
      </c>
      <c r="CP112">
        <v>-6.9520000000000017</v>
      </c>
      <c r="CQ112">
        <v>-13.240000000000002</v>
      </c>
      <c r="CR112">
        <v>-2.2120000000000006</v>
      </c>
      <c r="CS112">
        <v>-5.3999999999999968</v>
      </c>
      <c r="CT112">
        <v>-4.8000000000000007</v>
      </c>
      <c r="CU112">
        <v>0.81999999999999984</v>
      </c>
      <c r="CV112">
        <v>-1.1980499999999998</v>
      </c>
      <c r="CW112">
        <v>0.44937500000000019</v>
      </c>
      <c r="CX112" t="s">
        <v>302</v>
      </c>
      <c r="CY112">
        <v>28</v>
      </c>
      <c r="CZ112">
        <v>-6.2148000000000003</v>
      </c>
      <c r="DA112">
        <v>20</v>
      </c>
      <c r="DB112">
        <v>21</v>
      </c>
      <c r="DC112">
        <v>26</v>
      </c>
      <c r="DD112">
        <v>-3.6480000000000006</v>
      </c>
      <c r="DE112">
        <v>16</v>
      </c>
      <c r="DF112">
        <v>-7.58</v>
      </c>
      <c r="DG112">
        <v>-1.1000000000000001</v>
      </c>
      <c r="DH112">
        <v>19</v>
      </c>
      <c r="DI112">
        <v>17</v>
      </c>
      <c r="DJ112">
        <v>15</v>
      </c>
      <c r="DK112">
        <v>-1.1609999999999994</v>
      </c>
      <c r="DL112">
        <v>19</v>
      </c>
      <c r="DM112">
        <v>-13.14</v>
      </c>
      <c r="DN112">
        <v>0.88000000000000012</v>
      </c>
      <c r="DO112">
        <v>31</v>
      </c>
      <c r="DP112">
        <v>29</v>
      </c>
      <c r="DQ112">
        <v>30</v>
      </c>
      <c r="DR112">
        <v>-1.0000000000000004</v>
      </c>
      <c r="DS112">
        <v>28</v>
      </c>
      <c r="DT112">
        <v>1.4000000000000015</v>
      </c>
      <c r="DU112">
        <v>0.2</v>
      </c>
      <c r="DV112">
        <v>24</v>
      </c>
      <c r="DW112">
        <v>25</v>
      </c>
      <c r="DX112">
        <v>26</v>
      </c>
      <c r="DY112">
        <v>-3.5120000000000005</v>
      </c>
      <c r="DZ112">
        <v>24</v>
      </c>
      <c r="EA112">
        <v>-13.12</v>
      </c>
      <c r="EB112">
        <v>1.1999999999999997</v>
      </c>
      <c r="EC112">
        <v>23</v>
      </c>
      <c r="ED112">
        <v>21</v>
      </c>
      <c r="EE112">
        <v>25</v>
      </c>
      <c r="EF112">
        <v>-2.8159999999999998</v>
      </c>
      <c r="EG112">
        <v>17</v>
      </c>
      <c r="EH112">
        <v>-12.88</v>
      </c>
      <c r="EI112">
        <v>0.72</v>
      </c>
      <c r="EJ112">
        <v>22</v>
      </c>
      <c r="EK112">
        <v>23</v>
      </c>
      <c r="EL112">
        <v>24</v>
      </c>
      <c r="EM112">
        <v>-0.14000000000000021</v>
      </c>
      <c r="EN112">
        <v>22</v>
      </c>
      <c r="EO112">
        <v>6.5999999999999988</v>
      </c>
      <c r="EP112">
        <v>1.1199999999999999</v>
      </c>
      <c r="EQ112">
        <v>20</v>
      </c>
      <c r="ER112">
        <v>20</v>
      </c>
      <c r="ES112">
        <v>18</v>
      </c>
      <c r="ET112">
        <v>-2.5720000000000001</v>
      </c>
      <c r="EU112">
        <v>22</v>
      </c>
      <c r="EV112">
        <v>-5.5600000000000005</v>
      </c>
      <c r="EW112">
        <v>-1.6400000000000001</v>
      </c>
      <c r="EX112">
        <v>24</v>
      </c>
      <c r="EY112">
        <v>23</v>
      </c>
      <c r="EZ112">
        <v>24</v>
      </c>
      <c r="FA112">
        <v>-1.8400000000000003</v>
      </c>
      <c r="FB112">
        <v>22</v>
      </c>
      <c r="FC112">
        <v>-0.67999999999999994</v>
      </c>
      <c r="FD112">
        <v>1.52</v>
      </c>
      <c r="FE112">
        <v>5</v>
      </c>
      <c r="FF112">
        <v>9.75</v>
      </c>
      <c r="FG112">
        <v>1</v>
      </c>
      <c r="FH112">
        <v>4.7672858207739491E-2</v>
      </c>
      <c r="FI112">
        <v>12</v>
      </c>
      <c r="FJ112">
        <v>4.1423482031929762E-2</v>
      </c>
      <c r="FK112">
        <v>23</v>
      </c>
      <c r="FL112">
        <v>-9.9640000000000004</v>
      </c>
      <c r="FM112">
        <v>3</v>
      </c>
      <c r="FN112">
        <v>9.52</v>
      </c>
      <c r="FO112">
        <v>-0.7600000000000009</v>
      </c>
      <c r="FP112">
        <v>-2.5199999999999996</v>
      </c>
      <c r="FQ112">
        <v>-1.2</v>
      </c>
      <c r="FR112">
        <v>-3.6</v>
      </c>
      <c r="FS112">
        <v>-8.24</v>
      </c>
      <c r="FT112">
        <v>2.8</v>
      </c>
      <c r="FU112">
        <v>-53</v>
      </c>
      <c r="FV112">
        <v>-42.000000000000007</v>
      </c>
      <c r="FW112">
        <v>-13.720000000000002</v>
      </c>
      <c r="FX112">
        <v>4.76</v>
      </c>
      <c r="FY112">
        <v>-2.04</v>
      </c>
      <c r="FZ112">
        <v>19</v>
      </c>
      <c r="GA112">
        <v>-1.4058000000000004</v>
      </c>
      <c r="GB112">
        <v>-0.81845999999999952</v>
      </c>
      <c r="GC112">
        <v>-28.280000000000005</v>
      </c>
      <c r="GD112">
        <v>1.4058000000000002</v>
      </c>
      <c r="GE112">
        <v>-2.845475</v>
      </c>
      <c r="GF112">
        <v>-7.3280000000000003</v>
      </c>
      <c r="GG112">
        <v>-24.599999999999998</v>
      </c>
      <c r="GH112">
        <v>-4.8090000000000002</v>
      </c>
      <c r="GI112">
        <v>-20.72</v>
      </c>
      <c r="GJ112">
        <v>0.47999999999999954</v>
      </c>
      <c r="GK112">
        <v>-0.21999999999999997</v>
      </c>
    </row>
    <row r="113" spans="1:193" x14ac:dyDescent="0.2">
      <c r="A113" s="39">
        <v>43758</v>
      </c>
      <c r="B113" s="22" t="s">
        <v>250</v>
      </c>
      <c r="C113" s="41" t="s">
        <v>294</v>
      </c>
      <c r="D113" s="22" t="s">
        <v>291</v>
      </c>
      <c r="E113">
        <v>5.8</v>
      </c>
      <c r="F113">
        <v>4.4000000000000004</v>
      </c>
      <c r="G113">
        <v>0</v>
      </c>
      <c r="H113">
        <f>15.9+5.8</f>
        <v>21.7</v>
      </c>
      <c r="I113">
        <v>3</v>
      </c>
      <c r="J113">
        <v>50</v>
      </c>
      <c r="L113" s="1" t="s">
        <v>294</v>
      </c>
      <c r="M113">
        <v>15</v>
      </c>
      <c r="N113">
        <v>-0.11040000000000064</v>
      </c>
      <c r="O113">
        <v>16</v>
      </c>
      <c r="P113">
        <v>16.5</v>
      </c>
      <c r="Q113">
        <v>18</v>
      </c>
      <c r="R113">
        <v>-3.5999999999999992</v>
      </c>
      <c r="S113">
        <v>15</v>
      </c>
      <c r="T113">
        <v>-10.44</v>
      </c>
      <c r="U113">
        <v>-1.1599999999999997</v>
      </c>
      <c r="V113">
        <v>9</v>
      </c>
      <c r="W113">
        <v>10.5</v>
      </c>
      <c r="X113">
        <v>16</v>
      </c>
      <c r="Y113">
        <v>0.14399999999999977</v>
      </c>
      <c r="Z113">
        <v>5</v>
      </c>
      <c r="AA113">
        <v>-1</v>
      </c>
      <c r="AB113">
        <v>-0.6</v>
      </c>
      <c r="AC113">
        <v>19</v>
      </c>
      <c r="AD113">
        <v>18.5</v>
      </c>
      <c r="AE113">
        <v>20</v>
      </c>
      <c r="AF113">
        <v>3.0439999999999996</v>
      </c>
      <c r="AG113">
        <v>17</v>
      </c>
      <c r="AH113">
        <v>-9.2400000000000038</v>
      </c>
      <c r="AI113">
        <v>1.8400000000000003</v>
      </c>
      <c r="AJ113">
        <v>30</v>
      </c>
      <c r="AK113">
        <v>30</v>
      </c>
      <c r="AL113">
        <v>29</v>
      </c>
      <c r="AM113">
        <v>-5.952</v>
      </c>
      <c r="AN113">
        <v>31</v>
      </c>
      <c r="AO113">
        <v>-22.68</v>
      </c>
      <c r="AP113">
        <v>-1.24</v>
      </c>
      <c r="AQ113">
        <v>23</v>
      </c>
      <c r="AR113">
        <v>23.5</v>
      </c>
      <c r="AS113">
        <v>24</v>
      </c>
      <c r="AT113">
        <v>-5.1079999999999997</v>
      </c>
      <c r="AU113">
        <v>23</v>
      </c>
      <c r="AV113">
        <v>-24.96</v>
      </c>
      <c r="AW113">
        <v>-0.91999999999999993</v>
      </c>
      <c r="AX113">
        <v>20</v>
      </c>
      <c r="AY113">
        <v>20</v>
      </c>
      <c r="AZ113">
        <v>19</v>
      </c>
      <c r="BA113">
        <v>2.4479999999999995</v>
      </c>
      <c r="BB113">
        <v>21</v>
      </c>
      <c r="BC113">
        <v>-6.7199999999999989</v>
      </c>
      <c r="BD113">
        <v>2.36</v>
      </c>
      <c r="BE113">
        <v>1</v>
      </c>
      <c r="BF113">
        <v>1</v>
      </c>
      <c r="BG113">
        <v>1</v>
      </c>
      <c r="BH113">
        <v>4.9200000000000008</v>
      </c>
      <c r="BI113">
        <v>21.759999999999998</v>
      </c>
      <c r="BJ113">
        <v>4.4399999999999995</v>
      </c>
      <c r="BK113">
        <v>23</v>
      </c>
      <c r="BL113">
        <v>22.5</v>
      </c>
      <c r="BM113">
        <v>24</v>
      </c>
      <c r="BN113">
        <v>-1.24</v>
      </c>
      <c r="BO113">
        <v>21</v>
      </c>
      <c r="BP113">
        <v>-0.72000000000000008</v>
      </c>
      <c r="BQ113">
        <v>1.9999999999999993</v>
      </c>
      <c r="BR113">
        <v>6</v>
      </c>
      <c r="BS113">
        <v>10.25</v>
      </c>
      <c r="BT113">
        <v>16</v>
      </c>
      <c r="BU113">
        <v>2.9390537225020063E-2</v>
      </c>
      <c r="BV113">
        <v>4</v>
      </c>
      <c r="BW113">
        <v>1.439911842404186E-3</v>
      </c>
      <c r="BX113">
        <v>6</v>
      </c>
      <c r="BY113">
        <v>-2.4840000000000004</v>
      </c>
      <c r="BZ113">
        <v>15</v>
      </c>
      <c r="CA113">
        <v>1.52</v>
      </c>
      <c r="CB113">
        <v>-0.91999999999999882</v>
      </c>
      <c r="CC113">
        <v>-0.71999999999999953</v>
      </c>
      <c r="CD113">
        <v>1.6</v>
      </c>
      <c r="CE113">
        <v>-46.2</v>
      </c>
      <c r="CF113">
        <v>-41.36</v>
      </c>
      <c r="CG113">
        <v>-3.8</v>
      </c>
      <c r="CH113">
        <v>-2.64</v>
      </c>
      <c r="CI113">
        <v>1.6</v>
      </c>
      <c r="CJ113">
        <v>12</v>
      </c>
      <c r="CK113">
        <v>3.3455999999999988</v>
      </c>
      <c r="CL113">
        <v>1.0867199999999999</v>
      </c>
      <c r="CM113">
        <v>-37.56</v>
      </c>
      <c r="CN113">
        <v>-3.3455999999999988</v>
      </c>
      <c r="CO113">
        <v>-0.9877999999999999</v>
      </c>
      <c r="CP113">
        <v>-8.016</v>
      </c>
      <c r="CQ113">
        <v>-56.88</v>
      </c>
      <c r="CR113">
        <v>-3.4559999999999995</v>
      </c>
      <c r="CS113">
        <v>-11.44</v>
      </c>
      <c r="CT113">
        <v>4.12</v>
      </c>
      <c r="CU113">
        <v>-1.7599999999999998</v>
      </c>
      <c r="CV113">
        <v>0.94782499999999992</v>
      </c>
      <c r="CW113">
        <v>0.40920000000000012</v>
      </c>
      <c r="CX113" t="s">
        <v>291</v>
      </c>
      <c r="CY113">
        <v>19</v>
      </c>
      <c r="CZ113">
        <v>0.80439999999999967</v>
      </c>
      <c r="DA113">
        <v>6</v>
      </c>
      <c r="DB113">
        <v>8</v>
      </c>
      <c r="DC113">
        <v>4</v>
      </c>
      <c r="DD113">
        <v>4.6391999999999998</v>
      </c>
      <c r="DE113">
        <v>12</v>
      </c>
      <c r="DF113">
        <v>8.1999999999999993</v>
      </c>
      <c r="DG113">
        <v>-1</v>
      </c>
      <c r="DH113">
        <v>22</v>
      </c>
      <c r="DI113">
        <v>19</v>
      </c>
      <c r="DJ113">
        <v>24</v>
      </c>
      <c r="DK113">
        <v>-0.24799999999999986</v>
      </c>
      <c r="DL113">
        <v>14</v>
      </c>
      <c r="DM113">
        <v>-12.919999999999998</v>
      </c>
      <c r="DN113">
        <v>0.76</v>
      </c>
      <c r="DO113">
        <v>26</v>
      </c>
      <c r="DP113">
        <v>29.5</v>
      </c>
      <c r="DQ113">
        <v>30</v>
      </c>
      <c r="DR113">
        <v>-0.95999999999999974</v>
      </c>
      <c r="DS113">
        <v>29</v>
      </c>
      <c r="DT113">
        <v>5.0000000000000018</v>
      </c>
      <c r="DU113">
        <v>0.76</v>
      </c>
      <c r="DV113">
        <v>15</v>
      </c>
      <c r="DW113">
        <v>14</v>
      </c>
      <c r="DX113">
        <v>13</v>
      </c>
      <c r="DY113">
        <v>1.8399999999999999</v>
      </c>
      <c r="DZ113">
        <v>15</v>
      </c>
      <c r="EA113">
        <v>9.32</v>
      </c>
      <c r="EB113">
        <v>7.9999999999999891E-2</v>
      </c>
      <c r="EC113">
        <v>19</v>
      </c>
      <c r="ED113">
        <v>10.5</v>
      </c>
      <c r="EE113">
        <v>9</v>
      </c>
      <c r="EF113">
        <v>0.42399999999999982</v>
      </c>
      <c r="EG113">
        <v>12</v>
      </c>
      <c r="EH113">
        <v>3.9199999999999995</v>
      </c>
      <c r="EI113">
        <v>0.4</v>
      </c>
      <c r="EJ113">
        <v>8</v>
      </c>
      <c r="EK113">
        <v>8.5</v>
      </c>
      <c r="EL113">
        <v>10</v>
      </c>
      <c r="EM113">
        <v>-0.82000000000000028</v>
      </c>
      <c r="EN113">
        <v>7</v>
      </c>
      <c r="EO113">
        <v>7.8000000000000016</v>
      </c>
      <c r="EP113">
        <v>-0.28000000000000008</v>
      </c>
      <c r="EQ113">
        <v>27</v>
      </c>
      <c r="ER113">
        <v>26</v>
      </c>
      <c r="ES113">
        <v>22</v>
      </c>
      <c r="ET113">
        <v>2.9119999999999999</v>
      </c>
      <c r="EU113">
        <v>30</v>
      </c>
      <c r="EV113">
        <v>11.92</v>
      </c>
      <c r="EW113">
        <v>0.79999999999999982</v>
      </c>
      <c r="EX113">
        <v>7</v>
      </c>
      <c r="EY113">
        <v>7</v>
      </c>
      <c r="EZ113">
        <v>10</v>
      </c>
      <c r="FA113">
        <v>2.4799999999999995</v>
      </c>
      <c r="FB113">
        <v>4</v>
      </c>
      <c r="FC113">
        <v>0.6</v>
      </c>
      <c r="FD113">
        <v>-0.92000000000000026</v>
      </c>
      <c r="FE113">
        <v>15</v>
      </c>
      <c r="FF113">
        <v>15.75</v>
      </c>
      <c r="FG113">
        <v>7</v>
      </c>
      <c r="FH113">
        <v>-3.6060018961847871E-2</v>
      </c>
      <c r="FI113">
        <v>7</v>
      </c>
      <c r="FJ113">
        <v>-7.8998496766146849E-3</v>
      </c>
      <c r="FK113">
        <v>28</v>
      </c>
      <c r="FL113">
        <v>13.12</v>
      </c>
      <c r="FM113">
        <v>21</v>
      </c>
      <c r="FN113">
        <v>-5.32</v>
      </c>
      <c r="FO113">
        <v>1.3600000000000008</v>
      </c>
      <c r="FP113">
        <v>-1.0399999999999998</v>
      </c>
      <c r="FQ113">
        <v>0.88000000000000023</v>
      </c>
      <c r="FR113">
        <v>1.1599999999999995</v>
      </c>
      <c r="FS113">
        <v>4.8</v>
      </c>
      <c r="FT113">
        <v>-1.1199999999999999</v>
      </c>
      <c r="FU113">
        <v>18.719999999999992</v>
      </c>
      <c r="FV113">
        <v>25.76</v>
      </c>
      <c r="FW113">
        <v>-5.8</v>
      </c>
      <c r="FX113">
        <v>0.48000000000000043</v>
      </c>
      <c r="FY113">
        <v>-1.7200000000000002</v>
      </c>
      <c r="FZ113">
        <v>24</v>
      </c>
      <c r="GA113">
        <v>-3.5868000000000002</v>
      </c>
      <c r="GB113">
        <v>-1.1915199999999999</v>
      </c>
      <c r="GC113">
        <v>31.560000000000002</v>
      </c>
      <c r="GD113">
        <v>3.5867999999999998</v>
      </c>
      <c r="GE113">
        <v>1.4864499999999996</v>
      </c>
      <c r="GF113">
        <v>1.3039999999999998</v>
      </c>
      <c r="GG113">
        <v>18.240000000000002</v>
      </c>
      <c r="GH113">
        <v>4.3911999999999995</v>
      </c>
      <c r="GI113">
        <v>-4.7199999999999989</v>
      </c>
      <c r="GJ113">
        <v>2.0399999999999996</v>
      </c>
      <c r="GK113">
        <v>-0.24</v>
      </c>
    </row>
    <row r="114" spans="1:193" x14ac:dyDescent="0.2">
      <c r="A114" s="39">
        <v>43758</v>
      </c>
      <c r="B114" s="22" t="s">
        <v>250</v>
      </c>
      <c r="C114" s="40" t="s">
        <v>256</v>
      </c>
      <c r="D114" s="22" t="s">
        <v>306</v>
      </c>
      <c r="E114">
        <v>9.9</v>
      </c>
      <c r="F114">
        <v>5</v>
      </c>
      <c r="G114">
        <v>0</v>
      </c>
      <c r="H114">
        <f>6.8+2.4</f>
        <v>9.1999999999999993</v>
      </c>
      <c r="I114">
        <v>-10</v>
      </c>
      <c r="J114">
        <v>39</v>
      </c>
      <c r="K114" t="s">
        <v>110</v>
      </c>
      <c r="L114" s="1" t="s">
        <v>256</v>
      </c>
      <c r="M114">
        <v>30</v>
      </c>
      <c r="N114">
        <v>-5.4743999999999993</v>
      </c>
      <c r="O114">
        <v>26</v>
      </c>
      <c r="P114">
        <v>24.5</v>
      </c>
      <c r="Q114">
        <v>25</v>
      </c>
      <c r="R114">
        <v>-2.8319999999999999</v>
      </c>
      <c r="S114">
        <v>24</v>
      </c>
      <c r="T114">
        <v>7.2799999999999994</v>
      </c>
      <c r="U114">
        <v>-1.8799999999999997</v>
      </c>
      <c r="V114">
        <v>5</v>
      </c>
      <c r="W114">
        <v>8</v>
      </c>
      <c r="X114">
        <v>9</v>
      </c>
      <c r="Y114">
        <v>6.7864000000000004</v>
      </c>
      <c r="Z114">
        <v>7</v>
      </c>
      <c r="AA114">
        <v>37.4</v>
      </c>
      <c r="AB114">
        <v>-0.24000000000000005</v>
      </c>
      <c r="AC114">
        <v>23</v>
      </c>
      <c r="AD114">
        <v>22</v>
      </c>
      <c r="AE114">
        <v>24</v>
      </c>
      <c r="AF114">
        <v>-1.7880000000000007</v>
      </c>
      <c r="AG114">
        <v>20</v>
      </c>
      <c r="AH114">
        <v>3.0799999999999983</v>
      </c>
      <c r="AI114">
        <v>-1.64</v>
      </c>
      <c r="AJ114">
        <v>27</v>
      </c>
      <c r="AK114">
        <v>27</v>
      </c>
      <c r="AL114">
        <v>25</v>
      </c>
      <c r="AM114">
        <v>-4.8640000000000008</v>
      </c>
      <c r="AN114">
        <v>29</v>
      </c>
      <c r="AO114">
        <v>-22.32</v>
      </c>
      <c r="AP114">
        <v>-2.56</v>
      </c>
      <c r="AQ114">
        <v>13</v>
      </c>
      <c r="AR114">
        <v>14.5</v>
      </c>
      <c r="AS114">
        <v>16</v>
      </c>
      <c r="AT114">
        <v>-2.4119999999999999</v>
      </c>
      <c r="AU114">
        <v>13</v>
      </c>
      <c r="AV114">
        <v>-10.4</v>
      </c>
      <c r="AW114">
        <v>-0.67999999999999994</v>
      </c>
      <c r="AX114">
        <v>19</v>
      </c>
      <c r="AY114">
        <v>19.5</v>
      </c>
      <c r="AZ114">
        <v>20</v>
      </c>
      <c r="BA114">
        <v>-3.9160000000000004</v>
      </c>
      <c r="BB114">
        <v>19</v>
      </c>
      <c r="BC114">
        <v>-5.1599999999999993</v>
      </c>
      <c r="BD114">
        <v>-3.9200000000000004</v>
      </c>
      <c r="BE114">
        <v>17</v>
      </c>
      <c r="BF114">
        <v>17.5</v>
      </c>
      <c r="BG114">
        <v>16</v>
      </c>
      <c r="BH114">
        <v>1.8599999999999999</v>
      </c>
      <c r="BI114">
        <v>10.760000000000002</v>
      </c>
      <c r="BJ114">
        <v>1.4</v>
      </c>
      <c r="BK114">
        <v>17</v>
      </c>
      <c r="BL114">
        <v>16</v>
      </c>
      <c r="BM114">
        <v>15</v>
      </c>
      <c r="BN114">
        <v>8.0000000000000071E-2</v>
      </c>
      <c r="BO114">
        <v>17</v>
      </c>
      <c r="BP114">
        <v>0.8</v>
      </c>
      <c r="BQ114">
        <v>3.3200000000000003</v>
      </c>
      <c r="BR114">
        <v>21</v>
      </c>
      <c r="BS114">
        <v>17.75</v>
      </c>
      <c r="BT114">
        <v>19</v>
      </c>
      <c r="BU114">
        <v>-6.0274558058237095E-2</v>
      </c>
      <c r="BV114">
        <v>3</v>
      </c>
      <c r="BW114">
        <v>-1.3711419217016785E-2</v>
      </c>
      <c r="BX114">
        <v>29</v>
      </c>
      <c r="BY114">
        <v>2.5040000000000022</v>
      </c>
      <c r="BZ114">
        <v>20</v>
      </c>
      <c r="CA114">
        <v>-1.7600000000000002</v>
      </c>
      <c r="CB114">
        <v>2.3599999999999994</v>
      </c>
      <c r="CC114">
        <v>1.4799999999999998</v>
      </c>
      <c r="CD114">
        <v>-0.83999999999999986</v>
      </c>
      <c r="CE114">
        <v>23.8</v>
      </c>
      <c r="CF114">
        <v>-20.76</v>
      </c>
      <c r="CG114">
        <v>62.4</v>
      </c>
      <c r="CH114">
        <v>1.9600000000000002</v>
      </c>
      <c r="CI114">
        <v>-19.8</v>
      </c>
      <c r="CJ114">
        <v>29</v>
      </c>
      <c r="CK114">
        <v>-9.428799999999999</v>
      </c>
      <c r="CL114">
        <v>-4.5128800000000009</v>
      </c>
      <c r="CM114">
        <v>-83.16</v>
      </c>
      <c r="CN114">
        <v>9.428799999999999</v>
      </c>
      <c r="CO114">
        <v>-1.0805</v>
      </c>
      <c r="CP114">
        <v>-9.0640000000000001</v>
      </c>
      <c r="CQ114">
        <v>-29.64</v>
      </c>
      <c r="CR114">
        <v>3.9544000000000006</v>
      </c>
      <c r="CS114">
        <v>44.68</v>
      </c>
      <c r="CT114">
        <v>-3.48</v>
      </c>
      <c r="CU114">
        <v>-2.1199999999999997</v>
      </c>
      <c r="CV114">
        <v>-1.1088499999999994</v>
      </c>
      <c r="CW114">
        <v>-3.8912999999999993</v>
      </c>
      <c r="CX114" t="s">
        <v>306</v>
      </c>
      <c r="CY114">
        <v>22</v>
      </c>
      <c r="CZ114">
        <v>3.2028000000000021</v>
      </c>
      <c r="DA114">
        <v>11</v>
      </c>
      <c r="DB114">
        <v>11</v>
      </c>
      <c r="DC114">
        <v>16</v>
      </c>
      <c r="DD114">
        <v>5.668000000000001</v>
      </c>
      <c r="DE114">
        <v>6</v>
      </c>
      <c r="DF114">
        <v>16.34</v>
      </c>
      <c r="DG114">
        <v>0.74</v>
      </c>
      <c r="DH114">
        <v>10</v>
      </c>
      <c r="DI114">
        <v>12.5</v>
      </c>
      <c r="DJ114">
        <v>16</v>
      </c>
      <c r="DK114">
        <v>-1.2810000000000001</v>
      </c>
      <c r="DL114">
        <v>9</v>
      </c>
      <c r="DM114">
        <v>4.0200000000000005</v>
      </c>
      <c r="DN114">
        <v>0.32000000000000006</v>
      </c>
      <c r="DO114">
        <v>13</v>
      </c>
      <c r="DP114">
        <v>12</v>
      </c>
      <c r="DQ114">
        <v>14</v>
      </c>
      <c r="DR114">
        <v>-2.3519999999999999</v>
      </c>
      <c r="DS114">
        <v>10</v>
      </c>
      <c r="DT114">
        <v>-12.14</v>
      </c>
      <c r="DU114">
        <v>-1.7</v>
      </c>
      <c r="DV114">
        <v>26</v>
      </c>
      <c r="DW114">
        <v>26.5</v>
      </c>
      <c r="DX114">
        <v>23</v>
      </c>
      <c r="DY114">
        <v>6.5390000000000015</v>
      </c>
      <c r="DZ114">
        <v>30</v>
      </c>
      <c r="EA114">
        <v>12.29</v>
      </c>
      <c r="EB114">
        <v>-0.1</v>
      </c>
      <c r="EC114">
        <v>32</v>
      </c>
      <c r="ED114">
        <v>15</v>
      </c>
      <c r="EE114">
        <v>15</v>
      </c>
      <c r="EF114">
        <v>-1.8760000000000001</v>
      </c>
      <c r="EG114">
        <v>15</v>
      </c>
      <c r="EH114">
        <v>-12.879999999999999</v>
      </c>
      <c r="EI114">
        <v>-0.75999999999999979</v>
      </c>
      <c r="EJ114">
        <v>7</v>
      </c>
      <c r="EK114">
        <v>7.5</v>
      </c>
      <c r="EL114">
        <v>7</v>
      </c>
      <c r="EM114">
        <v>-1.572000000000001</v>
      </c>
      <c r="EN114">
        <v>8</v>
      </c>
      <c r="EO114">
        <v>-17.16</v>
      </c>
      <c r="EP114">
        <v>-5.2799999999999994</v>
      </c>
      <c r="EQ114">
        <v>10</v>
      </c>
      <c r="ER114">
        <v>10.5</v>
      </c>
      <c r="ES114">
        <v>6</v>
      </c>
      <c r="ET114">
        <v>2.7680000000000016</v>
      </c>
      <c r="EU114">
        <v>15</v>
      </c>
      <c r="EV114">
        <v>7.4799999999999986</v>
      </c>
      <c r="EW114">
        <v>0.96000000000000019</v>
      </c>
      <c r="EX114">
        <v>12</v>
      </c>
      <c r="EY114">
        <v>12.5</v>
      </c>
      <c r="EZ114">
        <v>12</v>
      </c>
      <c r="FA114">
        <v>0.72000000000000031</v>
      </c>
      <c r="FB114">
        <v>13</v>
      </c>
      <c r="FC114">
        <v>-0.12000000000000002</v>
      </c>
      <c r="FD114">
        <v>2.0799999999999996</v>
      </c>
      <c r="FE114">
        <v>3</v>
      </c>
      <c r="FF114">
        <v>8</v>
      </c>
      <c r="FG114">
        <v>13</v>
      </c>
      <c r="FH114">
        <v>-4.5873865450392098E-2</v>
      </c>
      <c r="FI114">
        <v>2</v>
      </c>
      <c r="FJ114">
        <v>6.592115752241748E-3</v>
      </c>
      <c r="FK114">
        <v>9</v>
      </c>
      <c r="FL114">
        <v>14.492000000000001</v>
      </c>
      <c r="FM114">
        <v>8</v>
      </c>
      <c r="FN114">
        <v>-3.12</v>
      </c>
      <c r="FO114">
        <v>-1.0799999999999996</v>
      </c>
      <c r="FP114">
        <v>3.56</v>
      </c>
      <c r="FQ114">
        <v>4.0000000000000036E-2</v>
      </c>
      <c r="FR114">
        <v>3.1599999999999993</v>
      </c>
      <c r="FS114">
        <v>5.4799999999999995</v>
      </c>
      <c r="FT114">
        <v>0.28000000000000008</v>
      </c>
      <c r="FU114">
        <v>47.760000000000012</v>
      </c>
      <c r="FV114">
        <v>10.839999999999993</v>
      </c>
      <c r="FW114">
        <v>22.919999999999998</v>
      </c>
      <c r="FX114">
        <v>2.6</v>
      </c>
      <c r="FY114">
        <v>11.4</v>
      </c>
      <c r="FZ114">
        <v>17</v>
      </c>
      <c r="GA114">
        <v>-1.1841999999999988</v>
      </c>
      <c r="GB114">
        <v>-0.53713999999999951</v>
      </c>
      <c r="GC114">
        <v>-12.080000000000005</v>
      </c>
      <c r="GD114">
        <v>1.1841999999999984</v>
      </c>
      <c r="GE114">
        <v>1.6736000000000006</v>
      </c>
      <c r="GF114">
        <v>2.3110000000000008</v>
      </c>
      <c r="GG114">
        <v>-12.73</v>
      </c>
      <c r="GH114">
        <v>4.3870000000000005</v>
      </c>
      <c r="GI114">
        <v>20.36</v>
      </c>
      <c r="GJ114">
        <v>-1.5999999999999994</v>
      </c>
      <c r="GK114">
        <v>1.06</v>
      </c>
    </row>
    <row r="115" spans="1:193" x14ac:dyDescent="0.2">
      <c r="A115" s="39">
        <v>43758</v>
      </c>
      <c r="B115" s="22" t="s">
        <v>250</v>
      </c>
      <c r="C115" s="41" t="s">
        <v>308</v>
      </c>
      <c r="D115" s="22" t="s">
        <v>305</v>
      </c>
      <c r="E115">
        <v>16.8</v>
      </c>
      <c r="F115">
        <v>8.3000000000000007</v>
      </c>
      <c r="G115" s="14">
        <v>9</v>
      </c>
      <c r="H115">
        <v>5</v>
      </c>
      <c r="I115">
        <v>-3</v>
      </c>
      <c r="J115">
        <v>49</v>
      </c>
      <c r="L115" s="1" t="s">
        <v>308</v>
      </c>
      <c r="M115">
        <v>1</v>
      </c>
      <c r="N115">
        <v>9.1784000000000017</v>
      </c>
      <c r="O115">
        <v>3</v>
      </c>
      <c r="P115">
        <v>6</v>
      </c>
      <c r="Q115">
        <v>10</v>
      </c>
      <c r="R115">
        <v>2.8000000000000007</v>
      </c>
      <c r="S115">
        <v>2</v>
      </c>
      <c r="T115">
        <v>20.919999999999998</v>
      </c>
      <c r="U115">
        <v>-0.56000000000000005</v>
      </c>
      <c r="V115">
        <v>1</v>
      </c>
      <c r="W115">
        <v>1.5</v>
      </c>
      <c r="X115">
        <v>2</v>
      </c>
      <c r="Y115">
        <v>1.6720000000000006</v>
      </c>
      <c r="Z115">
        <v>1</v>
      </c>
      <c r="AA115">
        <v>-2.4799999999999995</v>
      </c>
      <c r="AB115">
        <v>0.48</v>
      </c>
      <c r="AC115">
        <v>19</v>
      </c>
      <c r="AD115">
        <v>18.5</v>
      </c>
      <c r="AE115">
        <v>15</v>
      </c>
      <c r="AF115">
        <v>3.6039999999999983</v>
      </c>
      <c r="AG115">
        <v>22</v>
      </c>
      <c r="AH115">
        <v>17.36</v>
      </c>
      <c r="AI115">
        <v>0.2</v>
      </c>
      <c r="AJ115">
        <v>12</v>
      </c>
      <c r="AK115">
        <v>11.5</v>
      </c>
      <c r="AL115">
        <v>12</v>
      </c>
      <c r="AM115">
        <v>-1.5600000000000005</v>
      </c>
      <c r="AN115">
        <v>11</v>
      </c>
      <c r="AO115">
        <v>-0.72000000000000031</v>
      </c>
      <c r="AP115">
        <v>-0.59999999999999987</v>
      </c>
      <c r="AQ115">
        <v>17</v>
      </c>
      <c r="AR115">
        <v>17</v>
      </c>
      <c r="AS115">
        <v>17</v>
      </c>
      <c r="AT115">
        <v>3.032</v>
      </c>
      <c r="AU115">
        <v>17</v>
      </c>
      <c r="AV115">
        <v>8.7600000000000016</v>
      </c>
      <c r="AW115">
        <v>0.59999999999999987</v>
      </c>
      <c r="AX115">
        <v>24</v>
      </c>
      <c r="AY115">
        <v>25</v>
      </c>
      <c r="AZ115">
        <v>26</v>
      </c>
      <c r="BA115">
        <v>2.9880000000000022</v>
      </c>
      <c r="BB115">
        <v>24</v>
      </c>
      <c r="BC115">
        <v>17.880000000000003</v>
      </c>
      <c r="BD115">
        <v>-0.23999999999999985</v>
      </c>
      <c r="BE115">
        <v>12</v>
      </c>
      <c r="BF115">
        <v>12.5</v>
      </c>
      <c r="BG115">
        <v>10</v>
      </c>
      <c r="BH115">
        <v>0.56399999999999939</v>
      </c>
      <c r="BI115">
        <v>0.84000000000000197</v>
      </c>
      <c r="BJ115">
        <v>-0.99999999999999978</v>
      </c>
      <c r="BK115">
        <v>8</v>
      </c>
      <c r="BL115">
        <v>8.5</v>
      </c>
      <c r="BM115">
        <v>9</v>
      </c>
      <c r="BN115">
        <v>-1.8</v>
      </c>
      <c r="BO115">
        <v>8</v>
      </c>
      <c r="BP115">
        <v>-0.55999999999999994</v>
      </c>
      <c r="BQ115">
        <v>1.7763568394002506E-16</v>
      </c>
      <c r="BR115">
        <v>12</v>
      </c>
      <c r="BS115">
        <v>13.25</v>
      </c>
      <c r="BT115">
        <v>11</v>
      </c>
      <c r="BU115">
        <v>4.5164541201638937E-2</v>
      </c>
      <c r="BV115">
        <v>5</v>
      </c>
      <c r="BW115">
        <v>-6.6600238660584135E-3</v>
      </c>
      <c r="BX115">
        <v>21</v>
      </c>
      <c r="BY115">
        <v>13.412000000000001</v>
      </c>
      <c r="BZ115">
        <v>16</v>
      </c>
      <c r="CA115">
        <v>-1.3199999999999998</v>
      </c>
      <c r="CB115">
        <v>4.4799999999999986</v>
      </c>
      <c r="CC115">
        <v>5</v>
      </c>
      <c r="CD115">
        <v>0.83999999999999986</v>
      </c>
      <c r="CE115">
        <v>69.400000000000006</v>
      </c>
      <c r="CF115">
        <v>46.36</v>
      </c>
      <c r="CG115">
        <v>16.119999999999997</v>
      </c>
      <c r="CH115">
        <v>-3.3600000000000003</v>
      </c>
      <c r="CI115">
        <v>10.279999999999998</v>
      </c>
      <c r="CJ115">
        <v>9</v>
      </c>
      <c r="CK115">
        <v>4.7064000000000004</v>
      </c>
      <c r="CL115">
        <v>0.72767999999999899</v>
      </c>
      <c r="CM115">
        <v>30.240000000000002</v>
      </c>
      <c r="CN115">
        <v>-4.7064000000000004</v>
      </c>
      <c r="CO115">
        <v>2.1862999999999997</v>
      </c>
      <c r="CP115">
        <v>5.0759999999999978</v>
      </c>
      <c r="CQ115">
        <v>25.400000000000002</v>
      </c>
      <c r="CR115">
        <v>4.4720000000000013</v>
      </c>
      <c r="CS115">
        <v>18.439999999999998</v>
      </c>
      <c r="CT115">
        <v>-0.79999999999999982</v>
      </c>
      <c r="CU115">
        <v>-8.0000000000000071E-2</v>
      </c>
      <c r="CV115">
        <v>0.88869999999999993</v>
      </c>
      <c r="CW115">
        <v>0.32179999999999986</v>
      </c>
      <c r="CX115" t="s">
        <v>305</v>
      </c>
      <c r="CY115">
        <v>32</v>
      </c>
      <c r="CZ115">
        <v>1.0328000000000011</v>
      </c>
      <c r="DA115">
        <v>4</v>
      </c>
      <c r="DB115">
        <v>5.5</v>
      </c>
      <c r="DC115">
        <v>6</v>
      </c>
      <c r="DD115">
        <v>1.2080000000000002</v>
      </c>
      <c r="DE115">
        <v>5</v>
      </c>
      <c r="DF115">
        <v>5.5199999999999987</v>
      </c>
      <c r="DG115">
        <v>-2.3200000000000003</v>
      </c>
      <c r="DH115">
        <v>27</v>
      </c>
      <c r="DI115">
        <v>24.5</v>
      </c>
      <c r="DJ115">
        <v>29</v>
      </c>
      <c r="DK115">
        <v>0.83599999999999974</v>
      </c>
      <c r="DL115">
        <v>20</v>
      </c>
      <c r="DM115">
        <v>7.1054273576010023E-16</v>
      </c>
      <c r="DN115">
        <v>0.67999999999999994</v>
      </c>
      <c r="DO115">
        <v>20</v>
      </c>
      <c r="DP115">
        <v>25</v>
      </c>
      <c r="DQ115">
        <v>27</v>
      </c>
      <c r="DR115">
        <v>-2.7360000000000007</v>
      </c>
      <c r="DS115">
        <v>23</v>
      </c>
      <c r="DT115">
        <v>-11.24</v>
      </c>
      <c r="DU115">
        <v>-0.23999999999999969</v>
      </c>
      <c r="DV115">
        <v>16</v>
      </c>
      <c r="DW115">
        <v>16</v>
      </c>
      <c r="DX115">
        <v>12</v>
      </c>
      <c r="DY115">
        <v>4.5799999999999992</v>
      </c>
      <c r="DZ115">
        <v>20</v>
      </c>
      <c r="EA115">
        <v>29.6</v>
      </c>
      <c r="EB115">
        <v>1.8799999999999997</v>
      </c>
      <c r="EC115">
        <v>22</v>
      </c>
      <c r="ED115">
        <v>29</v>
      </c>
      <c r="EE115">
        <v>31</v>
      </c>
      <c r="EF115">
        <v>3.8439999999999999</v>
      </c>
      <c r="EG115">
        <v>27</v>
      </c>
      <c r="EH115">
        <v>17.04</v>
      </c>
      <c r="EI115">
        <v>1.08</v>
      </c>
      <c r="EJ115">
        <v>26</v>
      </c>
      <c r="EK115">
        <v>26.5</v>
      </c>
      <c r="EL115">
        <v>23</v>
      </c>
      <c r="EM115">
        <v>0.53599999999999992</v>
      </c>
      <c r="EN115">
        <v>30</v>
      </c>
      <c r="EO115">
        <v>22.159999999999997</v>
      </c>
      <c r="EP115">
        <v>-0.51999999999999991</v>
      </c>
      <c r="EQ115">
        <v>31</v>
      </c>
      <c r="ER115">
        <v>30.5</v>
      </c>
      <c r="ES115">
        <v>30</v>
      </c>
      <c r="ET115">
        <v>1.5600000000000009</v>
      </c>
      <c r="EU115">
        <v>31</v>
      </c>
      <c r="EV115">
        <v>16.399999999999999</v>
      </c>
      <c r="EW115">
        <v>0.12000000000000002</v>
      </c>
      <c r="EX115">
        <v>23</v>
      </c>
      <c r="EY115">
        <v>22.5</v>
      </c>
      <c r="EZ115">
        <v>27</v>
      </c>
      <c r="FA115">
        <v>1.32</v>
      </c>
      <c r="FB115">
        <v>18</v>
      </c>
      <c r="FC115">
        <v>0.15999999999999992</v>
      </c>
      <c r="FD115">
        <v>0.48</v>
      </c>
      <c r="FE115">
        <v>5</v>
      </c>
      <c r="FF115">
        <v>9.75</v>
      </c>
      <c r="FG115">
        <v>15</v>
      </c>
      <c r="FH115">
        <v>-3.2040697892536427E-2</v>
      </c>
      <c r="FI115">
        <v>8</v>
      </c>
      <c r="FJ115">
        <v>-1.416932213802841E-2</v>
      </c>
      <c r="FK115">
        <v>15</v>
      </c>
      <c r="FL115">
        <v>2.9960000000000009</v>
      </c>
      <c r="FM115">
        <v>1</v>
      </c>
      <c r="FN115">
        <v>-3.8</v>
      </c>
      <c r="FO115">
        <v>0.12000000000000029</v>
      </c>
      <c r="FP115">
        <v>-1.36</v>
      </c>
      <c r="FQ115">
        <v>-0.64</v>
      </c>
      <c r="FR115">
        <v>-2.3599999999999994</v>
      </c>
      <c r="FS115">
        <v>3.72</v>
      </c>
      <c r="FT115">
        <v>0.55999999999999983</v>
      </c>
      <c r="FU115">
        <v>40.439999999999984</v>
      </c>
      <c r="FV115">
        <v>42.120000000000012</v>
      </c>
      <c r="FW115">
        <v>5.599999999999997</v>
      </c>
      <c r="FX115">
        <v>1.64</v>
      </c>
      <c r="FY115">
        <v>-8.92</v>
      </c>
      <c r="FZ115">
        <v>16</v>
      </c>
      <c r="GA115">
        <v>-1.0111999999999988</v>
      </c>
      <c r="GB115">
        <v>0.63415999999999983</v>
      </c>
      <c r="GC115">
        <v>36.520000000000017</v>
      </c>
      <c r="GD115">
        <v>1.011199999999999</v>
      </c>
      <c r="GE115">
        <v>1.4556</v>
      </c>
      <c r="GF115">
        <v>5.6879999999999988</v>
      </c>
      <c r="GG115">
        <v>35.4</v>
      </c>
      <c r="GH115">
        <v>2.044</v>
      </c>
      <c r="GI115">
        <v>5.52</v>
      </c>
      <c r="GJ115">
        <v>2.84</v>
      </c>
      <c r="GK115">
        <v>-1.6400000000000003</v>
      </c>
    </row>
    <row r="116" spans="1:193" x14ac:dyDescent="0.2">
      <c r="A116" s="39">
        <v>43758</v>
      </c>
      <c r="B116" s="22" t="s">
        <v>250</v>
      </c>
      <c r="C116" s="41" t="s">
        <v>310</v>
      </c>
      <c r="D116" s="22" t="s">
        <v>287</v>
      </c>
      <c r="E116">
        <v>20</v>
      </c>
      <c r="F116">
        <v>12.2</v>
      </c>
      <c r="G116" s="14">
        <v>8</v>
      </c>
      <c r="H116">
        <f>9.4+3.7</f>
        <v>13.100000000000001</v>
      </c>
      <c r="I116">
        <v>-3</v>
      </c>
      <c r="J116">
        <v>42.5</v>
      </c>
      <c r="K116" t="s">
        <v>110</v>
      </c>
      <c r="L116" s="1" t="s">
        <v>310</v>
      </c>
      <c r="M116">
        <v>27</v>
      </c>
      <c r="N116">
        <v>-3.5124000000000009</v>
      </c>
      <c r="O116">
        <v>1</v>
      </c>
      <c r="P116">
        <v>1.5</v>
      </c>
      <c r="Q116">
        <v>2</v>
      </c>
      <c r="R116">
        <v>-2.8959999999999999</v>
      </c>
      <c r="S116">
        <v>1</v>
      </c>
      <c r="T116">
        <v>-0.48000000000000115</v>
      </c>
      <c r="U116">
        <v>-1.6</v>
      </c>
      <c r="V116">
        <v>29</v>
      </c>
      <c r="W116">
        <v>29</v>
      </c>
      <c r="X116">
        <v>29</v>
      </c>
      <c r="Y116">
        <v>-2.3239999999999998</v>
      </c>
      <c r="Z116">
        <v>29</v>
      </c>
      <c r="AA116">
        <v>-13.959999999999999</v>
      </c>
      <c r="AB116">
        <v>4.0000000000000036E-2</v>
      </c>
      <c r="AC116">
        <v>28</v>
      </c>
      <c r="AD116">
        <v>27.5</v>
      </c>
      <c r="AE116">
        <v>28</v>
      </c>
      <c r="AF116">
        <v>-4.4599999999999991</v>
      </c>
      <c r="AG116">
        <v>27</v>
      </c>
      <c r="AH116">
        <v>-15.4</v>
      </c>
      <c r="AI116">
        <v>-2.6</v>
      </c>
      <c r="AJ116">
        <v>28</v>
      </c>
      <c r="AK116">
        <v>27.5</v>
      </c>
      <c r="AL116">
        <v>28</v>
      </c>
      <c r="AM116">
        <v>0.54000000000000059</v>
      </c>
      <c r="AN116">
        <v>27</v>
      </c>
      <c r="AO116">
        <v>1.4400000000000006</v>
      </c>
      <c r="AP116">
        <v>-0.68</v>
      </c>
      <c r="AQ116">
        <v>15</v>
      </c>
      <c r="AR116">
        <v>15</v>
      </c>
      <c r="AS116">
        <v>12</v>
      </c>
      <c r="AT116">
        <v>-2.8039999999999994</v>
      </c>
      <c r="AU116">
        <v>18</v>
      </c>
      <c r="AV116">
        <v>-13.760000000000002</v>
      </c>
      <c r="AW116">
        <v>-0.59999999999999987</v>
      </c>
      <c r="AX116">
        <v>20</v>
      </c>
      <c r="AY116">
        <v>20</v>
      </c>
      <c r="AZ116">
        <v>22</v>
      </c>
      <c r="BA116">
        <v>-2.444</v>
      </c>
      <c r="BB116">
        <v>18</v>
      </c>
      <c r="BC116">
        <v>-2.4400000000000004</v>
      </c>
      <c r="BD116">
        <v>0.48000000000000009</v>
      </c>
      <c r="BE116">
        <v>14</v>
      </c>
      <c r="BF116">
        <v>13.5</v>
      </c>
      <c r="BG116">
        <v>15</v>
      </c>
      <c r="BH116">
        <v>-1.3639999999999999</v>
      </c>
      <c r="BI116">
        <v>8.4400000000000013</v>
      </c>
      <c r="BJ116">
        <v>0.4799999999999997</v>
      </c>
      <c r="BK116">
        <v>29</v>
      </c>
      <c r="BL116">
        <v>29</v>
      </c>
      <c r="BM116">
        <v>28</v>
      </c>
      <c r="BN116">
        <v>-4.0400000000000009</v>
      </c>
      <c r="BO116">
        <v>30</v>
      </c>
      <c r="BP116">
        <v>-0.4</v>
      </c>
      <c r="BQ116">
        <v>-0.71999999999999975</v>
      </c>
      <c r="BR116">
        <v>25</v>
      </c>
      <c r="BS116">
        <v>21</v>
      </c>
      <c r="BT116">
        <v>27</v>
      </c>
      <c r="BU116">
        <v>1.0523263298231578E-2</v>
      </c>
      <c r="BV116">
        <v>2</v>
      </c>
      <c r="BW116">
        <v>6.6251587999701808E-2</v>
      </c>
      <c r="BX116">
        <v>30</v>
      </c>
      <c r="BY116">
        <v>13.412000000000001</v>
      </c>
      <c r="BZ116">
        <v>25</v>
      </c>
      <c r="CA116">
        <v>4.5599999999999996</v>
      </c>
      <c r="CB116">
        <v>-0.51999999999999891</v>
      </c>
      <c r="CC116">
        <v>-6.08</v>
      </c>
      <c r="CD116">
        <v>-1.4</v>
      </c>
      <c r="CE116">
        <v>-43.44</v>
      </c>
      <c r="CF116">
        <v>-29.840000000000003</v>
      </c>
      <c r="CG116">
        <v>-16.04</v>
      </c>
      <c r="CH116">
        <v>-8.08</v>
      </c>
      <c r="CI116">
        <v>10.52</v>
      </c>
      <c r="CJ116">
        <v>16</v>
      </c>
      <c r="CK116">
        <v>1.7075999999999989</v>
      </c>
      <c r="CL116">
        <v>0.28991999999999996</v>
      </c>
      <c r="CM116">
        <v>-13.800000000000004</v>
      </c>
      <c r="CN116">
        <v>-1.7075999999999989</v>
      </c>
      <c r="CO116">
        <v>-2.6075499999999998</v>
      </c>
      <c r="CP116">
        <v>-6.7239999999999984</v>
      </c>
      <c r="CQ116">
        <v>-27.72</v>
      </c>
      <c r="CR116">
        <v>-5.22</v>
      </c>
      <c r="CS116">
        <v>-14.44</v>
      </c>
      <c r="CT116">
        <v>-3.4000000000000004</v>
      </c>
      <c r="CU116">
        <v>-1.56</v>
      </c>
      <c r="CV116">
        <v>-1.5318000000000001</v>
      </c>
      <c r="CW116">
        <v>-1.8164500000000001</v>
      </c>
      <c r="CX116" t="s">
        <v>287</v>
      </c>
      <c r="CY116">
        <v>26</v>
      </c>
      <c r="CZ116">
        <v>-1.6852000000000005</v>
      </c>
      <c r="DA116">
        <v>7</v>
      </c>
      <c r="DB116">
        <v>10</v>
      </c>
      <c r="DC116">
        <v>11</v>
      </c>
      <c r="DD116">
        <v>4.016</v>
      </c>
      <c r="DE116">
        <v>9</v>
      </c>
      <c r="DF116">
        <v>-1.2399999999999978</v>
      </c>
      <c r="DG116">
        <v>-9.9999999999999908E-2</v>
      </c>
      <c r="DH116">
        <v>21</v>
      </c>
      <c r="DI116">
        <v>18.5</v>
      </c>
      <c r="DJ116">
        <v>9</v>
      </c>
      <c r="DK116">
        <v>-1.536</v>
      </c>
      <c r="DL116">
        <v>28</v>
      </c>
      <c r="DM116">
        <v>3.1999999999999993</v>
      </c>
      <c r="DN116">
        <v>-1.52</v>
      </c>
      <c r="DO116">
        <v>28</v>
      </c>
      <c r="DP116">
        <v>26.5</v>
      </c>
      <c r="DQ116">
        <v>26</v>
      </c>
      <c r="DR116">
        <v>-2.5520000000000005</v>
      </c>
      <c r="DS116">
        <v>27</v>
      </c>
      <c r="DT116">
        <v>-14.320000000000002</v>
      </c>
      <c r="DU116">
        <v>-1.9600000000000002</v>
      </c>
      <c r="DV116">
        <v>21</v>
      </c>
      <c r="DW116">
        <v>22</v>
      </c>
      <c r="DX116">
        <v>22</v>
      </c>
      <c r="DY116">
        <v>-5.1599999999999984</v>
      </c>
      <c r="DZ116">
        <v>22</v>
      </c>
      <c r="EA116">
        <v>-15.760000000000002</v>
      </c>
      <c r="EB116">
        <v>-2.76</v>
      </c>
      <c r="EC116">
        <v>18</v>
      </c>
      <c r="ED116">
        <v>20.5</v>
      </c>
      <c r="EE116">
        <v>23</v>
      </c>
      <c r="EF116">
        <v>-2.3119999999999998</v>
      </c>
      <c r="EG116">
        <v>18</v>
      </c>
      <c r="EH116">
        <v>-11.2</v>
      </c>
      <c r="EI116">
        <v>-1.8</v>
      </c>
      <c r="EJ116">
        <v>22</v>
      </c>
      <c r="EK116">
        <v>23</v>
      </c>
      <c r="EL116">
        <v>25</v>
      </c>
      <c r="EM116">
        <v>-3.276000000000002</v>
      </c>
      <c r="EN116">
        <v>21</v>
      </c>
      <c r="EO116">
        <v>-16.360000000000003</v>
      </c>
      <c r="EP116">
        <v>-3.6400000000000006</v>
      </c>
      <c r="EQ116">
        <v>30</v>
      </c>
      <c r="ER116">
        <v>27.5</v>
      </c>
      <c r="ES116">
        <v>28</v>
      </c>
      <c r="ET116">
        <v>1.3720000000000003</v>
      </c>
      <c r="EU116">
        <v>27</v>
      </c>
      <c r="EV116">
        <v>2.12</v>
      </c>
      <c r="EW116">
        <v>-0.16000000000000014</v>
      </c>
      <c r="EX116">
        <v>3</v>
      </c>
      <c r="EY116">
        <v>3.5</v>
      </c>
      <c r="EZ116">
        <v>4</v>
      </c>
      <c r="FA116">
        <v>-2.12</v>
      </c>
      <c r="FB116">
        <v>3</v>
      </c>
      <c r="FC116">
        <v>-4.4408920985006264E-17</v>
      </c>
      <c r="FD116">
        <v>1.3199999999999998</v>
      </c>
      <c r="FE116">
        <v>25</v>
      </c>
      <c r="FF116">
        <v>21.5</v>
      </c>
      <c r="FG116">
        <v>20</v>
      </c>
      <c r="FH116">
        <v>-1.130369735889869E-2</v>
      </c>
      <c r="FI116">
        <v>25</v>
      </c>
      <c r="FJ116">
        <v>3.6198980148152622E-3</v>
      </c>
      <c r="FK116">
        <v>18</v>
      </c>
      <c r="FL116">
        <v>7.0999999999999988</v>
      </c>
      <c r="FM116">
        <v>23</v>
      </c>
      <c r="FN116">
        <v>0.12000000000000029</v>
      </c>
      <c r="FO116">
        <v>-5.160000000000001</v>
      </c>
      <c r="FP116">
        <v>0.43999999999999984</v>
      </c>
      <c r="FQ116">
        <v>0.40000000000000008</v>
      </c>
      <c r="FR116">
        <v>-7.24</v>
      </c>
      <c r="FS116">
        <v>-2.52</v>
      </c>
      <c r="FT116">
        <v>0.55999999999999983</v>
      </c>
      <c r="FU116">
        <v>-17.280000000000008</v>
      </c>
      <c r="FV116">
        <v>-18.959999999999997</v>
      </c>
      <c r="FW116">
        <v>2.7199999999999989</v>
      </c>
      <c r="FX116">
        <v>0.12000000000000002</v>
      </c>
      <c r="FY116">
        <v>-1.1600000000000001</v>
      </c>
      <c r="FZ116">
        <v>26</v>
      </c>
      <c r="GA116">
        <v>-4.1652000000000005</v>
      </c>
      <c r="GB116">
        <v>-3.3074399999999997</v>
      </c>
      <c r="GC116">
        <v>-21.679999999999996</v>
      </c>
      <c r="GD116">
        <v>4.1652000000000005</v>
      </c>
      <c r="GE116">
        <v>-1.24715</v>
      </c>
      <c r="GF116">
        <v>-10.023999999999999</v>
      </c>
      <c r="GG116">
        <v>-41.28</v>
      </c>
      <c r="GH116">
        <v>2.48</v>
      </c>
      <c r="GI116">
        <v>1.9600000000000015</v>
      </c>
      <c r="GJ116">
        <v>-6.68</v>
      </c>
      <c r="GK116">
        <v>-1.6199999999999999</v>
      </c>
    </row>
    <row r="117" spans="1:193" x14ac:dyDescent="0.2">
      <c r="A117" s="39">
        <v>43758</v>
      </c>
      <c r="B117" s="22" t="s">
        <v>250</v>
      </c>
      <c r="C117" s="41" t="s">
        <v>306</v>
      </c>
      <c r="D117" s="22" t="s">
        <v>256</v>
      </c>
      <c r="E117">
        <v>2.1</v>
      </c>
      <c r="F117" s="14">
        <v>5</v>
      </c>
      <c r="G117">
        <v>0</v>
      </c>
      <c r="H117">
        <v>3.3</v>
      </c>
      <c r="I117">
        <v>10</v>
      </c>
      <c r="J117">
        <v>39</v>
      </c>
      <c r="K117" t="s">
        <v>110</v>
      </c>
      <c r="L117" s="1" t="s">
        <v>306</v>
      </c>
      <c r="M117">
        <v>29</v>
      </c>
      <c r="N117">
        <v>-3.8960000000000017</v>
      </c>
      <c r="O117">
        <v>9</v>
      </c>
      <c r="P117">
        <v>9</v>
      </c>
      <c r="Q117">
        <v>11</v>
      </c>
      <c r="R117">
        <v>-7.9159999999999995</v>
      </c>
      <c r="S117">
        <v>7</v>
      </c>
      <c r="T117">
        <v>-20.999999999999996</v>
      </c>
      <c r="U117">
        <v>-2.08</v>
      </c>
      <c r="V117">
        <v>19</v>
      </c>
      <c r="W117">
        <v>18</v>
      </c>
      <c r="X117">
        <v>25</v>
      </c>
      <c r="Y117">
        <v>1.0680000000000003</v>
      </c>
      <c r="Z117">
        <v>11</v>
      </c>
      <c r="AA117">
        <v>-8.870000000000001</v>
      </c>
      <c r="AB117">
        <v>2.2800000000000002</v>
      </c>
      <c r="AC117">
        <v>29</v>
      </c>
      <c r="AD117">
        <v>29</v>
      </c>
      <c r="AE117">
        <v>29</v>
      </c>
      <c r="AF117">
        <v>-0.83500000000000019</v>
      </c>
      <c r="AG117">
        <v>29</v>
      </c>
      <c r="AH117">
        <v>-15.2</v>
      </c>
      <c r="AI117">
        <v>-0.58999999999999964</v>
      </c>
      <c r="AJ117">
        <v>28</v>
      </c>
      <c r="AK117">
        <v>27.5</v>
      </c>
      <c r="AL117">
        <v>30</v>
      </c>
      <c r="AM117">
        <v>-2.0890000000000004</v>
      </c>
      <c r="AN117">
        <v>25</v>
      </c>
      <c r="AO117">
        <v>-21.65</v>
      </c>
      <c r="AP117">
        <v>-1.5</v>
      </c>
      <c r="AQ117">
        <v>30</v>
      </c>
      <c r="AR117">
        <v>29.5</v>
      </c>
      <c r="AS117">
        <v>31</v>
      </c>
      <c r="AT117">
        <v>0.1660000000000002</v>
      </c>
      <c r="AU117">
        <v>28</v>
      </c>
      <c r="AV117">
        <v>-1.4799999999999998</v>
      </c>
      <c r="AW117">
        <v>0.76999999999999991</v>
      </c>
      <c r="AX117">
        <v>30</v>
      </c>
      <c r="AY117">
        <v>30</v>
      </c>
      <c r="AZ117">
        <v>30</v>
      </c>
      <c r="BA117">
        <v>-2.0759999999999983</v>
      </c>
      <c r="BB117">
        <v>30</v>
      </c>
      <c r="BC117">
        <v>-12.999999999999996</v>
      </c>
      <c r="BD117">
        <v>-5.160000000000001</v>
      </c>
      <c r="BE117">
        <v>31</v>
      </c>
      <c r="BF117">
        <v>30</v>
      </c>
      <c r="BG117">
        <v>31</v>
      </c>
      <c r="BH117">
        <v>-2.1719999999999997</v>
      </c>
      <c r="BI117">
        <v>-9.3199999999999985</v>
      </c>
      <c r="BJ117">
        <v>3.9999999999999945E-2</v>
      </c>
      <c r="BK117">
        <v>1</v>
      </c>
      <c r="BL117">
        <v>1</v>
      </c>
      <c r="BM117">
        <v>1</v>
      </c>
      <c r="BN117">
        <v>-3.72</v>
      </c>
      <c r="BO117">
        <v>1</v>
      </c>
      <c r="BP117">
        <v>-0.76</v>
      </c>
      <c r="BQ117">
        <v>-3.12</v>
      </c>
      <c r="BR117">
        <v>1</v>
      </c>
      <c r="BS117">
        <v>5.25</v>
      </c>
      <c r="BT117">
        <v>9</v>
      </c>
      <c r="BU117">
        <v>-1.6315124484010114E-2</v>
      </c>
      <c r="BV117">
        <v>1</v>
      </c>
      <c r="BW117">
        <v>-7.2815427529590582E-4</v>
      </c>
      <c r="BX117">
        <v>2</v>
      </c>
      <c r="BY117">
        <v>-17.815999999999999</v>
      </c>
      <c r="BZ117">
        <v>9</v>
      </c>
      <c r="CA117">
        <v>2.04</v>
      </c>
      <c r="CB117">
        <v>-6.2800000000000011</v>
      </c>
      <c r="CC117">
        <v>-5.5600000000000005</v>
      </c>
      <c r="CD117">
        <v>-2.4000000000000004</v>
      </c>
      <c r="CE117">
        <v>-61.639999999999986</v>
      </c>
      <c r="CF117">
        <v>-45.279999999999994</v>
      </c>
      <c r="CG117">
        <v>-28.6</v>
      </c>
      <c r="CH117">
        <v>11.8</v>
      </c>
      <c r="CI117">
        <v>0.43999999999999984</v>
      </c>
      <c r="CJ117">
        <v>14</v>
      </c>
      <c r="CK117">
        <v>2.9519999999999973</v>
      </c>
      <c r="CL117">
        <v>1.6587999999999994</v>
      </c>
      <c r="CM117">
        <v>-16.679999999999993</v>
      </c>
      <c r="CN117">
        <v>-2.9519999999999973</v>
      </c>
      <c r="CO117">
        <v>-2.4242500000000002</v>
      </c>
      <c r="CP117">
        <v>-2.758</v>
      </c>
      <c r="CQ117">
        <v>-38.329999999999991</v>
      </c>
      <c r="CR117">
        <v>-6.847999999999999</v>
      </c>
      <c r="CS117">
        <v>-29.869999999999997</v>
      </c>
      <c r="CT117">
        <v>-1.2799999999999998</v>
      </c>
      <c r="CU117">
        <v>0.20000000000000018</v>
      </c>
      <c r="CV117">
        <v>-1.1088499999999994</v>
      </c>
      <c r="CW117">
        <v>1.6736000000000006</v>
      </c>
      <c r="CX117" t="s">
        <v>256</v>
      </c>
      <c r="CY117">
        <v>22</v>
      </c>
      <c r="CZ117">
        <v>-6.082399999999998</v>
      </c>
      <c r="DA117">
        <v>14</v>
      </c>
      <c r="DB117">
        <v>16</v>
      </c>
      <c r="DC117">
        <v>22</v>
      </c>
      <c r="DD117">
        <v>-7.6760000000000002</v>
      </c>
      <c r="DE117">
        <v>10</v>
      </c>
      <c r="DF117">
        <v>-3.4800000000000013</v>
      </c>
      <c r="DG117">
        <v>-1.4000000000000001</v>
      </c>
      <c r="DH117">
        <v>32</v>
      </c>
      <c r="DI117">
        <v>32</v>
      </c>
      <c r="DJ117">
        <v>32</v>
      </c>
      <c r="DK117">
        <v>-2.976</v>
      </c>
      <c r="DL117">
        <v>32</v>
      </c>
      <c r="DM117">
        <v>-4.0000000000000216E-2</v>
      </c>
      <c r="DN117">
        <v>-1.6</v>
      </c>
      <c r="DO117">
        <v>28</v>
      </c>
      <c r="DP117">
        <v>26.5</v>
      </c>
      <c r="DQ117">
        <v>23</v>
      </c>
      <c r="DR117">
        <v>-5.0720000000000001</v>
      </c>
      <c r="DS117">
        <v>30</v>
      </c>
      <c r="DT117">
        <v>-18.68</v>
      </c>
      <c r="DU117">
        <v>-2.44</v>
      </c>
      <c r="DV117">
        <v>31</v>
      </c>
      <c r="DW117">
        <v>30.5</v>
      </c>
      <c r="DX117">
        <v>32</v>
      </c>
      <c r="DY117">
        <v>1.6640000000000001</v>
      </c>
      <c r="DZ117">
        <v>29</v>
      </c>
      <c r="EA117">
        <v>3.3999999999999986</v>
      </c>
      <c r="EB117">
        <v>-1</v>
      </c>
      <c r="EC117">
        <v>7</v>
      </c>
      <c r="ED117">
        <v>14</v>
      </c>
      <c r="EE117">
        <v>12</v>
      </c>
      <c r="EF117">
        <v>-4.1079999999999997</v>
      </c>
      <c r="EG117">
        <v>16</v>
      </c>
      <c r="EH117">
        <v>-24.119999999999997</v>
      </c>
      <c r="EI117">
        <v>-1.92</v>
      </c>
      <c r="EJ117">
        <v>27</v>
      </c>
      <c r="EK117">
        <v>27</v>
      </c>
      <c r="EL117">
        <v>26</v>
      </c>
      <c r="EM117">
        <v>-6.7520000000000007</v>
      </c>
      <c r="EN117">
        <v>28</v>
      </c>
      <c r="EO117">
        <v>-27.119999999999994</v>
      </c>
      <c r="EP117">
        <v>-3.8</v>
      </c>
      <c r="EQ117">
        <v>22</v>
      </c>
      <c r="ER117">
        <v>23.5</v>
      </c>
      <c r="ES117">
        <v>19</v>
      </c>
      <c r="ET117">
        <v>-3.2399999999999998</v>
      </c>
      <c r="EU117">
        <v>28</v>
      </c>
      <c r="EV117">
        <v>-19.600000000000001</v>
      </c>
      <c r="EW117">
        <v>-0.64000000000000024</v>
      </c>
      <c r="EX117">
        <v>18</v>
      </c>
      <c r="EY117">
        <v>20</v>
      </c>
      <c r="EZ117">
        <v>22</v>
      </c>
      <c r="FA117">
        <v>-3.6399999999999997</v>
      </c>
      <c r="FB117">
        <v>18</v>
      </c>
      <c r="FC117">
        <v>-0.52000000000000013</v>
      </c>
      <c r="FD117">
        <v>-1.7600000000000002</v>
      </c>
      <c r="FE117">
        <v>13</v>
      </c>
      <c r="FF117">
        <v>14.75</v>
      </c>
      <c r="FG117">
        <v>23</v>
      </c>
      <c r="FH117">
        <v>3.8049031715844131E-2</v>
      </c>
      <c r="FI117">
        <v>8</v>
      </c>
      <c r="FJ117">
        <v>6.7230988659737118E-2</v>
      </c>
      <c r="FK117">
        <v>24</v>
      </c>
      <c r="FL117">
        <v>-2.2919999999999989</v>
      </c>
      <c r="FM117">
        <v>4</v>
      </c>
      <c r="FN117">
        <v>3.3200000000000003</v>
      </c>
      <c r="FO117">
        <v>-8.7200000000000006</v>
      </c>
      <c r="FP117">
        <v>-0.43999999999999984</v>
      </c>
      <c r="FQ117">
        <v>-0.64000000000000024</v>
      </c>
      <c r="FR117">
        <v>-7.919999999999999</v>
      </c>
      <c r="FS117">
        <v>-9.36</v>
      </c>
      <c r="FT117">
        <v>-0.83999999999999986</v>
      </c>
      <c r="FU117">
        <v>-92.960000000000008</v>
      </c>
      <c r="FV117">
        <v>-87.359999999999985</v>
      </c>
      <c r="FW117">
        <v>-5.4400000000000022</v>
      </c>
      <c r="FX117">
        <v>2.92</v>
      </c>
      <c r="FY117">
        <v>-3.0799999999999996</v>
      </c>
      <c r="FZ117">
        <v>5</v>
      </c>
      <c r="GA117">
        <v>4.5696000000000021</v>
      </c>
      <c r="GB117">
        <v>1.9583200000000014</v>
      </c>
      <c r="GC117">
        <v>-81.919999999999987</v>
      </c>
      <c r="GD117">
        <v>-4.569600000000003</v>
      </c>
      <c r="GE117">
        <v>-3.8912999999999993</v>
      </c>
      <c r="GF117">
        <v>-7.516</v>
      </c>
      <c r="GG117">
        <v>-39.4</v>
      </c>
      <c r="GH117">
        <v>-10.652000000000001</v>
      </c>
      <c r="GI117">
        <v>-3.5200000000000014</v>
      </c>
      <c r="GJ117">
        <v>-6</v>
      </c>
      <c r="GK117">
        <v>-3</v>
      </c>
    </row>
    <row r="118" spans="1:193" x14ac:dyDescent="0.2">
      <c r="A118" s="39">
        <v>43765</v>
      </c>
      <c r="B118" s="22" t="s">
        <v>248</v>
      </c>
      <c r="C118" s="41" t="s">
        <v>285</v>
      </c>
      <c r="D118" s="22" t="s">
        <v>307</v>
      </c>
      <c r="E118">
        <v>2.8</v>
      </c>
      <c r="F118">
        <v>17.8</v>
      </c>
      <c r="G118">
        <v>3.8</v>
      </c>
      <c r="H118">
        <f>11.8+1.9</f>
        <v>13.700000000000001</v>
      </c>
      <c r="I118">
        <v>12.5</v>
      </c>
      <c r="J118">
        <v>47.5</v>
      </c>
      <c r="K118" t="s">
        <v>110</v>
      </c>
      <c r="L118" s="1" t="s">
        <v>285</v>
      </c>
      <c r="M118">
        <v>24</v>
      </c>
      <c r="N118">
        <v>-2.0072000000000001</v>
      </c>
      <c r="O118">
        <v>24</v>
      </c>
      <c r="P118">
        <v>22.5</v>
      </c>
      <c r="Q118">
        <v>22</v>
      </c>
      <c r="R118">
        <v>5.0640000000000009</v>
      </c>
      <c r="S118">
        <v>23</v>
      </c>
      <c r="T118">
        <v>-6.3600000000000012</v>
      </c>
      <c r="U118">
        <v>2.96</v>
      </c>
      <c r="V118">
        <v>29</v>
      </c>
      <c r="W118">
        <v>29</v>
      </c>
      <c r="X118">
        <v>30</v>
      </c>
      <c r="Y118">
        <v>1.1344000000000003</v>
      </c>
      <c r="Z118">
        <v>28</v>
      </c>
      <c r="AA118">
        <v>7.4399999999999995</v>
      </c>
      <c r="AB118">
        <v>-0.56000000000000005</v>
      </c>
      <c r="AC118">
        <v>27</v>
      </c>
      <c r="AD118">
        <v>26.5</v>
      </c>
      <c r="AE118">
        <v>27</v>
      </c>
      <c r="AF118">
        <v>-5.1840000000000019</v>
      </c>
      <c r="AG118">
        <v>26</v>
      </c>
      <c r="AH118">
        <v>-21.56</v>
      </c>
      <c r="AI118">
        <v>-1.8</v>
      </c>
      <c r="AJ118">
        <v>7</v>
      </c>
      <c r="AK118">
        <v>8</v>
      </c>
      <c r="AL118">
        <v>6</v>
      </c>
      <c r="AM118">
        <v>-3.8920000000000017</v>
      </c>
      <c r="AN118">
        <v>10</v>
      </c>
      <c r="AO118">
        <v>-13.76</v>
      </c>
      <c r="AP118">
        <v>0.31999999999999973</v>
      </c>
      <c r="AQ118">
        <v>11</v>
      </c>
      <c r="AR118">
        <v>10.5</v>
      </c>
      <c r="AS118">
        <v>9</v>
      </c>
      <c r="AT118">
        <v>-1.028</v>
      </c>
      <c r="AU118">
        <v>12</v>
      </c>
      <c r="AV118">
        <v>-8.6</v>
      </c>
      <c r="AW118">
        <v>0</v>
      </c>
      <c r="AX118">
        <v>16</v>
      </c>
      <c r="AY118">
        <v>16</v>
      </c>
      <c r="AZ118">
        <v>18</v>
      </c>
      <c r="BA118">
        <v>2.4960000000000009</v>
      </c>
      <c r="BB118">
        <v>14</v>
      </c>
      <c r="BC118">
        <v>17.12</v>
      </c>
      <c r="BD118">
        <v>-1</v>
      </c>
      <c r="BE118">
        <v>24</v>
      </c>
      <c r="BF118">
        <v>23.5</v>
      </c>
      <c r="BG118">
        <v>29</v>
      </c>
      <c r="BH118">
        <v>-4.6639999999999997</v>
      </c>
      <c r="BI118">
        <v>-26.2</v>
      </c>
      <c r="BJ118">
        <v>-3</v>
      </c>
      <c r="BK118">
        <v>21</v>
      </c>
      <c r="BL118">
        <v>20</v>
      </c>
      <c r="BM118">
        <v>17</v>
      </c>
      <c r="BN118">
        <v>8.0000000000000071E-2</v>
      </c>
      <c r="BO118">
        <v>23</v>
      </c>
      <c r="BP118">
        <v>0.6</v>
      </c>
      <c r="BQ118">
        <v>-5.6</v>
      </c>
      <c r="BR118">
        <v>9</v>
      </c>
      <c r="BS118">
        <v>12.25</v>
      </c>
      <c r="BT118">
        <v>20</v>
      </c>
      <c r="BU118">
        <v>-7.4316522167837268E-2</v>
      </c>
      <c r="BV118">
        <v>7</v>
      </c>
      <c r="BW118">
        <v>1.3543228841740432E-2</v>
      </c>
      <c r="BX118">
        <v>4</v>
      </c>
      <c r="BY118">
        <v>-4.3639999999999972</v>
      </c>
      <c r="BZ118">
        <v>18</v>
      </c>
      <c r="CA118">
        <v>1.0399999999999998</v>
      </c>
      <c r="CB118">
        <v>-7.999999999999971E-2</v>
      </c>
      <c r="CC118">
        <v>-1.4800000000000004</v>
      </c>
      <c r="CD118">
        <v>-2.6</v>
      </c>
      <c r="CE118">
        <v>-29.839999999999996</v>
      </c>
      <c r="CF118">
        <v>-39.47999999999999</v>
      </c>
      <c r="CG118">
        <v>-6.1199999999999992</v>
      </c>
      <c r="CH118">
        <v>-1.08</v>
      </c>
      <c r="CI118">
        <v>16.839999999999996</v>
      </c>
      <c r="CJ118">
        <v>29</v>
      </c>
      <c r="CK118">
        <v>-8.2056000000000004</v>
      </c>
      <c r="CL118">
        <v>-6.4542400000000022</v>
      </c>
      <c r="CM118">
        <v>-33.359999999999992</v>
      </c>
      <c r="CN118">
        <v>8.2056000000000004</v>
      </c>
      <c r="CO118">
        <v>-1.3121000000000003</v>
      </c>
      <c r="CP118">
        <v>-10.104000000000005</v>
      </c>
      <c r="CQ118">
        <v>-43.92</v>
      </c>
      <c r="CR118">
        <v>6.1984000000000012</v>
      </c>
      <c r="CS118">
        <v>1.0799999999999983</v>
      </c>
      <c r="CT118">
        <v>-4.4800000000000004</v>
      </c>
      <c r="CU118">
        <v>2.4</v>
      </c>
      <c r="CV118">
        <v>-0.52557500000000024</v>
      </c>
      <c r="CW118">
        <v>1.7174999999999996</v>
      </c>
      <c r="CX118" t="s">
        <v>307</v>
      </c>
      <c r="CY118">
        <v>18</v>
      </c>
      <c r="CZ118">
        <v>-1.8911999999999991</v>
      </c>
      <c r="DA118">
        <v>29</v>
      </c>
      <c r="DB118">
        <v>27.5</v>
      </c>
      <c r="DC118">
        <v>26</v>
      </c>
      <c r="DD118">
        <v>-6.6360000000000001</v>
      </c>
      <c r="DE118">
        <v>29</v>
      </c>
      <c r="DF118">
        <v>-40.6</v>
      </c>
      <c r="DG118">
        <v>3.9999999999999855E-2</v>
      </c>
      <c r="DH118">
        <v>7</v>
      </c>
      <c r="DI118">
        <v>10</v>
      </c>
      <c r="DJ118">
        <v>8</v>
      </c>
      <c r="DK118">
        <v>1.2000000000000011E-2</v>
      </c>
      <c r="DL118">
        <v>12</v>
      </c>
      <c r="DM118">
        <v>-7.2</v>
      </c>
      <c r="DN118">
        <v>1.24</v>
      </c>
      <c r="DO118">
        <v>15</v>
      </c>
      <c r="DP118">
        <v>19</v>
      </c>
      <c r="DQ118">
        <v>18</v>
      </c>
      <c r="DR118">
        <v>-4.402000000000001</v>
      </c>
      <c r="DS118">
        <v>20</v>
      </c>
      <c r="DT118">
        <v>-23.04</v>
      </c>
      <c r="DU118">
        <v>1.06</v>
      </c>
      <c r="DV118">
        <v>29</v>
      </c>
      <c r="DW118">
        <v>29.5</v>
      </c>
      <c r="DX118">
        <v>27</v>
      </c>
      <c r="DY118">
        <v>-2.5919999999999996</v>
      </c>
      <c r="DZ118">
        <v>32</v>
      </c>
      <c r="EA118">
        <v>-8.1199999999999992</v>
      </c>
      <c r="EB118">
        <v>-0.44000000000000022</v>
      </c>
      <c r="EC118">
        <v>27</v>
      </c>
      <c r="ED118">
        <v>25</v>
      </c>
      <c r="EE118">
        <v>25</v>
      </c>
      <c r="EF118">
        <v>-2.5639999999999996</v>
      </c>
      <c r="EG118">
        <v>25</v>
      </c>
      <c r="EH118">
        <v>-11.440000000000001</v>
      </c>
      <c r="EI118">
        <v>-0.36</v>
      </c>
      <c r="EJ118">
        <v>24</v>
      </c>
      <c r="EK118">
        <v>23.5</v>
      </c>
      <c r="EL118">
        <v>20</v>
      </c>
      <c r="EM118">
        <v>6.2120000000000015</v>
      </c>
      <c r="EN118">
        <v>27</v>
      </c>
      <c r="EO118">
        <v>19.72</v>
      </c>
      <c r="EP118">
        <v>3.6800000000000006</v>
      </c>
      <c r="EQ118">
        <v>3</v>
      </c>
      <c r="ER118">
        <v>3.5</v>
      </c>
      <c r="ES118">
        <v>3</v>
      </c>
      <c r="ET118">
        <v>-0.23600000000000029</v>
      </c>
      <c r="EU118">
        <v>4</v>
      </c>
      <c r="EV118">
        <v>1.9899999999999991</v>
      </c>
      <c r="EW118">
        <v>-0.42999999999999988</v>
      </c>
      <c r="EX118">
        <v>8</v>
      </c>
      <c r="EY118">
        <v>8.5</v>
      </c>
      <c r="EZ118">
        <v>9</v>
      </c>
      <c r="FA118">
        <v>-3.8400000000000007</v>
      </c>
      <c r="FB118">
        <v>8</v>
      </c>
      <c r="FC118">
        <v>-1.4</v>
      </c>
      <c r="FD118">
        <v>-2.6399999999999997</v>
      </c>
      <c r="FE118">
        <v>17</v>
      </c>
      <c r="FF118">
        <v>16</v>
      </c>
      <c r="FG118">
        <v>6</v>
      </c>
      <c r="FH118">
        <v>-2.7088656435992464E-2</v>
      </c>
      <c r="FI118">
        <v>18</v>
      </c>
      <c r="FJ118">
        <v>-5.3621641691418273E-3</v>
      </c>
      <c r="FK118">
        <v>21</v>
      </c>
      <c r="FL118">
        <v>-11.687999999999999</v>
      </c>
      <c r="FM118">
        <v>19</v>
      </c>
      <c r="FN118">
        <v>3</v>
      </c>
      <c r="FO118">
        <v>2.4399999999999991</v>
      </c>
      <c r="FP118">
        <v>-7.3199999999999985</v>
      </c>
      <c r="FQ118">
        <v>-1.1999999999999997</v>
      </c>
      <c r="FR118">
        <v>-6.5200000000000014</v>
      </c>
      <c r="FS118">
        <v>-6.8</v>
      </c>
      <c r="FT118">
        <v>8.8817841970012528E-17</v>
      </c>
      <c r="FU118">
        <v>-82.47999999999999</v>
      </c>
      <c r="FV118">
        <v>-28.4</v>
      </c>
      <c r="FW118">
        <v>-49.64</v>
      </c>
      <c r="FX118">
        <v>-1.72</v>
      </c>
      <c r="FY118">
        <v>-2.72</v>
      </c>
      <c r="FZ118">
        <v>7</v>
      </c>
      <c r="GA118">
        <v>4.732800000000001</v>
      </c>
      <c r="GB118">
        <v>0.97495999999999983</v>
      </c>
      <c r="GC118">
        <v>21.240000000000002</v>
      </c>
      <c r="GD118">
        <v>-4.732800000000001</v>
      </c>
      <c r="GE118">
        <v>-2.7686500000000001</v>
      </c>
      <c r="GF118">
        <v>-9.5579999999999998</v>
      </c>
      <c r="GG118">
        <v>-42.599999999999994</v>
      </c>
      <c r="GH118">
        <v>-6.6240000000000006</v>
      </c>
      <c r="GI118">
        <v>-47.800000000000004</v>
      </c>
      <c r="GJ118">
        <v>-0.16999999999999998</v>
      </c>
      <c r="GK118">
        <v>1.2799999999999998</v>
      </c>
    </row>
    <row r="119" spans="1:193" x14ac:dyDescent="0.2">
      <c r="A119" s="39">
        <v>43765</v>
      </c>
      <c r="B119" s="22" t="s">
        <v>248</v>
      </c>
      <c r="C119" s="41" t="s">
        <v>295</v>
      </c>
      <c r="D119" s="22" t="s">
        <v>308</v>
      </c>
      <c r="E119">
        <v>28.2</v>
      </c>
      <c r="F119">
        <v>13</v>
      </c>
      <c r="G119">
        <v>12.8</v>
      </c>
      <c r="H119">
        <f>18.5+2.8+2.1</f>
        <v>23.400000000000002</v>
      </c>
      <c r="I119">
        <v>7.5</v>
      </c>
      <c r="J119">
        <v>48.5</v>
      </c>
      <c r="L119" s="1" t="s">
        <v>295</v>
      </c>
      <c r="M119">
        <v>4</v>
      </c>
      <c r="N119">
        <v>5.3911999999999987</v>
      </c>
      <c r="O119">
        <v>29</v>
      </c>
      <c r="P119">
        <v>28</v>
      </c>
      <c r="Q119">
        <v>29</v>
      </c>
      <c r="R119">
        <v>0.7</v>
      </c>
      <c r="S119">
        <v>27</v>
      </c>
      <c r="T119">
        <v>-13.679999999999998</v>
      </c>
      <c r="U119">
        <v>0.83999999999999986</v>
      </c>
      <c r="V119">
        <v>11</v>
      </c>
      <c r="W119">
        <v>11</v>
      </c>
      <c r="X119">
        <v>10</v>
      </c>
      <c r="Y119">
        <v>-0.3839999999999999</v>
      </c>
      <c r="Z119">
        <v>12</v>
      </c>
      <c r="AA119">
        <v>-4.9599999999999991</v>
      </c>
      <c r="AB119">
        <v>0.31999999999999995</v>
      </c>
      <c r="AC119">
        <v>15</v>
      </c>
      <c r="AD119">
        <v>16</v>
      </c>
      <c r="AE119">
        <v>23</v>
      </c>
      <c r="AF119">
        <v>0.23200000000000182</v>
      </c>
      <c r="AG119">
        <v>9</v>
      </c>
      <c r="AH119">
        <v>10.480000000000002</v>
      </c>
      <c r="AI119">
        <v>0.2</v>
      </c>
      <c r="AJ119">
        <v>6</v>
      </c>
      <c r="AK119">
        <v>7</v>
      </c>
      <c r="AL119">
        <v>8</v>
      </c>
      <c r="AM119">
        <v>-1.1239999999999997</v>
      </c>
      <c r="AN119">
        <v>6</v>
      </c>
      <c r="AO119">
        <v>-5.7600000000000025</v>
      </c>
      <c r="AP119">
        <v>4.0000000000000126E-2</v>
      </c>
      <c r="AQ119">
        <v>6</v>
      </c>
      <c r="AR119">
        <v>6</v>
      </c>
      <c r="AS119">
        <v>6</v>
      </c>
      <c r="AT119">
        <v>3.8320000000000007</v>
      </c>
      <c r="AU119">
        <v>6</v>
      </c>
      <c r="AV119">
        <v>14.319999999999999</v>
      </c>
      <c r="AW119">
        <v>2.2000000000000002</v>
      </c>
      <c r="AX119">
        <v>7</v>
      </c>
      <c r="AY119">
        <v>6.5</v>
      </c>
      <c r="AZ119">
        <v>7</v>
      </c>
      <c r="BA119">
        <v>3.2640000000000002</v>
      </c>
      <c r="BB119">
        <v>6</v>
      </c>
      <c r="BC119">
        <v>8.24</v>
      </c>
      <c r="BD119">
        <v>0.68</v>
      </c>
      <c r="BE119">
        <v>16</v>
      </c>
      <c r="BF119">
        <v>17</v>
      </c>
      <c r="BG119">
        <v>17</v>
      </c>
      <c r="BH119">
        <v>7.6079999999999988</v>
      </c>
      <c r="BI119">
        <v>28.360000000000003</v>
      </c>
      <c r="BJ119">
        <v>2.16</v>
      </c>
      <c r="BK119">
        <v>4</v>
      </c>
      <c r="BL119">
        <v>7</v>
      </c>
      <c r="BM119">
        <v>10</v>
      </c>
      <c r="BN119">
        <v>-1.52</v>
      </c>
      <c r="BO119">
        <v>4</v>
      </c>
      <c r="BP119">
        <v>-0.24000000000000007</v>
      </c>
      <c r="BQ119">
        <v>-8.32</v>
      </c>
      <c r="BR119">
        <v>14</v>
      </c>
      <c r="BS119">
        <v>14</v>
      </c>
      <c r="BT119">
        <v>7</v>
      </c>
      <c r="BU119">
        <v>-8.5804001127136147E-3</v>
      </c>
      <c r="BV119">
        <v>9</v>
      </c>
      <c r="BW119">
        <v>1.7474280135047371E-3</v>
      </c>
      <c r="BX119">
        <v>26</v>
      </c>
      <c r="BY119">
        <v>6.8479999999999936</v>
      </c>
      <c r="BZ119">
        <v>14</v>
      </c>
      <c r="CA119">
        <v>2.5199999999999996</v>
      </c>
      <c r="CB119">
        <v>0.11999999999999886</v>
      </c>
      <c r="CC119">
        <v>-3.9999999999999855E-2</v>
      </c>
      <c r="CD119">
        <v>-1.2</v>
      </c>
      <c r="CE119">
        <v>26.719999999999992</v>
      </c>
      <c r="CF119">
        <v>51.88000000000001</v>
      </c>
      <c r="CG119">
        <v>-19.440000000000001</v>
      </c>
      <c r="CH119">
        <v>-3.6799999999999997</v>
      </c>
      <c r="CI119">
        <v>-2.04</v>
      </c>
      <c r="CJ119">
        <v>11</v>
      </c>
      <c r="CK119">
        <v>5.0751999999999988</v>
      </c>
      <c r="CL119">
        <v>3.0298400000000005</v>
      </c>
      <c r="CM119">
        <v>71.320000000000007</v>
      </c>
      <c r="CN119">
        <v>-5.0751999999999988</v>
      </c>
      <c r="CO119">
        <v>1.8419000000000003</v>
      </c>
      <c r="CP119">
        <v>2.9400000000000031</v>
      </c>
      <c r="CQ119">
        <v>19.04</v>
      </c>
      <c r="CR119">
        <v>0.31600000000000006</v>
      </c>
      <c r="CS119">
        <v>-18.639999999999997</v>
      </c>
      <c r="CT119">
        <v>4.6000000000000005</v>
      </c>
      <c r="CU119">
        <v>1.1599999999999997</v>
      </c>
      <c r="CV119">
        <v>1.2281333333333331</v>
      </c>
      <c r="CW119">
        <v>3.3884999999999996</v>
      </c>
      <c r="CX119" t="s">
        <v>308</v>
      </c>
      <c r="CY119">
        <v>17</v>
      </c>
      <c r="CZ119">
        <v>1.8975999999999993</v>
      </c>
      <c r="DA119">
        <v>24</v>
      </c>
      <c r="DB119">
        <v>22</v>
      </c>
      <c r="DC119">
        <v>18</v>
      </c>
      <c r="DD119">
        <v>4.8831999999999995</v>
      </c>
      <c r="DE119">
        <v>26</v>
      </c>
      <c r="DF119">
        <v>1.1999999999999986</v>
      </c>
      <c r="DG119">
        <v>1.9200000000000004</v>
      </c>
      <c r="DH119">
        <v>25</v>
      </c>
      <c r="DI119">
        <v>22.5</v>
      </c>
      <c r="DJ119">
        <v>16</v>
      </c>
      <c r="DK119">
        <v>-3.532</v>
      </c>
      <c r="DL119">
        <v>29</v>
      </c>
      <c r="DM119">
        <v>-4.08</v>
      </c>
      <c r="DN119">
        <v>-1.52</v>
      </c>
      <c r="DO119">
        <v>5</v>
      </c>
      <c r="DP119">
        <v>3.5</v>
      </c>
      <c r="DQ119">
        <v>3</v>
      </c>
      <c r="DR119">
        <v>-1.1239999999999999</v>
      </c>
      <c r="DS119">
        <v>4</v>
      </c>
      <c r="DT119">
        <v>-4.5466666666666669</v>
      </c>
      <c r="DU119">
        <v>-1.2399999999999998</v>
      </c>
      <c r="DV119">
        <v>19</v>
      </c>
      <c r="DW119">
        <v>17.5</v>
      </c>
      <c r="DX119">
        <v>18</v>
      </c>
      <c r="DY119">
        <v>-5.4879999999999995</v>
      </c>
      <c r="DZ119">
        <v>17</v>
      </c>
      <c r="EA119">
        <v>-31.693333333333335</v>
      </c>
      <c r="EB119">
        <v>-1.9599999999999997</v>
      </c>
      <c r="EC119">
        <v>13</v>
      </c>
      <c r="ED119">
        <v>13.5</v>
      </c>
      <c r="EE119">
        <v>6</v>
      </c>
      <c r="EF119">
        <v>-0.79066666666666696</v>
      </c>
      <c r="EG119">
        <v>21</v>
      </c>
      <c r="EH119">
        <v>-9.3466666666666676</v>
      </c>
      <c r="EI119">
        <v>-0.98666666666666669</v>
      </c>
      <c r="EJ119">
        <v>18</v>
      </c>
      <c r="EK119">
        <v>18</v>
      </c>
      <c r="EL119">
        <v>16</v>
      </c>
      <c r="EM119">
        <v>-1.5560000000000003</v>
      </c>
      <c r="EN119">
        <v>20</v>
      </c>
      <c r="EO119">
        <v>4.839999999999999</v>
      </c>
      <c r="EP119">
        <v>-0.6399999999999999</v>
      </c>
      <c r="EQ119">
        <v>15</v>
      </c>
      <c r="ER119">
        <v>15</v>
      </c>
      <c r="ES119">
        <v>11</v>
      </c>
      <c r="ET119">
        <v>-0.82399999999999951</v>
      </c>
      <c r="EU119">
        <v>19</v>
      </c>
      <c r="EV119">
        <v>7.400000000000003</v>
      </c>
      <c r="EW119">
        <v>0</v>
      </c>
      <c r="EX119">
        <v>12</v>
      </c>
      <c r="EY119">
        <v>12.5</v>
      </c>
      <c r="EZ119">
        <v>17</v>
      </c>
      <c r="FA119">
        <v>-2.4799999999999995</v>
      </c>
      <c r="FB119">
        <v>8</v>
      </c>
      <c r="FC119">
        <v>-0.2</v>
      </c>
      <c r="FD119">
        <v>0.75999999999999956</v>
      </c>
      <c r="FE119">
        <v>21</v>
      </c>
      <c r="FF119">
        <v>17.25</v>
      </c>
      <c r="FG119">
        <v>30</v>
      </c>
      <c r="FH119">
        <v>-1.1683812333023791E-2</v>
      </c>
      <c r="FI119">
        <v>28</v>
      </c>
      <c r="FJ119">
        <v>-2.6442298816694975E-2</v>
      </c>
      <c r="FK119">
        <v>4</v>
      </c>
      <c r="FL119">
        <v>7.5879999999999992</v>
      </c>
      <c r="FM119">
        <v>7</v>
      </c>
      <c r="FN119">
        <v>-1.1600000000000001</v>
      </c>
      <c r="FO119">
        <v>-3.12</v>
      </c>
      <c r="FP119">
        <v>-2.1599999999999993</v>
      </c>
      <c r="FQ119">
        <v>0.64</v>
      </c>
      <c r="FR119">
        <v>-5.8400000000000007</v>
      </c>
      <c r="FS119">
        <v>-1.0400000000000005</v>
      </c>
      <c r="FT119">
        <v>3.5599999999999996</v>
      </c>
      <c r="FU119">
        <v>-2.6399999999999979</v>
      </c>
      <c r="FV119">
        <v>-14.159999999999997</v>
      </c>
      <c r="FW119">
        <v>-5.1599999999999993</v>
      </c>
      <c r="FX119">
        <v>2.8000000000000003</v>
      </c>
      <c r="FY119">
        <v>13.88</v>
      </c>
      <c r="FZ119">
        <v>14</v>
      </c>
      <c r="GA119">
        <v>0.54639999999999977</v>
      </c>
      <c r="GB119">
        <v>-1.9414133333333332</v>
      </c>
      <c r="GC119">
        <v>-8.9999999999999964</v>
      </c>
      <c r="GD119">
        <v>-0.54639999999999977</v>
      </c>
      <c r="GE119">
        <v>-0.93223333333333325</v>
      </c>
      <c r="GF119">
        <v>-7.4026666666666658</v>
      </c>
      <c r="GG119">
        <v>-45.586666666666673</v>
      </c>
      <c r="GH119">
        <v>1.3511999999999995</v>
      </c>
      <c r="GI119">
        <v>-2.8800000000000017</v>
      </c>
      <c r="GJ119">
        <v>-4.1866666666666656</v>
      </c>
      <c r="GK119">
        <v>0.40000000000000036</v>
      </c>
    </row>
    <row r="120" spans="1:193" x14ac:dyDescent="0.2">
      <c r="A120" s="39">
        <v>43765</v>
      </c>
      <c r="B120" s="22" t="s">
        <v>248</v>
      </c>
      <c r="C120" s="41" t="s">
        <v>276</v>
      </c>
      <c r="D120" s="22" t="s">
        <v>294</v>
      </c>
      <c r="E120">
        <v>10.4</v>
      </c>
      <c r="F120">
        <v>13.1</v>
      </c>
      <c r="G120" s="14">
        <v>1.6</v>
      </c>
      <c r="H120">
        <v>6.8</v>
      </c>
      <c r="I120">
        <v>-1</v>
      </c>
      <c r="J120">
        <v>39.5</v>
      </c>
      <c r="L120" s="1" t="s">
        <v>276</v>
      </c>
      <c r="M120">
        <v>12</v>
      </c>
      <c r="N120">
        <v>1.3784000000000003</v>
      </c>
      <c r="O120">
        <v>15</v>
      </c>
      <c r="P120">
        <v>16</v>
      </c>
      <c r="Q120">
        <v>21</v>
      </c>
      <c r="R120">
        <v>-4.072000000000001</v>
      </c>
      <c r="S120">
        <v>11</v>
      </c>
      <c r="T120">
        <v>-6.3599999999999994</v>
      </c>
      <c r="U120">
        <v>-1.6600000000000001</v>
      </c>
      <c r="V120">
        <v>15</v>
      </c>
      <c r="W120">
        <v>14.5</v>
      </c>
      <c r="X120">
        <v>20</v>
      </c>
      <c r="Y120">
        <v>-0.82560000000000022</v>
      </c>
      <c r="Z120">
        <v>9</v>
      </c>
      <c r="AA120">
        <v>4.5999999999999996</v>
      </c>
      <c r="AB120">
        <v>-8.0000000000000154E-2</v>
      </c>
      <c r="AC120">
        <v>21</v>
      </c>
      <c r="AD120">
        <v>19.5</v>
      </c>
      <c r="AE120">
        <v>14</v>
      </c>
      <c r="AF120">
        <v>-0.39599999999999935</v>
      </c>
      <c r="AG120">
        <v>25</v>
      </c>
      <c r="AH120">
        <v>5.2399999999999993</v>
      </c>
      <c r="AI120">
        <v>0.23999999999999985</v>
      </c>
      <c r="AJ120">
        <v>9</v>
      </c>
      <c r="AK120">
        <v>8.5</v>
      </c>
      <c r="AL120">
        <v>9</v>
      </c>
      <c r="AM120">
        <v>1.423999999999999</v>
      </c>
      <c r="AN120">
        <v>8</v>
      </c>
      <c r="AO120">
        <v>-3.72</v>
      </c>
      <c r="AP120">
        <v>1.8399999999999999</v>
      </c>
      <c r="AQ120">
        <v>13</v>
      </c>
      <c r="AR120">
        <v>14.5</v>
      </c>
      <c r="AS120">
        <v>15</v>
      </c>
      <c r="AT120">
        <v>-1.3800000000000001</v>
      </c>
      <c r="AU120">
        <v>14</v>
      </c>
      <c r="AV120">
        <v>-5.120000000000001</v>
      </c>
      <c r="AW120">
        <v>-0.76</v>
      </c>
      <c r="AX120">
        <v>23</v>
      </c>
      <c r="AY120">
        <v>22.5</v>
      </c>
      <c r="AZ120">
        <v>25</v>
      </c>
      <c r="BA120">
        <v>1.268</v>
      </c>
      <c r="BB120">
        <v>20</v>
      </c>
      <c r="BC120">
        <v>3.88</v>
      </c>
      <c r="BD120">
        <v>2.04</v>
      </c>
      <c r="BE120">
        <v>29</v>
      </c>
      <c r="BF120">
        <v>28.5</v>
      </c>
      <c r="BG120">
        <v>30</v>
      </c>
      <c r="BH120">
        <v>0.89199999999999913</v>
      </c>
      <c r="BI120">
        <v>0.27999999999999831</v>
      </c>
      <c r="BJ120">
        <v>0.11999999999999993</v>
      </c>
      <c r="BK120">
        <v>25</v>
      </c>
      <c r="BL120">
        <v>23</v>
      </c>
      <c r="BM120">
        <v>23</v>
      </c>
      <c r="BN120">
        <v>-2.2399999999999998</v>
      </c>
      <c r="BO120">
        <v>23</v>
      </c>
      <c r="BP120">
        <v>-0.4</v>
      </c>
      <c r="BQ120">
        <v>-1.6</v>
      </c>
      <c r="BR120">
        <v>24</v>
      </c>
      <c r="BS120">
        <v>20.75</v>
      </c>
      <c r="BT120">
        <v>25</v>
      </c>
      <c r="BU120">
        <v>3.2698210048881758E-2</v>
      </c>
      <c r="BV120">
        <v>25</v>
      </c>
      <c r="BW120">
        <v>1.7211139478321501E-2</v>
      </c>
      <c r="BX120">
        <v>5</v>
      </c>
      <c r="BY120">
        <v>-6.4680000000000035</v>
      </c>
      <c r="BZ120">
        <v>28</v>
      </c>
      <c r="CA120">
        <v>2</v>
      </c>
      <c r="CB120">
        <v>0.72000000000000031</v>
      </c>
      <c r="CC120">
        <v>-2.72</v>
      </c>
      <c r="CD120">
        <v>-0.28000000000000014</v>
      </c>
      <c r="CE120">
        <v>-7.7600000000000078</v>
      </c>
      <c r="CF120">
        <v>-8.6400000000000041</v>
      </c>
      <c r="CG120">
        <v>-7.6</v>
      </c>
      <c r="CH120">
        <v>-3.9599999999999995</v>
      </c>
      <c r="CI120">
        <v>12.440000000000001</v>
      </c>
      <c r="CJ120">
        <v>6</v>
      </c>
      <c r="CK120">
        <v>6.2760000000000016</v>
      </c>
      <c r="CL120">
        <v>2.8324800000000008</v>
      </c>
      <c r="CM120">
        <v>-1.0400000000000045</v>
      </c>
      <c r="CN120">
        <v>-6.2760000000000016</v>
      </c>
      <c r="CO120">
        <v>-0.65240000000000031</v>
      </c>
      <c r="CP120">
        <v>-0.35200000000000053</v>
      </c>
      <c r="CQ120">
        <v>-3.6000000000000019</v>
      </c>
      <c r="CR120">
        <v>-4.8976000000000015</v>
      </c>
      <c r="CS120">
        <v>-1.7599999999999998</v>
      </c>
      <c r="CT120">
        <v>1.4399999999999995</v>
      </c>
      <c r="CU120">
        <v>-1.7400000000000002</v>
      </c>
      <c r="CV120">
        <v>-0.72533749999999997</v>
      </c>
      <c r="CW120">
        <v>-1.263225</v>
      </c>
      <c r="CX120" t="s">
        <v>294</v>
      </c>
      <c r="CY120">
        <v>30</v>
      </c>
      <c r="CZ120">
        <v>0.31440000000000057</v>
      </c>
      <c r="DA120">
        <v>18</v>
      </c>
      <c r="DB120">
        <v>19.5</v>
      </c>
      <c r="DC120">
        <v>7</v>
      </c>
      <c r="DD120">
        <v>-0.83199999999999896</v>
      </c>
      <c r="DE120">
        <v>32</v>
      </c>
      <c r="DF120">
        <v>-20.6</v>
      </c>
      <c r="DG120">
        <v>0.6</v>
      </c>
      <c r="DH120">
        <v>5</v>
      </c>
      <c r="DI120">
        <v>8</v>
      </c>
      <c r="DJ120">
        <v>13</v>
      </c>
      <c r="DK120">
        <v>-3.8240000000000007</v>
      </c>
      <c r="DL120">
        <v>3</v>
      </c>
      <c r="DM120">
        <v>-6.3599999999999994</v>
      </c>
      <c r="DN120">
        <v>-0.88000000000000012</v>
      </c>
      <c r="DO120">
        <v>30</v>
      </c>
      <c r="DP120">
        <v>24</v>
      </c>
      <c r="DQ120">
        <v>24</v>
      </c>
      <c r="DR120">
        <v>-1.782</v>
      </c>
      <c r="DS120">
        <v>24</v>
      </c>
      <c r="DT120">
        <v>-2.6000000000000014</v>
      </c>
      <c r="DU120">
        <v>0.86</v>
      </c>
      <c r="DV120">
        <v>31</v>
      </c>
      <c r="DW120">
        <v>30.5</v>
      </c>
      <c r="DX120">
        <v>30</v>
      </c>
      <c r="DY120">
        <v>3.5479999999999996</v>
      </c>
      <c r="DZ120">
        <v>31</v>
      </c>
      <c r="EA120">
        <v>10.200000000000001</v>
      </c>
      <c r="EB120">
        <v>0.12000000000000011</v>
      </c>
      <c r="EC120">
        <v>29</v>
      </c>
      <c r="ED120">
        <v>20</v>
      </c>
      <c r="EE120">
        <v>18</v>
      </c>
      <c r="EF120">
        <v>0.53200000000000025</v>
      </c>
      <c r="EG120">
        <v>22</v>
      </c>
      <c r="EH120">
        <v>-3.2400000000000011</v>
      </c>
      <c r="EI120">
        <v>0.24000000000000005</v>
      </c>
      <c r="EJ120">
        <v>32</v>
      </c>
      <c r="EK120">
        <v>32</v>
      </c>
      <c r="EL120">
        <v>32</v>
      </c>
      <c r="EM120">
        <v>-7.5</v>
      </c>
      <c r="EN120">
        <v>32</v>
      </c>
      <c r="EO120">
        <v>-34.6</v>
      </c>
      <c r="EP120">
        <v>-3.0799999999999996</v>
      </c>
      <c r="EQ120">
        <v>8</v>
      </c>
      <c r="ER120">
        <v>8.5</v>
      </c>
      <c r="ES120">
        <v>12</v>
      </c>
      <c r="ET120">
        <v>0.58400000000000019</v>
      </c>
      <c r="EU120">
        <v>5</v>
      </c>
      <c r="EV120">
        <v>-2.9600000000000009</v>
      </c>
      <c r="EW120">
        <v>0.44000000000000006</v>
      </c>
      <c r="EX120">
        <v>31</v>
      </c>
      <c r="EY120">
        <v>28.5</v>
      </c>
      <c r="EZ120">
        <v>26</v>
      </c>
      <c r="FA120">
        <v>-3.9999999999999682E-2</v>
      </c>
      <c r="FB120">
        <v>31</v>
      </c>
      <c r="FC120">
        <v>0.76</v>
      </c>
      <c r="FD120">
        <v>1.56</v>
      </c>
      <c r="FE120">
        <v>4</v>
      </c>
      <c r="FF120">
        <v>8.75</v>
      </c>
      <c r="FG120">
        <v>3</v>
      </c>
      <c r="FH120">
        <v>2.4086606927198578E-2</v>
      </c>
      <c r="FI120">
        <v>4</v>
      </c>
      <c r="FJ120">
        <v>1.3522178879530519E-2</v>
      </c>
      <c r="FK120">
        <v>14</v>
      </c>
      <c r="FL120">
        <v>-1.8960000000000008</v>
      </c>
      <c r="FM120">
        <v>14</v>
      </c>
      <c r="FN120">
        <v>1.9600000000000002</v>
      </c>
      <c r="FO120">
        <v>0.35999999999999943</v>
      </c>
      <c r="FP120">
        <v>0.48000000000000043</v>
      </c>
      <c r="FQ120">
        <v>0.36</v>
      </c>
      <c r="FR120">
        <v>2.4</v>
      </c>
      <c r="FS120">
        <v>1.8399999999999999</v>
      </c>
      <c r="FT120">
        <v>0.20000000000000009</v>
      </c>
      <c r="FU120">
        <v>-8.4799999999999951</v>
      </c>
      <c r="FV120">
        <v>-7.7600000000000025</v>
      </c>
      <c r="FW120">
        <v>-17.520000000000003</v>
      </c>
      <c r="FX120">
        <v>8.6399999999999988</v>
      </c>
      <c r="FY120">
        <v>8.16</v>
      </c>
      <c r="FZ120">
        <v>6</v>
      </c>
      <c r="GA120">
        <v>4.9703999999999997</v>
      </c>
      <c r="GB120">
        <v>2.9672799999999997</v>
      </c>
      <c r="GC120">
        <v>9.7600000000000016</v>
      </c>
      <c r="GD120">
        <v>-4.9704000000000006</v>
      </c>
      <c r="GE120">
        <v>-0.18744999999999978</v>
      </c>
      <c r="GF120">
        <v>2.298</v>
      </c>
      <c r="GG120">
        <v>4.3599999999999985</v>
      </c>
      <c r="GH120">
        <v>-4.6559999999999997</v>
      </c>
      <c r="GI120">
        <v>-26.96</v>
      </c>
      <c r="GJ120">
        <v>1.6600000000000001</v>
      </c>
      <c r="GK120">
        <v>-0.28000000000000014</v>
      </c>
    </row>
    <row r="121" spans="1:193" x14ac:dyDescent="0.2">
      <c r="A121" s="39">
        <v>43765</v>
      </c>
      <c r="B121" s="22" t="s">
        <v>248</v>
      </c>
      <c r="C121" s="41" t="s">
        <v>301</v>
      </c>
      <c r="D121" s="22" t="s">
        <v>256</v>
      </c>
      <c r="E121">
        <v>8.8000000000000007</v>
      </c>
      <c r="F121">
        <v>8.6</v>
      </c>
      <c r="G121">
        <v>3.2</v>
      </c>
      <c r="H121">
        <v>3.3</v>
      </c>
      <c r="I121">
        <v>4.5</v>
      </c>
      <c r="J121">
        <v>41</v>
      </c>
      <c r="K121" t="s">
        <v>110</v>
      </c>
      <c r="L121" s="1" t="s">
        <v>301</v>
      </c>
      <c r="M121">
        <v>31</v>
      </c>
      <c r="N121">
        <v>-6.2904000000000009</v>
      </c>
      <c r="O121">
        <v>2</v>
      </c>
      <c r="P121">
        <v>3</v>
      </c>
      <c r="Q121">
        <v>1</v>
      </c>
      <c r="R121">
        <v>16.839199999999998</v>
      </c>
      <c r="S121">
        <v>5</v>
      </c>
      <c r="T121">
        <v>50.96</v>
      </c>
      <c r="U121">
        <v>2.5999999999999996</v>
      </c>
      <c r="V121">
        <v>32</v>
      </c>
      <c r="W121">
        <v>31.5</v>
      </c>
      <c r="X121">
        <v>31</v>
      </c>
      <c r="Y121">
        <v>-0.66399999999999981</v>
      </c>
      <c r="Z121">
        <v>32</v>
      </c>
      <c r="AA121">
        <v>3.04</v>
      </c>
      <c r="AB121">
        <v>-0.72</v>
      </c>
      <c r="AC121">
        <v>7</v>
      </c>
      <c r="AD121">
        <v>6.5</v>
      </c>
      <c r="AE121">
        <v>7</v>
      </c>
      <c r="AF121">
        <v>-4.1999999999999984</v>
      </c>
      <c r="AG121">
        <v>6</v>
      </c>
      <c r="AH121">
        <v>-11.399999999999997</v>
      </c>
      <c r="AI121">
        <v>-1.64</v>
      </c>
      <c r="AJ121">
        <v>21</v>
      </c>
      <c r="AK121">
        <v>20.5</v>
      </c>
      <c r="AL121">
        <v>20</v>
      </c>
      <c r="AM121">
        <v>-0.26000000000000012</v>
      </c>
      <c r="AN121">
        <v>21</v>
      </c>
      <c r="AO121">
        <v>-10.640000000000002</v>
      </c>
      <c r="AP121">
        <v>1.04</v>
      </c>
      <c r="AQ121">
        <v>23</v>
      </c>
      <c r="AR121">
        <v>23.5</v>
      </c>
      <c r="AS121">
        <v>23</v>
      </c>
      <c r="AT121">
        <v>-1.2479999999999993</v>
      </c>
      <c r="AU121">
        <v>24</v>
      </c>
      <c r="AV121">
        <v>-3.9599999999999995</v>
      </c>
      <c r="AW121">
        <v>-0.24000000000000005</v>
      </c>
      <c r="AX121">
        <v>24</v>
      </c>
      <c r="AY121">
        <v>25</v>
      </c>
      <c r="AZ121">
        <v>23</v>
      </c>
      <c r="BA121">
        <v>-5.3519999999999985</v>
      </c>
      <c r="BB121">
        <v>27</v>
      </c>
      <c r="BC121">
        <v>-33.519999999999996</v>
      </c>
      <c r="BD121">
        <v>-2.6399999999999997</v>
      </c>
      <c r="BE121">
        <v>20</v>
      </c>
      <c r="BF121">
        <v>22</v>
      </c>
      <c r="BG121">
        <v>20</v>
      </c>
      <c r="BH121">
        <v>-4.9719999999999995</v>
      </c>
      <c r="BI121">
        <v>-22.52</v>
      </c>
      <c r="BJ121">
        <v>-2.36</v>
      </c>
      <c r="BK121">
        <v>32</v>
      </c>
      <c r="BL121">
        <v>31.5</v>
      </c>
      <c r="BM121">
        <v>32</v>
      </c>
      <c r="BN121">
        <v>1.64</v>
      </c>
      <c r="BO121">
        <v>31</v>
      </c>
      <c r="BP121">
        <v>0.84000000000000008</v>
      </c>
      <c r="BQ121">
        <v>5.6</v>
      </c>
      <c r="BR121">
        <v>4</v>
      </c>
      <c r="BS121">
        <v>8.5</v>
      </c>
      <c r="BT121">
        <v>4</v>
      </c>
      <c r="BU121">
        <v>-6.906813746816319E-2</v>
      </c>
      <c r="BV121">
        <v>6</v>
      </c>
      <c r="BW121">
        <v>8.1739073201759476E-3</v>
      </c>
      <c r="BX121">
        <v>17</v>
      </c>
      <c r="BY121">
        <v>-5.1200000000000045</v>
      </c>
      <c r="BZ121">
        <v>7</v>
      </c>
      <c r="CA121">
        <v>-1.64</v>
      </c>
      <c r="CB121">
        <v>1.2799999999999998</v>
      </c>
      <c r="CC121">
        <v>3.8</v>
      </c>
      <c r="CD121">
        <v>0.51999999999999991</v>
      </c>
      <c r="CE121">
        <v>11.599999999999989</v>
      </c>
      <c r="CF121">
        <v>-40.880000000000003</v>
      </c>
      <c r="CG121">
        <v>54.760000000000005</v>
      </c>
      <c r="CH121">
        <v>5.5200000000000005</v>
      </c>
      <c r="CI121">
        <v>-7.8</v>
      </c>
      <c r="CJ121">
        <v>32</v>
      </c>
      <c r="CK121">
        <v>-22.465599999999998</v>
      </c>
      <c r="CL121">
        <v>-11.481679999999997</v>
      </c>
      <c r="CM121">
        <v>-95.640000000000015</v>
      </c>
      <c r="CN121">
        <v>22.465599999999998</v>
      </c>
      <c r="CO121">
        <v>0.10559999999999994</v>
      </c>
      <c r="CP121">
        <v>-5.7079999999999975</v>
      </c>
      <c r="CQ121">
        <v>-26</v>
      </c>
      <c r="CR121">
        <v>16.175199999999997</v>
      </c>
      <c r="CS121">
        <v>54</v>
      </c>
      <c r="CT121">
        <v>-3.1999999999999997</v>
      </c>
      <c r="CU121">
        <v>1.8799999999999997</v>
      </c>
      <c r="CV121">
        <v>-2.4981000000000004</v>
      </c>
      <c r="CW121">
        <v>5.5999999999997441E-3</v>
      </c>
      <c r="CX121" t="s">
        <v>256</v>
      </c>
      <c r="CY121">
        <v>22</v>
      </c>
      <c r="CZ121">
        <v>-8.7744</v>
      </c>
      <c r="DA121">
        <v>14</v>
      </c>
      <c r="DB121">
        <v>16</v>
      </c>
      <c r="DC121">
        <v>22</v>
      </c>
      <c r="DD121">
        <v>-7.4520000000000008</v>
      </c>
      <c r="DE121">
        <v>10</v>
      </c>
      <c r="DF121">
        <v>-5.160000000000001</v>
      </c>
      <c r="DG121">
        <v>-1.7600000000000002</v>
      </c>
      <c r="DH121">
        <v>32</v>
      </c>
      <c r="DI121">
        <v>32</v>
      </c>
      <c r="DJ121">
        <v>32</v>
      </c>
      <c r="DK121">
        <v>-2.62</v>
      </c>
      <c r="DL121">
        <v>32</v>
      </c>
      <c r="DM121">
        <v>-2.92</v>
      </c>
      <c r="DN121">
        <v>-0.88000000000000012</v>
      </c>
      <c r="DO121">
        <v>28</v>
      </c>
      <c r="DP121">
        <v>26.5</v>
      </c>
      <c r="DQ121">
        <v>23</v>
      </c>
      <c r="DR121">
        <v>-6.1959999999999988</v>
      </c>
      <c r="DS121">
        <v>30</v>
      </c>
      <c r="DT121">
        <v>-24.760000000000005</v>
      </c>
      <c r="DU121">
        <v>-1.6799999999999997</v>
      </c>
      <c r="DV121">
        <v>31</v>
      </c>
      <c r="DW121">
        <v>30.5</v>
      </c>
      <c r="DX121">
        <v>32</v>
      </c>
      <c r="DY121">
        <v>-2.4520000000000004</v>
      </c>
      <c r="DZ121">
        <v>29</v>
      </c>
      <c r="EA121">
        <v>-13.320000000000002</v>
      </c>
      <c r="EB121">
        <v>-0.84000000000000008</v>
      </c>
      <c r="EC121">
        <v>7</v>
      </c>
      <c r="ED121">
        <v>14</v>
      </c>
      <c r="EE121">
        <v>12</v>
      </c>
      <c r="EF121">
        <v>-2.6920000000000002</v>
      </c>
      <c r="EG121">
        <v>16</v>
      </c>
      <c r="EH121">
        <v>-16.96</v>
      </c>
      <c r="EI121">
        <v>-1.2399999999999998</v>
      </c>
      <c r="EJ121">
        <v>27</v>
      </c>
      <c r="EK121">
        <v>27</v>
      </c>
      <c r="EL121">
        <v>26</v>
      </c>
      <c r="EM121">
        <v>-8.395999999999999</v>
      </c>
      <c r="EN121">
        <v>28</v>
      </c>
      <c r="EO121">
        <v>-32.36</v>
      </c>
      <c r="EP121">
        <v>-3.84</v>
      </c>
      <c r="EQ121">
        <v>22</v>
      </c>
      <c r="ER121">
        <v>23.5</v>
      </c>
      <c r="ES121">
        <v>19</v>
      </c>
      <c r="ET121">
        <v>-5.4679999999999991</v>
      </c>
      <c r="EU121">
        <v>28</v>
      </c>
      <c r="EV121">
        <v>-24.279999999999998</v>
      </c>
      <c r="EW121">
        <v>-1.6800000000000002</v>
      </c>
      <c r="EX121">
        <v>18</v>
      </c>
      <c r="EY121">
        <v>20</v>
      </c>
      <c r="EZ121">
        <v>22</v>
      </c>
      <c r="FA121">
        <v>-4.3600000000000012</v>
      </c>
      <c r="FB121">
        <v>18</v>
      </c>
      <c r="FC121">
        <v>-1</v>
      </c>
      <c r="FD121">
        <v>-3.4400000000000004</v>
      </c>
      <c r="FE121">
        <v>13</v>
      </c>
      <c r="FF121">
        <v>14.75</v>
      </c>
      <c r="FG121">
        <v>23</v>
      </c>
      <c r="FH121">
        <v>4.298446470207784E-2</v>
      </c>
      <c r="FI121">
        <v>8</v>
      </c>
      <c r="FJ121">
        <v>7.2737452654640475E-2</v>
      </c>
      <c r="FK121">
        <v>24</v>
      </c>
      <c r="FL121">
        <v>-11.84</v>
      </c>
      <c r="FM121">
        <v>4</v>
      </c>
      <c r="FN121">
        <v>4.92</v>
      </c>
      <c r="FO121">
        <v>-7.4800000000000013</v>
      </c>
      <c r="FP121">
        <v>-2.9599999999999995</v>
      </c>
      <c r="FQ121">
        <v>-0.88000000000000012</v>
      </c>
      <c r="FR121">
        <v>-9.2000000000000011</v>
      </c>
      <c r="FS121">
        <v>-11.84</v>
      </c>
      <c r="FT121">
        <v>-0.79999999999999993</v>
      </c>
      <c r="FU121">
        <v>-112.07999999999997</v>
      </c>
      <c r="FV121">
        <v>-102.16</v>
      </c>
      <c r="FW121">
        <v>-8.5599999999999969</v>
      </c>
      <c r="FX121">
        <v>2.3200000000000003</v>
      </c>
      <c r="FY121">
        <v>-3.6799999999999997</v>
      </c>
      <c r="FZ121">
        <v>13</v>
      </c>
      <c r="GA121">
        <v>1.297600000000001</v>
      </c>
      <c r="GB121">
        <v>-8.0479999999999663E-2</v>
      </c>
      <c r="GC121">
        <v>-93.6</v>
      </c>
      <c r="GD121">
        <v>-1.297600000000001</v>
      </c>
      <c r="GE121">
        <v>-5.0018000000000002</v>
      </c>
      <c r="GF121">
        <v>-11.34</v>
      </c>
      <c r="GG121">
        <v>-55.040000000000006</v>
      </c>
      <c r="GH121">
        <v>-10.072000000000001</v>
      </c>
      <c r="GI121">
        <v>-8.0800000000000018</v>
      </c>
      <c r="GJ121">
        <v>-5.4399999999999995</v>
      </c>
      <c r="GK121">
        <v>-2.6400000000000006</v>
      </c>
    </row>
    <row r="122" spans="1:193" x14ac:dyDescent="0.2">
      <c r="A122" s="39">
        <v>43765</v>
      </c>
      <c r="B122" s="22" t="s">
        <v>248</v>
      </c>
      <c r="C122" s="41" t="s">
        <v>265</v>
      </c>
      <c r="D122" s="22" t="s">
        <v>287</v>
      </c>
      <c r="E122">
        <v>11.2</v>
      </c>
      <c r="F122" s="14">
        <v>9.6999999999999993</v>
      </c>
      <c r="G122">
        <v>9.3000000000000007</v>
      </c>
      <c r="H122">
        <v>2.6</v>
      </c>
      <c r="I122">
        <v>-3.5</v>
      </c>
      <c r="J122">
        <v>41</v>
      </c>
      <c r="K122" t="s">
        <v>110</v>
      </c>
      <c r="L122" s="1" t="s">
        <v>265</v>
      </c>
      <c r="M122">
        <v>28</v>
      </c>
      <c r="N122">
        <v>-3.8032000000000004</v>
      </c>
      <c r="O122">
        <v>20</v>
      </c>
      <c r="P122">
        <v>21</v>
      </c>
      <c r="Q122">
        <v>23</v>
      </c>
      <c r="R122">
        <v>-0.89600000000000057</v>
      </c>
      <c r="S122">
        <v>19</v>
      </c>
      <c r="T122">
        <v>2.3600000000000021</v>
      </c>
      <c r="U122">
        <v>-0.1999999999999999</v>
      </c>
      <c r="V122">
        <v>13</v>
      </c>
      <c r="W122">
        <v>13.5</v>
      </c>
      <c r="X122">
        <v>7</v>
      </c>
      <c r="Y122">
        <v>1.0720000000000005</v>
      </c>
      <c r="Z122">
        <v>20</v>
      </c>
      <c r="AA122">
        <v>-12.48</v>
      </c>
      <c r="AB122">
        <v>2.8</v>
      </c>
      <c r="AC122">
        <v>16</v>
      </c>
      <c r="AD122">
        <v>17</v>
      </c>
      <c r="AE122">
        <v>16</v>
      </c>
      <c r="AF122">
        <v>3.6279999999999988</v>
      </c>
      <c r="AG122">
        <v>18</v>
      </c>
      <c r="AH122">
        <v>12.36</v>
      </c>
      <c r="AI122">
        <v>1.8399999999999999</v>
      </c>
      <c r="AJ122">
        <v>11</v>
      </c>
      <c r="AK122">
        <v>11</v>
      </c>
      <c r="AL122">
        <v>13</v>
      </c>
      <c r="AM122">
        <v>3.0080000000000005</v>
      </c>
      <c r="AN122">
        <v>9</v>
      </c>
      <c r="AO122">
        <v>17.84</v>
      </c>
      <c r="AP122">
        <v>0.71999999999999975</v>
      </c>
      <c r="AQ122">
        <v>26</v>
      </c>
      <c r="AR122">
        <v>26</v>
      </c>
      <c r="AS122">
        <v>26</v>
      </c>
      <c r="AT122">
        <v>-1.6320000000000003</v>
      </c>
      <c r="AU122">
        <v>26</v>
      </c>
      <c r="AV122">
        <v>-6.7600000000000007</v>
      </c>
      <c r="AW122">
        <v>-0.44000000000000006</v>
      </c>
      <c r="AX122">
        <v>8</v>
      </c>
      <c r="AY122">
        <v>9</v>
      </c>
      <c r="AZ122">
        <v>9</v>
      </c>
      <c r="BA122">
        <v>0.53199999999999792</v>
      </c>
      <c r="BB122">
        <v>9</v>
      </c>
      <c r="BC122">
        <v>10.52</v>
      </c>
      <c r="BD122">
        <v>2.6000000000000005</v>
      </c>
      <c r="BE122">
        <v>29</v>
      </c>
      <c r="BF122">
        <v>28.5</v>
      </c>
      <c r="BG122">
        <v>25</v>
      </c>
      <c r="BH122">
        <v>-6.3560000000000016</v>
      </c>
      <c r="BI122">
        <v>-28.68</v>
      </c>
      <c r="BJ122">
        <v>-1.9999999999999996</v>
      </c>
      <c r="BK122">
        <v>30</v>
      </c>
      <c r="BL122">
        <v>29.5</v>
      </c>
      <c r="BM122">
        <v>31</v>
      </c>
      <c r="BN122">
        <v>0.64</v>
      </c>
      <c r="BO122">
        <v>28</v>
      </c>
      <c r="BP122">
        <v>0.64</v>
      </c>
      <c r="BQ122">
        <v>3.3600000000000003</v>
      </c>
      <c r="BR122">
        <v>18</v>
      </c>
      <c r="BS122">
        <v>15.5</v>
      </c>
      <c r="BT122">
        <v>20</v>
      </c>
      <c r="BU122">
        <v>1.2843867948444387E-4</v>
      </c>
      <c r="BV122">
        <v>11</v>
      </c>
      <c r="BW122">
        <v>1.0378652468172423E-2</v>
      </c>
      <c r="BX122">
        <v>20</v>
      </c>
      <c r="BY122">
        <v>-2.8639999999999985</v>
      </c>
      <c r="BZ122">
        <v>11</v>
      </c>
      <c r="CA122">
        <v>-0.20000000000000018</v>
      </c>
      <c r="CB122">
        <v>1.8</v>
      </c>
      <c r="CC122">
        <v>-1.7600000000000002</v>
      </c>
      <c r="CD122">
        <v>1.6799999999999997</v>
      </c>
      <c r="CE122">
        <v>-34.319999999999993</v>
      </c>
      <c r="CF122">
        <v>-16.080000000000013</v>
      </c>
      <c r="CG122">
        <v>-13.879999999999999</v>
      </c>
      <c r="CH122">
        <v>3.84</v>
      </c>
      <c r="CI122">
        <v>-8.1999999999999993</v>
      </c>
      <c r="CJ122">
        <v>26</v>
      </c>
      <c r="CK122">
        <v>-3.9792000000000001</v>
      </c>
      <c r="CL122">
        <v>-1.1190400000000005</v>
      </c>
      <c r="CM122">
        <v>-2.2000000000000135</v>
      </c>
      <c r="CN122">
        <v>3.9792000000000005</v>
      </c>
      <c r="CO122">
        <v>-0.54240000000000044</v>
      </c>
      <c r="CP122">
        <v>5.0039999999999987</v>
      </c>
      <c r="CQ122">
        <v>23.439999999999998</v>
      </c>
      <c r="CR122">
        <v>0.17599999999999993</v>
      </c>
      <c r="CS122">
        <v>-10.119999999999997</v>
      </c>
      <c r="CT122">
        <v>0.12000000000000011</v>
      </c>
      <c r="CU122">
        <v>2.6</v>
      </c>
      <c r="CV122">
        <v>-0.46067500000000006</v>
      </c>
      <c r="CW122">
        <v>-0.50219999999999987</v>
      </c>
      <c r="CX122" t="s">
        <v>287</v>
      </c>
      <c r="CY122">
        <v>26</v>
      </c>
      <c r="CZ122">
        <v>-0.18120000000000047</v>
      </c>
      <c r="DA122">
        <v>7</v>
      </c>
      <c r="DB122">
        <v>10</v>
      </c>
      <c r="DC122">
        <v>11</v>
      </c>
      <c r="DD122">
        <v>4.7119999999999989</v>
      </c>
      <c r="DE122">
        <v>9</v>
      </c>
      <c r="DF122">
        <v>2.1599999999999993</v>
      </c>
      <c r="DG122">
        <v>8.0000000000000071E-2</v>
      </c>
      <c r="DH122">
        <v>21</v>
      </c>
      <c r="DI122">
        <v>18.5</v>
      </c>
      <c r="DJ122">
        <v>9</v>
      </c>
      <c r="DK122">
        <v>-1.8799999999999997</v>
      </c>
      <c r="DL122">
        <v>28</v>
      </c>
      <c r="DM122">
        <v>4.68</v>
      </c>
      <c r="DN122">
        <v>-1.24</v>
      </c>
      <c r="DO122">
        <v>28</v>
      </c>
      <c r="DP122">
        <v>26.5</v>
      </c>
      <c r="DQ122">
        <v>26</v>
      </c>
      <c r="DR122">
        <v>-4.8800000000000008</v>
      </c>
      <c r="DS122">
        <v>27</v>
      </c>
      <c r="DT122">
        <v>-23.6</v>
      </c>
      <c r="DU122">
        <v>-2.3600000000000003</v>
      </c>
      <c r="DV122">
        <v>21</v>
      </c>
      <c r="DW122">
        <v>22</v>
      </c>
      <c r="DX122">
        <v>22</v>
      </c>
      <c r="DY122">
        <v>-4.4279999999999999</v>
      </c>
      <c r="DZ122">
        <v>22</v>
      </c>
      <c r="EA122">
        <v>-17.32</v>
      </c>
      <c r="EB122">
        <v>-1.9599999999999997</v>
      </c>
      <c r="EC122">
        <v>18</v>
      </c>
      <c r="ED122">
        <v>20.5</v>
      </c>
      <c r="EE122">
        <v>23</v>
      </c>
      <c r="EF122">
        <v>-0.29999999999999966</v>
      </c>
      <c r="EG122">
        <v>18</v>
      </c>
      <c r="EH122">
        <v>3</v>
      </c>
      <c r="EI122">
        <v>-0.96</v>
      </c>
      <c r="EJ122">
        <v>22</v>
      </c>
      <c r="EK122">
        <v>23</v>
      </c>
      <c r="EL122">
        <v>25</v>
      </c>
      <c r="EM122">
        <v>0.28799999999999953</v>
      </c>
      <c r="EN122">
        <v>21</v>
      </c>
      <c r="EO122">
        <v>1.2799999999999983</v>
      </c>
      <c r="EP122">
        <v>-3.3600000000000003</v>
      </c>
      <c r="EQ122">
        <v>30</v>
      </c>
      <c r="ER122">
        <v>27.5</v>
      </c>
      <c r="ES122">
        <v>28</v>
      </c>
      <c r="ET122">
        <v>3.2840000000000003</v>
      </c>
      <c r="EU122">
        <v>27</v>
      </c>
      <c r="EV122">
        <v>11.24</v>
      </c>
      <c r="EW122">
        <v>-0.4</v>
      </c>
      <c r="EX122">
        <v>3</v>
      </c>
      <c r="EY122">
        <v>3.5</v>
      </c>
      <c r="EZ122">
        <v>4</v>
      </c>
      <c r="FA122">
        <v>0.32000000000000012</v>
      </c>
      <c r="FB122">
        <v>3</v>
      </c>
      <c r="FC122">
        <v>0.24000000000000005</v>
      </c>
      <c r="FD122">
        <v>0.48000000000000015</v>
      </c>
      <c r="FE122">
        <v>25</v>
      </c>
      <c r="FF122">
        <v>21.5</v>
      </c>
      <c r="FG122">
        <v>20</v>
      </c>
      <c r="FH122">
        <v>6.8255608733913675E-3</v>
      </c>
      <c r="FI122">
        <v>25</v>
      </c>
      <c r="FJ122">
        <v>-3.4319063918989562E-4</v>
      </c>
      <c r="FK122">
        <v>18</v>
      </c>
      <c r="FL122">
        <v>1.1479999999999961</v>
      </c>
      <c r="FM122">
        <v>23</v>
      </c>
      <c r="FN122">
        <v>-1.52</v>
      </c>
      <c r="FO122">
        <v>-6.36</v>
      </c>
      <c r="FP122">
        <v>0.2</v>
      </c>
      <c r="FQ122">
        <v>0.11999999999999984</v>
      </c>
      <c r="FR122">
        <v>-6.56</v>
      </c>
      <c r="FS122">
        <v>0.44000000000000022</v>
      </c>
      <c r="FT122">
        <v>0.83999999999999986</v>
      </c>
      <c r="FU122">
        <v>-4.6000000000000112</v>
      </c>
      <c r="FV122">
        <v>-5.7599999999999962</v>
      </c>
      <c r="FW122">
        <v>7.0800000000000036</v>
      </c>
      <c r="FX122">
        <v>-0.5199999999999998</v>
      </c>
      <c r="FY122">
        <v>-5.4</v>
      </c>
      <c r="FZ122">
        <v>25</v>
      </c>
      <c r="GA122">
        <v>-3.0131999999999994</v>
      </c>
      <c r="GB122">
        <v>-2.717039999999999</v>
      </c>
      <c r="GC122">
        <v>-12.84</v>
      </c>
      <c r="GD122">
        <v>3.0131999999999994</v>
      </c>
      <c r="GE122">
        <v>-0.41915000000000019</v>
      </c>
      <c r="GF122">
        <v>-9.6079999999999988</v>
      </c>
      <c r="GG122">
        <v>-37.92</v>
      </c>
      <c r="GH122">
        <v>2.831999999999999</v>
      </c>
      <c r="GI122">
        <v>6.839999999999999</v>
      </c>
      <c r="GJ122">
        <v>-5.6800000000000006</v>
      </c>
      <c r="GK122">
        <v>-1.1599999999999999</v>
      </c>
    </row>
    <row r="123" spans="1:193" x14ac:dyDescent="0.2">
      <c r="A123" s="39">
        <v>43765</v>
      </c>
      <c r="B123" s="22" t="s">
        <v>248</v>
      </c>
      <c r="C123" s="17" t="s">
        <v>272</v>
      </c>
      <c r="D123" s="22" t="s">
        <v>304</v>
      </c>
      <c r="E123">
        <v>12.8</v>
      </c>
      <c r="F123">
        <v>11.5</v>
      </c>
      <c r="G123">
        <v>15.7</v>
      </c>
      <c r="H123">
        <v>14.8</v>
      </c>
      <c r="I123">
        <v>12</v>
      </c>
      <c r="J123">
        <v>48.5</v>
      </c>
      <c r="K123" t="s">
        <v>109</v>
      </c>
      <c r="L123" s="1" t="s">
        <v>272</v>
      </c>
      <c r="M123">
        <v>20</v>
      </c>
      <c r="N123">
        <v>-1.4180000000000004</v>
      </c>
      <c r="O123">
        <v>29</v>
      </c>
      <c r="P123">
        <v>28</v>
      </c>
      <c r="Q123">
        <v>26</v>
      </c>
      <c r="R123">
        <v>-5.6039999999999974</v>
      </c>
      <c r="S123">
        <v>30</v>
      </c>
      <c r="T123">
        <v>-22.84</v>
      </c>
      <c r="U123">
        <v>-0.68000000000000016</v>
      </c>
      <c r="V123">
        <v>24</v>
      </c>
      <c r="W123">
        <v>24</v>
      </c>
      <c r="X123">
        <v>24</v>
      </c>
      <c r="Y123">
        <v>-2.4503999999999997</v>
      </c>
      <c r="Z123">
        <v>24</v>
      </c>
      <c r="AA123">
        <v>-18.28</v>
      </c>
      <c r="AB123">
        <v>0.76000000000000012</v>
      </c>
      <c r="AC123">
        <v>22</v>
      </c>
      <c r="AD123">
        <v>20</v>
      </c>
      <c r="AE123">
        <v>17</v>
      </c>
      <c r="AF123">
        <v>1.5320000000000005</v>
      </c>
      <c r="AG123">
        <v>23</v>
      </c>
      <c r="AH123">
        <v>2.8800000000000012</v>
      </c>
      <c r="AI123">
        <v>3.28</v>
      </c>
      <c r="AJ123">
        <v>20</v>
      </c>
      <c r="AK123">
        <v>19</v>
      </c>
      <c r="AL123">
        <v>23</v>
      </c>
      <c r="AM123">
        <v>-1.8720000000000003</v>
      </c>
      <c r="AN123">
        <v>15</v>
      </c>
      <c r="AO123">
        <v>-2.5600000000000009</v>
      </c>
      <c r="AP123">
        <v>0.24000000000000021</v>
      </c>
      <c r="AQ123">
        <v>2</v>
      </c>
      <c r="AR123">
        <v>2</v>
      </c>
      <c r="AS123">
        <v>2</v>
      </c>
      <c r="AT123">
        <v>5.2280000000000006</v>
      </c>
      <c r="AU123">
        <v>2</v>
      </c>
      <c r="AV123">
        <v>32.96</v>
      </c>
      <c r="AW123">
        <v>3.88</v>
      </c>
      <c r="AX123">
        <v>14</v>
      </c>
      <c r="AY123">
        <v>14.5</v>
      </c>
      <c r="AZ123">
        <v>16</v>
      </c>
      <c r="BA123">
        <v>-2.052</v>
      </c>
      <c r="BB123">
        <v>13</v>
      </c>
      <c r="BC123">
        <v>-12.520000000000003</v>
      </c>
      <c r="BD123">
        <v>0.35999999999999976</v>
      </c>
      <c r="BE123">
        <v>17</v>
      </c>
      <c r="BF123">
        <v>17.5</v>
      </c>
      <c r="BG123">
        <v>19</v>
      </c>
      <c r="BH123">
        <v>-6.9760000000000009</v>
      </c>
      <c r="BI123">
        <v>-25.839999999999996</v>
      </c>
      <c r="BJ123">
        <v>-1.92</v>
      </c>
      <c r="BK123">
        <v>12</v>
      </c>
      <c r="BL123">
        <v>11.5</v>
      </c>
      <c r="BM123">
        <v>12</v>
      </c>
      <c r="BN123">
        <v>-0.4</v>
      </c>
      <c r="BO123">
        <v>11</v>
      </c>
      <c r="BP123">
        <v>-0.27999999999999997</v>
      </c>
      <c r="BQ123">
        <v>-3.28</v>
      </c>
      <c r="BR123">
        <v>10</v>
      </c>
      <c r="BS123">
        <v>12.75</v>
      </c>
      <c r="BT123">
        <v>13</v>
      </c>
      <c r="BU123">
        <v>-4.2694794899140763E-2</v>
      </c>
      <c r="BV123">
        <v>15</v>
      </c>
      <c r="BW123">
        <v>-5.8338480427629351E-4</v>
      </c>
      <c r="BX123">
        <v>11</v>
      </c>
      <c r="BY123">
        <v>-13.080000000000002</v>
      </c>
      <c r="BZ123">
        <v>12</v>
      </c>
      <c r="CA123">
        <v>2.6</v>
      </c>
      <c r="CB123">
        <v>-1.8</v>
      </c>
      <c r="CC123">
        <v>-6.8</v>
      </c>
      <c r="CD123">
        <v>-8.8817841970012528E-17</v>
      </c>
      <c r="CE123">
        <v>-56.88000000000001</v>
      </c>
      <c r="CF123">
        <v>-9.0799999999999947</v>
      </c>
      <c r="CG123">
        <v>-43</v>
      </c>
      <c r="CH123">
        <v>-0.35999999999999988</v>
      </c>
      <c r="CI123">
        <v>-4.4400000000000004</v>
      </c>
      <c r="CJ123">
        <v>5</v>
      </c>
      <c r="CK123">
        <v>6.6363999999999965</v>
      </c>
      <c r="CL123">
        <v>3.3259999999999987</v>
      </c>
      <c r="CM123">
        <v>33.92</v>
      </c>
      <c r="CN123">
        <v>-6.6363999999999974</v>
      </c>
      <c r="CO123">
        <v>-1.4950499999999998</v>
      </c>
      <c r="CP123">
        <v>4.8880000000000008</v>
      </c>
      <c r="CQ123">
        <v>33.28</v>
      </c>
      <c r="CR123">
        <v>-8.0543999999999976</v>
      </c>
      <c r="CS123">
        <v>-41.120000000000005</v>
      </c>
      <c r="CT123">
        <v>5.48</v>
      </c>
      <c r="CU123">
        <v>7.999999999999996E-2</v>
      </c>
      <c r="CV123">
        <v>0.12783333333333302</v>
      </c>
      <c r="CW123">
        <v>0.92826666666666624</v>
      </c>
      <c r="CX123" t="s">
        <v>304</v>
      </c>
      <c r="CY123">
        <v>16</v>
      </c>
      <c r="CZ123">
        <v>-0.84080000000000188</v>
      </c>
      <c r="DA123">
        <v>17</v>
      </c>
      <c r="DB123">
        <v>18</v>
      </c>
      <c r="DC123">
        <v>20</v>
      </c>
      <c r="DD123">
        <v>-2.383999999999999</v>
      </c>
      <c r="DE123">
        <v>16</v>
      </c>
      <c r="DF123">
        <v>-7.4000000000000012</v>
      </c>
      <c r="DG123">
        <v>8.0000000000000071E-2</v>
      </c>
      <c r="DH123">
        <v>4</v>
      </c>
      <c r="DI123">
        <v>6.5</v>
      </c>
      <c r="DJ123">
        <v>7</v>
      </c>
      <c r="DK123">
        <v>-1.3679999999999997</v>
      </c>
      <c r="DL123">
        <v>6</v>
      </c>
      <c r="DM123">
        <v>-5.4799999999999986</v>
      </c>
      <c r="DN123">
        <v>-0.44000000000000006</v>
      </c>
      <c r="DO123">
        <v>19</v>
      </c>
      <c r="DP123">
        <v>19.5</v>
      </c>
      <c r="DQ123">
        <v>17</v>
      </c>
      <c r="DR123">
        <v>-2.5560000000000005</v>
      </c>
      <c r="DS123">
        <v>22</v>
      </c>
      <c r="DT123">
        <v>-7.919999999999999</v>
      </c>
      <c r="DU123">
        <v>-0.67999999999999994</v>
      </c>
      <c r="DV123">
        <v>11</v>
      </c>
      <c r="DW123">
        <v>13</v>
      </c>
      <c r="DX123">
        <v>10</v>
      </c>
      <c r="DY123">
        <v>2.7359999999999998</v>
      </c>
      <c r="DZ123">
        <v>16</v>
      </c>
      <c r="EA123">
        <v>5.7200000000000006</v>
      </c>
      <c r="EB123">
        <v>1.0399999999999998</v>
      </c>
      <c r="EC123">
        <v>2</v>
      </c>
      <c r="ED123">
        <v>2</v>
      </c>
      <c r="EE123">
        <v>2</v>
      </c>
      <c r="EF123">
        <v>-2.2040000000000002</v>
      </c>
      <c r="EG123">
        <v>2</v>
      </c>
      <c r="EH123">
        <v>-7.44</v>
      </c>
      <c r="EI123">
        <v>-0.39999999999999991</v>
      </c>
      <c r="EJ123">
        <v>14</v>
      </c>
      <c r="EK123">
        <v>14</v>
      </c>
      <c r="EL123">
        <v>11</v>
      </c>
      <c r="EM123">
        <v>-4.1879999999999997</v>
      </c>
      <c r="EN123">
        <v>17</v>
      </c>
      <c r="EO123">
        <v>-26.68</v>
      </c>
      <c r="EP123">
        <v>-1.6799999999999997</v>
      </c>
      <c r="EQ123">
        <v>25</v>
      </c>
      <c r="ER123">
        <v>24.5</v>
      </c>
      <c r="ES123">
        <v>29</v>
      </c>
      <c r="ET123">
        <v>0.43599999999999961</v>
      </c>
      <c r="EU123">
        <v>20</v>
      </c>
      <c r="EV123">
        <v>1.6300000000000026</v>
      </c>
      <c r="EW123">
        <v>-1.35</v>
      </c>
      <c r="EX123">
        <v>28</v>
      </c>
      <c r="EY123">
        <v>26.5</v>
      </c>
      <c r="EZ123">
        <v>29</v>
      </c>
      <c r="FA123">
        <v>0.79999999999999982</v>
      </c>
      <c r="FB123">
        <v>24</v>
      </c>
      <c r="FC123">
        <v>0.2</v>
      </c>
      <c r="FD123">
        <v>0.43999999999999967</v>
      </c>
      <c r="FE123">
        <v>14</v>
      </c>
      <c r="FF123">
        <v>15</v>
      </c>
      <c r="FG123">
        <v>22</v>
      </c>
      <c r="FH123">
        <v>6.019082970377284E-2</v>
      </c>
      <c r="FI123">
        <v>10</v>
      </c>
      <c r="FJ123">
        <v>1.3315577793178268E-3</v>
      </c>
      <c r="FK123">
        <v>22</v>
      </c>
      <c r="FL123">
        <v>-3.1160000000000023</v>
      </c>
      <c r="FM123">
        <v>6</v>
      </c>
      <c r="FN123">
        <v>-8.0000000000000432E-2</v>
      </c>
      <c r="FO123">
        <v>-1.7199999999999989</v>
      </c>
      <c r="FP123">
        <v>2.8800000000000003</v>
      </c>
      <c r="FQ123">
        <v>-0.12000000000000006</v>
      </c>
      <c r="FR123">
        <v>0.67999999999999972</v>
      </c>
      <c r="FS123">
        <v>-0.51999999999999957</v>
      </c>
      <c r="FT123">
        <v>0.83999999999999986</v>
      </c>
      <c r="FU123">
        <v>-36.879999999999995</v>
      </c>
      <c r="FV123">
        <v>-10.52</v>
      </c>
      <c r="FW123">
        <v>-15.76</v>
      </c>
      <c r="FX123">
        <v>-4.5200000000000005</v>
      </c>
      <c r="FY123">
        <v>-6.080000000000001</v>
      </c>
      <c r="FZ123">
        <v>10</v>
      </c>
      <c r="GA123">
        <v>2.9111999999999965</v>
      </c>
      <c r="GB123">
        <v>1.3902399999999988</v>
      </c>
      <c r="GC123">
        <v>5.24</v>
      </c>
      <c r="GD123">
        <v>-2.9111999999999969</v>
      </c>
      <c r="GE123">
        <v>-0.6726000000000002</v>
      </c>
      <c r="GF123">
        <v>-2.0240000000000009</v>
      </c>
      <c r="GG123">
        <v>-9.6399999999999988</v>
      </c>
      <c r="GH123">
        <v>-3.7519999999999989</v>
      </c>
      <c r="GI123">
        <v>-12.879999999999999</v>
      </c>
      <c r="GJ123">
        <v>-1.3900000000000001</v>
      </c>
      <c r="GK123">
        <v>-0.36</v>
      </c>
    </row>
    <row r="124" spans="1:193" x14ac:dyDescent="0.2">
      <c r="A124" s="39">
        <v>43765</v>
      </c>
      <c r="B124" s="22" t="s">
        <v>248</v>
      </c>
      <c r="C124" s="41" t="s">
        <v>281</v>
      </c>
      <c r="D124" s="23" t="s">
        <v>302</v>
      </c>
      <c r="E124">
        <v>10.199999999999999</v>
      </c>
      <c r="F124">
        <v>11.5</v>
      </c>
      <c r="G124">
        <v>3.1</v>
      </c>
      <c r="H124">
        <v>11.3</v>
      </c>
      <c r="I124">
        <v>9.5</v>
      </c>
      <c r="J124">
        <v>43</v>
      </c>
      <c r="L124" s="1" t="s">
        <v>281</v>
      </c>
      <c r="M124">
        <v>18</v>
      </c>
      <c r="N124">
        <v>-0.91519999999999979</v>
      </c>
      <c r="O124">
        <v>5</v>
      </c>
      <c r="P124">
        <v>7</v>
      </c>
      <c r="Q124">
        <v>8</v>
      </c>
      <c r="R124">
        <v>8.4199999999999982</v>
      </c>
      <c r="S124">
        <v>6</v>
      </c>
      <c r="T124">
        <v>53.679999999999993</v>
      </c>
      <c r="U124">
        <v>0.36</v>
      </c>
      <c r="V124">
        <v>4</v>
      </c>
      <c r="W124">
        <v>6</v>
      </c>
      <c r="X124">
        <v>6</v>
      </c>
      <c r="Y124">
        <v>0.54560000000000031</v>
      </c>
      <c r="Z124">
        <v>6</v>
      </c>
      <c r="AA124">
        <v>-7.76</v>
      </c>
      <c r="AB124">
        <v>0.24</v>
      </c>
      <c r="AC124">
        <v>25</v>
      </c>
      <c r="AD124">
        <v>24.5</v>
      </c>
      <c r="AE124">
        <v>25</v>
      </c>
      <c r="AF124">
        <v>-1.5879999999999996</v>
      </c>
      <c r="AG124">
        <v>24</v>
      </c>
      <c r="AH124">
        <v>-1.9999999999999987</v>
      </c>
      <c r="AI124">
        <v>0.87999999999999989</v>
      </c>
      <c r="AJ124">
        <v>1</v>
      </c>
      <c r="AK124">
        <v>2.5</v>
      </c>
      <c r="AL124">
        <v>1</v>
      </c>
      <c r="AM124">
        <v>3.1119999999999992</v>
      </c>
      <c r="AN124">
        <v>4</v>
      </c>
      <c r="AO124">
        <v>33.480000000000004</v>
      </c>
      <c r="AP124">
        <v>1.2</v>
      </c>
      <c r="AQ124">
        <v>18</v>
      </c>
      <c r="AR124">
        <v>17.5</v>
      </c>
      <c r="AS124">
        <v>19</v>
      </c>
      <c r="AT124">
        <v>-1.6560000000000001</v>
      </c>
      <c r="AU124">
        <v>16</v>
      </c>
      <c r="AV124">
        <v>-8.6799999999999979</v>
      </c>
      <c r="AW124">
        <v>-0.27999999999999997</v>
      </c>
      <c r="AX124">
        <v>15</v>
      </c>
      <c r="AY124">
        <v>15.5</v>
      </c>
      <c r="AZ124">
        <v>15</v>
      </c>
      <c r="BA124">
        <v>2.1880000000000002</v>
      </c>
      <c r="BB124">
        <v>16</v>
      </c>
      <c r="BC124">
        <v>21.479999999999997</v>
      </c>
      <c r="BD124">
        <v>1.4799999999999998</v>
      </c>
      <c r="BE124">
        <v>23</v>
      </c>
      <c r="BF124">
        <v>23</v>
      </c>
      <c r="BG124">
        <v>21</v>
      </c>
      <c r="BH124">
        <v>2.0639999999999996</v>
      </c>
      <c r="BI124">
        <v>-4.6799999999999971</v>
      </c>
      <c r="BJ124">
        <v>-1.24</v>
      </c>
      <c r="BK124">
        <v>4</v>
      </c>
      <c r="BL124">
        <v>7</v>
      </c>
      <c r="BM124">
        <v>7</v>
      </c>
      <c r="BN124">
        <v>0.16000000000000023</v>
      </c>
      <c r="BO124">
        <v>7</v>
      </c>
      <c r="BP124">
        <v>-0.2</v>
      </c>
      <c r="BQ124">
        <v>-0.92000000000000015</v>
      </c>
      <c r="BR124">
        <v>30</v>
      </c>
      <c r="BS124">
        <v>29</v>
      </c>
      <c r="BT124">
        <v>31</v>
      </c>
      <c r="BU124">
        <v>-6.8898130286870196E-3</v>
      </c>
      <c r="BV124">
        <v>30</v>
      </c>
      <c r="BW124">
        <v>3.7586201072204221E-3</v>
      </c>
      <c r="BX124">
        <v>24</v>
      </c>
      <c r="BY124">
        <v>-3.3239999999999994</v>
      </c>
      <c r="BZ124">
        <v>31</v>
      </c>
      <c r="CA124">
        <v>0.44000000000000022</v>
      </c>
      <c r="CB124">
        <v>-8.000000000000114E-2</v>
      </c>
      <c r="CC124">
        <v>3.0000000000000009</v>
      </c>
      <c r="CD124">
        <v>-2.6000000000000005</v>
      </c>
      <c r="CE124">
        <v>41.92</v>
      </c>
      <c r="CF124">
        <v>6.3199999999999985</v>
      </c>
      <c r="CG124">
        <v>43.519999999999996</v>
      </c>
      <c r="CH124">
        <v>-4.4399999999999995</v>
      </c>
      <c r="CI124">
        <v>-3.4800000000000013</v>
      </c>
      <c r="CJ124">
        <v>30</v>
      </c>
      <c r="CK124">
        <v>-9.8807999999999989</v>
      </c>
      <c r="CL124">
        <v>-4.2794399999999992</v>
      </c>
      <c r="CM124">
        <v>-37.199999999999996</v>
      </c>
      <c r="CN124">
        <v>9.8807999999999989</v>
      </c>
      <c r="CO124">
        <v>1.2678</v>
      </c>
      <c r="CP124">
        <v>-0.13200000000000056</v>
      </c>
      <c r="CQ124">
        <v>22.800000000000004</v>
      </c>
      <c r="CR124">
        <v>8.9655999999999985</v>
      </c>
      <c r="CS124">
        <v>45.919999999999995</v>
      </c>
      <c r="CT124">
        <v>0.56000000000000005</v>
      </c>
      <c r="CU124">
        <v>0.6</v>
      </c>
      <c r="CV124">
        <v>-1.2156791666666666</v>
      </c>
      <c r="CW124">
        <v>8.2241666666666588E-2</v>
      </c>
      <c r="CX124" t="s">
        <v>302</v>
      </c>
      <c r="CY124">
        <v>28</v>
      </c>
      <c r="CZ124">
        <v>-6.3848000000000003</v>
      </c>
      <c r="DA124">
        <v>20</v>
      </c>
      <c r="DB124">
        <v>21</v>
      </c>
      <c r="DC124">
        <v>26</v>
      </c>
      <c r="DD124">
        <v>-2.8909999999999996</v>
      </c>
      <c r="DE124">
        <v>16</v>
      </c>
      <c r="DF124">
        <v>3.089999999999999</v>
      </c>
      <c r="DG124">
        <v>-1.0799999999999998</v>
      </c>
      <c r="DH124">
        <v>19</v>
      </c>
      <c r="DI124">
        <v>17</v>
      </c>
      <c r="DJ124">
        <v>15</v>
      </c>
      <c r="DK124">
        <v>0.41100000000000014</v>
      </c>
      <c r="DL124">
        <v>19</v>
      </c>
      <c r="DM124">
        <v>-6.2200000000000006</v>
      </c>
      <c r="DN124">
        <v>1.0899999999999999</v>
      </c>
      <c r="DO124">
        <v>31</v>
      </c>
      <c r="DP124">
        <v>29</v>
      </c>
      <c r="DQ124">
        <v>30</v>
      </c>
      <c r="DR124">
        <v>-0.44800000000000006</v>
      </c>
      <c r="DS124">
        <v>28</v>
      </c>
      <c r="DT124">
        <v>0.51999999999999746</v>
      </c>
      <c r="DU124">
        <v>0.76</v>
      </c>
      <c r="DV124">
        <v>24</v>
      </c>
      <c r="DW124">
        <v>25</v>
      </c>
      <c r="DX124">
        <v>26</v>
      </c>
      <c r="DY124">
        <v>-2.4119999999999999</v>
      </c>
      <c r="DZ124">
        <v>24</v>
      </c>
      <c r="EA124">
        <v>-8.52</v>
      </c>
      <c r="EB124">
        <v>1.3199999999999998</v>
      </c>
      <c r="EC124">
        <v>23</v>
      </c>
      <c r="ED124">
        <v>21</v>
      </c>
      <c r="EE124">
        <v>25</v>
      </c>
      <c r="EF124">
        <v>-2.2399999999999993</v>
      </c>
      <c r="EG124">
        <v>17</v>
      </c>
      <c r="EH124">
        <v>-12.8</v>
      </c>
      <c r="EI124">
        <v>0.92000000000000015</v>
      </c>
      <c r="EJ124">
        <v>22</v>
      </c>
      <c r="EK124">
        <v>23</v>
      </c>
      <c r="EL124">
        <v>24</v>
      </c>
      <c r="EM124">
        <v>-0.57600000000000084</v>
      </c>
      <c r="EN124">
        <v>22</v>
      </c>
      <c r="EO124">
        <v>-0.15999999999999942</v>
      </c>
      <c r="EP124">
        <v>1.2800000000000002</v>
      </c>
      <c r="EQ124">
        <v>20</v>
      </c>
      <c r="ER124">
        <v>20</v>
      </c>
      <c r="ES124">
        <v>18</v>
      </c>
      <c r="ET124">
        <v>-4.9440000000000008</v>
      </c>
      <c r="EU124">
        <v>22</v>
      </c>
      <c r="EV124">
        <v>-12.08</v>
      </c>
      <c r="EW124">
        <v>-1.52</v>
      </c>
      <c r="EX124">
        <v>24</v>
      </c>
      <c r="EY124">
        <v>23</v>
      </c>
      <c r="EZ124">
        <v>24</v>
      </c>
      <c r="FA124">
        <v>-1.2</v>
      </c>
      <c r="FB124">
        <v>22</v>
      </c>
      <c r="FC124">
        <v>-0.52</v>
      </c>
      <c r="FD124">
        <v>0</v>
      </c>
      <c r="FE124">
        <v>5</v>
      </c>
      <c r="FF124">
        <v>9.75</v>
      </c>
      <c r="FG124">
        <v>1</v>
      </c>
      <c r="FH124">
        <v>2.7417029776478551E-2</v>
      </c>
      <c r="FI124">
        <v>12</v>
      </c>
      <c r="FJ124">
        <v>-8.3623204862236181E-3</v>
      </c>
      <c r="FK124">
        <v>23</v>
      </c>
      <c r="FL124">
        <v>-11.027999999999997</v>
      </c>
      <c r="FM124">
        <v>3</v>
      </c>
      <c r="FN124">
        <v>5.4</v>
      </c>
      <c r="FO124">
        <v>0.72000000000000031</v>
      </c>
      <c r="FP124">
        <v>-0.68000000000000038</v>
      </c>
      <c r="FQ124">
        <v>-1</v>
      </c>
      <c r="FR124">
        <v>-2.0400000000000005</v>
      </c>
      <c r="FS124">
        <v>-6.9599999999999991</v>
      </c>
      <c r="FT124">
        <v>1.9599999999999997</v>
      </c>
      <c r="FU124">
        <v>-40.08</v>
      </c>
      <c r="FV124">
        <v>-43.12</v>
      </c>
      <c r="FW124">
        <v>1.9599999999999995</v>
      </c>
      <c r="FX124">
        <v>5.2799999999999994</v>
      </c>
      <c r="FY124">
        <v>-4.2000000000000011</v>
      </c>
      <c r="FZ124">
        <v>27</v>
      </c>
      <c r="GA124">
        <v>-3.9048000000000007</v>
      </c>
      <c r="GB124">
        <v>-2.0457600000000009</v>
      </c>
      <c r="GC124">
        <v>-45.08</v>
      </c>
      <c r="GD124">
        <v>3.9048000000000007</v>
      </c>
      <c r="GE124">
        <v>-2.5135999999999998</v>
      </c>
      <c r="GF124">
        <v>-5.0999999999999996</v>
      </c>
      <c r="GG124">
        <v>-20.800000000000004</v>
      </c>
      <c r="GH124">
        <v>-2.4799999999999995</v>
      </c>
      <c r="GI124">
        <v>-3.1300000000000017</v>
      </c>
      <c r="GJ124">
        <v>1.48</v>
      </c>
      <c r="GK124">
        <v>1.0000000000000009E-2</v>
      </c>
    </row>
    <row r="125" spans="1:193" x14ac:dyDescent="0.2">
      <c r="A125" s="39">
        <v>43765</v>
      </c>
      <c r="B125" t="s">
        <v>248</v>
      </c>
      <c r="C125" s="41" t="s">
        <v>278</v>
      </c>
      <c r="D125" t="s">
        <v>289</v>
      </c>
      <c r="E125">
        <v>10.199999999999999</v>
      </c>
      <c r="F125">
        <v>4.3</v>
      </c>
      <c r="G125">
        <v>2.6</v>
      </c>
      <c r="H125">
        <v>9.6999999999999993</v>
      </c>
      <c r="I125">
        <v>6</v>
      </c>
      <c r="J125">
        <v>41</v>
      </c>
      <c r="L125" s="1" t="s">
        <v>278</v>
      </c>
      <c r="M125">
        <v>32</v>
      </c>
      <c r="N125">
        <v>-6.638399999999999</v>
      </c>
      <c r="O125">
        <v>17</v>
      </c>
      <c r="P125">
        <v>17</v>
      </c>
      <c r="Q125">
        <v>24</v>
      </c>
      <c r="R125">
        <v>-2.1079999999999997</v>
      </c>
      <c r="S125">
        <v>10</v>
      </c>
      <c r="T125">
        <v>-1.4210854715202005E-15</v>
      </c>
      <c r="U125">
        <v>-1.04</v>
      </c>
      <c r="V125">
        <v>18</v>
      </c>
      <c r="W125">
        <v>17.5</v>
      </c>
      <c r="X125">
        <v>22</v>
      </c>
      <c r="Y125">
        <v>3.3090000000000002</v>
      </c>
      <c r="Z125">
        <v>13</v>
      </c>
      <c r="AA125">
        <v>12.54</v>
      </c>
      <c r="AB125">
        <v>1.6799999999999997</v>
      </c>
      <c r="AC125">
        <v>11</v>
      </c>
      <c r="AD125">
        <v>12.5</v>
      </c>
      <c r="AE125">
        <v>11</v>
      </c>
      <c r="AF125">
        <v>4.7729999999999997</v>
      </c>
      <c r="AG125">
        <v>14</v>
      </c>
      <c r="AH125">
        <v>21.19</v>
      </c>
      <c r="AI125">
        <v>0.88000000000000012</v>
      </c>
      <c r="AJ125">
        <v>31</v>
      </c>
      <c r="AK125">
        <v>30.5</v>
      </c>
      <c r="AL125">
        <v>31</v>
      </c>
      <c r="AM125">
        <v>-1.9360000000000004</v>
      </c>
      <c r="AN125">
        <v>30</v>
      </c>
      <c r="AO125">
        <v>-7.9600000000000009</v>
      </c>
      <c r="AP125">
        <v>-0.87000000000000011</v>
      </c>
      <c r="AQ125">
        <v>32</v>
      </c>
      <c r="AR125">
        <v>32</v>
      </c>
      <c r="AS125">
        <v>32</v>
      </c>
      <c r="AT125">
        <v>-2.4079999999999999</v>
      </c>
      <c r="AU125">
        <v>32</v>
      </c>
      <c r="AV125">
        <v>-16.080000000000002</v>
      </c>
      <c r="AW125">
        <v>-1.08</v>
      </c>
      <c r="AX125">
        <v>31</v>
      </c>
      <c r="AY125">
        <v>31.5</v>
      </c>
      <c r="AZ125">
        <v>31</v>
      </c>
      <c r="BA125">
        <v>-6.944</v>
      </c>
      <c r="BB125">
        <v>32</v>
      </c>
      <c r="BC125">
        <v>-25.04</v>
      </c>
      <c r="BD125">
        <v>-3.04</v>
      </c>
      <c r="BE125">
        <v>9</v>
      </c>
      <c r="BF125">
        <v>8.5</v>
      </c>
      <c r="BG125">
        <v>9</v>
      </c>
      <c r="BH125">
        <v>-6.9600000000000009</v>
      </c>
      <c r="BI125">
        <v>-25.560000000000002</v>
      </c>
      <c r="BJ125">
        <v>-2.3199999999999998</v>
      </c>
      <c r="BK125">
        <v>10</v>
      </c>
      <c r="BL125">
        <v>9</v>
      </c>
      <c r="BM125">
        <v>6</v>
      </c>
      <c r="BN125">
        <v>-0.47999999999999987</v>
      </c>
      <c r="BO125">
        <v>12</v>
      </c>
      <c r="BP125">
        <v>-4.0000000000000036E-2</v>
      </c>
      <c r="BQ125">
        <v>2</v>
      </c>
      <c r="BR125">
        <v>22</v>
      </c>
      <c r="BS125">
        <v>20.25</v>
      </c>
      <c r="BT125">
        <v>15</v>
      </c>
      <c r="BU125">
        <v>2.221693124170445E-2</v>
      </c>
      <c r="BV125">
        <v>19</v>
      </c>
      <c r="BW125">
        <v>3.6062082025149003E-2</v>
      </c>
      <c r="BX125">
        <v>28</v>
      </c>
      <c r="BY125">
        <v>2.5079999999999982</v>
      </c>
      <c r="BZ125">
        <v>19</v>
      </c>
      <c r="CA125">
        <v>4.08</v>
      </c>
      <c r="CB125">
        <v>-2.6400000000000006</v>
      </c>
      <c r="CC125">
        <v>-4.08</v>
      </c>
      <c r="CD125">
        <v>-0.55999999999999994</v>
      </c>
      <c r="CE125">
        <v>-42.040000000000006</v>
      </c>
      <c r="CF125">
        <v>-39.160000000000004</v>
      </c>
      <c r="CG125">
        <v>10.760000000000002</v>
      </c>
      <c r="CH125">
        <v>-1.3199999999999998</v>
      </c>
      <c r="CI125">
        <v>-12.319999999999999</v>
      </c>
      <c r="CJ125">
        <v>28</v>
      </c>
      <c r="CK125">
        <v>-7.8393999999999995</v>
      </c>
      <c r="CL125">
        <v>-3.2343800000000003</v>
      </c>
      <c r="CM125">
        <v>-49.92</v>
      </c>
      <c r="CN125">
        <v>7.8393999999999995</v>
      </c>
      <c r="CO125">
        <v>-1.5560499999999999</v>
      </c>
      <c r="CP125">
        <v>0.42899999999999938</v>
      </c>
      <c r="CQ125">
        <v>-2.8500000000000014</v>
      </c>
      <c r="CR125">
        <v>1.2010000000000005</v>
      </c>
      <c r="CS125">
        <v>12.539999999999997</v>
      </c>
      <c r="CT125">
        <v>-3.3899999999999997</v>
      </c>
      <c r="CU125">
        <v>0.63999999999999968</v>
      </c>
      <c r="CV125">
        <v>-1.5876999999999999</v>
      </c>
      <c r="CW125">
        <v>-2.3155999999999999</v>
      </c>
      <c r="CX125" t="s">
        <v>289</v>
      </c>
      <c r="CY125">
        <v>25</v>
      </c>
      <c r="CZ125">
        <v>-2.6064000000000016</v>
      </c>
      <c r="DA125">
        <v>20</v>
      </c>
      <c r="DB125">
        <v>21</v>
      </c>
      <c r="DC125">
        <v>17</v>
      </c>
      <c r="DD125">
        <v>-4.8920000000000003</v>
      </c>
      <c r="DE125">
        <v>25</v>
      </c>
      <c r="DF125">
        <v>-4.5600000000000005</v>
      </c>
      <c r="DG125">
        <v>0.12000000000000011</v>
      </c>
      <c r="DH125">
        <v>16</v>
      </c>
      <c r="DI125">
        <v>16.5</v>
      </c>
      <c r="DJ125">
        <v>26</v>
      </c>
      <c r="DK125">
        <v>-2.7960000000000003</v>
      </c>
      <c r="DL125">
        <v>7</v>
      </c>
      <c r="DM125">
        <v>-7.56</v>
      </c>
      <c r="DN125">
        <v>-1.44</v>
      </c>
      <c r="DO125">
        <v>24</v>
      </c>
      <c r="DP125">
        <v>20</v>
      </c>
      <c r="DQ125">
        <v>21</v>
      </c>
      <c r="DR125">
        <v>5.8120000000000003</v>
      </c>
      <c r="DS125">
        <v>19</v>
      </c>
      <c r="DT125">
        <v>17.760000000000002</v>
      </c>
      <c r="DU125">
        <v>0.92000000000000015</v>
      </c>
      <c r="DV125">
        <v>5</v>
      </c>
      <c r="DW125">
        <v>5.5</v>
      </c>
      <c r="DX125">
        <v>7</v>
      </c>
      <c r="DY125">
        <v>-4.0959999999999992</v>
      </c>
      <c r="DZ125">
        <v>4</v>
      </c>
      <c r="EA125">
        <v>-12.36</v>
      </c>
      <c r="EB125">
        <v>-2.12</v>
      </c>
      <c r="EC125">
        <v>29</v>
      </c>
      <c r="ED125">
        <v>26</v>
      </c>
      <c r="EE125">
        <v>24</v>
      </c>
      <c r="EF125">
        <v>2.596000000000001</v>
      </c>
      <c r="EG125">
        <v>28</v>
      </c>
      <c r="EH125">
        <v>2.4800000000000004</v>
      </c>
      <c r="EI125">
        <v>-0.15999999999999986</v>
      </c>
      <c r="EJ125">
        <v>17</v>
      </c>
      <c r="EK125">
        <v>16.5</v>
      </c>
      <c r="EL125">
        <v>15</v>
      </c>
      <c r="EM125">
        <v>-1.6079999999999994</v>
      </c>
      <c r="EN125">
        <v>18</v>
      </c>
      <c r="EO125">
        <v>-13.280000000000001</v>
      </c>
      <c r="EP125">
        <v>0</v>
      </c>
      <c r="EQ125">
        <v>27</v>
      </c>
      <c r="ER125">
        <v>26</v>
      </c>
      <c r="ES125">
        <v>27</v>
      </c>
      <c r="ET125">
        <v>-1.4560000000000002</v>
      </c>
      <c r="EU125">
        <v>25</v>
      </c>
      <c r="EV125">
        <v>-11.879999999999997</v>
      </c>
      <c r="EW125">
        <v>0.59999999999999964</v>
      </c>
      <c r="EX125">
        <v>5</v>
      </c>
      <c r="EY125">
        <v>4.5</v>
      </c>
      <c r="EZ125">
        <v>5</v>
      </c>
      <c r="FA125">
        <v>0.56000000000000016</v>
      </c>
      <c r="FB125">
        <v>4</v>
      </c>
      <c r="FC125">
        <v>3.9999999999999994E-2</v>
      </c>
      <c r="FD125">
        <v>-0.71999999999999975</v>
      </c>
      <c r="FE125">
        <v>28</v>
      </c>
      <c r="FF125">
        <v>23</v>
      </c>
      <c r="FG125">
        <v>27</v>
      </c>
      <c r="FH125">
        <v>4.1908416176484331E-3</v>
      </c>
      <c r="FI125">
        <v>18</v>
      </c>
      <c r="FJ125">
        <v>4.3046513565494213E-4</v>
      </c>
      <c r="FK125">
        <v>26</v>
      </c>
      <c r="FL125">
        <v>-1.819999999999999</v>
      </c>
      <c r="FM125">
        <v>21</v>
      </c>
      <c r="FN125">
        <v>-0.60000000000000031</v>
      </c>
      <c r="FO125">
        <v>-0.72000000000000097</v>
      </c>
      <c r="FP125">
        <v>-1.4</v>
      </c>
      <c r="FQ125">
        <v>-1.1600000000000001</v>
      </c>
      <c r="FR125">
        <v>-2.0799999999999996</v>
      </c>
      <c r="FS125">
        <v>-2.9199999999999995</v>
      </c>
      <c r="FT125">
        <v>0.28000000000000008</v>
      </c>
      <c r="FU125">
        <v>-18.360000000000014</v>
      </c>
      <c r="FV125">
        <v>-19.759999999999998</v>
      </c>
      <c r="FW125">
        <v>-10.559999999999999</v>
      </c>
      <c r="FX125">
        <v>11.32</v>
      </c>
      <c r="FY125">
        <v>0.64</v>
      </c>
      <c r="FZ125">
        <v>5</v>
      </c>
      <c r="GA125">
        <v>5.081599999999999</v>
      </c>
      <c r="GB125">
        <v>3.8939200000000005</v>
      </c>
      <c r="GC125">
        <v>-9.1999999999999993</v>
      </c>
      <c r="GD125">
        <v>-5.081599999999999</v>
      </c>
      <c r="GE125">
        <v>-0.85980000000000012</v>
      </c>
      <c r="GF125">
        <v>4.3120000000000021</v>
      </c>
      <c r="GG125">
        <v>7.8800000000000026</v>
      </c>
      <c r="GH125">
        <v>-7.6880000000000006</v>
      </c>
      <c r="GI125">
        <v>-12.120000000000001</v>
      </c>
      <c r="GJ125">
        <v>-0.76000000000000023</v>
      </c>
      <c r="GK125">
        <v>-1.3199999999999998</v>
      </c>
    </row>
    <row r="126" spans="1:193" x14ac:dyDescent="0.2">
      <c r="A126" s="39">
        <v>43765</v>
      </c>
      <c r="B126" s="22" t="s">
        <v>248</v>
      </c>
      <c r="C126" s="41" t="s">
        <v>299</v>
      </c>
      <c r="D126" s="22" t="s">
        <v>296</v>
      </c>
      <c r="E126">
        <v>32.299999999999997</v>
      </c>
      <c r="F126">
        <v>17.5</v>
      </c>
      <c r="G126">
        <v>11.9</v>
      </c>
      <c r="H126">
        <v>5.8</v>
      </c>
      <c r="I126">
        <v>-6.5</v>
      </c>
      <c r="J126">
        <v>49</v>
      </c>
      <c r="K126" t="s">
        <v>109</v>
      </c>
      <c r="L126" s="1" t="s">
        <v>299</v>
      </c>
      <c r="M126">
        <v>7</v>
      </c>
      <c r="N126">
        <v>2.6712000000000011</v>
      </c>
      <c r="O126">
        <v>28</v>
      </c>
      <c r="P126">
        <v>26</v>
      </c>
      <c r="Q126">
        <v>31</v>
      </c>
      <c r="R126">
        <v>-5.1440000000000001</v>
      </c>
      <c r="S126">
        <v>21</v>
      </c>
      <c r="T126">
        <v>-24.640000000000004</v>
      </c>
      <c r="U126">
        <v>-0.1999999999999999</v>
      </c>
      <c r="V126">
        <v>13</v>
      </c>
      <c r="W126">
        <v>13.5</v>
      </c>
      <c r="X126">
        <v>8</v>
      </c>
      <c r="Y126">
        <v>-2.7629999999999995</v>
      </c>
      <c r="Z126">
        <v>19</v>
      </c>
      <c r="AA126">
        <v>-4.7799999999999994</v>
      </c>
      <c r="AB126">
        <v>-0.24000000000000005</v>
      </c>
      <c r="AC126">
        <v>5</v>
      </c>
      <c r="AD126">
        <v>5.5</v>
      </c>
      <c r="AE126">
        <v>8</v>
      </c>
      <c r="AF126">
        <v>2.8999999999998492E-2</v>
      </c>
      <c r="AG126">
        <v>3</v>
      </c>
      <c r="AH126">
        <v>-4.45</v>
      </c>
      <c r="AI126">
        <v>-0.87999999999999967</v>
      </c>
      <c r="AJ126">
        <v>3</v>
      </c>
      <c r="AK126">
        <v>3.5</v>
      </c>
      <c r="AL126">
        <v>2</v>
      </c>
      <c r="AM126">
        <v>9.3360000000000021</v>
      </c>
      <c r="AN126">
        <v>5</v>
      </c>
      <c r="AO126">
        <v>31.28</v>
      </c>
      <c r="AP126">
        <v>2.37</v>
      </c>
      <c r="AQ126">
        <v>10</v>
      </c>
      <c r="AR126">
        <v>10</v>
      </c>
      <c r="AS126">
        <v>10</v>
      </c>
      <c r="AT126">
        <v>4.2640000000000002</v>
      </c>
      <c r="AU126">
        <v>10</v>
      </c>
      <c r="AV126">
        <v>27.04</v>
      </c>
      <c r="AW126">
        <v>0.59999999999999987</v>
      </c>
      <c r="AX126">
        <v>9</v>
      </c>
      <c r="AY126">
        <v>10.5</v>
      </c>
      <c r="AZ126">
        <v>13</v>
      </c>
      <c r="BA126">
        <v>10.040000000000001</v>
      </c>
      <c r="BB126">
        <v>8</v>
      </c>
      <c r="BC126">
        <v>61.759999999999991</v>
      </c>
      <c r="BD126">
        <v>-2.1999999999999997</v>
      </c>
      <c r="BE126">
        <v>20</v>
      </c>
      <c r="BF126">
        <v>22</v>
      </c>
      <c r="BG126">
        <v>23</v>
      </c>
      <c r="BH126">
        <v>-3.9800000000000013</v>
      </c>
      <c r="BI126">
        <v>-18.080000000000002</v>
      </c>
      <c r="BJ126">
        <v>-1.8399999999999999</v>
      </c>
      <c r="BK126">
        <v>23</v>
      </c>
      <c r="BL126">
        <v>22.5</v>
      </c>
      <c r="BM126">
        <v>20</v>
      </c>
      <c r="BN126">
        <v>4.04</v>
      </c>
      <c r="BO126">
        <v>25</v>
      </c>
      <c r="BP126">
        <v>0.52</v>
      </c>
      <c r="BQ126">
        <v>4.0000000000000036E-2</v>
      </c>
      <c r="BR126">
        <v>5</v>
      </c>
      <c r="BS126">
        <v>9</v>
      </c>
      <c r="BT126">
        <v>6</v>
      </c>
      <c r="BU126">
        <v>4.5917487142951184E-3</v>
      </c>
      <c r="BV126">
        <v>12</v>
      </c>
      <c r="BW126">
        <v>-3.4203414341906491E-3</v>
      </c>
      <c r="BX126">
        <v>9</v>
      </c>
      <c r="BY126">
        <v>-2.5280000000000031</v>
      </c>
      <c r="BZ126">
        <v>9</v>
      </c>
      <c r="CA126">
        <v>-2.64</v>
      </c>
      <c r="CB126">
        <v>-2.9200000000000004</v>
      </c>
      <c r="CC126">
        <v>2.7999999999999994</v>
      </c>
      <c r="CD126">
        <v>1.8799999999999997</v>
      </c>
      <c r="CE126">
        <v>-0.40000000000001135</v>
      </c>
      <c r="CF126">
        <v>32.159999999999989</v>
      </c>
      <c r="CG126">
        <v>-19.2</v>
      </c>
      <c r="CH126">
        <v>-4.4799999999999995</v>
      </c>
      <c r="CI126">
        <v>-8.879999999999999</v>
      </c>
      <c r="CJ126">
        <v>3</v>
      </c>
      <c r="CK126">
        <v>10.578200000000001</v>
      </c>
      <c r="CL126">
        <v>6.4175399999999998</v>
      </c>
      <c r="CM126">
        <v>51.359999999999985</v>
      </c>
      <c r="CN126">
        <v>-10.578200000000001</v>
      </c>
      <c r="CO126">
        <v>1.0566500000000001</v>
      </c>
      <c r="CP126">
        <v>13.629000000000001</v>
      </c>
      <c r="CQ126">
        <v>53.870000000000005</v>
      </c>
      <c r="CR126">
        <v>-7.907</v>
      </c>
      <c r="CS126">
        <v>-29.42</v>
      </c>
      <c r="CT126">
        <v>0.25000000000000044</v>
      </c>
      <c r="CU126">
        <v>-0.43999999999999995</v>
      </c>
      <c r="CV126">
        <v>0.8408374999999999</v>
      </c>
      <c r="CW126">
        <v>2.0863999999999998</v>
      </c>
      <c r="CX126" t="s">
        <v>296</v>
      </c>
      <c r="CY126">
        <v>5</v>
      </c>
      <c r="CZ126">
        <v>-0.98479999999999923</v>
      </c>
      <c r="DA126">
        <v>31</v>
      </c>
      <c r="DB126">
        <v>29</v>
      </c>
      <c r="DC126">
        <v>31</v>
      </c>
      <c r="DD126">
        <v>3.4079999999999999</v>
      </c>
      <c r="DE126">
        <v>27</v>
      </c>
      <c r="DF126">
        <v>26.68</v>
      </c>
      <c r="DG126">
        <v>0.44000000000000006</v>
      </c>
      <c r="DH126">
        <v>15</v>
      </c>
      <c r="DI126">
        <v>16</v>
      </c>
      <c r="DJ126">
        <v>24</v>
      </c>
      <c r="DK126">
        <v>-1.8599999999999999</v>
      </c>
      <c r="DL126">
        <v>8</v>
      </c>
      <c r="DM126">
        <v>-4.08</v>
      </c>
      <c r="DN126">
        <v>-1.2</v>
      </c>
      <c r="DO126">
        <v>4</v>
      </c>
      <c r="DP126">
        <v>4.5</v>
      </c>
      <c r="DQ126">
        <v>4</v>
      </c>
      <c r="DR126">
        <v>5.0719999999999983</v>
      </c>
      <c r="DS126">
        <v>5</v>
      </c>
      <c r="DT126">
        <v>22.159999999999997</v>
      </c>
      <c r="DU126">
        <v>1.1199999999999999</v>
      </c>
      <c r="DV126">
        <v>13</v>
      </c>
      <c r="DW126">
        <v>13.5</v>
      </c>
      <c r="DX126">
        <v>14</v>
      </c>
      <c r="DY126">
        <v>-9.657</v>
      </c>
      <c r="DZ126">
        <v>13</v>
      </c>
      <c r="EA126">
        <v>-41.14</v>
      </c>
      <c r="EB126">
        <v>-3.5799999999999996</v>
      </c>
      <c r="EC126">
        <v>24</v>
      </c>
      <c r="ED126">
        <v>13.5</v>
      </c>
      <c r="EE126">
        <v>16</v>
      </c>
      <c r="EF126">
        <v>0.89600000000000013</v>
      </c>
      <c r="EG126">
        <v>11</v>
      </c>
      <c r="EH126">
        <v>5.8000000000000016</v>
      </c>
      <c r="EI126">
        <v>-0.6399999999999999</v>
      </c>
      <c r="EJ126">
        <v>2</v>
      </c>
      <c r="EK126">
        <v>3.5</v>
      </c>
      <c r="EL126">
        <v>4</v>
      </c>
      <c r="EM126">
        <v>-1.9960000000000009</v>
      </c>
      <c r="EN126">
        <v>3</v>
      </c>
      <c r="EO126">
        <v>-24.6</v>
      </c>
      <c r="EP126">
        <v>15.039999999999997</v>
      </c>
      <c r="EQ126">
        <v>17</v>
      </c>
      <c r="ER126">
        <v>15.5</v>
      </c>
      <c r="ES126">
        <v>15</v>
      </c>
      <c r="ET126">
        <v>-2.6719999999999997</v>
      </c>
      <c r="EU126">
        <v>16</v>
      </c>
      <c r="EV126">
        <v>-8.3199999999999985</v>
      </c>
      <c r="EW126">
        <v>8.0000000000000154E-2</v>
      </c>
      <c r="EX126">
        <v>2</v>
      </c>
      <c r="EY126">
        <v>3</v>
      </c>
      <c r="EZ126">
        <v>2</v>
      </c>
      <c r="FA126">
        <v>2.5599999999999996</v>
      </c>
      <c r="FB126">
        <v>4</v>
      </c>
      <c r="FC126">
        <v>0.76</v>
      </c>
      <c r="FD126">
        <v>5.16</v>
      </c>
      <c r="FE126">
        <v>29</v>
      </c>
      <c r="FF126">
        <v>24</v>
      </c>
      <c r="FG126">
        <v>11</v>
      </c>
      <c r="FH126">
        <v>-4.2820537678745038E-2</v>
      </c>
      <c r="FI126">
        <v>27</v>
      </c>
      <c r="FJ126">
        <v>6.5839455554950761E-3</v>
      </c>
      <c r="FK126">
        <v>31</v>
      </c>
      <c r="FL126">
        <v>-16.175999999999998</v>
      </c>
      <c r="FM126">
        <v>27</v>
      </c>
      <c r="FN126">
        <v>2.96</v>
      </c>
      <c r="FO126">
        <v>-3.6399999999999992</v>
      </c>
      <c r="FP126">
        <v>2.4799999999999995</v>
      </c>
      <c r="FQ126">
        <v>1.2400000000000002</v>
      </c>
      <c r="FR126">
        <v>-0.52000000000000168</v>
      </c>
      <c r="FS126">
        <v>-1.6399999999999995</v>
      </c>
      <c r="FT126">
        <v>1.92</v>
      </c>
      <c r="FU126">
        <v>15.160000000000002</v>
      </c>
      <c r="FV126">
        <v>-2.5199999999999987</v>
      </c>
      <c r="FW126">
        <v>25</v>
      </c>
      <c r="FX126">
        <v>-4.6399999999999988</v>
      </c>
      <c r="FY126">
        <v>-2.6799999999999997</v>
      </c>
      <c r="FZ126">
        <v>23</v>
      </c>
      <c r="GA126">
        <v>-2.5327999999999995</v>
      </c>
      <c r="GB126">
        <v>-2.24316</v>
      </c>
      <c r="GC126">
        <v>-27.52</v>
      </c>
      <c r="GD126">
        <v>2.5327999999999991</v>
      </c>
      <c r="GE126">
        <v>-0.40472500000000011</v>
      </c>
      <c r="GF126">
        <v>-3.6890000000000018</v>
      </c>
      <c r="GG126">
        <v>-13.180000000000003</v>
      </c>
      <c r="GH126">
        <v>1.548</v>
      </c>
      <c r="GI126">
        <v>22.6</v>
      </c>
      <c r="GJ126">
        <v>-3.0199999999999996</v>
      </c>
      <c r="GK126">
        <v>-0.7599999999999999</v>
      </c>
    </row>
    <row r="127" spans="1:193" x14ac:dyDescent="0.2">
      <c r="A127" s="39">
        <v>43765</v>
      </c>
      <c r="B127" s="22" t="s">
        <v>248</v>
      </c>
      <c r="C127" s="41" t="s">
        <v>300</v>
      </c>
      <c r="D127" s="22" t="s">
        <v>288</v>
      </c>
      <c r="E127" s="3">
        <v>1.4</v>
      </c>
      <c r="F127" s="30">
        <v>1.7</v>
      </c>
      <c r="G127" s="3">
        <v>9.1999999999999993</v>
      </c>
      <c r="H127">
        <v>7.1</v>
      </c>
      <c r="I127">
        <v>-5</v>
      </c>
      <c r="J127">
        <v>48</v>
      </c>
      <c r="L127" s="4" t="s">
        <v>300</v>
      </c>
      <c r="M127" s="3">
        <v>5</v>
      </c>
      <c r="N127" s="3">
        <v>5.0407999999999991</v>
      </c>
      <c r="O127" s="3">
        <v>22</v>
      </c>
      <c r="P127" s="3">
        <v>21.5</v>
      </c>
      <c r="Q127" s="3">
        <v>14</v>
      </c>
      <c r="R127" s="3">
        <v>5.3080000000000016</v>
      </c>
      <c r="S127" s="3">
        <v>29</v>
      </c>
      <c r="T127" s="3">
        <v>-12.919999999999998</v>
      </c>
      <c r="U127" s="3">
        <v>1.3799999999999997</v>
      </c>
      <c r="V127" s="3">
        <v>2</v>
      </c>
      <c r="W127" s="3">
        <v>4</v>
      </c>
      <c r="X127" s="3">
        <v>4</v>
      </c>
      <c r="Y127" s="3">
        <v>3.504</v>
      </c>
      <c r="Z127" s="3">
        <v>4</v>
      </c>
      <c r="AA127">
        <v>14.52</v>
      </c>
      <c r="AB127">
        <v>0.76000000000000012</v>
      </c>
      <c r="AC127">
        <v>3</v>
      </c>
      <c r="AD127">
        <v>3.5</v>
      </c>
      <c r="AE127">
        <v>5</v>
      </c>
      <c r="AF127">
        <v>0.30799999999999877</v>
      </c>
      <c r="AG127">
        <v>2</v>
      </c>
      <c r="AH127">
        <v>22.16</v>
      </c>
      <c r="AI127">
        <v>-0.8</v>
      </c>
      <c r="AJ127">
        <v>16</v>
      </c>
      <c r="AK127">
        <v>17</v>
      </c>
      <c r="AL127">
        <v>17</v>
      </c>
      <c r="AM127">
        <v>-1.1640000000000008</v>
      </c>
      <c r="AN127">
        <v>17</v>
      </c>
      <c r="AO127">
        <v>-2.919999999999999</v>
      </c>
      <c r="AP127">
        <v>8.0000000000000071E-2</v>
      </c>
      <c r="AQ127">
        <v>20</v>
      </c>
      <c r="AR127">
        <v>19</v>
      </c>
      <c r="AS127">
        <v>18</v>
      </c>
      <c r="AT127">
        <v>2.0159999999999996</v>
      </c>
      <c r="AU127">
        <v>20</v>
      </c>
      <c r="AV127">
        <v>6.08</v>
      </c>
      <c r="AW127">
        <v>-0.36000000000000015</v>
      </c>
      <c r="AX127">
        <v>18</v>
      </c>
      <c r="AY127">
        <v>17</v>
      </c>
      <c r="AZ127">
        <v>12</v>
      </c>
      <c r="BA127">
        <v>3.2119999999999989</v>
      </c>
      <c r="BB127">
        <v>22</v>
      </c>
      <c r="BC127">
        <v>16.120000000000005</v>
      </c>
      <c r="BD127">
        <v>-0.11999999999999993</v>
      </c>
      <c r="BE127">
        <v>27</v>
      </c>
      <c r="BF127">
        <v>27</v>
      </c>
      <c r="BG127">
        <v>26</v>
      </c>
      <c r="BH127">
        <v>0.49599999999999989</v>
      </c>
      <c r="BI127">
        <v>8.5599999999999987</v>
      </c>
      <c r="BJ127">
        <v>-0.23999999999999985</v>
      </c>
      <c r="BK127">
        <v>31</v>
      </c>
      <c r="BL127">
        <v>31</v>
      </c>
      <c r="BM127">
        <v>30</v>
      </c>
      <c r="BN127">
        <v>1.56</v>
      </c>
      <c r="BO127">
        <v>32</v>
      </c>
      <c r="BP127">
        <v>-8.0000000000000029E-2</v>
      </c>
      <c r="BQ127">
        <v>-1.1199999999999999</v>
      </c>
      <c r="BR127">
        <v>16</v>
      </c>
      <c r="BS127">
        <v>14.5</v>
      </c>
      <c r="BT127">
        <v>17</v>
      </c>
      <c r="BU127">
        <v>-3.3968888077655635E-3</v>
      </c>
      <c r="BV127">
        <v>14</v>
      </c>
      <c r="BW127">
        <v>-3.3662240210221447E-2</v>
      </c>
      <c r="BX127">
        <v>3</v>
      </c>
      <c r="BY127">
        <v>13.067999999999998</v>
      </c>
      <c r="BZ127">
        <v>24</v>
      </c>
      <c r="CA127">
        <v>-5.08</v>
      </c>
      <c r="CB127">
        <v>-0.6</v>
      </c>
      <c r="CC127">
        <v>7.1599999999999993</v>
      </c>
      <c r="CD127">
        <v>-1.1199999999999999</v>
      </c>
      <c r="CE127">
        <v>55.760000000000005</v>
      </c>
      <c r="CF127">
        <v>63.199999999999989</v>
      </c>
      <c r="CG127">
        <v>-5.1199999999999992</v>
      </c>
      <c r="CH127">
        <v>-0.52000000000000013</v>
      </c>
      <c r="CI127">
        <v>-1.8</v>
      </c>
      <c r="CJ127">
        <v>25</v>
      </c>
      <c r="CK127">
        <v>-3.7712000000000026</v>
      </c>
      <c r="CL127">
        <v>-3.0666400000000014</v>
      </c>
      <c r="CM127">
        <v>68.319999999999993</v>
      </c>
      <c r="CN127">
        <v>3.7712000000000021</v>
      </c>
      <c r="CO127">
        <v>2.1335999999999995</v>
      </c>
      <c r="CP127">
        <v>1.1599999999999975</v>
      </c>
      <c r="CQ127">
        <v>25.32</v>
      </c>
      <c r="CR127">
        <v>8.8120000000000012</v>
      </c>
      <c r="CS127">
        <v>1.6000000000000014</v>
      </c>
      <c r="CT127">
        <v>-1.3199999999999998</v>
      </c>
      <c r="CU127">
        <v>2.1399999999999997</v>
      </c>
      <c r="CV127">
        <v>0.28010208333333331</v>
      </c>
      <c r="CW127">
        <v>0.73383750000000003</v>
      </c>
      <c r="CX127" t="s">
        <v>288</v>
      </c>
      <c r="CY127">
        <v>7</v>
      </c>
      <c r="CZ127">
        <v>-1.7703999999999998</v>
      </c>
      <c r="DA127">
        <v>3</v>
      </c>
      <c r="DB127">
        <v>3</v>
      </c>
      <c r="DC127">
        <v>3</v>
      </c>
      <c r="DD127">
        <v>7.0639999999999983</v>
      </c>
      <c r="DE127">
        <v>3</v>
      </c>
      <c r="DF127">
        <v>40</v>
      </c>
      <c r="DG127">
        <v>2.0000000000000018E-2</v>
      </c>
      <c r="DH127">
        <v>20</v>
      </c>
      <c r="DI127">
        <v>17.5</v>
      </c>
      <c r="DJ127">
        <v>5</v>
      </c>
      <c r="DK127">
        <v>3.2599999999999993</v>
      </c>
      <c r="DL127">
        <v>30</v>
      </c>
      <c r="DM127">
        <v>2.7600000000000011</v>
      </c>
      <c r="DN127">
        <v>0.88000000000000012</v>
      </c>
      <c r="DO127">
        <v>32</v>
      </c>
      <c r="DP127">
        <v>32</v>
      </c>
      <c r="DQ127">
        <v>32</v>
      </c>
      <c r="DR127">
        <v>-0.28800000000000042</v>
      </c>
      <c r="DS127">
        <v>32</v>
      </c>
      <c r="DT127">
        <v>-3.9466666666666663</v>
      </c>
      <c r="DU127">
        <v>0.72</v>
      </c>
      <c r="DV127">
        <v>24</v>
      </c>
      <c r="DW127">
        <v>25</v>
      </c>
      <c r="DX127">
        <v>23</v>
      </c>
      <c r="DY127">
        <v>-5.6159999999999997</v>
      </c>
      <c r="DZ127">
        <v>27</v>
      </c>
      <c r="EA127">
        <v>-12.213333333333333</v>
      </c>
      <c r="EB127">
        <v>-0.43999999999999984</v>
      </c>
      <c r="EC127">
        <v>13</v>
      </c>
      <c r="ED127">
        <v>12.5</v>
      </c>
      <c r="EE127">
        <v>12</v>
      </c>
      <c r="EF127">
        <v>-1.5306666666666664</v>
      </c>
      <c r="EG127">
        <v>13</v>
      </c>
      <c r="EH127">
        <v>-6.7866666666666644</v>
      </c>
      <c r="EI127">
        <v>5.3333333333333233E-2</v>
      </c>
      <c r="EJ127">
        <v>12</v>
      </c>
      <c r="EK127">
        <v>12</v>
      </c>
      <c r="EL127">
        <v>8</v>
      </c>
      <c r="EM127">
        <v>1.584000000000001</v>
      </c>
      <c r="EN127">
        <v>16</v>
      </c>
      <c r="EO127">
        <v>-0.15999999999999659</v>
      </c>
      <c r="EP127">
        <v>2.2800000000000002</v>
      </c>
      <c r="EQ127">
        <v>2</v>
      </c>
      <c r="ER127">
        <v>2</v>
      </c>
      <c r="ES127">
        <v>2</v>
      </c>
      <c r="ET127">
        <v>-0.90799999999999947</v>
      </c>
      <c r="EU127">
        <v>2</v>
      </c>
      <c r="EV127">
        <v>-2.7599999999999967</v>
      </c>
      <c r="EW127">
        <v>0.56000000000000016</v>
      </c>
      <c r="EX127">
        <v>20</v>
      </c>
      <c r="EY127">
        <v>21</v>
      </c>
      <c r="EZ127">
        <v>25</v>
      </c>
      <c r="FA127">
        <v>-1.5999999999999996</v>
      </c>
      <c r="FB127">
        <v>17</v>
      </c>
      <c r="FC127">
        <v>-7.9999999999999932E-2</v>
      </c>
      <c r="FD127">
        <v>-2.4</v>
      </c>
      <c r="FE127">
        <v>2</v>
      </c>
      <c r="FF127">
        <v>7.25</v>
      </c>
      <c r="FG127">
        <v>4</v>
      </c>
      <c r="FH127">
        <v>6.3573982616987323E-3</v>
      </c>
      <c r="FI127">
        <v>13</v>
      </c>
      <c r="FJ127">
        <v>4.7370009484787104E-3</v>
      </c>
      <c r="FK127">
        <v>3</v>
      </c>
      <c r="FL127">
        <v>-7.892000000000003</v>
      </c>
      <c r="FM127">
        <v>9</v>
      </c>
      <c r="FN127">
        <v>2.4799999999999995</v>
      </c>
      <c r="FO127">
        <v>3.0399999999999983</v>
      </c>
      <c r="FP127">
        <v>5.8</v>
      </c>
      <c r="FQ127">
        <v>-0.24000000000000021</v>
      </c>
      <c r="FR127">
        <v>9.1199999999999992</v>
      </c>
      <c r="FS127">
        <v>-0.23999999999999985</v>
      </c>
      <c r="FT127">
        <v>-1.48</v>
      </c>
      <c r="FU127">
        <v>23.839999999999996</v>
      </c>
      <c r="FV127">
        <v>-14.960000000000008</v>
      </c>
      <c r="FW127">
        <v>43.2</v>
      </c>
      <c r="FX127">
        <v>0.91999999999999993</v>
      </c>
      <c r="FY127">
        <v>-5.32</v>
      </c>
      <c r="FZ127">
        <v>32</v>
      </c>
      <c r="GA127">
        <v>-12.094399999999998</v>
      </c>
      <c r="GB127">
        <v>-7.1846133333333322</v>
      </c>
      <c r="GC127">
        <v>-58.160000000000011</v>
      </c>
      <c r="GD127">
        <v>12.094399999999998</v>
      </c>
      <c r="GE127">
        <v>-0.17363333333333347</v>
      </c>
      <c r="GF127">
        <v>-7.4346666666666668</v>
      </c>
      <c r="GG127">
        <v>-22.946666666666665</v>
      </c>
      <c r="GH127">
        <v>10.323999999999998</v>
      </c>
      <c r="GI127">
        <v>42.76</v>
      </c>
      <c r="GJ127">
        <v>0.89333333333333353</v>
      </c>
      <c r="GK127">
        <v>0.90000000000000013</v>
      </c>
    </row>
    <row r="128" spans="1:193" x14ac:dyDescent="0.2">
      <c r="A128" s="39">
        <v>43765</v>
      </c>
      <c r="B128" s="22" t="s">
        <v>248</v>
      </c>
      <c r="C128" s="41" t="s">
        <v>311</v>
      </c>
      <c r="D128" s="22" t="s">
        <v>303</v>
      </c>
      <c r="E128">
        <v>24.9</v>
      </c>
      <c r="F128">
        <v>5.2</v>
      </c>
      <c r="G128">
        <v>5.6</v>
      </c>
      <c r="H128">
        <f>23.8+3.1</f>
        <v>26.900000000000002</v>
      </c>
      <c r="I128">
        <v>-5</v>
      </c>
      <c r="J128">
        <v>52</v>
      </c>
      <c r="K128" t="s">
        <v>109</v>
      </c>
      <c r="L128" s="1" t="s">
        <v>311</v>
      </c>
      <c r="M128">
        <v>1</v>
      </c>
      <c r="N128">
        <v>7.2992000000000008</v>
      </c>
      <c r="O128">
        <v>22</v>
      </c>
      <c r="P128">
        <v>21.5</v>
      </c>
      <c r="Q128">
        <v>30</v>
      </c>
      <c r="R128">
        <v>-6.2640000000000002</v>
      </c>
      <c r="S128">
        <v>13</v>
      </c>
      <c r="T128">
        <v>-11.64</v>
      </c>
      <c r="U128">
        <v>-1.8800000000000001</v>
      </c>
      <c r="V128">
        <v>8</v>
      </c>
      <c r="W128">
        <v>9.5</v>
      </c>
      <c r="X128">
        <v>3</v>
      </c>
      <c r="Y128">
        <v>1.3360000000000003</v>
      </c>
      <c r="Z128">
        <v>16</v>
      </c>
      <c r="AA128">
        <v>10.719999999999997</v>
      </c>
      <c r="AB128">
        <v>-0.20000000000000004</v>
      </c>
      <c r="AC128">
        <v>2</v>
      </c>
      <c r="AD128">
        <v>2.5</v>
      </c>
      <c r="AE128">
        <v>1</v>
      </c>
      <c r="AF128">
        <v>1.5280000000000005</v>
      </c>
      <c r="AG128">
        <v>4</v>
      </c>
      <c r="AH128">
        <v>8.16</v>
      </c>
      <c r="AI128">
        <v>1.4400000000000002</v>
      </c>
      <c r="AJ128">
        <v>15</v>
      </c>
      <c r="AK128">
        <v>15</v>
      </c>
      <c r="AL128">
        <v>16</v>
      </c>
      <c r="AM128">
        <v>6.2720000000000002</v>
      </c>
      <c r="AN128">
        <v>14</v>
      </c>
      <c r="AO128">
        <v>26.24</v>
      </c>
      <c r="AP128">
        <v>2.96</v>
      </c>
      <c r="AQ128">
        <v>21</v>
      </c>
      <c r="AR128">
        <v>21</v>
      </c>
      <c r="AS128">
        <v>21</v>
      </c>
      <c r="AT128">
        <v>3.2039999999999997</v>
      </c>
      <c r="AU128">
        <v>21</v>
      </c>
      <c r="AV128">
        <v>18.96</v>
      </c>
      <c r="AW128">
        <v>1.1199999999999999</v>
      </c>
      <c r="AX128">
        <v>17</v>
      </c>
      <c r="AY128">
        <v>16.5</v>
      </c>
      <c r="AZ128">
        <v>21</v>
      </c>
      <c r="BA128">
        <v>1.2</v>
      </c>
      <c r="BB128">
        <v>12</v>
      </c>
      <c r="BC128">
        <v>18.399999999999999</v>
      </c>
      <c r="BD128">
        <v>2</v>
      </c>
      <c r="BE128">
        <v>11</v>
      </c>
      <c r="BF128">
        <v>12</v>
      </c>
      <c r="BG128">
        <v>11</v>
      </c>
      <c r="BH128">
        <v>5.0440000000000014</v>
      </c>
      <c r="BI128">
        <v>12.959999999999999</v>
      </c>
      <c r="BJ128">
        <v>-0.12000000000000011</v>
      </c>
      <c r="BK128">
        <v>22</v>
      </c>
      <c r="BL128">
        <v>20.5</v>
      </c>
      <c r="BM128">
        <v>22</v>
      </c>
      <c r="BN128">
        <v>-0.47999999999999987</v>
      </c>
      <c r="BO128">
        <v>19</v>
      </c>
      <c r="BP128">
        <v>3.9999999999999904E-2</v>
      </c>
      <c r="BQ128">
        <v>0.51999999999999991</v>
      </c>
      <c r="BR128">
        <v>20</v>
      </c>
      <c r="BS128">
        <v>17.5</v>
      </c>
      <c r="BT128">
        <v>1</v>
      </c>
      <c r="BU128">
        <v>7.7494903344480113E-3</v>
      </c>
      <c r="BV128">
        <v>24</v>
      </c>
      <c r="BW128">
        <v>-1.0054165258744795E-2</v>
      </c>
      <c r="BX128">
        <v>15</v>
      </c>
      <c r="BY128">
        <v>1.4079999999999984</v>
      </c>
      <c r="BZ128">
        <v>30</v>
      </c>
      <c r="CA128">
        <v>-0.92000000000000015</v>
      </c>
      <c r="CB128">
        <v>0.6</v>
      </c>
      <c r="CC128">
        <v>3.28</v>
      </c>
      <c r="CD128">
        <v>0.28000000000000008</v>
      </c>
      <c r="CE128">
        <v>46.080000000000005</v>
      </c>
      <c r="CF128">
        <v>44.680000000000007</v>
      </c>
      <c r="CG128">
        <v>-8.1199999999999992</v>
      </c>
      <c r="CH128">
        <v>-2.9200000000000004</v>
      </c>
      <c r="CI128">
        <v>12.440000000000001</v>
      </c>
      <c r="CJ128">
        <v>1</v>
      </c>
      <c r="CK128">
        <v>12.227200000000002</v>
      </c>
      <c r="CL128">
        <v>7.1334400000000002</v>
      </c>
      <c r="CM128">
        <v>52.800000000000004</v>
      </c>
      <c r="CN128">
        <v>-12.2272</v>
      </c>
      <c r="CO128">
        <v>2.2424000000000004</v>
      </c>
      <c r="CP128">
        <v>11.004000000000001</v>
      </c>
      <c r="CQ128">
        <v>53.36</v>
      </c>
      <c r="CR128">
        <v>-4.9279999999999999</v>
      </c>
      <c r="CS128">
        <v>-0.92000000000000348</v>
      </c>
      <c r="CT128">
        <v>5.4</v>
      </c>
      <c r="CU128">
        <v>-2.08</v>
      </c>
      <c r="CV128">
        <v>0.46405000000000007</v>
      </c>
      <c r="CW128">
        <v>0.65090000000000003</v>
      </c>
      <c r="CX128" t="s">
        <v>303</v>
      </c>
      <c r="CY128">
        <v>13</v>
      </c>
      <c r="CZ128">
        <v>3.3936000000000006</v>
      </c>
      <c r="DA128">
        <v>13</v>
      </c>
      <c r="DB128">
        <v>12</v>
      </c>
      <c r="DC128">
        <v>10</v>
      </c>
      <c r="DD128">
        <v>-2.9959999999999996</v>
      </c>
      <c r="DE128">
        <v>14</v>
      </c>
      <c r="DF128">
        <v>-4.32</v>
      </c>
      <c r="DG128">
        <v>-1.1199999999999999</v>
      </c>
      <c r="DH128">
        <v>6</v>
      </c>
      <c r="DI128">
        <v>8.5</v>
      </c>
      <c r="DJ128">
        <v>6</v>
      </c>
      <c r="DK128">
        <v>3.3760000000000003</v>
      </c>
      <c r="DL128">
        <v>11</v>
      </c>
      <c r="DM128">
        <v>-8.6</v>
      </c>
      <c r="DN128">
        <v>1.3599999999999999</v>
      </c>
      <c r="DO128">
        <v>18</v>
      </c>
      <c r="DP128">
        <v>25</v>
      </c>
      <c r="DQ128">
        <v>25</v>
      </c>
      <c r="DR128">
        <v>5.4079999999999995</v>
      </c>
      <c r="DS128">
        <v>25</v>
      </c>
      <c r="DT128">
        <v>19.600000000000001</v>
      </c>
      <c r="DU128">
        <v>-0.76</v>
      </c>
      <c r="DV128">
        <v>9</v>
      </c>
      <c r="DW128">
        <v>10</v>
      </c>
      <c r="DX128">
        <v>11</v>
      </c>
      <c r="DY128">
        <v>-7.7560000000000002</v>
      </c>
      <c r="DZ128">
        <v>9</v>
      </c>
      <c r="EA128">
        <v>-34.92</v>
      </c>
      <c r="EB128">
        <v>-1.1999999999999997</v>
      </c>
      <c r="EC128">
        <v>25</v>
      </c>
      <c r="ED128">
        <v>32</v>
      </c>
      <c r="EE128">
        <v>32</v>
      </c>
      <c r="EF128">
        <v>-1.504</v>
      </c>
      <c r="EG128">
        <v>32</v>
      </c>
      <c r="EH128">
        <v>-3.7199999999999998</v>
      </c>
      <c r="EI128">
        <v>8.0000000000000029E-2</v>
      </c>
      <c r="EJ128">
        <v>31</v>
      </c>
      <c r="EK128">
        <v>31</v>
      </c>
      <c r="EL128">
        <v>31</v>
      </c>
      <c r="EM128">
        <v>2.1719999999999997</v>
      </c>
      <c r="EN128">
        <v>31</v>
      </c>
      <c r="EO128">
        <v>10.52</v>
      </c>
      <c r="EP128">
        <v>0.31999999999999995</v>
      </c>
      <c r="EQ128">
        <v>22</v>
      </c>
      <c r="ER128">
        <v>23.5</v>
      </c>
      <c r="ES128">
        <v>26</v>
      </c>
      <c r="ET128">
        <v>3.3359999999999999</v>
      </c>
      <c r="EU128">
        <v>21</v>
      </c>
      <c r="EV128">
        <v>1.4400000000000013</v>
      </c>
      <c r="EW128">
        <v>1.0000000000000004</v>
      </c>
      <c r="EX128">
        <v>27</v>
      </c>
      <c r="EY128">
        <v>25.5</v>
      </c>
      <c r="EZ128">
        <v>22</v>
      </c>
      <c r="FA128">
        <v>-1.0400000000000003</v>
      </c>
      <c r="FB128">
        <v>29</v>
      </c>
      <c r="FC128">
        <v>-1</v>
      </c>
      <c r="FD128">
        <v>-3.5200000000000005</v>
      </c>
      <c r="FE128">
        <v>10</v>
      </c>
      <c r="FF128">
        <v>13.25</v>
      </c>
      <c r="FG128">
        <v>12</v>
      </c>
      <c r="FH128">
        <v>-2.2692274928291033E-2</v>
      </c>
      <c r="FI128">
        <v>11</v>
      </c>
      <c r="FJ128">
        <v>-6.5543210291941975E-3</v>
      </c>
      <c r="FK128">
        <v>12</v>
      </c>
      <c r="FL128">
        <v>4.1400000000000006</v>
      </c>
      <c r="FM128">
        <v>18</v>
      </c>
      <c r="FN128">
        <v>-1.1999999999999997</v>
      </c>
      <c r="FO128">
        <v>-1.3200000000000016</v>
      </c>
      <c r="FP128">
        <v>-2.2000000000000002</v>
      </c>
      <c r="FQ128">
        <v>1.56</v>
      </c>
      <c r="FR128">
        <v>-2.72</v>
      </c>
      <c r="FS128">
        <v>3.84</v>
      </c>
      <c r="FT128">
        <v>-1</v>
      </c>
      <c r="FU128">
        <v>-9.4800000000000182</v>
      </c>
      <c r="FV128">
        <v>-1.9600000000000022</v>
      </c>
      <c r="FW128">
        <v>-9.1999999999999993</v>
      </c>
      <c r="FX128">
        <v>-2.6799999999999997</v>
      </c>
      <c r="FY128">
        <v>4.3600000000000003</v>
      </c>
      <c r="FZ128">
        <v>9</v>
      </c>
      <c r="GA128">
        <v>3.0135999999999994</v>
      </c>
      <c r="GB128">
        <v>0.38551999999999964</v>
      </c>
      <c r="GC128">
        <v>7.2399999999999967</v>
      </c>
      <c r="GD128">
        <v>-3.0135999999999998</v>
      </c>
      <c r="GE128">
        <v>0.27720000000000011</v>
      </c>
      <c r="GF128">
        <v>-3.8520000000000008</v>
      </c>
      <c r="GG128">
        <v>-19.04</v>
      </c>
      <c r="GH128">
        <v>0.38000000000000078</v>
      </c>
      <c r="GI128">
        <v>-12.92</v>
      </c>
      <c r="GJ128">
        <v>-0.87999999999999923</v>
      </c>
      <c r="GK128">
        <v>0.24</v>
      </c>
    </row>
    <row r="129" spans="1:193" x14ac:dyDescent="0.2">
      <c r="A129" s="39">
        <v>43765</v>
      </c>
      <c r="B129" s="22" t="s">
        <v>248</v>
      </c>
      <c r="C129" s="41" t="s">
        <v>289</v>
      </c>
      <c r="D129" s="22" t="s">
        <v>278</v>
      </c>
      <c r="E129">
        <v>7.4</v>
      </c>
      <c r="F129">
        <v>1.6</v>
      </c>
      <c r="G129">
        <v>1.7</v>
      </c>
      <c r="H129">
        <v>15.7</v>
      </c>
      <c r="I129">
        <v>-6</v>
      </c>
      <c r="J129">
        <v>41</v>
      </c>
      <c r="L129" s="1" t="s">
        <v>289</v>
      </c>
      <c r="M129">
        <v>21</v>
      </c>
      <c r="N129">
        <v>-1.6384000000000003</v>
      </c>
      <c r="O129">
        <v>11</v>
      </c>
      <c r="P129">
        <v>11.5</v>
      </c>
      <c r="Q129">
        <v>19</v>
      </c>
      <c r="R129">
        <v>-3.7559999999999989</v>
      </c>
      <c r="S129">
        <v>4</v>
      </c>
      <c r="T129">
        <v>5.8000000000000016</v>
      </c>
      <c r="U129">
        <v>-1.56</v>
      </c>
      <c r="V129">
        <v>23</v>
      </c>
      <c r="W129">
        <v>20.5</v>
      </c>
      <c r="X129">
        <v>18</v>
      </c>
      <c r="Y129">
        <v>-1.6840000000000004</v>
      </c>
      <c r="Z129">
        <v>23</v>
      </c>
      <c r="AA129">
        <v>-19.560000000000002</v>
      </c>
      <c r="AB129">
        <v>0.68</v>
      </c>
      <c r="AC129">
        <v>18</v>
      </c>
      <c r="AD129">
        <v>18</v>
      </c>
      <c r="AE129">
        <v>21</v>
      </c>
      <c r="AF129">
        <v>-3.3640000000000017</v>
      </c>
      <c r="AG129">
        <v>15</v>
      </c>
      <c r="AH129">
        <v>-11.399999999999999</v>
      </c>
      <c r="AI129">
        <v>0</v>
      </c>
      <c r="AJ129">
        <v>18</v>
      </c>
      <c r="AK129">
        <v>18.5</v>
      </c>
      <c r="AL129">
        <v>14</v>
      </c>
      <c r="AM129">
        <v>-0.80799999999999983</v>
      </c>
      <c r="AN129">
        <v>23</v>
      </c>
      <c r="AO129">
        <v>-16.600000000000001</v>
      </c>
      <c r="AP129">
        <v>-2.3199999999999994</v>
      </c>
      <c r="AQ129">
        <v>22</v>
      </c>
      <c r="AR129">
        <v>22</v>
      </c>
      <c r="AS129">
        <v>22</v>
      </c>
      <c r="AT129">
        <v>-1.3279999999999996</v>
      </c>
      <c r="AU129">
        <v>22</v>
      </c>
      <c r="AV129">
        <v>-10.120000000000001</v>
      </c>
      <c r="AW129">
        <v>-0.44000000000000006</v>
      </c>
      <c r="AX129">
        <v>12</v>
      </c>
      <c r="AY129">
        <v>12</v>
      </c>
      <c r="AZ129">
        <v>14</v>
      </c>
      <c r="BA129">
        <v>1.4440000000000004</v>
      </c>
      <c r="BB129">
        <v>10</v>
      </c>
      <c r="BC129">
        <v>0.44000000000000339</v>
      </c>
      <c r="BD129">
        <v>-0.51999999999999957</v>
      </c>
      <c r="BE129">
        <v>7</v>
      </c>
      <c r="BF129">
        <v>6.5</v>
      </c>
      <c r="BG129">
        <v>8</v>
      </c>
      <c r="BH129">
        <v>5.5600000000000005</v>
      </c>
      <c r="BI129">
        <v>29.72</v>
      </c>
      <c r="BJ129">
        <v>2.2000000000000002</v>
      </c>
      <c r="BK129">
        <v>19</v>
      </c>
      <c r="BL129">
        <v>19.5</v>
      </c>
      <c r="BM129">
        <v>24</v>
      </c>
      <c r="BN129">
        <v>0.80000000000000016</v>
      </c>
      <c r="BO129">
        <v>15</v>
      </c>
      <c r="BP129">
        <v>0.43999999999999984</v>
      </c>
      <c r="BQ129">
        <v>-0.60000000000000031</v>
      </c>
      <c r="BR129">
        <v>3</v>
      </c>
      <c r="BS129">
        <v>7.75</v>
      </c>
      <c r="BT129">
        <v>4</v>
      </c>
      <c r="BU129">
        <v>5.9954348099916274E-2</v>
      </c>
      <c r="BV129">
        <v>8</v>
      </c>
      <c r="BW129">
        <v>-1.1966677225321751E-2</v>
      </c>
      <c r="BX129">
        <v>13</v>
      </c>
      <c r="BY129">
        <v>-4.3080000000000025</v>
      </c>
      <c r="BZ129">
        <v>6</v>
      </c>
      <c r="CA129">
        <v>-0.71999999999999975</v>
      </c>
      <c r="CB129">
        <v>0.87999999999999834</v>
      </c>
      <c r="CC129">
        <v>-2.4000000000000008</v>
      </c>
      <c r="CD129">
        <v>-0.79999999999999993</v>
      </c>
      <c r="CE129">
        <v>-21.76</v>
      </c>
      <c r="CF129">
        <v>-16.760000000000009</v>
      </c>
      <c r="CG129">
        <v>-6.919999999999999</v>
      </c>
      <c r="CH129">
        <v>1</v>
      </c>
      <c r="CI129">
        <v>0.9199999999999996</v>
      </c>
      <c r="CJ129">
        <v>13</v>
      </c>
      <c r="CK129">
        <v>3.8015999999999988</v>
      </c>
      <c r="CL129">
        <v>2.4043199999999998</v>
      </c>
      <c r="CM129">
        <v>-9.8400000000000105</v>
      </c>
      <c r="CN129">
        <v>-3.8015999999999992</v>
      </c>
      <c r="CO129">
        <v>-0.77729999999999999</v>
      </c>
      <c r="CP129">
        <v>-5.5000000000000009</v>
      </c>
      <c r="CQ129">
        <v>-38.120000000000005</v>
      </c>
      <c r="CR129">
        <v>-5.4399999999999995</v>
      </c>
      <c r="CS129">
        <v>-13.760000000000002</v>
      </c>
      <c r="CT129">
        <v>-0.55999999999999917</v>
      </c>
      <c r="CU129">
        <v>-0.88</v>
      </c>
      <c r="CV129">
        <v>-1.5876999999999999</v>
      </c>
      <c r="CW129">
        <v>-0.85980000000000012</v>
      </c>
      <c r="CX129" t="s">
        <v>278</v>
      </c>
      <c r="CY129">
        <v>15</v>
      </c>
      <c r="CZ129">
        <v>-8.1808000000000014</v>
      </c>
      <c r="DA129">
        <v>28</v>
      </c>
      <c r="DB129">
        <v>24.5</v>
      </c>
      <c r="DC129">
        <v>25</v>
      </c>
      <c r="DD129">
        <v>-0.96799999999999964</v>
      </c>
      <c r="DE129">
        <v>24</v>
      </c>
      <c r="DF129">
        <v>6.919999999999999</v>
      </c>
      <c r="DG129">
        <v>0.59999999999999987</v>
      </c>
      <c r="DH129">
        <v>28</v>
      </c>
      <c r="DI129">
        <v>25.5</v>
      </c>
      <c r="DJ129">
        <v>28</v>
      </c>
      <c r="DK129">
        <v>-0.43200000000000005</v>
      </c>
      <c r="DL129">
        <v>23</v>
      </c>
      <c r="DM129">
        <v>7.92</v>
      </c>
      <c r="DN129">
        <v>4.0000000000000036E-2</v>
      </c>
      <c r="DO129">
        <v>14</v>
      </c>
      <c r="DP129">
        <v>8.5</v>
      </c>
      <c r="DQ129">
        <v>9</v>
      </c>
      <c r="DR129">
        <v>-4.5</v>
      </c>
      <c r="DS129">
        <v>8</v>
      </c>
      <c r="DT129">
        <v>-22.24</v>
      </c>
      <c r="DU129">
        <v>-2.2399999999999993</v>
      </c>
      <c r="DV129">
        <v>17</v>
      </c>
      <c r="DW129">
        <v>16.5</v>
      </c>
      <c r="DX129">
        <v>14</v>
      </c>
      <c r="DY129">
        <v>0.58399999999999996</v>
      </c>
      <c r="DZ129">
        <v>19</v>
      </c>
      <c r="EA129">
        <v>-0.63999999999999768</v>
      </c>
      <c r="EB129">
        <v>1.24</v>
      </c>
      <c r="EC129">
        <v>15</v>
      </c>
      <c r="ED129">
        <v>7.5</v>
      </c>
      <c r="EE129">
        <v>9</v>
      </c>
      <c r="EF129">
        <v>-2.3079999999999998</v>
      </c>
      <c r="EG129">
        <v>6</v>
      </c>
      <c r="EH129">
        <v>-13.4</v>
      </c>
      <c r="EI129">
        <v>0.11999999999999997</v>
      </c>
      <c r="EJ129">
        <v>30</v>
      </c>
      <c r="EK129">
        <v>28.5</v>
      </c>
      <c r="EL129">
        <v>28</v>
      </c>
      <c r="EM129">
        <v>-4.3879999999999999</v>
      </c>
      <c r="EN129">
        <v>29</v>
      </c>
      <c r="EO129">
        <v>-21.48</v>
      </c>
      <c r="EP129">
        <v>-1.7999999999999996</v>
      </c>
      <c r="EQ129">
        <v>6</v>
      </c>
      <c r="ER129">
        <v>8</v>
      </c>
      <c r="ES129">
        <v>9</v>
      </c>
      <c r="ET129">
        <v>-3.4799999999999995</v>
      </c>
      <c r="EU129">
        <v>7</v>
      </c>
      <c r="EV129">
        <v>-22.4</v>
      </c>
      <c r="EW129">
        <v>-0.24000000000000021</v>
      </c>
      <c r="EX129">
        <v>9</v>
      </c>
      <c r="EY129">
        <v>9.5</v>
      </c>
      <c r="EZ129">
        <v>8</v>
      </c>
      <c r="FA129">
        <v>0.76000000000000012</v>
      </c>
      <c r="FB129">
        <v>11</v>
      </c>
      <c r="FC129">
        <v>0.44000000000000006</v>
      </c>
      <c r="FD129">
        <v>4.08</v>
      </c>
      <c r="FE129">
        <v>12</v>
      </c>
      <c r="FF129">
        <v>14.5</v>
      </c>
      <c r="FG129">
        <v>25</v>
      </c>
      <c r="FH129">
        <v>-9.9861140482495944E-3</v>
      </c>
      <c r="FI129">
        <v>6</v>
      </c>
      <c r="FJ129">
        <v>6.5598232409404709E-3</v>
      </c>
      <c r="FK129">
        <v>10</v>
      </c>
      <c r="FL129">
        <v>1.1999999999999034E-2</v>
      </c>
      <c r="FM129">
        <v>17</v>
      </c>
      <c r="FN129">
        <v>2</v>
      </c>
      <c r="FO129">
        <v>-1.0400000000000005</v>
      </c>
      <c r="FP129">
        <v>2.5199999999999996</v>
      </c>
      <c r="FQ129">
        <v>-1.92</v>
      </c>
      <c r="FR129">
        <v>-0.56000000000000083</v>
      </c>
      <c r="FS129">
        <v>-5.160000000000001</v>
      </c>
      <c r="FT129">
        <v>1.6800000000000002</v>
      </c>
      <c r="FU129">
        <v>-67.240000000000009</v>
      </c>
      <c r="FV129">
        <v>-69</v>
      </c>
      <c r="FW129">
        <v>15.920000000000002</v>
      </c>
      <c r="FX129">
        <v>-2.44</v>
      </c>
      <c r="FY129">
        <v>-11.719999999999999</v>
      </c>
      <c r="FZ129">
        <v>31</v>
      </c>
      <c r="GA129">
        <v>-6.780800000000001</v>
      </c>
      <c r="GB129">
        <v>-2.8769600000000008</v>
      </c>
      <c r="GC129">
        <v>-84.92</v>
      </c>
      <c r="GD129">
        <v>6.7808000000000019</v>
      </c>
      <c r="GE129">
        <v>-2.3155999999999999</v>
      </c>
      <c r="GF129">
        <v>-6.2240000000000002</v>
      </c>
      <c r="GG129">
        <v>-36.279999999999994</v>
      </c>
      <c r="GH129">
        <v>-1.3999999999999997</v>
      </c>
      <c r="GI129">
        <v>14.84</v>
      </c>
      <c r="GJ129">
        <v>-1.1199999999999997</v>
      </c>
      <c r="GK129">
        <v>0.6399999999999999</v>
      </c>
    </row>
    <row r="130" spans="1:193" x14ac:dyDescent="0.2">
      <c r="A130" s="39">
        <v>43765</v>
      </c>
      <c r="B130" s="22" t="s">
        <v>248</v>
      </c>
      <c r="C130" s="41" t="s">
        <v>297</v>
      </c>
      <c r="D130" s="22" t="s">
        <v>298</v>
      </c>
      <c r="E130">
        <v>19.899999999999999</v>
      </c>
      <c r="F130">
        <v>23.3</v>
      </c>
      <c r="G130">
        <v>9.1999999999999993</v>
      </c>
      <c r="H130">
        <v>3.7</v>
      </c>
      <c r="I130">
        <v>-7</v>
      </c>
      <c r="J130">
        <v>39.5</v>
      </c>
      <c r="L130" s="1" t="s">
        <v>297</v>
      </c>
      <c r="M130">
        <v>15</v>
      </c>
      <c r="N130">
        <v>-0.36800000000000066</v>
      </c>
      <c r="O130">
        <v>10</v>
      </c>
      <c r="P130">
        <v>9.5</v>
      </c>
      <c r="Q130">
        <v>3</v>
      </c>
      <c r="R130">
        <v>5.7119999999999997</v>
      </c>
      <c r="S130">
        <v>16</v>
      </c>
      <c r="T130">
        <v>60</v>
      </c>
      <c r="U130">
        <v>0.72000000000000008</v>
      </c>
      <c r="V130">
        <v>28</v>
      </c>
      <c r="W130">
        <v>28.5</v>
      </c>
      <c r="X130">
        <v>26</v>
      </c>
      <c r="Y130">
        <v>-5.6736000000000004</v>
      </c>
      <c r="Z130">
        <v>31</v>
      </c>
      <c r="AA130">
        <v>-11.88</v>
      </c>
      <c r="AB130">
        <v>-2.72</v>
      </c>
      <c r="AC130">
        <v>31</v>
      </c>
      <c r="AD130">
        <v>31.5</v>
      </c>
      <c r="AE130">
        <v>32</v>
      </c>
      <c r="AF130">
        <v>1.6560000000000001</v>
      </c>
      <c r="AG130">
        <v>31</v>
      </c>
      <c r="AH130">
        <v>17.159999999999997</v>
      </c>
      <c r="AI130">
        <v>1.3599999999999999</v>
      </c>
      <c r="AJ130">
        <v>7</v>
      </c>
      <c r="AK130">
        <v>8</v>
      </c>
      <c r="AL130">
        <v>4</v>
      </c>
      <c r="AM130">
        <v>3.944</v>
      </c>
      <c r="AN130">
        <v>12</v>
      </c>
      <c r="AO130">
        <v>20.68</v>
      </c>
      <c r="AP130">
        <v>0.35999999999999976</v>
      </c>
      <c r="AQ130">
        <v>3</v>
      </c>
      <c r="AR130">
        <v>3</v>
      </c>
      <c r="AS130">
        <v>3</v>
      </c>
      <c r="AT130">
        <v>0.57600000000000029</v>
      </c>
      <c r="AU130">
        <v>3</v>
      </c>
      <c r="AV130">
        <v>6.08</v>
      </c>
      <c r="AW130">
        <v>0.76000000000000034</v>
      </c>
      <c r="AX130">
        <v>13</v>
      </c>
      <c r="AY130">
        <v>12.5</v>
      </c>
      <c r="AZ130">
        <v>10</v>
      </c>
      <c r="BA130">
        <v>-3.9639999999999995</v>
      </c>
      <c r="BB130">
        <v>15</v>
      </c>
      <c r="BC130">
        <v>-13.639999999999997</v>
      </c>
      <c r="BD130">
        <v>-1.64</v>
      </c>
      <c r="BE130">
        <v>32</v>
      </c>
      <c r="BF130">
        <v>31</v>
      </c>
      <c r="BG130">
        <v>32</v>
      </c>
      <c r="BH130">
        <v>-2.7440000000000002</v>
      </c>
      <c r="BI130">
        <v>-21.48</v>
      </c>
      <c r="BJ130">
        <v>-1.08</v>
      </c>
      <c r="BK130">
        <v>27</v>
      </c>
      <c r="BL130">
        <v>27</v>
      </c>
      <c r="BM130">
        <v>27</v>
      </c>
      <c r="BN130">
        <v>2.3200000000000003</v>
      </c>
      <c r="BO130">
        <v>27</v>
      </c>
      <c r="BP130">
        <v>0.72</v>
      </c>
      <c r="BQ130">
        <v>0.15999999999999998</v>
      </c>
      <c r="BR130">
        <v>7</v>
      </c>
      <c r="BS130">
        <v>11.25</v>
      </c>
      <c r="BT130">
        <v>7</v>
      </c>
      <c r="BU130">
        <v>2.9196602007746375E-2</v>
      </c>
      <c r="BV130">
        <v>17</v>
      </c>
      <c r="BW130">
        <v>-4.4360530813069357E-3</v>
      </c>
      <c r="BX130">
        <v>18</v>
      </c>
      <c r="BY130">
        <v>-12.839999999999998</v>
      </c>
      <c r="BZ130">
        <v>3</v>
      </c>
      <c r="CA130">
        <v>-1.56</v>
      </c>
      <c r="CB130">
        <v>2.12</v>
      </c>
      <c r="CC130">
        <v>-0.11999999999999958</v>
      </c>
      <c r="CD130">
        <v>0.27999999999999992</v>
      </c>
      <c r="CE130">
        <v>39.959999999999994</v>
      </c>
      <c r="CF130">
        <v>-3.3999999999999941</v>
      </c>
      <c r="CG130">
        <v>42.68</v>
      </c>
      <c r="CH130">
        <v>2.48</v>
      </c>
      <c r="CI130">
        <v>-1.8000000000000003</v>
      </c>
      <c r="CJ130">
        <v>18</v>
      </c>
      <c r="CK130">
        <v>-0.40639999999999965</v>
      </c>
      <c r="CL130">
        <v>0.59360000000000024</v>
      </c>
      <c r="CM130">
        <v>-46.079999999999991</v>
      </c>
      <c r="CN130">
        <v>0.40639999999999998</v>
      </c>
      <c r="CO130">
        <v>0.67779999999999996</v>
      </c>
      <c r="CP130">
        <v>6.1760000000000002</v>
      </c>
      <c r="CQ130">
        <v>43.919999999999995</v>
      </c>
      <c r="CR130">
        <v>3.8399999999999324E-2</v>
      </c>
      <c r="CS130">
        <v>48.12</v>
      </c>
      <c r="CT130">
        <v>1.4</v>
      </c>
      <c r="CU130">
        <v>-2</v>
      </c>
      <c r="CV130">
        <v>0.46137499999999976</v>
      </c>
      <c r="CW130">
        <v>0.17029999999999987</v>
      </c>
      <c r="CX130" t="s">
        <v>298</v>
      </c>
      <c r="CY130">
        <v>9</v>
      </c>
      <c r="CZ130">
        <v>-0.54240000000000033</v>
      </c>
      <c r="DA130">
        <v>32</v>
      </c>
      <c r="DB130">
        <v>30.5</v>
      </c>
      <c r="DC130">
        <v>30</v>
      </c>
      <c r="DD130">
        <v>0.99199999999999977</v>
      </c>
      <c r="DE130">
        <v>31</v>
      </c>
      <c r="DF130">
        <v>-17.880000000000003</v>
      </c>
      <c r="DG130">
        <v>-0.52000000000000013</v>
      </c>
      <c r="DH130">
        <v>16</v>
      </c>
      <c r="DI130">
        <v>16.5</v>
      </c>
      <c r="DJ130">
        <v>18</v>
      </c>
      <c r="DK130">
        <v>-0.79999999999999893</v>
      </c>
      <c r="DL130">
        <v>15</v>
      </c>
      <c r="DM130">
        <v>-3.8000000000000016</v>
      </c>
      <c r="DN130">
        <v>0.3199999999999999</v>
      </c>
      <c r="DO130">
        <v>7</v>
      </c>
      <c r="DP130">
        <v>10.5</v>
      </c>
      <c r="DQ130">
        <v>8</v>
      </c>
      <c r="DR130">
        <v>-0.28000000000000247</v>
      </c>
      <c r="DS130">
        <v>13</v>
      </c>
      <c r="DT130">
        <v>-6.5500000000000007</v>
      </c>
      <c r="DU130">
        <v>0.75000000000000044</v>
      </c>
      <c r="DV130">
        <v>5</v>
      </c>
      <c r="DW130">
        <v>5.5</v>
      </c>
      <c r="DX130">
        <v>5</v>
      </c>
      <c r="DY130">
        <v>1.6819999999999999</v>
      </c>
      <c r="DZ130">
        <v>6</v>
      </c>
      <c r="EA130">
        <v>6.12</v>
      </c>
      <c r="EB130">
        <v>-8.0000000000000071E-2</v>
      </c>
      <c r="EC130">
        <v>26</v>
      </c>
      <c r="ED130">
        <v>28.5</v>
      </c>
      <c r="EE130">
        <v>28</v>
      </c>
      <c r="EF130">
        <v>3.9559999999999995</v>
      </c>
      <c r="EG130">
        <v>29</v>
      </c>
      <c r="EH130">
        <v>6.5200000000000014</v>
      </c>
      <c r="EI130">
        <v>0</v>
      </c>
      <c r="EJ130">
        <v>25</v>
      </c>
      <c r="EK130">
        <v>26</v>
      </c>
      <c r="EL130">
        <v>26</v>
      </c>
      <c r="EM130">
        <v>6.6919999999999957</v>
      </c>
      <c r="EN130">
        <v>26</v>
      </c>
      <c r="EO130">
        <v>31.639999999999997</v>
      </c>
      <c r="EP130">
        <v>-7</v>
      </c>
      <c r="EQ130">
        <v>13</v>
      </c>
      <c r="ER130">
        <v>13.5</v>
      </c>
      <c r="ES130">
        <v>17</v>
      </c>
      <c r="ET130">
        <v>-0.50800000000000112</v>
      </c>
      <c r="EU130">
        <v>10</v>
      </c>
      <c r="EV130">
        <v>-3.4800000000000013</v>
      </c>
      <c r="EW130">
        <v>0.52</v>
      </c>
      <c r="EX130">
        <v>24</v>
      </c>
      <c r="EY130">
        <v>23</v>
      </c>
      <c r="EZ130">
        <v>28</v>
      </c>
      <c r="FA130">
        <v>1.52</v>
      </c>
      <c r="FB130">
        <v>18</v>
      </c>
      <c r="FC130">
        <v>0.24000000000000005</v>
      </c>
      <c r="FD130">
        <v>4.5600000000000005</v>
      </c>
      <c r="FE130">
        <v>23</v>
      </c>
      <c r="FF130">
        <v>20</v>
      </c>
      <c r="FG130">
        <v>32</v>
      </c>
      <c r="FH130">
        <v>5.928439353199022E-2</v>
      </c>
      <c r="FI130">
        <v>22</v>
      </c>
      <c r="FJ130">
        <v>-2.1720117517807998E-2</v>
      </c>
      <c r="FK130">
        <v>11</v>
      </c>
      <c r="FL130">
        <v>5.9559999999999986</v>
      </c>
      <c r="FM130">
        <v>15</v>
      </c>
      <c r="FN130">
        <v>-1.8400000000000003</v>
      </c>
      <c r="FO130">
        <v>1.5599999999999994</v>
      </c>
      <c r="FP130">
        <v>1.36</v>
      </c>
      <c r="FQ130">
        <v>0.36000000000000015</v>
      </c>
      <c r="FR130">
        <v>2.8799999999999981</v>
      </c>
      <c r="FS130">
        <v>2.7599999999999993</v>
      </c>
      <c r="FT130">
        <v>0.51999999999999991</v>
      </c>
      <c r="FU130">
        <v>-28.079999999999995</v>
      </c>
      <c r="FV130">
        <v>0.32000000000000456</v>
      </c>
      <c r="FW130">
        <v>-25.199999999999996</v>
      </c>
      <c r="FX130">
        <v>8.0000000000000251E-2</v>
      </c>
      <c r="FY130">
        <v>-3.28</v>
      </c>
      <c r="FZ130">
        <v>19</v>
      </c>
      <c r="GA130">
        <v>-0.73440000000000127</v>
      </c>
      <c r="GB130">
        <v>0.76551999999999865</v>
      </c>
      <c r="GC130">
        <v>25.52</v>
      </c>
      <c r="GD130">
        <v>0.73440000000000116</v>
      </c>
      <c r="GE130">
        <v>0.75244999999999962</v>
      </c>
      <c r="GF130">
        <v>5.357999999999997</v>
      </c>
      <c r="GG130">
        <v>6.0900000000000007</v>
      </c>
      <c r="GH130">
        <v>0.19200000000000084</v>
      </c>
      <c r="GI130">
        <v>-21.680000000000003</v>
      </c>
      <c r="GJ130">
        <v>1.1900000000000004</v>
      </c>
      <c r="GK130">
        <v>-0.20000000000000023</v>
      </c>
    </row>
    <row r="131" spans="1:193" x14ac:dyDescent="0.2">
      <c r="A131" s="39">
        <v>43765</v>
      </c>
      <c r="B131" s="28" t="s">
        <v>248</v>
      </c>
      <c r="C131" s="41" t="s">
        <v>288</v>
      </c>
      <c r="D131" s="28" t="s">
        <v>300</v>
      </c>
      <c r="E131" s="3">
        <v>14.1</v>
      </c>
      <c r="F131" s="3">
        <v>9.5</v>
      </c>
      <c r="G131" s="30">
        <v>13.5</v>
      </c>
      <c r="H131" s="3">
        <v>16.3</v>
      </c>
      <c r="I131" s="3">
        <v>5</v>
      </c>
      <c r="J131" s="3">
        <v>48</v>
      </c>
      <c r="K131" s="3"/>
      <c r="L131" s="1" t="s">
        <v>288</v>
      </c>
      <c r="M131">
        <v>8</v>
      </c>
      <c r="N131">
        <v>2.4783999999999997</v>
      </c>
      <c r="O131">
        <v>32</v>
      </c>
      <c r="P131">
        <v>30</v>
      </c>
      <c r="Q131">
        <v>28</v>
      </c>
      <c r="R131">
        <v>-3.2039999999999993</v>
      </c>
      <c r="S131">
        <v>32</v>
      </c>
      <c r="T131">
        <v>-21.279999999999998</v>
      </c>
      <c r="U131">
        <v>-1.1600000000000001</v>
      </c>
      <c r="V131">
        <v>17</v>
      </c>
      <c r="W131">
        <v>16.5</v>
      </c>
      <c r="X131">
        <v>19</v>
      </c>
      <c r="Y131">
        <v>1.5296000000000005</v>
      </c>
      <c r="Z131">
        <v>14</v>
      </c>
      <c r="AA131">
        <v>1.3200000000000003</v>
      </c>
      <c r="AB131">
        <v>0.67999999999999994</v>
      </c>
      <c r="AC131">
        <v>8</v>
      </c>
      <c r="AD131">
        <v>7</v>
      </c>
      <c r="AE131">
        <v>6</v>
      </c>
      <c r="AF131">
        <v>1.2520000000000011</v>
      </c>
      <c r="AG131">
        <v>8</v>
      </c>
      <c r="AH131">
        <v>9.3200000000000021</v>
      </c>
      <c r="AI131">
        <v>-0.4</v>
      </c>
      <c r="AJ131">
        <v>26</v>
      </c>
      <c r="AK131">
        <v>26.5</v>
      </c>
      <c r="AL131">
        <v>27</v>
      </c>
      <c r="AM131">
        <v>-3.5879999999999987</v>
      </c>
      <c r="AN131">
        <v>26</v>
      </c>
      <c r="AO131">
        <v>-24.44</v>
      </c>
      <c r="AP131">
        <v>-1.5199999999999998</v>
      </c>
      <c r="AQ131">
        <v>9</v>
      </c>
      <c r="AR131">
        <v>9.5</v>
      </c>
      <c r="AS131">
        <v>11</v>
      </c>
      <c r="AT131">
        <v>1.5599999999999998</v>
      </c>
      <c r="AU131">
        <v>8</v>
      </c>
      <c r="AV131">
        <v>15.24</v>
      </c>
      <c r="AW131">
        <v>1</v>
      </c>
      <c r="AX131">
        <v>2</v>
      </c>
      <c r="AY131">
        <v>3.5</v>
      </c>
      <c r="AZ131">
        <v>4</v>
      </c>
      <c r="BA131">
        <v>3.8279999999999985</v>
      </c>
      <c r="BB131">
        <v>3</v>
      </c>
      <c r="BC131">
        <v>27.480000000000008</v>
      </c>
      <c r="BD131">
        <v>0.91999999999999993</v>
      </c>
      <c r="BE131">
        <v>3</v>
      </c>
      <c r="BF131">
        <v>3.5</v>
      </c>
      <c r="BG131">
        <v>4</v>
      </c>
      <c r="BH131">
        <v>1.296</v>
      </c>
      <c r="BI131">
        <v>21.359999999999996</v>
      </c>
      <c r="BJ131">
        <v>1.52</v>
      </c>
      <c r="BK131">
        <v>15</v>
      </c>
      <c r="BL131">
        <v>14.5</v>
      </c>
      <c r="BM131">
        <v>12</v>
      </c>
      <c r="BN131">
        <v>1.0400000000000003</v>
      </c>
      <c r="BO131">
        <v>17</v>
      </c>
      <c r="BP131">
        <v>0.39999999999999991</v>
      </c>
      <c r="BQ131">
        <v>2.4799999999999995</v>
      </c>
      <c r="BR131">
        <v>29</v>
      </c>
      <c r="BS131">
        <v>25</v>
      </c>
      <c r="BT131">
        <v>26</v>
      </c>
      <c r="BU131">
        <v>-3.3503086626750424E-2</v>
      </c>
      <c r="BV131">
        <v>23</v>
      </c>
      <c r="BW131">
        <v>-1.7784629696574784E-2</v>
      </c>
      <c r="BX131">
        <v>25</v>
      </c>
      <c r="BY131">
        <v>3.9639999999999973</v>
      </c>
      <c r="BZ131">
        <v>26</v>
      </c>
      <c r="CA131">
        <v>-2.4</v>
      </c>
      <c r="CB131">
        <v>-4.1999999999999984</v>
      </c>
      <c r="CC131">
        <v>1.4800000000000011</v>
      </c>
      <c r="CD131">
        <v>1.3199999999999998</v>
      </c>
      <c r="CE131">
        <v>8.4</v>
      </c>
      <c r="CF131">
        <v>25.560000000000002</v>
      </c>
      <c r="CG131">
        <v>-19.199999999999996</v>
      </c>
      <c r="CH131">
        <v>-3.72</v>
      </c>
      <c r="CI131">
        <v>5.76</v>
      </c>
      <c r="CJ131">
        <v>12</v>
      </c>
      <c r="CK131">
        <v>4.1527999999999992</v>
      </c>
      <c r="CL131">
        <v>1.4368799999999999</v>
      </c>
      <c r="CM131">
        <v>44.76</v>
      </c>
      <c r="CN131">
        <v>-4.1527999999999983</v>
      </c>
      <c r="CO131">
        <v>0.29550000000000043</v>
      </c>
      <c r="CP131">
        <v>-0.7759999999999978</v>
      </c>
      <c r="CQ131">
        <v>0.12000000000000099</v>
      </c>
      <c r="CR131">
        <v>-1.6743999999999988</v>
      </c>
      <c r="CS131">
        <v>-19.959999999999997</v>
      </c>
      <c r="CT131">
        <v>0.60000000000000009</v>
      </c>
      <c r="CU131">
        <v>-0.4800000000000002</v>
      </c>
      <c r="CV131">
        <v>0.28010208333333331</v>
      </c>
      <c r="CW131">
        <v>-0.17363333333333347</v>
      </c>
      <c r="CX131" t="s">
        <v>300</v>
      </c>
      <c r="CY131">
        <v>21</v>
      </c>
      <c r="CZ131">
        <v>0.5152000000000001</v>
      </c>
      <c r="DA131">
        <v>5</v>
      </c>
      <c r="DB131">
        <v>6</v>
      </c>
      <c r="DC131">
        <v>8</v>
      </c>
      <c r="DD131">
        <v>6.12</v>
      </c>
      <c r="DE131">
        <v>4</v>
      </c>
      <c r="DF131">
        <v>6.9600000000000009</v>
      </c>
      <c r="DG131">
        <v>0.74</v>
      </c>
      <c r="DH131">
        <v>9</v>
      </c>
      <c r="DI131">
        <v>11.5</v>
      </c>
      <c r="DJ131">
        <v>19</v>
      </c>
      <c r="DK131">
        <v>-3.0920000000000001</v>
      </c>
      <c r="DL131">
        <v>4</v>
      </c>
      <c r="DM131">
        <v>3.3200000000000003</v>
      </c>
      <c r="DN131">
        <v>-0.83999999999999986</v>
      </c>
      <c r="DO131">
        <v>23</v>
      </c>
      <c r="DP131">
        <v>27.5</v>
      </c>
      <c r="DQ131">
        <v>29</v>
      </c>
      <c r="DR131">
        <v>0.57750000000000057</v>
      </c>
      <c r="DS131">
        <v>26</v>
      </c>
      <c r="DT131">
        <v>16.649999999999995</v>
      </c>
      <c r="DU131">
        <v>-0.22499999999999987</v>
      </c>
      <c r="DV131">
        <v>13</v>
      </c>
      <c r="DW131">
        <v>13.5</v>
      </c>
      <c r="DX131">
        <v>17</v>
      </c>
      <c r="DY131">
        <v>-1.9900000000000002</v>
      </c>
      <c r="DZ131">
        <v>10</v>
      </c>
      <c r="EA131">
        <v>-12.399999999999999</v>
      </c>
      <c r="EB131">
        <v>0</v>
      </c>
      <c r="EC131">
        <v>12</v>
      </c>
      <c r="ED131">
        <v>17</v>
      </c>
      <c r="EE131">
        <v>20</v>
      </c>
      <c r="EF131">
        <v>-1.08</v>
      </c>
      <c r="EG131">
        <v>14</v>
      </c>
      <c r="EH131">
        <v>0.24999999999999911</v>
      </c>
      <c r="EI131">
        <v>-1.1000000000000001</v>
      </c>
      <c r="EJ131">
        <v>16</v>
      </c>
      <c r="EK131">
        <v>16</v>
      </c>
      <c r="EL131">
        <v>17</v>
      </c>
      <c r="EM131">
        <v>-1.3960000000000012</v>
      </c>
      <c r="EN131">
        <v>15</v>
      </c>
      <c r="EO131">
        <v>-11.959999999999997</v>
      </c>
      <c r="EP131">
        <v>-1.9599999999999997</v>
      </c>
      <c r="EQ131">
        <v>1</v>
      </c>
      <c r="ER131">
        <v>1</v>
      </c>
      <c r="ES131">
        <v>1</v>
      </c>
      <c r="ET131">
        <v>4.4599999999999991</v>
      </c>
      <c r="EU131">
        <v>1</v>
      </c>
      <c r="EV131">
        <v>10.879999999999999</v>
      </c>
      <c r="EW131">
        <v>0.19999999999999965</v>
      </c>
      <c r="EX131">
        <v>6</v>
      </c>
      <c r="EY131">
        <v>5</v>
      </c>
      <c r="EZ131">
        <v>2</v>
      </c>
      <c r="FA131">
        <v>0.36000000000000032</v>
      </c>
      <c r="FB131">
        <v>8</v>
      </c>
      <c r="FC131">
        <v>0.16</v>
      </c>
      <c r="FD131">
        <v>-5.08</v>
      </c>
      <c r="FE131">
        <v>29</v>
      </c>
      <c r="FF131">
        <v>24</v>
      </c>
      <c r="FG131">
        <v>17</v>
      </c>
      <c r="FH131">
        <v>4.6596320041308644E-3</v>
      </c>
      <c r="FI131">
        <v>23</v>
      </c>
      <c r="FJ131">
        <v>3.066171605189369E-3</v>
      </c>
      <c r="FK131">
        <v>27</v>
      </c>
      <c r="FL131">
        <v>0.27199999999999991</v>
      </c>
      <c r="FM131">
        <v>29</v>
      </c>
      <c r="FN131">
        <v>-1.1199999999999999</v>
      </c>
      <c r="FO131">
        <v>-4.0000000000001278E-2</v>
      </c>
      <c r="FP131">
        <v>-0.15999999999999873</v>
      </c>
      <c r="FQ131">
        <v>1</v>
      </c>
      <c r="FR131">
        <v>0.83999999999999919</v>
      </c>
      <c r="FS131">
        <v>2.12</v>
      </c>
      <c r="FT131">
        <v>-1.4</v>
      </c>
      <c r="FU131">
        <v>38.720000000000006</v>
      </c>
      <c r="FV131">
        <v>30.959999999999997</v>
      </c>
      <c r="FW131">
        <v>7.5199999999999987</v>
      </c>
      <c r="FX131">
        <v>-2.2400000000000002</v>
      </c>
      <c r="FY131">
        <v>2.48</v>
      </c>
      <c r="FZ131">
        <v>22</v>
      </c>
      <c r="GA131">
        <v>-2.5127999999999999</v>
      </c>
      <c r="GB131">
        <v>-1.0174600000000003</v>
      </c>
      <c r="GC131">
        <v>23.439999999999998</v>
      </c>
      <c r="GD131">
        <v>2.5127999999999999</v>
      </c>
      <c r="GE131">
        <v>0.73383750000000003</v>
      </c>
      <c r="GF131">
        <v>-2.4924999999999997</v>
      </c>
      <c r="GG131">
        <v>4.4999999999999956</v>
      </c>
      <c r="GH131">
        <v>3.028</v>
      </c>
      <c r="GI131">
        <v>10.280000000000001</v>
      </c>
      <c r="GJ131">
        <v>-1.1250000000000002</v>
      </c>
      <c r="GK131">
        <v>-9.9999999999999867E-2</v>
      </c>
    </row>
    <row r="132" spans="1:193" x14ac:dyDescent="0.2">
      <c r="A132" s="39">
        <v>43765</v>
      </c>
      <c r="B132" s="22" t="s">
        <v>248</v>
      </c>
      <c r="C132" s="41" t="s">
        <v>303</v>
      </c>
      <c r="D132" s="22" t="s">
        <v>311</v>
      </c>
      <c r="E132">
        <v>18.100000000000001</v>
      </c>
      <c r="F132">
        <v>18.8</v>
      </c>
      <c r="G132">
        <v>4.7</v>
      </c>
      <c r="H132">
        <v>11.1</v>
      </c>
      <c r="I132">
        <v>5</v>
      </c>
      <c r="J132">
        <v>52</v>
      </c>
      <c r="K132" t="s">
        <v>109</v>
      </c>
      <c r="L132" s="1" t="s">
        <v>303</v>
      </c>
      <c r="M132">
        <v>22</v>
      </c>
      <c r="N132">
        <v>-1.6623999999999994</v>
      </c>
      <c r="O132">
        <v>7</v>
      </c>
      <c r="P132">
        <v>7.5</v>
      </c>
      <c r="Q132">
        <v>12</v>
      </c>
      <c r="R132">
        <v>0.48800000000000043</v>
      </c>
      <c r="S132">
        <v>3</v>
      </c>
      <c r="T132">
        <v>28.880000000000003</v>
      </c>
      <c r="U132">
        <v>-1.3599999999999999</v>
      </c>
      <c r="V132">
        <v>22</v>
      </c>
      <c r="W132">
        <v>19.5</v>
      </c>
      <c r="X132">
        <v>17</v>
      </c>
      <c r="Y132">
        <v>-0.16899999999999976</v>
      </c>
      <c r="Z132">
        <v>22</v>
      </c>
      <c r="AA132">
        <v>-3.8999999999999995</v>
      </c>
      <c r="AB132">
        <v>0.12000000000000002</v>
      </c>
      <c r="AC132">
        <v>30</v>
      </c>
      <c r="AD132">
        <v>30.5</v>
      </c>
      <c r="AE132">
        <v>31</v>
      </c>
      <c r="AF132">
        <v>-7.0889999999999986</v>
      </c>
      <c r="AG132">
        <v>30</v>
      </c>
      <c r="AH132">
        <v>-34.1</v>
      </c>
      <c r="AI132">
        <v>-3.13</v>
      </c>
      <c r="AJ132">
        <v>24</v>
      </c>
      <c r="AK132">
        <v>23</v>
      </c>
      <c r="AL132">
        <v>22</v>
      </c>
      <c r="AM132">
        <v>-3.9679999999999991</v>
      </c>
      <c r="AN132">
        <v>24</v>
      </c>
      <c r="AO132">
        <v>-13.440000000000001</v>
      </c>
      <c r="AP132">
        <v>-2.3400000000000003</v>
      </c>
      <c r="AQ132">
        <v>25</v>
      </c>
      <c r="AR132">
        <v>25</v>
      </c>
      <c r="AS132">
        <v>25</v>
      </c>
      <c r="AT132">
        <v>0.40099999999999952</v>
      </c>
      <c r="AU132">
        <v>25</v>
      </c>
      <c r="AV132">
        <v>-12.489999999999998</v>
      </c>
      <c r="AW132">
        <v>-1.45</v>
      </c>
      <c r="AX132">
        <v>24</v>
      </c>
      <c r="AY132">
        <v>25</v>
      </c>
      <c r="AZ132">
        <v>27</v>
      </c>
      <c r="BA132">
        <v>-0.74800000000000078</v>
      </c>
      <c r="BB132">
        <v>23</v>
      </c>
      <c r="BC132">
        <v>-8.6799999999999979</v>
      </c>
      <c r="BD132">
        <v>-0.67999999999999994</v>
      </c>
      <c r="BE132">
        <v>5</v>
      </c>
      <c r="BF132">
        <v>6</v>
      </c>
      <c r="BG132">
        <v>6</v>
      </c>
      <c r="BH132">
        <v>12.760000000000002</v>
      </c>
      <c r="BI132">
        <v>42.28</v>
      </c>
      <c r="BJ132">
        <v>4.28</v>
      </c>
      <c r="BK132">
        <v>19</v>
      </c>
      <c r="BL132">
        <v>19.5</v>
      </c>
      <c r="BM132">
        <v>26</v>
      </c>
      <c r="BN132">
        <v>-1.1199999999999999</v>
      </c>
      <c r="BO132">
        <v>13</v>
      </c>
      <c r="BP132">
        <v>-0.76</v>
      </c>
      <c r="BQ132">
        <v>-1.1999999999999997</v>
      </c>
      <c r="BR132">
        <v>19</v>
      </c>
      <c r="BS132">
        <v>17.25</v>
      </c>
      <c r="BT132">
        <v>14</v>
      </c>
      <c r="BU132">
        <v>-0.12902486826144766</v>
      </c>
      <c r="BV132">
        <v>21</v>
      </c>
      <c r="BW132">
        <v>-3.0990551032092185E-2</v>
      </c>
      <c r="BX132">
        <v>32</v>
      </c>
      <c r="BY132">
        <v>9.4799999999999986</v>
      </c>
      <c r="BZ132">
        <v>2</v>
      </c>
      <c r="CA132">
        <v>-3.5200000000000005</v>
      </c>
      <c r="CB132">
        <v>-1</v>
      </c>
      <c r="CC132">
        <v>1.0800000000000005</v>
      </c>
      <c r="CD132">
        <v>0.96</v>
      </c>
      <c r="CE132">
        <v>25.360000000000003</v>
      </c>
      <c r="CF132">
        <v>-16.360000000000003</v>
      </c>
      <c r="CG132">
        <v>37.279999999999994</v>
      </c>
      <c r="CH132">
        <v>11.56</v>
      </c>
      <c r="CI132">
        <v>-7.12</v>
      </c>
      <c r="CJ132">
        <v>21</v>
      </c>
      <c r="CK132">
        <v>-1.9814000000000001</v>
      </c>
      <c r="CL132">
        <v>-7.117999999999941E-2</v>
      </c>
      <c r="CM132">
        <v>-53.64</v>
      </c>
      <c r="CN132">
        <v>1.9814000000000001</v>
      </c>
      <c r="CO132">
        <v>-4.4924999999999521E-2</v>
      </c>
      <c r="CP132">
        <v>-10.655999999999999</v>
      </c>
      <c r="CQ132">
        <v>-60.03</v>
      </c>
      <c r="CR132">
        <v>0.31900000000000067</v>
      </c>
      <c r="CS132">
        <v>24.980000000000004</v>
      </c>
      <c r="CT132">
        <v>-2.6400000000000006</v>
      </c>
      <c r="CU132">
        <v>-1.2399999999999998</v>
      </c>
      <c r="CV132">
        <v>0.46405000000000007</v>
      </c>
      <c r="CW132">
        <v>0.27720000000000011</v>
      </c>
      <c r="CX132" t="s">
        <v>311</v>
      </c>
      <c r="CY132">
        <v>6</v>
      </c>
      <c r="CZ132">
        <v>3.6311999999999984</v>
      </c>
      <c r="DA132">
        <v>27</v>
      </c>
      <c r="DB132">
        <v>24</v>
      </c>
      <c r="DC132">
        <v>18</v>
      </c>
      <c r="DD132">
        <v>-1.6440000000000008</v>
      </c>
      <c r="DE132">
        <v>30</v>
      </c>
      <c r="DF132">
        <v>-19.96</v>
      </c>
      <c r="DG132">
        <v>0.56000000000000016</v>
      </c>
      <c r="DH132">
        <v>1</v>
      </c>
      <c r="DI132">
        <v>1</v>
      </c>
      <c r="DJ132">
        <v>1</v>
      </c>
      <c r="DK132">
        <v>-1.9639999999999997</v>
      </c>
      <c r="DL132">
        <v>1</v>
      </c>
      <c r="DM132">
        <v>2.9600000000000009</v>
      </c>
      <c r="DN132">
        <v>-0.32</v>
      </c>
      <c r="DO132">
        <v>15</v>
      </c>
      <c r="DP132">
        <v>11.5</v>
      </c>
      <c r="DQ132">
        <v>11</v>
      </c>
      <c r="DR132">
        <v>6.2</v>
      </c>
      <c r="DS132">
        <v>12</v>
      </c>
      <c r="DT132">
        <v>14.960000000000003</v>
      </c>
      <c r="DU132">
        <v>2.0800000000000005</v>
      </c>
      <c r="DV132">
        <v>23</v>
      </c>
      <c r="DW132">
        <v>23</v>
      </c>
      <c r="DX132">
        <v>25</v>
      </c>
      <c r="DY132">
        <v>3.7120000000000011</v>
      </c>
      <c r="DZ132">
        <v>21</v>
      </c>
      <c r="EA132">
        <v>17.560000000000002</v>
      </c>
      <c r="EB132">
        <v>0.64</v>
      </c>
      <c r="EC132">
        <v>10</v>
      </c>
      <c r="ED132">
        <v>8.5</v>
      </c>
      <c r="EE132">
        <v>8</v>
      </c>
      <c r="EF132">
        <v>1.4360000000000006</v>
      </c>
      <c r="EG132">
        <v>9</v>
      </c>
      <c r="EH132">
        <v>2.7999999999999994</v>
      </c>
      <c r="EI132">
        <v>-3.9999999999999994E-2</v>
      </c>
      <c r="EJ132">
        <v>15</v>
      </c>
      <c r="EK132">
        <v>15.5</v>
      </c>
      <c r="EL132">
        <v>18</v>
      </c>
      <c r="EM132">
        <v>0.22800000000000153</v>
      </c>
      <c r="EN132">
        <v>13</v>
      </c>
      <c r="EO132">
        <v>2.2800000000000011</v>
      </c>
      <c r="EP132">
        <v>8.0000000000000432E-2</v>
      </c>
      <c r="EQ132">
        <v>14</v>
      </c>
      <c r="ER132">
        <v>14</v>
      </c>
      <c r="ES132">
        <v>14</v>
      </c>
      <c r="ET132">
        <v>-5.2039999999999997</v>
      </c>
      <c r="EU132">
        <v>14</v>
      </c>
      <c r="EV132">
        <v>-22.359999999999996</v>
      </c>
      <c r="EW132">
        <v>-1.0400000000000003</v>
      </c>
      <c r="EX132">
        <v>22</v>
      </c>
      <c r="EY132">
        <v>21.5</v>
      </c>
      <c r="EZ132">
        <v>19</v>
      </c>
      <c r="FA132">
        <v>-0.96000000000000019</v>
      </c>
      <c r="FB132">
        <v>24</v>
      </c>
      <c r="FC132">
        <v>-0.6399999999999999</v>
      </c>
      <c r="FD132">
        <v>-0.92000000000000015</v>
      </c>
      <c r="FE132">
        <v>27</v>
      </c>
      <c r="FF132">
        <v>22.75</v>
      </c>
      <c r="FG132">
        <v>31</v>
      </c>
      <c r="FH132">
        <v>5.1431923551284918E-2</v>
      </c>
      <c r="FI132">
        <v>30</v>
      </c>
      <c r="FJ132">
        <v>3.0480101374834589E-3</v>
      </c>
      <c r="FK132">
        <v>2</v>
      </c>
      <c r="FL132">
        <v>0.22400000000000092</v>
      </c>
      <c r="FM132">
        <v>28</v>
      </c>
      <c r="FN132">
        <v>0.51999999999999991</v>
      </c>
      <c r="FO132">
        <v>3.1199999999999997</v>
      </c>
      <c r="FP132">
        <v>-2.6800000000000006</v>
      </c>
      <c r="FQ132">
        <v>-0.52000000000000013</v>
      </c>
      <c r="FR132">
        <v>0.55999999999999805</v>
      </c>
      <c r="FS132">
        <v>1.4399999999999991</v>
      </c>
      <c r="FT132">
        <v>-0.88000000000000012</v>
      </c>
      <c r="FU132">
        <v>-4.5600000000000138</v>
      </c>
      <c r="FV132">
        <v>20</v>
      </c>
      <c r="FW132">
        <v>-19.279999999999998</v>
      </c>
      <c r="FX132">
        <v>-1.52</v>
      </c>
      <c r="FY132">
        <v>-3.7599999999999993</v>
      </c>
      <c r="FZ132">
        <v>2</v>
      </c>
      <c r="GA132">
        <v>7.2391999999999985</v>
      </c>
      <c r="GB132">
        <v>3.7590400000000006</v>
      </c>
      <c r="GC132">
        <v>39.28</v>
      </c>
      <c r="GD132">
        <v>-7.2391999999999985</v>
      </c>
      <c r="GE132">
        <v>0.65090000000000003</v>
      </c>
      <c r="GF132">
        <v>11.348000000000001</v>
      </c>
      <c r="GG132">
        <v>35.32</v>
      </c>
      <c r="GH132">
        <v>-3.6080000000000005</v>
      </c>
      <c r="GI132">
        <v>-17</v>
      </c>
      <c r="GJ132">
        <v>1.6400000000000003</v>
      </c>
      <c r="GK132">
        <v>0.24000000000000016</v>
      </c>
    </row>
    <row r="133" spans="1:193" x14ac:dyDescent="0.2">
      <c r="A133" s="39">
        <v>43765</v>
      </c>
      <c r="B133" s="22" t="s">
        <v>248</v>
      </c>
      <c r="C133" s="41" t="s">
        <v>287</v>
      </c>
      <c r="D133" s="22" t="s">
        <v>265</v>
      </c>
      <c r="E133">
        <v>12.3</v>
      </c>
      <c r="F133">
        <v>9.9</v>
      </c>
      <c r="G133">
        <v>0</v>
      </c>
      <c r="H133">
        <v>10.7</v>
      </c>
      <c r="I133">
        <v>3.5</v>
      </c>
      <c r="J133">
        <v>41</v>
      </c>
      <c r="K133" t="s">
        <v>110</v>
      </c>
      <c r="L133" s="1" t="s">
        <v>287</v>
      </c>
      <c r="M133">
        <v>9</v>
      </c>
      <c r="N133">
        <v>2.3751999999999995</v>
      </c>
      <c r="O133">
        <v>17</v>
      </c>
      <c r="P133">
        <v>17</v>
      </c>
      <c r="Q133">
        <v>17</v>
      </c>
      <c r="R133">
        <v>1.8760000000000001</v>
      </c>
      <c r="S133">
        <v>17</v>
      </c>
      <c r="T133">
        <v>-29.76</v>
      </c>
      <c r="U133">
        <v>2.6</v>
      </c>
      <c r="V133">
        <v>3</v>
      </c>
      <c r="W133">
        <v>4.5</v>
      </c>
      <c r="X133">
        <v>1</v>
      </c>
      <c r="Y133">
        <v>4.0919999999999996</v>
      </c>
      <c r="Z133">
        <v>8</v>
      </c>
      <c r="AA133">
        <v>-4.7200000000000006</v>
      </c>
      <c r="AB133">
        <v>1.8</v>
      </c>
      <c r="AC133">
        <v>9</v>
      </c>
      <c r="AD133">
        <v>10</v>
      </c>
      <c r="AE133">
        <v>9</v>
      </c>
      <c r="AF133">
        <v>1.7160000000000011</v>
      </c>
      <c r="AG133">
        <v>11</v>
      </c>
      <c r="AH133">
        <v>8.3600000000000012</v>
      </c>
      <c r="AI133">
        <v>2.3600000000000003</v>
      </c>
      <c r="AJ133">
        <v>5</v>
      </c>
      <c r="AK133">
        <v>5.5</v>
      </c>
      <c r="AL133">
        <v>10</v>
      </c>
      <c r="AM133">
        <v>-0.23200000000000004</v>
      </c>
      <c r="AN133">
        <v>1</v>
      </c>
      <c r="AO133">
        <v>13.319999999999999</v>
      </c>
      <c r="AP133">
        <v>2.2000000000000002</v>
      </c>
      <c r="AQ133">
        <v>28</v>
      </c>
      <c r="AR133">
        <v>28.5</v>
      </c>
      <c r="AS133">
        <v>30</v>
      </c>
      <c r="AT133">
        <v>-1.9839999999999995</v>
      </c>
      <c r="AU133">
        <v>27</v>
      </c>
      <c r="AV133">
        <v>-7.2</v>
      </c>
      <c r="AW133">
        <v>-1.56</v>
      </c>
      <c r="AX133">
        <v>10</v>
      </c>
      <c r="AY133">
        <v>11</v>
      </c>
      <c r="AZ133">
        <v>11</v>
      </c>
      <c r="BA133">
        <v>3.6119999999999997</v>
      </c>
      <c r="BB133">
        <v>11</v>
      </c>
      <c r="BC133">
        <v>2.9200000000000017</v>
      </c>
      <c r="BD133">
        <v>1.2000000000000004</v>
      </c>
      <c r="BE133">
        <v>26</v>
      </c>
      <c r="BF133">
        <v>26.5</v>
      </c>
      <c r="BG133">
        <v>27</v>
      </c>
      <c r="BH133">
        <v>2.2199999999999998</v>
      </c>
      <c r="BI133">
        <v>10.199999999999999</v>
      </c>
      <c r="BJ133">
        <v>-1.1600000000000001</v>
      </c>
      <c r="BK133">
        <v>4</v>
      </c>
      <c r="BL133">
        <v>7</v>
      </c>
      <c r="BM133">
        <v>11</v>
      </c>
      <c r="BN133">
        <v>1.24</v>
      </c>
      <c r="BO133">
        <v>3</v>
      </c>
      <c r="BP133">
        <v>0.35999999999999993</v>
      </c>
      <c r="BQ133">
        <v>-1.52</v>
      </c>
      <c r="BR133">
        <v>10</v>
      </c>
      <c r="BS133">
        <v>12.75</v>
      </c>
      <c r="BT133">
        <v>24</v>
      </c>
      <c r="BU133">
        <v>5.4761741282063923E-2</v>
      </c>
      <c r="BV133">
        <v>12</v>
      </c>
      <c r="BW133">
        <v>-2.2113676610795479E-2</v>
      </c>
      <c r="BX133">
        <v>7</v>
      </c>
      <c r="BY133">
        <v>1.9639999999999957</v>
      </c>
      <c r="BZ133">
        <v>8</v>
      </c>
      <c r="CA133">
        <v>0.48000000000000015</v>
      </c>
      <c r="CB133">
        <v>0.63999999999999913</v>
      </c>
      <c r="CC133">
        <v>-1.2</v>
      </c>
      <c r="CD133">
        <v>0.48000000000000009</v>
      </c>
      <c r="CE133">
        <v>6.3599999999999905</v>
      </c>
      <c r="CF133">
        <v>52.4</v>
      </c>
      <c r="CG133">
        <v>-37.239999999999995</v>
      </c>
      <c r="CH133">
        <v>-0.28000000000000003</v>
      </c>
      <c r="CI133">
        <v>-8.52</v>
      </c>
      <c r="CJ133">
        <v>24</v>
      </c>
      <c r="CK133">
        <v>-3.5928000000000004</v>
      </c>
      <c r="CL133">
        <v>-2.1649599999999998</v>
      </c>
      <c r="CM133">
        <v>89.639999999999986</v>
      </c>
      <c r="CN133">
        <v>3.5928000000000004</v>
      </c>
      <c r="CO133">
        <v>1.4129000000000003</v>
      </c>
      <c r="CP133">
        <v>-0.49999999999999845</v>
      </c>
      <c r="CQ133">
        <v>14.48</v>
      </c>
      <c r="CR133">
        <v>5.968</v>
      </c>
      <c r="CS133">
        <v>-34.480000000000004</v>
      </c>
      <c r="CT133">
        <v>1.8400000000000003</v>
      </c>
      <c r="CU133">
        <v>4.4000000000000004</v>
      </c>
      <c r="CV133">
        <v>-0.46067500000000006</v>
      </c>
      <c r="CW133">
        <v>-0.41915000000000019</v>
      </c>
      <c r="CX133" t="s">
        <v>265</v>
      </c>
      <c r="CY133">
        <v>29</v>
      </c>
      <c r="CZ133">
        <v>-2.2767999999999997</v>
      </c>
      <c r="DA133">
        <v>12</v>
      </c>
      <c r="DB133">
        <v>11.5</v>
      </c>
      <c r="DC133">
        <v>15</v>
      </c>
      <c r="DD133">
        <v>3.0631999999999993</v>
      </c>
      <c r="DE133">
        <v>8</v>
      </c>
      <c r="DF133">
        <v>1.759999999999998</v>
      </c>
      <c r="DG133">
        <v>0.40000000000000008</v>
      </c>
      <c r="DH133">
        <v>14</v>
      </c>
      <c r="DI133">
        <v>15</v>
      </c>
      <c r="DJ133">
        <v>14</v>
      </c>
      <c r="DK133">
        <v>-1.6839999999999999</v>
      </c>
      <c r="DL133">
        <v>16</v>
      </c>
      <c r="DM133">
        <v>-13.879999999999999</v>
      </c>
      <c r="DN133">
        <v>-0.36000000000000004</v>
      </c>
      <c r="DO133">
        <v>25</v>
      </c>
      <c r="DP133">
        <v>20</v>
      </c>
      <c r="DQ133">
        <v>19</v>
      </c>
      <c r="DR133">
        <v>-3.2849999999999993</v>
      </c>
      <c r="DS133">
        <v>21</v>
      </c>
      <c r="DT133">
        <v>-1.9000000000000004</v>
      </c>
      <c r="DU133">
        <v>0.15000000000000013</v>
      </c>
      <c r="DV133">
        <v>28</v>
      </c>
      <c r="DW133">
        <v>27</v>
      </c>
      <c r="DX133">
        <v>28</v>
      </c>
      <c r="DY133">
        <v>3.4950000000000001</v>
      </c>
      <c r="DZ133">
        <v>26</v>
      </c>
      <c r="EA133">
        <v>23</v>
      </c>
      <c r="EB133">
        <v>0.70000000000000018</v>
      </c>
      <c r="EC133">
        <v>20</v>
      </c>
      <c r="ED133">
        <v>19.5</v>
      </c>
      <c r="EE133">
        <v>20</v>
      </c>
      <c r="EF133">
        <v>0.95000000000000018</v>
      </c>
      <c r="EG133">
        <v>19</v>
      </c>
      <c r="EH133">
        <v>3</v>
      </c>
      <c r="EI133">
        <v>1.35</v>
      </c>
      <c r="EJ133">
        <v>21</v>
      </c>
      <c r="EK133">
        <v>21.5</v>
      </c>
      <c r="EL133">
        <v>20</v>
      </c>
      <c r="EM133">
        <v>8.8000000000000966E-2</v>
      </c>
      <c r="EN133">
        <v>23</v>
      </c>
      <c r="EO133">
        <v>2.8799999999999981</v>
      </c>
      <c r="EP133">
        <v>0.88000000000000023</v>
      </c>
      <c r="EQ133">
        <v>15</v>
      </c>
      <c r="ER133">
        <v>15</v>
      </c>
      <c r="ES133">
        <v>12</v>
      </c>
      <c r="ET133">
        <v>-2.3199999999999994</v>
      </c>
      <c r="EU133">
        <v>18</v>
      </c>
      <c r="EV133">
        <v>-2.919999999999999</v>
      </c>
      <c r="EW133">
        <v>-0.24000000000000005</v>
      </c>
      <c r="EX133">
        <v>15</v>
      </c>
      <c r="EY133">
        <v>13</v>
      </c>
      <c r="EZ133">
        <v>14</v>
      </c>
      <c r="FA133">
        <v>-1.9600000000000002</v>
      </c>
      <c r="FB133">
        <v>12</v>
      </c>
      <c r="FC133">
        <v>-3.9999999999999994E-2</v>
      </c>
      <c r="FD133">
        <v>-0.20000000000000018</v>
      </c>
      <c r="FE133">
        <v>32</v>
      </c>
      <c r="FF133">
        <v>29.25</v>
      </c>
      <c r="FG133">
        <v>28</v>
      </c>
      <c r="FH133">
        <v>-1.8124464133477809E-2</v>
      </c>
      <c r="FI133">
        <v>29</v>
      </c>
      <c r="FJ133">
        <v>2.2028165379901323E-3</v>
      </c>
      <c r="FK133">
        <v>29</v>
      </c>
      <c r="FL133">
        <v>4.4359999999999999</v>
      </c>
      <c r="FM133">
        <v>31</v>
      </c>
      <c r="FN133">
        <v>3.3600000000000003</v>
      </c>
      <c r="FO133">
        <v>3.12</v>
      </c>
      <c r="FP133">
        <v>-0.9199999999999996</v>
      </c>
      <c r="FQ133">
        <v>-0.47999999999999987</v>
      </c>
      <c r="FR133">
        <v>1.4799999999999998</v>
      </c>
      <c r="FS133">
        <v>-0.80000000000000038</v>
      </c>
      <c r="FT133">
        <v>-0.88000000000000012</v>
      </c>
      <c r="FU133">
        <v>-12.600000000000012</v>
      </c>
      <c r="FV133">
        <v>6.6799999999999953</v>
      </c>
      <c r="FW133">
        <v>-12.120000000000005</v>
      </c>
      <c r="FX133">
        <v>-7.6400000000000006</v>
      </c>
      <c r="FY133">
        <v>0.48000000000000043</v>
      </c>
      <c r="FZ133">
        <v>26</v>
      </c>
      <c r="GA133">
        <v>-3.6559999999999988</v>
      </c>
      <c r="GB133">
        <v>-1.3769599999999993</v>
      </c>
      <c r="GC133">
        <v>18.8</v>
      </c>
      <c r="GD133">
        <v>3.6559999999999988</v>
      </c>
      <c r="GE133">
        <v>-0.50219999999999987</v>
      </c>
      <c r="GF133">
        <v>1.160000000000001</v>
      </c>
      <c r="GG133">
        <v>24.1</v>
      </c>
      <c r="GH133">
        <v>1.3791999999999993</v>
      </c>
      <c r="GI133">
        <v>-12.120000000000001</v>
      </c>
      <c r="GJ133">
        <v>1.9600000000000002</v>
      </c>
      <c r="GK133">
        <v>4.0000000000000036E-2</v>
      </c>
    </row>
    <row r="134" spans="1:193" x14ac:dyDescent="0.2">
      <c r="A134" s="39">
        <v>43765</v>
      </c>
      <c r="B134" s="22" t="s">
        <v>248</v>
      </c>
      <c r="C134" s="41" t="s">
        <v>304</v>
      </c>
      <c r="D134" s="22" t="s">
        <v>272</v>
      </c>
      <c r="E134" s="14">
        <v>38</v>
      </c>
      <c r="F134">
        <v>6.2</v>
      </c>
      <c r="G134">
        <v>16.2</v>
      </c>
      <c r="H134">
        <f>3.5+1.8</f>
        <v>5.3</v>
      </c>
      <c r="I134">
        <v>-12</v>
      </c>
      <c r="J134">
        <v>48.5</v>
      </c>
      <c r="K134" t="s">
        <v>109</v>
      </c>
      <c r="L134" s="1" t="s">
        <v>304</v>
      </c>
      <c r="M134">
        <v>25</v>
      </c>
      <c r="N134">
        <v>-2.0536000000000016</v>
      </c>
      <c r="O134">
        <v>12</v>
      </c>
      <c r="P134">
        <v>14.5</v>
      </c>
      <c r="Q134">
        <v>15</v>
      </c>
      <c r="R134">
        <v>-2.7847999999999993</v>
      </c>
      <c r="S134">
        <v>14</v>
      </c>
      <c r="T134">
        <v>-25.879999999999995</v>
      </c>
      <c r="U134">
        <v>4.0000000000000077E-2</v>
      </c>
      <c r="V134">
        <v>21</v>
      </c>
      <c r="W134">
        <v>19</v>
      </c>
      <c r="X134">
        <v>21</v>
      </c>
      <c r="Y134">
        <v>-2.3479999999999999</v>
      </c>
      <c r="Z134">
        <v>17</v>
      </c>
      <c r="AA134">
        <v>-1.0400000000000005</v>
      </c>
      <c r="AB134">
        <v>-0.6</v>
      </c>
      <c r="AC134">
        <v>12</v>
      </c>
      <c r="AD134">
        <v>13</v>
      </c>
      <c r="AE134">
        <v>13</v>
      </c>
      <c r="AF134">
        <v>6.1440000000000001</v>
      </c>
      <c r="AG134">
        <v>13</v>
      </c>
      <c r="AH134">
        <v>15.040000000000003</v>
      </c>
      <c r="AI134">
        <v>3.5200000000000005</v>
      </c>
      <c r="AJ134">
        <v>4</v>
      </c>
      <c r="AK134">
        <v>4.5</v>
      </c>
      <c r="AL134">
        <v>7</v>
      </c>
      <c r="AM134">
        <v>1.5039999999999987</v>
      </c>
      <c r="AN134">
        <v>2</v>
      </c>
      <c r="AO134">
        <v>9.24</v>
      </c>
      <c r="AP134">
        <v>3</v>
      </c>
      <c r="AQ134">
        <v>8</v>
      </c>
      <c r="AR134">
        <v>8.5</v>
      </c>
      <c r="AS134">
        <v>8</v>
      </c>
      <c r="AT134">
        <v>5.86</v>
      </c>
      <c r="AU134">
        <v>9</v>
      </c>
      <c r="AV134">
        <v>33.64</v>
      </c>
      <c r="AW134">
        <v>2.96</v>
      </c>
      <c r="AX134">
        <v>5</v>
      </c>
      <c r="AY134">
        <v>5</v>
      </c>
      <c r="AZ134">
        <v>8</v>
      </c>
      <c r="BA134">
        <v>5.104000000000001</v>
      </c>
      <c r="BB134">
        <v>2</v>
      </c>
      <c r="BC134">
        <v>19.440000000000001</v>
      </c>
      <c r="BD134">
        <v>4.4800000000000004</v>
      </c>
      <c r="BE134">
        <v>12</v>
      </c>
      <c r="BF134">
        <v>12.5</v>
      </c>
      <c r="BG134">
        <v>14</v>
      </c>
      <c r="BH134">
        <v>3.8800000000000012</v>
      </c>
      <c r="BI134">
        <v>21.999999999999993</v>
      </c>
      <c r="BJ134">
        <v>3.3600000000000003</v>
      </c>
      <c r="BK134">
        <v>16</v>
      </c>
      <c r="BL134">
        <v>15.5</v>
      </c>
      <c r="BM134">
        <v>18</v>
      </c>
      <c r="BN134">
        <v>2.88</v>
      </c>
      <c r="BO134">
        <v>13</v>
      </c>
      <c r="BP134">
        <v>0.55999999999999994</v>
      </c>
      <c r="BQ134">
        <v>-4.0000000000000216E-2</v>
      </c>
      <c r="BR134">
        <v>23</v>
      </c>
      <c r="BS134">
        <v>20.5</v>
      </c>
      <c r="BT134">
        <v>32</v>
      </c>
      <c r="BU134">
        <v>4.6529296223672134E-2</v>
      </c>
      <c r="BV134">
        <v>29</v>
      </c>
      <c r="BW134">
        <v>-1.7486415337316485E-2</v>
      </c>
      <c r="BX134">
        <v>8</v>
      </c>
      <c r="BY134">
        <v>-13.900000000000006</v>
      </c>
      <c r="BZ134">
        <v>13</v>
      </c>
      <c r="CA134">
        <v>0.43999999999999967</v>
      </c>
      <c r="CB134">
        <v>5.4399999999999995</v>
      </c>
      <c r="CC134">
        <v>0.11999999999999958</v>
      </c>
      <c r="CD134">
        <v>0.48000000000000009</v>
      </c>
      <c r="CE134">
        <v>21.639999999999997</v>
      </c>
      <c r="CF134">
        <v>56.64</v>
      </c>
      <c r="CG134">
        <v>-28.479999999999997</v>
      </c>
      <c r="CH134">
        <v>8.92</v>
      </c>
      <c r="CI134">
        <v>-15.440000000000003</v>
      </c>
      <c r="CJ134">
        <v>15</v>
      </c>
      <c r="CK134">
        <v>3.0791999999999975</v>
      </c>
      <c r="CL134">
        <v>5.6332799999999992</v>
      </c>
      <c r="CM134">
        <v>85.12</v>
      </c>
      <c r="CN134">
        <v>-3.0791999999999979</v>
      </c>
      <c r="CO134">
        <v>1.6351999999999998</v>
      </c>
      <c r="CP134">
        <v>13.507999999999999</v>
      </c>
      <c r="CQ134">
        <v>57.92</v>
      </c>
      <c r="CR134">
        <v>-5.1327999999999996</v>
      </c>
      <c r="CS134">
        <v>-26.919999999999995</v>
      </c>
      <c r="CT134">
        <v>12.84</v>
      </c>
      <c r="CU134">
        <v>-0.55999999999999994</v>
      </c>
      <c r="CV134">
        <v>0.12783333333333302</v>
      </c>
      <c r="CW134">
        <v>-0.6726000000000002</v>
      </c>
      <c r="CX134" t="s">
        <v>272</v>
      </c>
      <c r="CY134">
        <v>10</v>
      </c>
      <c r="CZ134">
        <v>4.1487999999999996</v>
      </c>
      <c r="DA134">
        <v>25</v>
      </c>
      <c r="DB134">
        <v>23.5</v>
      </c>
      <c r="DC134">
        <v>29</v>
      </c>
      <c r="DD134">
        <v>0.26399999999999862</v>
      </c>
      <c r="DE134">
        <v>18</v>
      </c>
      <c r="DF134">
        <v>3.919999999999999</v>
      </c>
      <c r="DG134">
        <v>-0.36000000000000015</v>
      </c>
      <c r="DH134">
        <v>24</v>
      </c>
      <c r="DI134">
        <v>21.5</v>
      </c>
      <c r="DJ134">
        <v>19</v>
      </c>
      <c r="DK134">
        <v>4.0839999999999996</v>
      </c>
      <c r="DL134">
        <v>24</v>
      </c>
      <c r="DM134">
        <v>7.8800000000000008</v>
      </c>
      <c r="DN134">
        <v>1.48</v>
      </c>
      <c r="DO134">
        <v>1</v>
      </c>
      <c r="DP134">
        <v>4</v>
      </c>
      <c r="DQ134">
        <v>5</v>
      </c>
      <c r="DR134">
        <v>-2.2280000000000002</v>
      </c>
      <c r="DS134">
        <v>3</v>
      </c>
      <c r="DT134">
        <v>-8.1866666666666674</v>
      </c>
      <c r="DU134">
        <v>-1.8</v>
      </c>
      <c r="DV134">
        <v>17</v>
      </c>
      <c r="DW134">
        <v>16.5</v>
      </c>
      <c r="DX134">
        <v>19</v>
      </c>
      <c r="DY134">
        <v>-2.1880000000000006</v>
      </c>
      <c r="DZ134">
        <v>14</v>
      </c>
      <c r="EA134">
        <v>-12.413333333333332</v>
      </c>
      <c r="EB134">
        <v>-0.72</v>
      </c>
      <c r="EC134">
        <v>6</v>
      </c>
      <c r="ED134">
        <v>8</v>
      </c>
      <c r="EE134">
        <v>6</v>
      </c>
      <c r="EF134">
        <v>0.65733333333333377</v>
      </c>
      <c r="EG134">
        <v>10</v>
      </c>
      <c r="EH134">
        <v>6.6533333333333333</v>
      </c>
      <c r="EI134">
        <v>-0.66666666666666674</v>
      </c>
      <c r="EJ134">
        <v>2</v>
      </c>
      <c r="EK134">
        <v>3.5</v>
      </c>
      <c r="EL134">
        <v>5</v>
      </c>
      <c r="EM134">
        <v>3.383999999999999</v>
      </c>
      <c r="EN134">
        <v>2</v>
      </c>
      <c r="EO134">
        <v>26.24</v>
      </c>
      <c r="EP134">
        <v>0.92000000000000015</v>
      </c>
      <c r="EQ134">
        <v>9</v>
      </c>
      <c r="ER134">
        <v>10</v>
      </c>
      <c r="ES134">
        <v>9</v>
      </c>
      <c r="ET134">
        <v>0.36799999999999977</v>
      </c>
      <c r="EU134">
        <v>11</v>
      </c>
      <c r="EV134">
        <v>9.0800000000000018</v>
      </c>
      <c r="EW134">
        <v>-0.68</v>
      </c>
      <c r="EX134">
        <v>20</v>
      </c>
      <c r="EY134">
        <v>21</v>
      </c>
      <c r="EZ134">
        <v>18</v>
      </c>
      <c r="FA134">
        <v>2.3200000000000003</v>
      </c>
      <c r="FB134">
        <v>24</v>
      </c>
      <c r="FC134">
        <v>0.92000000000000015</v>
      </c>
      <c r="FD134">
        <v>2.6</v>
      </c>
      <c r="FE134">
        <v>22</v>
      </c>
      <c r="FF134">
        <v>18.25</v>
      </c>
      <c r="FG134">
        <v>13</v>
      </c>
      <c r="FH134">
        <v>3.243864813714914E-3</v>
      </c>
      <c r="FI134">
        <v>15</v>
      </c>
      <c r="FJ134">
        <v>-3.3227979926275651E-2</v>
      </c>
      <c r="FK134">
        <v>19</v>
      </c>
      <c r="FL134">
        <v>-5.2720000000000002</v>
      </c>
      <c r="FM134">
        <v>26</v>
      </c>
      <c r="FN134">
        <v>-3.28</v>
      </c>
      <c r="FO134">
        <v>7.999999999999971E-2</v>
      </c>
      <c r="FP134">
        <v>3.12</v>
      </c>
      <c r="FQ134">
        <v>2.88</v>
      </c>
      <c r="FR134">
        <v>6.4399999999999977</v>
      </c>
      <c r="FS134">
        <v>2.2000000000000002</v>
      </c>
      <c r="FT134">
        <v>0</v>
      </c>
      <c r="FU134">
        <v>74.239999999999995</v>
      </c>
      <c r="FV134">
        <v>24.32</v>
      </c>
      <c r="FW134">
        <v>15.520000000000005</v>
      </c>
      <c r="FX134">
        <v>8.24</v>
      </c>
      <c r="FY134">
        <v>26.160000000000004</v>
      </c>
      <c r="FZ134">
        <v>17</v>
      </c>
      <c r="GA134">
        <v>-0.19919999999999849</v>
      </c>
      <c r="GB134">
        <v>-2.0223733333333325</v>
      </c>
      <c r="GC134">
        <v>8.7999999999999954</v>
      </c>
      <c r="GD134">
        <v>0.19919999999999849</v>
      </c>
      <c r="GE134">
        <v>0.92826666666666624</v>
      </c>
      <c r="GF134">
        <v>-3.7586666666666666</v>
      </c>
      <c r="GG134">
        <v>-13.946666666666669</v>
      </c>
      <c r="GH134">
        <v>4.3479999999999981</v>
      </c>
      <c r="GI134">
        <v>11.8</v>
      </c>
      <c r="GJ134">
        <v>-3.8666666666666667</v>
      </c>
      <c r="GK134">
        <v>1.1199999999999999</v>
      </c>
    </row>
    <row r="135" spans="1:193" x14ac:dyDescent="0.2">
      <c r="A135" s="39">
        <v>43765</v>
      </c>
      <c r="B135" s="22" t="s">
        <v>248</v>
      </c>
      <c r="C135" s="41" t="s">
        <v>293</v>
      </c>
      <c r="D135" s="22" t="s">
        <v>309</v>
      </c>
      <c r="E135" s="14">
        <v>8.1999999999999993</v>
      </c>
      <c r="F135">
        <v>11.9</v>
      </c>
      <c r="G135">
        <v>8.1999999999999993</v>
      </c>
      <c r="H135">
        <v>3</v>
      </c>
      <c r="I135">
        <v>14</v>
      </c>
      <c r="J135">
        <v>44</v>
      </c>
      <c r="L135" s="1" t="s">
        <v>293</v>
      </c>
      <c r="M135">
        <v>17</v>
      </c>
      <c r="N135">
        <v>-0.83359999999999945</v>
      </c>
      <c r="O135">
        <v>31</v>
      </c>
      <c r="P135">
        <v>29</v>
      </c>
      <c r="Q135">
        <v>27</v>
      </c>
      <c r="R135">
        <v>-5.548</v>
      </c>
      <c r="S135">
        <v>31</v>
      </c>
      <c r="T135">
        <v>-24.039999999999996</v>
      </c>
      <c r="U135">
        <v>2.4400000000000004</v>
      </c>
      <c r="V135">
        <v>26</v>
      </c>
      <c r="W135">
        <v>24.5</v>
      </c>
      <c r="X135">
        <v>23</v>
      </c>
      <c r="Y135">
        <v>-0.65200000000000014</v>
      </c>
      <c r="Z135">
        <v>26</v>
      </c>
      <c r="AA135">
        <v>5.7200000000000006</v>
      </c>
      <c r="AB135">
        <v>-0.43999999999999984</v>
      </c>
      <c r="AC135">
        <v>1</v>
      </c>
      <c r="AD135">
        <v>1.5</v>
      </c>
      <c r="AE135">
        <v>2</v>
      </c>
      <c r="AF135">
        <v>-1.0240000000000005</v>
      </c>
      <c r="AG135">
        <v>1</v>
      </c>
      <c r="AH135">
        <v>0.31999999999999884</v>
      </c>
      <c r="AI135">
        <v>1.48</v>
      </c>
      <c r="AJ135">
        <v>18</v>
      </c>
      <c r="AK135">
        <v>18.5</v>
      </c>
      <c r="AL135">
        <v>18</v>
      </c>
      <c r="AM135">
        <v>3.2199999999999989</v>
      </c>
      <c r="AN135">
        <v>19</v>
      </c>
      <c r="AO135">
        <v>10.68</v>
      </c>
      <c r="AP135">
        <v>0.8</v>
      </c>
      <c r="AQ135">
        <v>5</v>
      </c>
      <c r="AR135">
        <v>5.5</v>
      </c>
      <c r="AS135">
        <v>4</v>
      </c>
      <c r="AT135">
        <v>1.8559999999999994</v>
      </c>
      <c r="AU135">
        <v>7</v>
      </c>
      <c r="AV135">
        <v>-1.1999999999999997</v>
      </c>
      <c r="AW135">
        <v>0.6</v>
      </c>
      <c r="AX135">
        <v>1</v>
      </c>
      <c r="AY135">
        <v>1</v>
      </c>
      <c r="AZ135">
        <v>1</v>
      </c>
      <c r="BA135">
        <v>-0.47200000000000131</v>
      </c>
      <c r="BB135">
        <v>1</v>
      </c>
      <c r="BC135">
        <v>-9.120000000000001</v>
      </c>
      <c r="BD135">
        <v>0.96000000000000019</v>
      </c>
      <c r="BE135">
        <v>10</v>
      </c>
      <c r="BF135">
        <v>11</v>
      </c>
      <c r="BG135">
        <v>12</v>
      </c>
      <c r="BH135">
        <v>-5.8160000000000007</v>
      </c>
      <c r="BI135">
        <v>-23.04</v>
      </c>
      <c r="BJ135">
        <v>-1.9199999999999995</v>
      </c>
      <c r="BK135">
        <v>13</v>
      </c>
      <c r="BL135">
        <v>12</v>
      </c>
      <c r="BM135">
        <v>3</v>
      </c>
      <c r="BN135">
        <v>-2.5599999999999996</v>
      </c>
      <c r="BO135">
        <v>21</v>
      </c>
      <c r="BP135">
        <v>-0.44000000000000006</v>
      </c>
      <c r="BQ135">
        <v>-6.7199999999999989</v>
      </c>
      <c r="BR135">
        <v>16</v>
      </c>
      <c r="BS135">
        <v>14.5</v>
      </c>
      <c r="BT135">
        <v>12</v>
      </c>
      <c r="BU135">
        <v>2.8946055090405275E-2</v>
      </c>
      <c r="BV135">
        <v>10</v>
      </c>
      <c r="BW135">
        <v>4.9853409515472624E-3</v>
      </c>
      <c r="BX135">
        <v>14</v>
      </c>
      <c r="BY135">
        <v>-4.452</v>
      </c>
      <c r="BZ135">
        <v>22</v>
      </c>
      <c r="CA135">
        <v>2.4400000000000004</v>
      </c>
      <c r="CB135">
        <v>-0.36000000000000087</v>
      </c>
      <c r="CC135">
        <v>-4.6399999999999997</v>
      </c>
      <c r="CD135">
        <v>-1.1199999999999999</v>
      </c>
      <c r="CE135">
        <v>-33.839999999999996</v>
      </c>
      <c r="CF135">
        <v>-7.3200000000000047</v>
      </c>
      <c r="CG135">
        <v>-21.119999999999997</v>
      </c>
      <c r="CH135">
        <v>-2.7600000000000002</v>
      </c>
      <c r="CI135">
        <v>-2.6400000000000006</v>
      </c>
      <c r="CJ135">
        <v>9</v>
      </c>
      <c r="CK135">
        <v>5.3664000000000005</v>
      </c>
      <c r="CL135">
        <v>2.5804799999999997</v>
      </c>
      <c r="CM135">
        <v>13.799999999999994</v>
      </c>
      <c r="CN135">
        <v>-5.3664000000000005</v>
      </c>
      <c r="CO135">
        <v>-1.4197000000000002</v>
      </c>
      <c r="CP135">
        <v>4.0519999999999978</v>
      </c>
      <c r="CQ135">
        <v>9.7999999999999989</v>
      </c>
      <c r="CR135">
        <v>-6.2</v>
      </c>
      <c r="CS135">
        <v>-18.319999999999993</v>
      </c>
      <c r="CT135">
        <v>0.96000000000000085</v>
      </c>
      <c r="CU135">
        <v>2.0000000000000004</v>
      </c>
      <c r="CV135">
        <v>9.2083333333333184E-2</v>
      </c>
      <c r="CW135">
        <v>1.84785</v>
      </c>
      <c r="CX135" t="s">
        <v>309</v>
      </c>
      <c r="CY135">
        <v>31</v>
      </c>
      <c r="CZ135">
        <v>-3.6628000000000016</v>
      </c>
      <c r="DA135">
        <v>22</v>
      </c>
      <c r="DB135">
        <v>21.5</v>
      </c>
      <c r="DC135">
        <v>32</v>
      </c>
      <c r="DD135">
        <v>-4.5239999999999991</v>
      </c>
      <c r="DE135">
        <v>11</v>
      </c>
      <c r="DF135">
        <v>-4.6800000000000024</v>
      </c>
      <c r="DG135">
        <v>3.9999999999999945E-2</v>
      </c>
      <c r="DH135">
        <v>16</v>
      </c>
      <c r="DI135">
        <v>16.5</v>
      </c>
      <c r="DJ135">
        <v>12</v>
      </c>
      <c r="DK135">
        <v>-2.8039999999999989</v>
      </c>
      <c r="DL135">
        <v>21</v>
      </c>
      <c r="DM135">
        <v>-5.5199999999999987</v>
      </c>
      <c r="DN135">
        <v>-0.12000000000000002</v>
      </c>
      <c r="DO135">
        <v>26</v>
      </c>
      <c r="DP135">
        <v>29.5</v>
      </c>
      <c r="DQ135">
        <v>28</v>
      </c>
      <c r="DR135">
        <v>-3.2680000000000007</v>
      </c>
      <c r="DS135">
        <v>31</v>
      </c>
      <c r="DT135">
        <v>-16.226666666666663</v>
      </c>
      <c r="DU135">
        <v>-2.2399999999999998</v>
      </c>
      <c r="DV135">
        <v>29</v>
      </c>
      <c r="DW135">
        <v>29.5</v>
      </c>
      <c r="DX135">
        <v>31</v>
      </c>
      <c r="DY135">
        <v>0.17999999999999972</v>
      </c>
      <c r="DZ135">
        <v>28</v>
      </c>
      <c r="EA135">
        <v>-0.33333333333333287</v>
      </c>
      <c r="EB135">
        <v>0.88000000000000012</v>
      </c>
      <c r="EC135">
        <v>5</v>
      </c>
      <c r="ED135">
        <v>25</v>
      </c>
      <c r="EE135">
        <v>27</v>
      </c>
      <c r="EF135">
        <v>-0.82666666666666677</v>
      </c>
      <c r="EG135">
        <v>23</v>
      </c>
      <c r="EH135">
        <v>-1.4266666666666665</v>
      </c>
      <c r="EI135">
        <v>-1.3466666666666669</v>
      </c>
      <c r="EJ135">
        <v>27</v>
      </c>
      <c r="EK135">
        <v>27</v>
      </c>
      <c r="EL135">
        <v>30</v>
      </c>
      <c r="EM135">
        <v>4.6120000000000001</v>
      </c>
      <c r="EN135">
        <v>24</v>
      </c>
      <c r="EO135">
        <v>16.119999999999997</v>
      </c>
      <c r="EP135">
        <v>2.4</v>
      </c>
      <c r="EQ135">
        <v>24</v>
      </c>
      <c r="ER135">
        <v>24</v>
      </c>
      <c r="ES135">
        <v>24</v>
      </c>
      <c r="ET135">
        <v>2.7559999999999993</v>
      </c>
      <c r="EU135">
        <v>24</v>
      </c>
      <c r="EV135">
        <v>3.1200000000000023</v>
      </c>
      <c r="EW135">
        <v>0.91999999999999993</v>
      </c>
      <c r="EX135">
        <v>30</v>
      </c>
      <c r="EY135">
        <v>27.5</v>
      </c>
      <c r="EZ135">
        <v>31</v>
      </c>
      <c r="FA135">
        <v>-1.1599999999999997</v>
      </c>
      <c r="FB135">
        <v>24</v>
      </c>
      <c r="FC135">
        <v>-0.43999999999999995</v>
      </c>
      <c r="FD135">
        <v>-2.12</v>
      </c>
      <c r="FE135">
        <v>1</v>
      </c>
      <c r="FF135">
        <v>5.25</v>
      </c>
      <c r="FG135">
        <v>2</v>
      </c>
      <c r="FH135">
        <v>4.9765878361423529E-2</v>
      </c>
      <c r="FI135">
        <v>1</v>
      </c>
      <c r="FJ135">
        <v>2.4410625011643754E-2</v>
      </c>
      <c r="FK135">
        <v>16</v>
      </c>
      <c r="FL135">
        <v>-5.6320000000000032</v>
      </c>
      <c r="FM135">
        <v>2</v>
      </c>
      <c r="FN135">
        <v>5.0400000000000009</v>
      </c>
      <c r="FO135">
        <v>0.12000000000000029</v>
      </c>
      <c r="FP135">
        <v>-1.3199999999999996</v>
      </c>
      <c r="FQ135">
        <v>0.91999999999999971</v>
      </c>
      <c r="FR135">
        <v>0.27999999999999969</v>
      </c>
      <c r="FS135">
        <v>-2.5200000000000005</v>
      </c>
      <c r="FT135">
        <v>-1.1199999999999999</v>
      </c>
      <c r="FU135">
        <v>-31.080000000000005</v>
      </c>
      <c r="FV135">
        <v>-10.88</v>
      </c>
      <c r="FW135">
        <v>-13.48</v>
      </c>
      <c r="FX135">
        <v>-3.4</v>
      </c>
      <c r="FY135">
        <v>-3.3200000000000003</v>
      </c>
      <c r="FZ135">
        <v>8</v>
      </c>
      <c r="GA135">
        <v>3.6651999999999965</v>
      </c>
      <c r="GB135">
        <v>2.6997066666666649</v>
      </c>
      <c r="GC135">
        <v>2.5999999999999996</v>
      </c>
      <c r="GD135">
        <v>-3.665199999999996</v>
      </c>
      <c r="GE135">
        <v>-1.6636833333333336</v>
      </c>
      <c r="GF135">
        <v>-3.9146666666666676</v>
      </c>
      <c r="GG135">
        <v>-17.986666666666661</v>
      </c>
      <c r="GH135">
        <v>-7.3279999999999976</v>
      </c>
      <c r="GI135">
        <v>-10.200000000000001</v>
      </c>
      <c r="GJ135">
        <v>-1.7866666666666666</v>
      </c>
      <c r="GK135">
        <v>-8.0000000000000071E-2</v>
      </c>
    </row>
    <row r="136" spans="1:193" x14ac:dyDescent="0.2">
      <c r="A136" s="39">
        <v>43765</v>
      </c>
      <c r="B136" s="22" t="s">
        <v>248</v>
      </c>
      <c r="C136" s="41" t="s">
        <v>312</v>
      </c>
      <c r="D136" s="22" t="s">
        <v>306</v>
      </c>
      <c r="E136" s="3">
        <v>23.3</v>
      </c>
      <c r="F136">
        <v>4.7</v>
      </c>
      <c r="G136">
        <v>1.1000000000000001</v>
      </c>
      <c r="H136">
        <f>5.1+4.7</f>
        <v>9.8000000000000007</v>
      </c>
      <c r="I136">
        <v>-16.5</v>
      </c>
      <c r="J136">
        <v>42</v>
      </c>
      <c r="L136" s="1" t="s">
        <v>312</v>
      </c>
      <c r="M136">
        <v>14</v>
      </c>
      <c r="N136">
        <v>0.86319999999999941</v>
      </c>
      <c r="O136">
        <v>12</v>
      </c>
      <c r="P136">
        <v>14.5</v>
      </c>
      <c r="Q136">
        <v>7</v>
      </c>
      <c r="R136">
        <v>5.9120000000000008</v>
      </c>
      <c r="S136">
        <v>22</v>
      </c>
      <c r="T136">
        <v>24.679999999999996</v>
      </c>
      <c r="U136">
        <v>0.61999999999999988</v>
      </c>
      <c r="V136">
        <v>5</v>
      </c>
      <c r="W136">
        <v>8</v>
      </c>
      <c r="X136">
        <v>13</v>
      </c>
      <c r="Y136">
        <v>-1.8659999999999997</v>
      </c>
      <c r="Z136">
        <v>3</v>
      </c>
      <c r="AA136">
        <v>17.48</v>
      </c>
      <c r="AB136">
        <v>-2.08</v>
      </c>
      <c r="AC136">
        <v>16</v>
      </c>
      <c r="AD136">
        <v>17</v>
      </c>
      <c r="AE136">
        <v>18</v>
      </c>
      <c r="AF136">
        <v>1.9299999999999975</v>
      </c>
      <c r="AG136">
        <v>16</v>
      </c>
      <c r="AH136">
        <v>-9.65</v>
      </c>
      <c r="AI136">
        <v>-1.2899999999999998</v>
      </c>
      <c r="AJ136">
        <v>23</v>
      </c>
      <c r="AK136">
        <v>22</v>
      </c>
      <c r="AL136">
        <v>26</v>
      </c>
      <c r="AM136">
        <v>8.34</v>
      </c>
      <c r="AN136">
        <v>18</v>
      </c>
      <c r="AO136">
        <v>39.32</v>
      </c>
      <c r="AP136">
        <v>0.85</v>
      </c>
      <c r="AQ136">
        <v>27</v>
      </c>
      <c r="AR136">
        <v>28</v>
      </c>
      <c r="AS136">
        <v>27</v>
      </c>
      <c r="AT136">
        <v>-1.1469999999999998</v>
      </c>
      <c r="AU136">
        <v>29</v>
      </c>
      <c r="AV136">
        <v>-5.0100000000000007</v>
      </c>
      <c r="AW136">
        <v>-1.45</v>
      </c>
      <c r="AX136">
        <v>29</v>
      </c>
      <c r="AY136">
        <v>29</v>
      </c>
      <c r="AZ136">
        <v>29</v>
      </c>
      <c r="BA136">
        <v>-5.6120000000000019</v>
      </c>
      <c r="BB136">
        <v>29</v>
      </c>
      <c r="BC136">
        <v>-31.959999999999997</v>
      </c>
      <c r="BD136">
        <v>-8.48</v>
      </c>
      <c r="BE136">
        <v>5</v>
      </c>
      <c r="BF136">
        <v>6</v>
      </c>
      <c r="BG136">
        <v>3</v>
      </c>
      <c r="BH136">
        <v>-1.4080000000000004</v>
      </c>
      <c r="BI136">
        <v>0.31999999999999884</v>
      </c>
      <c r="BJ136">
        <v>-1.8799999999999997</v>
      </c>
      <c r="BK136">
        <v>26</v>
      </c>
      <c r="BL136">
        <v>25</v>
      </c>
      <c r="BM136">
        <v>21</v>
      </c>
      <c r="BN136">
        <v>0.8</v>
      </c>
      <c r="BO136">
        <v>29</v>
      </c>
      <c r="BP136">
        <v>0.36000000000000004</v>
      </c>
      <c r="BQ136">
        <v>-1.0399999999999998</v>
      </c>
      <c r="BR136">
        <v>28</v>
      </c>
      <c r="BS136">
        <v>24.5</v>
      </c>
      <c r="BT136">
        <v>22</v>
      </c>
      <c r="BU136">
        <v>2.5572912803833937E-2</v>
      </c>
      <c r="BV136">
        <v>27</v>
      </c>
      <c r="BW136">
        <v>-3.269698447080195E-3</v>
      </c>
      <c r="BX136">
        <v>22</v>
      </c>
      <c r="BY136">
        <v>20.055999999999997</v>
      </c>
      <c r="BZ136">
        <v>27</v>
      </c>
      <c r="CA136">
        <v>-4.5600000000000005</v>
      </c>
      <c r="CB136">
        <v>-0.95999999999999941</v>
      </c>
      <c r="CC136">
        <v>4.3199999999999994</v>
      </c>
      <c r="CD136">
        <v>-0.88000000000000012</v>
      </c>
      <c r="CE136">
        <v>41.720000000000006</v>
      </c>
      <c r="CF136">
        <v>6.5599999999999969</v>
      </c>
      <c r="CG136">
        <v>47</v>
      </c>
      <c r="CH136">
        <v>0.11999999999999988</v>
      </c>
      <c r="CI136">
        <v>-11.959999999999999</v>
      </c>
      <c r="CJ136">
        <v>22</v>
      </c>
      <c r="CK136">
        <v>-3.1828000000000021</v>
      </c>
      <c r="CL136">
        <v>-0.30736000000000141</v>
      </c>
      <c r="CM136">
        <v>-40.440000000000005</v>
      </c>
      <c r="CN136">
        <v>3.1828000000000016</v>
      </c>
      <c r="CO136">
        <v>1.6780249999999999</v>
      </c>
      <c r="CP136">
        <v>9.1229999999999976</v>
      </c>
      <c r="CQ136">
        <v>24.66</v>
      </c>
      <c r="CR136">
        <v>4.0460000000000012</v>
      </c>
      <c r="CS136">
        <v>42.16</v>
      </c>
      <c r="CT136">
        <v>-3.7699999999999996</v>
      </c>
      <c r="CU136">
        <v>-1.4600000000000002</v>
      </c>
      <c r="CV136">
        <v>0.31806250000000003</v>
      </c>
      <c r="CW136">
        <v>0.37019999999999986</v>
      </c>
      <c r="CX136" t="s">
        <v>306</v>
      </c>
      <c r="CY136">
        <v>22</v>
      </c>
      <c r="CZ136">
        <v>0.5763999999999998</v>
      </c>
      <c r="DA136">
        <v>11</v>
      </c>
      <c r="DB136">
        <v>11</v>
      </c>
      <c r="DC136">
        <v>16</v>
      </c>
      <c r="DD136">
        <v>2.9450000000000007</v>
      </c>
      <c r="DE136">
        <v>6</v>
      </c>
      <c r="DF136">
        <v>8.889999999999997</v>
      </c>
      <c r="DG136">
        <v>1.1599999999999999</v>
      </c>
      <c r="DH136">
        <v>10</v>
      </c>
      <c r="DI136">
        <v>12.5</v>
      </c>
      <c r="DJ136">
        <v>16</v>
      </c>
      <c r="DK136">
        <v>-2.3409999999999989</v>
      </c>
      <c r="DL136">
        <v>9</v>
      </c>
      <c r="DM136">
        <v>1.6200000000000006</v>
      </c>
      <c r="DN136">
        <v>0.20999999999999988</v>
      </c>
      <c r="DO136">
        <v>13</v>
      </c>
      <c r="DP136">
        <v>12</v>
      </c>
      <c r="DQ136">
        <v>14</v>
      </c>
      <c r="DR136">
        <v>-0.42800000000000049</v>
      </c>
      <c r="DS136">
        <v>10</v>
      </c>
      <c r="DT136">
        <v>3.4</v>
      </c>
      <c r="DU136">
        <v>-1.3599999999999999</v>
      </c>
      <c r="DV136">
        <v>26</v>
      </c>
      <c r="DW136">
        <v>26.5</v>
      </c>
      <c r="DX136">
        <v>23</v>
      </c>
      <c r="DY136">
        <v>2.031000000000001</v>
      </c>
      <c r="DZ136">
        <v>30</v>
      </c>
      <c r="EA136">
        <v>-3.3</v>
      </c>
      <c r="EB136">
        <v>-1.3400000000000003</v>
      </c>
      <c r="EC136">
        <v>32</v>
      </c>
      <c r="ED136">
        <v>15</v>
      </c>
      <c r="EE136">
        <v>15</v>
      </c>
      <c r="EF136">
        <v>-3</v>
      </c>
      <c r="EG136">
        <v>15</v>
      </c>
      <c r="EH136">
        <v>-14.719999999999999</v>
      </c>
      <c r="EI136">
        <v>-0.91999999999999993</v>
      </c>
      <c r="EJ136">
        <v>7</v>
      </c>
      <c r="EK136">
        <v>7.5</v>
      </c>
      <c r="EL136">
        <v>7</v>
      </c>
      <c r="EM136">
        <v>-2.4280000000000004</v>
      </c>
      <c r="EN136">
        <v>8</v>
      </c>
      <c r="EO136">
        <v>-4.9200000000000017</v>
      </c>
      <c r="EP136">
        <v>-5.8</v>
      </c>
      <c r="EQ136">
        <v>10</v>
      </c>
      <c r="ER136">
        <v>10.5</v>
      </c>
      <c r="ES136">
        <v>6</v>
      </c>
      <c r="ET136">
        <v>1.2239999999999995</v>
      </c>
      <c r="EU136">
        <v>15</v>
      </c>
      <c r="EV136">
        <v>7.9600000000000026</v>
      </c>
      <c r="EW136">
        <v>1.6000000000000003</v>
      </c>
      <c r="EX136">
        <v>12</v>
      </c>
      <c r="EY136">
        <v>12.5</v>
      </c>
      <c r="EZ136">
        <v>12</v>
      </c>
      <c r="FA136">
        <v>1.1199999999999999</v>
      </c>
      <c r="FB136">
        <v>13</v>
      </c>
      <c r="FC136">
        <v>0.36</v>
      </c>
      <c r="FD136">
        <v>3.4800000000000004</v>
      </c>
      <c r="FE136">
        <v>3</v>
      </c>
      <c r="FF136">
        <v>8</v>
      </c>
      <c r="FG136">
        <v>13</v>
      </c>
      <c r="FH136">
        <v>-2.3986938232246846E-2</v>
      </c>
      <c r="FI136">
        <v>2</v>
      </c>
      <c r="FJ136">
        <v>4.5405359244135605E-3</v>
      </c>
      <c r="FK136">
        <v>9</v>
      </c>
      <c r="FL136">
        <v>10.428000000000001</v>
      </c>
      <c r="FM136">
        <v>8</v>
      </c>
      <c r="FN136">
        <v>-1.8</v>
      </c>
      <c r="FO136">
        <v>-1.6</v>
      </c>
      <c r="FP136">
        <v>2.6800000000000006</v>
      </c>
      <c r="FQ136">
        <v>-0.84000000000000019</v>
      </c>
      <c r="FR136">
        <v>0.71999999999999886</v>
      </c>
      <c r="FS136">
        <v>-0.24000000000000021</v>
      </c>
      <c r="FT136">
        <v>0.48000000000000009</v>
      </c>
      <c r="FU136">
        <v>18.199999999999989</v>
      </c>
      <c r="FV136">
        <v>1.4800000000000011</v>
      </c>
      <c r="FW136">
        <v>11.4</v>
      </c>
      <c r="FX136">
        <v>1.4400000000000002</v>
      </c>
      <c r="FY136">
        <v>3.88</v>
      </c>
      <c r="FZ136">
        <v>15</v>
      </c>
      <c r="GA136">
        <v>-2.7600000000001845E-2</v>
      </c>
      <c r="GB136">
        <v>-0.22132000000000099</v>
      </c>
      <c r="GC136">
        <v>-9.92</v>
      </c>
      <c r="GD136">
        <v>2.7600000000002067E-2</v>
      </c>
      <c r="GE136">
        <v>0.26592500000000024</v>
      </c>
      <c r="GF136">
        <v>-1.3969999999999994</v>
      </c>
      <c r="GG136">
        <v>-14.62</v>
      </c>
      <c r="GH136">
        <v>0.60400000000000187</v>
      </c>
      <c r="GI136">
        <v>10.509999999999998</v>
      </c>
      <c r="GJ136">
        <v>-2.0199999999999996</v>
      </c>
      <c r="GK136">
        <v>1.3699999999999999</v>
      </c>
    </row>
    <row r="137" spans="1:193" x14ac:dyDescent="0.2">
      <c r="A137" s="39">
        <v>43765</v>
      </c>
      <c r="B137" s="22" t="s">
        <v>248</v>
      </c>
      <c r="C137" s="41" t="s">
        <v>302</v>
      </c>
      <c r="D137" s="22" t="s">
        <v>281</v>
      </c>
      <c r="E137">
        <v>27.5</v>
      </c>
      <c r="F137">
        <v>7.3</v>
      </c>
      <c r="G137">
        <v>4.3</v>
      </c>
      <c r="H137">
        <v>3.6</v>
      </c>
      <c r="I137">
        <v>-9.5</v>
      </c>
      <c r="J137">
        <v>43</v>
      </c>
      <c r="L137" s="1" t="s">
        <v>302</v>
      </c>
      <c r="M137">
        <v>10</v>
      </c>
      <c r="N137">
        <v>2.1988000000000008</v>
      </c>
      <c r="O137">
        <v>27</v>
      </c>
      <c r="P137">
        <v>25</v>
      </c>
      <c r="Q137">
        <v>32</v>
      </c>
      <c r="R137">
        <v>-3.008</v>
      </c>
      <c r="S137">
        <v>18</v>
      </c>
      <c r="T137">
        <v>-8.84</v>
      </c>
      <c r="U137">
        <v>-0.36000000000000004</v>
      </c>
      <c r="V137">
        <v>12</v>
      </c>
      <c r="W137">
        <v>11.5</v>
      </c>
      <c r="X137">
        <v>5</v>
      </c>
      <c r="Y137">
        <v>6.1559999999999997</v>
      </c>
      <c r="Z137">
        <v>18</v>
      </c>
      <c r="AA137">
        <v>-7.839999999999999</v>
      </c>
      <c r="AB137">
        <v>3.8</v>
      </c>
      <c r="AC137">
        <v>4</v>
      </c>
      <c r="AD137">
        <v>4</v>
      </c>
      <c r="AE137">
        <v>3</v>
      </c>
      <c r="AF137">
        <v>3.8039999999999994</v>
      </c>
      <c r="AG137">
        <v>5</v>
      </c>
      <c r="AH137">
        <v>10.119999999999999</v>
      </c>
      <c r="AI137">
        <v>2.5599999999999996</v>
      </c>
      <c r="AJ137">
        <v>14</v>
      </c>
      <c r="AK137">
        <v>14</v>
      </c>
      <c r="AL137">
        <v>15</v>
      </c>
      <c r="AM137">
        <v>-0.83600000000000063</v>
      </c>
      <c r="AN137">
        <v>13</v>
      </c>
      <c r="AO137">
        <v>2.88</v>
      </c>
      <c r="AP137">
        <v>0.59999999999999987</v>
      </c>
      <c r="AQ137">
        <v>16</v>
      </c>
      <c r="AR137">
        <v>16</v>
      </c>
      <c r="AS137">
        <v>13</v>
      </c>
      <c r="AT137">
        <v>1.6840000000000004</v>
      </c>
      <c r="AU137">
        <v>19</v>
      </c>
      <c r="AV137">
        <v>5.2799999999999985</v>
      </c>
      <c r="AW137">
        <v>1.3199999999999998</v>
      </c>
      <c r="AX137">
        <v>4</v>
      </c>
      <c r="AY137">
        <v>4.5</v>
      </c>
      <c r="AZ137">
        <v>2</v>
      </c>
      <c r="BA137">
        <v>2.2000000000000002</v>
      </c>
      <c r="BB137">
        <v>7</v>
      </c>
      <c r="BC137">
        <v>-0.64000000000000057</v>
      </c>
      <c r="BD137">
        <v>18.880000000000003</v>
      </c>
      <c r="BE137">
        <v>25</v>
      </c>
      <c r="BF137">
        <v>25.5</v>
      </c>
      <c r="BG137">
        <v>28</v>
      </c>
      <c r="BH137">
        <v>-2.3519999999999994</v>
      </c>
      <c r="BI137">
        <v>-9.9999999999999982</v>
      </c>
      <c r="BJ137">
        <v>-2.3200000000000003</v>
      </c>
      <c r="BK137">
        <v>2</v>
      </c>
      <c r="BL137">
        <v>5</v>
      </c>
      <c r="BM137">
        <v>8</v>
      </c>
      <c r="BN137">
        <v>-1.64</v>
      </c>
      <c r="BO137">
        <v>2</v>
      </c>
      <c r="BP137">
        <v>-0.83999999999999986</v>
      </c>
      <c r="BQ137">
        <v>5.4</v>
      </c>
      <c r="BR137">
        <v>27</v>
      </c>
      <c r="BS137">
        <v>23.25</v>
      </c>
      <c r="BT137">
        <v>23</v>
      </c>
      <c r="BU137">
        <v>-8.9979439067244177E-2</v>
      </c>
      <c r="BV137">
        <v>26</v>
      </c>
      <c r="BW137">
        <v>-1.9611903991862328E-2</v>
      </c>
      <c r="BX137">
        <v>23</v>
      </c>
      <c r="BY137">
        <v>-8.3800000000000026</v>
      </c>
      <c r="BZ137">
        <v>21</v>
      </c>
      <c r="CA137">
        <v>-4.0000000000000216E-2</v>
      </c>
      <c r="CB137">
        <v>6.2399999999999993</v>
      </c>
      <c r="CC137">
        <v>2.7999999999999994</v>
      </c>
      <c r="CD137">
        <v>1.8400000000000005</v>
      </c>
      <c r="CE137">
        <v>16.519999999999992</v>
      </c>
      <c r="CF137">
        <v>36.04</v>
      </c>
      <c r="CG137">
        <v>-11.839999999999998</v>
      </c>
      <c r="CH137">
        <v>2.7199999999999998</v>
      </c>
      <c r="CI137">
        <v>-10.4</v>
      </c>
      <c r="CJ137">
        <v>19</v>
      </c>
      <c r="CK137">
        <v>-0.94919999999999849</v>
      </c>
      <c r="CL137">
        <v>-0.67423999999999962</v>
      </c>
      <c r="CM137">
        <v>47.879999999999995</v>
      </c>
      <c r="CN137">
        <v>0.94919999999999893</v>
      </c>
      <c r="CO137">
        <v>0.75085000000000024</v>
      </c>
      <c r="CP137">
        <v>4.6519999999999992</v>
      </c>
      <c r="CQ137">
        <v>18.279999999999998</v>
      </c>
      <c r="CR137">
        <v>3.1479999999999997</v>
      </c>
      <c r="CS137">
        <v>-16.68</v>
      </c>
      <c r="CT137">
        <v>2.1599999999999984</v>
      </c>
      <c r="CU137">
        <v>3.44</v>
      </c>
      <c r="CV137">
        <v>-1.2156791666666666</v>
      </c>
      <c r="CW137">
        <v>-2.5135999999999998</v>
      </c>
      <c r="CX137" t="s">
        <v>281</v>
      </c>
      <c r="CY137">
        <v>11</v>
      </c>
      <c r="CZ137">
        <v>0.90559999999999863</v>
      </c>
      <c r="DA137">
        <v>19</v>
      </c>
      <c r="DB137">
        <v>20</v>
      </c>
      <c r="DC137">
        <v>20</v>
      </c>
      <c r="DD137">
        <v>-2.7879999999999989</v>
      </c>
      <c r="DE137">
        <v>20</v>
      </c>
      <c r="DF137">
        <v>16.199999999999996</v>
      </c>
      <c r="DG137">
        <v>-1.6</v>
      </c>
      <c r="DH137">
        <v>25</v>
      </c>
      <c r="DI137">
        <v>22.5</v>
      </c>
      <c r="DJ137">
        <v>19</v>
      </c>
      <c r="DK137">
        <v>2.3080000000000003</v>
      </c>
      <c r="DL137">
        <v>26</v>
      </c>
      <c r="DM137">
        <v>4.8000000000000007</v>
      </c>
      <c r="DN137">
        <v>-4.0000000000000077E-2</v>
      </c>
      <c r="DO137">
        <v>10</v>
      </c>
      <c r="DP137">
        <v>12</v>
      </c>
      <c r="DQ137">
        <v>13</v>
      </c>
      <c r="DR137">
        <v>3.12</v>
      </c>
      <c r="DS137">
        <v>11</v>
      </c>
      <c r="DT137">
        <v>2.1333333333333306</v>
      </c>
      <c r="DU137">
        <v>-0.31999999999999973</v>
      </c>
      <c r="DV137">
        <v>21</v>
      </c>
      <c r="DW137">
        <v>22</v>
      </c>
      <c r="DX137">
        <v>21</v>
      </c>
      <c r="DY137">
        <v>-1.7570000000000001</v>
      </c>
      <c r="DZ137">
        <v>23</v>
      </c>
      <c r="EA137">
        <v>-4.7933333333333339</v>
      </c>
      <c r="EB137">
        <v>-0.98000000000000009</v>
      </c>
      <c r="EC137">
        <v>21</v>
      </c>
      <c r="ED137">
        <v>19.5</v>
      </c>
      <c r="EE137">
        <v>19</v>
      </c>
      <c r="EF137">
        <v>3.5773333333333328</v>
      </c>
      <c r="EG137">
        <v>20</v>
      </c>
      <c r="EH137">
        <v>6.5333333333333341</v>
      </c>
      <c r="EI137">
        <v>1.8133333333333332</v>
      </c>
      <c r="EJ137">
        <v>10</v>
      </c>
      <c r="EK137">
        <v>11.5</v>
      </c>
      <c r="EL137">
        <v>12</v>
      </c>
      <c r="EM137">
        <v>3.3159999999999989</v>
      </c>
      <c r="EN137">
        <v>11</v>
      </c>
      <c r="EO137">
        <v>-5.4800000000000013</v>
      </c>
      <c r="EP137">
        <v>-5.68</v>
      </c>
      <c r="EQ137">
        <v>4</v>
      </c>
      <c r="ER137">
        <v>4</v>
      </c>
      <c r="ES137">
        <v>5</v>
      </c>
      <c r="ET137">
        <v>-4.3479999999999999</v>
      </c>
      <c r="EU137">
        <v>3</v>
      </c>
      <c r="EV137">
        <v>-28.77</v>
      </c>
      <c r="EW137">
        <v>-3.75</v>
      </c>
      <c r="EX137">
        <v>29</v>
      </c>
      <c r="EY137">
        <v>27</v>
      </c>
      <c r="EZ137">
        <v>30</v>
      </c>
      <c r="FA137">
        <v>-0.36</v>
      </c>
      <c r="FB137">
        <v>24</v>
      </c>
      <c r="FC137">
        <v>0.6399999999999999</v>
      </c>
      <c r="FD137">
        <v>0.44000000000000022</v>
      </c>
      <c r="FE137">
        <v>9</v>
      </c>
      <c r="FF137">
        <v>12.5</v>
      </c>
      <c r="FG137">
        <v>8</v>
      </c>
      <c r="FH137">
        <v>3.0813975435656466E-2</v>
      </c>
      <c r="FI137">
        <v>16</v>
      </c>
      <c r="FJ137">
        <v>2.0100071350142478E-2</v>
      </c>
      <c r="FK137">
        <v>7</v>
      </c>
      <c r="FL137">
        <v>3.6359999999999983</v>
      </c>
      <c r="FM137">
        <v>19</v>
      </c>
      <c r="FN137">
        <v>-0.92000000000000015</v>
      </c>
      <c r="FO137">
        <v>-1.9200000000000004</v>
      </c>
      <c r="FP137">
        <v>-0.19999999999999929</v>
      </c>
      <c r="FQ137">
        <v>-0.32000000000000012</v>
      </c>
      <c r="FR137">
        <v>-1.2800000000000011</v>
      </c>
      <c r="FS137">
        <v>0.75999999999999945</v>
      </c>
      <c r="FT137">
        <v>-0.91999999999999993</v>
      </c>
      <c r="FU137">
        <v>12.920000000000005</v>
      </c>
      <c r="FV137">
        <v>-8.1599999999999966</v>
      </c>
      <c r="FW137">
        <v>20.2</v>
      </c>
      <c r="FX137">
        <v>4.76</v>
      </c>
      <c r="FY137">
        <v>-3.88</v>
      </c>
      <c r="FZ137">
        <v>12</v>
      </c>
      <c r="GA137">
        <v>1.3855999999999971</v>
      </c>
      <c r="GB137">
        <v>0.53958666666666555</v>
      </c>
      <c r="GC137">
        <v>-28.359999999999996</v>
      </c>
      <c r="GD137">
        <v>-1.3855999999999973</v>
      </c>
      <c r="GE137">
        <v>8.2241666666666588E-2</v>
      </c>
      <c r="GF137">
        <v>4.9403333333333332</v>
      </c>
      <c r="GG137">
        <v>3.8733333333333309</v>
      </c>
      <c r="GH137">
        <v>-0.47999999999999865</v>
      </c>
      <c r="GI137">
        <v>20.999999999999996</v>
      </c>
      <c r="GJ137">
        <v>-3.2366666666666664</v>
      </c>
      <c r="GK137">
        <v>-1.6400000000000001</v>
      </c>
    </row>
    <row r="138" spans="1:193" x14ac:dyDescent="0.2">
      <c r="A138" s="39">
        <v>43765</v>
      </c>
      <c r="B138" s="22" t="s">
        <v>248</v>
      </c>
      <c r="C138" s="41" t="s">
        <v>307</v>
      </c>
      <c r="D138" s="22" t="s">
        <v>285</v>
      </c>
      <c r="E138">
        <v>30.3</v>
      </c>
      <c r="F138">
        <v>6.2</v>
      </c>
      <c r="G138">
        <v>3.7</v>
      </c>
      <c r="H138">
        <f>6.9+4.5</f>
        <v>11.4</v>
      </c>
      <c r="I138">
        <v>-12.5</v>
      </c>
      <c r="J138">
        <v>47.5</v>
      </c>
      <c r="K138" t="s">
        <v>110</v>
      </c>
      <c r="L138" s="1" t="s">
        <v>307</v>
      </c>
      <c r="M138">
        <v>11</v>
      </c>
      <c r="N138">
        <v>1.7223999999999997</v>
      </c>
      <c r="O138">
        <v>8</v>
      </c>
      <c r="P138">
        <v>8.5</v>
      </c>
      <c r="Q138">
        <v>5</v>
      </c>
      <c r="R138">
        <v>3.8472000000000022</v>
      </c>
      <c r="S138">
        <v>12</v>
      </c>
      <c r="T138">
        <v>10.96</v>
      </c>
      <c r="U138">
        <v>1.8800000000000001</v>
      </c>
      <c r="V138">
        <v>16</v>
      </c>
      <c r="W138">
        <v>15</v>
      </c>
      <c r="X138">
        <v>15</v>
      </c>
      <c r="Y138">
        <v>-0.61799999999999977</v>
      </c>
      <c r="Z138">
        <v>15</v>
      </c>
      <c r="AA138">
        <v>2.52</v>
      </c>
      <c r="AB138">
        <v>-0.19999999999999993</v>
      </c>
      <c r="AC138">
        <v>5</v>
      </c>
      <c r="AD138">
        <v>5.5</v>
      </c>
      <c r="AE138">
        <v>4</v>
      </c>
      <c r="AF138">
        <v>9.2620000000000005</v>
      </c>
      <c r="AG138">
        <v>7</v>
      </c>
      <c r="AH138">
        <v>38.589999999999996</v>
      </c>
      <c r="AI138">
        <v>1.95</v>
      </c>
      <c r="AJ138">
        <v>32</v>
      </c>
      <c r="AK138">
        <v>32</v>
      </c>
      <c r="AL138">
        <v>32</v>
      </c>
      <c r="AM138">
        <v>-5.1360000000000001</v>
      </c>
      <c r="AN138">
        <v>32</v>
      </c>
      <c r="AO138">
        <v>-27.48</v>
      </c>
      <c r="AP138">
        <v>-1.55</v>
      </c>
      <c r="AQ138">
        <v>29</v>
      </c>
      <c r="AR138">
        <v>29</v>
      </c>
      <c r="AS138">
        <v>28</v>
      </c>
      <c r="AT138">
        <v>-3.7029999999999994</v>
      </c>
      <c r="AU138">
        <v>30</v>
      </c>
      <c r="AV138">
        <v>-21.89</v>
      </c>
      <c r="AW138">
        <v>-3.13</v>
      </c>
      <c r="AX138">
        <v>28</v>
      </c>
      <c r="AY138">
        <v>28</v>
      </c>
      <c r="AZ138">
        <v>28</v>
      </c>
      <c r="BA138">
        <v>-4.3800000000000008</v>
      </c>
      <c r="BB138">
        <v>28</v>
      </c>
      <c r="BC138">
        <v>-29.4</v>
      </c>
      <c r="BD138">
        <v>-3.16</v>
      </c>
      <c r="BE138">
        <v>4</v>
      </c>
      <c r="BF138">
        <v>4.5</v>
      </c>
      <c r="BG138">
        <v>5</v>
      </c>
      <c r="BH138">
        <v>-1.248</v>
      </c>
      <c r="BI138">
        <v>-15.679999999999998</v>
      </c>
      <c r="BJ138">
        <v>-0.75999999999999979</v>
      </c>
      <c r="BK138">
        <v>4</v>
      </c>
      <c r="BL138">
        <v>7</v>
      </c>
      <c r="BM138">
        <v>4</v>
      </c>
      <c r="BN138">
        <v>1.2399999999999998</v>
      </c>
      <c r="BO138">
        <v>10</v>
      </c>
      <c r="BP138">
        <v>0.31999999999999995</v>
      </c>
      <c r="BQ138">
        <v>3.04</v>
      </c>
      <c r="BR138">
        <v>32</v>
      </c>
      <c r="BS138">
        <v>29.5</v>
      </c>
      <c r="BT138">
        <v>30</v>
      </c>
      <c r="BU138">
        <v>-1.8999449690132141E-2</v>
      </c>
      <c r="BV138">
        <v>28</v>
      </c>
      <c r="BW138">
        <v>-1.246779131224739E-2</v>
      </c>
      <c r="BX138">
        <v>31</v>
      </c>
      <c r="BY138">
        <v>5.7319999999999993</v>
      </c>
      <c r="BZ138">
        <v>29</v>
      </c>
      <c r="CA138">
        <v>-2.6399999999999997</v>
      </c>
      <c r="CB138">
        <v>1.2</v>
      </c>
      <c r="CC138">
        <v>7.1054273576010023E-16</v>
      </c>
      <c r="CD138">
        <v>1.4400000000000002</v>
      </c>
      <c r="CE138">
        <v>-4.0399999999999974</v>
      </c>
      <c r="CF138">
        <v>-18.560000000000002</v>
      </c>
      <c r="CG138">
        <v>10.52</v>
      </c>
      <c r="CH138">
        <v>-0.59999999999999987</v>
      </c>
      <c r="CI138">
        <v>4.5999999999999996</v>
      </c>
      <c r="CJ138">
        <v>20</v>
      </c>
      <c r="CK138">
        <v>-1.5068000000000024</v>
      </c>
      <c r="CL138">
        <v>-1.4351200000000008</v>
      </c>
      <c r="CM138">
        <v>-29.080000000000002</v>
      </c>
      <c r="CN138">
        <v>1.5068000000000026</v>
      </c>
      <c r="CO138">
        <v>0.67082500000000045</v>
      </c>
      <c r="CP138">
        <v>0.42300000000000093</v>
      </c>
      <c r="CQ138">
        <v>-10.780000000000005</v>
      </c>
      <c r="CR138">
        <v>3.2292000000000023</v>
      </c>
      <c r="CS138">
        <v>13.48</v>
      </c>
      <c r="CT138">
        <v>-3.4899999999999998</v>
      </c>
      <c r="CU138">
        <v>1.6800000000000002</v>
      </c>
      <c r="CV138">
        <v>-0.52557500000000024</v>
      </c>
      <c r="CW138">
        <v>-2.7686500000000001</v>
      </c>
      <c r="CX138" t="s">
        <v>285</v>
      </c>
      <c r="CY138">
        <v>1</v>
      </c>
      <c r="CZ138">
        <v>1.6319999999999975</v>
      </c>
      <c r="DA138">
        <v>16</v>
      </c>
      <c r="DB138">
        <v>16.5</v>
      </c>
      <c r="DC138">
        <v>12</v>
      </c>
      <c r="DD138">
        <v>3.3010000000000006</v>
      </c>
      <c r="DE138">
        <v>21</v>
      </c>
      <c r="DF138">
        <v>31.05</v>
      </c>
      <c r="DG138">
        <v>-0.83999999999999986</v>
      </c>
      <c r="DH138">
        <v>11</v>
      </c>
      <c r="DI138">
        <v>14</v>
      </c>
      <c r="DJ138">
        <v>23</v>
      </c>
      <c r="DK138">
        <v>-1.3570000000000002</v>
      </c>
      <c r="DL138">
        <v>5</v>
      </c>
      <c r="DM138">
        <v>-6.419999999999999</v>
      </c>
      <c r="DN138">
        <v>-1.1499999999999999</v>
      </c>
      <c r="DO138">
        <v>8</v>
      </c>
      <c r="DP138">
        <v>7</v>
      </c>
      <c r="DQ138">
        <v>7</v>
      </c>
      <c r="DR138">
        <v>2.2480000000000002</v>
      </c>
      <c r="DS138">
        <v>7</v>
      </c>
      <c r="DT138">
        <v>10.48</v>
      </c>
      <c r="DU138">
        <v>-0.35999999999999976</v>
      </c>
      <c r="DV138">
        <v>1</v>
      </c>
      <c r="DW138">
        <v>1.5</v>
      </c>
      <c r="DX138">
        <v>2</v>
      </c>
      <c r="DY138">
        <v>1.0960000000000001</v>
      </c>
      <c r="DZ138">
        <v>1</v>
      </c>
      <c r="EA138">
        <v>-9.52</v>
      </c>
      <c r="EB138">
        <v>-0.56000000000000016</v>
      </c>
      <c r="EC138">
        <v>4</v>
      </c>
      <c r="ED138">
        <v>5.5</v>
      </c>
      <c r="EE138">
        <v>4</v>
      </c>
      <c r="EF138">
        <v>-1.8319999999999996</v>
      </c>
      <c r="EG138">
        <v>7</v>
      </c>
      <c r="EH138">
        <v>-4.3999999999999995</v>
      </c>
      <c r="EI138">
        <v>-2.04</v>
      </c>
      <c r="EJ138">
        <v>1</v>
      </c>
      <c r="EK138">
        <v>1.5</v>
      </c>
      <c r="EL138">
        <v>2</v>
      </c>
      <c r="EM138">
        <v>2.08</v>
      </c>
      <c r="EN138">
        <v>1</v>
      </c>
      <c r="EO138">
        <v>11.2</v>
      </c>
      <c r="EP138">
        <v>-0.55999999999999983</v>
      </c>
      <c r="EQ138">
        <v>5</v>
      </c>
      <c r="ER138">
        <v>6</v>
      </c>
      <c r="ES138">
        <v>4</v>
      </c>
      <c r="ET138">
        <v>6.8919999999999986</v>
      </c>
      <c r="EU138">
        <v>8</v>
      </c>
      <c r="EV138">
        <v>18.670000000000002</v>
      </c>
      <c r="EW138">
        <v>1.01</v>
      </c>
      <c r="EX138">
        <v>19</v>
      </c>
      <c r="EY138">
        <v>20.5</v>
      </c>
      <c r="EZ138">
        <v>19</v>
      </c>
      <c r="FA138">
        <v>1.7599999999999998</v>
      </c>
      <c r="FB138">
        <v>22</v>
      </c>
      <c r="FC138">
        <v>0.16000000000000006</v>
      </c>
      <c r="FD138">
        <v>1.08</v>
      </c>
      <c r="FE138">
        <v>26</v>
      </c>
      <c r="FF138">
        <v>22</v>
      </c>
      <c r="FG138">
        <v>5</v>
      </c>
      <c r="FH138">
        <v>-4.3532916082351545E-3</v>
      </c>
      <c r="FI138">
        <v>31</v>
      </c>
      <c r="FJ138">
        <v>1.5463369961718765E-2</v>
      </c>
      <c r="FK138">
        <v>20</v>
      </c>
      <c r="FL138">
        <v>15.796000000000001</v>
      </c>
      <c r="FM138">
        <v>32</v>
      </c>
      <c r="FN138">
        <v>-5.6</v>
      </c>
      <c r="FO138">
        <v>-3.2000000000000006</v>
      </c>
      <c r="FP138">
        <v>2.7600000000000002</v>
      </c>
      <c r="FQ138">
        <v>-0.44000000000000006</v>
      </c>
      <c r="FR138">
        <v>-1.3600000000000008</v>
      </c>
      <c r="FS138">
        <v>5.08</v>
      </c>
      <c r="FT138">
        <v>1.04</v>
      </c>
      <c r="FU138">
        <v>31.400000000000013</v>
      </c>
      <c r="FV138">
        <v>10.8</v>
      </c>
      <c r="FW138">
        <v>26.720000000000006</v>
      </c>
      <c r="FX138">
        <v>-2.5200000000000005</v>
      </c>
      <c r="FY138">
        <v>-3.6</v>
      </c>
      <c r="FZ138">
        <v>18</v>
      </c>
      <c r="GA138">
        <v>-0.31200000000000294</v>
      </c>
      <c r="GB138">
        <v>1.035199999999999</v>
      </c>
      <c r="GC138">
        <v>-15.920000000000005</v>
      </c>
      <c r="GD138">
        <v>0.31200000000000294</v>
      </c>
      <c r="GE138">
        <v>1.7174999999999996</v>
      </c>
      <c r="GF138">
        <v>1.5120000000000007</v>
      </c>
      <c r="GG138">
        <v>-3.4399999999999986</v>
      </c>
      <c r="GH138">
        <v>1.9440000000000004</v>
      </c>
      <c r="GI138">
        <v>24.630000000000003</v>
      </c>
      <c r="GJ138">
        <v>-1.95</v>
      </c>
      <c r="GK138">
        <v>-1.9899999999999998</v>
      </c>
    </row>
    <row r="139" spans="1:193" x14ac:dyDescent="0.2">
      <c r="A139" s="39">
        <v>43765</v>
      </c>
      <c r="B139" s="22" t="s">
        <v>248</v>
      </c>
      <c r="C139" s="41" t="s">
        <v>296</v>
      </c>
      <c r="D139" s="22" t="s">
        <v>299</v>
      </c>
      <c r="E139">
        <v>16.5</v>
      </c>
      <c r="F139">
        <v>19</v>
      </c>
      <c r="G139">
        <v>4.8</v>
      </c>
      <c r="H139">
        <v>14.9</v>
      </c>
      <c r="I139">
        <v>6.5</v>
      </c>
      <c r="J139">
        <v>49</v>
      </c>
      <c r="K139" t="s">
        <v>109</v>
      </c>
      <c r="L139" s="1" t="s">
        <v>296</v>
      </c>
      <c r="M139">
        <v>16</v>
      </c>
      <c r="N139">
        <v>-0.66879999999999984</v>
      </c>
      <c r="O139">
        <v>20</v>
      </c>
      <c r="P139">
        <v>21</v>
      </c>
      <c r="Q139">
        <v>16</v>
      </c>
      <c r="R139">
        <v>-2.520799999999999</v>
      </c>
      <c r="S139">
        <v>26</v>
      </c>
      <c r="T139">
        <v>-19.32</v>
      </c>
      <c r="U139">
        <v>-0.39999999999999991</v>
      </c>
      <c r="V139">
        <v>31</v>
      </c>
      <c r="W139">
        <v>31</v>
      </c>
      <c r="X139">
        <v>32</v>
      </c>
      <c r="Y139">
        <v>-3.3919999999999995</v>
      </c>
      <c r="Z139">
        <v>30</v>
      </c>
      <c r="AA139">
        <v>-1.9199999999999995</v>
      </c>
      <c r="AB139">
        <v>-1.72</v>
      </c>
      <c r="AC139">
        <v>14</v>
      </c>
      <c r="AD139">
        <v>15.5</v>
      </c>
      <c r="AE139">
        <v>10</v>
      </c>
      <c r="AF139">
        <v>3.04</v>
      </c>
      <c r="AG139">
        <v>21</v>
      </c>
      <c r="AH139">
        <v>10.6</v>
      </c>
      <c r="AI139">
        <v>1.6400000000000001</v>
      </c>
      <c r="AJ139">
        <v>13</v>
      </c>
      <c r="AK139">
        <v>13.5</v>
      </c>
      <c r="AL139">
        <v>5</v>
      </c>
      <c r="AM139">
        <v>-5.68</v>
      </c>
      <c r="AN139">
        <v>22</v>
      </c>
      <c r="AO139">
        <v>-9.7600000000000016</v>
      </c>
      <c r="AP139">
        <v>-0.88000000000000012</v>
      </c>
      <c r="AQ139">
        <v>12</v>
      </c>
      <c r="AR139">
        <v>12.5</v>
      </c>
      <c r="AS139">
        <v>14</v>
      </c>
      <c r="AT139">
        <v>-0.90400000000000025</v>
      </c>
      <c r="AU139">
        <v>11</v>
      </c>
      <c r="AV139">
        <v>-5.0399999999999991</v>
      </c>
      <c r="AW139">
        <v>-1.0399999999999998</v>
      </c>
      <c r="AX139">
        <v>22</v>
      </c>
      <c r="AY139">
        <v>21</v>
      </c>
      <c r="AZ139">
        <v>17</v>
      </c>
      <c r="BA139">
        <v>1.0120000000000009</v>
      </c>
      <c r="BB139">
        <v>25</v>
      </c>
      <c r="BC139">
        <v>8.9199999999999982</v>
      </c>
      <c r="BD139">
        <v>0.6</v>
      </c>
      <c r="BE139">
        <v>19</v>
      </c>
      <c r="BF139">
        <v>19</v>
      </c>
      <c r="BG139">
        <v>18</v>
      </c>
      <c r="BH139">
        <v>5.5999999999999869E-2</v>
      </c>
      <c r="BI139">
        <v>-0.36000000000000087</v>
      </c>
      <c r="BJ139">
        <v>0.84000000000000019</v>
      </c>
      <c r="BK139">
        <v>28</v>
      </c>
      <c r="BL139">
        <v>27.5</v>
      </c>
      <c r="BM139">
        <v>29</v>
      </c>
      <c r="BN139">
        <v>-2.88</v>
      </c>
      <c r="BO139">
        <v>26</v>
      </c>
      <c r="BP139">
        <v>-0.8</v>
      </c>
      <c r="BQ139">
        <v>2.8</v>
      </c>
      <c r="BR139">
        <v>2</v>
      </c>
      <c r="BS139">
        <v>7.5</v>
      </c>
      <c r="BT139">
        <v>3</v>
      </c>
      <c r="BU139">
        <v>8.1233809770880835E-2</v>
      </c>
      <c r="BV139">
        <v>16</v>
      </c>
      <c r="BW139">
        <v>5.0895119444456351E-3</v>
      </c>
      <c r="BX139">
        <v>10</v>
      </c>
      <c r="BY139">
        <v>-4.5840000000000014</v>
      </c>
      <c r="BZ139">
        <v>1</v>
      </c>
      <c r="CA139">
        <v>5.16</v>
      </c>
      <c r="CB139">
        <v>-1.7199999999999989</v>
      </c>
      <c r="CC139">
        <v>-4.0400000000000009</v>
      </c>
      <c r="CD139">
        <v>1.9599999999999997</v>
      </c>
      <c r="CE139">
        <v>-26.68</v>
      </c>
      <c r="CF139">
        <v>-21.040000000000003</v>
      </c>
      <c r="CG139">
        <v>-20.48</v>
      </c>
      <c r="CH139">
        <v>1.56</v>
      </c>
      <c r="CI139">
        <v>13.280000000000001</v>
      </c>
      <c r="CJ139">
        <v>10</v>
      </c>
      <c r="CK139">
        <v>5.2439999999999989</v>
      </c>
      <c r="CL139">
        <v>2.1250399999999994</v>
      </c>
      <c r="CM139">
        <v>-0.56000000000000227</v>
      </c>
      <c r="CN139">
        <v>-5.2439999999999989</v>
      </c>
      <c r="CO139">
        <v>-1.6187</v>
      </c>
      <c r="CP139">
        <v>-3.544</v>
      </c>
      <c r="CQ139">
        <v>-4.2000000000000011</v>
      </c>
      <c r="CR139">
        <v>-5.9127999999999989</v>
      </c>
      <c r="CS139">
        <v>-21.24</v>
      </c>
      <c r="CT139">
        <v>0.56000000000000039</v>
      </c>
      <c r="CU139">
        <v>-2.12</v>
      </c>
      <c r="CV139">
        <v>0.8408374999999999</v>
      </c>
      <c r="CW139">
        <v>-0.40472500000000011</v>
      </c>
      <c r="CX139" t="s">
        <v>299</v>
      </c>
      <c r="CY139">
        <v>3</v>
      </c>
      <c r="CZ139">
        <v>4.7991999999999999</v>
      </c>
      <c r="DA139">
        <v>14</v>
      </c>
      <c r="DB139">
        <v>16</v>
      </c>
      <c r="DC139">
        <v>14</v>
      </c>
      <c r="DD139">
        <v>2.2209999999999996</v>
      </c>
      <c r="DE139">
        <v>18</v>
      </c>
      <c r="DF139">
        <v>13.729999999999999</v>
      </c>
      <c r="DG139">
        <v>-0.15999999999999998</v>
      </c>
      <c r="DH139">
        <v>11</v>
      </c>
      <c r="DI139">
        <v>14</v>
      </c>
      <c r="DJ139">
        <v>3</v>
      </c>
      <c r="DK139">
        <v>5.4550000000000001</v>
      </c>
      <c r="DL139">
        <v>25</v>
      </c>
      <c r="DM139">
        <v>4.0599999999999996</v>
      </c>
      <c r="DN139">
        <v>0.17</v>
      </c>
      <c r="DO139">
        <v>10</v>
      </c>
      <c r="DP139">
        <v>9.5</v>
      </c>
      <c r="DQ139">
        <v>10</v>
      </c>
      <c r="DR139">
        <v>-1.6360000000000006</v>
      </c>
      <c r="DS139">
        <v>9</v>
      </c>
      <c r="DT139">
        <v>-14.560000000000002</v>
      </c>
      <c r="DU139">
        <v>1.0000000000000004</v>
      </c>
      <c r="DV139">
        <v>3</v>
      </c>
      <c r="DW139">
        <v>3.5</v>
      </c>
      <c r="DX139">
        <v>4</v>
      </c>
      <c r="DY139">
        <v>4.8759999999999994</v>
      </c>
      <c r="DZ139">
        <v>3</v>
      </c>
      <c r="EA139">
        <v>20.68</v>
      </c>
      <c r="EB139">
        <v>1.24</v>
      </c>
      <c r="EC139">
        <v>15</v>
      </c>
      <c r="ED139">
        <v>3.5</v>
      </c>
      <c r="EE139">
        <v>3</v>
      </c>
      <c r="EF139">
        <v>-1.5559999999999996</v>
      </c>
      <c r="EG139">
        <v>4</v>
      </c>
      <c r="EH139">
        <v>-4.8800000000000008</v>
      </c>
      <c r="EI139">
        <v>-0.27999999999999992</v>
      </c>
      <c r="EJ139">
        <v>2</v>
      </c>
      <c r="EK139">
        <v>3.5</v>
      </c>
      <c r="EL139">
        <v>3</v>
      </c>
      <c r="EM139">
        <v>3.8919999999999986</v>
      </c>
      <c r="EN139">
        <v>4</v>
      </c>
      <c r="EO139">
        <v>0.51999999999999891</v>
      </c>
      <c r="EP139">
        <v>2.3600000000000003</v>
      </c>
      <c r="EQ139">
        <v>11</v>
      </c>
      <c r="ER139">
        <v>12.5</v>
      </c>
      <c r="ES139">
        <v>8</v>
      </c>
      <c r="ET139">
        <v>2.6919999999999993</v>
      </c>
      <c r="EU139">
        <v>17</v>
      </c>
      <c r="EV139">
        <v>14.319999999999999</v>
      </c>
      <c r="EW139">
        <v>0.91999999999999993</v>
      </c>
      <c r="EX139">
        <v>12</v>
      </c>
      <c r="EY139">
        <v>12.5</v>
      </c>
      <c r="EZ139">
        <v>7</v>
      </c>
      <c r="FA139">
        <v>-0.16000000000000014</v>
      </c>
      <c r="FB139">
        <v>18</v>
      </c>
      <c r="FC139">
        <v>-0.12000000000000002</v>
      </c>
      <c r="FD139">
        <v>-2.6</v>
      </c>
      <c r="FE139">
        <v>24</v>
      </c>
      <c r="FF139">
        <v>21</v>
      </c>
      <c r="FG139">
        <v>26</v>
      </c>
      <c r="FH139">
        <v>-6.0675730733644573E-2</v>
      </c>
      <c r="FI139">
        <v>23</v>
      </c>
      <c r="FJ139">
        <v>-1.5127900761252797E-2</v>
      </c>
      <c r="FK139">
        <v>5</v>
      </c>
      <c r="FL139">
        <v>-3.7399999999999962</v>
      </c>
      <c r="FM139">
        <v>30</v>
      </c>
      <c r="FN139">
        <v>4.0000000000000036E-2</v>
      </c>
      <c r="FO139">
        <v>4.5999999999999988</v>
      </c>
      <c r="FP139">
        <v>2.96</v>
      </c>
      <c r="FQ139">
        <v>0.72</v>
      </c>
      <c r="FR139">
        <v>7.2799999999999994</v>
      </c>
      <c r="FS139">
        <v>4.24</v>
      </c>
      <c r="FT139">
        <v>-0.64</v>
      </c>
      <c r="FU139">
        <v>58.879999999999995</v>
      </c>
      <c r="FV139">
        <v>35.28</v>
      </c>
      <c r="FW139">
        <v>17.679999999999996</v>
      </c>
      <c r="FX139">
        <v>-1.48</v>
      </c>
      <c r="FY139">
        <v>7.4</v>
      </c>
      <c r="FZ139">
        <v>24</v>
      </c>
      <c r="GA139">
        <v>-2.8767999999999998</v>
      </c>
      <c r="GB139">
        <v>-2.0029599999999999</v>
      </c>
      <c r="GC139">
        <v>17.600000000000005</v>
      </c>
      <c r="GD139">
        <v>2.8768000000000002</v>
      </c>
      <c r="GE139">
        <v>2.0863999999999998</v>
      </c>
      <c r="GF139">
        <v>1.6839999999999993</v>
      </c>
      <c r="GG139">
        <v>1.2399999999999967</v>
      </c>
      <c r="GH139">
        <v>7.6760000000000002</v>
      </c>
      <c r="GI139">
        <v>17.79</v>
      </c>
      <c r="GJ139">
        <v>2.8800000000000003</v>
      </c>
      <c r="GK139">
        <v>1.0000000000000037E-2</v>
      </c>
    </row>
    <row r="140" spans="1:193" x14ac:dyDescent="0.2">
      <c r="A140" s="39">
        <v>43765</v>
      </c>
      <c r="B140" s="22" t="s">
        <v>248</v>
      </c>
      <c r="C140" s="41" t="s">
        <v>298</v>
      </c>
      <c r="D140" s="22" t="s">
        <v>297</v>
      </c>
      <c r="E140">
        <v>5.4</v>
      </c>
      <c r="F140">
        <v>8.3000000000000007</v>
      </c>
      <c r="G140">
        <v>11.3</v>
      </c>
      <c r="H140">
        <v>24.6</v>
      </c>
      <c r="I140">
        <v>7</v>
      </c>
      <c r="J140">
        <v>39.5</v>
      </c>
      <c r="L140" s="1" t="s">
        <v>298</v>
      </c>
      <c r="M140">
        <v>29</v>
      </c>
      <c r="N140">
        <v>-4.0815999999999999</v>
      </c>
      <c r="O140">
        <v>19</v>
      </c>
      <c r="P140">
        <v>20.5</v>
      </c>
      <c r="Q140">
        <v>13</v>
      </c>
      <c r="R140">
        <v>-3.2879999999999994</v>
      </c>
      <c r="S140">
        <v>28</v>
      </c>
      <c r="T140">
        <v>-10.879999999999999</v>
      </c>
      <c r="U140">
        <v>0.97999999999999987</v>
      </c>
      <c r="V140">
        <v>24</v>
      </c>
      <c r="W140">
        <v>24</v>
      </c>
      <c r="X140">
        <v>27</v>
      </c>
      <c r="Y140">
        <v>-3.5120000000000005</v>
      </c>
      <c r="Z140">
        <v>21</v>
      </c>
      <c r="AA140">
        <v>-10.72</v>
      </c>
      <c r="AB140">
        <v>-1.44</v>
      </c>
      <c r="AC140">
        <v>31</v>
      </c>
      <c r="AD140">
        <v>31</v>
      </c>
      <c r="AE140">
        <v>30</v>
      </c>
      <c r="AF140">
        <v>-4.508</v>
      </c>
      <c r="AG140">
        <v>32</v>
      </c>
      <c r="AH140">
        <v>-25.04</v>
      </c>
      <c r="AI140">
        <v>-2.2000000000000002</v>
      </c>
      <c r="AJ140">
        <v>21</v>
      </c>
      <c r="AK140">
        <v>20.5</v>
      </c>
      <c r="AL140">
        <v>21</v>
      </c>
      <c r="AM140">
        <v>-1.5120000000000011</v>
      </c>
      <c r="AN140">
        <v>20</v>
      </c>
      <c r="AO140">
        <v>-7.7200000000000006</v>
      </c>
      <c r="AP140">
        <v>-0.84000000000000008</v>
      </c>
      <c r="AQ140">
        <v>6</v>
      </c>
      <c r="AR140">
        <v>6</v>
      </c>
      <c r="AS140">
        <v>7</v>
      </c>
      <c r="AT140">
        <v>3.2119999999999997</v>
      </c>
      <c r="AU140">
        <v>5</v>
      </c>
      <c r="AV140">
        <v>22.36</v>
      </c>
      <c r="AW140">
        <v>2</v>
      </c>
      <c r="AX140">
        <v>24</v>
      </c>
      <c r="AY140">
        <v>25</v>
      </c>
      <c r="AZ140">
        <v>24</v>
      </c>
      <c r="BA140">
        <v>-3.3319999999999994</v>
      </c>
      <c r="BB140">
        <v>26</v>
      </c>
      <c r="BC140">
        <v>-10.920000000000003</v>
      </c>
      <c r="BD140">
        <v>-2.2399999999999998</v>
      </c>
      <c r="BE140">
        <v>14</v>
      </c>
      <c r="BF140">
        <v>13.5</v>
      </c>
      <c r="BG140">
        <v>13</v>
      </c>
      <c r="BH140">
        <v>-0.44000000000000022</v>
      </c>
      <c r="BI140">
        <v>-16</v>
      </c>
      <c r="BJ140">
        <v>-2.6</v>
      </c>
      <c r="BK140">
        <v>14</v>
      </c>
      <c r="BL140">
        <v>13.5</v>
      </c>
      <c r="BM140">
        <v>19</v>
      </c>
      <c r="BN140">
        <v>-3.2</v>
      </c>
      <c r="BO140">
        <v>8</v>
      </c>
      <c r="BP140">
        <v>-1</v>
      </c>
      <c r="BQ140">
        <v>-1.8400000000000003</v>
      </c>
      <c r="BR140">
        <v>8</v>
      </c>
      <c r="BS140">
        <v>12</v>
      </c>
      <c r="BT140">
        <v>2</v>
      </c>
      <c r="BU140">
        <v>5.9736888022691371E-2</v>
      </c>
      <c r="BV140">
        <v>17</v>
      </c>
      <c r="BW140">
        <v>5.3430020228438992E-2</v>
      </c>
      <c r="BX140">
        <v>12</v>
      </c>
      <c r="BY140">
        <v>0.95999999999999663</v>
      </c>
      <c r="BZ140">
        <v>17</v>
      </c>
      <c r="CA140">
        <v>4.5600000000000005</v>
      </c>
      <c r="CB140">
        <v>-7.2</v>
      </c>
      <c r="CC140">
        <v>-5.5200000000000005</v>
      </c>
      <c r="CD140">
        <v>0.56000000000000016</v>
      </c>
      <c r="CE140">
        <v>-82.160000000000011</v>
      </c>
      <c r="CF140">
        <v>-39.760000000000012</v>
      </c>
      <c r="CG140">
        <v>-26.639999999999997</v>
      </c>
      <c r="CH140">
        <v>-3.3200000000000003</v>
      </c>
      <c r="CI140">
        <v>-12.44</v>
      </c>
      <c r="CJ140">
        <v>16</v>
      </c>
      <c r="CK140">
        <v>2.7183999999999999</v>
      </c>
      <c r="CL140">
        <v>1.9340799999999996</v>
      </c>
      <c r="CM140">
        <v>-13.120000000000015</v>
      </c>
      <c r="CN140">
        <v>-2.7183999999999999</v>
      </c>
      <c r="CO140">
        <v>-2.1661999999999999</v>
      </c>
      <c r="CP140">
        <v>-2.8080000000000016</v>
      </c>
      <c r="CQ140">
        <v>-10.399999999999999</v>
      </c>
      <c r="CR140">
        <v>-6.8</v>
      </c>
      <c r="CS140">
        <v>-21.6</v>
      </c>
      <c r="CT140">
        <v>-3.64</v>
      </c>
      <c r="CU140">
        <v>-0.46000000000000008</v>
      </c>
      <c r="CV140">
        <v>0.46137499999999976</v>
      </c>
      <c r="CW140">
        <v>0.75244999999999962</v>
      </c>
      <c r="CX140" t="s">
        <v>297</v>
      </c>
      <c r="CY140">
        <v>20</v>
      </c>
      <c r="CZ140">
        <v>3.2751999999999994</v>
      </c>
      <c r="DA140">
        <v>1</v>
      </c>
      <c r="DB140">
        <v>1.5</v>
      </c>
      <c r="DC140">
        <v>2</v>
      </c>
      <c r="DD140">
        <v>-1.172800000000001</v>
      </c>
      <c r="DE140">
        <v>1</v>
      </c>
      <c r="DF140">
        <v>-12.479999999999999</v>
      </c>
      <c r="DG140">
        <v>0.32000000000000012</v>
      </c>
      <c r="DH140">
        <v>13</v>
      </c>
      <c r="DI140">
        <v>14.5</v>
      </c>
      <c r="DJ140">
        <v>11</v>
      </c>
      <c r="DK140">
        <v>2.3159999999999998</v>
      </c>
      <c r="DL140">
        <v>18</v>
      </c>
      <c r="DM140">
        <v>12.4</v>
      </c>
      <c r="DN140">
        <v>8.0000000000000071E-2</v>
      </c>
      <c r="DO140">
        <v>12</v>
      </c>
      <c r="DP140">
        <v>13</v>
      </c>
      <c r="DQ140">
        <v>11</v>
      </c>
      <c r="DR140">
        <v>-5.72</v>
      </c>
      <c r="DS140">
        <v>15</v>
      </c>
      <c r="DT140">
        <v>-17</v>
      </c>
      <c r="DU140">
        <v>-0.56000000000000016</v>
      </c>
      <c r="DV140">
        <v>26</v>
      </c>
      <c r="DW140">
        <v>26.5</v>
      </c>
      <c r="DX140">
        <v>28</v>
      </c>
      <c r="DY140">
        <v>1.6440000000000006</v>
      </c>
      <c r="DZ140">
        <v>25</v>
      </c>
      <c r="EA140">
        <v>18.440000000000005</v>
      </c>
      <c r="EB140">
        <v>1.1599999999999999</v>
      </c>
      <c r="EC140">
        <v>1</v>
      </c>
      <c r="ED140">
        <v>5</v>
      </c>
      <c r="EE140">
        <v>5</v>
      </c>
      <c r="EF140">
        <v>2.12</v>
      </c>
      <c r="EG140">
        <v>5</v>
      </c>
      <c r="EH140">
        <v>13.76</v>
      </c>
      <c r="EI140">
        <v>1.8</v>
      </c>
      <c r="EJ140">
        <v>27</v>
      </c>
      <c r="EK140">
        <v>27</v>
      </c>
      <c r="EL140">
        <v>29</v>
      </c>
      <c r="EM140">
        <v>4.4280000000000017</v>
      </c>
      <c r="EN140">
        <v>25</v>
      </c>
      <c r="EO140">
        <v>22.68</v>
      </c>
      <c r="EP140">
        <v>2.5200000000000005</v>
      </c>
      <c r="EQ140">
        <v>26</v>
      </c>
      <c r="ER140">
        <v>25.5</v>
      </c>
      <c r="ES140">
        <v>22</v>
      </c>
      <c r="ET140">
        <v>0.69999999999999962</v>
      </c>
      <c r="EU140">
        <v>29</v>
      </c>
      <c r="EV140">
        <v>-4.6000000000000014</v>
      </c>
      <c r="EW140">
        <v>-1.7763568394002506E-16</v>
      </c>
      <c r="EX140">
        <v>26</v>
      </c>
      <c r="EY140">
        <v>25</v>
      </c>
      <c r="EZ140">
        <v>21</v>
      </c>
      <c r="FA140">
        <v>-1.8</v>
      </c>
      <c r="FB140">
        <v>29</v>
      </c>
      <c r="FC140">
        <v>-0.6</v>
      </c>
      <c r="FD140">
        <v>-1.56</v>
      </c>
      <c r="FE140">
        <v>20</v>
      </c>
      <c r="FF140">
        <v>16.75</v>
      </c>
      <c r="FG140">
        <v>21</v>
      </c>
      <c r="FH140">
        <v>2.6720151429531058E-2</v>
      </c>
      <c r="FI140">
        <v>5</v>
      </c>
      <c r="FJ140">
        <v>-8.4222800222777949E-3</v>
      </c>
      <c r="FK140">
        <v>32</v>
      </c>
      <c r="FL140">
        <v>-5.8640000000000017</v>
      </c>
      <c r="FM140">
        <v>9</v>
      </c>
      <c r="FN140">
        <v>0.15999999999999998</v>
      </c>
      <c r="FO140">
        <v>4.88</v>
      </c>
      <c r="FP140">
        <v>-3.7199999999999998</v>
      </c>
      <c r="FQ140">
        <v>0.48</v>
      </c>
      <c r="FR140">
        <v>1.9999999999999987</v>
      </c>
      <c r="FS140">
        <v>1.64</v>
      </c>
      <c r="FT140">
        <v>0.12000000000000011</v>
      </c>
      <c r="FU140">
        <v>38.120000000000005</v>
      </c>
      <c r="FV140">
        <v>28.96</v>
      </c>
      <c r="FW140">
        <v>-0.75999999999999657</v>
      </c>
      <c r="FX140">
        <v>2.84</v>
      </c>
      <c r="FY140">
        <v>7.080000000000001</v>
      </c>
      <c r="FZ140">
        <v>11</v>
      </c>
      <c r="GA140">
        <v>2.1320000000000006</v>
      </c>
      <c r="GB140">
        <v>-0.16775999999999941</v>
      </c>
      <c r="GC140">
        <v>29.72</v>
      </c>
      <c r="GD140">
        <v>-2.1320000000000006</v>
      </c>
      <c r="GE140">
        <v>0.17029999999999987</v>
      </c>
      <c r="GF140">
        <v>-1.9559999999999986</v>
      </c>
      <c r="GG140">
        <v>15.200000000000005</v>
      </c>
      <c r="GH140">
        <v>1.1431999999999989</v>
      </c>
      <c r="GI140">
        <v>-7.9999999999998295E-2</v>
      </c>
      <c r="GJ140">
        <v>2.4</v>
      </c>
      <c r="GK140">
        <v>0.40000000000000019</v>
      </c>
    </row>
    <row r="141" spans="1:193" x14ac:dyDescent="0.2">
      <c r="A141" s="39">
        <v>43765</v>
      </c>
      <c r="B141" s="22" t="s">
        <v>248</v>
      </c>
      <c r="C141" s="41" t="s">
        <v>294</v>
      </c>
      <c r="D141" s="22" t="s">
        <v>276</v>
      </c>
      <c r="E141">
        <v>10.4</v>
      </c>
      <c r="F141">
        <v>5.4</v>
      </c>
      <c r="G141">
        <v>0</v>
      </c>
      <c r="H141">
        <v>15.2</v>
      </c>
      <c r="I141">
        <v>1</v>
      </c>
      <c r="J141">
        <v>39.5</v>
      </c>
      <c r="L141" s="1" t="s">
        <v>294</v>
      </c>
      <c r="M141">
        <v>19</v>
      </c>
      <c r="N141">
        <v>-1.1632000000000002</v>
      </c>
      <c r="O141">
        <v>16</v>
      </c>
      <c r="P141">
        <v>16.5</v>
      </c>
      <c r="Q141">
        <v>18</v>
      </c>
      <c r="R141">
        <v>-3.0919999999999996</v>
      </c>
      <c r="S141">
        <v>15</v>
      </c>
      <c r="T141">
        <v>-3.4799999999999995</v>
      </c>
      <c r="U141">
        <v>-1.52</v>
      </c>
      <c r="V141">
        <v>9</v>
      </c>
      <c r="W141">
        <v>10.5</v>
      </c>
      <c r="X141">
        <v>16</v>
      </c>
      <c r="Y141">
        <v>1.7290000000000003</v>
      </c>
      <c r="Z141">
        <v>5</v>
      </c>
      <c r="AA141">
        <v>6.82</v>
      </c>
      <c r="AB141">
        <v>-0.4</v>
      </c>
      <c r="AC141">
        <v>19</v>
      </c>
      <c r="AD141">
        <v>18.5</v>
      </c>
      <c r="AE141">
        <v>20</v>
      </c>
      <c r="AF141">
        <v>1.3409999999999995</v>
      </c>
      <c r="AG141">
        <v>17</v>
      </c>
      <c r="AH141">
        <v>-13.73</v>
      </c>
      <c r="AI141">
        <v>1.2</v>
      </c>
      <c r="AJ141">
        <v>30</v>
      </c>
      <c r="AK141">
        <v>30</v>
      </c>
      <c r="AL141">
        <v>29</v>
      </c>
      <c r="AM141">
        <v>-6.9760000000000009</v>
      </c>
      <c r="AN141">
        <v>31</v>
      </c>
      <c r="AO141">
        <v>-22.919999999999998</v>
      </c>
      <c r="AP141">
        <v>-2.15</v>
      </c>
      <c r="AQ141">
        <v>23</v>
      </c>
      <c r="AR141">
        <v>23.5</v>
      </c>
      <c r="AS141">
        <v>24</v>
      </c>
      <c r="AT141">
        <v>-5.6120000000000001</v>
      </c>
      <c r="AU141">
        <v>23</v>
      </c>
      <c r="AV141">
        <v>-24.44</v>
      </c>
      <c r="AW141">
        <v>-1.6400000000000001</v>
      </c>
      <c r="AX141">
        <v>20</v>
      </c>
      <c r="AY141">
        <v>20</v>
      </c>
      <c r="AZ141">
        <v>19</v>
      </c>
      <c r="BA141">
        <v>0.21599999999999858</v>
      </c>
      <c r="BB141">
        <v>21</v>
      </c>
      <c r="BC141">
        <v>-13.039999999999997</v>
      </c>
      <c r="BD141">
        <v>0.47999999999999987</v>
      </c>
      <c r="BE141">
        <v>1</v>
      </c>
      <c r="BF141">
        <v>1</v>
      </c>
      <c r="BG141">
        <v>1</v>
      </c>
      <c r="BH141">
        <v>3.5159999999999996</v>
      </c>
      <c r="BI141">
        <v>18.440000000000001</v>
      </c>
      <c r="BJ141">
        <v>2.2800000000000002</v>
      </c>
      <c r="BK141">
        <v>23</v>
      </c>
      <c r="BL141">
        <v>22.5</v>
      </c>
      <c r="BM141">
        <v>24</v>
      </c>
      <c r="BN141">
        <v>-1.72</v>
      </c>
      <c r="BO141">
        <v>21</v>
      </c>
      <c r="BP141">
        <v>-0.88000000000000012</v>
      </c>
      <c r="BQ141">
        <v>1.9600000000000002</v>
      </c>
      <c r="BR141">
        <v>6</v>
      </c>
      <c r="BS141">
        <v>10.25</v>
      </c>
      <c r="BT141">
        <v>16</v>
      </c>
      <c r="BU141">
        <v>3.7906424129798423E-2</v>
      </c>
      <c r="BV141">
        <v>4</v>
      </c>
      <c r="BW141">
        <v>-2.6866019252633168E-3</v>
      </c>
      <c r="BX141">
        <v>6</v>
      </c>
      <c r="BY141">
        <v>-5.2960000000000012</v>
      </c>
      <c r="BZ141">
        <v>15</v>
      </c>
      <c r="CA141">
        <v>1.56</v>
      </c>
      <c r="CB141">
        <v>-3.72</v>
      </c>
      <c r="CC141">
        <v>-1.6799999999999997</v>
      </c>
      <c r="CD141">
        <v>1.8800000000000001</v>
      </c>
      <c r="CE141">
        <v>-35.04</v>
      </c>
      <c r="CF141">
        <v>-48.88000000000001</v>
      </c>
      <c r="CG141">
        <v>11.680000000000001</v>
      </c>
      <c r="CH141">
        <v>-3.12</v>
      </c>
      <c r="CI141">
        <v>5.2799999999999994</v>
      </c>
      <c r="CJ141">
        <v>17</v>
      </c>
      <c r="CK141">
        <v>0.19979999999999909</v>
      </c>
      <c r="CL141">
        <v>-1.0973400000000004</v>
      </c>
      <c r="CM141">
        <v>-60.560000000000009</v>
      </c>
      <c r="CN141">
        <v>-0.19979999999999909</v>
      </c>
      <c r="CO141">
        <v>-1.4971500000000002</v>
      </c>
      <c r="CP141">
        <v>-11.247000000000002</v>
      </c>
      <c r="CQ141">
        <v>-61.09</v>
      </c>
      <c r="CR141">
        <v>-1.3629999999999993</v>
      </c>
      <c r="CS141">
        <v>3.3400000000000007</v>
      </c>
      <c r="CT141">
        <v>-0.30999999999999961</v>
      </c>
      <c r="CU141">
        <v>-1.92</v>
      </c>
      <c r="CV141">
        <v>-0.72533749999999997</v>
      </c>
      <c r="CW141">
        <v>-0.18744999999999978</v>
      </c>
      <c r="CX141" t="s">
        <v>276</v>
      </c>
      <c r="CY141">
        <v>24</v>
      </c>
      <c r="CZ141">
        <v>-2.8608000000000002</v>
      </c>
      <c r="DA141">
        <v>10</v>
      </c>
      <c r="DB141">
        <v>10.5</v>
      </c>
      <c r="DC141">
        <v>8</v>
      </c>
      <c r="DD141">
        <v>0.67600000000000038</v>
      </c>
      <c r="DE141">
        <v>13</v>
      </c>
      <c r="DF141">
        <v>10.199999999999999</v>
      </c>
      <c r="DG141">
        <v>-1.44</v>
      </c>
      <c r="DH141">
        <v>3</v>
      </c>
      <c r="DI141">
        <v>6</v>
      </c>
      <c r="DJ141">
        <v>2</v>
      </c>
      <c r="DK141">
        <v>2.5440000000000009</v>
      </c>
      <c r="DL141">
        <v>10</v>
      </c>
      <c r="DM141">
        <v>13.64</v>
      </c>
      <c r="DN141">
        <v>0.27999999999999997</v>
      </c>
      <c r="DO141">
        <v>17</v>
      </c>
      <c r="DP141">
        <v>19</v>
      </c>
      <c r="DQ141">
        <v>20</v>
      </c>
      <c r="DR141">
        <v>-3.8680000000000008</v>
      </c>
      <c r="DS141">
        <v>18</v>
      </c>
      <c r="DT141">
        <v>-3.88</v>
      </c>
      <c r="DU141">
        <v>-1.48</v>
      </c>
      <c r="DV141">
        <v>20</v>
      </c>
      <c r="DW141">
        <v>19</v>
      </c>
      <c r="DX141">
        <v>20</v>
      </c>
      <c r="DY141">
        <v>-2.633</v>
      </c>
      <c r="DZ141">
        <v>18</v>
      </c>
      <c r="EA141">
        <v>-19.059999999999999</v>
      </c>
      <c r="EB141">
        <v>0.25999999999999979</v>
      </c>
      <c r="EC141">
        <v>8</v>
      </c>
      <c r="ED141">
        <v>21</v>
      </c>
      <c r="EE141">
        <v>11</v>
      </c>
      <c r="EF141">
        <v>-0.24799999999999961</v>
      </c>
      <c r="EG141">
        <v>31</v>
      </c>
      <c r="EH141">
        <v>4.84</v>
      </c>
      <c r="EI141">
        <v>0.4</v>
      </c>
      <c r="EJ141">
        <v>20</v>
      </c>
      <c r="EK141">
        <v>19</v>
      </c>
      <c r="EL141">
        <v>19</v>
      </c>
      <c r="EM141">
        <v>-6.5240000000000009</v>
      </c>
      <c r="EN141">
        <v>19</v>
      </c>
      <c r="EO141">
        <v>-18.28</v>
      </c>
      <c r="EP141">
        <v>-6.6</v>
      </c>
      <c r="EQ141">
        <v>32</v>
      </c>
      <c r="ER141">
        <v>32</v>
      </c>
      <c r="ES141">
        <v>32</v>
      </c>
      <c r="ET141">
        <v>-2.4360000000000013</v>
      </c>
      <c r="EU141">
        <v>32</v>
      </c>
      <c r="EV141">
        <v>-12.760000000000002</v>
      </c>
      <c r="EW141">
        <v>-2.2000000000000002</v>
      </c>
      <c r="EX141">
        <v>32</v>
      </c>
      <c r="EY141">
        <v>32</v>
      </c>
      <c r="EZ141">
        <v>32</v>
      </c>
      <c r="FA141">
        <v>-1.28</v>
      </c>
      <c r="FB141">
        <v>32</v>
      </c>
      <c r="FC141">
        <v>0.16</v>
      </c>
      <c r="FD141">
        <v>2</v>
      </c>
      <c r="FE141">
        <v>7</v>
      </c>
      <c r="FF141">
        <v>12.25</v>
      </c>
      <c r="FG141">
        <v>24</v>
      </c>
      <c r="FH141">
        <v>1.6496533760181287E-2</v>
      </c>
      <c r="FI141">
        <v>3</v>
      </c>
      <c r="FJ141">
        <v>-5.9058641278462521E-3</v>
      </c>
      <c r="FK141">
        <v>17</v>
      </c>
      <c r="FL141">
        <v>1.1519999999999981</v>
      </c>
      <c r="FM141">
        <v>5</v>
      </c>
      <c r="FN141">
        <v>-1.6</v>
      </c>
      <c r="FO141">
        <v>-4.4799999999999995</v>
      </c>
      <c r="FP141">
        <v>1.2399999999999998</v>
      </c>
      <c r="FQ141">
        <v>1.2799999999999998</v>
      </c>
      <c r="FR141">
        <v>-2.5600000000000009</v>
      </c>
      <c r="FS141">
        <v>-0.6</v>
      </c>
      <c r="FT141">
        <v>-0.35999999999999988</v>
      </c>
      <c r="FU141">
        <v>-9.8399999999999981</v>
      </c>
      <c r="FV141">
        <v>-33.999999999999993</v>
      </c>
      <c r="FW141">
        <v>22.080000000000002</v>
      </c>
      <c r="FX141">
        <v>0.96000000000000019</v>
      </c>
      <c r="FY141">
        <v>1.1200000000000003</v>
      </c>
      <c r="FZ141">
        <v>30</v>
      </c>
      <c r="GA141">
        <v>-6.0808000000000018</v>
      </c>
      <c r="GB141">
        <v>-4.0191600000000012</v>
      </c>
      <c r="GC141">
        <v>-56.08</v>
      </c>
      <c r="GD141">
        <v>6.0808000000000018</v>
      </c>
      <c r="GE141">
        <v>-1.263225</v>
      </c>
      <c r="GF141">
        <v>-6.7490000000000006</v>
      </c>
      <c r="GG141">
        <v>-18.099999999999998</v>
      </c>
      <c r="GH141">
        <v>3.2200000000000015</v>
      </c>
      <c r="GI141">
        <v>23.84</v>
      </c>
      <c r="GJ141">
        <v>-3.0200000000000005</v>
      </c>
      <c r="GK141">
        <v>-1.1599999999999999</v>
      </c>
    </row>
    <row r="142" spans="1:193" x14ac:dyDescent="0.2">
      <c r="A142" s="39">
        <v>43765</v>
      </c>
      <c r="B142" s="22" t="s">
        <v>248</v>
      </c>
      <c r="C142" s="41" t="s">
        <v>309</v>
      </c>
      <c r="D142" s="22" t="s">
        <v>293</v>
      </c>
      <c r="E142">
        <v>24.3</v>
      </c>
      <c r="F142">
        <v>19.399999999999999</v>
      </c>
      <c r="G142">
        <v>3.1</v>
      </c>
      <c r="H142">
        <f>4.9+2.5</f>
        <v>7.4</v>
      </c>
      <c r="I142">
        <v>-14</v>
      </c>
      <c r="J142">
        <v>44</v>
      </c>
      <c r="L142" s="1" t="s">
        <v>309</v>
      </c>
      <c r="M142">
        <v>26</v>
      </c>
      <c r="N142">
        <v>-2.2775999999999992</v>
      </c>
      <c r="O142">
        <v>12</v>
      </c>
      <c r="P142">
        <v>14.5</v>
      </c>
      <c r="Q142">
        <v>9</v>
      </c>
      <c r="R142">
        <v>3.2359999999999984</v>
      </c>
      <c r="S142">
        <v>20</v>
      </c>
      <c r="T142">
        <v>-10.44</v>
      </c>
      <c r="U142">
        <v>1.7200000000000002</v>
      </c>
      <c r="V142">
        <v>9</v>
      </c>
      <c r="W142">
        <v>10.5</v>
      </c>
      <c r="X142">
        <v>11</v>
      </c>
      <c r="Y142">
        <v>0.65200000000000002</v>
      </c>
      <c r="Z142">
        <v>10</v>
      </c>
      <c r="AA142">
        <v>-6.6</v>
      </c>
      <c r="AB142">
        <v>0.67999999999999994</v>
      </c>
      <c r="AC142">
        <v>13</v>
      </c>
      <c r="AD142">
        <v>14.5</v>
      </c>
      <c r="AE142">
        <v>19</v>
      </c>
      <c r="AF142">
        <v>1.656000000000001</v>
      </c>
      <c r="AG142">
        <v>10</v>
      </c>
      <c r="AH142">
        <v>6.08</v>
      </c>
      <c r="AI142">
        <v>0.11999999999999993</v>
      </c>
      <c r="AJ142">
        <v>17</v>
      </c>
      <c r="AK142">
        <v>17.5</v>
      </c>
      <c r="AL142">
        <v>19</v>
      </c>
      <c r="AM142">
        <v>2.3600000000000003</v>
      </c>
      <c r="AN142">
        <v>16</v>
      </c>
      <c r="AO142">
        <v>2.5199999999999987</v>
      </c>
      <c r="AP142">
        <v>-0.24000000000000005</v>
      </c>
      <c r="AQ142">
        <v>18</v>
      </c>
      <c r="AR142">
        <v>17.5</v>
      </c>
      <c r="AS142">
        <v>20</v>
      </c>
      <c r="AT142">
        <v>-1.7600000000000002</v>
      </c>
      <c r="AU142">
        <v>15</v>
      </c>
      <c r="AV142">
        <v>-8.52</v>
      </c>
      <c r="AW142">
        <v>0.23999999999999994</v>
      </c>
      <c r="AX142">
        <v>31</v>
      </c>
      <c r="AY142">
        <v>31.5</v>
      </c>
      <c r="AZ142">
        <v>32</v>
      </c>
      <c r="BA142">
        <v>-3.903999999999999</v>
      </c>
      <c r="BB142">
        <v>31</v>
      </c>
      <c r="BC142">
        <v>-27.840000000000011</v>
      </c>
      <c r="BD142">
        <v>-1.72</v>
      </c>
      <c r="BE142">
        <v>28</v>
      </c>
      <c r="BF142">
        <v>27.5</v>
      </c>
      <c r="BG142">
        <v>24</v>
      </c>
      <c r="BH142">
        <v>-3.964</v>
      </c>
      <c r="BI142">
        <v>-19.279999999999994</v>
      </c>
      <c r="BJ142">
        <v>-1.48</v>
      </c>
      <c r="BK142">
        <v>3</v>
      </c>
      <c r="BL142">
        <v>5.5</v>
      </c>
      <c r="BM142">
        <v>5</v>
      </c>
      <c r="BN142">
        <v>2.08</v>
      </c>
      <c r="BO142">
        <v>6</v>
      </c>
      <c r="BP142">
        <v>0.12000000000000002</v>
      </c>
      <c r="BQ142">
        <v>5.0400000000000009</v>
      </c>
      <c r="BR142">
        <v>12</v>
      </c>
      <c r="BS142">
        <v>13.25</v>
      </c>
      <c r="BT142">
        <v>9</v>
      </c>
      <c r="BU142">
        <v>-1.7903872541377798E-2</v>
      </c>
      <c r="BV142">
        <v>20</v>
      </c>
      <c r="BW142">
        <v>-3.3259935942645612E-2</v>
      </c>
      <c r="BX142">
        <v>19</v>
      </c>
      <c r="BY142">
        <v>6.1360000000000001</v>
      </c>
      <c r="BZ142">
        <v>5</v>
      </c>
      <c r="CA142">
        <v>-2.12</v>
      </c>
      <c r="CB142">
        <v>-3.28</v>
      </c>
      <c r="CC142">
        <v>2.5600000000000009</v>
      </c>
      <c r="CD142">
        <v>0.1999999999999999</v>
      </c>
      <c r="CE142">
        <v>-55.64</v>
      </c>
      <c r="CF142">
        <v>-24.32</v>
      </c>
      <c r="CG142">
        <v>-16.439999999999998</v>
      </c>
      <c r="CH142">
        <v>-2.96</v>
      </c>
      <c r="CI142">
        <v>-11.920000000000002</v>
      </c>
      <c r="CJ142">
        <v>27</v>
      </c>
      <c r="CK142">
        <v>-6.1655999999999977</v>
      </c>
      <c r="CL142">
        <v>-2.7411199999999987</v>
      </c>
      <c r="CM142">
        <v>-7.8800000000000026</v>
      </c>
      <c r="CN142">
        <v>6.1655999999999977</v>
      </c>
      <c r="CO142">
        <v>0.24780000000000002</v>
      </c>
      <c r="CP142">
        <v>2.2560000000000016</v>
      </c>
      <c r="CQ142">
        <v>7.9999999999998295E-2</v>
      </c>
      <c r="CR142">
        <v>3.8879999999999986</v>
      </c>
      <c r="CS142">
        <v>-17.04</v>
      </c>
      <c r="CT142">
        <v>-1.36</v>
      </c>
      <c r="CU142">
        <v>2.4000000000000004</v>
      </c>
      <c r="CV142">
        <v>9.2083333333333184E-2</v>
      </c>
      <c r="CW142">
        <v>-1.6636833333333336</v>
      </c>
      <c r="CX142" t="s">
        <v>293</v>
      </c>
      <c r="CY142">
        <v>2</v>
      </c>
      <c r="CZ142">
        <v>3.6887999999999992</v>
      </c>
      <c r="DA142">
        <v>1</v>
      </c>
      <c r="DB142">
        <v>1.5</v>
      </c>
      <c r="DC142">
        <v>1</v>
      </c>
      <c r="DD142">
        <v>3.4919999999999995</v>
      </c>
      <c r="DE142">
        <v>2</v>
      </c>
      <c r="DF142">
        <v>35.24</v>
      </c>
      <c r="DG142">
        <v>-1.28</v>
      </c>
      <c r="DH142">
        <v>30</v>
      </c>
      <c r="DI142">
        <v>27</v>
      </c>
      <c r="DJ142">
        <v>27</v>
      </c>
      <c r="DK142">
        <v>1.7040000000000002</v>
      </c>
      <c r="DL142">
        <v>27</v>
      </c>
      <c r="DM142">
        <v>14.4</v>
      </c>
      <c r="DN142">
        <v>-0.83999999999999986</v>
      </c>
      <c r="DO142">
        <v>2</v>
      </c>
      <c r="DP142">
        <v>1.5</v>
      </c>
      <c r="DQ142">
        <v>1</v>
      </c>
      <c r="DR142">
        <v>6.1139999999999999</v>
      </c>
      <c r="DS142">
        <v>2</v>
      </c>
      <c r="DT142">
        <v>12.88</v>
      </c>
      <c r="DU142">
        <v>-0.33999999999999986</v>
      </c>
      <c r="DV142">
        <v>8</v>
      </c>
      <c r="DW142">
        <v>7</v>
      </c>
      <c r="DX142">
        <v>6</v>
      </c>
      <c r="DY142">
        <v>-0.64400000000000013</v>
      </c>
      <c r="DZ142">
        <v>8</v>
      </c>
      <c r="EA142">
        <v>-2.5999999999999988</v>
      </c>
      <c r="EB142">
        <v>-0.76</v>
      </c>
      <c r="EC142">
        <v>29</v>
      </c>
      <c r="ED142">
        <v>24</v>
      </c>
      <c r="EE142">
        <v>22</v>
      </c>
      <c r="EF142">
        <v>-0.55600000000000005</v>
      </c>
      <c r="EG142">
        <v>26</v>
      </c>
      <c r="EH142">
        <v>-3.8800000000000012</v>
      </c>
      <c r="EI142">
        <v>-4.0000000000000077E-2</v>
      </c>
      <c r="EJ142">
        <v>9</v>
      </c>
      <c r="EK142">
        <v>9</v>
      </c>
      <c r="EL142">
        <v>8</v>
      </c>
      <c r="EM142">
        <v>0.87599999999999911</v>
      </c>
      <c r="EN142">
        <v>10</v>
      </c>
      <c r="EO142">
        <v>-5.6400000000000006</v>
      </c>
      <c r="EP142">
        <v>-1.2799999999999998</v>
      </c>
      <c r="EQ142">
        <v>19</v>
      </c>
      <c r="ER142">
        <v>18.5</v>
      </c>
      <c r="ES142">
        <v>25</v>
      </c>
      <c r="ET142">
        <v>-1.9359999999999999</v>
      </c>
      <c r="EU142">
        <v>12</v>
      </c>
      <c r="EV142">
        <v>-2.6000000000000005</v>
      </c>
      <c r="EW142">
        <v>3.9999999999999945E-2</v>
      </c>
      <c r="EX142">
        <v>1</v>
      </c>
      <c r="EY142">
        <v>1.5</v>
      </c>
      <c r="EZ142">
        <v>1</v>
      </c>
      <c r="FA142">
        <v>2.9200000000000004</v>
      </c>
      <c r="FB142">
        <v>2</v>
      </c>
      <c r="FC142">
        <v>0.52</v>
      </c>
      <c r="FD142">
        <v>2.4400000000000004</v>
      </c>
      <c r="FE142">
        <v>31</v>
      </c>
      <c r="FF142">
        <v>29</v>
      </c>
      <c r="FG142">
        <v>29</v>
      </c>
      <c r="FH142">
        <v>-6.6559601691520948E-2</v>
      </c>
      <c r="FI142">
        <v>32</v>
      </c>
      <c r="FJ142">
        <v>-2.3019583879496652E-2</v>
      </c>
      <c r="FK142">
        <v>30</v>
      </c>
      <c r="FL142">
        <v>3.2919999999999989</v>
      </c>
      <c r="FM142">
        <v>25</v>
      </c>
      <c r="FN142">
        <v>-6.7199999999999989</v>
      </c>
      <c r="FO142">
        <v>-3.2</v>
      </c>
      <c r="FP142">
        <v>6.0400000000000009</v>
      </c>
      <c r="FQ142">
        <v>-0.27999999999999992</v>
      </c>
      <c r="FR142">
        <v>1.1199999999999988</v>
      </c>
      <c r="FS142">
        <v>7.6</v>
      </c>
      <c r="FT142">
        <v>0.55999999999999983</v>
      </c>
      <c r="FU142">
        <v>43.11999999999999</v>
      </c>
      <c r="FV142">
        <v>1.3200000000000045</v>
      </c>
      <c r="FW142">
        <v>51.8</v>
      </c>
      <c r="FX142">
        <v>-5.4799999999999995</v>
      </c>
      <c r="FY142">
        <v>-4.5200000000000005</v>
      </c>
      <c r="FZ142">
        <v>20</v>
      </c>
      <c r="GA142">
        <v>-1.5072000000000005</v>
      </c>
      <c r="GB142">
        <v>-1.2646400000000002</v>
      </c>
      <c r="GC142">
        <v>-50.47999999999999</v>
      </c>
      <c r="GD142">
        <v>1.5072000000000005</v>
      </c>
      <c r="GE142">
        <v>1.84785</v>
      </c>
      <c r="GF142">
        <v>4.9139999999999997</v>
      </c>
      <c r="GG142">
        <v>6.4</v>
      </c>
      <c r="GH142">
        <v>5.1959999999999997</v>
      </c>
      <c r="GI142">
        <v>49.64</v>
      </c>
      <c r="GJ142">
        <v>-1.0999999999999999</v>
      </c>
      <c r="GK142">
        <v>-2.12</v>
      </c>
    </row>
    <row r="143" spans="1:193" x14ac:dyDescent="0.2">
      <c r="A143" s="39">
        <v>43765</v>
      </c>
      <c r="B143" s="22" t="s">
        <v>248</v>
      </c>
      <c r="C143" s="40" t="s">
        <v>256</v>
      </c>
      <c r="D143" s="22" t="s">
        <v>301</v>
      </c>
      <c r="E143">
        <v>12.5</v>
      </c>
      <c r="F143">
        <v>13.8</v>
      </c>
      <c r="G143">
        <v>2.2000000000000002</v>
      </c>
      <c r="H143">
        <v>14.6</v>
      </c>
      <c r="I143">
        <v>-4.5</v>
      </c>
      <c r="J143">
        <v>41</v>
      </c>
      <c r="K143" t="s">
        <v>110</v>
      </c>
      <c r="L143" s="1" t="s">
        <v>256</v>
      </c>
      <c r="M143">
        <v>30</v>
      </c>
      <c r="N143">
        <v>-5.4263999999999992</v>
      </c>
      <c r="O143">
        <v>26</v>
      </c>
      <c r="P143">
        <v>24.5</v>
      </c>
      <c r="Q143">
        <v>25</v>
      </c>
      <c r="R143">
        <v>2.9439999999999982</v>
      </c>
      <c r="S143">
        <v>24</v>
      </c>
      <c r="T143">
        <v>10.400000000000002</v>
      </c>
      <c r="U143">
        <v>-1.56</v>
      </c>
      <c r="V143">
        <v>5</v>
      </c>
      <c r="W143">
        <v>8</v>
      </c>
      <c r="X143">
        <v>9</v>
      </c>
      <c r="Y143">
        <v>5.0039999999999996</v>
      </c>
      <c r="Z143">
        <v>7</v>
      </c>
      <c r="AA143">
        <v>35.44</v>
      </c>
      <c r="AB143">
        <v>-0.68</v>
      </c>
      <c r="AC143">
        <v>23</v>
      </c>
      <c r="AD143">
        <v>22</v>
      </c>
      <c r="AE143">
        <v>24</v>
      </c>
      <c r="AF143">
        <v>-4.4279999999999999</v>
      </c>
      <c r="AG143">
        <v>20</v>
      </c>
      <c r="AH143">
        <v>-13.279999999999998</v>
      </c>
      <c r="AI143">
        <v>-2.8</v>
      </c>
      <c r="AJ143">
        <v>27</v>
      </c>
      <c r="AK143">
        <v>27</v>
      </c>
      <c r="AL143">
        <v>25</v>
      </c>
      <c r="AM143">
        <v>-5.9920000000000018</v>
      </c>
      <c r="AN143">
        <v>29</v>
      </c>
      <c r="AO143">
        <v>-35.159999999999997</v>
      </c>
      <c r="AP143">
        <v>-3.0400000000000005</v>
      </c>
      <c r="AQ143">
        <v>13</v>
      </c>
      <c r="AR143">
        <v>14.5</v>
      </c>
      <c r="AS143">
        <v>16</v>
      </c>
      <c r="AT143">
        <v>-2.4359999999999999</v>
      </c>
      <c r="AU143">
        <v>13</v>
      </c>
      <c r="AV143">
        <v>-9.08</v>
      </c>
      <c r="AW143">
        <v>-1.52</v>
      </c>
      <c r="AX143">
        <v>19</v>
      </c>
      <c r="AY143">
        <v>19.5</v>
      </c>
      <c r="AZ143">
        <v>20</v>
      </c>
      <c r="BA143">
        <v>-5.4640000000000004</v>
      </c>
      <c r="BB143">
        <v>19</v>
      </c>
      <c r="BC143">
        <v>-10.640000000000004</v>
      </c>
      <c r="BD143">
        <v>-3.8</v>
      </c>
      <c r="BE143">
        <v>17</v>
      </c>
      <c r="BF143">
        <v>17.5</v>
      </c>
      <c r="BG143">
        <v>16</v>
      </c>
      <c r="BH143">
        <v>3.7640000000000002</v>
      </c>
      <c r="BI143">
        <v>19.04</v>
      </c>
      <c r="BJ143">
        <v>2.2800000000000002</v>
      </c>
      <c r="BK143">
        <v>17</v>
      </c>
      <c r="BL143">
        <v>16</v>
      </c>
      <c r="BM143">
        <v>15</v>
      </c>
      <c r="BN143">
        <v>0.48000000000000009</v>
      </c>
      <c r="BO143">
        <v>17</v>
      </c>
      <c r="BP143">
        <v>0.55999999999999994</v>
      </c>
      <c r="BQ143">
        <v>4.92</v>
      </c>
      <c r="BR143">
        <v>21</v>
      </c>
      <c r="BS143">
        <v>17.75</v>
      </c>
      <c r="BT143">
        <v>19</v>
      </c>
      <c r="BU143">
        <v>-9.3844976958613852E-2</v>
      </c>
      <c r="BV143">
        <v>3</v>
      </c>
      <c r="BW143">
        <v>-1.4109084910725428E-2</v>
      </c>
      <c r="BX143">
        <v>29</v>
      </c>
      <c r="BY143">
        <v>5.0199999999999978</v>
      </c>
      <c r="BZ143">
        <v>20</v>
      </c>
      <c r="CA143">
        <v>-3.4400000000000004</v>
      </c>
      <c r="CB143">
        <v>1.7599999999999967</v>
      </c>
      <c r="CC143">
        <v>4.3599999999999994</v>
      </c>
      <c r="CD143">
        <v>-1.1199999999999999</v>
      </c>
      <c r="CE143">
        <v>20.840000000000011</v>
      </c>
      <c r="CF143">
        <v>-40.159999999999997</v>
      </c>
      <c r="CG143">
        <v>66.92</v>
      </c>
      <c r="CH143">
        <v>6.76</v>
      </c>
      <c r="CI143">
        <v>-12.68</v>
      </c>
      <c r="CJ143">
        <v>31</v>
      </c>
      <c r="CK143">
        <v>-13.374399999999996</v>
      </c>
      <c r="CL143">
        <v>-6.8776799999999989</v>
      </c>
      <c r="CM143">
        <v>-107.08</v>
      </c>
      <c r="CN143">
        <v>13.374399999999998</v>
      </c>
      <c r="CO143">
        <v>-0.7613000000000002</v>
      </c>
      <c r="CP143">
        <v>-12.856000000000002</v>
      </c>
      <c r="CQ143">
        <v>-57.519999999999996</v>
      </c>
      <c r="CR143">
        <v>7.9479999999999977</v>
      </c>
      <c r="CS143">
        <v>45.84</v>
      </c>
      <c r="CT143">
        <v>-5.0799999999999992</v>
      </c>
      <c r="CU143">
        <v>-2.2400000000000002</v>
      </c>
      <c r="CV143">
        <v>-2.4981000000000004</v>
      </c>
      <c r="CW143">
        <v>-5.0018000000000002</v>
      </c>
      <c r="CX143" t="s">
        <v>301</v>
      </c>
      <c r="CY143">
        <v>14</v>
      </c>
      <c r="CZ143">
        <v>-1.8271999999999995</v>
      </c>
      <c r="DA143">
        <v>7</v>
      </c>
      <c r="DB143">
        <v>10</v>
      </c>
      <c r="DC143">
        <v>5</v>
      </c>
      <c r="DD143">
        <v>3.5479999999999983</v>
      </c>
      <c r="DE143">
        <v>15</v>
      </c>
      <c r="DF143">
        <v>-9.4000000000000021</v>
      </c>
      <c r="DG143">
        <v>1.0399999999999998</v>
      </c>
      <c r="DH143">
        <v>2</v>
      </c>
      <c r="DI143">
        <v>3</v>
      </c>
      <c r="DJ143">
        <v>4</v>
      </c>
      <c r="DK143">
        <v>-1.3599999999999999</v>
      </c>
      <c r="DL143">
        <v>2</v>
      </c>
      <c r="DM143">
        <v>-10.679999999999998</v>
      </c>
      <c r="DN143">
        <v>0.6399999999999999</v>
      </c>
      <c r="DO143">
        <v>20</v>
      </c>
      <c r="DP143">
        <v>16.5</v>
      </c>
      <c r="DQ143">
        <v>16</v>
      </c>
      <c r="DR143">
        <v>-0.91600000000000104</v>
      </c>
      <c r="DS143">
        <v>17</v>
      </c>
      <c r="DT143">
        <v>-13.159999999999997</v>
      </c>
      <c r="DU143">
        <v>1.6799999999999997</v>
      </c>
      <c r="DV143">
        <v>7</v>
      </c>
      <c r="DW143">
        <v>6.5</v>
      </c>
      <c r="DX143">
        <v>8</v>
      </c>
      <c r="DY143">
        <v>4.9600000000000009</v>
      </c>
      <c r="DZ143">
        <v>5</v>
      </c>
      <c r="EA143">
        <v>16.559999999999995</v>
      </c>
      <c r="EB143">
        <v>1.92</v>
      </c>
      <c r="EC143">
        <v>11</v>
      </c>
      <c r="ED143">
        <v>7.5</v>
      </c>
      <c r="EE143">
        <v>12</v>
      </c>
      <c r="EF143">
        <v>-0.75999999999999956</v>
      </c>
      <c r="EG143">
        <v>3</v>
      </c>
      <c r="EH143">
        <v>-3.2799999999999989</v>
      </c>
      <c r="EI143">
        <v>-0.11999999999999993</v>
      </c>
      <c r="EJ143">
        <v>18</v>
      </c>
      <c r="EK143">
        <v>18</v>
      </c>
      <c r="EL143">
        <v>22</v>
      </c>
      <c r="EM143">
        <v>3.2199999999999998</v>
      </c>
      <c r="EN143">
        <v>14</v>
      </c>
      <c r="EO143">
        <v>7.7999999999999972</v>
      </c>
      <c r="EP143">
        <v>2.2800000000000002</v>
      </c>
      <c r="EQ143">
        <v>12</v>
      </c>
      <c r="ER143">
        <v>13</v>
      </c>
      <c r="ES143">
        <v>20</v>
      </c>
      <c r="ET143">
        <v>-1.7200000000000011</v>
      </c>
      <c r="EU143">
        <v>6</v>
      </c>
      <c r="EV143">
        <v>3.9200000000000026</v>
      </c>
      <c r="EW143">
        <v>-0.55999999999999983</v>
      </c>
      <c r="EX143">
        <v>10</v>
      </c>
      <c r="EY143">
        <v>11.5</v>
      </c>
      <c r="EZ143">
        <v>16</v>
      </c>
      <c r="FA143">
        <v>-1.8800000000000001</v>
      </c>
      <c r="FB143">
        <v>7</v>
      </c>
      <c r="FC143">
        <v>-0.96</v>
      </c>
      <c r="FD143">
        <v>-1.64</v>
      </c>
      <c r="FE143">
        <v>18</v>
      </c>
      <c r="FF143">
        <v>16.25</v>
      </c>
      <c r="FG143">
        <v>18</v>
      </c>
      <c r="FH143">
        <v>3.0762896835275756E-2</v>
      </c>
      <c r="FI143">
        <v>16</v>
      </c>
      <c r="FJ143">
        <v>4.3762436481062976E-2</v>
      </c>
      <c r="FK143">
        <v>8</v>
      </c>
      <c r="FL143">
        <v>2.919999999999999</v>
      </c>
      <c r="FM143">
        <v>23</v>
      </c>
      <c r="FN143">
        <v>5.5600000000000005</v>
      </c>
      <c r="FO143">
        <v>5.2799999999999994</v>
      </c>
      <c r="FP143">
        <v>-4.3199999999999994</v>
      </c>
      <c r="FQ143">
        <v>-0.88000000000000012</v>
      </c>
      <c r="FR143">
        <v>2.3599999999999994</v>
      </c>
      <c r="FS143">
        <v>1.2000000000000006</v>
      </c>
      <c r="FT143">
        <v>-0.83999999999999986</v>
      </c>
      <c r="FU143">
        <v>-12.320000000000004</v>
      </c>
      <c r="FV143">
        <v>-5.2800000000000011</v>
      </c>
      <c r="FW143">
        <v>-8.1599999999999966</v>
      </c>
      <c r="FX143">
        <v>0.95999999999999974</v>
      </c>
      <c r="FY143">
        <v>0.16000000000000086</v>
      </c>
      <c r="FZ143">
        <v>28</v>
      </c>
      <c r="GA143">
        <v>-4.0151999999999983</v>
      </c>
      <c r="GB143">
        <v>-1.1466399999999992</v>
      </c>
      <c r="GC143">
        <v>2.8799999999999955</v>
      </c>
      <c r="GD143">
        <v>4.0151999999999983</v>
      </c>
      <c r="GE143">
        <v>5.5999999999997441E-3</v>
      </c>
      <c r="GF143">
        <v>3.2839999999999998</v>
      </c>
      <c r="GG143">
        <v>0.11999999999999966</v>
      </c>
      <c r="GH143">
        <v>2.1879999999999984</v>
      </c>
      <c r="GI143">
        <v>-20.079999999999998</v>
      </c>
      <c r="GJ143">
        <v>2.92</v>
      </c>
      <c r="GK143">
        <v>1.6799999999999997</v>
      </c>
    </row>
    <row r="144" spans="1:193" x14ac:dyDescent="0.2">
      <c r="A144" s="39">
        <v>43765</v>
      </c>
      <c r="B144" s="22" t="s">
        <v>248</v>
      </c>
      <c r="C144" s="41" t="s">
        <v>308</v>
      </c>
      <c r="D144" s="22" t="s">
        <v>295</v>
      </c>
      <c r="E144">
        <v>19</v>
      </c>
      <c r="F144">
        <v>16.3</v>
      </c>
      <c r="G144">
        <v>3.5</v>
      </c>
      <c r="H144">
        <f>3.8+1.7</f>
        <v>5.5</v>
      </c>
      <c r="I144">
        <v>-7.5</v>
      </c>
      <c r="J144">
        <v>48.5</v>
      </c>
      <c r="L144" s="1" t="s">
        <v>308</v>
      </c>
      <c r="M144">
        <v>3</v>
      </c>
      <c r="N144">
        <v>6.4984000000000011</v>
      </c>
      <c r="O144">
        <v>3</v>
      </c>
      <c r="P144">
        <v>6</v>
      </c>
      <c r="Q144">
        <v>10</v>
      </c>
      <c r="R144">
        <v>2.0159999999999996</v>
      </c>
      <c r="S144">
        <v>2</v>
      </c>
      <c r="T144">
        <v>20.12</v>
      </c>
      <c r="U144">
        <v>0.27999999999999992</v>
      </c>
      <c r="V144">
        <v>1</v>
      </c>
      <c r="W144">
        <v>1.5</v>
      </c>
      <c r="X144">
        <v>2</v>
      </c>
      <c r="Y144">
        <v>-1.2583999999999997</v>
      </c>
      <c r="Z144">
        <v>1</v>
      </c>
      <c r="AA144">
        <v>-6.7600000000000007</v>
      </c>
      <c r="AB144">
        <v>-0.36000000000000004</v>
      </c>
      <c r="AC144">
        <v>19</v>
      </c>
      <c r="AD144">
        <v>18.5</v>
      </c>
      <c r="AE144">
        <v>15</v>
      </c>
      <c r="AF144">
        <v>2.3840000000000012</v>
      </c>
      <c r="AG144">
        <v>22</v>
      </c>
      <c r="AH144">
        <v>12.88</v>
      </c>
      <c r="AI144">
        <v>-1.1600000000000001</v>
      </c>
      <c r="AJ144">
        <v>12</v>
      </c>
      <c r="AK144">
        <v>11.5</v>
      </c>
      <c r="AL144">
        <v>12</v>
      </c>
      <c r="AM144">
        <v>-3.7400000000000007</v>
      </c>
      <c r="AN144">
        <v>11</v>
      </c>
      <c r="AO144">
        <v>-8.120000000000001</v>
      </c>
      <c r="AP144">
        <v>-1.1599999999999999</v>
      </c>
      <c r="AQ144">
        <v>17</v>
      </c>
      <c r="AR144">
        <v>17</v>
      </c>
      <c r="AS144">
        <v>17</v>
      </c>
      <c r="AT144">
        <v>2.468</v>
      </c>
      <c r="AU144">
        <v>17</v>
      </c>
      <c r="AV144">
        <v>7.7199999999999989</v>
      </c>
      <c r="AW144">
        <v>0.48</v>
      </c>
      <c r="AX144">
        <v>24</v>
      </c>
      <c r="AY144">
        <v>25</v>
      </c>
      <c r="AZ144">
        <v>26</v>
      </c>
      <c r="BA144">
        <v>1.8280000000000007</v>
      </c>
      <c r="BB144">
        <v>24</v>
      </c>
      <c r="BC144">
        <v>13.479999999999995</v>
      </c>
      <c r="BD144">
        <v>0.35999999999999976</v>
      </c>
      <c r="BE144">
        <v>12</v>
      </c>
      <c r="BF144">
        <v>12.5</v>
      </c>
      <c r="BG144">
        <v>10</v>
      </c>
      <c r="BH144">
        <v>-1.1160000000000008</v>
      </c>
      <c r="BI144">
        <v>-3.5599999999999978</v>
      </c>
      <c r="BJ144">
        <v>0.16000000000000014</v>
      </c>
      <c r="BK144">
        <v>8</v>
      </c>
      <c r="BL144">
        <v>8.5</v>
      </c>
      <c r="BM144">
        <v>9</v>
      </c>
      <c r="BN144">
        <v>-0.59999999999999987</v>
      </c>
      <c r="BO144">
        <v>8</v>
      </c>
      <c r="BP144">
        <v>-3.9999999999999994E-2</v>
      </c>
      <c r="BQ144">
        <v>-1.2000000000000004</v>
      </c>
      <c r="BR144">
        <v>12</v>
      </c>
      <c r="BS144">
        <v>13.25</v>
      </c>
      <c r="BT144">
        <v>11</v>
      </c>
      <c r="BU144">
        <v>9.2253046239783906E-2</v>
      </c>
      <c r="BV144">
        <v>5</v>
      </c>
      <c r="BW144">
        <v>-1.5249652433166897E-2</v>
      </c>
      <c r="BX144">
        <v>21</v>
      </c>
      <c r="BY144">
        <v>8.7359999999999971</v>
      </c>
      <c r="BZ144">
        <v>16</v>
      </c>
      <c r="CA144">
        <v>1.3999999999999997</v>
      </c>
      <c r="CB144">
        <v>5.4399999999999977</v>
      </c>
      <c r="CC144">
        <v>1.64</v>
      </c>
      <c r="CD144">
        <v>-0.2799999999999998</v>
      </c>
      <c r="CE144">
        <v>49.359999999999992</v>
      </c>
      <c r="CF144">
        <v>28.160000000000007</v>
      </c>
      <c r="CG144">
        <v>8.7199999999999989</v>
      </c>
      <c r="CH144">
        <v>-4.04</v>
      </c>
      <c r="CI144">
        <v>16.52</v>
      </c>
      <c r="CJ144">
        <v>8</v>
      </c>
      <c r="CK144">
        <v>5.7408000000000019</v>
      </c>
      <c r="CL144">
        <v>0.92008000000000034</v>
      </c>
      <c r="CM144">
        <v>19.440000000000008</v>
      </c>
      <c r="CN144">
        <v>-5.740800000000001</v>
      </c>
      <c r="CO144">
        <v>0.83150000000000002</v>
      </c>
      <c r="CP144">
        <v>1.1120000000000005</v>
      </c>
      <c r="CQ144">
        <v>12.479999999999999</v>
      </c>
      <c r="CR144">
        <v>0.75759999999999983</v>
      </c>
      <c r="CS144">
        <v>13.36</v>
      </c>
      <c r="CT144">
        <v>-1.6800000000000002</v>
      </c>
      <c r="CU144">
        <v>-8.0000000000000127E-2</v>
      </c>
      <c r="CV144">
        <v>1.2281333333333331</v>
      </c>
      <c r="CW144">
        <v>-0.93223333333333325</v>
      </c>
      <c r="CX144" t="s">
        <v>295</v>
      </c>
      <c r="CY144">
        <v>27</v>
      </c>
      <c r="CZ144">
        <v>9.1039999999999992</v>
      </c>
      <c r="DA144">
        <v>30</v>
      </c>
      <c r="DB144">
        <v>28</v>
      </c>
      <c r="DC144">
        <v>28</v>
      </c>
      <c r="DD144">
        <v>1.8079999999999994</v>
      </c>
      <c r="DE144">
        <v>28</v>
      </c>
      <c r="DF144">
        <v>1.3600000000000008</v>
      </c>
      <c r="DG144">
        <v>-0.20000000000000009</v>
      </c>
      <c r="DH144">
        <v>28</v>
      </c>
      <c r="DI144">
        <v>25.5</v>
      </c>
      <c r="DJ144">
        <v>30</v>
      </c>
      <c r="DK144">
        <v>1.8439999999999999</v>
      </c>
      <c r="DL144">
        <v>21</v>
      </c>
      <c r="DM144">
        <v>8.6399999999999988</v>
      </c>
      <c r="DN144">
        <v>0.27999999999999997</v>
      </c>
      <c r="DO144">
        <v>22</v>
      </c>
      <c r="DP144">
        <v>18.5</v>
      </c>
      <c r="DQ144">
        <v>21</v>
      </c>
      <c r="DR144">
        <v>1.2400000000000007</v>
      </c>
      <c r="DS144">
        <v>16</v>
      </c>
      <c r="DT144">
        <v>9.9199999999999982</v>
      </c>
      <c r="DU144">
        <v>-4.0000000000000036E-2</v>
      </c>
      <c r="DV144">
        <v>9</v>
      </c>
      <c r="DW144">
        <v>10</v>
      </c>
      <c r="DX144">
        <v>9</v>
      </c>
      <c r="DY144">
        <v>9.2520000000000007</v>
      </c>
      <c r="DZ144">
        <v>11</v>
      </c>
      <c r="EA144">
        <v>39.679999999999993</v>
      </c>
      <c r="EB144">
        <v>-0.51999999999999991</v>
      </c>
      <c r="EC144">
        <v>17</v>
      </c>
      <c r="ED144">
        <v>26.5</v>
      </c>
      <c r="EE144">
        <v>29</v>
      </c>
      <c r="EF144">
        <v>6.3999999999999974E-2</v>
      </c>
      <c r="EG144">
        <v>24</v>
      </c>
      <c r="EH144">
        <v>4.4400000000000013</v>
      </c>
      <c r="EI144">
        <v>-3.9999999999999945E-2</v>
      </c>
      <c r="EJ144">
        <v>10</v>
      </c>
      <c r="EK144">
        <v>11.5</v>
      </c>
      <c r="EL144">
        <v>14</v>
      </c>
      <c r="EM144">
        <v>0.4880000000000006</v>
      </c>
      <c r="EN144">
        <v>9</v>
      </c>
      <c r="EO144">
        <v>-10.320000000000002</v>
      </c>
      <c r="EP144">
        <v>-1</v>
      </c>
      <c r="EQ144">
        <v>29</v>
      </c>
      <c r="ER144">
        <v>26.5</v>
      </c>
      <c r="ES144">
        <v>30</v>
      </c>
      <c r="ET144">
        <v>0.87599999999999978</v>
      </c>
      <c r="EU144">
        <v>23</v>
      </c>
      <c r="EV144">
        <v>-9.5599999999999987</v>
      </c>
      <c r="EW144">
        <v>-0.59999999999999987</v>
      </c>
      <c r="EX144">
        <v>17</v>
      </c>
      <c r="EY144">
        <v>14.5</v>
      </c>
      <c r="EZ144">
        <v>14</v>
      </c>
      <c r="FA144">
        <v>2.92</v>
      </c>
      <c r="FB144">
        <v>15</v>
      </c>
      <c r="FC144">
        <v>-3.9999999999999994E-2</v>
      </c>
      <c r="FD144">
        <v>2.5199999999999996</v>
      </c>
      <c r="FE144">
        <v>19</v>
      </c>
      <c r="FF144">
        <v>16.5</v>
      </c>
      <c r="FG144">
        <v>10</v>
      </c>
      <c r="FH144">
        <v>-0.10455144616674801</v>
      </c>
      <c r="FI144">
        <v>20</v>
      </c>
      <c r="FJ144">
        <v>-5.5735340818474963E-2</v>
      </c>
      <c r="FK144">
        <v>25</v>
      </c>
      <c r="FL144">
        <v>9.5039999999999996</v>
      </c>
      <c r="FM144">
        <v>11</v>
      </c>
      <c r="FN144">
        <v>-8.32</v>
      </c>
      <c r="FO144">
        <v>-1.2000000000000015</v>
      </c>
      <c r="FP144">
        <v>4.5999999999999996</v>
      </c>
      <c r="FQ144">
        <v>-0.24000000000000005</v>
      </c>
      <c r="FR144">
        <v>0.43999999999999917</v>
      </c>
      <c r="FS144">
        <v>9.8000000000000007</v>
      </c>
      <c r="FT144">
        <v>1.8800000000000001</v>
      </c>
      <c r="FU144">
        <v>51.48</v>
      </c>
      <c r="FV144">
        <v>48.2</v>
      </c>
      <c r="FW144">
        <v>8.6400000000000041</v>
      </c>
      <c r="FX144">
        <v>-3.9199999999999995</v>
      </c>
      <c r="FY144">
        <v>-1.4399999999999995</v>
      </c>
      <c r="FZ144">
        <v>4</v>
      </c>
      <c r="GA144">
        <v>5.452</v>
      </c>
      <c r="GB144">
        <v>2.281200000000001</v>
      </c>
      <c r="GC144">
        <v>39.56</v>
      </c>
      <c r="GD144">
        <v>-5.452</v>
      </c>
      <c r="GE144">
        <v>3.3884999999999996</v>
      </c>
      <c r="GF144">
        <v>10.556000000000001</v>
      </c>
      <c r="GG144">
        <v>54.039999999999992</v>
      </c>
      <c r="GH144">
        <v>3.6519999999999992</v>
      </c>
      <c r="GI144">
        <v>10</v>
      </c>
      <c r="GJ144">
        <v>-1.1999999999999997</v>
      </c>
      <c r="GK144">
        <v>7.9999999999999877E-2</v>
      </c>
    </row>
    <row r="145" spans="1:193" x14ac:dyDescent="0.2">
      <c r="A145" s="39">
        <v>43765</v>
      </c>
      <c r="B145" s="22" t="s">
        <v>248</v>
      </c>
      <c r="C145" s="41" t="s">
        <v>284</v>
      </c>
      <c r="D145" s="23" t="s">
        <v>310</v>
      </c>
      <c r="E145">
        <v>45.8</v>
      </c>
      <c r="F145">
        <v>10.3</v>
      </c>
      <c r="G145">
        <v>0</v>
      </c>
      <c r="H145">
        <v>6.2</v>
      </c>
      <c r="I145">
        <v>2</v>
      </c>
      <c r="J145">
        <v>45.5</v>
      </c>
      <c r="L145" s="1" t="s">
        <v>284</v>
      </c>
      <c r="M145">
        <v>2</v>
      </c>
      <c r="N145">
        <v>6.8551999999999991</v>
      </c>
      <c r="O145">
        <v>24</v>
      </c>
      <c r="P145">
        <v>22.5</v>
      </c>
      <c r="Q145">
        <v>20</v>
      </c>
      <c r="R145">
        <v>-5.8600000000000012</v>
      </c>
      <c r="S145">
        <v>25</v>
      </c>
      <c r="T145">
        <v>-17.000000000000004</v>
      </c>
      <c r="U145">
        <v>-2.3199999999999998</v>
      </c>
      <c r="V145">
        <v>20</v>
      </c>
      <c r="W145">
        <v>18.5</v>
      </c>
      <c r="X145">
        <v>12</v>
      </c>
      <c r="Y145">
        <v>0.60799999999999987</v>
      </c>
      <c r="Z145">
        <v>25</v>
      </c>
      <c r="AA145">
        <v>7.919999999999999</v>
      </c>
      <c r="AB145">
        <v>-0.44000000000000006</v>
      </c>
      <c r="AC145">
        <v>24</v>
      </c>
      <c r="AD145">
        <v>22.5</v>
      </c>
      <c r="AE145">
        <v>26</v>
      </c>
      <c r="AF145">
        <v>11.795999999999998</v>
      </c>
      <c r="AG145">
        <v>19</v>
      </c>
      <c r="AH145">
        <v>48.48</v>
      </c>
      <c r="AI145">
        <v>2.4</v>
      </c>
      <c r="AJ145">
        <v>2</v>
      </c>
      <c r="AK145">
        <v>3</v>
      </c>
      <c r="AL145">
        <v>3</v>
      </c>
      <c r="AM145">
        <v>12.664</v>
      </c>
      <c r="AN145">
        <v>3</v>
      </c>
      <c r="AO145">
        <v>52.6</v>
      </c>
      <c r="AP145">
        <v>3.3199999999999994</v>
      </c>
      <c r="AQ145">
        <v>4</v>
      </c>
      <c r="AR145">
        <v>4.5</v>
      </c>
      <c r="AS145">
        <v>5</v>
      </c>
      <c r="AT145">
        <v>-1.6599999999999995</v>
      </c>
      <c r="AU145">
        <v>4</v>
      </c>
      <c r="AV145">
        <v>-10.6</v>
      </c>
      <c r="AW145">
        <v>0.32000000000000012</v>
      </c>
      <c r="AX145">
        <v>6</v>
      </c>
      <c r="AY145">
        <v>5.5</v>
      </c>
      <c r="AZ145">
        <v>6</v>
      </c>
      <c r="BA145">
        <v>6.363999999999999</v>
      </c>
      <c r="BB145">
        <v>5</v>
      </c>
      <c r="BC145">
        <v>33.799999999999997</v>
      </c>
      <c r="BD145">
        <v>-4.04</v>
      </c>
      <c r="BE145">
        <v>20</v>
      </c>
      <c r="BF145">
        <v>22</v>
      </c>
      <c r="BG145">
        <v>22</v>
      </c>
      <c r="BH145">
        <v>0.63599999999999979</v>
      </c>
      <c r="BI145">
        <v>3.4400000000000004</v>
      </c>
      <c r="BJ145">
        <v>0.36</v>
      </c>
      <c r="BK145">
        <v>18</v>
      </c>
      <c r="BL145">
        <v>17.5</v>
      </c>
      <c r="BM145">
        <v>16</v>
      </c>
      <c r="BN145">
        <v>2.96</v>
      </c>
      <c r="BO145">
        <v>19</v>
      </c>
      <c r="BP145">
        <v>0.51999999999999991</v>
      </c>
      <c r="BQ145">
        <v>-2.7600000000000007</v>
      </c>
      <c r="BR145">
        <v>14</v>
      </c>
      <c r="BS145">
        <v>14</v>
      </c>
      <c r="BT145">
        <v>29</v>
      </c>
      <c r="BU145">
        <v>2.8462332955277735E-2</v>
      </c>
      <c r="BV145">
        <v>22</v>
      </c>
      <c r="BW145">
        <v>2.1739908498920164E-2</v>
      </c>
      <c r="BX145">
        <v>1</v>
      </c>
      <c r="BY145">
        <v>7.2119999999999989</v>
      </c>
      <c r="BZ145">
        <v>4</v>
      </c>
      <c r="CA145">
        <v>0.4799999999999997</v>
      </c>
      <c r="CB145">
        <v>5.76</v>
      </c>
      <c r="CC145">
        <v>9.2799999999999994</v>
      </c>
      <c r="CD145">
        <v>0.19999999999999982</v>
      </c>
      <c r="CE145">
        <v>67.47999999999999</v>
      </c>
      <c r="CF145">
        <v>76.47999999999999</v>
      </c>
      <c r="CG145">
        <v>-10.919999999999998</v>
      </c>
      <c r="CH145">
        <v>2.2400000000000002</v>
      </c>
      <c r="CI145">
        <v>-0.31999999999999995</v>
      </c>
      <c r="CJ145">
        <v>2</v>
      </c>
      <c r="CK145">
        <v>12.107199999999999</v>
      </c>
      <c r="CL145">
        <v>8.6842400000000008</v>
      </c>
      <c r="CM145">
        <v>87.399999999999991</v>
      </c>
      <c r="CN145">
        <v>-12.107200000000001</v>
      </c>
      <c r="CO145">
        <v>3.4998999999999993</v>
      </c>
      <c r="CP145">
        <v>22.799999999999997</v>
      </c>
      <c r="CQ145">
        <v>90.48</v>
      </c>
      <c r="CR145">
        <v>-5.2520000000000016</v>
      </c>
      <c r="CS145">
        <v>-9.0800000000000054</v>
      </c>
      <c r="CT145">
        <v>6.3999999999999995</v>
      </c>
      <c r="CU145">
        <v>-2.76</v>
      </c>
      <c r="CV145">
        <v>1.7466499999999998</v>
      </c>
      <c r="CW145">
        <v>4.1190499999999997</v>
      </c>
      <c r="CX145" t="s">
        <v>310</v>
      </c>
      <c r="CY145">
        <v>11</v>
      </c>
      <c r="CZ145">
        <v>-0.26200000000000079</v>
      </c>
      <c r="DA145">
        <v>7</v>
      </c>
      <c r="DB145">
        <v>10</v>
      </c>
      <c r="DC145">
        <v>13</v>
      </c>
      <c r="DD145">
        <v>-3.3679999999999999</v>
      </c>
      <c r="DE145">
        <v>7</v>
      </c>
      <c r="DF145">
        <v>-16.04</v>
      </c>
      <c r="DG145">
        <v>0.72</v>
      </c>
      <c r="DH145">
        <v>23</v>
      </c>
      <c r="DI145">
        <v>19.5</v>
      </c>
      <c r="DJ145">
        <v>22</v>
      </c>
      <c r="DK145">
        <v>3.2280000000000002</v>
      </c>
      <c r="DL145">
        <v>17</v>
      </c>
      <c r="DM145">
        <v>-8.84</v>
      </c>
      <c r="DN145">
        <v>1.08</v>
      </c>
      <c r="DO145">
        <v>3</v>
      </c>
      <c r="DP145">
        <v>1.5</v>
      </c>
      <c r="DQ145">
        <v>2</v>
      </c>
      <c r="DR145">
        <v>-5.9520000000000008</v>
      </c>
      <c r="DS145">
        <v>1</v>
      </c>
      <c r="DT145">
        <v>-24.359999999999996</v>
      </c>
      <c r="DU145">
        <v>-1.8399999999999994</v>
      </c>
      <c r="DV145">
        <v>11</v>
      </c>
      <c r="DW145">
        <v>13</v>
      </c>
      <c r="DX145">
        <v>14</v>
      </c>
      <c r="DY145">
        <v>-2.7519999999999998</v>
      </c>
      <c r="DZ145">
        <v>12</v>
      </c>
      <c r="EA145">
        <v>-14.439999999999998</v>
      </c>
      <c r="EB145">
        <v>-1.8799999999999997</v>
      </c>
      <c r="EC145">
        <v>28</v>
      </c>
      <c r="ED145">
        <v>30</v>
      </c>
      <c r="EE145">
        <v>30</v>
      </c>
      <c r="EF145">
        <v>1.2600000000000005</v>
      </c>
      <c r="EG145">
        <v>30</v>
      </c>
      <c r="EH145">
        <v>9.0400000000000009</v>
      </c>
      <c r="EI145">
        <v>0</v>
      </c>
      <c r="EJ145">
        <v>6</v>
      </c>
      <c r="EK145">
        <v>5.5</v>
      </c>
      <c r="EL145">
        <v>6</v>
      </c>
      <c r="EM145">
        <v>-2.8359999999999994</v>
      </c>
      <c r="EN145">
        <v>5</v>
      </c>
      <c r="EO145">
        <v>-1.1600000000000008</v>
      </c>
      <c r="EP145">
        <v>0.80000000000000038</v>
      </c>
      <c r="EQ145">
        <v>6</v>
      </c>
      <c r="ER145">
        <v>8</v>
      </c>
      <c r="ES145">
        <v>7</v>
      </c>
      <c r="ET145">
        <v>2.2800000000000002</v>
      </c>
      <c r="EU145">
        <v>9</v>
      </c>
      <c r="EV145">
        <v>11.52</v>
      </c>
      <c r="EW145">
        <v>1.48</v>
      </c>
      <c r="EX145">
        <v>3</v>
      </c>
      <c r="EY145">
        <v>3.5</v>
      </c>
      <c r="EZ145">
        <v>6</v>
      </c>
      <c r="FA145">
        <v>0.56000000000000028</v>
      </c>
      <c r="FB145">
        <v>1</v>
      </c>
      <c r="FC145">
        <v>-0.19999999999999996</v>
      </c>
      <c r="FD145">
        <v>3.96</v>
      </c>
      <c r="FE145">
        <v>15</v>
      </c>
      <c r="FF145">
        <v>15.75</v>
      </c>
      <c r="FG145">
        <v>16</v>
      </c>
      <c r="FH145">
        <v>-3.4823897882496159E-2</v>
      </c>
      <c r="FI145">
        <v>21</v>
      </c>
      <c r="FJ145">
        <v>-1.6006916114496356E-2</v>
      </c>
      <c r="FK145">
        <v>13</v>
      </c>
      <c r="FL145">
        <v>-3.3200000000000047</v>
      </c>
      <c r="FM145">
        <v>13</v>
      </c>
      <c r="FN145">
        <v>-3.08</v>
      </c>
      <c r="FO145">
        <v>0.92000000000000026</v>
      </c>
      <c r="FP145">
        <v>-3.2800000000000002</v>
      </c>
      <c r="FQ145">
        <v>0.96000000000000019</v>
      </c>
      <c r="FR145">
        <v>-1.7200000000000002</v>
      </c>
      <c r="FS145">
        <v>-2.72</v>
      </c>
      <c r="FT145">
        <v>-0.83999999999999986</v>
      </c>
      <c r="FU145">
        <v>-15.080000000000007</v>
      </c>
      <c r="FV145">
        <v>7.6400000000000032</v>
      </c>
      <c r="FW145">
        <v>-25.839999999999996</v>
      </c>
      <c r="FX145">
        <v>-0.44000000000000006</v>
      </c>
      <c r="FY145">
        <v>3.56</v>
      </c>
      <c r="FZ145">
        <v>16</v>
      </c>
      <c r="GA145">
        <v>-0.12200000000000122</v>
      </c>
      <c r="GB145">
        <v>-1.0152000000000001</v>
      </c>
      <c r="GC145">
        <v>33.479999999999997</v>
      </c>
      <c r="GD145">
        <v>0.12200000000000111</v>
      </c>
      <c r="GE145">
        <v>-0.62575000000000003</v>
      </c>
      <c r="GF145">
        <v>-7.444</v>
      </c>
      <c r="GG145">
        <v>-29.759999999999998</v>
      </c>
      <c r="GH145">
        <v>-0.13999999999999968</v>
      </c>
      <c r="GI145">
        <v>-24.88</v>
      </c>
      <c r="GJ145">
        <v>-2.2399999999999989</v>
      </c>
      <c r="GK145">
        <v>1.8</v>
      </c>
    </row>
    <row r="146" spans="1:193" x14ac:dyDescent="0.2">
      <c r="A146" s="39">
        <v>43765</v>
      </c>
      <c r="B146" s="22" t="s">
        <v>248</v>
      </c>
      <c r="C146" s="41" t="s">
        <v>310</v>
      </c>
      <c r="D146" s="22" t="s">
        <v>284</v>
      </c>
      <c r="E146">
        <v>2.9</v>
      </c>
      <c r="F146">
        <v>9.1</v>
      </c>
      <c r="G146">
        <v>10.8</v>
      </c>
      <c r="H146">
        <f>19.8+7.3</f>
        <v>27.1</v>
      </c>
      <c r="I146">
        <v>-2</v>
      </c>
      <c r="J146">
        <v>45.5</v>
      </c>
      <c r="L146" s="1" t="s">
        <v>310</v>
      </c>
      <c r="M146">
        <v>23</v>
      </c>
      <c r="N146">
        <v>-2.0020000000000002</v>
      </c>
      <c r="O146">
        <v>1</v>
      </c>
      <c r="P146">
        <v>1.5</v>
      </c>
      <c r="Q146">
        <v>2</v>
      </c>
      <c r="R146">
        <v>-4.1639999999999997</v>
      </c>
      <c r="S146">
        <v>1</v>
      </c>
      <c r="T146">
        <v>4.6000000000000014</v>
      </c>
      <c r="U146">
        <v>-1.8800000000000001</v>
      </c>
      <c r="V146">
        <v>29</v>
      </c>
      <c r="W146">
        <v>29</v>
      </c>
      <c r="X146">
        <v>29</v>
      </c>
      <c r="Y146">
        <v>-4.04</v>
      </c>
      <c r="Z146">
        <v>29</v>
      </c>
      <c r="AA146">
        <v>-21.959999999999997</v>
      </c>
      <c r="AB146">
        <v>-3.9999999999999994E-2</v>
      </c>
      <c r="AC146">
        <v>28</v>
      </c>
      <c r="AD146">
        <v>27.5</v>
      </c>
      <c r="AE146">
        <v>28</v>
      </c>
      <c r="AF146">
        <v>0.96799999999999975</v>
      </c>
      <c r="AG146">
        <v>27</v>
      </c>
      <c r="AH146">
        <v>1.2800000000000011</v>
      </c>
      <c r="AI146">
        <v>-1.4</v>
      </c>
      <c r="AJ146">
        <v>28</v>
      </c>
      <c r="AK146">
        <v>27.5</v>
      </c>
      <c r="AL146">
        <v>28</v>
      </c>
      <c r="AM146">
        <v>1.0039999999999993</v>
      </c>
      <c r="AN146">
        <v>27</v>
      </c>
      <c r="AO146">
        <v>6.3600000000000012</v>
      </c>
      <c r="AP146">
        <v>-8.0000000000000071E-2</v>
      </c>
      <c r="AQ146">
        <v>15</v>
      </c>
      <c r="AR146">
        <v>15</v>
      </c>
      <c r="AS146">
        <v>12</v>
      </c>
      <c r="AT146">
        <v>-1.2959999999999998</v>
      </c>
      <c r="AU146">
        <v>18</v>
      </c>
      <c r="AV146">
        <v>-10.080000000000002</v>
      </c>
      <c r="AW146">
        <v>-0.52000000000000013</v>
      </c>
      <c r="AX146">
        <v>20</v>
      </c>
      <c r="AY146">
        <v>20</v>
      </c>
      <c r="AZ146">
        <v>22</v>
      </c>
      <c r="BA146">
        <v>-0.15599999999999986</v>
      </c>
      <c r="BB146">
        <v>18</v>
      </c>
      <c r="BC146">
        <v>5.2399999999999993</v>
      </c>
      <c r="BD146">
        <v>1.4000000000000004</v>
      </c>
      <c r="BE146">
        <v>14</v>
      </c>
      <c r="BF146">
        <v>13.5</v>
      </c>
      <c r="BG146">
        <v>15</v>
      </c>
      <c r="BH146">
        <v>0.42800000000000049</v>
      </c>
      <c r="BI146">
        <v>22.68</v>
      </c>
      <c r="BJ146">
        <v>1.2</v>
      </c>
      <c r="BK146">
        <v>29</v>
      </c>
      <c r="BL146">
        <v>29</v>
      </c>
      <c r="BM146">
        <v>28</v>
      </c>
      <c r="BN146">
        <v>-4.08</v>
      </c>
      <c r="BO146">
        <v>30</v>
      </c>
      <c r="BP146">
        <v>-0.68</v>
      </c>
      <c r="BQ146">
        <v>-3.4799999999999995</v>
      </c>
      <c r="BR146">
        <v>25</v>
      </c>
      <c r="BS146">
        <v>21</v>
      </c>
      <c r="BT146">
        <v>27</v>
      </c>
      <c r="BU146">
        <v>5.8830122368742519E-3</v>
      </c>
      <c r="BV146">
        <v>2</v>
      </c>
      <c r="BW146">
        <v>5.5526763606842756E-2</v>
      </c>
      <c r="BX146">
        <v>30</v>
      </c>
      <c r="BY146">
        <v>3.1960000000000006</v>
      </c>
      <c r="BZ146">
        <v>25</v>
      </c>
      <c r="CA146">
        <v>4.3600000000000003</v>
      </c>
      <c r="CB146">
        <v>0.88000000000000111</v>
      </c>
      <c r="CC146">
        <v>-6.24</v>
      </c>
      <c r="CD146">
        <v>-1.9599999999999997</v>
      </c>
      <c r="CE146">
        <v>-14.960000000000003</v>
      </c>
      <c r="CF146">
        <v>1.5199999999999989</v>
      </c>
      <c r="CG146">
        <v>-18.599999999999998</v>
      </c>
      <c r="CH146">
        <v>-2.96</v>
      </c>
      <c r="CI146">
        <v>5.08</v>
      </c>
      <c r="CJ146">
        <v>7</v>
      </c>
      <c r="CK146">
        <v>6.202</v>
      </c>
      <c r="CL146">
        <v>3.9224000000000001</v>
      </c>
      <c r="CM146">
        <v>20.119999999999997</v>
      </c>
      <c r="CN146">
        <v>-6.202</v>
      </c>
      <c r="CO146">
        <v>-1.6477499999999998</v>
      </c>
      <c r="CP146">
        <v>0.67599999999999927</v>
      </c>
      <c r="CQ146">
        <v>-2.4399999999999995</v>
      </c>
      <c r="CR146">
        <v>-8.2040000000000006</v>
      </c>
      <c r="CS146">
        <v>-17.359999999999996</v>
      </c>
      <c r="CT146">
        <v>-0.8</v>
      </c>
      <c r="CU146">
        <v>-1.9200000000000002</v>
      </c>
      <c r="CV146">
        <v>1.7466499999999998</v>
      </c>
      <c r="CW146">
        <v>-0.62575000000000003</v>
      </c>
      <c r="CX146" t="s">
        <v>284</v>
      </c>
      <c r="CY146">
        <v>4</v>
      </c>
      <c r="CZ146">
        <v>9.8824000000000005</v>
      </c>
      <c r="DA146">
        <v>25</v>
      </c>
      <c r="DB146">
        <v>23.5</v>
      </c>
      <c r="DC146">
        <v>24</v>
      </c>
      <c r="DD146">
        <v>-2.3110000000000008</v>
      </c>
      <c r="DE146">
        <v>23</v>
      </c>
      <c r="DF146">
        <v>-26.75</v>
      </c>
      <c r="DG146">
        <v>1.35</v>
      </c>
      <c r="DH146">
        <v>31</v>
      </c>
      <c r="DI146">
        <v>31</v>
      </c>
      <c r="DJ146">
        <v>31</v>
      </c>
      <c r="DK146">
        <v>-1.4950000000000001</v>
      </c>
      <c r="DL146">
        <v>31</v>
      </c>
      <c r="DM146">
        <v>-4.3999999999999995</v>
      </c>
      <c r="DN146">
        <v>-0.64999999999999991</v>
      </c>
      <c r="DO146">
        <v>9</v>
      </c>
      <c r="DP146">
        <v>6</v>
      </c>
      <c r="DQ146">
        <v>6</v>
      </c>
      <c r="DR146">
        <v>6.5920000000000014</v>
      </c>
      <c r="DS146">
        <v>6</v>
      </c>
      <c r="DT146">
        <v>19.32</v>
      </c>
      <c r="DU146">
        <v>1.8800000000000001</v>
      </c>
      <c r="DV146">
        <v>1</v>
      </c>
      <c r="DW146">
        <v>1.5</v>
      </c>
      <c r="DX146">
        <v>1</v>
      </c>
      <c r="DY146">
        <v>6.8079999999999998</v>
      </c>
      <c r="DZ146">
        <v>2</v>
      </c>
      <c r="EA146">
        <v>24.080000000000002</v>
      </c>
      <c r="EB146">
        <v>-0.24000000000000005</v>
      </c>
      <c r="EC146">
        <v>8</v>
      </c>
      <c r="ED146">
        <v>12.5</v>
      </c>
      <c r="EE146">
        <v>17</v>
      </c>
      <c r="EF146">
        <v>7.19999999999998E-2</v>
      </c>
      <c r="EG146">
        <v>8</v>
      </c>
      <c r="EH146">
        <v>-4.5199999999999996</v>
      </c>
      <c r="EI146">
        <v>0.52</v>
      </c>
      <c r="EJ146">
        <v>2</v>
      </c>
      <c r="EK146">
        <v>3.5</v>
      </c>
      <c r="EL146">
        <v>1</v>
      </c>
      <c r="EM146">
        <v>7.2279999999999998</v>
      </c>
      <c r="EN146">
        <v>6</v>
      </c>
      <c r="EO146">
        <v>31.879999999999995</v>
      </c>
      <c r="EP146">
        <v>3.9200000000000004</v>
      </c>
      <c r="EQ146">
        <v>21</v>
      </c>
      <c r="ER146">
        <v>20.5</v>
      </c>
      <c r="ES146">
        <v>15</v>
      </c>
      <c r="ET146">
        <v>9.0839999999999996</v>
      </c>
      <c r="EU146">
        <v>26</v>
      </c>
      <c r="EV146">
        <v>35.44</v>
      </c>
      <c r="EW146">
        <v>3.2800000000000002</v>
      </c>
      <c r="EX146">
        <v>16</v>
      </c>
      <c r="EY146">
        <v>14</v>
      </c>
      <c r="EZ146">
        <v>13</v>
      </c>
      <c r="FA146">
        <v>4.3199999999999994</v>
      </c>
      <c r="FB146">
        <v>15</v>
      </c>
      <c r="FC146">
        <v>0.36</v>
      </c>
      <c r="FD146">
        <v>0.31999999999999995</v>
      </c>
      <c r="FE146">
        <v>10</v>
      </c>
      <c r="FF146">
        <v>13.25</v>
      </c>
      <c r="FG146">
        <v>9</v>
      </c>
      <c r="FH146">
        <v>-2.0926775614072923E-2</v>
      </c>
      <c r="FI146">
        <v>26</v>
      </c>
      <c r="FJ146">
        <v>-1.8393524376987026E-2</v>
      </c>
      <c r="FK146">
        <v>6</v>
      </c>
      <c r="FL146">
        <v>17.839999999999996</v>
      </c>
      <c r="FM146">
        <v>12</v>
      </c>
      <c r="FN146">
        <v>-2.7600000000000007</v>
      </c>
      <c r="FO146">
        <v>5.2799999999999994</v>
      </c>
      <c r="FP146">
        <v>-3.9199999999999995</v>
      </c>
      <c r="FQ146">
        <v>0.24</v>
      </c>
      <c r="FR146">
        <v>2.3599999999999981</v>
      </c>
      <c r="FS146">
        <v>11.559999999999999</v>
      </c>
      <c r="FT146">
        <v>-1</v>
      </c>
      <c r="FU146">
        <v>37.520000000000003</v>
      </c>
      <c r="FV146">
        <v>74.240000000000009</v>
      </c>
      <c r="FW146">
        <v>-33.04</v>
      </c>
      <c r="FX146">
        <v>-0.15999999999999978</v>
      </c>
      <c r="FY146">
        <v>-3.5199999999999996</v>
      </c>
      <c r="FZ146">
        <v>1</v>
      </c>
      <c r="GA146">
        <v>13.688400000000001</v>
      </c>
      <c r="GB146">
        <v>8.3906799999999997</v>
      </c>
      <c r="GC146">
        <v>107.28</v>
      </c>
      <c r="GD146">
        <v>-13.688400000000001</v>
      </c>
      <c r="GE146">
        <v>4.1190499999999997</v>
      </c>
      <c r="GF146">
        <v>13.472000000000001</v>
      </c>
      <c r="GG146">
        <v>38.88000000000001</v>
      </c>
      <c r="GH146">
        <v>-3.8060000000000009</v>
      </c>
      <c r="GI146">
        <v>-31.15</v>
      </c>
      <c r="GJ146">
        <v>5.44</v>
      </c>
      <c r="GK146">
        <v>0.70000000000000018</v>
      </c>
    </row>
    <row r="147" spans="1:193" x14ac:dyDescent="0.2">
      <c r="A147" s="39">
        <v>43765</v>
      </c>
      <c r="B147" s="22" t="s">
        <v>248</v>
      </c>
      <c r="C147" s="41" t="s">
        <v>306</v>
      </c>
      <c r="D147" s="22" t="s">
        <v>312</v>
      </c>
      <c r="E147">
        <v>7.9</v>
      </c>
      <c r="F147" s="14">
        <v>6.4</v>
      </c>
      <c r="G147">
        <v>2.5</v>
      </c>
      <c r="H147">
        <v>5.5</v>
      </c>
      <c r="I147">
        <v>16.5</v>
      </c>
      <c r="J147">
        <v>42</v>
      </c>
      <c r="L147" s="1" t="s">
        <v>306</v>
      </c>
      <c r="M147">
        <v>27</v>
      </c>
      <c r="N147">
        <v>-3.4840000000000004</v>
      </c>
      <c r="O147">
        <v>9</v>
      </c>
      <c r="P147">
        <v>9</v>
      </c>
      <c r="Q147">
        <v>11</v>
      </c>
      <c r="R147">
        <v>-8.8879999999999999</v>
      </c>
      <c r="S147">
        <v>7</v>
      </c>
      <c r="T147">
        <v>-19.96</v>
      </c>
      <c r="U147">
        <v>-2.2000000000000002</v>
      </c>
      <c r="V147">
        <v>19</v>
      </c>
      <c r="W147">
        <v>18</v>
      </c>
      <c r="X147">
        <v>25</v>
      </c>
      <c r="Y147">
        <v>2.1060000000000003</v>
      </c>
      <c r="Z147">
        <v>11</v>
      </c>
      <c r="AA147">
        <v>-0.24000000000000057</v>
      </c>
      <c r="AB147">
        <v>1.8800000000000001</v>
      </c>
      <c r="AC147">
        <v>29</v>
      </c>
      <c r="AD147">
        <v>29</v>
      </c>
      <c r="AE147">
        <v>29</v>
      </c>
      <c r="AF147">
        <v>-3.1539999999999995</v>
      </c>
      <c r="AG147">
        <v>29</v>
      </c>
      <c r="AH147">
        <v>-18.21</v>
      </c>
      <c r="AI147">
        <v>-1.77</v>
      </c>
      <c r="AJ147">
        <v>28</v>
      </c>
      <c r="AK147">
        <v>27.5</v>
      </c>
      <c r="AL147">
        <v>30</v>
      </c>
      <c r="AM147">
        <v>-2.2199999999999998</v>
      </c>
      <c r="AN147">
        <v>25</v>
      </c>
      <c r="AO147">
        <v>-15.319999999999999</v>
      </c>
      <c r="AP147">
        <v>-1.39</v>
      </c>
      <c r="AQ147">
        <v>30</v>
      </c>
      <c r="AR147">
        <v>29.5</v>
      </c>
      <c r="AS147">
        <v>31</v>
      </c>
      <c r="AT147">
        <v>-0.25900000000000001</v>
      </c>
      <c r="AU147">
        <v>28</v>
      </c>
      <c r="AV147">
        <v>-4.2099999999999991</v>
      </c>
      <c r="AW147">
        <v>-9.9999999999998753E-3</v>
      </c>
      <c r="AX147">
        <v>30</v>
      </c>
      <c r="AY147">
        <v>30</v>
      </c>
      <c r="AZ147">
        <v>30</v>
      </c>
      <c r="BA147">
        <v>-1.8239999999999994</v>
      </c>
      <c r="BB147">
        <v>30</v>
      </c>
      <c r="BC147">
        <v>-14.079999999999998</v>
      </c>
      <c r="BD147">
        <v>-5.16</v>
      </c>
      <c r="BE147">
        <v>31</v>
      </c>
      <c r="BF147">
        <v>30</v>
      </c>
      <c r="BG147">
        <v>31</v>
      </c>
      <c r="BH147">
        <v>-1.4480000000000002</v>
      </c>
      <c r="BI147">
        <v>-6.4800000000000013</v>
      </c>
      <c r="BJ147">
        <v>0</v>
      </c>
      <c r="BK147">
        <v>1</v>
      </c>
      <c r="BL147">
        <v>1</v>
      </c>
      <c r="BM147">
        <v>1</v>
      </c>
      <c r="BN147">
        <v>-3.7600000000000002</v>
      </c>
      <c r="BO147">
        <v>1</v>
      </c>
      <c r="BP147">
        <v>-0.51999999999999991</v>
      </c>
      <c r="BQ147">
        <v>-1.8</v>
      </c>
      <c r="BR147">
        <v>1</v>
      </c>
      <c r="BS147">
        <v>5.25</v>
      </c>
      <c r="BT147">
        <v>9</v>
      </c>
      <c r="BU147">
        <v>-2.0538882432292117E-2</v>
      </c>
      <c r="BV147">
        <v>1</v>
      </c>
      <c r="BW147">
        <v>2.6175491257688942E-2</v>
      </c>
      <c r="BX147">
        <v>2</v>
      </c>
      <c r="BY147">
        <v>-1.6400000000000006</v>
      </c>
      <c r="BZ147">
        <v>9</v>
      </c>
      <c r="CA147">
        <v>3.4400000000000004</v>
      </c>
      <c r="CB147">
        <v>-5.12</v>
      </c>
      <c r="CC147">
        <v>-7.5200000000000014</v>
      </c>
      <c r="CD147">
        <v>-1.92</v>
      </c>
      <c r="CE147">
        <v>-45</v>
      </c>
      <c r="CF147">
        <v>-34.68</v>
      </c>
      <c r="CG147">
        <v>-19.48</v>
      </c>
      <c r="CH147">
        <v>7.6399999999999988</v>
      </c>
      <c r="CI147">
        <v>1.52</v>
      </c>
      <c r="CJ147">
        <v>14</v>
      </c>
      <c r="CK147">
        <v>3.2979999999999996</v>
      </c>
      <c r="CL147">
        <v>1.2779999999999996</v>
      </c>
      <c r="CM147">
        <v>-15.2</v>
      </c>
      <c r="CN147">
        <v>-3.2979999999999996</v>
      </c>
      <c r="CO147">
        <v>-2.6383750000000004</v>
      </c>
      <c r="CP147">
        <v>-5.6329999999999991</v>
      </c>
      <c r="CQ147">
        <v>-37.74</v>
      </c>
      <c r="CR147">
        <v>-6.782</v>
      </c>
      <c r="CS147">
        <v>-20.200000000000003</v>
      </c>
      <c r="CT147">
        <v>-3.17</v>
      </c>
      <c r="CU147">
        <v>-0.32000000000000006</v>
      </c>
      <c r="CV147">
        <v>0.31806250000000003</v>
      </c>
      <c r="CW147">
        <v>0.26592500000000024</v>
      </c>
      <c r="CX147" t="s">
        <v>312</v>
      </c>
      <c r="CY147">
        <v>7</v>
      </c>
      <c r="CZ147">
        <v>1.6936</v>
      </c>
      <c r="DA147">
        <v>22</v>
      </c>
      <c r="DB147">
        <v>21.5</v>
      </c>
      <c r="DC147">
        <v>22</v>
      </c>
      <c r="DD147">
        <v>-6.543000000000001</v>
      </c>
      <c r="DE147">
        <v>21</v>
      </c>
      <c r="DF147">
        <v>-14.35</v>
      </c>
      <c r="DG147">
        <v>-0.26000000000000006</v>
      </c>
      <c r="DH147">
        <v>8</v>
      </c>
      <c r="DI147">
        <v>11</v>
      </c>
      <c r="DJ147">
        <v>9</v>
      </c>
      <c r="DK147">
        <v>2.6829999999999998</v>
      </c>
      <c r="DL147">
        <v>13</v>
      </c>
      <c r="DM147">
        <v>-2.419999999999999</v>
      </c>
      <c r="DN147">
        <v>0.20999999999999996</v>
      </c>
      <c r="DO147">
        <v>6</v>
      </c>
      <c r="DP147">
        <v>14.5</v>
      </c>
      <c r="DQ147">
        <v>15</v>
      </c>
      <c r="DR147">
        <v>-3.4279999999999995</v>
      </c>
      <c r="DS147">
        <v>14</v>
      </c>
      <c r="DT147">
        <v>-14.2</v>
      </c>
      <c r="DU147">
        <v>-1.2399999999999998</v>
      </c>
      <c r="DV147">
        <v>4</v>
      </c>
      <c r="DW147">
        <v>5</v>
      </c>
      <c r="DX147">
        <v>3</v>
      </c>
      <c r="DY147">
        <v>3.4959999999999996</v>
      </c>
      <c r="DZ147">
        <v>7</v>
      </c>
      <c r="EA147">
        <v>-1.9999999999999987</v>
      </c>
      <c r="EB147">
        <v>1.5599999999999998</v>
      </c>
      <c r="EC147">
        <v>3</v>
      </c>
      <c r="ED147">
        <v>1</v>
      </c>
      <c r="EE147">
        <v>1</v>
      </c>
      <c r="EF147">
        <v>5.3319999999999999</v>
      </c>
      <c r="EG147">
        <v>1</v>
      </c>
      <c r="EH147">
        <v>18.68</v>
      </c>
      <c r="EI147">
        <v>2.3600000000000003</v>
      </c>
      <c r="EJ147">
        <v>13</v>
      </c>
      <c r="EK147">
        <v>12.5</v>
      </c>
      <c r="EL147">
        <v>13</v>
      </c>
      <c r="EM147">
        <v>-2.7320000000000007</v>
      </c>
      <c r="EN147">
        <v>12</v>
      </c>
      <c r="EO147">
        <v>-15.719999999999999</v>
      </c>
      <c r="EP147">
        <v>0.44000000000000022</v>
      </c>
      <c r="EQ147">
        <v>18</v>
      </c>
      <c r="ER147">
        <v>16</v>
      </c>
      <c r="ES147">
        <v>20</v>
      </c>
      <c r="ET147">
        <v>0.2879999999999997</v>
      </c>
      <c r="EU147">
        <v>12</v>
      </c>
      <c r="EV147">
        <v>8.16</v>
      </c>
      <c r="EW147">
        <v>3.3200000000000003</v>
      </c>
      <c r="EX147">
        <v>11</v>
      </c>
      <c r="EY147">
        <v>12</v>
      </c>
      <c r="EZ147">
        <v>11</v>
      </c>
      <c r="FA147">
        <v>-0.55999999999999994</v>
      </c>
      <c r="FB147">
        <v>13</v>
      </c>
      <c r="FC147">
        <v>3.9999999999999994E-2</v>
      </c>
      <c r="FD147">
        <v>-4.5200000000000005</v>
      </c>
      <c r="FE147">
        <v>7</v>
      </c>
      <c r="FF147">
        <v>12.25</v>
      </c>
      <c r="FG147">
        <v>19</v>
      </c>
      <c r="FH147">
        <v>1.8834216370345824E-2</v>
      </c>
      <c r="FI147">
        <v>13</v>
      </c>
      <c r="FJ147">
        <v>4.111114625563024E-3</v>
      </c>
      <c r="FK147">
        <v>1</v>
      </c>
      <c r="FL147">
        <v>-5.2439999999999971</v>
      </c>
      <c r="FM147">
        <v>16</v>
      </c>
      <c r="FN147">
        <v>-1.0399999999999998</v>
      </c>
      <c r="FO147">
        <v>4.1999999999999984</v>
      </c>
      <c r="FP147">
        <v>-2.7199999999999989</v>
      </c>
      <c r="FQ147">
        <v>-0.36</v>
      </c>
      <c r="FR147">
        <v>1.6799999999999984</v>
      </c>
      <c r="FS147">
        <v>-2.6399999999999997</v>
      </c>
      <c r="FT147">
        <v>-2.8000000000000003</v>
      </c>
      <c r="FU147">
        <v>-8</v>
      </c>
      <c r="FV147">
        <v>14.039999999999992</v>
      </c>
      <c r="FW147">
        <v>-15.320000000000002</v>
      </c>
      <c r="FX147">
        <v>-4.5200000000000005</v>
      </c>
      <c r="FY147">
        <v>-2.2000000000000002</v>
      </c>
      <c r="FZ147">
        <v>3</v>
      </c>
      <c r="GA147">
        <v>5.5536000000000012</v>
      </c>
      <c r="GB147">
        <v>3.4063200000000005</v>
      </c>
      <c r="GC147">
        <v>29.359999999999992</v>
      </c>
      <c r="GD147">
        <v>-5.5536000000000012</v>
      </c>
      <c r="GE147">
        <v>0.37019999999999986</v>
      </c>
      <c r="GF147">
        <v>5.4</v>
      </c>
      <c r="GG147">
        <v>2.4800000000000004</v>
      </c>
      <c r="GH147">
        <v>-3.8600000000000012</v>
      </c>
      <c r="GI147">
        <v>-16.77</v>
      </c>
      <c r="GJ147">
        <v>6.0000000000000009</v>
      </c>
      <c r="GK147">
        <v>-5.00000000000001E-2</v>
      </c>
    </row>
    <row r="148" spans="1:193" x14ac:dyDescent="0.2">
      <c r="A148" s="39">
        <v>43772</v>
      </c>
      <c r="B148" s="22" t="s">
        <v>246</v>
      </c>
      <c r="C148" s="41" t="s">
        <v>285</v>
      </c>
      <c r="D148" s="22" t="s">
        <v>256</v>
      </c>
      <c r="E148">
        <v>7.8</v>
      </c>
      <c r="F148">
        <v>3.6</v>
      </c>
      <c r="G148">
        <v>15.8</v>
      </c>
      <c r="H148">
        <v>3.8</v>
      </c>
      <c r="I148">
        <v>10.5</v>
      </c>
      <c r="J148">
        <v>43.5</v>
      </c>
      <c r="L148" s="1" t="s">
        <v>285</v>
      </c>
      <c r="M148">
        <v>25</v>
      </c>
      <c r="N148">
        <v>-2.7752000000000008</v>
      </c>
      <c r="O148">
        <v>24</v>
      </c>
      <c r="P148">
        <v>22.5</v>
      </c>
      <c r="Q148">
        <v>22</v>
      </c>
      <c r="R148">
        <v>4.67</v>
      </c>
      <c r="S148">
        <v>23</v>
      </c>
      <c r="T148">
        <v>-4.4000000000000012</v>
      </c>
      <c r="U148">
        <v>1.2600000000000002</v>
      </c>
      <c r="V148">
        <v>29</v>
      </c>
      <c r="W148">
        <v>29</v>
      </c>
      <c r="X148">
        <v>30</v>
      </c>
      <c r="Y148">
        <v>0.3373999999999997</v>
      </c>
      <c r="Z148">
        <v>28</v>
      </c>
      <c r="AA148">
        <v>3.25</v>
      </c>
      <c r="AB148">
        <v>-0.8899999999999999</v>
      </c>
      <c r="AC148">
        <v>27</v>
      </c>
      <c r="AD148">
        <v>26.5</v>
      </c>
      <c r="AE148">
        <v>27</v>
      </c>
      <c r="AF148">
        <v>-7.4520000000000008</v>
      </c>
      <c r="AG148">
        <v>26</v>
      </c>
      <c r="AH148">
        <v>-33.200000000000003</v>
      </c>
      <c r="AI148">
        <v>-2</v>
      </c>
      <c r="AJ148">
        <v>7</v>
      </c>
      <c r="AK148">
        <v>8</v>
      </c>
      <c r="AL148">
        <v>6</v>
      </c>
      <c r="AM148">
        <v>-2.7839999999999998</v>
      </c>
      <c r="AN148">
        <v>10</v>
      </c>
      <c r="AO148">
        <v>-7.8800000000000008</v>
      </c>
      <c r="AP148">
        <v>0.4</v>
      </c>
      <c r="AQ148">
        <v>11</v>
      </c>
      <c r="AR148">
        <v>10.5</v>
      </c>
      <c r="AS148">
        <v>9</v>
      </c>
      <c r="AT148">
        <v>-1.5520000000000003</v>
      </c>
      <c r="AU148">
        <v>12</v>
      </c>
      <c r="AV148">
        <v>-11.04</v>
      </c>
      <c r="AW148">
        <v>-0.40000000000000008</v>
      </c>
      <c r="AX148">
        <v>16</v>
      </c>
      <c r="AY148">
        <v>16</v>
      </c>
      <c r="AZ148">
        <v>18</v>
      </c>
      <c r="BA148">
        <v>-0.66400000000000003</v>
      </c>
      <c r="BB148">
        <v>14</v>
      </c>
      <c r="BC148">
        <v>-3.6799999999999984</v>
      </c>
      <c r="BD148">
        <v>-3.2800000000000011</v>
      </c>
      <c r="BE148">
        <v>24</v>
      </c>
      <c r="BF148">
        <v>23.5</v>
      </c>
      <c r="BG148">
        <v>29</v>
      </c>
      <c r="BH148">
        <v>-1.5400000000000005</v>
      </c>
      <c r="BI148">
        <v>-5.0000000000000018</v>
      </c>
      <c r="BJ148">
        <v>-1.92</v>
      </c>
      <c r="BK148">
        <v>21</v>
      </c>
      <c r="BL148">
        <v>20</v>
      </c>
      <c r="BM148">
        <v>17</v>
      </c>
      <c r="BN148">
        <v>0.72000000000000008</v>
      </c>
      <c r="BO148">
        <v>23</v>
      </c>
      <c r="BP148">
        <v>0.83999999999999986</v>
      </c>
      <c r="BQ148">
        <v>-5.04</v>
      </c>
      <c r="BR148">
        <v>9</v>
      </c>
      <c r="BS148">
        <v>12.25</v>
      </c>
      <c r="BT148">
        <v>20</v>
      </c>
      <c r="BU148">
        <v>-5.8818242040862376E-2</v>
      </c>
      <c r="BV148">
        <v>7</v>
      </c>
      <c r="BW148">
        <v>4.7430882321975124E-3</v>
      </c>
      <c r="BX148">
        <v>4</v>
      </c>
      <c r="BY148">
        <v>-4.9480000000000004</v>
      </c>
      <c r="BZ148">
        <v>18</v>
      </c>
      <c r="CA148">
        <v>0.67999999999999994</v>
      </c>
      <c r="CB148">
        <v>-1.3599999999999981</v>
      </c>
      <c r="CC148">
        <v>-0.88000000000000078</v>
      </c>
      <c r="CD148">
        <v>-2.6</v>
      </c>
      <c r="CE148">
        <v>-17.120000000000005</v>
      </c>
      <c r="CF148">
        <v>-31.080000000000005</v>
      </c>
      <c r="CG148">
        <v>-1.4399999999999977</v>
      </c>
      <c r="CH148">
        <v>3.5200000000000005</v>
      </c>
      <c r="CI148">
        <v>11.88</v>
      </c>
      <c r="CJ148">
        <v>29</v>
      </c>
      <c r="CK148">
        <v>-7.7826000000000004</v>
      </c>
      <c r="CL148">
        <v>-5.7243399999999998</v>
      </c>
      <c r="CM148">
        <v>-29.640000000000008</v>
      </c>
      <c r="CN148">
        <v>7.7826000000000004</v>
      </c>
      <c r="CO148">
        <v>-1.2969750000000002</v>
      </c>
      <c r="CP148">
        <v>-11.788</v>
      </c>
      <c r="CQ148">
        <v>-52.120000000000005</v>
      </c>
      <c r="CR148">
        <v>5.0073999999999996</v>
      </c>
      <c r="CS148">
        <v>-1.1500000000000012</v>
      </c>
      <c r="CT148">
        <v>-3.92</v>
      </c>
      <c r="CU148">
        <v>0.37000000000000033</v>
      </c>
      <c r="CV148">
        <v>-1.5024875</v>
      </c>
      <c r="CW148">
        <v>1.5286500000000005</v>
      </c>
      <c r="CX148" t="s">
        <v>256</v>
      </c>
      <c r="CY148">
        <v>22</v>
      </c>
      <c r="CZ148">
        <v>-7.652000000000001</v>
      </c>
      <c r="DA148">
        <v>14</v>
      </c>
      <c r="DB148">
        <v>16</v>
      </c>
      <c r="DC148">
        <v>22</v>
      </c>
      <c r="DD148">
        <v>-4.8950000000000014</v>
      </c>
      <c r="DE148">
        <v>10</v>
      </c>
      <c r="DF148">
        <v>6.65</v>
      </c>
      <c r="DG148">
        <v>-2.2400000000000002</v>
      </c>
      <c r="DH148">
        <v>32</v>
      </c>
      <c r="DI148">
        <v>32</v>
      </c>
      <c r="DJ148">
        <v>32</v>
      </c>
      <c r="DK148">
        <v>-2.8940000000000006</v>
      </c>
      <c r="DL148">
        <v>32</v>
      </c>
      <c r="DM148">
        <v>-6.81</v>
      </c>
      <c r="DN148">
        <v>-0.62</v>
      </c>
      <c r="DO148">
        <v>28</v>
      </c>
      <c r="DP148">
        <v>26.5</v>
      </c>
      <c r="DQ148">
        <v>23</v>
      </c>
      <c r="DR148">
        <v>-6.9080000000000013</v>
      </c>
      <c r="DS148">
        <v>30</v>
      </c>
      <c r="DT148">
        <v>-36.56</v>
      </c>
      <c r="DU148">
        <v>-2.2000000000000002</v>
      </c>
      <c r="DV148">
        <v>31</v>
      </c>
      <c r="DW148">
        <v>30.5</v>
      </c>
      <c r="DX148">
        <v>32</v>
      </c>
      <c r="DY148">
        <v>-3.5720000000000001</v>
      </c>
      <c r="DZ148">
        <v>29</v>
      </c>
      <c r="EA148">
        <v>-18.919999999999998</v>
      </c>
      <c r="EB148">
        <v>-0.7200000000000002</v>
      </c>
      <c r="EC148">
        <v>7</v>
      </c>
      <c r="ED148">
        <v>14</v>
      </c>
      <c r="EE148">
        <v>12</v>
      </c>
      <c r="EF148">
        <v>0.19999999999999973</v>
      </c>
      <c r="EG148">
        <v>16</v>
      </c>
      <c r="EH148">
        <v>0.47999999999999898</v>
      </c>
      <c r="EI148">
        <v>-1.52</v>
      </c>
      <c r="EJ148">
        <v>27</v>
      </c>
      <c r="EK148">
        <v>27</v>
      </c>
      <c r="EL148">
        <v>26</v>
      </c>
      <c r="EM148">
        <v>-11.528</v>
      </c>
      <c r="EN148">
        <v>28</v>
      </c>
      <c r="EO148">
        <v>-56.48</v>
      </c>
      <c r="EP148">
        <v>-4.5600000000000005</v>
      </c>
      <c r="EQ148">
        <v>22</v>
      </c>
      <c r="ER148">
        <v>23.5</v>
      </c>
      <c r="ES148">
        <v>19</v>
      </c>
      <c r="ET148">
        <v>-5.2279999999999998</v>
      </c>
      <c r="EU148">
        <v>28</v>
      </c>
      <c r="EV148">
        <v>-25.879999999999995</v>
      </c>
      <c r="EW148">
        <v>-1.6</v>
      </c>
      <c r="EX148">
        <v>18</v>
      </c>
      <c r="EY148">
        <v>20</v>
      </c>
      <c r="EZ148">
        <v>22</v>
      </c>
      <c r="FA148">
        <v>-5.32</v>
      </c>
      <c r="FB148">
        <v>18</v>
      </c>
      <c r="FC148">
        <v>-1.44</v>
      </c>
      <c r="FD148">
        <v>-3.56</v>
      </c>
      <c r="FE148">
        <v>13</v>
      </c>
      <c r="FF148">
        <v>14.75</v>
      </c>
      <c r="FG148">
        <v>23</v>
      </c>
      <c r="FH148">
        <v>5.882043592723242E-2</v>
      </c>
      <c r="FI148">
        <v>8</v>
      </c>
      <c r="FJ148">
        <v>7.723412502438616E-2</v>
      </c>
      <c r="FK148">
        <v>24</v>
      </c>
      <c r="FL148">
        <v>0.42400000000000232</v>
      </c>
      <c r="FM148">
        <v>4</v>
      </c>
      <c r="FN148">
        <v>4.32</v>
      </c>
      <c r="FO148">
        <v>-8.0400000000000009</v>
      </c>
      <c r="FP148">
        <v>-2</v>
      </c>
      <c r="FQ148">
        <v>-1.52</v>
      </c>
      <c r="FR148">
        <v>-9.8000000000000007</v>
      </c>
      <c r="FS148">
        <v>-10.360000000000001</v>
      </c>
      <c r="FT148">
        <v>-0.51999999999999991</v>
      </c>
      <c r="FU148">
        <v>-97.11999999999999</v>
      </c>
      <c r="FV148">
        <v>-95.12</v>
      </c>
      <c r="FW148">
        <v>3.0400000000000005</v>
      </c>
      <c r="FX148">
        <v>1.0800000000000005</v>
      </c>
      <c r="FY148">
        <v>-6.12</v>
      </c>
      <c r="FZ148">
        <v>20</v>
      </c>
      <c r="GA148">
        <v>0.1370000000000009</v>
      </c>
      <c r="GB148">
        <v>-0.73749999999999982</v>
      </c>
      <c r="GC148">
        <v>-98.160000000000011</v>
      </c>
      <c r="GD148">
        <v>-0.13700000000000045</v>
      </c>
      <c r="GE148">
        <v>-4.5336250000000007</v>
      </c>
      <c r="GF148">
        <v>-10.280000000000001</v>
      </c>
      <c r="GG148">
        <v>-55.000000000000007</v>
      </c>
      <c r="GH148">
        <v>-7.7890000000000015</v>
      </c>
      <c r="GI148">
        <v>-0.15999999999999925</v>
      </c>
      <c r="GJ148">
        <v>-6.0400000000000009</v>
      </c>
      <c r="GK148">
        <v>-2.8600000000000003</v>
      </c>
    </row>
    <row r="149" spans="1:193" x14ac:dyDescent="0.2">
      <c r="A149" s="39">
        <v>43772</v>
      </c>
      <c r="B149" s="22" t="s">
        <v>246</v>
      </c>
      <c r="C149" s="41" t="s">
        <v>305</v>
      </c>
      <c r="D149" s="22" t="s">
        <v>302</v>
      </c>
      <c r="E149">
        <v>7.8</v>
      </c>
      <c r="F149">
        <v>3.5</v>
      </c>
      <c r="G149">
        <v>0</v>
      </c>
      <c r="H149">
        <f>13.7+4.1+3.5</f>
        <v>21.299999999999997</v>
      </c>
      <c r="I149">
        <v>3</v>
      </c>
      <c r="J149">
        <v>44.5</v>
      </c>
      <c r="L149" s="1" t="s">
        <v>305</v>
      </c>
      <c r="M149">
        <v>1</v>
      </c>
      <c r="N149">
        <v>7.6088000000000022</v>
      </c>
      <c r="O149">
        <v>4</v>
      </c>
      <c r="P149">
        <v>6.5</v>
      </c>
      <c r="Q149">
        <v>4</v>
      </c>
      <c r="R149">
        <v>-1.8440000000000005</v>
      </c>
      <c r="S149">
        <v>9</v>
      </c>
      <c r="T149">
        <v>-3.6</v>
      </c>
      <c r="U149">
        <v>-1.2</v>
      </c>
      <c r="V149">
        <v>5</v>
      </c>
      <c r="W149">
        <v>8</v>
      </c>
      <c r="X149">
        <v>14</v>
      </c>
      <c r="Y149">
        <v>-2.3856000000000011</v>
      </c>
      <c r="Z149">
        <v>2</v>
      </c>
      <c r="AA149">
        <v>6.2800000000000011</v>
      </c>
      <c r="AB149">
        <v>-2.2000000000000002</v>
      </c>
      <c r="AC149">
        <v>26</v>
      </c>
      <c r="AD149">
        <v>25</v>
      </c>
      <c r="AE149">
        <v>22</v>
      </c>
      <c r="AF149">
        <v>-3.8666666666666658</v>
      </c>
      <c r="AG149">
        <v>28</v>
      </c>
      <c r="AH149">
        <v>-21.2</v>
      </c>
      <c r="AI149">
        <v>-1.5999999999999999</v>
      </c>
      <c r="AJ149">
        <v>25</v>
      </c>
      <c r="AK149">
        <v>26</v>
      </c>
      <c r="AL149">
        <v>24</v>
      </c>
      <c r="AM149">
        <v>0.55333333333333368</v>
      </c>
      <c r="AN149">
        <v>28</v>
      </c>
      <c r="AO149">
        <v>-1.0666666666666675</v>
      </c>
      <c r="AP149">
        <v>-3.2666666666666662</v>
      </c>
      <c r="AQ149">
        <v>31</v>
      </c>
      <c r="AR149">
        <v>30</v>
      </c>
      <c r="AS149">
        <v>29</v>
      </c>
      <c r="AT149">
        <v>-2.5333333333333337</v>
      </c>
      <c r="AU149">
        <v>31</v>
      </c>
      <c r="AV149">
        <v>-7.3333333333333321</v>
      </c>
      <c r="AW149">
        <v>-2.1333333333333333</v>
      </c>
      <c r="AX149">
        <v>10</v>
      </c>
      <c r="AY149">
        <v>11</v>
      </c>
      <c r="AZ149">
        <v>5</v>
      </c>
      <c r="BA149">
        <v>5.4999999999999956</v>
      </c>
      <c r="BB149">
        <v>17</v>
      </c>
      <c r="BC149">
        <v>13.000000000000002</v>
      </c>
      <c r="BD149">
        <v>1.0666666666666667</v>
      </c>
      <c r="BE149">
        <v>2</v>
      </c>
      <c r="BF149">
        <v>2</v>
      </c>
      <c r="BG149">
        <v>2</v>
      </c>
      <c r="BH149">
        <v>5.8479999999999981</v>
      </c>
      <c r="BI149">
        <v>28</v>
      </c>
      <c r="BJ149">
        <v>5.56</v>
      </c>
      <c r="BK149">
        <v>8</v>
      </c>
      <c r="BL149">
        <v>8.5</v>
      </c>
      <c r="BM149">
        <v>2</v>
      </c>
      <c r="BN149">
        <v>3.72</v>
      </c>
      <c r="BO149">
        <v>15</v>
      </c>
      <c r="BP149">
        <v>0.24000000000000013</v>
      </c>
      <c r="BQ149">
        <v>0.80000000000000038</v>
      </c>
      <c r="BR149">
        <v>31</v>
      </c>
      <c r="BS149">
        <v>29.25</v>
      </c>
      <c r="BT149">
        <v>27</v>
      </c>
      <c r="BU149">
        <v>-2.9471632578081476E-2</v>
      </c>
      <c r="BV149">
        <v>31</v>
      </c>
      <c r="BW149">
        <v>-2.9897145400756163E-3</v>
      </c>
      <c r="BX149">
        <v>27</v>
      </c>
      <c r="BY149">
        <v>5.8520000000000039</v>
      </c>
      <c r="BZ149">
        <v>32</v>
      </c>
      <c r="CA149">
        <v>-3.5200000000000005</v>
      </c>
      <c r="CB149">
        <v>4.5999999999999996</v>
      </c>
      <c r="CC149">
        <v>5.0400000000000009</v>
      </c>
      <c r="CD149">
        <v>2.7199999999999993</v>
      </c>
      <c r="CE149">
        <v>16.120000000000005</v>
      </c>
      <c r="CF149">
        <v>-46.680000000000007</v>
      </c>
      <c r="CG149">
        <v>8.4</v>
      </c>
      <c r="CH149">
        <v>-8.76</v>
      </c>
      <c r="CI149">
        <v>63.160000000000004</v>
      </c>
      <c r="CJ149">
        <v>1</v>
      </c>
      <c r="CK149">
        <v>11.838400000000004</v>
      </c>
      <c r="CL149">
        <v>3.6368266666666673</v>
      </c>
      <c r="CM149">
        <v>-55.080000000000005</v>
      </c>
      <c r="CN149">
        <v>-11.838400000000004</v>
      </c>
      <c r="CO149">
        <v>0.88756666666666661</v>
      </c>
      <c r="CP149">
        <v>-5.8466666666666658</v>
      </c>
      <c r="CQ149">
        <v>-29.599999999999998</v>
      </c>
      <c r="CR149">
        <v>-4.2296000000000014</v>
      </c>
      <c r="CS149">
        <v>2.680000000000001</v>
      </c>
      <c r="CT149">
        <v>-1.4400000000000004</v>
      </c>
      <c r="CU149">
        <v>-3.4000000000000004</v>
      </c>
      <c r="CV149">
        <v>-0.99959999999999982</v>
      </c>
      <c r="CW149">
        <v>0.11270000000000036</v>
      </c>
      <c r="CX149" t="s">
        <v>302</v>
      </c>
      <c r="CY149">
        <v>28</v>
      </c>
      <c r="CZ149">
        <v>-5.1511999999999993</v>
      </c>
      <c r="DA149">
        <v>20</v>
      </c>
      <c r="DB149">
        <v>21</v>
      </c>
      <c r="DC149">
        <v>26</v>
      </c>
      <c r="DD149">
        <v>-5.7839999999999989</v>
      </c>
      <c r="DE149">
        <v>16</v>
      </c>
      <c r="DF149">
        <v>4.2799999999999994</v>
      </c>
      <c r="DG149">
        <v>-1.5599999999999998</v>
      </c>
      <c r="DH149">
        <v>19</v>
      </c>
      <c r="DI149">
        <v>17</v>
      </c>
      <c r="DJ149">
        <v>15</v>
      </c>
      <c r="DK149">
        <v>1.5200000000000002</v>
      </c>
      <c r="DL149">
        <v>19</v>
      </c>
      <c r="DM149">
        <v>-3.8800000000000003</v>
      </c>
      <c r="DN149">
        <v>1.6800000000000002</v>
      </c>
      <c r="DO149">
        <v>31</v>
      </c>
      <c r="DP149">
        <v>29</v>
      </c>
      <c r="DQ149">
        <v>30</v>
      </c>
      <c r="DR149">
        <v>0.19599999999999901</v>
      </c>
      <c r="DS149">
        <v>28</v>
      </c>
      <c r="DT149">
        <v>0.27999999999999686</v>
      </c>
      <c r="DU149">
        <v>0.55999999999999961</v>
      </c>
      <c r="DV149">
        <v>24</v>
      </c>
      <c r="DW149">
        <v>25</v>
      </c>
      <c r="DX149">
        <v>26</v>
      </c>
      <c r="DY149">
        <v>-1.6719999999999999</v>
      </c>
      <c r="DZ149">
        <v>24</v>
      </c>
      <c r="EA149">
        <v>-1.5200000000000002</v>
      </c>
      <c r="EB149">
        <v>2.3199999999999994</v>
      </c>
      <c r="EC149">
        <v>23</v>
      </c>
      <c r="ED149">
        <v>21</v>
      </c>
      <c r="EE149">
        <v>25</v>
      </c>
      <c r="EF149">
        <v>-1.488</v>
      </c>
      <c r="EG149">
        <v>17</v>
      </c>
      <c r="EH149">
        <v>-9.68</v>
      </c>
      <c r="EI149">
        <v>1.3199999999999998</v>
      </c>
      <c r="EJ149">
        <v>22</v>
      </c>
      <c r="EK149">
        <v>23</v>
      </c>
      <c r="EL149">
        <v>24</v>
      </c>
      <c r="EM149">
        <v>-0.74000000000000055</v>
      </c>
      <c r="EN149">
        <v>22</v>
      </c>
      <c r="EO149">
        <v>-4.5999999999999996</v>
      </c>
      <c r="EP149">
        <v>2.0800000000000005</v>
      </c>
      <c r="EQ149">
        <v>20</v>
      </c>
      <c r="ER149">
        <v>20</v>
      </c>
      <c r="ES149">
        <v>18</v>
      </c>
      <c r="ET149">
        <v>-2.8759999999999994</v>
      </c>
      <c r="EU149">
        <v>22</v>
      </c>
      <c r="EV149">
        <v>-6.9600000000000026</v>
      </c>
      <c r="EW149">
        <v>-1.4799999999999998</v>
      </c>
      <c r="EX149">
        <v>24</v>
      </c>
      <c r="EY149">
        <v>23</v>
      </c>
      <c r="EZ149">
        <v>24</v>
      </c>
      <c r="FA149">
        <v>-1.64</v>
      </c>
      <c r="FB149">
        <v>22</v>
      </c>
      <c r="FC149">
        <v>-0.48</v>
      </c>
      <c r="FD149">
        <v>-1.8400000000000003</v>
      </c>
      <c r="FE149">
        <v>5</v>
      </c>
      <c r="FF149">
        <v>9.75</v>
      </c>
      <c r="FG149">
        <v>1</v>
      </c>
      <c r="FH149">
        <v>7.322773101870142E-2</v>
      </c>
      <c r="FI149">
        <v>12</v>
      </c>
      <c r="FJ149">
        <v>-2.7425137223959645E-3</v>
      </c>
      <c r="FK149">
        <v>23</v>
      </c>
      <c r="FL149">
        <v>-7.903999999999999</v>
      </c>
      <c r="FM149">
        <v>3</v>
      </c>
      <c r="FN149">
        <v>9.4400000000000013</v>
      </c>
      <c r="FO149">
        <v>2.319999999999999</v>
      </c>
      <c r="FP149">
        <v>-1.9200000000000004</v>
      </c>
      <c r="FQ149">
        <v>-0.88000000000000012</v>
      </c>
      <c r="FR149">
        <v>-0.72000000000000031</v>
      </c>
      <c r="FS149">
        <v>-6.9599999999999991</v>
      </c>
      <c r="FT149">
        <v>0.2</v>
      </c>
      <c r="FU149">
        <v>-21.839999999999996</v>
      </c>
      <c r="FV149">
        <v>-31.8</v>
      </c>
      <c r="FW149">
        <v>4.0399999999999974</v>
      </c>
      <c r="FX149">
        <v>7.56</v>
      </c>
      <c r="FY149">
        <v>-1.6399999999999995</v>
      </c>
      <c r="FZ149">
        <v>22</v>
      </c>
      <c r="GA149">
        <v>-0.88720000000000065</v>
      </c>
      <c r="GB149">
        <v>-6.6240000000000521E-2</v>
      </c>
      <c r="GC149">
        <v>-35.839999999999996</v>
      </c>
      <c r="GD149">
        <v>0.88720000000000088</v>
      </c>
      <c r="GE149">
        <v>-2.1118999999999999</v>
      </c>
      <c r="GF149">
        <v>-2.9640000000000009</v>
      </c>
      <c r="GG149">
        <v>-10.920000000000003</v>
      </c>
      <c r="GH149">
        <v>-4.2639999999999985</v>
      </c>
      <c r="GI149">
        <v>0.39999999999999902</v>
      </c>
      <c r="GJ149">
        <v>2.7199999999999998</v>
      </c>
      <c r="GK149">
        <v>0.12000000000000033</v>
      </c>
    </row>
    <row r="150" spans="1:193" x14ac:dyDescent="0.2">
      <c r="A150" s="39">
        <v>43772</v>
      </c>
      <c r="B150" s="22" t="s">
        <v>246</v>
      </c>
      <c r="C150" s="41" t="s">
        <v>276</v>
      </c>
      <c r="D150" s="22" t="s">
        <v>306</v>
      </c>
      <c r="E150">
        <v>11.6</v>
      </c>
      <c r="F150">
        <v>9.3000000000000007</v>
      </c>
      <c r="G150">
        <v>4.2</v>
      </c>
      <c r="H150">
        <v>3.4</v>
      </c>
      <c r="I150">
        <v>-10.5</v>
      </c>
      <c r="J150">
        <v>37</v>
      </c>
      <c r="L150" s="1" t="s">
        <v>276</v>
      </c>
      <c r="M150">
        <v>9</v>
      </c>
      <c r="N150">
        <v>2.2383999999999999</v>
      </c>
      <c r="O150">
        <v>15</v>
      </c>
      <c r="P150">
        <v>16</v>
      </c>
      <c r="Q150">
        <v>21</v>
      </c>
      <c r="R150">
        <v>-3.0160000000000005</v>
      </c>
      <c r="S150">
        <v>11</v>
      </c>
      <c r="T150">
        <v>-2</v>
      </c>
      <c r="U150">
        <v>-1.6800000000000002</v>
      </c>
      <c r="V150">
        <v>15</v>
      </c>
      <c r="W150">
        <v>14.5</v>
      </c>
      <c r="X150">
        <v>20</v>
      </c>
      <c r="Y150">
        <v>-0.67599999999999949</v>
      </c>
      <c r="Z150">
        <v>9</v>
      </c>
      <c r="AA150">
        <v>1.2799999999999998</v>
      </c>
      <c r="AB150">
        <v>-0.8</v>
      </c>
      <c r="AC150">
        <v>21</v>
      </c>
      <c r="AD150">
        <v>19.5</v>
      </c>
      <c r="AE150">
        <v>14</v>
      </c>
      <c r="AF150">
        <v>-3.1920000000000011</v>
      </c>
      <c r="AG150">
        <v>25</v>
      </c>
      <c r="AH150">
        <v>-6.1600000000000019</v>
      </c>
      <c r="AI150">
        <v>0</v>
      </c>
      <c r="AJ150">
        <v>9</v>
      </c>
      <c r="AK150">
        <v>8.5</v>
      </c>
      <c r="AL150">
        <v>9</v>
      </c>
      <c r="AM150">
        <v>1.3680000000000005</v>
      </c>
      <c r="AN150">
        <v>8</v>
      </c>
      <c r="AO150">
        <v>-7.599999999999997</v>
      </c>
      <c r="AP150">
        <v>0.44000000000000011</v>
      </c>
      <c r="AQ150">
        <v>13</v>
      </c>
      <c r="AR150">
        <v>14.5</v>
      </c>
      <c r="AS150">
        <v>15</v>
      </c>
      <c r="AT150">
        <v>-0.46799999999999997</v>
      </c>
      <c r="AU150">
        <v>14</v>
      </c>
      <c r="AV150">
        <v>-0.80000000000000038</v>
      </c>
      <c r="AW150">
        <v>-0.4</v>
      </c>
      <c r="AX150">
        <v>23</v>
      </c>
      <c r="AY150">
        <v>22.5</v>
      </c>
      <c r="AZ150">
        <v>25</v>
      </c>
      <c r="BA150">
        <v>-0.48399999999999926</v>
      </c>
      <c r="BB150">
        <v>20</v>
      </c>
      <c r="BC150">
        <v>-3.6399999999999979</v>
      </c>
      <c r="BD150">
        <v>1.4800000000000002</v>
      </c>
      <c r="BE150">
        <v>29</v>
      </c>
      <c r="BF150">
        <v>28.5</v>
      </c>
      <c r="BG150">
        <v>30</v>
      </c>
      <c r="BH150">
        <v>-2.6759999999999997</v>
      </c>
      <c r="BI150">
        <v>-13.16</v>
      </c>
      <c r="BJ150">
        <v>-1.56</v>
      </c>
      <c r="BK150">
        <v>25</v>
      </c>
      <c r="BL150">
        <v>23</v>
      </c>
      <c r="BM150">
        <v>23</v>
      </c>
      <c r="BN150">
        <v>-2.04</v>
      </c>
      <c r="BO150">
        <v>23</v>
      </c>
      <c r="BP150">
        <v>-0.72</v>
      </c>
      <c r="BQ150">
        <v>-1.2799999999999998</v>
      </c>
      <c r="BR150">
        <v>24</v>
      </c>
      <c r="BS150">
        <v>20.75</v>
      </c>
      <c r="BT150">
        <v>25</v>
      </c>
      <c r="BU150">
        <v>-2.7702843592410785E-2</v>
      </c>
      <c r="BV150">
        <v>25</v>
      </c>
      <c r="BW150">
        <v>1.4178125094536198E-2</v>
      </c>
      <c r="BX150">
        <v>5</v>
      </c>
      <c r="BY150">
        <v>-24.352</v>
      </c>
      <c r="BZ150">
        <v>28</v>
      </c>
      <c r="CA150">
        <v>-0.79999999999999982</v>
      </c>
      <c r="CB150">
        <v>-2.319999999999999</v>
      </c>
      <c r="CC150">
        <v>-0.96000000000000052</v>
      </c>
      <c r="CD150">
        <v>0.48000000000000009</v>
      </c>
      <c r="CE150">
        <v>-28.320000000000004</v>
      </c>
      <c r="CF150">
        <v>-32.64</v>
      </c>
      <c r="CG150">
        <v>-3.6799999999999984</v>
      </c>
      <c r="CH150">
        <v>-5.0399999999999991</v>
      </c>
      <c r="CI150">
        <v>13.040000000000001</v>
      </c>
      <c r="CJ150">
        <v>8</v>
      </c>
      <c r="CK150">
        <v>5.9303999999999997</v>
      </c>
      <c r="CL150">
        <v>1.3000799999999999</v>
      </c>
      <c r="CM150">
        <v>-28.96</v>
      </c>
      <c r="CN150">
        <v>-5.9304000000000006</v>
      </c>
      <c r="CO150">
        <v>-1.0577000000000001</v>
      </c>
      <c r="CP150">
        <v>-2.2920000000000007</v>
      </c>
      <c r="CQ150">
        <v>-14.559999999999999</v>
      </c>
      <c r="CR150">
        <v>-3.6920000000000002</v>
      </c>
      <c r="CS150">
        <v>-0.7200000000000002</v>
      </c>
      <c r="CT150">
        <v>-1.52</v>
      </c>
      <c r="CU150">
        <v>-2.4800000000000004</v>
      </c>
      <c r="CV150">
        <v>-0.84267499999999973</v>
      </c>
      <c r="CW150">
        <v>-1.1100499999999998</v>
      </c>
      <c r="CX150" t="s">
        <v>306</v>
      </c>
      <c r="CY150">
        <v>22</v>
      </c>
      <c r="CZ150">
        <v>-3.2203999999999993</v>
      </c>
      <c r="DA150">
        <v>11</v>
      </c>
      <c r="DB150">
        <v>11</v>
      </c>
      <c r="DC150">
        <v>16</v>
      </c>
      <c r="DD150">
        <v>3.6760000000000006</v>
      </c>
      <c r="DE150">
        <v>6</v>
      </c>
      <c r="DF150">
        <v>7.76</v>
      </c>
      <c r="DG150">
        <v>1.6400000000000001</v>
      </c>
      <c r="DH150">
        <v>10</v>
      </c>
      <c r="DI150">
        <v>12.5</v>
      </c>
      <c r="DJ150">
        <v>16</v>
      </c>
      <c r="DK150">
        <v>-0.63599999999999945</v>
      </c>
      <c r="DL150">
        <v>9</v>
      </c>
      <c r="DM150">
        <v>10.36</v>
      </c>
      <c r="DN150">
        <v>1.04</v>
      </c>
      <c r="DO150">
        <v>13</v>
      </c>
      <c r="DP150">
        <v>12</v>
      </c>
      <c r="DQ150">
        <v>14</v>
      </c>
      <c r="DR150">
        <v>0.28400000000000036</v>
      </c>
      <c r="DS150">
        <v>10</v>
      </c>
      <c r="DT150">
        <v>15.2</v>
      </c>
      <c r="DU150">
        <v>-1.2000000000000004</v>
      </c>
      <c r="DV150">
        <v>26</v>
      </c>
      <c r="DW150">
        <v>26.5</v>
      </c>
      <c r="DX150">
        <v>23</v>
      </c>
      <c r="DY150">
        <v>-4.8140000000000009</v>
      </c>
      <c r="DZ150">
        <v>30</v>
      </c>
      <c r="EA150">
        <v>-17.419999999999998</v>
      </c>
      <c r="EB150">
        <v>-2.21</v>
      </c>
      <c r="EC150">
        <v>32</v>
      </c>
      <c r="ED150">
        <v>15</v>
      </c>
      <c r="EE150">
        <v>15</v>
      </c>
      <c r="EF150">
        <v>-3.0479999999999996</v>
      </c>
      <c r="EG150">
        <v>15</v>
      </c>
      <c r="EH150">
        <v>-17</v>
      </c>
      <c r="EI150">
        <v>-0.83999999999999986</v>
      </c>
      <c r="EJ150">
        <v>7</v>
      </c>
      <c r="EK150">
        <v>7.5</v>
      </c>
      <c r="EL150">
        <v>7</v>
      </c>
      <c r="EM150">
        <v>-1.423999999999999</v>
      </c>
      <c r="EN150">
        <v>8</v>
      </c>
      <c r="EO150">
        <v>12.32</v>
      </c>
      <c r="EP150">
        <v>-4.96</v>
      </c>
      <c r="EQ150">
        <v>10</v>
      </c>
      <c r="ER150">
        <v>10.5</v>
      </c>
      <c r="ES150">
        <v>6</v>
      </c>
      <c r="ET150">
        <v>0.51600000000000068</v>
      </c>
      <c r="EU150">
        <v>15</v>
      </c>
      <c r="EV150">
        <v>5.2800000000000011</v>
      </c>
      <c r="EW150">
        <v>1.6800000000000002</v>
      </c>
      <c r="EX150">
        <v>12</v>
      </c>
      <c r="EY150">
        <v>12.5</v>
      </c>
      <c r="EZ150">
        <v>12</v>
      </c>
      <c r="FA150">
        <v>2.64</v>
      </c>
      <c r="FB150">
        <v>13</v>
      </c>
      <c r="FC150">
        <v>0.64000000000000012</v>
      </c>
      <c r="FD150">
        <v>1.7200000000000002</v>
      </c>
      <c r="FE150">
        <v>3</v>
      </c>
      <c r="FF150">
        <v>8</v>
      </c>
      <c r="FG150">
        <v>13</v>
      </c>
      <c r="FH150">
        <v>-1.4308428241602745E-2</v>
      </c>
      <c r="FI150">
        <v>2</v>
      </c>
      <c r="FJ150">
        <v>4.1108550784361318E-3</v>
      </c>
      <c r="FK150">
        <v>9</v>
      </c>
      <c r="FL150">
        <v>9.4160000000000004</v>
      </c>
      <c r="FM150">
        <v>8</v>
      </c>
      <c r="FN150">
        <v>-0.23999999999999985</v>
      </c>
      <c r="FO150">
        <v>-1.2</v>
      </c>
      <c r="FP150">
        <v>4.16</v>
      </c>
      <c r="FQ150">
        <v>-0.52</v>
      </c>
      <c r="FR150">
        <v>2.4399999999999991</v>
      </c>
      <c r="FS150">
        <v>-2.9200000000000004</v>
      </c>
      <c r="FT150">
        <v>-0.8</v>
      </c>
      <c r="FU150">
        <v>19.439999999999998</v>
      </c>
      <c r="FV150">
        <v>-1.6400000000000035</v>
      </c>
      <c r="FW150">
        <v>16.080000000000005</v>
      </c>
      <c r="FX150">
        <v>-0.43999999999999984</v>
      </c>
      <c r="FY150">
        <v>5.44</v>
      </c>
      <c r="FZ150">
        <v>27</v>
      </c>
      <c r="GA150">
        <v>-6.2604000000000006</v>
      </c>
      <c r="GB150">
        <v>-3.5764800000000001</v>
      </c>
      <c r="GC150">
        <v>-17.72000000000001</v>
      </c>
      <c r="GD150">
        <v>6.2604000000000006</v>
      </c>
      <c r="GE150">
        <v>-0.5752999999999997</v>
      </c>
      <c r="GF150">
        <v>-7.5779999999999994</v>
      </c>
      <c r="GG150">
        <v>-19.22</v>
      </c>
      <c r="GH150">
        <v>3.0400000000000009</v>
      </c>
      <c r="GI150">
        <v>18.119999999999997</v>
      </c>
      <c r="GJ150">
        <v>-2.57</v>
      </c>
      <c r="GK150">
        <v>2.68</v>
      </c>
    </row>
    <row r="151" spans="1:193" x14ac:dyDescent="0.2">
      <c r="A151" s="39">
        <v>43772</v>
      </c>
      <c r="B151" s="22" t="s">
        <v>246</v>
      </c>
      <c r="C151" s="41" t="s">
        <v>301</v>
      </c>
      <c r="D151" s="22" t="s">
        <v>310</v>
      </c>
      <c r="E151">
        <v>20.100000000000001</v>
      </c>
      <c r="F151">
        <v>16.399999999999999</v>
      </c>
      <c r="G151">
        <v>0</v>
      </c>
      <c r="H151">
        <v>7</v>
      </c>
      <c r="I151">
        <v>-3.5</v>
      </c>
      <c r="J151">
        <v>43</v>
      </c>
      <c r="L151" s="1" t="s">
        <v>301</v>
      </c>
      <c r="M151">
        <v>32</v>
      </c>
      <c r="N151">
        <v>-8.0239999999999991</v>
      </c>
      <c r="O151">
        <v>2</v>
      </c>
      <c r="P151">
        <v>3</v>
      </c>
      <c r="Q151">
        <v>1</v>
      </c>
      <c r="R151">
        <v>19.591200000000001</v>
      </c>
      <c r="S151">
        <v>5</v>
      </c>
      <c r="T151">
        <v>53.720000000000006</v>
      </c>
      <c r="U151">
        <v>2.2799999999999998</v>
      </c>
      <c r="V151">
        <v>32</v>
      </c>
      <c r="W151">
        <v>31.5</v>
      </c>
      <c r="X151">
        <v>31</v>
      </c>
      <c r="Y151">
        <v>-2.34</v>
      </c>
      <c r="Z151">
        <v>32</v>
      </c>
      <c r="AA151">
        <v>1.3999999999999992</v>
      </c>
      <c r="AB151">
        <v>-1.52</v>
      </c>
      <c r="AC151">
        <v>7</v>
      </c>
      <c r="AD151">
        <v>6.5</v>
      </c>
      <c r="AE151">
        <v>7</v>
      </c>
      <c r="AF151">
        <v>-1.3160000000000007</v>
      </c>
      <c r="AG151">
        <v>6</v>
      </c>
      <c r="AH151">
        <v>3.6399999999999979</v>
      </c>
      <c r="AI151">
        <v>0.31999999999999995</v>
      </c>
      <c r="AJ151">
        <v>21</v>
      </c>
      <c r="AK151">
        <v>20.5</v>
      </c>
      <c r="AL151">
        <v>20</v>
      </c>
      <c r="AM151">
        <v>0.10399999999999957</v>
      </c>
      <c r="AN151">
        <v>21</v>
      </c>
      <c r="AO151">
        <v>-7.0399999999999991</v>
      </c>
      <c r="AP151">
        <v>1.04</v>
      </c>
      <c r="AQ151">
        <v>23</v>
      </c>
      <c r="AR151">
        <v>23.5</v>
      </c>
      <c r="AS151">
        <v>23</v>
      </c>
      <c r="AT151">
        <v>-3.3439999999999999</v>
      </c>
      <c r="AU151">
        <v>24</v>
      </c>
      <c r="AV151">
        <v>-16.920000000000002</v>
      </c>
      <c r="AW151">
        <v>0.15999999999999998</v>
      </c>
      <c r="AX151">
        <v>24</v>
      </c>
      <c r="AY151">
        <v>25</v>
      </c>
      <c r="AZ151">
        <v>23</v>
      </c>
      <c r="BA151">
        <v>-6.7480000000000002</v>
      </c>
      <c r="BB151">
        <v>27</v>
      </c>
      <c r="BC151">
        <v>-31.48</v>
      </c>
      <c r="BD151">
        <v>-2.08</v>
      </c>
      <c r="BE151">
        <v>20</v>
      </c>
      <c r="BF151">
        <v>22</v>
      </c>
      <c r="BG151">
        <v>20</v>
      </c>
      <c r="BH151">
        <v>-7.652000000000001</v>
      </c>
      <c r="BI151">
        <v>-24.520000000000003</v>
      </c>
      <c r="BJ151">
        <v>-2.56</v>
      </c>
      <c r="BK151">
        <v>32</v>
      </c>
      <c r="BL151">
        <v>31.5</v>
      </c>
      <c r="BM151">
        <v>32</v>
      </c>
      <c r="BN151">
        <v>1.4799999999999998</v>
      </c>
      <c r="BO151">
        <v>31</v>
      </c>
      <c r="BP151">
        <v>0.96000000000000019</v>
      </c>
      <c r="BQ151">
        <v>5.6</v>
      </c>
      <c r="BR151">
        <v>4</v>
      </c>
      <c r="BS151">
        <v>8.5</v>
      </c>
      <c r="BT151">
        <v>4</v>
      </c>
      <c r="BU151">
        <v>-4.5831716221445086E-2</v>
      </c>
      <c r="BV151">
        <v>6</v>
      </c>
      <c r="BW151">
        <v>2.0147274473730589E-2</v>
      </c>
      <c r="BX151">
        <v>17</v>
      </c>
      <c r="BY151">
        <v>-5.492</v>
      </c>
      <c r="BZ151">
        <v>7</v>
      </c>
      <c r="CA151">
        <v>-0.36000000000000032</v>
      </c>
      <c r="CB151">
        <v>3.3200000000000003</v>
      </c>
      <c r="CC151">
        <v>3.5199999999999996</v>
      </c>
      <c r="CD151">
        <v>1.0799999999999998</v>
      </c>
      <c r="CE151">
        <v>1.3199999999999874</v>
      </c>
      <c r="CF151">
        <v>-49.519999999999996</v>
      </c>
      <c r="CG151">
        <v>55.359999999999992</v>
      </c>
      <c r="CH151">
        <v>4.3600000000000003</v>
      </c>
      <c r="CI151">
        <v>-8.879999999999999</v>
      </c>
      <c r="CJ151">
        <v>32</v>
      </c>
      <c r="CK151">
        <v>-25.275200000000002</v>
      </c>
      <c r="CL151">
        <v>-12.672000000000001</v>
      </c>
      <c r="CM151">
        <v>-104.88</v>
      </c>
      <c r="CN151">
        <v>25.275199999999998</v>
      </c>
      <c r="CO151">
        <v>-0.18760000000000007</v>
      </c>
      <c r="CP151">
        <v>-4.5560000000000009</v>
      </c>
      <c r="CQ151">
        <v>-20.320000000000004</v>
      </c>
      <c r="CR151">
        <v>17.251200000000001</v>
      </c>
      <c r="CS151">
        <v>55.120000000000005</v>
      </c>
      <c r="CT151">
        <v>-1.0400000000000003</v>
      </c>
      <c r="CU151">
        <v>0.75999999999999979</v>
      </c>
      <c r="CV151">
        <v>-5.1324999999999926E-2</v>
      </c>
      <c r="CW151">
        <v>0.29580000000000012</v>
      </c>
      <c r="CX151" t="s">
        <v>310</v>
      </c>
      <c r="CY151">
        <v>11</v>
      </c>
      <c r="CZ151">
        <v>1.0044000000000017</v>
      </c>
      <c r="DA151">
        <v>7</v>
      </c>
      <c r="DB151">
        <v>10</v>
      </c>
      <c r="DC151">
        <v>13</v>
      </c>
      <c r="DD151">
        <v>-2.2719999999999998</v>
      </c>
      <c r="DE151">
        <v>7</v>
      </c>
      <c r="DF151">
        <v>-5.6800000000000015</v>
      </c>
      <c r="DG151">
        <v>0.60000000000000009</v>
      </c>
      <c r="DH151">
        <v>23</v>
      </c>
      <c r="DI151">
        <v>19.5</v>
      </c>
      <c r="DJ151">
        <v>22</v>
      </c>
      <c r="DK151">
        <v>2.48</v>
      </c>
      <c r="DL151">
        <v>17</v>
      </c>
      <c r="DM151">
        <v>-5.36</v>
      </c>
      <c r="DN151">
        <v>1.52</v>
      </c>
      <c r="DO151">
        <v>3</v>
      </c>
      <c r="DP151">
        <v>1.5</v>
      </c>
      <c r="DQ151">
        <v>2</v>
      </c>
      <c r="DR151">
        <v>0.63599999999999923</v>
      </c>
      <c r="DS151">
        <v>1</v>
      </c>
      <c r="DT151">
        <v>3.0000000000000013</v>
      </c>
      <c r="DU151">
        <v>-0.88000000000000012</v>
      </c>
      <c r="DV151">
        <v>11</v>
      </c>
      <c r="DW151">
        <v>13</v>
      </c>
      <c r="DX151">
        <v>14</v>
      </c>
      <c r="DY151">
        <v>-6.9360000000000017</v>
      </c>
      <c r="DZ151">
        <v>12</v>
      </c>
      <c r="EA151">
        <v>-32.559999999999995</v>
      </c>
      <c r="EB151">
        <v>-2.0400000000000005</v>
      </c>
      <c r="EC151">
        <v>28</v>
      </c>
      <c r="ED151">
        <v>30</v>
      </c>
      <c r="EE151">
        <v>30</v>
      </c>
      <c r="EF151">
        <v>0.74800000000000044</v>
      </c>
      <c r="EG151">
        <v>30</v>
      </c>
      <c r="EH151">
        <v>9.0400000000000009</v>
      </c>
      <c r="EI151">
        <v>0.31999999999999995</v>
      </c>
      <c r="EJ151">
        <v>6</v>
      </c>
      <c r="EK151">
        <v>5.5</v>
      </c>
      <c r="EL151">
        <v>6</v>
      </c>
      <c r="EM151">
        <v>-0.95600000000000063</v>
      </c>
      <c r="EN151">
        <v>5</v>
      </c>
      <c r="EO151">
        <v>8.0400000000000009</v>
      </c>
      <c r="EP151">
        <v>1.0800000000000005</v>
      </c>
      <c r="EQ151">
        <v>6</v>
      </c>
      <c r="ER151">
        <v>8</v>
      </c>
      <c r="ES151">
        <v>7</v>
      </c>
      <c r="ET151">
        <v>0.59199999999999997</v>
      </c>
      <c r="EU151">
        <v>9</v>
      </c>
      <c r="EV151">
        <v>7.839999999999999</v>
      </c>
      <c r="EW151">
        <v>1.2799999999999998</v>
      </c>
      <c r="EX151">
        <v>3</v>
      </c>
      <c r="EY151">
        <v>3.5</v>
      </c>
      <c r="EZ151">
        <v>6</v>
      </c>
      <c r="FA151">
        <v>0.55999999999999983</v>
      </c>
      <c r="FB151">
        <v>1</v>
      </c>
      <c r="FC151">
        <v>-8.0000000000000029E-2</v>
      </c>
      <c r="FD151">
        <v>2.48</v>
      </c>
      <c r="FE151">
        <v>15</v>
      </c>
      <c r="FF151">
        <v>15.75</v>
      </c>
      <c r="FG151">
        <v>16</v>
      </c>
      <c r="FH151">
        <v>1.4311507272322077E-2</v>
      </c>
      <c r="FI151">
        <v>21</v>
      </c>
      <c r="FJ151">
        <v>-9.4933580643614627E-3</v>
      </c>
      <c r="FK151">
        <v>13</v>
      </c>
      <c r="FL151">
        <v>-2.6120000000000045</v>
      </c>
      <c r="FM151">
        <v>13</v>
      </c>
      <c r="FN151">
        <v>-1.4</v>
      </c>
      <c r="FO151">
        <v>2.2800000000000011</v>
      </c>
      <c r="FP151">
        <v>-0.52000000000000024</v>
      </c>
      <c r="FQ151">
        <v>2.2000000000000002</v>
      </c>
      <c r="FR151">
        <v>4</v>
      </c>
      <c r="FS151">
        <v>-3.8800000000000012</v>
      </c>
      <c r="FT151">
        <v>-0.83999999999999986</v>
      </c>
      <c r="FU151">
        <v>11.360000000000003</v>
      </c>
      <c r="FV151">
        <v>14.6</v>
      </c>
      <c r="FW151">
        <v>-14.479999999999999</v>
      </c>
      <c r="FX151">
        <v>-0.59999999999999987</v>
      </c>
      <c r="FY151">
        <v>11.84</v>
      </c>
      <c r="FZ151">
        <v>18</v>
      </c>
      <c r="GA151">
        <v>0.79640000000000155</v>
      </c>
      <c r="GB151">
        <v>-0.89512000000000014</v>
      </c>
      <c r="GC151">
        <v>29.08</v>
      </c>
      <c r="GD151">
        <v>-0.79640000000000155</v>
      </c>
      <c r="GE151">
        <v>-0.39844999999999997</v>
      </c>
      <c r="GF151">
        <v>-5.5520000000000023</v>
      </c>
      <c r="GG151">
        <v>-20.519999999999996</v>
      </c>
      <c r="GH151">
        <v>0.20800000000000018</v>
      </c>
      <c r="GI151">
        <v>-11.040000000000003</v>
      </c>
      <c r="GJ151">
        <v>-1.3200000000000012</v>
      </c>
      <c r="GK151">
        <v>2.12</v>
      </c>
    </row>
    <row r="152" spans="1:193" x14ac:dyDescent="0.2">
      <c r="A152" s="39">
        <v>43772</v>
      </c>
      <c r="B152" s="22" t="s">
        <v>246</v>
      </c>
      <c r="C152" s="41" t="s">
        <v>265</v>
      </c>
      <c r="D152" s="22" t="s">
        <v>294</v>
      </c>
      <c r="E152">
        <v>1.6</v>
      </c>
      <c r="F152">
        <v>9.9</v>
      </c>
      <c r="G152">
        <v>1.5</v>
      </c>
      <c r="H152">
        <v>0</v>
      </c>
      <c r="I152">
        <v>5</v>
      </c>
      <c r="J152">
        <v>41</v>
      </c>
      <c r="L152" s="1" t="s">
        <v>265</v>
      </c>
      <c r="M152">
        <v>29</v>
      </c>
      <c r="N152">
        <v>-5.4992000000000019</v>
      </c>
      <c r="O152">
        <v>20</v>
      </c>
      <c r="P152">
        <v>21</v>
      </c>
      <c r="Q152">
        <v>23</v>
      </c>
      <c r="R152">
        <v>0.51399999999999935</v>
      </c>
      <c r="S152">
        <v>19</v>
      </c>
      <c r="T152">
        <v>-1.5599999999999994</v>
      </c>
      <c r="U152">
        <v>-0.54</v>
      </c>
      <c r="V152">
        <v>13</v>
      </c>
      <c r="W152">
        <v>13.5</v>
      </c>
      <c r="X152">
        <v>7</v>
      </c>
      <c r="Y152">
        <v>1.6070000000000004</v>
      </c>
      <c r="Z152">
        <v>20</v>
      </c>
      <c r="AA152">
        <v>-9.6699999999999982</v>
      </c>
      <c r="AB152">
        <v>3.71</v>
      </c>
      <c r="AC152">
        <v>16</v>
      </c>
      <c r="AD152">
        <v>17</v>
      </c>
      <c r="AE152">
        <v>16</v>
      </c>
      <c r="AF152">
        <v>2.4959999999999996</v>
      </c>
      <c r="AG152">
        <v>18</v>
      </c>
      <c r="AH152">
        <v>1.9199999999999975</v>
      </c>
      <c r="AI152">
        <v>1.3599999999999999</v>
      </c>
      <c r="AJ152">
        <v>11</v>
      </c>
      <c r="AK152">
        <v>11</v>
      </c>
      <c r="AL152">
        <v>13</v>
      </c>
      <c r="AM152">
        <v>-3.3519999999999994</v>
      </c>
      <c r="AN152">
        <v>9</v>
      </c>
      <c r="AO152">
        <v>7.2399999999999993</v>
      </c>
      <c r="AP152">
        <v>-0.8</v>
      </c>
      <c r="AQ152">
        <v>26</v>
      </c>
      <c r="AR152">
        <v>26</v>
      </c>
      <c r="AS152">
        <v>26</v>
      </c>
      <c r="AT152">
        <v>-2.2879999999999998</v>
      </c>
      <c r="AU152">
        <v>26</v>
      </c>
      <c r="AV152">
        <v>-11.84</v>
      </c>
      <c r="AW152">
        <v>-1.2</v>
      </c>
      <c r="AX152">
        <v>8</v>
      </c>
      <c r="AY152">
        <v>9</v>
      </c>
      <c r="AZ152">
        <v>9</v>
      </c>
      <c r="BA152">
        <v>1.9799999999999991</v>
      </c>
      <c r="BB152">
        <v>9</v>
      </c>
      <c r="BC152">
        <v>16.600000000000001</v>
      </c>
      <c r="BD152">
        <v>2.4799999999999995</v>
      </c>
      <c r="BE152">
        <v>29</v>
      </c>
      <c r="BF152">
        <v>28.5</v>
      </c>
      <c r="BG152">
        <v>25</v>
      </c>
      <c r="BH152">
        <v>-5.304000000000002</v>
      </c>
      <c r="BI152">
        <v>-25.240000000000002</v>
      </c>
      <c r="BJ152">
        <v>-1.44</v>
      </c>
      <c r="BK152">
        <v>30</v>
      </c>
      <c r="BL152">
        <v>29.5</v>
      </c>
      <c r="BM152">
        <v>31</v>
      </c>
      <c r="BN152">
        <v>-0.95999999999999974</v>
      </c>
      <c r="BO152">
        <v>28</v>
      </c>
      <c r="BP152">
        <v>-0.15999999999999998</v>
      </c>
      <c r="BQ152">
        <v>1.92</v>
      </c>
      <c r="BR152">
        <v>18</v>
      </c>
      <c r="BS152">
        <v>15.5</v>
      </c>
      <c r="BT152">
        <v>20</v>
      </c>
      <c r="BU152">
        <v>7.7630743629281684E-3</v>
      </c>
      <c r="BV152">
        <v>11</v>
      </c>
      <c r="BW152">
        <v>1.9757048563729838E-3</v>
      </c>
      <c r="BX152">
        <v>20</v>
      </c>
      <c r="BY152">
        <v>-3.4000000000000012</v>
      </c>
      <c r="BZ152">
        <v>11</v>
      </c>
      <c r="CA152">
        <v>-1.1199999999999997</v>
      </c>
      <c r="CB152">
        <v>-0.16000000000000086</v>
      </c>
      <c r="CC152">
        <v>-2.88</v>
      </c>
      <c r="CD152">
        <v>0.83999999999999986</v>
      </c>
      <c r="CE152">
        <v>-55.640000000000008</v>
      </c>
      <c r="CF152">
        <v>-36.519999999999996</v>
      </c>
      <c r="CG152">
        <v>-11.199999999999998</v>
      </c>
      <c r="CH152">
        <v>-2.0800000000000005</v>
      </c>
      <c r="CI152">
        <v>-5.84</v>
      </c>
      <c r="CJ152">
        <v>28</v>
      </c>
      <c r="CK152">
        <v>-7.6202000000000014</v>
      </c>
      <c r="CL152">
        <v>-3.8499400000000006</v>
      </c>
      <c r="CM152">
        <v>-25.32</v>
      </c>
      <c r="CN152">
        <v>7.6202000000000014</v>
      </c>
      <c r="CO152">
        <v>-1.5982750000000003</v>
      </c>
      <c r="CP152">
        <v>-3.1439999999999997</v>
      </c>
      <c r="CQ152">
        <v>-2.6800000000000033</v>
      </c>
      <c r="CR152">
        <v>2.1209999999999996</v>
      </c>
      <c r="CS152">
        <v>-11.229999999999997</v>
      </c>
      <c r="CT152">
        <v>-2.08</v>
      </c>
      <c r="CU152">
        <v>3.17</v>
      </c>
      <c r="CV152">
        <v>-0.82331249999999989</v>
      </c>
      <c r="CW152">
        <v>-1.5564749999999998</v>
      </c>
      <c r="CX152" t="s">
        <v>294</v>
      </c>
      <c r="CY152">
        <v>30</v>
      </c>
      <c r="CZ152">
        <v>1.1888000000000016</v>
      </c>
      <c r="DA152">
        <v>18</v>
      </c>
      <c r="DB152">
        <v>19.5</v>
      </c>
      <c r="DC152">
        <v>7</v>
      </c>
      <c r="DD152">
        <v>-1.6840000000000011</v>
      </c>
      <c r="DE152">
        <v>32</v>
      </c>
      <c r="DF152">
        <v>-23.119999999999997</v>
      </c>
      <c r="DG152">
        <v>1.28</v>
      </c>
      <c r="DH152">
        <v>5</v>
      </c>
      <c r="DI152">
        <v>8</v>
      </c>
      <c r="DJ152">
        <v>13</v>
      </c>
      <c r="DK152">
        <v>-3.2160000000000002</v>
      </c>
      <c r="DL152">
        <v>3</v>
      </c>
      <c r="DM152">
        <v>2.8</v>
      </c>
      <c r="DN152">
        <v>-1.36</v>
      </c>
      <c r="DO152">
        <v>30</v>
      </c>
      <c r="DP152">
        <v>24</v>
      </c>
      <c r="DQ152">
        <v>24</v>
      </c>
      <c r="DR152">
        <v>0.19400000000000048</v>
      </c>
      <c r="DS152">
        <v>24</v>
      </c>
      <c r="DT152">
        <v>1.1199999999999988</v>
      </c>
      <c r="DU152">
        <v>0.65999999999999992</v>
      </c>
      <c r="DV152">
        <v>31</v>
      </c>
      <c r="DW152">
        <v>30.5</v>
      </c>
      <c r="DX152">
        <v>30</v>
      </c>
      <c r="DY152">
        <v>3.5919999999999987</v>
      </c>
      <c r="DZ152">
        <v>31</v>
      </c>
      <c r="EA152">
        <v>9.44</v>
      </c>
      <c r="EB152">
        <v>0.3999999999999998</v>
      </c>
      <c r="EC152">
        <v>29</v>
      </c>
      <c r="ED152">
        <v>20</v>
      </c>
      <c r="EE152">
        <v>18</v>
      </c>
      <c r="EF152">
        <v>0.22800000000000029</v>
      </c>
      <c r="EG152">
        <v>22</v>
      </c>
      <c r="EH152">
        <v>-3.3200000000000003</v>
      </c>
      <c r="EI152">
        <v>-0.32</v>
      </c>
      <c r="EJ152">
        <v>32</v>
      </c>
      <c r="EK152">
        <v>32</v>
      </c>
      <c r="EL152">
        <v>32</v>
      </c>
      <c r="EM152">
        <v>-5.968</v>
      </c>
      <c r="EN152">
        <v>32</v>
      </c>
      <c r="EO152">
        <v>-27.68</v>
      </c>
      <c r="EP152">
        <v>-2.52</v>
      </c>
      <c r="EQ152">
        <v>8</v>
      </c>
      <c r="ER152">
        <v>8.5</v>
      </c>
      <c r="ES152">
        <v>12</v>
      </c>
      <c r="ET152">
        <v>5.600000000000023E-2</v>
      </c>
      <c r="EU152">
        <v>5</v>
      </c>
      <c r="EV152">
        <v>-2.6400000000000006</v>
      </c>
      <c r="EW152">
        <v>3.9999999999999855E-2</v>
      </c>
      <c r="EX152">
        <v>31</v>
      </c>
      <c r="EY152">
        <v>28.5</v>
      </c>
      <c r="EZ152">
        <v>26</v>
      </c>
      <c r="FA152">
        <v>-1.08</v>
      </c>
      <c r="FB152">
        <v>31</v>
      </c>
      <c r="FC152">
        <v>0.4</v>
      </c>
      <c r="FD152">
        <v>-0.12000000000000011</v>
      </c>
      <c r="FE152">
        <v>4</v>
      </c>
      <c r="FF152">
        <v>8.75</v>
      </c>
      <c r="FG152">
        <v>3</v>
      </c>
      <c r="FH152">
        <v>3.2704413136276547E-2</v>
      </c>
      <c r="FI152">
        <v>4</v>
      </c>
      <c r="FJ152">
        <v>2.4607405123617577E-2</v>
      </c>
      <c r="FK152">
        <v>14</v>
      </c>
      <c r="FL152">
        <v>4.0839999999999987</v>
      </c>
      <c r="FM152">
        <v>14</v>
      </c>
      <c r="FN152">
        <v>2.8800000000000003</v>
      </c>
      <c r="FO152">
        <v>0.36000000000000087</v>
      </c>
      <c r="FP152">
        <v>-1.0799999999999996</v>
      </c>
      <c r="FQ152">
        <v>0.2</v>
      </c>
      <c r="FR152">
        <v>1.1200000000000003</v>
      </c>
      <c r="FS152">
        <v>1.9600000000000002</v>
      </c>
      <c r="FT152">
        <v>-0.72</v>
      </c>
      <c r="FU152">
        <v>-13.2</v>
      </c>
      <c r="FV152">
        <v>-10.999999999999995</v>
      </c>
      <c r="FW152">
        <v>-21.92</v>
      </c>
      <c r="FX152">
        <v>8.4</v>
      </c>
      <c r="FY152">
        <v>11.320000000000002</v>
      </c>
      <c r="FZ152">
        <v>5</v>
      </c>
      <c r="GA152">
        <v>6.0888000000000027</v>
      </c>
      <c r="GB152">
        <v>3.5017600000000009</v>
      </c>
      <c r="GC152">
        <v>10.920000000000007</v>
      </c>
      <c r="GD152">
        <v>-6.0888000000000027</v>
      </c>
      <c r="GE152">
        <v>-9.0150000000000036E-2</v>
      </c>
      <c r="GF152">
        <v>4.0139999999999993</v>
      </c>
      <c r="GG152">
        <v>7.2399999999999984</v>
      </c>
      <c r="GH152">
        <v>-4.9000000000000012</v>
      </c>
      <c r="GI152">
        <v>-20.319999999999997</v>
      </c>
      <c r="GJ152">
        <v>0.77999999999999936</v>
      </c>
      <c r="GK152">
        <v>-8.0000000000000071E-2</v>
      </c>
    </row>
    <row r="153" spans="1:193" x14ac:dyDescent="0.2">
      <c r="A153" s="39">
        <v>43772</v>
      </c>
      <c r="B153" s="22" t="s">
        <v>246</v>
      </c>
      <c r="C153" s="41" t="s">
        <v>281</v>
      </c>
      <c r="D153" s="22" t="s">
        <v>278</v>
      </c>
      <c r="E153">
        <v>13.2</v>
      </c>
      <c r="F153">
        <v>17.100000000000001</v>
      </c>
      <c r="G153">
        <v>9.6</v>
      </c>
      <c r="H153">
        <v>8.6999999999999993</v>
      </c>
      <c r="I153">
        <v>-4</v>
      </c>
      <c r="J153">
        <v>39</v>
      </c>
      <c r="K153" t="s">
        <v>110</v>
      </c>
      <c r="L153" s="1" t="s">
        <v>281</v>
      </c>
      <c r="M153">
        <v>12</v>
      </c>
      <c r="N153">
        <v>1.7999999999999994</v>
      </c>
      <c r="O153">
        <v>5</v>
      </c>
      <c r="P153">
        <v>7</v>
      </c>
      <c r="Q153">
        <v>8</v>
      </c>
      <c r="R153">
        <v>7.6759999999999993</v>
      </c>
      <c r="S153">
        <v>6</v>
      </c>
      <c r="T153">
        <v>41.519999999999996</v>
      </c>
      <c r="U153">
        <v>-0.12000000000000002</v>
      </c>
      <c r="V153">
        <v>4</v>
      </c>
      <c r="W153">
        <v>6</v>
      </c>
      <c r="X153">
        <v>6</v>
      </c>
      <c r="Y153">
        <v>0.36560000000000026</v>
      </c>
      <c r="Z153">
        <v>6</v>
      </c>
      <c r="AA153">
        <v>-6.9600000000000009</v>
      </c>
      <c r="AB153">
        <v>0.31999999999999995</v>
      </c>
      <c r="AC153">
        <v>25</v>
      </c>
      <c r="AD153">
        <v>24.5</v>
      </c>
      <c r="AE153">
        <v>25</v>
      </c>
      <c r="AF153">
        <v>-1.0640000000000001</v>
      </c>
      <c r="AG153">
        <v>24</v>
      </c>
      <c r="AH153">
        <v>3.3599999999999994</v>
      </c>
      <c r="AI153">
        <v>0.28000000000000008</v>
      </c>
      <c r="AJ153">
        <v>1</v>
      </c>
      <c r="AK153">
        <v>2.5</v>
      </c>
      <c r="AL153">
        <v>1</v>
      </c>
      <c r="AM153">
        <v>5.3439999999999994</v>
      </c>
      <c r="AN153">
        <v>4</v>
      </c>
      <c r="AO153">
        <v>32.239999999999995</v>
      </c>
      <c r="AP153">
        <v>1.5599999999999998</v>
      </c>
      <c r="AQ153">
        <v>18</v>
      </c>
      <c r="AR153">
        <v>17.5</v>
      </c>
      <c r="AS153">
        <v>19</v>
      </c>
      <c r="AT153">
        <v>-0.9760000000000002</v>
      </c>
      <c r="AU153">
        <v>16</v>
      </c>
      <c r="AV153">
        <v>-3.8400000000000007</v>
      </c>
      <c r="AW153">
        <v>-0.31999999999999995</v>
      </c>
      <c r="AX153">
        <v>15</v>
      </c>
      <c r="AY153">
        <v>15.5</v>
      </c>
      <c r="AZ153">
        <v>15</v>
      </c>
      <c r="BA153">
        <v>3.5400000000000005</v>
      </c>
      <c r="BB153">
        <v>16</v>
      </c>
      <c r="BC153">
        <v>29.000000000000007</v>
      </c>
      <c r="BD153">
        <v>0.35999999999999976</v>
      </c>
      <c r="BE153">
        <v>23</v>
      </c>
      <c r="BF153">
        <v>23</v>
      </c>
      <c r="BG153">
        <v>21</v>
      </c>
      <c r="BH153">
        <v>2.1599999999999993</v>
      </c>
      <c r="BI153">
        <v>0.7999999999999986</v>
      </c>
      <c r="BJ153">
        <v>-1.0000000000000002</v>
      </c>
      <c r="BK153">
        <v>4</v>
      </c>
      <c r="BL153">
        <v>7</v>
      </c>
      <c r="BM153">
        <v>7</v>
      </c>
      <c r="BN153">
        <v>0.95999999999999974</v>
      </c>
      <c r="BO153">
        <v>7</v>
      </c>
      <c r="BP153">
        <v>-0.11999999999999988</v>
      </c>
      <c r="BQ153">
        <v>-1.1599999999999999</v>
      </c>
      <c r="BR153">
        <v>30</v>
      </c>
      <c r="BS153">
        <v>29</v>
      </c>
      <c r="BT153">
        <v>31</v>
      </c>
      <c r="BU153">
        <v>-3.312043740286718E-2</v>
      </c>
      <c r="BV153">
        <v>30</v>
      </c>
      <c r="BW153">
        <v>-6.7575523219360152E-3</v>
      </c>
      <c r="BX153">
        <v>24</v>
      </c>
      <c r="BY153">
        <v>3.0360000000000014</v>
      </c>
      <c r="BZ153">
        <v>31</v>
      </c>
      <c r="CA153">
        <v>-1.9199999999999995</v>
      </c>
      <c r="CB153">
        <v>1.1200000000000003</v>
      </c>
      <c r="CC153">
        <v>6</v>
      </c>
      <c r="CD153">
        <v>-1.7599999999999998</v>
      </c>
      <c r="CE153">
        <v>46.800000000000004</v>
      </c>
      <c r="CF153">
        <v>19.2</v>
      </c>
      <c r="CG153">
        <v>32.160000000000004</v>
      </c>
      <c r="CH153">
        <v>-4.8800000000000008</v>
      </c>
      <c r="CI153">
        <v>0.32000000000000028</v>
      </c>
      <c r="CJ153">
        <v>26</v>
      </c>
      <c r="CK153">
        <v>-6.2416</v>
      </c>
      <c r="CL153">
        <v>-2.5680000000000001</v>
      </c>
      <c r="CM153">
        <v>-12.960000000000004</v>
      </c>
      <c r="CN153">
        <v>6.2416</v>
      </c>
      <c r="CO153">
        <v>2.0331999999999999</v>
      </c>
      <c r="CP153">
        <v>3.3039999999999994</v>
      </c>
      <c r="CQ153">
        <v>31.759999999999994</v>
      </c>
      <c r="CR153">
        <v>8.041599999999999</v>
      </c>
      <c r="CS153">
        <v>34.559999999999995</v>
      </c>
      <c r="CT153">
        <v>0.5199999999999998</v>
      </c>
      <c r="CU153">
        <v>0.19999999999999993</v>
      </c>
      <c r="CV153">
        <v>-0.6213166666666663</v>
      </c>
      <c r="CW153">
        <v>0.62826666666666708</v>
      </c>
      <c r="CX153" t="s">
        <v>278</v>
      </c>
      <c r="CY153">
        <v>15</v>
      </c>
      <c r="CZ153">
        <v>-7.2151999999999985</v>
      </c>
      <c r="DA153">
        <v>28</v>
      </c>
      <c r="DB153">
        <v>24.5</v>
      </c>
      <c r="DC153">
        <v>25</v>
      </c>
      <c r="DD153">
        <v>1.9600000000000002</v>
      </c>
      <c r="DE153">
        <v>24</v>
      </c>
      <c r="DF153">
        <v>11.999999999999998</v>
      </c>
      <c r="DG153">
        <v>1.6</v>
      </c>
      <c r="DH153">
        <v>28</v>
      </c>
      <c r="DI153">
        <v>25.5</v>
      </c>
      <c r="DJ153">
        <v>28</v>
      </c>
      <c r="DK153">
        <v>0.18000000000000008</v>
      </c>
      <c r="DL153">
        <v>23</v>
      </c>
      <c r="DM153">
        <v>7.1599999999999993</v>
      </c>
      <c r="DN153">
        <v>0.40000000000000008</v>
      </c>
      <c r="DO153">
        <v>14</v>
      </c>
      <c r="DP153">
        <v>8.5</v>
      </c>
      <c r="DQ153">
        <v>9</v>
      </c>
      <c r="DR153">
        <v>-3.4759999999999991</v>
      </c>
      <c r="DS153">
        <v>8</v>
      </c>
      <c r="DT153">
        <v>-12</v>
      </c>
      <c r="DU153">
        <v>-1.8799999999999997</v>
      </c>
      <c r="DV153">
        <v>17</v>
      </c>
      <c r="DW153">
        <v>16.5</v>
      </c>
      <c r="DX153">
        <v>14</v>
      </c>
      <c r="DY153">
        <v>-3.5920000000000001</v>
      </c>
      <c r="DZ153">
        <v>19</v>
      </c>
      <c r="EA153">
        <v>-16.04</v>
      </c>
      <c r="EB153">
        <v>0.11999999999999975</v>
      </c>
      <c r="EC153">
        <v>15</v>
      </c>
      <c r="ED153">
        <v>7.5</v>
      </c>
      <c r="EE153">
        <v>9</v>
      </c>
      <c r="EF153">
        <v>-1.9759999999999998</v>
      </c>
      <c r="EG153">
        <v>6</v>
      </c>
      <c r="EH153">
        <v>-6.8</v>
      </c>
      <c r="EI153">
        <v>0.15999999999999992</v>
      </c>
      <c r="EJ153">
        <v>30</v>
      </c>
      <c r="EK153">
        <v>28.5</v>
      </c>
      <c r="EL153">
        <v>28</v>
      </c>
      <c r="EM153">
        <v>-7.4</v>
      </c>
      <c r="EN153">
        <v>29</v>
      </c>
      <c r="EO153">
        <v>-30.8</v>
      </c>
      <c r="EP153">
        <v>-2.0399999999999996</v>
      </c>
      <c r="EQ153">
        <v>6</v>
      </c>
      <c r="ER153">
        <v>8</v>
      </c>
      <c r="ES153">
        <v>9</v>
      </c>
      <c r="ET153">
        <v>-2.2879999999999998</v>
      </c>
      <c r="EU153">
        <v>7</v>
      </c>
      <c r="EV153">
        <v>-11.679999999999998</v>
      </c>
      <c r="EW153">
        <v>7.999999999999971E-2</v>
      </c>
      <c r="EX153">
        <v>9</v>
      </c>
      <c r="EY153">
        <v>9.5</v>
      </c>
      <c r="EZ153">
        <v>8</v>
      </c>
      <c r="FA153">
        <v>1.44</v>
      </c>
      <c r="FB153">
        <v>11</v>
      </c>
      <c r="FC153">
        <v>0.44000000000000006</v>
      </c>
      <c r="FD153">
        <v>1.8399999999999999</v>
      </c>
      <c r="FE153">
        <v>12</v>
      </c>
      <c r="FF153">
        <v>14.5</v>
      </c>
      <c r="FG153">
        <v>25</v>
      </c>
      <c r="FH153">
        <v>-6.532277197427239E-3</v>
      </c>
      <c r="FI153">
        <v>6</v>
      </c>
      <c r="FJ153">
        <v>2.701052365360207E-2</v>
      </c>
      <c r="FK153">
        <v>10</v>
      </c>
      <c r="FL153">
        <v>6.3399999999999963</v>
      </c>
      <c r="FM153">
        <v>17</v>
      </c>
      <c r="FN153">
        <v>2.4800000000000004</v>
      </c>
      <c r="FO153">
        <v>-0.35999999999999943</v>
      </c>
      <c r="FP153">
        <v>2.2399999999999998</v>
      </c>
      <c r="FQ153">
        <v>-1.08</v>
      </c>
      <c r="FR153">
        <v>1.4799999999999998</v>
      </c>
      <c r="FS153">
        <v>-5.92</v>
      </c>
      <c r="FT153">
        <v>1.52</v>
      </c>
      <c r="FU153">
        <v>-36.040000000000006</v>
      </c>
      <c r="FV153">
        <v>-47.760000000000005</v>
      </c>
      <c r="FW153">
        <v>18.639999999999997</v>
      </c>
      <c r="FX153">
        <v>-3</v>
      </c>
      <c r="FY153">
        <v>-3.9200000000000004</v>
      </c>
      <c r="FZ153">
        <v>31</v>
      </c>
      <c r="GA153">
        <v>-9.3551999999999982</v>
      </c>
      <c r="GB153">
        <v>-4.7794400000000001</v>
      </c>
      <c r="GC153">
        <v>-66.400000000000006</v>
      </c>
      <c r="GD153">
        <v>9.3551999999999982</v>
      </c>
      <c r="GE153">
        <v>-1.8708999999999996</v>
      </c>
      <c r="GF153">
        <v>-9.0439999999999987</v>
      </c>
      <c r="GG153">
        <v>-34.839999999999996</v>
      </c>
      <c r="GH153">
        <v>2.14</v>
      </c>
      <c r="GI153">
        <v>19.159999999999997</v>
      </c>
      <c r="GJ153">
        <v>-1.5200000000000005</v>
      </c>
      <c r="GK153">
        <v>2</v>
      </c>
    </row>
    <row r="154" spans="1:193" x14ac:dyDescent="0.2">
      <c r="A154" s="39">
        <v>43772</v>
      </c>
      <c r="B154" s="22" t="s">
        <v>246</v>
      </c>
      <c r="C154" s="41" t="s">
        <v>291</v>
      </c>
      <c r="D154" s="22" t="s">
        <v>296</v>
      </c>
      <c r="E154">
        <v>18</v>
      </c>
      <c r="F154">
        <v>11.3</v>
      </c>
      <c r="G154">
        <v>8.5</v>
      </c>
      <c r="H154">
        <f>13.8+11.2</f>
        <v>25</v>
      </c>
      <c r="I154">
        <v>-6.5</v>
      </c>
      <c r="J154">
        <v>48.5</v>
      </c>
      <c r="K154" t="s">
        <v>109</v>
      </c>
      <c r="L154" s="1" t="s">
        <v>291</v>
      </c>
      <c r="M154">
        <v>10</v>
      </c>
      <c r="N154">
        <v>2.0679999999999996</v>
      </c>
      <c r="O154">
        <v>5</v>
      </c>
      <c r="P154">
        <v>7</v>
      </c>
      <c r="Q154">
        <v>6</v>
      </c>
      <c r="R154">
        <v>5.2219999999999995</v>
      </c>
      <c r="S154">
        <v>8</v>
      </c>
      <c r="T154">
        <v>31.28</v>
      </c>
      <c r="U154">
        <v>0.22000000000000011</v>
      </c>
      <c r="V154">
        <v>27</v>
      </c>
      <c r="W154">
        <v>27.5</v>
      </c>
      <c r="X154">
        <v>28</v>
      </c>
      <c r="Y154">
        <v>-3.0609999999999999</v>
      </c>
      <c r="Z154">
        <v>27</v>
      </c>
      <c r="AA154">
        <v>-3.16</v>
      </c>
      <c r="AB154">
        <v>-1.1199999999999999</v>
      </c>
      <c r="AC154">
        <v>10</v>
      </c>
      <c r="AD154">
        <v>12</v>
      </c>
      <c r="AE154">
        <v>12</v>
      </c>
      <c r="AF154">
        <v>5.4749999999999996</v>
      </c>
      <c r="AG154">
        <v>12</v>
      </c>
      <c r="AH154">
        <v>36.387500000000003</v>
      </c>
      <c r="AI154">
        <v>8.7500000000000133E-2</v>
      </c>
      <c r="AJ154">
        <v>10</v>
      </c>
      <c r="AK154">
        <v>9</v>
      </c>
      <c r="AL154">
        <v>11</v>
      </c>
      <c r="AM154">
        <v>-1.0809999999999995</v>
      </c>
      <c r="AN154">
        <v>7</v>
      </c>
      <c r="AO154">
        <v>-5.87</v>
      </c>
      <c r="AP154">
        <v>0.40999999999999981</v>
      </c>
      <c r="AQ154">
        <v>1</v>
      </c>
      <c r="AR154">
        <v>1</v>
      </c>
      <c r="AS154">
        <v>1</v>
      </c>
      <c r="AT154">
        <v>1.3840000000000001</v>
      </c>
      <c r="AU154">
        <v>1</v>
      </c>
      <c r="AV154">
        <v>14.2</v>
      </c>
      <c r="AW154">
        <v>2.5200000000000005</v>
      </c>
      <c r="AX154">
        <v>2</v>
      </c>
      <c r="AY154">
        <v>3.5</v>
      </c>
      <c r="AZ154">
        <v>3</v>
      </c>
      <c r="BA154">
        <v>-1.2239999999999989</v>
      </c>
      <c r="BB154">
        <v>4</v>
      </c>
      <c r="BC154">
        <v>13.12</v>
      </c>
      <c r="BD154">
        <v>-3.3600000000000008</v>
      </c>
      <c r="BE154">
        <v>8</v>
      </c>
      <c r="BF154">
        <v>7</v>
      </c>
      <c r="BG154">
        <v>7</v>
      </c>
      <c r="BH154">
        <v>3.7399999999999993</v>
      </c>
      <c r="BI154">
        <v>15.8</v>
      </c>
      <c r="BJ154">
        <v>1.52</v>
      </c>
      <c r="BK154">
        <v>11</v>
      </c>
      <c r="BL154">
        <v>9.5</v>
      </c>
      <c r="BM154">
        <v>14</v>
      </c>
      <c r="BN154">
        <v>2.8</v>
      </c>
      <c r="BO154">
        <v>5</v>
      </c>
      <c r="BP154">
        <v>0.87999999999999967</v>
      </c>
      <c r="BQ154">
        <v>0.5600000000000005</v>
      </c>
      <c r="BR154">
        <v>26</v>
      </c>
      <c r="BS154">
        <v>22.25</v>
      </c>
      <c r="BT154">
        <v>18</v>
      </c>
      <c r="BU154">
        <v>5.0204316853718955E-2</v>
      </c>
      <c r="BV154">
        <v>32</v>
      </c>
      <c r="BW154">
        <v>-2.5271908380889385E-2</v>
      </c>
      <c r="BX154">
        <v>16</v>
      </c>
      <c r="BY154">
        <v>11.395999999999997</v>
      </c>
      <c r="BZ154">
        <v>23</v>
      </c>
      <c r="CA154">
        <v>-2.72</v>
      </c>
      <c r="CB154">
        <v>3.3599999999999981</v>
      </c>
      <c r="CC154">
        <v>2.9999999999999996</v>
      </c>
      <c r="CD154">
        <v>-0.51999999999999991</v>
      </c>
      <c r="CE154">
        <v>71.16</v>
      </c>
      <c r="CF154">
        <v>37.88000000000001</v>
      </c>
      <c r="CG154">
        <v>26.480000000000008</v>
      </c>
      <c r="CH154">
        <v>1.7199999999999995</v>
      </c>
      <c r="CI154">
        <v>5.08</v>
      </c>
      <c r="CJ154">
        <v>18</v>
      </c>
      <c r="CK154">
        <v>-9.2999999999999972E-2</v>
      </c>
      <c r="CL154">
        <v>1.2366999999999999</v>
      </c>
      <c r="CM154">
        <v>11.400000000000002</v>
      </c>
      <c r="CN154">
        <v>9.2999999999999972E-2</v>
      </c>
      <c r="CO154">
        <v>2.0683750000000001</v>
      </c>
      <c r="CP154">
        <v>5.7780000000000005</v>
      </c>
      <c r="CQ154">
        <v>44.717500000000001</v>
      </c>
      <c r="CR154">
        <v>2.1609999999999996</v>
      </c>
      <c r="CS154">
        <v>28.12</v>
      </c>
      <c r="CT154">
        <v>4.5375000000000005</v>
      </c>
      <c r="CU154">
        <v>-0.8999999999999998</v>
      </c>
      <c r="CV154">
        <v>-0.77348750000000011</v>
      </c>
      <c r="CW154">
        <v>-0.89929999999999999</v>
      </c>
      <c r="CX154" t="s">
        <v>296</v>
      </c>
      <c r="CY154">
        <v>5</v>
      </c>
      <c r="CZ154">
        <v>-0.12639999999999904</v>
      </c>
      <c r="DA154">
        <v>31</v>
      </c>
      <c r="DB154">
        <v>29</v>
      </c>
      <c r="DC154">
        <v>31</v>
      </c>
      <c r="DD154">
        <v>0.73699999999999954</v>
      </c>
      <c r="DE154">
        <v>27</v>
      </c>
      <c r="DF154">
        <v>9.25</v>
      </c>
      <c r="DG154">
        <v>0.76000000000000012</v>
      </c>
      <c r="DH154">
        <v>15</v>
      </c>
      <c r="DI154">
        <v>16</v>
      </c>
      <c r="DJ154">
        <v>24</v>
      </c>
      <c r="DK154">
        <v>-1.8140000000000001</v>
      </c>
      <c r="DL154">
        <v>8</v>
      </c>
      <c r="DM154">
        <v>-5.5699999999999994</v>
      </c>
      <c r="DN154">
        <v>-1.4600000000000002</v>
      </c>
      <c r="DO154">
        <v>4</v>
      </c>
      <c r="DP154">
        <v>4.5</v>
      </c>
      <c r="DQ154">
        <v>4</v>
      </c>
      <c r="DR154">
        <v>3.5239999999999996</v>
      </c>
      <c r="DS154">
        <v>5</v>
      </c>
      <c r="DT154">
        <v>11.560000000000002</v>
      </c>
      <c r="DU154">
        <v>0.43999999999999984</v>
      </c>
      <c r="DV154">
        <v>13</v>
      </c>
      <c r="DW154">
        <v>13.5</v>
      </c>
      <c r="DX154">
        <v>14</v>
      </c>
      <c r="DY154">
        <v>-5.878000000000001</v>
      </c>
      <c r="DZ154">
        <v>13</v>
      </c>
      <c r="EA154">
        <v>-22.54</v>
      </c>
      <c r="EB154">
        <v>-2.0100000000000002</v>
      </c>
      <c r="EC154">
        <v>24</v>
      </c>
      <c r="ED154">
        <v>13.5</v>
      </c>
      <c r="EE154">
        <v>16</v>
      </c>
      <c r="EF154">
        <v>1.8640000000000003</v>
      </c>
      <c r="EG154">
        <v>11</v>
      </c>
      <c r="EH154">
        <v>7.08</v>
      </c>
      <c r="EI154">
        <v>-0.76</v>
      </c>
      <c r="EJ154">
        <v>2</v>
      </c>
      <c r="EK154">
        <v>3.5</v>
      </c>
      <c r="EL154">
        <v>4</v>
      </c>
      <c r="EM154">
        <v>3.5640000000000001</v>
      </c>
      <c r="EN154">
        <v>3</v>
      </c>
      <c r="EO154">
        <v>5.3999999999999968</v>
      </c>
      <c r="EP154">
        <v>17.159999999999997</v>
      </c>
      <c r="EQ154">
        <v>17</v>
      </c>
      <c r="ER154">
        <v>15.5</v>
      </c>
      <c r="ES154">
        <v>15</v>
      </c>
      <c r="ET154">
        <v>-3.8480000000000003</v>
      </c>
      <c r="EU154">
        <v>16</v>
      </c>
      <c r="EV154">
        <v>-14.079999999999998</v>
      </c>
      <c r="EW154">
        <v>-1.1199999999999999</v>
      </c>
      <c r="EX154">
        <v>2</v>
      </c>
      <c r="EY154">
        <v>3</v>
      </c>
      <c r="EZ154">
        <v>2</v>
      </c>
      <c r="FA154">
        <v>0.36000000000000015</v>
      </c>
      <c r="FB154">
        <v>4</v>
      </c>
      <c r="FC154">
        <v>-0.11999999999999997</v>
      </c>
      <c r="FD154">
        <v>5.4799999999999995</v>
      </c>
      <c r="FE154">
        <v>29</v>
      </c>
      <c r="FF154">
        <v>24</v>
      </c>
      <c r="FG154">
        <v>11</v>
      </c>
      <c r="FH154">
        <v>-8.7501011985524846E-2</v>
      </c>
      <c r="FI154">
        <v>27</v>
      </c>
      <c r="FJ154">
        <v>6.3520324490133288E-3</v>
      </c>
      <c r="FK154">
        <v>31</v>
      </c>
      <c r="FL154">
        <v>-11.528</v>
      </c>
      <c r="FM154">
        <v>27</v>
      </c>
      <c r="FN154">
        <v>4.4400000000000004</v>
      </c>
      <c r="FO154">
        <v>-2.5199999999999996</v>
      </c>
      <c r="FP154">
        <v>1.7199999999999995</v>
      </c>
      <c r="FQ154">
        <v>1.6799999999999997</v>
      </c>
      <c r="FR154">
        <v>0.4</v>
      </c>
      <c r="FS154">
        <v>-0.47999999999999987</v>
      </c>
      <c r="FT154">
        <v>3.04</v>
      </c>
      <c r="FU154">
        <v>-2.1599999999999908</v>
      </c>
      <c r="FV154">
        <v>-7.2800000000000065</v>
      </c>
      <c r="FW154">
        <v>11.16</v>
      </c>
      <c r="FX154">
        <v>-6.5200000000000005</v>
      </c>
      <c r="FY154">
        <v>0.4799999999999997</v>
      </c>
      <c r="FZ154">
        <v>17</v>
      </c>
      <c r="GA154">
        <v>0.95060000000000144</v>
      </c>
      <c r="GB154">
        <v>-0.35437999999999992</v>
      </c>
      <c r="GC154">
        <v>-18.440000000000005</v>
      </c>
      <c r="GD154">
        <v>-0.95060000000000133</v>
      </c>
      <c r="GE154">
        <v>-0.64767500000000011</v>
      </c>
      <c r="GF154">
        <v>-0.4900000000000011</v>
      </c>
      <c r="GG154">
        <v>-3.8999999999999968</v>
      </c>
      <c r="GH154">
        <v>-1.0770000000000004</v>
      </c>
      <c r="GI154">
        <v>3.6800000000000006</v>
      </c>
      <c r="GJ154">
        <v>-3.45</v>
      </c>
      <c r="GK154">
        <v>-0.70000000000000007</v>
      </c>
    </row>
    <row r="155" spans="1:193" x14ac:dyDescent="0.2">
      <c r="A155" s="39">
        <v>43772</v>
      </c>
      <c r="B155" t="s">
        <v>246</v>
      </c>
      <c r="C155" s="41" t="s">
        <v>278</v>
      </c>
      <c r="D155" t="s">
        <v>281</v>
      </c>
      <c r="E155">
        <v>17.3</v>
      </c>
      <c r="F155">
        <v>0</v>
      </c>
      <c r="G155">
        <v>0</v>
      </c>
      <c r="H155">
        <v>25.4</v>
      </c>
      <c r="I155">
        <v>4</v>
      </c>
      <c r="J155">
        <v>39</v>
      </c>
      <c r="K155" t="s">
        <v>110</v>
      </c>
      <c r="L155" s="1" t="s">
        <v>278</v>
      </c>
      <c r="M155">
        <v>30</v>
      </c>
      <c r="N155">
        <v>-5.6088000000000013</v>
      </c>
      <c r="O155">
        <v>17</v>
      </c>
      <c r="P155">
        <v>17</v>
      </c>
      <c r="Q155">
        <v>24</v>
      </c>
      <c r="R155">
        <v>-3.616000000000001</v>
      </c>
      <c r="S155">
        <v>10</v>
      </c>
      <c r="T155">
        <v>1.7599999999999993</v>
      </c>
      <c r="U155">
        <v>-1.52</v>
      </c>
      <c r="V155">
        <v>18</v>
      </c>
      <c r="W155">
        <v>17.5</v>
      </c>
      <c r="X155">
        <v>22</v>
      </c>
      <c r="Y155">
        <v>2.556</v>
      </c>
      <c r="Z155">
        <v>13</v>
      </c>
      <c r="AA155">
        <v>9.48</v>
      </c>
      <c r="AB155">
        <v>1.08</v>
      </c>
      <c r="AC155">
        <v>11</v>
      </c>
      <c r="AD155">
        <v>12.5</v>
      </c>
      <c r="AE155">
        <v>11</v>
      </c>
      <c r="AF155">
        <v>3.5239999999999996</v>
      </c>
      <c r="AG155">
        <v>14</v>
      </c>
      <c r="AH155">
        <v>18.759999999999998</v>
      </c>
      <c r="AI155">
        <v>0.68</v>
      </c>
      <c r="AJ155">
        <v>31</v>
      </c>
      <c r="AK155">
        <v>30.5</v>
      </c>
      <c r="AL155">
        <v>31</v>
      </c>
      <c r="AM155">
        <v>-0.85199999999999998</v>
      </c>
      <c r="AN155">
        <v>30</v>
      </c>
      <c r="AO155">
        <v>-4.6400000000000023</v>
      </c>
      <c r="AP155">
        <v>-0.68</v>
      </c>
      <c r="AQ155">
        <v>32</v>
      </c>
      <c r="AR155">
        <v>32</v>
      </c>
      <c r="AS155">
        <v>32</v>
      </c>
      <c r="AT155">
        <v>-2.8279999999999998</v>
      </c>
      <c r="AU155">
        <v>32</v>
      </c>
      <c r="AV155">
        <v>-11.720000000000002</v>
      </c>
      <c r="AW155">
        <v>-1</v>
      </c>
      <c r="AX155">
        <v>31</v>
      </c>
      <c r="AY155">
        <v>31.5</v>
      </c>
      <c r="AZ155">
        <v>31</v>
      </c>
      <c r="BA155">
        <v>-6.444</v>
      </c>
      <c r="BB155">
        <v>32</v>
      </c>
      <c r="BC155">
        <v>-24.04</v>
      </c>
      <c r="BD155">
        <v>-2.7199999999999998</v>
      </c>
      <c r="BE155">
        <v>9</v>
      </c>
      <c r="BF155">
        <v>8.5</v>
      </c>
      <c r="BG155">
        <v>9</v>
      </c>
      <c r="BH155">
        <v>-4.0440000000000014</v>
      </c>
      <c r="BI155">
        <v>-18.439999999999998</v>
      </c>
      <c r="BJ155">
        <v>-0.48</v>
      </c>
      <c r="BK155">
        <v>10</v>
      </c>
      <c r="BL155">
        <v>9</v>
      </c>
      <c r="BM155">
        <v>6</v>
      </c>
      <c r="BN155">
        <v>-0.55999999999999994</v>
      </c>
      <c r="BO155">
        <v>12</v>
      </c>
      <c r="BP155">
        <v>-0.11999999999999997</v>
      </c>
      <c r="BQ155">
        <v>2.4800000000000004</v>
      </c>
      <c r="BR155">
        <v>22</v>
      </c>
      <c r="BS155">
        <v>20.25</v>
      </c>
      <c r="BT155">
        <v>15</v>
      </c>
      <c r="BU155">
        <v>2.918042563169443E-3</v>
      </c>
      <c r="BV155">
        <v>19</v>
      </c>
      <c r="BW155">
        <v>1.2308372957031254E-2</v>
      </c>
      <c r="BX155">
        <v>28</v>
      </c>
      <c r="BY155">
        <v>-0.48799999999999955</v>
      </c>
      <c r="BZ155">
        <v>19</v>
      </c>
      <c r="CA155">
        <v>1.8399999999999999</v>
      </c>
      <c r="CB155">
        <v>-4.6399999999999988</v>
      </c>
      <c r="CC155">
        <v>-3.1199999999999997</v>
      </c>
      <c r="CD155">
        <v>-1.1199999999999999</v>
      </c>
      <c r="CE155">
        <v>-39.56</v>
      </c>
      <c r="CF155">
        <v>-35.120000000000005</v>
      </c>
      <c r="CG155">
        <v>9.879999999999999</v>
      </c>
      <c r="CH155">
        <v>-3.4799999999999995</v>
      </c>
      <c r="CI155">
        <v>-10.84</v>
      </c>
      <c r="CJ155">
        <v>24</v>
      </c>
      <c r="CK155">
        <v>-4.5488</v>
      </c>
      <c r="CL155">
        <v>-1.4317599999999999</v>
      </c>
      <c r="CM155">
        <v>-45</v>
      </c>
      <c r="CN155">
        <v>4.5488</v>
      </c>
      <c r="CO155">
        <v>-1.4286000000000005</v>
      </c>
      <c r="CP155">
        <v>-0.15600000000000014</v>
      </c>
      <c r="CQ155">
        <v>2.3999999999999932</v>
      </c>
      <c r="CR155">
        <v>-1.0600000000000009</v>
      </c>
      <c r="CS155">
        <v>11.24</v>
      </c>
      <c r="CT155">
        <v>-1.48</v>
      </c>
      <c r="CU155">
        <v>-0.43999999999999995</v>
      </c>
      <c r="CV155">
        <v>-0.6213166666666663</v>
      </c>
      <c r="CW155">
        <v>-1.8708999999999996</v>
      </c>
      <c r="CX155" t="s">
        <v>281</v>
      </c>
      <c r="CY155">
        <v>11</v>
      </c>
      <c r="CZ155">
        <v>2.5848000000000004</v>
      </c>
      <c r="DA155">
        <v>19</v>
      </c>
      <c r="DB155">
        <v>20</v>
      </c>
      <c r="DC155">
        <v>20</v>
      </c>
      <c r="DD155">
        <v>-2.7999999999999404E-2</v>
      </c>
      <c r="DE155">
        <v>20</v>
      </c>
      <c r="DF155">
        <v>17.639999999999997</v>
      </c>
      <c r="DG155">
        <v>-1.6</v>
      </c>
      <c r="DH155">
        <v>25</v>
      </c>
      <c r="DI155">
        <v>22.5</v>
      </c>
      <c r="DJ155">
        <v>19</v>
      </c>
      <c r="DK155">
        <v>1.0960000000000005</v>
      </c>
      <c r="DL155">
        <v>26</v>
      </c>
      <c r="DM155">
        <v>3.5199999999999996</v>
      </c>
      <c r="DN155">
        <v>-0.32</v>
      </c>
      <c r="DO155">
        <v>10</v>
      </c>
      <c r="DP155">
        <v>12</v>
      </c>
      <c r="DQ155">
        <v>13</v>
      </c>
      <c r="DR155">
        <v>0.11600000000000091</v>
      </c>
      <c r="DS155">
        <v>11</v>
      </c>
      <c r="DT155">
        <v>-7.6133333333333297</v>
      </c>
      <c r="DU155">
        <v>9.3333333333333351E-2</v>
      </c>
      <c r="DV155">
        <v>21</v>
      </c>
      <c r="DW155">
        <v>22</v>
      </c>
      <c r="DX155">
        <v>21</v>
      </c>
      <c r="DY155">
        <v>-1.6019999999999996</v>
      </c>
      <c r="DZ155">
        <v>23</v>
      </c>
      <c r="EA155">
        <v>-1.5266666666666679</v>
      </c>
      <c r="EB155">
        <v>-0.69000000000000006</v>
      </c>
      <c r="EC155">
        <v>21</v>
      </c>
      <c r="ED155">
        <v>19.5</v>
      </c>
      <c r="EE155">
        <v>19</v>
      </c>
      <c r="EF155">
        <v>1.4933333333333332</v>
      </c>
      <c r="EG155">
        <v>20</v>
      </c>
      <c r="EH155">
        <v>-3.6</v>
      </c>
      <c r="EI155">
        <v>0.54666666666666663</v>
      </c>
      <c r="EJ155">
        <v>10</v>
      </c>
      <c r="EK155">
        <v>11.5</v>
      </c>
      <c r="EL155">
        <v>12</v>
      </c>
      <c r="EM155">
        <v>3.2439999999999998</v>
      </c>
      <c r="EN155">
        <v>11</v>
      </c>
      <c r="EO155">
        <v>-0.60000000000000142</v>
      </c>
      <c r="EP155">
        <v>-5.5600000000000005</v>
      </c>
      <c r="EQ155">
        <v>4</v>
      </c>
      <c r="ER155">
        <v>4</v>
      </c>
      <c r="ES155">
        <v>5</v>
      </c>
      <c r="ET155">
        <v>2.0859999999999999</v>
      </c>
      <c r="EU155">
        <v>3</v>
      </c>
      <c r="EV155">
        <v>4.5300000000000011</v>
      </c>
      <c r="EW155">
        <v>-1.77</v>
      </c>
      <c r="EX155">
        <v>29</v>
      </c>
      <c r="EY155">
        <v>27</v>
      </c>
      <c r="EZ155">
        <v>30</v>
      </c>
      <c r="FA155">
        <v>-0.72</v>
      </c>
      <c r="FB155">
        <v>24</v>
      </c>
      <c r="FC155">
        <v>0.20000000000000009</v>
      </c>
      <c r="FD155">
        <v>-1.9199999999999995</v>
      </c>
      <c r="FE155">
        <v>9</v>
      </c>
      <c r="FF155">
        <v>12.5</v>
      </c>
      <c r="FG155">
        <v>8</v>
      </c>
      <c r="FH155">
        <v>1.5885996202414092E-2</v>
      </c>
      <c r="FI155">
        <v>16</v>
      </c>
      <c r="FJ155">
        <v>2.0890214540285675E-2</v>
      </c>
      <c r="FK155">
        <v>7</v>
      </c>
      <c r="FL155">
        <v>8.0520000000000014</v>
      </c>
      <c r="FM155">
        <v>19</v>
      </c>
      <c r="FN155">
        <v>-1.1599999999999999</v>
      </c>
      <c r="FO155">
        <v>-0.8</v>
      </c>
      <c r="FP155">
        <v>-2.0800000000000005</v>
      </c>
      <c r="FQ155">
        <v>-0.12000000000000011</v>
      </c>
      <c r="FR155">
        <v>-2.0399999999999978</v>
      </c>
      <c r="FS155">
        <v>3.3199999999999994</v>
      </c>
      <c r="FT155">
        <v>-0.91999999999999993</v>
      </c>
      <c r="FU155">
        <v>32.160000000000004</v>
      </c>
      <c r="FV155">
        <v>9.7199999999999989</v>
      </c>
      <c r="FW155">
        <v>20.680000000000003</v>
      </c>
      <c r="FX155">
        <v>4.4000000000000004</v>
      </c>
      <c r="FY155">
        <v>-2.6399999999999997</v>
      </c>
      <c r="FZ155">
        <v>14</v>
      </c>
      <c r="GA155">
        <v>1.5167999999999995</v>
      </c>
      <c r="GB155">
        <v>0.40162666666666647</v>
      </c>
      <c r="GC155">
        <v>-10.960000000000004</v>
      </c>
      <c r="GD155">
        <v>-1.5167999999999993</v>
      </c>
      <c r="GE155">
        <v>0.62826666666666708</v>
      </c>
      <c r="GF155">
        <v>7.3333333333345241E-3</v>
      </c>
      <c r="GG155">
        <v>-12.739999999999997</v>
      </c>
      <c r="GH155">
        <v>1.0680000000000012</v>
      </c>
      <c r="GI155">
        <v>21.159999999999997</v>
      </c>
      <c r="GJ155">
        <v>-1.82</v>
      </c>
      <c r="GK155">
        <v>-1.9200000000000002</v>
      </c>
    </row>
    <row r="156" spans="1:193" x14ac:dyDescent="0.2">
      <c r="A156" s="39">
        <v>43772</v>
      </c>
      <c r="B156" s="22" t="s">
        <v>246</v>
      </c>
      <c r="C156" s="41" t="s">
        <v>299</v>
      </c>
      <c r="D156" s="22" t="s">
        <v>303</v>
      </c>
      <c r="E156">
        <v>26.2</v>
      </c>
      <c r="F156" s="14">
        <v>29.6</v>
      </c>
      <c r="G156">
        <v>5.9</v>
      </c>
      <c r="H156">
        <f>8.6+2.3+1.3</f>
        <v>12.2</v>
      </c>
      <c r="I156">
        <v>2.5</v>
      </c>
      <c r="J156">
        <v>51.5</v>
      </c>
      <c r="L156" s="1" t="s">
        <v>299</v>
      </c>
      <c r="M156">
        <v>5</v>
      </c>
      <c r="N156">
        <v>4.1111999999999984</v>
      </c>
      <c r="O156">
        <v>28</v>
      </c>
      <c r="P156">
        <v>26</v>
      </c>
      <c r="Q156">
        <v>31</v>
      </c>
      <c r="R156">
        <v>-3.9120000000000004</v>
      </c>
      <c r="S156">
        <v>21</v>
      </c>
      <c r="T156">
        <v>-15.400000000000002</v>
      </c>
      <c r="U156">
        <v>0.56000000000000016</v>
      </c>
      <c r="V156">
        <v>13</v>
      </c>
      <c r="W156">
        <v>13.5</v>
      </c>
      <c r="X156">
        <v>8</v>
      </c>
      <c r="Y156">
        <v>-1.9439999999999997</v>
      </c>
      <c r="Z156">
        <v>19</v>
      </c>
      <c r="AA156">
        <v>6.15</v>
      </c>
      <c r="AB156">
        <v>-0.47000000000000003</v>
      </c>
      <c r="AC156">
        <v>5</v>
      </c>
      <c r="AD156">
        <v>5.5</v>
      </c>
      <c r="AE156">
        <v>8</v>
      </c>
      <c r="AF156">
        <v>3.1799999999999988</v>
      </c>
      <c r="AG156">
        <v>3</v>
      </c>
      <c r="AH156">
        <v>10.870000000000001</v>
      </c>
      <c r="AI156">
        <v>-0.56999999999999995</v>
      </c>
      <c r="AJ156">
        <v>3</v>
      </c>
      <c r="AK156">
        <v>3.5</v>
      </c>
      <c r="AL156">
        <v>2</v>
      </c>
      <c r="AM156">
        <v>10.635000000000002</v>
      </c>
      <c r="AN156">
        <v>5</v>
      </c>
      <c r="AO156">
        <v>37.129999999999995</v>
      </c>
      <c r="AP156">
        <v>2.33</v>
      </c>
      <c r="AQ156">
        <v>10</v>
      </c>
      <c r="AR156">
        <v>10</v>
      </c>
      <c r="AS156">
        <v>10</v>
      </c>
      <c r="AT156">
        <v>3.8519999999999994</v>
      </c>
      <c r="AU156">
        <v>10</v>
      </c>
      <c r="AV156">
        <v>23.720000000000002</v>
      </c>
      <c r="AW156">
        <v>0.56000000000000005</v>
      </c>
      <c r="AX156">
        <v>9</v>
      </c>
      <c r="AY156">
        <v>10.5</v>
      </c>
      <c r="AZ156">
        <v>13</v>
      </c>
      <c r="BA156">
        <v>7.016</v>
      </c>
      <c r="BB156">
        <v>8</v>
      </c>
      <c r="BC156">
        <v>45.92</v>
      </c>
      <c r="BD156">
        <v>-2.2800000000000007</v>
      </c>
      <c r="BE156">
        <v>20</v>
      </c>
      <c r="BF156">
        <v>22</v>
      </c>
      <c r="BG156">
        <v>23</v>
      </c>
      <c r="BH156">
        <v>-2.4560000000000013</v>
      </c>
      <c r="BI156">
        <v>-5.1599999999999993</v>
      </c>
      <c r="BJ156">
        <v>-0.47999999999999982</v>
      </c>
      <c r="BK156">
        <v>23</v>
      </c>
      <c r="BL156">
        <v>22.5</v>
      </c>
      <c r="BM156">
        <v>20</v>
      </c>
      <c r="BN156">
        <v>3.6</v>
      </c>
      <c r="BO156">
        <v>25</v>
      </c>
      <c r="BP156">
        <v>0.47999999999999987</v>
      </c>
      <c r="BQ156">
        <v>-2.12</v>
      </c>
      <c r="BR156">
        <v>5</v>
      </c>
      <c r="BS156">
        <v>9</v>
      </c>
      <c r="BT156">
        <v>6</v>
      </c>
      <c r="BU156">
        <v>2.8759616369712516E-2</v>
      </c>
      <c r="BV156">
        <v>12</v>
      </c>
      <c r="BW156">
        <v>1.0972093802472802E-2</v>
      </c>
      <c r="BX156">
        <v>9</v>
      </c>
      <c r="BY156">
        <v>7.5119999999999987</v>
      </c>
      <c r="BZ156">
        <v>9</v>
      </c>
      <c r="CA156">
        <v>-0.96000000000000019</v>
      </c>
      <c r="CB156">
        <v>0.32000000000000173</v>
      </c>
      <c r="CC156">
        <v>3.28</v>
      </c>
      <c r="CD156">
        <v>0.48000000000000009</v>
      </c>
      <c r="CE156">
        <v>45.240000000000009</v>
      </c>
      <c r="CF156">
        <v>62.160000000000004</v>
      </c>
      <c r="CG156">
        <v>-9.64</v>
      </c>
      <c r="CH156">
        <v>-0.40000000000000008</v>
      </c>
      <c r="CI156">
        <v>-6.8800000000000008</v>
      </c>
      <c r="CJ156">
        <v>3</v>
      </c>
      <c r="CK156">
        <v>9.9671999999999983</v>
      </c>
      <c r="CL156">
        <v>6.7924399999999991</v>
      </c>
      <c r="CM156">
        <v>71.800000000000011</v>
      </c>
      <c r="CN156">
        <v>-9.9671999999999983</v>
      </c>
      <c r="CO156">
        <v>2.1332749999999994</v>
      </c>
      <c r="CP156">
        <v>17.667000000000002</v>
      </c>
      <c r="CQ156">
        <v>71.72</v>
      </c>
      <c r="CR156">
        <v>-5.8559999999999999</v>
      </c>
      <c r="CS156">
        <v>-9.2500000000000018</v>
      </c>
      <c r="CT156">
        <v>1.8400000000000005</v>
      </c>
      <c r="CU156">
        <v>9.0000000000000135E-2</v>
      </c>
      <c r="CV156">
        <v>1.6730499999999997</v>
      </c>
      <c r="CW156">
        <v>2.1371999999999995</v>
      </c>
      <c r="CX156" t="s">
        <v>303</v>
      </c>
      <c r="CY156">
        <v>13</v>
      </c>
      <c r="CZ156">
        <v>6.2551999999999994</v>
      </c>
      <c r="DA156">
        <v>13</v>
      </c>
      <c r="DB156">
        <v>12</v>
      </c>
      <c r="DC156">
        <v>10</v>
      </c>
      <c r="DD156">
        <v>-5.9399999999999995</v>
      </c>
      <c r="DE156">
        <v>14</v>
      </c>
      <c r="DF156">
        <v>-16.72</v>
      </c>
      <c r="DG156">
        <v>-1.6</v>
      </c>
      <c r="DH156">
        <v>6</v>
      </c>
      <c r="DI156">
        <v>8.5</v>
      </c>
      <c r="DJ156">
        <v>6</v>
      </c>
      <c r="DK156">
        <v>3.5799999999999996</v>
      </c>
      <c r="DL156">
        <v>11</v>
      </c>
      <c r="DM156">
        <v>-10.479999999999999</v>
      </c>
      <c r="DN156">
        <v>1.64</v>
      </c>
      <c r="DO156">
        <v>18</v>
      </c>
      <c r="DP156">
        <v>25</v>
      </c>
      <c r="DQ156">
        <v>25</v>
      </c>
      <c r="DR156">
        <v>6.6199999999999992</v>
      </c>
      <c r="DS156">
        <v>25</v>
      </c>
      <c r="DT156">
        <v>31.28</v>
      </c>
      <c r="DU156">
        <v>0.20000000000000018</v>
      </c>
      <c r="DV156">
        <v>9</v>
      </c>
      <c r="DW156">
        <v>10</v>
      </c>
      <c r="DX156">
        <v>11</v>
      </c>
      <c r="DY156">
        <v>-0.92400000000000004</v>
      </c>
      <c r="DZ156">
        <v>9</v>
      </c>
      <c r="EA156">
        <v>-4.92</v>
      </c>
      <c r="EB156">
        <v>0.32000000000000012</v>
      </c>
      <c r="EC156">
        <v>25</v>
      </c>
      <c r="ED156">
        <v>32</v>
      </c>
      <c r="EE156">
        <v>32</v>
      </c>
      <c r="EF156">
        <v>-1.907999999999999</v>
      </c>
      <c r="EG156">
        <v>32</v>
      </c>
      <c r="EH156">
        <v>-5.2000000000000011</v>
      </c>
      <c r="EI156">
        <v>0.64</v>
      </c>
      <c r="EJ156">
        <v>31</v>
      </c>
      <c r="EK156">
        <v>31</v>
      </c>
      <c r="EL156">
        <v>31</v>
      </c>
      <c r="EM156">
        <v>-0.79600000000000004</v>
      </c>
      <c r="EN156">
        <v>31</v>
      </c>
      <c r="EO156">
        <v>-0.75999999999999945</v>
      </c>
      <c r="EP156">
        <v>0.16000000000000014</v>
      </c>
      <c r="EQ156">
        <v>22</v>
      </c>
      <c r="ER156">
        <v>23.5</v>
      </c>
      <c r="ES156">
        <v>26</v>
      </c>
      <c r="ET156">
        <v>4.548</v>
      </c>
      <c r="EU156">
        <v>21</v>
      </c>
      <c r="EV156">
        <v>9.0800000000000018</v>
      </c>
      <c r="EW156">
        <v>2.16</v>
      </c>
      <c r="EX156">
        <v>27</v>
      </c>
      <c r="EY156">
        <v>25.5</v>
      </c>
      <c r="EZ156">
        <v>22</v>
      </c>
      <c r="FA156">
        <v>-2.56</v>
      </c>
      <c r="FB156">
        <v>29</v>
      </c>
      <c r="FC156">
        <v>-1.08</v>
      </c>
      <c r="FD156">
        <v>-3.2400000000000007</v>
      </c>
      <c r="FE156">
        <v>10</v>
      </c>
      <c r="FF156">
        <v>13.25</v>
      </c>
      <c r="FG156">
        <v>12</v>
      </c>
      <c r="FH156">
        <v>-2.123157984726597E-2</v>
      </c>
      <c r="FI156">
        <v>11</v>
      </c>
      <c r="FJ156">
        <v>-1.2894092188901538E-2</v>
      </c>
      <c r="FK156">
        <v>12</v>
      </c>
      <c r="FL156">
        <v>5.5399999999999974</v>
      </c>
      <c r="FM156">
        <v>18</v>
      </c>
      <c r="FN156">
        <v>-1.2799999999999998</v>
      </c>
      <c r="FO156">
        <v>1.4799999999999998</v>
      </c>
      <c r="FP156">
        <v>-4.2</v>
      </c>
      <c r="FQ156">
        <v>0.8</v>
      </c>
      <c r="FR156">
        <v>-2.7200000000000015</v>
      </c>
      <c r="FS156">
        <v>2.96</v>
      </c>
      <c r="FT156">
        <v>-0.99999999999999978</v>
      </c>
      <c r="FU156">
        <v>13.880000000000006</v>
      </c>
      <c r="FV156">
        <v>40.679999999999993</v>
      </c>
      <c r="FW156">
        <v>-24.6</v>
      </c>
      <c r="FX156">
        <v>-1.24</v>
      </c>
      <c r="FY156">
        <v>-0.95999999999999908</v>
      </c>
      <c r="FZ156">
        <v>3</v>
      </c>
      <c r="GA156">
        <v>8.6151999999999997</v>
      </c>
      <c r="GB156">
        <v>4.0982399999999997</v>
      </c>
      <c r="GC156">
        <v>65.28</v>
      </c>
      <c r="GD156">
        <v>-8.6151999999999997</v>
      </c>
      <c r="GE156">
        <v>1.2088999999999999</v>
      </c>
      <c r="GF156">
        <v>3.7879999999999998</v>
      </c>
      <c r="GG156">
        <v>21.159999999999997</v>
      </c>
      <c r="GH156">
        <v>-2.36</v>
      </c>
      <c r="GI156">
        <v>-27.199999999999996</v>
      </c>
      <c r="GJ156">
        <v>3.3200000000000003</v>
      </c>
      <c r="GK156">
        <v>3.9999999999999813E-2</v>
      </c>
    </row>
    <row r="157" spans="1:193" x14ac:dyDescent="0.2">
      <c r="A157" s="39">
        <v>43772</v>
      </c>
      <c r="B157" s="22" t="s">
        <v>246</v>
      </c>
      <c r="C157" s="41" t="s">
        <v>300</v>
      </c>
      <c r="D157" s="22" t="s">
        <v>287</v>
      </c>
      <c r="E157">
        <v>11.1</v>
      </c>
      <c r="F157">
        <v>7.4</v>
      </c>
      <c r="G157">
        <v>4.0999999999999996</v>
      </c>
      <c r="H157">
        <v>5.7</v>
      </c>
      <c r="I157">
        <v>-4</v>
      </c>
      <c r="J157">
        <v>50</v>
      </c>
      <c r="K157" t="s">
        <v>110</v>
      </c>
      <c r="L157" s="1" t="s">
        <v>300</v>
      </c>
      <c r="M157">
        <v>2</v>
      </c>
      <c r="N157">
        <v>5.4895999999999985</v>
      </c>
      <c r="O157">
        <v>22</v>
      </c>
      <c r="P157">
        <v>21.5</v>
      </c>
      <c r="Q157">
        <v>14</v>
      </c>
      <c r="R157">
        <v>9.8920000000000012</v>
      </c>
      <c r="S157">
        <v>29</v>
      </c>
      <c r="T157">
        <v>-8.4</v>
      </c>
      <c r="U157">
        <v>3.12</v>
      </c>
      <c r="V157">
        <v>2</v>
      </c>
      <c r="W157">
        <v>4</v>
      </c>
      <c r="X157">
        <v>4</v>
      </c>
      <c r="Y157">
        <v>4.1880000000000006</v>
      </c>
      <c r="Z157">
        <v>4</v>
      </c>
      <c r="AA157">
        <v>9.4000000000000021</v>
      </c>
      <c r="AB157">
        <v>0.72</v>
      </c>
      <c r="AC157">
        <v>3</v>
      </c>
      <c r="AD157">
        <v>3.5</v>
      </c>
      <c r="AE157">
        <v>5</v>
      </c>
      <c r="AF157">
        <v>-1.7759999999999998</v>
      </c>
      <c r="AG157">
        <v>2</v>
      </c>
      <c r="AH157">
        <v>8.5599999999999987</v>
      </c>
      <c r="AI157">
        <v>-1.2399999999999998</v>
      </c>
      <c r="AJ157">
        <v>16</v>
      </c>
      <c r="AK157">
        <v>17</v>
      </c>
      <c r="AL157">
        <v>17</v>
      </c>
      <c r="AM157">
        <v>-4.847999999999999</v>
      </c>
      <c r="AN157">
        <v>17</v>
      </c>
      <c r="AO157">
        <v>-17.28</v>
      </c>
      <c r="AP157">
        <v>-0.8</v>
      </c>
      <c r="AQ157">
        <v>20</v>
      </c>
      <c r="AR157">
        <v>19</v>
      </c>
      <c r="AS157">
        <v>18</v>
      </c>
      <c r="AT157">
        <v>3.2240000000000002</v>
      </c>
      <c r="AU157">
        <v>20</v>
      </c>
      <c r="AV157">
        <v>12.280000000000001</v>
      </c>
      <c r="AW157">
        <v>-0.11999999999999993</v>
      </c>
      <c r="AX157">
        <v>18</v>
      </c>
      <c r="AY157">
        <v>17</v>
      </c>
      <c r="AZ157">
        <v>12</v>
      </c>
      <c r="BA157">
        <v>3.1719999999999984</v>
      </c>
      <c r="BB157">
        <v>22</v>
      </c>
      <c r="BC157">
        <v>14.12</v>
      </c>
      <c r="BD157">
        <v>0.5199999999999998</v>
      </c>
      <c r="BE157">
        <v>27</v>
      </c>
      <c r="BF157">
        <v>27</v>
      </c>
      <c r="BG157">
        <v>26</v>
      </c>
      <c r="BH157">
        <v>-0.10000000000000106</v>
      </c>
      <c r="BI157">
        <v>6.5599999999999978</v>
      </c>
      <c r="BJ157">
        <v>-0.48000000000000009</v>
      </c>
      <c r="BK157">
        <v>31</v>
      </c>
      <c r="BL157">
        <v>31</v>
      </c>
      <c r="BM157">
        <v>30</v>
      </c>
      <c r="BN157">
        <v>1.2400000000000004</v>
      </c>
      <c r="BO157">
        <v>32</v>
      </c>
      <c r="BP157">
        <v>-0.36</v>
      </c>
      <c r="BQ157">
        <v>-1.2</v>
      </c>
      <c r="BR157">
        <v>16</v>
      </c>
      <c r="BS157">
        <v>14.5</v>
      </c>
      <c r="BT157">
        <v>17</v>
      </c>
      <c r="BU157">
        <v>-2.2978140316701735E-2</v>
      </c>
      <c r="BV157">
        <v>14</v>
      </c>
      <c r="BW157">
        <v>-1.9656028919711754E-2</v>
      </c>
      <c r="BX157">
        <v>3</v>
      </c>
      <c r="BY157">
        <v>13.559999999999999</v>
      </c>
      <c r="BZ157">
        <v>24</v>
      </c>
      <c r="CA157">
        <v>-5.0000000000000009</v>
      </c>
      <c r="CB157">
        <v>-7.9999999999998295E-2</v>
      </c>
      <c r="CC157">
        <v>6.3199999999999994</v>
      </c>
      <c r="CD157">
        <v>-0.27999999999999997</v>
      </c>
      <c r="CE157">
        <v>53.879999999999995</v>
      </c>
      <c r="CF157">
        <v>61.52</v>
      </c>
      <c r="CG157">
        <v>-3.5200000000000018</v>
      </c>
      <c r="CH157">
        <v>-3</v>
      </c>
      <c r="CI157">
        <v>-1.1200000000000003</v>
      </c>
      <c r="CJ157">
        <v>30</v>
      </c>
      <c r="CK157">
        <v>-8.5904000000000025</v>
      </c>
      <c r="CL157">
        <v>-6.6420800000000009</v>
      </c>
      <c r="CM157">
        <v>65.040000000000006</v>
      </c>
      <c r="CN157">
        <v>8.5904000000000025</v>
      </c>
      <c r="CO157">
        <v>2.1637000000000004</v>
      </c>
      <c r="CP157">
        <v>-3.3999999999999986</v>
      </c>
      <c r="CQ157">
        <v>3.5599999999999987</v>
      </c>
      <c r="CR157">
        <v>14.080000000000002</v>
      </c>
      <c r="CS157">
        <v>1.0000000000000018</v>
      </c>
      <c r="CT157">
        <v>-2.64</v>
      </c>
      <c r="CU157">
        <v>3.84</v>
      </c>
      <c r="CV157">
        <v>0.30745625000000021</v>
      </c>
      <c r="CW157">
        <v>1.0215625000000004</v>
      </c>
      <c r="CX157" t="s">
        <v>287</v>
      </c>
      <c r="CY157">
        <v>26</v>
      </c>
      <c r="CZ157">
        <v>-1.7331999999999996</v>
      </c>
      <c r="DA157">
        <v>7</v>
      </c>
      <c r="DB157">
        <v>10</v>
      </c>
      <c r="DC157">
        <v>11</v>
      </c>
      <c r="DD157">
        <v>8.3719999999999999</v>
      </c>
      <c r="DE157">
        <v>9</v>
      </c>
      <c r="DF157">
        <v>27.839999999999996</v>
      </c>
      <c r="DG157">
        <v>0.48000000000000009</v>
      </c>
      <c r="DH157">
        <v>21</v>
      </c>
      <c r="DI157">
        <v>18.5</v>
      </c>
      <c r="DJ157">
        <v>9</v>
      </c>
      <c r="DK157">
        <v>-1.236</v>
      </c>
      <c r="DL157">
        <v>28</v>
      </c>
      <c r="DM157">
        <v>10.16</v>
      </c>
      <c r="DN157">
        <v>-1.8799999999999997</v>
      </c>
      <c r="DO157">
        <v>28</v>
      </c>
      <c r="DP157">
        <v>26.5</v>
      </c>
      <c r="DQ157">
        <v>26</v>
      </c>
      <c r="DR157">
        <v>-4.8639999999999999</v>
      </c>
      <c r="DS157">
        <v>27</v>
      </c>
      <c r="DT157">
        <v>-21.159999999999997</v>
      </c>
      <c r="DU157">
        <v>-1.9599999999999997</v>
      </c>
      <c r="DV157">
        <v>21</v>
      </c>
      <c r="DW157">
        <v>22</v>
      </c>
      <c r="DX157">
        <v>22</v>
      </c>
      <c r="DY157">
        <v>-2.4279999999999999</v>
      </c>
      <c r="DZ157">
        <v>22</v>
      </c>
      <c r="EA157">
        <v>-6.6000000000000014</v>
      </c>
      <c r="EB157">
        <v>-1.7200000000000002</v>
      </c>
      <c r="EC157">
        <v>18</v>
      </c>
      <c r="ED157">
        <v>20.5</v>
      </c>
      <c r="EE157">
        <v>23</v>
      </c>
      <c r="EF157">
        <v>-0.11999999999999958</v>
      </c>
      <c r="EG157">
        <v>18</v>
      </c>
      <c r="EH157">
        <v>1.7600000000000002</v>
      </c>
      <c r="EI157">
        <v>-0.40000000000000019</v>
      </c>
      <c r="EJ157">
        <v>22</v>
      </c>
      <c r="EK157">
        <v>23</v>
      </c>
      <c r="EL157">
        <v>25</v>
      </c>
      <c r="EM157">
        <v>1.3680000000000008</v>
      </c>
      <c r="EN157">
        <v>21</v>
      </c>
      <c r="EO157">
        <v>6.080000000000001</v>
      </c>
      <c r="EP157">
        <v>-2.4799999999999995</v>
      </c>
      <c r="EQ157">
        <v>30</v>
      </c>
      <c r="ER157">
        <v>27.5</v>
      </c>
      <c r="ES157">
        <v>28</v>
      </c>
      <c r="ET157">
        <v>-2.4039999999999999</v>
      </c>
      <c r="EU157">
        <v>27</v>
      </c>
      <c r="EV157">
        <v>-4.839999999999999</v>
      </c>
      <c r="EW157">
        <v>-1.8</v>
      </c>
      <c r="EX157">
        <v>3</v>
      </c>
      <c r="EY157">
        <v>3.5</v>
      </c>
      <c r="EZ157">
        <v>4</v>
      </c>
      <c r="FA157">
        <v>1.1599999999999997</v>
      </c>
      <c r="FB157">
        <v>3</v>
      </c>
      <c r="FC157">
        <v>0.92000000000000015</v>
      </c>
      <c r="FD157">
        <v>-1.5999999999999999</v>
      </c>
      <c r="FE157">
        <v>25</v>
      </c>
      <c r="FF157">
        <v>21.5</v>
      </c>
      <c r="FG157">
        <v>20</v>
      </c>
      <c r="FH157">
        <v>-1.6180654778187108E-2</v>
      </c>
      <c r="FI157">
        <v>25</v>
      </c>
      <c r="FJ157">
        <v>1.0760578244582613E-2</v>
      </c>
      <c r="FK157">
        <v>18</v>
      </c>
      <c r="FL157">
        <v>-3.3840000000000003</v>
      </c>
      <c r="FM157">
        <v>23</v>
      </c>
      <c r="FN157">
        <v>0.12000000000000029</v>
      </c>
      <c r="FO157">
        <v>-6</v>
      </c>
      <c r="FP157">
        <v>5.4</v>
      </c>
      <c r="FQ157">
        <v>0.1999999999999999</v>
      </c>
      <c r="FR157">
        <v>-0.16000000000000086</v>
      </c>
      <c r="FS157">
        <v>-0.52000000000000024</v>
      </c>
      <c r="FT157">
        <v>0.48000000000000009</v>
      </c>
      <c r="FU157">
        <v>36.04</v>
      </c>
      <c r="FV157">
        <v>-3.960000000000008</v>
      </c>
      <c r="FW157">
        <v>39.24</v>
      </c>
      <c r="FX157">
        <v>0.91999999999999993</v>
      </c>
      <c r="FY157">
        <v>-0.16000000000000014</v>
      </c>
      <c r="FZ157">
        <v>30</v>
      </c>
      <c r="GA157">
        <v>-8.8691999999999993</v>
      </c>
      <c r="GB157">
        <v>-5.8778399999999991</v>
      </c>
      <c r="GC157">
        <v>-43.20000000000001</v>
      </c>
      <c r="GD157">
        <v>8.8691999999999993</v>
      </c>
      <c r="GE157">
        <v>-0.40665000000000001</v>
      </c>
      <c r="GF157">
        <v>-7.411999999999999</v>
      </c>
      <c r="GG157">
        <v>-25.999999999999996</v>
      </c>
      <c r="GH157">
        <v>7.1360000000000001</v>
      </c>
      <c r="GI157">
        <v>38</v>
      </c>
      <c r="GJ157">
        <v>-5.88</v>
      </c>
      <c r="GK157">
        <v>-1.3999999999999995</v>
      </c>
    </row>
    <row r="158" spans="1:193" x14ac:dyDescent="0.2">
      <c r="A158" s="39">
        <v>43772</v>
      </c>
      <c r="B158" s="22" t="s">
        <v>246</v>
      </c>
      <c r="C158" s="41" t="s">
        <v>311</v>
      </c>
      <c r="D158" s="22" t="s">
        <v>297</v>
      </c>
      <c r="E158">
        <v>19.399999999999999</v>
      </c>
      <c r="F158">
        <v>9.1999999999999993</v>
      </c>
      <c r="G158">
        <v>1.8</v>
      </c>
      <c r="H158">
        <v>12.6</v>
      </c>
      <c r="I158">
        <v>1</v>
      </c>
      <c r="J158">
        <v>46</v>
      </c>
      <c r="K158" t="s">
        <v>109</v>
      </c>
      <c r="L158" s="1" t="s">
        <v>311</v>
      </c>
      <c r="M158">
        <v>4</v>
      </c>
      <c r="N158">
        <v>4.6983999999999995</v>
      </c>
      <c r="O158">
        <v>22</v>
      </c>
      <c r="P158">
        <v>21.5</v>
      </c>
      <c r="Q158">
        <v>30</v>
      </c>
      <c r="R158">
        <v>-5.048</v>
      </c>
      <c r="S158">
        <v>13</v>
      </c>
      <c r="T158">
        <v>7.3199999999999985</v>
      </c>
      <c r="U158">
        <v>-1.56</v>
      </c>
      <c r="V158">
        <v>8</v>
      </c>
      <c r="W158">
        <v>9.5</v>
      </c>
      <c r="X158">
        <v>3</v>
      </c>
      <c r="Y158">
        <v>0.87200000000000055</v>
      </c>
      <c r="Z158">
        <v>16</v>
      </c>
      <c r="AA158">
        <v>10.919999999999998</v>
      </c>
      <c r="AB158">
        <v>-0.48000000000000009</v>
      </c>
      <c r="AC158">
        <v>2</v>
      </c>
      <c r="AD158">
        <v>2.5</v>
      </c>
      <c r="AE158">
        <v>1</v>
      </c>
      <c r="AF158">
        <v>2.5960000000000001</v>
      </c>
      <c r="AG158">
        <v>4</v>
      </c>
      <c r="AH158">
        <v>5.2799999999999994</v>
      </c>
      <c r="AI158">
        <v>2.72</v>
      </c>
      <c r="AJ158">
        <v>15</v>
      </c>
      <c r="AK158">
        <v>15</v>
      </c>
      <c r="AL158">
        <v>16</v>
      </c>
      <c r="AM158">
        <v>4.3720000000000017</v>
      </c>
      <c r="AN158">
        <v>14</v>
      </c>
      <c r="AO158">
        <v>17.399999999999999</v>
      </c>
      <c r="AP158">
        <v>2.2000000000000002</v>
      </c>
      <c r="AQ158">
        <v>21</v>
      </c>
      <c r="AR158">
        <v>21</v>
      </c>
      <c r="AS158">
        <v>21</v>
      </c>
      <c r="AT158">
        <v>1.8679999999999999</v>
      </c>
      <c r="AU158">
        <v>21</v>
      </c>
      <c r="AV158">
        <v>11</v>
      </c>
      <c r="AW158">
        <v>0.1999999999999999</v>
      </c>
      <c r="AX158">
        <v>17</v>
      </c>
      <c r="AY158">
        <v>16.5</v>
      </c>
      <c r="AZ158">
        <v>21</v>
      </c>
      <c r="BA158">
        <v>-1.28</v>
      </c>
      <c r="BB158">
        <v>12</v>
      </c>
      <c r="BC158">
        <v>-3.1999999999999984</v>
      </c>
      <c r="BD158">
        <v>0.8</v>
      </c>
      <c r="BE158">
        <v>11</v>
      </c>
      <c r="BF158">
        <v>12</v>
      </c>
      <c r="BG158">
        <v>11</v>
      </c>
      <c r="BH158">
        <v>3.3720000000000008</v>
      </c>
      <c r="BI158">
        <v>8.52</v>
      </c>
      <c r="BJ158">
        <v>-0.27999999999999992</v>
      </c>
      <c r="BK158">
        <v>22</v>
      </c>
      <c r="BL158">
        <v>20.5</v>
      </c>
      <c r="BM158">
        <v>22</v>
      </c>
      <c r="BN158">
        <v>0.67999999999999994</v>
      </c>
      <c r="BO158">
        <v>19</v>
      </c>
      <c r="BP158">
        <v>0.27999999999999992</v>
      </c>
      <c r="BQ158">
        <v>-1.3999999999999997</v>
      </c>
      <c r="BR158">
        <v>20</v>
      </c>
      <c r="BS158">
        <v>17.5</v>
      </c>
      <c r="BT158">
        <v>1</v>
      </c>
      <c r="BU158">
        <v>-9.1439768124593479E-3</v>
      </c>
      <c r="BV158">
        <v>24</v>
      </c>
      <c r="BW158">
        <v>-5.3759730560500622E-3</v>
      </c>
      <c r="BX158">
        <v>15</v>
      </c>
      <c r="BY158">
        <v>-0.36799999999999927</v>
      </c>
      <c r="BZ158">
        <v>30</v>
      </c>
      <c r="CA158">
        <v>-0.92000000000000015</v>
      </c>
      <c r="CB158">
        <v>3.8000000000000016</v>
      </c>
      <c r="CC158">
        <v>1.3599999999999994</v>
      </c>
      <c r="CD158">
        <v>0.28000000000000008</v>
      </c>
      <c r="CE158">
        <v>39</v>
      </c>
      <c r="CF158">
        <v>13.959999999999997</v>
      </c>
      <c r="CG158">
        <v>9.879999999999999</v>
      </c>
      <c r="CH158">
        <v>-3.2800000000000002</v>
      </c>
      <c r="CI158">
        <v>18.440000000000005</v>
      </c>
      <c r="CJ158">
        <v>5</v>
      </c>
      <c r="CK158">
        <v>8.8743999999999996</v>
      </c>
      <c r="CL158">
        <v>5.4692799999999995</v>
      </c>
      <c r="CM158">
        <v>4.0799999999999983</v>
      </c>
      <c r="CN158">
        <v>-8.8743999999999978</v>
      </c>
      <c r="CO158">
        <v>1.6763000000000003</v>
      </c>
      <c r="CP158">
        <v>8.8360000000000021</v>
      </c>
      <c r="CQ158">
        <v>33.68</v>
      </c>
      <c r="CR158">
        <v>-4.1759999999999993</v>
      </c>
      <c r="CS158">
        <v>18.239999999999995</v>
      </c>
      <c r="CT158">
        <v>4.84</v>
      </c>
      <c r="CU158">
        <v>-2.04</v>
      </c>
      <c r="CV158">
        <v>0.33815000000000017</v>
      </c>
      <c r="CW158">
        <v>0.51790000000000036</v>
      </c>
      <c r="CX158" t="s">
        <v>297</v>
      </c>
      <c r="CY158">
        <v>20</v>
      </c>
      <c r="CZ158">
        <v>3.5640000000000001</v>
      </c>
      <c r="DA158">
        <v>1</v>
      </c>
      <c r="DB158">
        <v>1.5</v>
      </c>
      <c r="DC158">
        <v>2</v>
      </c>
      <c r="DD158">
        <v>-2.0808000000000004</v>
      </c>
      <c r="DE158">
        <v>1</v>
      </c>
      <c r="DF158">
        <v>-13.52</v>
      </c>
      <c r="DG158">
        <v>0</v>
      </c>
      <c r="DH158">
        <v>13</v>
      </c>
      <c r="DI158">
        <v>14.5</v>
      </c>
      <c r="DJ158">
        <v>11</v>
      </c>
      <c r="DK158">
        <v>2.0400000000000005</v>
      </c>
      <c r="DL158">
        <v>18</v>
      </c>
      <c r="DM158">
        <v>10.4</v>
      </c>
      <c r="DN158">
        <v>0.4</v>
      </c>
      <c r="DO158">
        <v>12</v>
      </c>
      <c r="DP158">
        <v>13</v>
      </c>
      <c r="DQ158">
        <v>11</v>
      </c>
      <c r="DR158">
        <v>-6.5760000000000005</v>
      </c>
      <c r="DS158">
        <v>15</v>
      </c>
      <c r="DT158">
        <v>-23.080000000000002</v>
      </c>
      <c r="DU158">
        <v>-0.87999999999999989</v>
      </c>
      <c r="DV158">
        <v>26</v>
      </c>
      <c r="DW158">
        <v>26.5</v>
      </c>
      <c r="DX158">
        <v>28</v>
      </c>
      <c r="DY158">
        <v>0.74400000000000033</v>
      </c>
      <c r="DZ158">
        <v>25</v>
      </c>
      <c r="EA158">
        <v>8.9199999999999982</v>
      </c>
      <c r="EB158">
        <v>0.64</v>
      </c>
      <c r="EC158">
        <v>1</v>
      </c>
      <c r="ED158">
        <v>5</v>
      </c>
      <c r="EE158">
        <v>5</v>
      </c>
      <c r="EF158">
        <v>3.4279999999999999</v>
      </c>
      <c r="EG158">
        <v>5</v>
      </c>
      <c r="EH158">
        <v>20.439999999999998</v>
      </c>
      <c r="EI158">
        <v>1.1599999999999999</v>
      </c>
      <c r="EJ158">
        <v>27</v>
      </c>
      <c r="EK158">
        <v>27</v>
      </c>
      <c r="EL158">
        <v>29</v>
      </c>
      <c r="EM158">
        <v>2.2200000000000002</v>
      </c>
      <c r="EN158">
        <v>25</v>
      </c>
      <c r="EO158">
        <v>9.7999999999999989</v>
      </c>
      <c r="EP158">
        <v>0.64000000000000024</v>
      </c>
      <c r="EQ158">
        <v>26</v>
      </c>
      <c r="ER158">
        <v>25.5</v>
      </c>
      <c r="ES158">
        <v>22</v>
      </c>
      <c r="ET158">
        <v>2.2679999999999998</v>
      </c>
      <c r="EU158">
        <v>29</v>
      </c>
      <c r="EV158">
        <v>-3.3200000000000003</v>
      </c>
      <c r="EW158">
        <v>-1.6800000000000004</v>
      </c>
      <c r="EX158">
        <v>26</v>
      </c>
      <c r="EY158">
        <v>25</v>
      </c>
      <c r="EZ158">
        <v>21</v>
      </c>
      <c r="FA158">
        <v>-2.1199999999999997</v>
      </c>
      <c r="FB158">
        <v>29</v>
      </c>
      <c r="FC158">
        <v>-0.76</v>
      </c>
      <c r="FD158">
        <v>-0.43999999999999967</v>
      </c>
      <c r="FE158">
        <v>20</v>
      </c>
      <c r="FF158">
        <v>16.75</v>
      </c>
      <c r="FG158">
        <v>21</v>
      </c>
      <c r="FH158">
        <v>3.4689955699712102E-2</v>
      </c>
      <c r="FI158">
        <v>5</v>
      </c>
      <c r="FJ158">
        <v>-6.0570354333695673E-3</v>
      </c>
      <c r="FK158">
        <v>32</v>
      </c>
      <c r="FL158">
        <v>-3.8760000000000003</v>
      </c>
      <c r="FM158">
        <v>9</v>
      </c>
      <c r="FN158">
        <v>-1.0799999999999996</v>
      </c>
      <c r="FO158">
        <v>0.96000000000000019</v>
      </c>
      <c r="FP158">
        <v>-3.8400000000000007</v>
      </c>
      <c r="FQ158">
        <v>7.9999999999999932E-2</v>
      </c>
      <c r="FR158">
        <v>-2.72</v>
      </c>
      <c r="FS158">
        <v>1.4000000000000004</v>
      </c>
      <c r="FT158">
        <v>0.60000000000000009</v>
      </c>
      <c r="FU158">
        <v>15.879999999999995</v>
      </c>
      <c r="FV158">
        <v>11.879999999999995</v>
      </c>
      <c r="FW158">
        <v>-4.599999999999997</v>
      </c>
      <c r="FX158">
        <v>4.4799999999999995</v>
      </c>
      <c r="FY158">
        <v>4.1199999999999992</v>
      </c>
      <c r="FZ158">
        <v>8</v>
      </c>
      <c r="GA158">
        <v>3.6047999999999996</v>
      </c>
      <c r="GB158">
        <v>0.70599999999999985</v>
      </c>
      <c r="GC158">
        <v>16.479999999999993</v>
      </c>
      <c r="GD158">
        <v>-3.6048</v>
      </c>
      <c r="GE158">
        <v>0.15839999999999999</v>
      </c>
      <c r="GF158">
        <v>-2.4039999999999999</v>
      </c>
      <c r="GG158">
        <v>6.279999999999994</v>
      </c>
      <c r="GH158">
        <v>-4.0799999999999947E-2</v>
      </c>
      <c r="GI158">
        <v>-3.1199999999999992</v>
      </c>
      <c r="GJ158">
        <v>-0.76000000000000034</v>
      </c>
      <c r="GK158">
        <v>0.4</v>
      </c>
    </row>
    <row r="159" spans="1:193" x14ac:dyDescent="0.2">
      <c r="A159" s="39">
        <v>43772</v>
      </c>
      <c r="B159" s="28" t="s">
        <v>246</v>
      </c>
      <c r="C159" s="41" t="s">
        <v>289</v>
      </c>
      <c r="D159" s="28" t="s">
        <v>309</v>
      </c>
      <c r="E159" s="3">
        <v>18.600000000000001</v>
      </c>
      <c r="F159" s="3">
        <v>13</v>
      </c>
      <c r="G159" s="3">
        <v>10.199999999999999</v>
      </c>
      <c r="H159" s="3">
        <f>11.2+3.6+2.1</f>
        <v>16.899999999999999</v>
      </c>
      <c r="I159" s="3">
        <v>1</v>
      </c>
      <c r="J159" s="3">
        <v>39.5</v>
      </c>
      <c r="K159" s="3" t="s">
        <v>110</v>
      </c>
      <c r="L159" s="1" t="s">
        <v>289</v>
      </c>
      <c r="M159">
        <v>18</v>
      </c>
      <c r="N159">
        <v>-0.36960000000000015</v>
      </c>
      <c r="O159">
        <v>11</v>
      </c>
      <c r="P159">
        <v>11.5</v>
      </c>
      <c r="Q159">
        <v>19</v>
      </c>
      <c r="R159">
        <v>-3.1039999999999996</v>
      </c>
      <c r="S159">
        <v>4</v>
      </c>
      <c r="T159">
        <v>12.440000000000001</v>
      </c>
      <c r="U159">
        <v>-2.12</v>
      </c>
      <c r="V159">
        <v>23</v>
      </c>
      <c r="W159">
        <v>20.5</v>
      </c>
      <c r="X159">
        <v>18</v>
      </c>
      <c r="Y159">
        <v>-1.7599999999999998</v>
      </c>
      <c r="Z159">
        <v>23</v>
      </c>
      <c r="AA159">
        <v>-9.9199999999999982</v>
      </c>
      <c r="AB159">
        <v>0.1999999999999999</v>
      </c>
      <c r="AC159">
        <v>18</v>
      </c>
      <c r="AD159">
        <v>18</v>
      </c>
      <c r="AE159">
        <v>21</v>
      </c>
      <c r="AF159">
        <v>-1.2919999999999996</v>
      </c>
      <c r="AG159">
        <v>15</v>
      </c>
      <c r="AH159">
        <v>-0.28000000000000258</v>
      </c>
      <c r="AI159">
        <v>4.0000000000000216E-2</v>
      </c>
      <c r="AJ159">
        <v>18</v>
      </c>
      <c r="AK159">
        <v>18.5</v>
      </c>
      <c r="AL159">
        <v>14</v>
      </c>
      <c r="AM159">
        <v>1.2560000000000007</v>
      </c>
      <c r="AN159">
        <v>23</v>
      </c>
      <c r="AO159">
        <v>-8.0400000000000009</v>
      </c>
      <c r="AP159">
        <v>-1.8</v>
      </c>
      <c r="AQ159">
        <v>22</v>
      </c>
      <c r="AR159">
        <v>22</v>
      </c>
      <c r="AS159">
        <v>22</v>
      </c>
      <c r="AT159">
        <v>-0.64400000000000013</v>
      </c>
      <c r="AU159">
        <v>22</v>
      </c>
      <c r="AV159">
        <v>-10</v>
      </c>
      <c r="AW159">
        <v>0</v>
      </c>
      <c r="AX159">
        <v>12</v>
      </c>
      <c r="AY159">
        <v>12</v>
      </c>
      <c r="AZ159">
        <v>14</v>
      </c>
      <c r="BA159">
        <v>1.3279999999999998</v>
      </c>
      <c r="BB159">
        <v>10</v>
      </c>
      <c r="BC159">
        <v>1.2800000000000011</v>
      </c>
      <c r="BD159">
        <v>-0.80000000000000038</v>
      </c>
      <c r="BE159">
        <v>7</v>
      </c>
      <c r="BF159">
        <v>6.5</v>
      </c>
      <c r="BG159">
        <v>8</v>
      </c>
      <c r="BH159">
        <v>4.2439999999999998</v>
      </c>
      <c r="BI159">
        <v>14.839999999999998</v>
      </c>
      <c r="BJ159">
        <v>1</v>
      </c>
      <c r="BK159">
        <v>19</v>
      </c>
      <c r="BL159">
        <v>19.5</v>
      </c>
      <c r="BM159">
        <v>24</v>
      </c>
      <c r="BN159">
        <v>0.67999999999999994</v>
      </c>
      <c r="BO159">
        <v>15</v>
      </c>
      <c r="BP159">
        <v>0.55999999999999994</v>
      </c>
      <c r="BQ159">
        <v>1.8800000000000003</v>
      </c>
      <c r="BR159">
        <v>3</v>
      </c>
      <c r="BS159">
        <v>7.75</v>
      </c>
      <c r="BT159">
        <v>4</v>
      </c>
      <c r="BU159">
        <v>8.230597285490307E-2</v>
      </c>
      <c r="BV159">
        <v>8</v>
      </c>
      <c r="BW159">
        <v>-1.688074856093446E-2</v>
      </c>
      <c r="BX159">
        <v>13</v>
      </c>
      <c r="BY159">
        <v>3.9639999999999986</v>
      </c>
      <c r="BZ159">
        <v>6</v>
      </c>
      <c r="CA159">
        <v>-0.72000000000000008</v>
      </c>
      <c r="CB159">
        <v>2.680000000000001</v>
      </c>
      <c r="CC159">
        <v>0.4</v>
      </c>
      <c r="CD159">
        <v>8.0000000000000071E-2</v>
      </c>
      <c r="CE159">
        <v>-3.6799999999999953</v>
      </c>
      <c r="CF159">
        <v>-21.439999999999998</v>
      </c>
      <c r="CG159">
        <v>9.9999999999999964</v>
      </c>
      <c r="CH159">
        <v>5.5600000000000005</v>
      </c>
      <c r="CI159">
        <v>2.2000000000000002</v>
      </c>
      <c r="CJ159">
        <v>9</v>
      </c>
      <c r="CK159">
        <v>4.4943999999999988</v>
      </c>
      <c r="CL159">
        <v>3.0708799999999998</v>
      </c>
      <c r="CM159">
        <v>-31.439999999999994</v>
      </c>
      <c r="CN159">
        <v>-4.4943999999999988</v>
      </c>
      <c r="CO159">
        <v>-0.12369999999999989</v>
      </c>
      <c r="CP159">
        <v>-0.67999999999999905</v>
      </c>
      <c r="CQ159">
        <v>-18.320000000000004</v>
      </c>
      <c r="CR159">
        <v>-4.863999999999999</v>
      </c>
      <c r="CS159">
        <v>2.5200000000000031</v>
      </c>
      <c r="CT159">
        <v>-0.75999999999999979</v>
      </c>
      <c r="CU159">
        <v>-1.9200000000000002</v>
      </c>
      <c r="CV159">
        <v>-1.1319416666666666</v>
      </c>
      <c r="CW159">
        <v>-0.97729999999999984</v>
      </c>
      <c r="CX159" t="s">
        <v>309</v>
      </c>
      <c r="CY159">
        <v>31</v>
      </c>
      <c r="CZ159">
        <v>-3.9739999999999993</v>
      </c>
      <c r="DA159">
        <v>22</v>
      </c>
      <c r="DB159">
        <v>21.5</v>
      </c>
      <c r="DC159">
        <v>32</v>
      </c>
      <c r="DD159">
        <v>-2.6239999999999997</v>
      </c>
      <c r="DE159">
        <v>11</v>
      </c>
      <c r="DF159">
        <v>-0.71999999999999886</v>
      </c>
      <c r="DG159">
        <v>-0.23999999999999994</v>
      </c>
      <c r="DH159">
        <v>16</v>
      </c>
      <c r="DI159">
        <v>16.5</v>
      </c>
      <c r="DJ159">
        <v>12</v>
      </c>
      <c r="DK159">
        <v>-2.4079999999999995</v>
      </c>
      <c r="DL159">
        <v>21</v>
      </c>
      <c r="DM159">
        <v>-8.2000000000000011</v>
      </c>
      <c r="DN159">
        <v>0.12000000000000011</v>
      </c>
      <c r="DO159">
        <v>26</v>
      </c>
      <c r="DP159">
        <v>29.5</v>
      </c>
      <c r="DQ159">
        <v>28</v>
      </c>
      <c r="DR159">
        <v>-0.99199999999999977</v>
      </c>
      <c r="DS159">
        <v>31</v>
      </c>
      <c r="DT159">
        <v>-8.3333333333333339</v>
      </c>
      <c r="DU159">
        <v>-1.5066666666666666</v>
      </c>
      <c r="DV159">
        <v>29</v>
      </c>
      <c r="DW159">
        <v>29.5</v>
      </c>
      <c r="DX159">
        <v>31</v>
      </c>
      <c r="DY159">
        <v>-1.0600000000000009</v>
      </c>
      <c r="DZ159">
        <v>28</v>
      </c>
      <c r="EA159">
        <v>1.2933333333333337</v>
      </c>
      <c r="EB159">
        <v>0.6399999999999999</v>
      </c>
      <c r="EC159">
        <v>5</v>
      </c>
      <c r="ED159">
        <v>25</v>
      </c>
      <c r="EE159">
        <v>27</v>
      </c>
      <c r="EF159">
        <v>5.3333333333331016E-3</v>
      </c>
      <c r="EG159">
        <v>23</v>
      </c>
      <c r="EH159">
        <v>-3.1599999999999993</v>
      </c>
      <c r="EI159">
        <v>-0.61333333333333351</v>
      </c>
      <c r="EJ159">
        <v>27</v>
      </c>
      <c r="EK159">
        <v>27</v>
      </c>
      <c r="EL159">
        <v>30</v>
      </c>
      <c r="EM159">
        <v>3.871999999999999</v>
      </c>
      <c r="EN159">
        <v>24</v>
      </c>
      <c r="EO159">
        <v>-2.4799999999999982</v>
      </c>
      <c r="EP159">
        <v>1.7600000000000002</v>
      </c>
      <c r="EQ159">
        <v>24</v>
      </c>
      <c r="ER159">
        <v>24</v>
      </c>
      <c r="ES159">
        <v>24</v>
      </c>
      <c r="ET159">
        <v>2.2399999999999993</v>
      </c>
      <c r="EU159">
        <v>24</v>
      </c>
      <c r="EV159">
        <v>-3.2</v>
      </c>
      <c r="EW159">
        <v>0.36</v>
      </c>
      <c r="EX159">
        <v>30</v>
      </c>
      <c r="EY159">
        <v>27.5</v>
      </c>
      <c r="EZ159">
        <v>31</v>
      </c>
      <c r="FA159">
        <v>-1.4800000000000002</v>
      </c>
      <c r="FB159">
        <v>24</v>
      </c>
      <c r="FC159">
        <v>-0.15999999999999992</v>
      </c>
      <c r="FD159">
        <v>-1.44</v>
      </c>
      <c r="FE159">
        <v>1</v>
      </c>
      <c r="FF159">
        <v>5.25</v>
      </c>
      <c r="FG159">
        <v>2</v>
      </c>
      <c r="FH159">
        <v>8.9486215052522758E-2</v>
      </c>
      <c r="FI159">
        <v>1</v>
      </c>
      <c r="FJ159">
        <v>4.8317468704985933E-2</v>
      </c>
      <c r="FK159">
        <v>16</v>
      </c>
      <c r="FL159">
        <v>-3.1200000000000032</v>
      </c>
      <c r="FM159">
        <v>2</v>
      </c>
      <c r="FN159">
        <v>6.6800000000000015</v>
      </c>
      <c r="FO159">
        <v>-0.35999999999999943</v>
      </c>
      <c r="FP159">
        <v>-1.7600000000000002</v>
      </c>
      <c r="FQ159">
        <v>-0.12000000000000011</v>
      </c>
      <c r="FR159">
        <v>-3.9999999999999147E-2</v>
      </c>
      <c r="FS159">
        <v>-2.2400000000000002</v>
      </c>
      <c r="FT159">
        <v>-1.2399999999999998</v>
      </c>
      <c r="FU159">
        <v>-36.000000000000014</v>
      </c>
      <c r="FV159">
        <v>-23.360000000000003</v>
      </c>
      <c r="FW159">
        <v>-11.520000000000001</v>
      </c>
      <c r="FX159">
        <v>3.12</v>
      </c>
      <c r="FY159">
        <v>-4.24</v>
      </c>
      <c r="FZ159">
        <v>16</v>
      </c>
      <c r="GA159">
        <v>1.0579999999999998</v>
      </c>
      <c r="GB159">
        <v>1.759866666666666</v>
      </c>
      <c r="GC159">
        <v>-11.840000000000002</v>
      </c>
      <c r="GD159">
        <v>-1.0579999999999998</v>
      </c>
      <c r="GE159">
        <v>-1.2865833333333332</v>
      </c>
      <c r="GF159">
        <v>-2.0466666666666673</v>
      </c>
      <c r="GG159">
        <v>-10.199999999999999</v>
      </c>
      <c r="GH159">
        <v>-5.0319999999999991</v>
      </c>
      <c r="GI159">
        <v>-8.92</v>
      </c>
      <c r="GJ159">
        <v>-1.1200000000000001</v>
      </c>
      <c r="GK159">
        <v>-0.11999999999999983</v>
      </c>
    </row>
    <row r="160" spans="1:193" x14ac:dyDescent="0.2">
      <c r="A160" s="39">
        <v>43772</v>
      </c>
      <c r="B160" s="22" t="s">
        <v>246</v>
      </c>
      <c r="C160" s="41" t="s">
        <v>297</v>
      </c>
      <c r="D160" s="22" t="s">
        <v>311</v>
      </c>
      <c r="E160">
        <v>7.2</v>
      </c>
      <c r="F160">
        <v>5.2</v>
      </c>
      <c r="G160">
        <v>13</v>
      </c>
      <c r="H160">
        <v>9.5</v>
      </c>
      <c r="I160">
        <v>-1</v>
      </c>
      <c r="J160">
        <v>46</v>
      </c>
      <c r="K160" t="s">
        <v>109</v>
      </c>
      <c r="L160" s="4" t="s">
        <v>297</v>
      </c>
      <c r="M160" s="3">
        <v>13</v>
      </c>
      <c r="N160" s="3">
        <v>1.6976000000000013</v>
      </c>
      <c r="O160" s="3">
        <v>10</v>
      </c>
      <c r="P160" s="3">
        <v>9.5</v>
      </c>
      <c r="Q160" s="3">
        <v>3</v>
      </c>
      <c r="R160" s="3">
        <v>5.5540000000000003</v>
      </c>
      <c r="S160" s="3">
        <v>16</v>
      </c>
      <c r="T160" s="3">
        <v>58.279999999999994</v>
      </c>
      <c r="U160" s="3">
        <v>0.9</v>
      </c>
      <c r="V160" s="3">
        <v>28</v>
      </c>
      <c r="W160" s="3">
        <v>28.5</v>
      </c>
      <c r="X160" s="3">
        <v>26</v>
      </c>
      <c r="Y160" s="3">
        <v>-4.3425999999999991</v>
      </c>
      <c r="Z160" s="3">
        <v>31</v>
      </c>
      <c r="AA160">
        <v>-9.2700000000000014</v>
      </c>
      <c r="AB160">
        <v>-2.4899999999999998</v>
      </c>
      <c r="AC160">
        <v>31</v>
      </c>
      <c r="AD160">
        <v>31.5</v>
      </c>
      <c r="AE160">
        <v>32</v>
      </c>
      <c r="AF160">
        <v>3.0359999999999996</v>
      </c>
      <c r="AG160">
        <v>31</v>
      </c>
      <c r="AH160">
        <v>21.32</v>
      </c>
      <c r="AI160">
        <v>1.8000000000000003</v>
      </c>
      <c r="AJ160">
        <v>7</v>
      </c>
      <c r="AK160">
        <v>8</v>
      </c>
      <c r="AL160">
        <v>4</v>
      </c>
      <c r="AM160">
        <v>4.9959999999999996</v>
      </c>
      <c r="AN160">
        <v>12</v>
      </c>
      <c r="AO160">
        <v>25.000000000000004</v>
      </c>
      <c r="AP160">
        <v>1.2399999999999998</v>
      </c>
      <c r="AQ160">
        <v>3</v>
      </c>
      <c r="AR160">
        <v>3</v>
      </c>
      <c r="AS160">
        <v>3</v>
      </c>
      <c r="AT160">
        <v>0.64400000000000013</v>
      </c>
      <c r="AU160">
        <v>3</v>
      </c>
      <c r="AV160">
        <v>0.48000000000000043</v>
      </c>
      <c r="AW160">
        <v>0.44000000000000011</v>
      </c>
      <c r="AX160">
        <v>13</v>
      </c>
      <c r="AY160">
        <v>12.5</v>
      </c>
      <c r="AZ160">
        <v>10</v>
      </c>
      <c r="BA160">
        <v>1.8520000000000003</v>
      </c>
      <c r="BB160">
        <v>15</v>
      </c>
      <c r="BC160">
        <v>4.9200000000000017</v>
      </c>
      <c r="BD160">
        <v>-1.3199999999999998</v>
      </c>
      <c r="BE160">
        <v>32</v>
      </c>
      <c r="BF160">
        <v>31</v>
      </c>
      <c r="BG160">
        <v>32</v>
      </c>
      <c r="BH160">
        <v>-3.7359999999999998</v>
      </c>
      <c r="BI160">
        <v>-24.160000000000004</v>
      </c>
      <c r="BJ160">
        <v>-1.56</v>
      </c>
      <c r="BK160">
        <v>27</v>
      </c>
      <c r="BL160">
        <v>27</v>
      </c>
      <c r="BM160">
        <v>27</v>
      </c>
      <c r="BN160">
        <v>2.4</v>
      </c>
      <c r="BO160">
        <v>27</v>
      </c>
      <c r="BP160">
        <v>0.72</v>
      </c>
      <c r="BQ160">
        <v>-1.0799999999999996</v>
      </c>
      <c r="BR160">
        <v>7</v>
      </c>
      <c r="BS160">
        <v>11.25</v>
      </c>
      <c r="BT160">
        <v>7</v>
      </c>
      <c r="BU160">
        <v>5.2463964242660165E-2</v>
      </c>
      <c r="BV160">
        <v>17</v>
      </c>
      <c r="BW160">
        <v>2.3827813112807295E-3</v>
      </c>
      <c r="BX160">
        <v>18</v>
      </c>
      <c r="BY160">
        <v>-13.884</v>
      </c>
      <c r="BZ160">
        <v>3</v>
      </c>
      <c r="CA160">
        <v>-0.43999999999999967</v>
      </c>
      <c r="CB160">
        <v>6.2799999999999985</v>
      </c>
      <c r="CC160">
        <v>0.63999999999999946</v>
      </c>
      <c r="CD160">
        <v>-0.44000000000000006</v>
      </c>
      <c r="CE160">
        <v>59.919999999999995</v>
      </c>
      <c r="CF160">
        <v>10.640000000000009</v>
      </c>
      <c r="CG160">
        <v>44.239999999999995</v>
      </c>
      <c r="CH160">
        <v>0.95999999999999963</v>
      </c>
      <c r="CI160">
        <v>4.08</v>
      </c>
      <c r="CJ160">
        <v>15</v>
      </c>
      <c r="CK160">
        <v>0.48620000000000019</v>
      </c>
      <c r="CL160">
        <v>0.72181999999999968</v>
      </c>
      <c r="CM160">
        <v>-33.599999999999987</v>
      </c>
      <c r="CN160">
        <v>-0.48620000000000019</v>
      </c>
      <c r="CO160">
        <v>1.2811250000000003</v>
      </c>
      <c r="CP160">
        <v>8.6760000000000002</v>
      </c>
      <c r="CQ160">
        <v>46.800000000000011</v>
      </c>
      <c r="CR160">
        <v>1.2114000000000011</v>
      </c>
      <c r="CS160">
        <v>49.009999999999991</v>
      </c>
      <c r="CT160">
        <v>1.92</v>
      </c>
      <c r="CU160">
        <v>-1.5899999999999999</v>
      </c>
      <c r="CV160">
        <v>0.33815000000000017</v>
      </c>
      <c r="CW160">
        <v>0.15839999999999999</v>
      </c>
      <c r="CX160" t="s">
        <v>311</v>
      </c>
      <c r="CY160">
        <v>6</v>
      </c>
      <c r="CZ160">
        <v>4.975200000000001</v>
      </c>
      <c r="DA160">
        <v>27</v>
      </c>
      <c r="DB160">
        <v>24</v>
      </c>
      <c r="DC160">
        <v>18</v>
      </c>
      <c r="DD160">
        <v>-3.0120000000000005</v>
      </c>
      <c r="DE160">
        <v>30</v>
      </c>
      <c r="DF160">
        <v>-26.119999999999997</v>
      </c>
      <c r="DG160">
        <v>0.4</v>
      </c>
      <c r="DH160">
        <v>1</v>
      </c>
      <c r="DI160">
        <v>1</v>
      </c>
      <c r="DJ160">
        <v>1</v>
      </c>
      <c r="DK160">
        <v>-1.4440000000000002</v>
      </c>
      <c r="DL160">
        <v>1</v>
      </c>
      <c r="DM160">
        <v>-1.0000000000000004</v>
      </c>
      <c r="DN160">
        <v>0.16000000000000006</v>
      </c>
      <c r="DO160">
        <v>15</v>
      </c>
      <c r="DP160">
        <v>11.5</v>
      </c>
      <c r="DQ160">
        <v>11</v>
      </c>
      <c r="DR160">
        <v>1.4039999999999999</v>
      </c>
      <c r="DS160">
        <v>12</v>
      </c>
      <c r="DT160">
        <v>-3.2000000000000042</v>
      </c>
      <c r="DU160">
        <v>0.31999999999999973</v>
      </c>
      <c r="DV160">
        <v>23</v>
      </c>
      <c r="DW160">
        <v>23</v>
      </c>
      <c r="DX160">
        <v>25</v>
      </c>
      <c r="DY160">
        <v>5.8280000000000012</v>
      </c>
      <c r="DZ160">
        <v>21</v>
      </c>
      <c r="EA160">
        <v>27</v>
      </c>
      <c r="EB160">
        <v>0.47999999999999987</v>
      </c>
      <c r="EC160">
        <v>10</v>
      </c>
      <c r="ED160">
        <v>8.5</v>
      </c>
      <c r="EE160">
        <v>8</v>
      </c>
      <c r="EF160">
        <v>1.3960000000000006</v>
      </c>
      <c r="EG160">
        <v>9</v>
      </c>
      <c r="EH160">
        <v>8.2399999999999984</v>
      </c>
      <c r="EI160">
        <v>-0.44000000000000022</v>
      </c>
      <c r="EJ160">
        <v>15</v>
      </c>
      <c r="EK160">
        <v>15.5</v>
      </c>
      <c r="EL160">
        <v>18</v>
      </c>
      <c r="EM160">
        <v>1.156000000000001</v>
      </c>
      <c r="EN160">
        <v>13</v>
      </c>
      <c r="EO160">
        <v>10.36</v>
      </c>
      <c r="EP160">
        <v>3.5527136788005011E-16</v>
      </c>
      <c r="EQ160">
        <v>14</v>
      </c>
      <c r="ER160">
        <v>14</v>
      </c>
      <c r="ES160">
        <v>14</v>
      </c>
      <c r="ET160">
        <v>-4.6039999999999992</v>
      </c>
      <c r="EU160">
        <v>14</v>
      </c>
      <c r="EV160">
        <v>-22.159999999999997</v>
      </c>
      <c r="EW160">
        <v>-0.16000000000000014</v>
      </c>
      <c r="EX160">
        <v>22</v>
      </c>
      <c r="EY160">
        <v>21.5</v>
      </c>
      <c r="EZ160">
        <v>19</v>
      </c>
      <c r="FA160">
        <v>-0.3999999999999998</v>
      </c>
      <c r="FB160">
        <v>24</v>
      </c>
      <c r="FC160">
        <v>-0.7599999999999999</v>
      </c>
      <c r="FD160">
        <v>-0.92000000000000015</v>
      </c>
      <c r="FE160">
        <v>27</v>
      </c>
      <c r="FF160">
        <v>22.75</v>
      </c>
      <c r="FG160">
        <v>31</v>
      </c>
      <c r="FH160">
        <v>3.9547142809869262E-3</v>
      </c>
      <c r="FI160">
        <v>30</v>
      </c>
      <c r="FJ160">
        <v>-1.8775390776615147E-2</v>
      </c>
      <c r="FK160">
        <v>2</v>
      </c>
      <c r="FL160">
        <v>-1.3640000000000043</v>
      </c>
      <c r="FM160">
        <v>28</v>
      </c>
      <c r="FN160">
        <v>-1.3999999999999997</v>
      </c>
      <c r="FO160">
        <v>1.3200000000000003</v>
      </c>
      <c r="FP160">
        <v>-3.28</v>
      </c>
      <c r="FQ160">
        <v>-0.52000000000000013</v>
      </c>
      <c r="FR160">
        <v>-3.6</v>
      </c>
      <c r="FS160">
        <v>1.9200000000000004</v>
      </c>
      <c r="FT160">
        <v>-0.96</v>
      </c>
      <c r="FU160">
        <v>-16.720000000000006</v>
      </c>
      <c r="FV160">
        <v>22.880000000000006</v>
      </c>
      <c r="FW160">
        <v>-27.32</v>
      </c>
      <c r="FX160">
        <v>-6.8800000000000008</v>
      </c>
      <c r="FY160">
        <v>-5.4</v>
      </c>
      <c r="FZ160">
        <v>2</v>
      </c>
      <c r="GA160">
        <v>9.4312000000000022</v>
      </c>
      <c r="GB160">
        <v>4.0278400000000012</v>
      </c>
      <c r="GC160">
        <v>50.2</v>
      </c>
      <c r="GD160">
        <v>-9.4312000000000005</v>
      </c>
      <c r="GE160">
        <v>0.51790000000000036</v>
      </c>
      <c r="GF160">
        <v>8.6280000000000019</v>
      </c>
      <c r="GG160">
        <v>32.039999999999992</v>
      </c>
      <c r="GH160">
        <v>-4.4560000000000004</v>
      </c>
      <c r="GI160">
        <v>-27.119999999999997</v>
      </c>
      <c r="GJ160">
        <v>0.19999999999999923</v>
      </c>
      <c r="GK160">
        <v>0.56000000000000005</v>
      </c>
    </row>
    <row r="161" spans="1:193" x14ac:dyDescent="0.2">
      <c r="A161" s="39">
        <v>43772</v>
      </c>
      <c r="B161" s="28" t="s">
        <v>246</v>
      </c>
      <c r="C161" s="41" t="s">
        <v>288</v>
      </c>
      <c r="D161" s="28" t="s">
        <v>312</v>
      </c>
      <c r="E161" s="3">
        <v>29.5</v>
      </c>
      <c r="F161" s="3">
        <v>13.3</v>
      </c>
      <c r="G161" s="3">
        <v>1.5</v>
      </c>
      <c r="H161" s="3">
        <v>14.4</v>
      </c>
      <c r="I161" s="3">
        <v>5.5</v>
      </c>
      <c r="J161" s="3">
        <v>46</v>
      </c>
      <c r="K161" s="3"/>
      <c r="L161" s="1" t="s">
        <v>288</v>
      </c>
      <c r="M161">
        <v>16</v>
      </c>
      <c r="N161">
        <v>0.60000000000000175</v>
      </c>
      <c r="O161">
        <v>32</v>
      </c>
      <c r="P161">
        <v>30</v>
      </c>
      <c r="Q161">
        <v>28</v>
      </c>
      <c r="R161">
        <v>-6.5919999999999987</v>
      </c>
      <c r="S161">
        <v>32</v>
      </c>
      <c r="T161">
        <v>-27.04</v>
      </c>
      <c r="U161">
        <v>-1.2</v>
      </c>
      <c r="V161">
        <v>17</v>
      </c>
      <c r="W161">
        <v>16.5</v>
      </c>
      <c r="X161">
        <v>19</v>
      </c>
      <c r="Y161">
        <v>0.61600000000000033</v>
      </c>
      <c r="Z161">
        <v>14</v>
      </c>
      <c r="AA161">
        <v>-5.9700000000000006</v>
      </c>
      <c r="AB161">
        <v>0.05</v>
      </c>
      <c r="AC161">
        <v>8</v>
      </c>
      <c r="AD161">
        <v>7</v>
      </c>
      <c r="AE161">
        <v>6</v>
      </c>
      <c r="AF161">
        <v>2.4239999999999995</v>
      </c>
      <c r="AG161">
        <v>8</v>
      </c>
      <c r="AH161">
        <v>4.0699999999999985</v>
      </c>
      <c r="AI161">
        <v>7.0000000000000104E-2</v>
      </c>
      <c r="AJ161">
        <v>26</v>
      </c>
      <c r="AK161">
        <v>26.5</v>
      </c>
      <c r="AL161">
        <v>27</v>
      </c>
      <c r="AM161">
        <v>-3.8289999999999993</v>
      </c>
      <c r="AN161">
        <v>26</v>
      </c>
      <c r="AO161">
        <v>-17.75</v>
      </c>
      <c r="AP161">
        <v>-3.0000000000000072E-2</v>
      </c>
      <c r="AQ161">
        <v>9</v>
      </c>
      <c r="AR161">
        <v>9.5</v>
      </c>
      <c r="AS161">
        <v>11</v>
      </c>
      <c r="AT161">
        <v>1.3279999999999998</v>
      </c>
      <c r="AU161">
        <v>8</v>
      </c>
      <c r="AV161">
        <v>11.559999999999999</v>
      </c>
      <c r="AW161">
        <v>1.1199999999999999</v>
      </c>
      <c r="AX161">
        <v>2</v>
      </c>
      <c r="AY161">
        <v>3.5</v>
      </c>
      <c r="AZ161">
        <v>4</v>
      </c>
      <c r="BA161">
        <v>3.9</v>
      </c>
      <c r="BB161">
        <v>3</v>
      </c>
      <c r="BC161">
        <v>19.399999999999999</v>
      </c>
      <c r="BD161">
        <v>1.8399999999999994</v>
      </c>
      <c r="BE161">
        <v>3</v>
      </c>
      <c r="BF161">
        <v>3.5</v>
      </c>
      <c r="BG161">
        <v>4</v>
      </c>
      <c r="BH161">
        <v>-1.1399999999999999</v>
      </c>
      <c r="BI161">
        <v>11.68</v>
      </c>
      <c r="BJ161">
        <v>0.64000000000000024</v>
      </c>
      <c r="BK161">
        <v>15</v>
      </c>
      <c r="BL161">
        <v>14.5</v>
      </c>
      <c r="BM161">
        <v>12</v>
      </c>
      <c r="BN161">
        <v>-8.0000000000000432E-2</v>
      </c>
      <c r="BO161">
        <v>17</v>
      </c>
      <c r="BP161">
        <v>0.28000000000000003</v>
      </c>
      <c r="BQ161">
        <v>3.08</v>
      </c>
      <c r="BR161">
        <v>29</v>
      </c>
      <c r="BS161">
        <v>25</v>
      </c>
      <c r="BT161">
        <v>26</v>
      </c>
      <c r="BU161">
        <v>-4.3275666234810696E-2</v>
      </c>
      <c r="BV161">
        <v>23</v>
      </c>
      <c r="BW161">
        <v>-1.4420400380535653E-2</v>
      </c>
      <c r="BX161">
        <v>25</v>
      </c>
      <c r="BY161">
        <v>-5.7760000000000016</v>
      </c>
      <c r="BZ161">
        <v>26</v>
      </c>
      <c r="CA161">
        <v>-0.95999999999999963</v>
      </c>
      <c r="CB161">
        <v>-5.4799999999999995</v>
      </c>
      <c r="CC161">
        <v>-0.32000000000000028</v>
      </c>
      <c r="CD161">
        <v>1.3199999999999998</v>
      </c>
      <c r="CE161">
        <v>-27.559999999999992</v>
      </c>
      <c r="CF161">
        <v>6.4000000000000057</v>
      </c>
      <c r="CG161">
        <v>-33.92</v>
      </c>
      <c r="CH161">
        <v>-5.08</v>
      </c>
      <c r="CI161">
        <v>5.0400000000000009</v>
      </c>
      <c r="CJ161">
        <v>7</v>
      </c>
      <c r="CK161">
        <v>6.5759999999999996</v>
      </c>
      <c r="CL161">
        <v>2.8645999999999994</v>
      </c>
      <c r="CM161">
        <v>40.320000000000007</v>
      </c>
      <c r="CN161">
        <v>-6.5759999999999996</v>
      </c>
      <c r="CO161">
        <v>-0.83412499999999967</v>
      </c>
      <c r="CP161">
        <v>-7.6999999999999957E-2</v>
      </c>
      <c r="CQ161">
        <v>-2.1200000000000028</v>
      </c>
      <c r="CR161">
        <v>-5.9759999999999982</v>
      </c>
      <c r="CS161">
        <v>-33.01</v>
      </c>
      <c r="CT161">
        <v>1.8000000000000003</v>
      </c>
      <c r="CU161">
        <v>-1.1499999999999999</v>
      </c>
      <c r="CV161">
        <v>3.4750000000000336E-2</v>
      </c>
      <c r="CW161">
        <v>-0.71259999999999957</v>
      </c>
      <c r="CX161" t="s">
        <v>312</v>
      </c>
      <c r="CY161">
        <v>7</v>
      </c>
      <c r="CZ161">
        <v>1.8528000000000007</v>
      </c>
      <c r="DA161">
        <v>22</v>
      </c>
      <c r="DB161">
        <v>21.5</v>
      </c>
      <c r="DC161">
        <v>22</v>
      </c>
      <c r="DD161">
        <v>-4.5399999999999991</v>
      </c>
      <c r="DE161">
        <v>21</v>
      </c>
      <c r="DF161">
        <v>-5.6</v>
      </c>
      <c r="DG161">
        <v>0.20000000000000009</v>
      </c>
      <c r="DH161">
        <v>8</v>
      </c>
      <c r="DI161">
        <v>11</v>
      </c>
      <c r="DJ161">
        <v>9</v>
      </c>
      <c r="DK161">
        <v>1.0560000000000005</v>
      </c>
      <c r="DL161">
        <v>13</v>
      </c>
      <c r="DM161">
        <v>-5.4800000000000013</v>
      </c>
      <c r="DN161">
        <v>-0.36000000000000004</v>
      </c>
      <c r="DO161">
        <v>6</v>
      </c>
      <c r="DP161">
        <v>14.5</v>
      </c>
      <c r="DQ161">
        <v>15</v>
      </c>
      <c r="DR161">
        <v>-3.5560000000000009</v>
      </c>
      <c r="DS161">
        <v>14</v>
      </c>
      <c r="DT161">
        <v>-14.120000000000001</v>
      </c>
      <c r="DU161">
        <v>-0.48000000000000009</v>
      </c>
      <c r="DV161">
        <v>4</v>
      </c>
      <c r="DW161">
        <v>5</v>
      </c>
      <c r="DX161">
        <v>3</v>
      </c>
      <c r="DY161">
        <v>5.0559999999999992</v>
      </c>
      <c r="DZ161">
        <v>7</v>
      </c>
      <c r="EA161">
        <v>6</v>
      </c>
      <c r="EB161">
        <v>1.8400000000000003</v>
      </c>
      <c r="EC161">
        <v>3</v>
      </c>
      <c r="ED161">
        <v>1</v>
      </c>
      <c r="EE161">
        <v>1</v>
      </c>
      <c r="EF161">
        <v>4.2640000000000002</v>
      </c>
      <c r="EG161">
        <v>1</v>
      </c>
      <c r="EH161">
        <v>16.639999999999997</v>
      </c>
      <c r="EI161">
        <v>2.12</v>
      </c>
      <c r="EJ161">
        <v>13</v>
      </c>
      <c r="EK161">
        <v>12.5</v>
      </c>
      <c r="EL161">
        <v>13</v>
      </c>
      <c r="EM161">
        <v>-4.2519999999999989</v>
      </c>
      <c r="EN161">
        <v>12</v>
      </c>
      <c r="EO161">
        <v>-20.12</v>
      </c>
      <c r="EP161">
        <v>-0.47999999999999987</v>
      </c>
      <c r="EQ161">
        <v>18</v>
      </c>
      <c r="ER161">
        <v>16</v>
      </c>
      <c r="ES161">
        <v>20</v>
      </c>
      <c r="ET161">
        <v>0.12400000000000108</v>
      </c>
      <c r="EU161">
        <v>12</v>
      </c>
      <c r="EV161">
        <v>5.9599999999999982</v>
      </c>
      <c r="EW161">
        <v>2.4000000000000004</v>
      </c>
      <c r="EX161">
        <v>11</v>
      </c>
      <c r="EY161">
        <v>12</v>
      </c>
      <c r="EZ161">
        <v>11</v>
      </c>
      <c r="FA161">
        <v>2</v>
      </c>
      <c r="FB161">
        <v>13</v>
      </c>
      <c r="FC161">
        <v>0.55999999999999994</v>
      </c>
      <c r="FD161">
        <v>-3.2</v>
      </c>
      <c r="FE161">
        <v>7</v>
      </c>
      <c r="FF161">
        <v>12.25</v>
      </c>
      <c r="FG161">
        <v>19</v>
      </c>
      <c r="FH161">
        <v>1.6317244017244749E-2</v>
      </c>
      <c r="FI161">
        <v>13</v>
      </c>
      <c r="FJ161">
        <v>-6.6993142915921424E-3</v>
      </c>
      <c r="FK161">
        <v>1</v>
      </c>
      <c r="FL161">
        <v>-13.960000000000003</v>
      </c>
      <c r="FM161">
        <v>16</v>
      </c>
      <c r="FN161">
        <v>-1.9199999999999995</v>
      </c>
      <c r="FO161">
        <v>3.7199999999999998</v>
      </c>
      <c r="FP161">
        <v>-1.8799999999999997</v>
      </c>
      <c r="FQ161">
        <v>-0.88000000000000012</v>
      </c>
      <c r="FR161">
        <v>1.2</v>
      </c>
      <c r="FS161">
        <v>-0.47999999999999987</v>
      </c>
      <c r="FT161">
        <v>-1.9599999999999997</v>
      </c>
      <c r="FU161">
        <v>3.5600000000000023</v>
      </c>
      <c r="FV161">
        <v>22.999999999999993</v>
      </c>
      <c r="FW161">
        <v>-11.2</v>
      </c>
      <c r="FX161">
        <v>-4.24</v>
      </c>
      <c r="FY161">
        <v>-3.9999999999999991</v>
      </c>
      <c r="FZ161">
        <v>6</v>
      </c>
      <c r="GA161">
        <v>5.3367999999999984</v>
      </c>
      <c r="GB161">
        <v>3.2901599999999993</v>
      </c>
      <c r="GC161">
        <v>34.199999999999989</v>
      </c>
      <c r="GD161">
        <v>-5.3367999999999993</v>
      </c>
      <c r="GE161">
        <v>0.78210000000000024</v>
      </c>
      <c r="GF161">
        <v>5.7639999999999985</v>
      </c>
      <c r="GG161">
        <v>8.519999999999996</v>
      </c>
      <c r="GH161">
        <v>-3.4839999999999987</v>
      </c>
      <c r="GI161">
        <v>-11.080000000000002</v>
      </c>
      <c r="GJ161">
        <v>5.8800000000000008</v>
      </c>
      <c r="GK161">
        <v>-0.15999999999999995</v>
      </c>
    </row>
    <row r="162" spans="1:193" x14ac:dyDescent="0.2">
      <c r="A162" s="39">
        <v>43772</v>
      </c>
      <c r="B162" s="22" t="s">
        <v>246</v>
      </c>
      <c r="C162" s="41" t="s">
        <v>303</v>
      </c>
      <c r="D162" s="22" t="s">
        <v>299</v>
      </c>
      <c r="E162">
        <v>7.8</v>
      </c>
      <c r="F162">
        <v>17.399999999999999</v>
      </c>
      <c r="G162">
        <v>5.4</v>
      </c>
      <c r="H162">
        <f>7.3+7.2+2.7</f>
        <v>17.2</v>
      </c>
      <c r="I162">
        <v>-2.5</v>
      </c>
      <c r="J162">
        <v>51.5</v>
      </c>
      <c r="L162" s="4" t="s">
        <v>303</v>
      </c>
      <c r="M162" s="3">
        <v>22</v>
      </c>
      <c r="N162" s="3">
        <v>-1.8191999999999982</v>
      </c>
      <c r="O162" s="3">
        <v>7</v>
      </c>
      <c r="P162" s="3">
        <v>7.5</v>
      </c>
      <c r="Q162" s="3">
        <v>12</v>
      </c>
      <c r="R162" s="3">
        <v>2.1959999999999997</v>
      </c>
      <c r="S162" s="3">
        <v>3</v>
      </c>
      <c r="T162" s="3">
        <v>37.96</v>
      </c>
      <c r="U162" s="3">
        <v>-1.48</v>
      </c>
      <c r="V162" s="3">
        <v>22</v>
      </c>
      <c r="W162" s="3">
        <v>19.5</v>
      </c>
      <c r="X162" s="3">
        <v>17</v>
      </c>
      <c r="Y162" s="3">
        <v>-7.7000000000000138E-2</v>
      </c>
      <c r="Z162" s="3">
        <v>22</v>
      </c>
      <c r="AA162">
        <v>-7.9800000000000013</v>
      </c>
      <c r="AB162">
        <v>0.79</v>
      </c>
      <c r="AC162">
        <v>30</v>
      </c>
      <c r="AD162">
        <v>30.5</v>
      </c>
      <c r="AE162">
        <v>31</v>
      </c>
      <c r="AF162">
        <v>-5.8639999999999999</v>
      </c>
      <c r="AG162">
        <v>30</v>
      </c>
      <c r="AH162">
        <v>-27.96</v>
      </c>
      <c r="AI162">
        <v>-2.86</v>
      </c>
      <c r="AJ162">
        <v>24</v>
      </c>
      <c r="AK162">
        <v>23</v>
      </c>
      <c r="AL162">
        <v>22</v>
      </c>
      <c r="AM162">
        <v>-2.4729999999999999</v>
      </c>
      <c r="AN162">
        <v>24</v>
      </c>
      <c r="AO162">
        <v>-15.690000000000001</v>
      </c>
      <c r="AP162">
        <v>-1.85</v>
      </c>
      <c r="AQ162">
        <v>25</v>
      </c>
      <c r="AR162">
        <v>25</v>
      </c>
      <c r="AS162">
        <v>25</v>
      </c>
      <c r="AT162">
        <v>0.36200000000000021</v>
      </c>
      <c r="AU162">
        <v>25</v>
      </c>
      <c r="AV162">
        <v>-9.4</v>
      </c>
      <c r="AW162">
        <v>-0.75</v>
      </c>
      <c r="AX162">
        <v>24</v>
      </c>
      <c r="AY162">
        <v>25</v>
      </c>
      <c r="AZ162">
        <v>27</v>
      </c>
      <c r="BA162">
        <v>-1.4840000000000009</v>
      </c>
      <c r="BB162">
        <v>23</v>
      </c>
      <c r="BC162">
        <v>-11.640000000000002</v>
      </c>
      <c r="BD162">
        <v>-1.2800000000000005</v>
      </c>
      <c r="BE162">
        <v>5</v>
      </c>
      <c r="BF162">
        <v>6</v>
      </c>
      <c r="BG162">
        <v>6</v>
      </c>
      <c r="BH162">
        <v>8.2639999999999993</v>
      </c>
      <c r="BI162">
        <v>21.919999999999998</v>
      </c>
      <c r="BJ162">
        <v>2.0000000000000004</v>
      </c>
      <c r="BK162">
        <v>19</v>
      </c>
      <c r="BL162">
        <v>19.5</v>
      </c>
      <c r="BM162">
        <v>26</v>
      </c>
      <c r="BN162">
        <v>-1.0000000000000004</v>
      </c>
      <c r="BO162">
        <v>13</v>
      </c>
      <c r="BP162">
        <v>-0.76</v>
      </c>
      <c r="BQ162">
        <v>-1.2799999999999998</v>
      </c>
      <c r="BR162">
        <v>19</v>
      </c>
      <c r="BS162">
        <v>17.25</v>
      </c>
      <c r="BT162">
        <v>14</v>
      </c>
      <c r="BU162">
        <v>-7.2629886826685919E-2</v>
      </c>
      <c r="BV162">
        <v>21</v>
      </c>
      <c r="BW162">
        <v>-3.0891204484768741E-2</v>
      </c>
      <c r="BX162">
        <v>32</v>
      </c>
      <c r="BY162">
        <v>9.5279999999999969</v>
      </c>
      <c r="BZ162">
        <v>2</v>
      </c>
      <c r="CA162">
        <v>-3.2400000000000007</v>
      </c>
      <c r="CB162">
        <v>0.60000000000000142</v>
      </c>
      <c r="CC162">
        <v>1.5599999999999994</v>
      </c>
      <c r="CD162">
        <v>0.40000000000000008</v>
      </c>
      <c r="CE162">
        <v>35.440000000000012</v>
      </c>
      <c r="CF162">
        <v>-9.4799999999999951</v>
      </c>
      <c r="CG162">
        <v>38.64</v>
      </c>
      <c r="CH162">
        <v>14.919999999999998</v>
      </c>
      <c r="CI162">
        <v>-8.64</v>
      </c>
      <c r="CJ162">
        <v>22</v>
      </c>
      <c r="CK162">
        <v>-3.9381999999999984</v>
      </c>
      <c r="CL162">
        <v>-1.3655399999999998</v>
      </c>
      <c r="CM162">
        <v>-48.12</v>
      </c>
      <c r="CN162">
        <v>3.9381999999999979</v>
      </c>
      <c r="CO162">
        <v>-5.1399999999999946E-2</v>
      </c>
      <c r="CP162">
        <v>-7.9749999999999996</v>
      </c>
      <c r="CQ162">
        <v>-53.050000000000004</v>
      </c>
      <c r="CR162">
        <v>2.1189999999999998</v>
      </c>
      <c r="CS162">
        <v>29.98</v>
      </c>
      <c r="CT162">
        <v>-3.4599999999999995</v>
      </c>
      <c r="CU162">
        <v>-0.69</v>
      </c>
      <c r="CV162">
        <v>1.6730499999999997</v>
      </c>
      <c r="CW162">
        <v>1.2088999999999999</v>
      </c>
      <c r="CX162" t="s">
        <v>299</v>
      </c>
      <c r="CY162">
        <v>3</v>
      </c>
      <c r="CZ162">
        <v>4.4336000000000011</v>
      </c>
      <c r="DA162">
        <v>14</v>
      </c>
      <c r="DB162">
        <v>16</v>
      </c>
      <c r="DC162">
        <v>14</v>
      </c>
      <c r="DD162">
        <v>2.4319999999999991</v>
      </c>
      <c r="DE162">
        <v>18</v>
      </c>
      <c r="DF162">
        <v>17.32</v>
      </c>
      <c r="DG162">
        <v>-0.91999999999999993</v>
      </c>
      <c r="DH162">
        <v>11</v>
      </c>
      <c r="DI162">
        <v>14</v>
      </c>
      <c r="DJ162">
        <v>3</v>
      </c>
      <c r="DK162">
        <v>6.1159999999999997</v>
      </c>
      <c r="DL162">
        <v>25</v>
      </c>
      <c r="DM162">
        <v>5.1199999999999992</v>
      </c>
      <c r="DN162">
        <v>0.8</v>
      </c>
      <c r="DO162">
        <v>10</v>
      </c>
      <c r="DP162">
        <v>9.5</v>
      </c>
      <c r="DQ162">
        <v>10</v>
      </c>
      <c r="DR162">
        <v>-3.0880000000000001</v>
      </c>
      <c r="DS162">
        <v>9</v>
      </c>
      <c r="DT162">
        <v>-15.760000000000002</v>
      </c>
      <c r="DU162">
        <v>7.999999999999971E-2</v>
      </c>
      <c r="DV162">
        <v>3</v>
      </c>
      <c r="DW162">
        <v>3.5</v>
      </c>
      <c r="DX162">
        <v>4</v>
      </c>
      <c r="DY162">
        <v>5.9639999999999995</v>
      </c>
      <c r="DZ162">
        <v>3</v>
      </c>
      <c r="EA162">
        <v>20.759999999999998</v>
      </c>
      <c r="EB162">
        <v>1.4</v>
      </c>
      <c r="EC162">
        <v>15</v>
      </c>
      <c r="ED162">
        <v>3.5</v>
      </c>
      <c r="EE162">
        <v>3</v>
      </c>
      <c r="EF162">
        <v>-2.2759999999999998</v>
      </c>
      <c r="EG162">
        <v>4</v>
      </c>
      <c r="EH162">
        <v>-6.2000000000000011</v>
      </c>
      <c r="EI162">
        <v>-4.0000000000000036E-2</v>
      </c>
      <c r="EJ162">
        <v>2</v>
      </c>
      <c r="EK162">
        <v>3.5</v>
      </c>
      <c r="EL162">
        <v>3</v>
      </c>
      <c r="EM162">
        <v>3.2640000000000002</v>
      </c>
      <c r="EN162">
        <v>4</v>
      </c>
      <c r="EO162">
        <v>8.24</v>
      </c>
      <c r="EP162">
        <v>0.80000000000000038</v>
      </c>
      <c r="EQ162">
        <v>11</v>
      </c>
      <c r="ER162">
        <v>12.5</v>
      </c>
      <c r="ES162">
        <v>8</v>
      </c>
      <c r="ET162">
        <v>3.3160000000000003</v>
      </c>
      <c r="EU162">
        <v>17</v>
      </c>
      <c r="EV162">
        <v>17.04</v>
      </c>
      <c r="EW162">
        <v>0.27999999999999992</v>
      </c>
      <c r="EX162">
        <v>12</v>
      </c>
      <c r="EY162">
        <v>12.5</v>
      </c>
      <c r="EZ162">
        <v>7</v>
      </c>
      <c r="FA162">
        <v>0.2</v>
      </c>
      <c r="FB162">
        <v>18</v>
      </c>
      <c r="FC162">
        <v>8.0000000000000071E-2</v>
      </c>
      <c r="FD162">
        <v>-0.96000000000000019</v>
      </c>
      <c r="FE162">
        <v>24</v>
      </c>
      <c r="FF162">
        <v>21</v>
      </c>
      <c r="FG162">
        <v>26</v>
      </c>
      <c r="FH162">
        <v>-4.8465809089449693E-3</v>
      </c>
      <c r="FI162">
        <v>23</v>
      </c>
      <c r="FJ162">
        <v>-2.3910628779315567E-2</v>
      </c>
      <c r="FK162">
        <v>5</v>
      </c>
      <c r="FL162">
        <v>-2.9920000000000044</v>
      </c>
      <c r="FM162">
        <v>30</v>
      </c>
      <c r="FN162">
        <v>-2.12</v>
      </c>
      <c r="FO162">
        <v>3.2</v>
      </c>
      <c r="FP162">
        <v>3.080000000000001</v>
      </c>
      <c r="FQ162">
        <v>0.64</v>
      </c>
      <c r="FR162">
        <v>5.8799999999999981</v>
      </c>
      <c r="FS162">
        <v>5.8400000000000007</v>
      </c>
      <c r="FT162">
        <v>-0.36</v>
      </c>
      <c r="FU162">
        <v>57.919999999999995</v>
      </c>
      <c r="FV162">
        <v>30.240000000000002</v>
      </c>
      <c r="FW162">
        <v>22.32</v>
      </c>
      <c r="FX162">
        <v>1.3599999999999999</v>
      </c>
      <c r="FY162">
        <v>4.0000000000000009</v>
      </c>
      <c r="FZ162">
        <v>26</v>
      </c>
      <c r="GA162">
        <v>-4.1143999999999981</v>
      </c>
      <c r="GB162">
        <v>-2.6040799999999988</v>
      </c>
      <c r="GC162">
        <v>7.9200000000000017</v>
      </c>
      <c r="GD162">
        <v>4.1143999999999972</v>
      </c>
      <c r="GE162">
        <v>2.1371999999999995</v>
      </c>
      <c r="GF162">
        <v>0.59999999999999964</v>
      </c>
      <c r="GG162">
        <v>-1.2000000000000046</v>
      </c>
      <c r="GH162">
        <v>8.5479999999999983</v>
      </c>
      <c r="GI162">
        <v>22.439999999999998</v>
      </c>
      <c r="GJ162">
        <v>1.7199999999999993</v>
      </c>
      <c r="GK162">
        <v>-0.11999999999999988</v>
      </c>
    </row>
    <row r="163" spans="1:193" x14ac:dyDescent="0.2">
      <c r="A163" s="39">
        <v>43772</v>
      </c>
      <c r="B163" s="22" t="s">
        <v>246</v>
      </c>
      <c r="C163" s="41" t="s">
        <v>287</v>
      </c>
      <c r="D163" s="22" t="s">
        <v>300</v>
      </c>
      <c r="E163">
        <v>7</v>
      </c>
      <c r="F163">
        <v>17.3</v>
      </c>
      <c r="G163">
        <v>0</v>
      </c>
      <c r="H163">
        <v>15.4</v>
      </c>
      <c r="I163" s="3">
        <v>4</v>
      </c>
      <c r="J163" s="3">
        <v>50</v>
      </c>
      <c r="K163" t="s">
        <v>110</v>
      </c>
      <c r="L163" s="1" t="s">
        <v>287</v>
      </c>
      <c r="M163">
        <v>15</v>
      </c>
      <c r="N163">
        <v>1.5479999999999998</v>
      </c>
      <c r="O163">
        <v>17</v>
      </c>
      <c r="P163">
        <v>17</v>
      </c>
      <c r="Q163">
        <v>17</v>
      </c>
      <c r="R163">
        <v>0.35999999999999943</v>
      </c>
      <c r="S163">
        <v>17</v>
      </c>
      <c r="T163">
        <v>-37.519999999999996</v>
      </c>
      <c r="U163">
        <v>2</v>
      </c>
      <c r="V163">
        <v>3</v>
      </c>
      <c r="W163">
        <v>4.5</v>
      </c>
      <c r="X163">
        <v>1</v>
      </c>
      <c r="Y163">
        <v>5.6229999999999993</v>
      </c>
      <c r="Z163">
        <v>8</v>
      </c>
      <c r="AA163">
        <v>-0.85</v>
      </c>
      <c r="AB163">
        <v>1.5399999999999998</v>
      </c>
      <c r="AC163">
        <v>9</v>
      </c>
      <c r="AD163">
        <v>10</v>
      </c>
      <c r="AE163">
        <v>9</v>
      </c>
      <c r="AF163">
        <v>-4.9119999999999999</v>
      </c>
      <c r="AG163">
        <v>11</v>
      </c>
      <c r="AH163">
        <v>-20.43</v>
      </c>
      <c r="AI163">
        <v>0.95</v>
      </c>
      <c r="AJ163">
        <v>5</v>
      </c>
      <c r="AK163">
        <v>5.5</v>
      </c>
      <c r="AL163">
        <v>10</v>
      </c>
      <c r="AM163">
        <v>2.2039999999999997</v>
      </c>
      <c r="AN163">
        <v>1</v>
      </c>
      <c r="AO163">
        <v>22.42</v>
      </c>
      <c r="AP163">
        <v>2.2999999999999998</v>
      </c>
      <c r="AQ163">
        <v>28</v>
      </c>
      <c r="AR163">
        <v>28.5</v>
      </c>
      <c r="AS163">
        <v>30</v>
      </c>
      <c r="AT163">
        <v>-1.5580000000000003</v>
      </c>
      <c r="AU163">
        <v>27</v>
      </c>
      <c r="AV163">
        <v>-5.08</v>
      </c>
      <c r="AW163">
        <v>-1.8299999999999996</v>
      </c>
      <c r="AX163">
        <v>10</v>
      </c>
      <c r="AY163">
        <v>11</v>
      </c>
      <c r="AZ163">
        <v>11</v>
      </c>
      <c r="BA163">
        <v>4.32</v>
      </c>
      <c r="BB163">
        <v>11</v>
      </c>
      <c r="BC163">
        <v>19.600000000000001</v>
      </c>
      <c r="BD163">
        <v>1.28</v>
      </c>
      <c r="BE163">
        <v>26</v>
      </c>
      <c r="BF163">
        <v>26.5</v>
      </c>
      <c r="BG163">
        <v>27</v>
      </c>
      <c r="BH163">
        <v>2.0279999999999996</v>
      </c>
      <c r="BI163">
        <v>11.080000000000002</v>
      </c>
      <c r="BJ163">
        <v>-0.72</v>
      </c>
      <c r="BK163">
        <v>4</v>
      </c>
      <c r="BL163">
        <v>7</v>
      </c>
      <c r="BM163">
        <v>11</v>
      </c>
      <c r="BN163">
        <v>0.43999999999999984</v>
      </c>
      <c r="BO163">
        <v>3</v>
      </c>
      <c r="BP163">
        <v>8.0000000000000029E-2</v>
      </c>
      <c r="BQ163">
        <v>0.12000000000000029</v>
      </c>
      <c r="BR163">
        <v>10</v>
      </c>
      <c r="BS163">
        <v>12.75</v>
      </c>
      <c r="BT163">
        <v>24</v>
      </c>
      <c r="BU163">
        <v>8.5172136087458775E-3</v>
      </c>
      <c r="BV163">
        <v>12</v>
      </c>
      <c r="BW163">
        <v>-4.7836355183798508E-2</v>
      </c>
      <c r="BX163">
        <v>7</v>
      </c>
      <c r="BY163">
        <v>-5.0839999999999979</v>
      </c>
      <c r="BZ163">
        <v>8</v>
      </c>
      <c r="CA163">
        <v>-1.5999999999999999</v>
      </c>
      <c r="CB163">
        <v>-5.9199999999999973</v>
      </c>
      <c r="CC163">
        <v>-8.0000000000000432E-2</v>
      </c>
      <c r="CD163">
        <v>0.32000000000000006</v>
      </c>
      <c r="CE163">
        <v>-17.160000000000004</v>
      </c>
      <c r="CF163">
        <v>39.72</v>
      </c>
      <c r="CG163">
        <v>-41.080000000000005</v>
      </c>
      <c r="CH163">
        <v>-1.44</v>
      </c>
      <c r="CI163">
        <v>-14.36</v>
      </c>
      <c r="CJ163">
        <v>23</v>
      </c>
      <c r="CK163">
        <v>-4.4349999999999987</v>
      </c>
      <c r="CL163">
        <v>-3.1294999999999997</v>
      </c>
      <c r="CM163">
        <v>80.800000000000011</v>
      </c>
      <c r="CN163">
        <v>4.4349999999999987</v>
      </c>
      <c r="CO163">
        <v>0.71662499999999962</v>
      </c>
      <c r="CP163">
        <v>-4.266</v>
      </c>
      <c r="CQ163">
        <v>-3.0899999999999981</v>
      </c>
      <c r="CR163">
        <v>5.9829999999999988</v>
      </c>
      <c r="CS163">
        <v>-38.369999999999997</v>
      </c>
      <c r="CT163">
        <v>0.7000000000000004</v>
      </c>
      <c r="CU163">
        <v>3.54</v>
      </c>
      <c r="CV163">
        <v>0.30745625000000021</v>
      </c>
      <c r="CW163">
        <v>-0.40665000000000001</v>
      </c>
      <c r="CX163" t="s">
        <v>300</v>
      </c>
      <c r="CY163">
        <v>21</v>
      </c>
      <c r="CZ163">
        <v>0.752000000000001</v>
      </c>
      <c r="DA163">
        <v>5</v>
      </c>
      <c r="DB163">
        <v>6</v>
      </c>
      <c r="DC163">
        <v>8</v>
      </c>
      <c r="DD163">
        <v>2.6360000000000001</v>
      </c>
      <c r="DE163">
        <v>4</v>
      </c>
      <c r="DF163">
        <v>-1.0800000000000012</v>
      </c>
      <c r="DG163">
        <v>0.64</v>
      </c>
      <c r="DH163">
        <v>9</v>
      </c>
      <c r="DI163">
        <v>11.5</v>
      </c>
      <c r="DJ163">
        <v>19</v>
      </c>
      <c r="DK163">
        <v>-3.2920000000000003</v>
      </c>
      <c r="DL163">
        <v>4</v>
      </c>
      <c r="DM163">
        <v>2.1599999999999993</v>
      </c>
      <c r="DN163">
        <v>-1.56</v>
      </c>
      <c r="DO163">
        <v>23</v>
      </c>
      <c r="DP163">
        <v>27.5</v>
      </c>
      <c r="DQ163">
        <v>29</v>
      </c>
      <c r="DR163">
        <v>3.9675000000000002</v>
      </c>
      <c r="DS163">
        <v>26</v>
      </c>
      <c r="DT163">
        <v>30.85</v>
      </c>
      <c r="DU163">
        <v>2.2750000000000004</v>
      </c>
      <c r="DV163">
        <v>13</v>
      </c>
      <c r="DW163">
        <v>13.5</v>
      </c>
      <c r="DX163">
        <v>17</v>
      </c>
      <c r="DY163">
        <v>-0.97500000000000075</v>
      </c>
      <c r="DZ163">
        <v>10</v>
      </c>
      <c r="EA163">
        <v>-1.8999999999999968</v>
      </c>
      <c r="EB163">
        <v>0.70000000000000007</v>
      </c>
      <c r="EC163">
        <v>12</v>
      </c>
      <c r="ED163">
        <v>17</v>
      </c>
      <c r="EE163">
        <v>20</v>
      </c>
      <c r="EF163">
        <v>1.2400000000000007</v>
      </c>
      <c r="EG163">
        <v>14</v>
      </c>
      <c r="EH163">
        <v>8.6999999999999993</v>
      </c>
      <c r="EI163">
        <v>-1.1000000000000001</v>
      </c>
      <c r="EJ163">
        <v>16</v>
      </c>
      <c r="EK163">
        <v>16</v>
      </c>
      <c r="EL163">
        <v>17</v>
      </c>
      <c r="EM163">
        <v>3.2600000000000007</v>
      </c>
      <c r="EN163">
        <v>15</v>
      </c>
      <c r="EO163">
        <v>8.5999999999999979</v>
      </c>
      <c r="EP163">
        <v>-0.23999999999999985</v>
      </c>
      <c r="EQ163">
        <v>1</v>
      </c>
      <c r="ER163">
        <v>1</v>
      </c>
      <c r="ES163">
        <v>1</v>
      </c>
      <c r="ET163">
        <v>3.8440000000000012</v>
      </c>
      <c r="EU163">
        <v>1</v>
      </c>
      <c r="EV163">
        <v>4.24</v>
      </c>
      <c r="EW163">
        <v>0.2</v>
      </c>
      <c r="EX163">
        <v>6</v>
      </c>
      <c r="EY163">
        <v>5</v>
      </c>
      <c r="EZ163">
        <v>2</v>
      </c>
      <c r="FA163">
        <v>0</v>
      </c>
      <c r="FB163">
        <v>8</v>
      </c>
      <c r="FC163">
        <v>0.2</v>
      </c>
      <c r="FD163">
        <v>-5.0000000000000009</v>
      </c>
      <c r="FE163">
        <v>29</v>
      </c>
      <c r="FF163">
        <v>24</v>
      </c>
      <c r="FG163">
        <v>17</v>
      </c>
      <c r="FH163">
        <v>-3.241910566433133E-2</v>
      </c>
      <c r="FI163">
        <v>23</v>
      </c>
      <c r="FJ163">
        <v>-5.0046623695844828E-3</v>
      </c>
      <c r="FK163">
        <v>27</v>
      </c>
      <c r="FL163">
        <v>-7.3000000000000025</v>
      </c>
      <c r="FM163">
        <v>29</v>
      </c>
      <c r="FN163">
        <v>-1.2</v>
      </c>
      <c r="FO163">
        <v>0.16000000000000156</v>
      </c>
      <c r="FP163">
        <v>-2.1599999999999993</v>
      </c>
      <c r="FQ163">
        <v>0.51999999999999991</v>
      </c>
      <c r="FR163">
        <v>-1.8399999999999976</v>
      </c>
      <c r="FS163">
        <v>1.4800000000000004</v>
      </c>
      <c r="FT163">
        <v>-1.9600000000000002</v>
      </c>
      <c r="FU163">
        <v>22.519999999999992</v>
      </c>
      <c r="FV163">
        <v>23.48</v>
      </c>
      <c r="FW163">
        <v>2.4799999999999995</v>
      </c>
      <c r="FX163">
        <v>-2.4800000000000004</v>
      </c>
      <c r="FY163">
        <v>-0.95999999999999974</v>
      </c>
      <c r="FZ163">
        <v>15</v>
      </c>
      <c r="GA163">
        <v>1.4080000000000013</v>
      </c>
      <c r="GB163">
        <v>2.0937000000000001</v>
      </c>
      <c r="GC163">
        <v>21</v>
      </c>
      <c r="GD163">
        <v>-1.4080000000000013</v>
      </c>
      <c r="GE163">
        <v>1.0215625000000004</v>
      </c>
      <c r="GF163">
        <v>4.2324999999999999</v>
      </c>
      <c r="GG163">
        <v>37.650000000000006</v>
      </c>
      <c r="GH163">
        <v>-0.65600000000000014</v>
      </c>
      <c r="GI163">
        <v>1.0799999999999981</v>
      </c>
      <c r="GJ163">
        <v>2.0750000000000006</v>
      </c>
      <c r="GK163">
        <v>-0.92</v>
      </c>
    </row>
    <row r="164" spans="1:193" x14ac:dyDescent="0.2">
      <c r="A164" s="39">
        <v>43772</v>
      </c>
      <c r="B164" s="22" t="s">
        <v>246</v>
      </c>
      <c r="C164" s="41" t="s">
        <v>293</v>
      </c>
      <c r="D164" s="22" t="s">
        <v>298</v>
      </c>
      <c r="E164" s="14">
        <v>24.2</v>
      </c>
      <c r="F164">
        <v>15.7</v>
      </c>
      <c r="G164">
        <v>6.3</v>
      </c>
      <c r="H164">
        <v>15.5</v>
      </c>
      <c r="I164">
        <v>3.5</v>
      </c>
      <c r="J164">
        <v>42.5</v>
      </c>
      <c r="L164" s="1" t="s">
        <v>293</v>
      </c>
      <c r="M164">
        <v>11</v>
      </c>
      <c r="N164">
        <v>1.9520000000000004</v>
      </c>
      <c r="O164">
        <v>31</v>
      </c>
      <c r="P164">
        <v>29</v>
      </c>
      <c r="Q164">
        <v>27</v>
      </c>
      <c r="R164">
        <v>-7.2759999999999989</v>
      </c>
      <c r="S164">
        <v>31</v>
      </c>
      <c r="T164">
        <v>-34.44</v>
      </c>
      <c r="U164">
        <v>1.92</v>
      </c>
      <c r="V164">
        <v>26</v>
      </c>
      <c r="W164">
        <v>24.5</v>
      </c>
      <c r="X164">
        <v>23</v>
      </c>
      <c r="Y164">
        <v>-1.9239999999999999</v>
      </c>
      <c r="Z164">
        <v>26</v>
      </c>
      <c r="AA164">
        <v>6.68</v>
      </c>
      <c r="AB164">
        <v>-0.87999999999999989</v>
      </c>
      <c r="AC164">
        <v>1</v>
      </c>
      <c r="AD164">
        <v>1.5</v>
      </c>
      <c r="AE164">
        <v>2</v>
      </c>
      <c r="AF164">
        <v>0.39599999999999869</v>
      </c>
      <c r="AG164">
        <v>1</v>
      </c>
      <c r="AH164">
        <v>1.6799999999999997</v>
      </c>
      <c r="AI164">
        <v>0.92000000000000015</v>
      </c>
      <c r="AJ164">
        <v>18</v>
      </c>
      <c r="AK164">
        <v>18.5</v>
      </c>
      <c r="AL164">
        <v>18</v>
      </c>
      <c r="AM164">
        <v>4.9080000000000004</v>
      </c>
      <c r="AN164">
        <v>19</v>
      </c>
      <c r="AO164">
        <v>9.16</v>
      </c>
      <c r="AP164">
        <v>1.28</v>
      </c>
      <c r="AQ164">
        <v>5</v>
      </c>
      <c r="AR164">
        <v>5.5</v>
      </c>
      <c r="AS164">
        <v>4</v>
      </c>
      <c r="AT164">
        <v>1.5400000000000003</v>
      </c>
      <c r="AU164">
        <v>7</v>
      </c>
      <c r="AV164">
        <v>3.2400000000000007</v>
      </c>
      <c r="AW164">
        <v>0.36000000000000004</v>
      </c>
      <c r="AX164">
        <v>1</v>
      </c>
      <c r="AY164">
        <v>1</v>
      </c>
      <c r="AZ164">
        <v>1</v>
      </c>
      <c r="BA164">
        <v>5.5999999999999162E-2</v>
      </c>
      <c r="BB164">
        <v>1</v>
      </c>
      <c r="BC164">
        <v>1.3599999999999994</v>
      </c>
      <c r="BD164">
        <v>0.44000000000000006</v>
      </c>
      <c r="BE164">
        <v>10</v>
      </c>
      <c r="BF164">
        <v>11</v>
      </c>
      <c r="BG164">
        <v>12</v>
      </c>
      <c r="BH164">
        <v>-2.6719999999999997</v>
      </c>
      <c r="BI164">
        <v>-4.4000000000000012</v>
      </c>
      <c r="BJ164">
        <v>-1.6</v>
      </c>
      <c r="BK164">
        <v>13</v>
      </c>
      <c r="BL164">
        <v>12</v>
      </c>
      <c r="BM164">
        <v>3</v>
      </c>
      <c r="BN164">
        <v>-3.4799999999999995</v>
      </c>
      <c r="BO164">
        <v>21</v>
      </c>
      <c r="BP164">
        <v>-0.99999999999999978</v>
      </c>
      <c r="BQ164">
        <v>-7.4399999999999995</v>
      </c>
      <c r="BR164">
        <v>16</v>
      </c>
      <c r="BS164">
        <v>14.5</v>
      </c>
      <c r="BT164">
        <v>12</v>
      </c>
      <c r="BU164">
        <v>-2.6449883368263864E-2</v>
      </c>
      <c r="BV164">
        <v>10</v>
      </c>
      <c r="BW164">
        <v>9.7003088577328721E-3</v>
      </c>
      <c r="BX164">
        <v>14</v>
      </c>
      <c r="BY164">
        <v>1.5080000000000027</v>
      </c>
      <c r="BZ164">
        <v>22</v>
      </c>
      <c r="CA164">
        <v>1.9200000000000004</v>
      </c>
      <c r="CB164">
        <v>-3.4000000000000012</v>
      </c>
      <c r="CC164">
        <v>-1.48</v>
      </c>
      <c r="CD164">
        <v>-1.2399999999999998</v>
      </c>
      <c r="CE164">
        <v>-30</v>
      </c>
      <c r="CF164">
        <v>8.7200000000000042</v>
      </c>
      <c r="CG164">
        <v>-29.919999999999998</v>
      </c>
      <c r="CH164">
        <v>-4.24</v>
      </c>
      <c r="CI164">
        <v>-4.5599999999999996</v>
      </c>
      <c r="CJ164">
        <v>2</v>
      </c>
      <c r="CK164">
        <v>11.151999999999999</v>
      </c>
      <c r="CL164">
        <v>5.8247999999999998</v>
      </c>
      <c r="CM164">
        <v>38.64</v>
      </c>
      <c r="CN164">
        <v>-11.151999999999999</v>
      </c>
      <c r="CO164">
        <v>-0.81949999999999967</v>
      </c>
      <c r="CP164">
        <v>6.8439999999999994</v>
      </c>
      <c r="CQ164">
        <v>14.08</v>
      </c>
      <c r="CR164">
        <v>-9.1999999999999993</v>
      </c>
      <c r="CS164">
        <v>-27.759999999999998</v>
      </c>
      <c r="CT164">
        <v>0.96</v>
      </c>
      <c r="CU164">
        <v>1.04</v>
      </c>
      <c r="CV164">
        <v>1.8949375000000002</v>
      </c>
      <c r="CW164">
        <v>2.6902000000000004</v>
      </c>
      <c r="CX164" t="s">
        <v>298</v>
      </c>
      <c r="CY164">
        <v>9</v>
      </c>
      <c r="CZ164">
        <v>0.44840000000000052</v>
      </c>
      <c r="DA164">
        <v>32</v>
      </c>
      <c r="DB164">
        <v>30.5</v>
      </c>
      <c r="DC164">
        <v>30</v>
      </c>
      <c r="DD164">
        <v>1.6</v>
      </c>
      <c r="DE164">
        <v>31</v>
      </c>
      <c r="DF164">
        <v>-14.520000000000001</v>
      </c>
      <c r="DG164">
        <v>-0.15999999999999986</v>
      </c>
      <c r="DH164">
        <v>16</v>
      </c>
      <c r="DI164">
        <v>16.5</v>
      </c>
      <c r="DJ164">
        <v>18</v>
      </c>
      <c r="DK164">
        <v>-1.6959999999999993</v>
      </c>
      <c r="DL164">
        <v>15</v>
      </c>
      <c r="DM164">
        <v>-9.6</v>
      </c>
      <c r="DN164">
        <v>0.15999999999999998</v>
      </c>
      <c r="DO164">
        <v>7</v>
      </c>
      <c r="DP164">
        <v>10.5</v>
      </c>
      <c r="DQ164">
        <v>8</v>
      </c>
      <c r="DR164">
        <v>2.3350000000000004</v>
      </c>
      <c r="DS164">
        <v>13</v>
      </c>
      <c r="DT164">
        <v>-2.5999999999999979</v>
      </c>
      <c r="DU164">
        <v>1.4</v>
      </c>
      <c r="DV164">
        <v>5</v>
      </c>
      <c r="DW164">
        <v>5.5</v>
      </c>
      <c r="DX164">
        <v>5</v>
      </c>
      <c r="DY164">
        <v>1.4539999999999991</v>
      </c>
      <c r="DZ164">
        <v>6</v>
      </c>
      <c r="EA164">
        <v>5.2199999999999989</v>
      </c>
      <c r="EB164">
        <v>-0.61000000000000021</v>
      </c>
      <c r="EC164">
        <v>26</v>
      </c>
      <c r="ED164">
        <v>28.5</v>
      </c>
      <c r="EE164">
        <v>28</v>
      </c>
      <c r="EF164">
        <v>2.2600000000000002</v>
      </c>
      <c r="EG164">
        <v>29</v>
      </c>
      <c r="EH164">
        <v>6.1599999999999993</v>
      </c>
      <c r="EI164">
        <v>4.0000000000000077E-2</v>
      </c>
      <c r="EJ164">
        <v>25</v>
      </c>
      <c r="EK164">
        <v>26</v>
      </c>
      <c r="EL164">
        <v>26</v>
      </c>
      <c r="EM164">
        <v>2.7640000000000007</v>
      </c>
      <c r="EN164">
        <v>26</v>
      </c>
      <c r="EO164">
        <v>14.6</v>
      </c>
      <c r="EP164">
        <v>-2.9600000000000004</v>
      </c>
      <c r="EQ164">
        <v>13</v>
      </c>
      <c r="ER164">
        <v>13.5</v>
      </c>
      <c r="ES164">
        <v>17</v>
      </c>
      <c r="ET164">
        <v>0.87600000000000056</v>
      </c>
      <c r="EU164">
        <v>10</v>
      </c>
      <c r="EV164">
        <v>5.08</v>
      </c>
      <c r="EW164">
        <v>1.2</v>
      </c>
      <c r="EX164">
        <v>24</v>
      </c>
      <c r="EY164">
        <v>23</v>
      </c>
      <c r="EZ164">
        <v>28</v>
      </c>
      <c r="FA164">
        <v>1.52</v>
      </c>
      <c r="FB164">
        <v>18</v>
      </c>
      <c r="FC164">
        <v>0.2</v>
      </c>
      <c r="FD164">
        <v>6.44</v>
      </c>
      <c r="FE164">
        <v>23</v>
      </c>
      <c r="FF164">
        <v>20</v>
      </c>
      <c r="FG164">
        <v>32</v>
      </c>
      <c r="FH164">
        <v>2.7206080711737562E-2</v>
      </c>
      <c r="FI164">
        <v>22</v>
      </c>
      <c r="FJ164">
        <v>-1.8796208233225968E-2</v>
      </c>
      <c r="FK164">
        <v>11</v>
      </c>
      <c r="FL164">
        <v>8.708000000000002</v>
      </c>
      <c r="FM164">
        <v>15</v>
      </c>
      <c r="FN164">
        <v>-3.7199999999999998</v>
      </c>
      <c r="FO164">
        <v>1.920000000000001</v>
      </c>
      <c r="FP164">
        <v>1.5200000000000002</v>
      </c>
      <c r="FQ164">
        <v>0.51999999999999991</v>
      </c>
      <c r="FR164">
        <v>3.2000000000000015</v>
      </c>
      <c r="FS164">
        <v>2.9199999999999995</v>
      </c>
      <c r="FT164">
        <v>1.2</v>
      </c>
      <c r="FU164">
        <v>-24.240000000000009</v>
      </c>
      <c r="FV164">
        <v>6.1600000000000019</v>
      </c>
      <c r="FW164">
        <v>-25.879999999999995</v>
      </c>
      <c r="FX164">
        <v>-0.11999999999999984</v>
      </c>
      <c r="FY164">
        <v>-4.3999999999999995</v>
      </c>
      <c r="FZ164">
        <v>19</v>
      </c>
      <c r="GA164">
        <v>0.54439999999999977</v>
      </c>
      <c r="GB164">
        <v>1.5226799999999998</v>
      </c>
      <c r="GC164">
        <v>32.04</v>
      </c>
      <c r="GD164">
        <v>-0.54439999999999977</v>
      </c>
      <c r="GE164">
        <v>1.0996750000000002</v>
      </c>
      <c r="GF164">
        <v>6.0489999999999995</v>
      </c>
      <c r="GG164">
        <v>8.7800000000000011</v>
      </c>
      <c r="GH164">
        <v>-9.5999999999999197E-2</v>
      </c>
      <c r="GI164">
        <v>-24.12</v>
      </c>
      <c r="GJ164">
        <v>2.0299999999999998</v>
      </c>
      <c r="GK164">
        <v>0</v>
      </c>
    </row>
    <row r="165" spans="1:193" x14ac:dyDescent="0.2">
      <c r="A165" s="39">
        <v>43772</v>
      </c>
      <c r="B165" s="22" t="s">
        <v>246</v>
      </c>
      <c r="C165" s="41" t="s">
        <v>312</v>
      </c>
      <c r="D165" s="22" t="s">
        <v>288</v>
      </c>
      <c r="E165" s="3">
        <v>2.6</v>
      </c>
      <c r="F165">
        <v>8.8000000000000007</v>
      </c>
      <c r="G165">
        <v>7.4</v>
      </c>
      <c r="H165">
        <v>18.600000000000001</v>
      </c>
      <c r="I165">
        <v>-5.5</v>
      </c>
      <c r="J165">
        <v>46</v>
      </c>
      <c r="L165" s="1" t="s">
        <v>312</v>
      </c>
      <c r="M165">
        <v>8</v>
      </c>
      <c r="N165">
        <v>2.9352000000000009</v>
      </c>
      <c r="O165">
        <v>12</v>
      </c>
      <c r="P165">
        <v>14.5</v>
      </c>
      <c r="Q165">
        <v>7</v>
      </c>
      <c r="R165">
        <v>4.0359999999999996</v>
      </c>
      <c r="S165">
        <v>22</v>
      </c>
      <c r="T165">
        <v>17.399999999999999</v>
      </c>
      <c r="U165">
        <v>3.9999999999999855E-2</v>
      </c>
      <c r="V165">
        <v>5</v>
      </c>
      <c r="W165">
        <v>8</v>
      </c>
      <c r="X165">
        <v>13</v>
      </c>
      <c r="Y165">
        <v>-1.2569999999999997</v>
      </c>
      <c r="Z165">
        <v>3</v>
      </c>
      <c r="AA165">
        <v>13.11</v>
      </c>
      <c r="AB165">
        <v>-1.34</v>
      </c>
      <c r="AC165">
        <v>16</v>
      </c>
      <c r="AD165">
        <v>17</v>
      </c>
      <c r="AE165">
        <v>18</v>
      </c>
      <c r="AF165">
        <v>5.1079999999999988</v>
      </c>
      <c r="AG165">
        <v>16</v>
      </c>
      <c r="AH165">
        <v>12.410000000000002</v>
      </c>
      <c r="AI165">
        <v>-0.25</v>
      </c>
      <c r="AJ165">
        <v>23</v>
      </c>
      <c r="AK165">
        <v>22</v>
      </c>
      <c r="AL165">
        <v>26</v>
      </c>
      <c r="AM165">
        <v>9.1840000000000011</v>
      </c>
      <c r="AN165">
        <v>18</v>
      </c>
      <c r="AO165">
        <v>45.46</v>
      </c>
      <c r="AP165">
        <v>0.98000000000000009</v>
      </c>
      <c r="AQ165">
        <v>27</v>
      </c>
      <c r="AR165">
        <v>28</v>
      </c>
      <c r="AS165">
        <v>27</v>
      </c>
      <c r="AT165">
        <v>-0.43799999999999972</v>
      </c>
      <c r="AU165">
        <v>29</v>
      </c>
      <c r="AV165">
        <v>-0.72000000000000031</v>
      </c>
      <c r="AW165">
        <v>-0.58999999999999986</v>
      </c>
      <c r="AX165">
        <v>29</v>
      </c>
      <c r="AY165">
        <v>29</v>
      </c>
      <c r="AZ165">
        <v>29</v>
      </c>
      <c r="BA165">
        <v>-4.9119999999999999</v>
      </c>
      <c r="BB165">
        <v>29</v>
      </c>
      <c r="BC165">
        <v>-27.76</v>
      </c>
      <c r="BD165">
        <v>-8.1999999999999993</v>
      </c>
      <c r="BE165">
        <v>5</v>
      </c>
      <c r="BF165">
        <v>6</v>
      </c>
      <c r="BG165">
        <v>3</v>
      </c>
      <c r="BH165">
        <v>-1.7120000000000004</v>
      </c>
      <c r="BI165">
        <v>-7.240000000000002</v>
      </c>
      <c r="BJ165">
        <v>-1.52</v>
      </c>
      <c r="BK165">
        <v>26</v>
      </c>
      <c r="BL165">
        <v>25</v>
      </c>
      <c r="BM165">
        <v>21</v>
      </c>
      <c r="BN165">
        <v>1.6</v>
      </c>
      <c r="BO165">
        <v>29</v>
      </c>
      <c r="BP165">
        <v>0.64</v>
      </c>
      <c r="BQ165">
        <v>-1.9199999999999995</v>
      </c>
      <c r="BR165">
        <v>28</v>
      </c>
      <c r="BS165">
        <v>24.5</v>
      </c>
      <c r="BT165">
        <v>22</v>
      </c>
      <c r="BU165">
        <v>3.5876719008731559E-2</v>
      </c>
      <c r="BV165">
        <v>27</v>
      </c>
      <c r="BW165">
        <v>7.1404949056232099E-3</v>
      </c>
      <c r="BX165">
        <v>22</v>
      </c>
      <c r="BY165">
        <v>19.591999999999999</v>
      </c>
      <c r="BZ165">
        <v>27</v>
      </c>
      <c r="CA165">
        <v>-3.2</v>
      </c>
      <c r="CB165">
        <v>-0.43999999999999773</v>
      </c>
      <c r="CC165">
        <v>3.4799999999999995</v>
      </c>
      <c r="CD165">
        <v>-1.1599999999999999</v>
      </c>
      <c r="CE165">
        <v>57.320000000000007</v>
      </c>
      <c r="CF165">
        <v>40.160000000000011</v>
      </c>
      <c r="CG165">
        <v>32.68</v>
      </c>
      <c r="CH165">
        <v>-1.44</v>
      </c>
      <c r="CI165">
        <v>-14.079999999999998</v>
      </c>
      <c r="CJ165">
        <v>16</v>
      </c>
      <c r="CK165">
        <v>0.156200000000001</v>
      </c>
      <c r="CL165">
        <v>1.6259400000000004</v>
      </c>
      <c r="CM165">
        <v>7.4800000000000111</v>
      </c>
      <c r="CN165">
        <v>-0.156200000000001</v>
      </c>
      <c r="CO165">
        <v>2.4320250000000003</v>
      </c>
      <c r="CP165">
        <v>13.853999999999999</v>
      </c>
      <c r="CQ165">
        <v>57.150000000000006</v>
      </c>
      <c r="CR165">
        <v>2.7789999999999999</v>
      </c>
      <c r="CS165">
        <v>30.509999999999998</v>
      </c>
      <c r="CT165">
        <v>-1.38</v>
      </c>
      <c r="CU165">
        <v>-1.3000000000000003</v>
      </c>
      <c r="CV165">
        <v>3.4750000000000336E-2</v>
      </c>
      <c r="CW165">
        <v>0.78210000000000024</v>
      </c>
      <c r="CX165" t="s">
        <v>288</v>
      </c>
      <c r="CY165">
        <v>7</v>
      </c>
      <c r="CZ165">
        <v>-1.0728000000000002</v>
      </c>
      <c r="DA165">
        <v>3</v>
      </c>
      <c r="DB165">
        <v>3</v>
      </c>
      <c r="DC165">
        <v>3</v>
      </c>
      <c r="DD165">
        <v>7.0400000000000009</v>
      </c>
      <c r="DE165">
        <v>3</v>
      </c>
      <c r="DF165">
        <v>30.359999999999996</v>
      </c>
      <c r="DG165">
        <v>-7.9999999999999891E-2</v>
      </c>
      <c r="DH165">
        <v>20</v>
      </c>
      <c r="DI165">
        <v>17.5</v>
      </c>
      <c r="DJ165">
        <v>5</v>
      </c>
      <c r="DK165">
        <v>2.6320000000000001</v>
      </c>
      <c r="DL165">
        <v>30</v>
      </c>
      <c r="DM165">
        <v>-2.84</v>
      </c>
      <c r="DN165">
        <v>0.52</v>
      </c>
      <c r="DO165">
        <v>32</v>
      </c>
      <c r="DP165">
        <v>32</v>
      </c>
      <c r="DQ165">
        <v>32</v>
      </c>
      <c r="DR165">
        <v>-3.6</v>
      </c>
      <c r="DS165">
        <v>32</v>
      </c>
      <c r="DT165">
        <v>-28.52</v>
      </c>
      <c r="DU165">
        <v>-0.59999999999999987</v>
      </c>
      <c r="DV165">
        <v>24</v>
      </c>
      <c r="DW165">
        <v>25</v>
      </c>
      <c r="DX165">
        <v>23</v>
      </c>
      <c r="DY165">
        <v>-6.2999999999999989</v>
      </c>
      <c r="DZ165">
        <v>27</v>
      </c>
      <c r="EA165">
        <v>-17.240000000000002</v>
      </c>
      <c r="EB165">
        <v>-1.0399999999999998</v>
      </c>
      <c r="EC165">
        <v>13</v>
      </c>
      <c r="ED165">
        <v>12.5</v>
      </c>
      <c r="EE165">
        <v>12</v>
      </c>
      <c r="EF165">
        <v>-1.5119999999999993</v>
      </c>
      <c r="EG165">
        <v>13</v>
      </c>
      <c r="EH165">
        <v>-6.8800000000000008</v>
      </c>
      <c r="EI165">
        <v>0.40000000000000008</v>
      </c>
      <c r="EJ165">
        <v>12</v>
      </c>
      <c r="EK165">
        <v>12</v>
      </c>
      <c r="EL165">
        <v>8</v>
      </c>
      <c r="EM165">
        <v>3.6280000000000001</v>
      </c>
      <c r="EN165">
        <v>16</v>
      </c>
      <c r="EO165">
        <v>4.2799999999999994</v>
      </c>
      <c r="EP165">
        <v>2.3600000000000003</v>
      </c>
      <c r="EQ165">
        <v>2</v>
      </c>
      <c r="ER165">
        <v>2</v>
      </c>
      <c r="ES165">
        <v>2</v>
      </c>
      <c r="ET165">
        <v>-2.1280000000000001</v>
      </c>
      <c r="EU165">
        <v>2</v>
      </c>
      <c r="EV165">
        <v>-6.08</v>
      </c>
      <c r="EW165">
        <v>-0.67999999999999994</v>
      </c>
      <c r="EX165">
        <v>20</v>
      </c>
      <c r="EY165">
        <v>21</v>
      </c>
      <c r="EZ165">
        <v>25</v>
      </c>
      <c r="FA165">
        <v>-0.75999999999999979</v>
      </c>
      <c r="FB165">
        <v>17</v>
      </c>
      <c r="FC165">
        <v>7.9999999999999988E-2</v>
      </c>
      <c r="FD165">
        <v>-0.95999999999999963</v>
      </c>
      <c r="FE165">
        <v>2</v>
      </c>
      <c r="FF165">
        <v>7.25</v>
      </c>
      <c r="FG165">
        <v>4</v>
      </c>
      <c r="FH165">
        <v>2.6954343508280632E-3</v>
      </c>
      <c r="FI165">
        <v>13</v>
      </c>
      <c r="FJ165">
        <v>1.7999252690423632E-2</v>
      </c>
      <c r="FK165">
        <v>3</v>
      </c>
      <c r="FL165">
        <v>-14.972000000000003</v>
      </c>
      <c r="FM165">
        <v>9</v>
      </c>
      <c r="FN165">
        <v>3.08</v>
      </c>
      <c r="FO165">
        <v>-0.67999999999999972</v>
      </c>
      <c r="FP165">
        <v>5.76</v>
      </c>
      <c r="FQ165">
        <v>0.92000000000000015</v>
      </c>
      <c r="FR165">
        <v>6.6799999999999979</v>
      </c>
      <c r="FS165">
        <v>-1.2</v>
      </c>
      <c r="FT165">
        <v>-0.72</v>
      </c>
      <c r="FU165">
        <v>1.4400000000000091</v>
      </c>
      <c r="FV165">
        <v>-32.720000000000006</v>
      </c>
      <c r="FW165">
        <v>31.24</v>
      </c>
      <c r="FX165">
        <v>-1.2</v>
      </c>
      <c r="FY165">
        <v>4.12</v>
      </c>
      <c r="FZ165">
        <v>32</v>
      </c>
      <c r="GA165">
        <v>-10.744800000000001</v>
      </c>
      <c r="GB165">
        <v>-7.7585600000000001</v>
      </c>
      <c r="GC165">
        <v>-63.960000000000008</v>
      </c>
      <c r="GD165">
        <v>10.744800000000001</v>
      </c>
      <c r="GE165">
        <v>-0.71259999999999957</v>
      </c>
      <c r="GF165">
        <v>-11.411999999999997</v>
      </c>
      <c r="GG165">
        <v>-52.640000000000008</v>
      </c>
      <c r="GH165">
        <v>9.6720000000000006</v>
      </c>
      <c r="GI165">
        <v>27.519999999999996</v>
      </c>
      <c r="GJ165">
        <v>-1.9199999999999995</v>
      </c>
      <c r="GK165">
        <v>0.44000000000000011</v>
      </c>
    </row>
    <row r="166" spans="1:193" x14ac:dyDescent="0.2">
      <c r="A166" s="39">
        <v>43772</v>
      </c>
      <c r="B166" s="22" t="s">
        <v>246</v>
      </c>
      <c r="C166" s="41" t="s">
        <v>302</v>
      </c>
      <c r="D166" s="22" t="s">
        <v>305</v>
      </c>
      <c r="E166">
        <v>17.899999999999999</v>
      </c>
      <c r="F166">
        <v>24.1</v>
      </c>
      <c r="G166">
        <v>3.3</v>
      </c>
      <c r="H166">
        <v>6.8</v>
      </c>
      <c r="I166">
        <v>-3</v>
      </c>
      <c r="J166">
        <v>44.5</v>
      </c>
      <c r="L166" s="1" t="s">
        <v>302</v>
      </c>
      <c r="M166">
        <v>14</v>
      </c>
      <c r="N166">
        <v>1.5708000000000004</v>
      </c>
      <c r="O166">
        <v>27</v>
      </c>
      <c r="P166">
        <v>25</v>
      </c>
      <c r="Q166">
        <v>32</v>
      </c>
      <c r="R166">
        <v>-2.6680000000000001</v>
      </c>
      <c r="S166">
        <v>18</v>
      </c>
      <c r="T166">
        <v>-4.3599999999999994</v>
      </c>
      <c r="U166">
        <v>-0.43999999999999995</v>
      </c>
      <c r="V166">
        <v>12</v>
      </c>
      <c r="W166">
        <v>11.5</v>
      </c>
      <c r="X166">
        <v>5</v>
      </c>
      <c r="Y166">
        <v>5.16</v>
      </c>
      <c r="Z166">
        <v>18</v>
      </c>
      <c r="AA166">
        <v>-20.76</v>
      </c>
      <c r="AB166">
        <v>4.04</v>
      </c>
      <c r="AC166">
        <v>4</v>
      </c>
      <c r="AD166">
        <v>4</v>
      </c>
      <c r="AE166">
        <v>3</v>
      </c>
      <c r="AF166">
        <v>5.2959999999999994</v>
      </c>
      <c r="AG166">
        <v>5</v>
      </c>
      <c r="AH166">
        <v>12.120000000000003</v>
      </c>
      <c r="AI166">
        <v>3.56</v>
      </c>
      <c r="AJ166">
        <v>14</v>
      </c>
      <c r="AK166">
        <v>14</v>
      </c>
      <c r="AL166">
        <v>15</v>
      </c>
      <c r="AM166">
        <v>-0.69600000000000029</v>
      </c>
      <c r="AN166">
        <v>13</v>
      </c>
      <c r="AO166">
        <v>-0.51999999999999891</v>
      </c>
      <c r="AP166">
        <v>0.3999999999999998</v>
      </c>
      <c r="AQ166">
        <v>16</v>
      </c>
      <c r="AR166">
        <v>16</v>
      </c>
      <c r="AS166">
        <v>13</v>
      </c>
      <c r="AT166">
        <v>0.19999999999999959</v>
      </c>
      <c r="AU166">
        <v>19</v>
      </c>
      <c r="AV166">
        <v>5.3600000000000012</v>
      </c>
      <c r="AW166">
        <v>1.6</v>
      </c>
      <c r="AX166">
        <v>4</v>
      </c>
      <c r="AY166">
        <v>4.5</v>
      </c>
      <c r="AZ166">
        <v>2</v>
      </c>
      <c r="BA166">
        <v>2.1800000000000006</v>
      </c>
      <c r="BB166">
        <v>7</v>
      </c>
      <c r="BC166">
        <v>-10.840000000000002</v>
      </c>
      <c r="BD166">
        <v>18.920000000000002</v>
      </c>
      <c r="BE166">
        <v>25</v>
      </c>
      <c r="BF166">
        <v>25.5</v>
      </c>
      <c r="BG166">
        <v>28</v>
      </c>
      <c r="BH166">
        <v>-3.8439999999999999</v>
      </c>
      <c r="BI166">
        <v>-17.400000000000002</v>
      </c>
      <c r="BJ166">
        <v>-2.16</v>
      </c>
      <c r="BK166">
        <v>2</v>
      </c>
      <c r="BL166">
        <v>5</v>
      </c>
      <c r="BM166">
        <v>8</v>
      </c>
      <c r="BN166">
        <v>-0.91999999999999993</v>
      </c>
      <c r="BO166">
        <v>2</v>
      </c>
      <c r="BP166">
        <v>-0.4</v>
      </c>
      <c r="BQ166">
        <v>9.4400000000000013</v>
      </c>
      <c r="BR166">
        <v>27</v>
      </c>
      <c r="BS166">
        <v>23.25</v>
      </c>
      <c r="BT166">
        <v>23</v>
      </c>
      <c r="BU166">
        <v>-3.0481742380379317E-2</v>
      </c>
      <c r="BV166">
        <v>26</v>
      </c>
      <c r="BW166">
        <v>-2.5887151161410847E-2</v>
      </c>
      <c r="BX166">
        <v>23</v>
      </c>
      <c r="BY166">
        <v>-13.527999999999997</v>
      </c>
      <c r="BZ166">
        <v>21</v>
      </c>
      <c r="CA166">
        <v>-1.8400000000000003</v>
      </c>
      <c r="CB166">
        <v>7.0399999999999991</v>
      </c>
      <c r="CC166">
        <v>1.72</v>
      </c>
      <c r="CD166">
        <v>3.5200000000000005</v>
      </c>
      <c r="CE166">
        <v>1.4799999999999955</v>
      </c>
      <c r="CF166">
        <v>34.240000000000009</v>
      </c>
      <c r="CG166">
        <v>-20.399999999999999</v>
      </c>
      <c r="CH166">
        <v>1.0799999999999998</v>
      </c>
      <c r="CI166">
        <v>-13.439999999999998</v>
      </c>
      <c r="CJ166">
        <v>20</v>
      </c>
      <c r="CK166">
        <v>-0.9211999999999998</v>
      </c>
      <c r="CL166">
        <v>-0.7406400000000003</v>
      </c>
      <c r="CM166">
        <v>54.640000000000008</v>
      </c>
      <c r="CN166">
        <v>0.92119999999999957</v>
      </c>
      <c r="CO166">
        <v>0.51234999999999986</v>
      </c>
      <c r="CP166">
        <v>4.799999999999998</v>
      </c>
      <c r="CQ166">
        <v>16.960000000000004</v>
      </c>
      <c r="CR166">
        <v>2.492</v>
      </c>
      <c r="CS166">
        <v>-25.12</v>
      </c>
      <c r="CT166">
        <v>3.4000000000000004</v>
      </c>
      <c r="CU166">
        <v>3.6</v>
      </c>
      <c r="CV166">
        <v>-0.99959999999999982</v>
      </c>
      <c r="CW166">
        <v>-2.1118999999999999</v>
      </c>
      <c r="CX166" t="s">
        <v>305</v>
      </c>
      <c r="CY166">
        <v>32</v>
      </c>
      <c r="CZ166">
        <v>-1.0943999999999996</v>
      </c>
      <c r="DA166">
        <v>4</v>
      </c>
      <c r="DB166">
        <v>5.5</v>
      </c>
      <c r="DC166">
        <v>6</v>
      </c>
      <c r="DD166">
        <v>-3.3079999999999985</v>
      </c>
      <c r="DE166">
        <v>5</v>
      </c>
      <c r="DF166">
        <v>-15.52</v>
      </c>
      <c r="DG166">
        <v>-0.96000000000000019</v>
      </c>
      <c r="DH166">
        <v>27</v>
      </c>
      <c r="DI166">
        <v>24.5</v>
      </c>
      <c r="DJ166">
        <v>29</v>
      </c>
      <c r="DK166">
        <v>0.31200000000000028</v>
      </c>
      <c r="DL166">
        <v>20</v>
      </c>
      <c r="DM166">
        <v>1.5599999999999994</v>
      </c>
      <c r="DN166">
        <v>-0.8</v>
      </c>
      <c r="DO166">
        <v>20</v>
      </c>
      <c r="DP166">
        <v>25</v>
      </c>
      <c r="DQ166">
        <v>27</v>
      </c>
      <c r="DR166">
        <v>-1.2599999999999987</v>
      </c>
      <c r="DS166">
        <v>23</v>
      </c>
      <c r="DT166">
        <v>-11.319999999999997</v>
      </c>
      <c r="DU166">
        <v>-1.7763568394002506E-16</v>
      </c>
      <c r="DV166">
        <v>16</v>
      </c>
      <c r="DW166">
        <v>16</v>
      </c>
      <c r="DX166">
        <v>12</v>
      </c>
      <c r="DY166">
        <v>4.9019999999999992</v>
      </c>
      <c r="DZ166">
        <v>20</v>
      </c>
      <c r="EA166">
        <v>28.78</v>
      </c>
      <c r="EB166">
        <v>3.75</v>
      </c>
      <c r="EC166">
        <v>22</v>
      </c>
      <c r="ED166">
        <v>29</v>
      </c>
      <c r="EE166">
        <v>31</v>
      </c>
      <c r="EF166">
        <v>-7.9999999999999807E-2</v>
      </c>
      <c r="EG166">
        <v>27</v>
      </c>
      <c r="EH166">
        <v>0.92000000000000026</v>
      </c>
      <c r="EI166">
        <v>0.35999999999999988</v>
      </c>
      <c r="EJ166">
        <v>26</v>
      </c>
      <c r="EK166">
        <v>26.5</v>
      </c>
      <c r="EL166">
        <v>23</v>
      </c>
      <c r="EM166">
        <v>2.8760000000000021</v>
      </c>
      <c r="EN166">
        <v>30</v>
      </c>
      <c r="EO166">
        <v>18.52</v>
      </c>
      <c r="EP166">
        <v>-2.72</v>
      </c>
      <c r="EQ166">
        <v>31</v>
      </c>
      <c r="ER166">
        <v>30.5</v>
      </c>
      <c r="ES166">
        <v>30</v>
      </c>
      <c r="ET166">
        <v>0.43000000000000044</v>
      </c>
      <c r="EU166">
        <v>31</v>
      </c>
      <c r="EV166">
        <v>5.6499999999999995</v>
      </c>
      <c r="EW166">
        <v>0.11000000000000006</v>
      </c>
      <c r="EX166">
        <v>23</v>
      </c>
      <c r="EY166">
        <v>22.5</v>
      </c>
      <c r="EZ166">
        <v>27</v>
      </c>
      <c r="FA166">
        <v>1</v>
      </c>
      <c r="FB166">
        <v>18</v>
      </c>
      <c r="FC166">
        <v>0.36000000000000004</v>
      </c>
      <c r="FD166">
        <v>-3.5200000000000005</v>
      </c>
      <c r="FE166">
        <v>5</v>
      </c>
      <c r="FF166">
        <v>9.75</v>
      </c>
      <c r="FG166">
        <v>15</v>
      </c>
      <c r="FH166">
        <v>-3.8834537496163349E-2</v>
      </c>
      <c r="FI166">
        <v>8</v>
      </c>
      <c r="FJ166">
        <v>-2.1449092569761196E-2</v>
      </c>
      <c r="FK166">
        <v>15</v>
      </c>
      <c r="FL166">
        <v>-12.651999999999997</v>
      </c>
      <c r="FM166">
        <v>1</v>
      </c>
      <c r="FN166">
        <v>0.80000000000000038</v>
      </c>
      <c r="FO166">
        <v>2.2799999999999998</v>
      </c>
      <c r="FP166">
        <v>-4.24</v>
      </c>
      <c r="FQ166">
        <v>-1.04</v>
      </c>
      <c r="FR166">
        <v>-3.8799999999999981</v>
      </c>
      <c r="FS166">
        <v>1.0799999999999994</v>
      </c>
      <c r="FT166">
        <v>-0.92000000000000015</v>
      </c>
      <c r="FU166">
        <v>5.5600000000000023</v>
      </c>
      <c r="FV166">
        <v>20.440000000000005</v>
      </c>
      <c r="FW166">
        <v>-14.839999999999998</v>
      </c>
      <c r="FX166">
        <v>0.36000000000000021</v>
      </c>
      <c r="FY166">
        <v>-0.4</v>
      </c>
      <c r="FZ166">
        <v>12</v>
      </c>
      <c r="GA166">
        <v>1.9015999999999984</v>
      </c>
      <c r="GB166">
        <v>2.0775199999999994</v>
      </c>
      <c r="GC166">
        <v>35.28</v>
      </c>
      <c r="GD166">
        <v>-1.9015999999999986</v>
      </c>
      <c r="GE166">
        <v>0.11270000000000036</v>
      </c>
      <c r="GF166">
        <v>3.5620000000000007</v>
      </c>
      <c r="GG166">
        <v>18.380000000000006</v>
      </c>
      <c r="GH166">
        <v>-2.9959999999999982</v>
      </c>
      <c r="GI166">
        <v>-13.96</v>
      </c>
      <c r="GJ166">
        <v>4.22</v>
      </c>
      <c r="GK166">
        <v>-1.7600000000000002</v>
      </c>
    </row>
    <row r="167" spans="1:193" x14ac:dyDescent="0.2">
      <c r="A167" s="39">
        <v>43772</v>
      </c>
      <c r="B167" s="22" t="s">
        <v>246</v>
      </c>
      <c r="C167" s="41" t="s">
        <v>296</v>
      </c>
      <c r="D167" s="22" t="s">
        <v>291</v>
      </c>
      <c r="E167">
        <v>11.8</v>
      </c>
      <c r="F167">
        <v>8.8000000000000007</v>
      </c>
      <c r="G167">
        <v>5.2</v>
      </c>
      <c r="H167">
        <v>14.7</v>
      </c>
      <c r="I167">
        <v>6.5</v>
      </c>
      <c r="J167">
        <v>48.5</v>
      </c>
      <c r="K167" t="s">
        <v>109</v>
      </c>
      <c r="L167" s="1" t="s">
        <v>296</v>
      </c>
      <c r="M167">
        <v>20</v>
      </c>
      <c r="N167">
        <v>-1.3399999999999992</v>
      </c>
      <c r="O167">
        <v>20</v>
      </c>
      <c r="P167">
        <v>21</v>
      </c>
      <c r="Q167">
        <v>16</v>
      </c>
      <c r="R167">
        <v>0</v>
      </c>
      <c r="S167">
        <v>26</v>
      </c>
      <c r="T167">
        <v>-20.68</v>
      </c>
      <c r="U167">
        <v>-0.20000000000000009</v>
      </c>
      <c r="V167">
        <v>31</v>
      </c>
      <c r="W167">
        <v>31</v>
      </c>
      <c r="X167">
        <v>32</v>
      </c>
      <c r="Y167">
        <v>-5.5759999999999996</v>
      </c>
      <c r="Z167">
        <v>30</v>
      </c>
      <c r="AA167">
        <v>-9.6000000000000014</v>
      </c>
      <c r="AB167">
        <v>-2.08</v>
      </c>
      <c r="AC167">
        <v>14</v>
      </c>
      <c r="AD167">
        <v>15.5</v>
      </c>
      <c r="AE167">
        <v>10</v>
      </c>
      <c r="AF167">
        <v>1.5439999999999992</v>
      </c>
      <c r="AG167">
        <v>21</v>
      </c>
      <c r="AH167">
        <v>8.120000000000001</v>
      </c>
      <c r="AI167">
        <v>1.9199999999999995</v>
      </c>
      <c r="AJ167">
        <v>13</v>
      </c>
      <c r="AK167">
        <v>13.5</v>
      </c>
      <c r="AL167">
        <v>5</v>
      </c>
      <c r="AM167">
        <v>-2.795999999999998</v>
      </c>
      <c r="AN167">
        <v>22</v>
      </c>
      <c r="AO167">
        <v>-15.560000000000002</v>
      </c>
      <c r="AP167">
        <v>-0.79999999999999971</v>
      </c>
      <c r="AQ167">
        <v>12</v>
      </c>
      <c r="AR167">
        <v>12.5</v>
      </c>
      <c r="AS167">
        <v>14</v>
      </c>
      <c r="AT167">
        <v>0.68399999999999994</v>
      </c>
      <c r="AU167">
        <v>11</v>
      </c>
      <c r="AV167">
        <v>2.12</v>
      </c>
      <c r="AW167">
        <v>-0.91999999999999993</v>
      </c>
      <c r="AX167">
        <v>22</v>
      </c>
      <c r="AY167">
        <v>21</v>
      </c>
      <c r="AZ167">
        <v>17</v>
      </c>
      <c r="BA167">
        <v>3.7079999999999984</v>
      </c>
      <c r="BB167">
        <v>25</v>
      </c>
      <c r="BC167">
        <v>15.079999999999995</v>
      </c>
      <c r="BD167">
        <v>1.4799999999999998</v>
      </c>
      <c r="BE167">
        <v>19</v>
      </c>
      <c r="BF167">
        <v>19</v>
      </c>
      <c r="BG167">
        <v>18</v>
      </c>
      <c r="BH167">
        <v>-0.72799999999999943</v>
      </c>
      <c r="BI167">
        <v>-10.600000000000001</v>
      </c>
      <c r="BJ167">
        <v>1.6400000000000001</v>
      </c>
      <c r="BK167">
        <v>28</v>
      </c>
      <c r="BL167">
        <v>27.5</v>
      </c>
      <c r="BM167">
        <v>29</v>
      </c>
      <c r="BN167">
        <v>-3.8</v>
      </c>
      <c r="BO167">
        <v>26</v>
      </c>
      <c r="BP167">
        <v>-1.2</v>
      </c>
      <c r="BQ167">
        <v>4.4400000000000004</v>
      </c>
      <c r="BR167">
        <v>2</v>
      </c>
      <c r="BS167">
        <v>7.5</v>
      </c>
      <c r="BT167">
        <v>3</v>
      </c>
      <c r="BU167">
        <v>4.639523895036575E-2</v>
      </c>
      <c r="BV167">
        <v>16</v>
      </c>
      <c r="BW167">
        <v>4.4179332375002961E-3</v>
      </c>
      <c r="BX167">
        <v>10</v>
      </c>
      <c r="BY167">
        <v>-3.0000000000000027</v>
      </c>
      <c r="BZ167">
        <v>1</v>
      </c>
      <c r="CA167">
        <v>5.4799999999999995</v>
      </c>
      <c r="CB167">
        <v>-1.3599999999999994</v>
      </c>
      <c r="CC167">
        <v>-4.6399999999999997</v>
      </c>
      <c r="CD167">
        <v>2.8</v>
      </c>
      <c r="CE167">
        <v>-53.839999999999989</v>
      </c>
      <c r="CF167">
        <v>-28.919999999999998</v>
      </c>
      <c r="CG167">
        <v>-32.92</v>
      </c>
      <c r="CH167">
        <v>-0.6</v>
      </c>
      <c r="CI167">
        <v>8.6</v>
      </c>
      <c r="CJ167">
        <v>10</v>
      </c>
      <c r="CK167">
        <v>4.2360000000000007</v>
      </c>
      <c r="CL167">
        <v>2.2608000000000006</v>
      </c>
      <c r="CM167">
        <v>4.0000000000000036</v>
      </c>
      <c r="CN167">
        <v>-4.2360000000000007</v>
      </c>
      <c r="CO167">
        <v>-1.5014999999999996</v>
      </c>
      <c r="CP167">
        <v>-0.56799999999999895</v>
      </c>
      <c r="CQ167">
        <v>-5.3200000000000012</v>
      </c>
      <c r="CR167">
        <v>-5.5759999999999996</v>
      </c>
      <c r="CS167">
        <v>-30.28</v>
      </c>
      <c r="CT167">
        <v>1.8399999999999999</v>
      </c>
      <c r="CU167">
        <v>-2.2800000000000002</v>
      </c>
      <c r="CV167">
        <v>-0.77348750000000011</v>
      </c>
      <c r="CW167">
        <v>-0.64767500000000011</v>
      </c>
      <c r="CX167" t="s">
        <v>291</v>
      </c>
      <c r="CY167">
        <v>19</v>
      </c>
      <c r="CZ167">
        <v>-5.1655999999999995</v>
      </c>
      <c r="DA167">
        <v>6</v>
      </c>
      <c r="DB167">
        <v>8</v>
      </c>
      <c r="DC167">
        <v>4</v>
      </c>
      <c r="DD167">
        <v>0.65920000000000056</v>
      </c>
      <c r="DE167">
        <v>12</v>
      </c>
      <c r="DF167">
        <v>-0.87999999999999834</v>
      </c>
      <c r="DG167">
        <v>-0.91999999999999993</v>
      </c>
      <c r="DH167">
        <v>22</v>
      </c>
      <c r="DI167">
        <v>19</v>
      </c>
      <c r="DJ167">
        <v>24</v>
      </c>
      <c r="DK167">
        <v>-2.8159999999999998</v>
      </c>
      <c r="DL167">
        <v>14</v>
      </c>
      <c r="DM167">
        <v>-12.360000000000001</v>
      </c>
      <c r="DN167">
        <v>0.28000000000000003</v>
      </c>
      <c r="DO167">
        <v>26</v>
      </c>
      <c r="DP167">
        <v>29.5</v>
      </c>
      <c r="DQ167">
        <v>30</v>
      </c>
      <c r="DR167">
        <v>-5.0880000000000001</v>
      </c>
      <c r="DS167">
        <v>29</v>
      </c>
      <c r="DT167">
        <v>-12.56</v>
      </c>
      <c r="DU167">
        <v>-1.6800000000000002</v>
      </c>
      <c r="DV167">
        <v>15</v>
      </c>
      <c r="DW167">
        <v>14</v>
      </c>
      <c r="DX167">
        <v>13</v>
      </c>
      <c r="DY167">
        <v>2.6680000000000001</v>
      </c>
      <c r="DZ167">
        <v>15</v>
      </c>
      <c r="EA167">
        <v>7.8799999999999981</v>
      </c>
      <c r="EB167">
        <v>0.43999999999999995</v>
      </c>
      <c r="EC167">
        <v>19</v>
      </c>
      <c r="ED167">
        <v>10.5</v>
      </c>
      <c r="EE167">
        <v>9</v>
      </c>
      <c r="EF167">
        <v>-0.99199999999999999</v>
      </c>
      <c r="EG167">
        <v>12</v>
      </c>
      <c r="EH167">
        <v>-5.6</v>
      </c>
      <c r="EI167">
        <v>-3.9999999999999994E-2</v>
      </c>
      <c r="EJ167">
        <v>8</v>
      </c>
      <c r="EK167">
        <v>8.5</v>
      </c>
      <c r="EL167">
        <v>10</v>
      </c>
      <c r="EM167">
        <v>-5.1999999999999602E-2</v>
      </c>
      <c r="EN167">
        <v>7</v>
      </c>
      <c r="EO167">
        <v>5.08</v>
      </c>
      <c r="EP167">
        <v>-1.0799999999999996</v>
      </c>
      <c r="EQ167">
        <v>27</v>
      </c>
      <c r="ER167">
        <v>26</v>
      </c>
      <c r="ES167">
        <v>22</v>
      </c>
      <c r="ET167">
        <v>0.62000000000000033</v>
      </c>
      <c r="EU167">
        <v>30</v>
      </c>
      <c r="EV167">
        <v>10.319999999999999</v>
      </c>
      <c r="EW167">
        <v>0.52000000000000024</v>
      </c>
      <c r="EX167">
        <v>7</v>
      </c>
      <c r="EY167">
        <v>7</v>
      </c>
      <c r="EZ167">
        <v>10</v>
      </c>
      <c r="FA167">
        <v>2.92</v>
      </c>
      <c r="FB167">
        <v>4</v>
      </c>
      <c r="FC167">
        <v>1</v>
      </c>
      <c r="FD167">
        <v>-2.72</v>
      </c>
      <c r="FE167">
        <v>15</v>
      </c>
      <c r="FF167">
        <v>15.75</v>
      </c>
      <c r="FG167">
        <v>7</v>
      </c>
      <c r="FH167">
        <v>-1.9316011211576466E-2</v>
      </c>
      <c r="FI167">
        <v>7</v>
      </c>
      <c r="FJ167">
        <v>2.0049431907943848E-2</v>
      </c>
      <c r="FK167">
        <v>28</v>
      </c>
      <c r="FL167">
        <v>12.255999999999997</v>
      </c>
      <c r="FM167">
        <v>21</v>
      </c>
      <c r="FN167">
        <v>0.5600000000000005</v>
      </c>
      <c r="FO167">
        <v>-1.4800000000000011</v>
      </c>
      <c r="FP167">
        <v>-1.2799999999999998</v>
      </c>
      <c r="FQ167">
        <v>0.76</v>
      </c>
      <c r="FR167">
        <v>-1.4000000000000015</v>
      </c>
      <c r="FS167">
        <v>-1.3599999999999994</v>
      </c>
      <c r="FT167">
        <v>-1.56</v>
      </c>
      <c r="FU167">
        <v>-22.24</v>
      </c>
      <c r="FV167">
        <v>-15.959999999999997</v>
      </c>
      <c r="FW167">
        <v>-11.84</v>
      </c>
      <c r="FX167">
        <v>2</v>
      </c>
      <c r="FY167">
        <v>3.5599999999999996</v>
      </c>
      <c r="FZ167">
        <v>24</v>
      </c>
      <c r="GA167">
        <v>-3.0087999999999999</v>
      </c>
      <c r="GB167">
        <v>-0.51312000000000002</v>
      </c>
      <c r="GC167">
        <v>-4.1199999999999974</v>
      </c>
      <c r="GD167">
        <v>3.0088000000000004</v>
      </c>
      <c r="GE167">
        <v>-0.89929999999999999</v>
      </c>
      <c r="GF167">
        <v>-3.4119999999999999</v>
      </c>
      <c r="GG167">
        <v>-10.280000000000001</v>
      </c>
      <c r="GH167">
        <v>-2.1567999999999992</v>
      </c>
      <c r="GI167">
        <v>-13.24</v>
      </c>
      <c r="GJ167">
        <v>-0.76</v>
      </c>
      <c r="GK167">
        <v>-0.6399999999999999</v>
      </c>
    </row>
    <row r="168" spans="1:193" x14ac:dyDescent="0.2">
      <c r="A168" s="39">
        <v>43772</v>
      </c>
      <c r="B168" s="22" t="s">
        <v>246</v>
      </c>
      <c r="C168" s="41" t="s">
        <v>298</v>
      </c>
      <c r="D168" s="22" t="s">
        <v>293</v>
      </c>
      <c r="E168">
        <v>22.3</v>
      </c>
      <c r="F168">
        <v>5.3</v>
      </c>
      <c r="G168">
        <v>3.9</v>
      </c>
      <c r="H168">
        <v>11</v>
      </c>
      <c r="I168">
        <v>-3.5</v>
      </c>
      <c r="J168">
        <v>42.5</v>
      </c>
      <c r="L168" s="1" t="s">
        <v>298</v>
      </c>
      <c r="M168">
        <v>28</v>
      </c>
      <c r="N168">
        <v>-5.0680000000000023</v>
      </c>
      <c r="O168">
        <v>19</v>
      </c>
      <c r="P168">
        <v>20.5</v>
      </c>
      <c r="Q168">
        <v>13</v>
      </c>
      <c r="R168">
        <v>-4.0760000000000005</v>
      </c>
      <c r="S168">
        <v>28</v>
      </c>
      <c r="T168">
        <v>-13.8</v>
      </c>
      <c r="U168">
        <v>1.44</v>
      </c>
      <c r="V168">
        <v>24</v>
      </c>
      <c r="W168">
        <v>24</v>
      </c>
      <c r="X168">
        <v>27</v>
      </c>
      <c r="Y168">
        <v>-3.3759999999999999</v>
      </c>
      <c r="Z168">
        <v>21</v>
      </c>
      <c r="AA168">
        <v>-11.12</v>
      </c>
      <c r="AB168">
        <v>-1.2400000000000002</v>
      </c>
      <c r="AC168">
        <v>31</v>
      </c>
      <c r="AD168">
        <v>31</v>
      </c>
      <c r="AE168">
        <v>30</v>
      </c>
      <c r="AF168">
        <v>-3.3400000000000007</v>
      </c>
      <c r="AG168">
        <v>32</v>
      </c>
      <c r="AH168">
        <v>-19.920000000000002</v>
      </c>
      <c r="AI168">
        <v>-1.2799999999999998</v>
      </c>
      <c r="AJ168">
        <v>21</v>
      </c>
      <c r="AK168">
        <v>20.5</v>
      </c>
      <c r="AL168">
        <v>21</v>
      </c>
      <c r="AM168">
        <v>-1.5239999999999996</v>
      </c>
      <c r="AN168">
        <v>20</v>
      </c>
      <c r="AO168">
        <v>-1.8399999999999992</v>
      </c>
      <c r="AP168">
        <v>-0.59999999999999987</v>
      </c>
      <c r="AQ168">
        <v>6</v>
      </c>
      <c r="AR168">
        <v>6</v>
      </c>
      <c r="AS168">
        <v>7</v>
      </c>
      <c r="AT168">
        <v>3.024</v>
      </c>
      <c r="AU168">
        <v>5</v>
      </c>
      <c r="AV168">
        <v>19.919999999999998</v>
      </c>
      <c r="AW168">
        <v>2.16</v>
      </c>
      <c r="AX168">
        <v>24</v>
      </c>
      <c r="AY168">
        <v>25</v>
      </c>
      <c r="AZ168">
        <v>24</v>
      </c>
      <c r="BA168">
        <v>-1.4439999999999995</v>
      </c>
      <c r="BB168">
        <v>26</v>
      </c>
      <c r="BC168">
        <v>1.1599999999999979</v>
      </c>
      <c r="BD168">
        <v>-0.96</v>
      </c>
      <c r="BE168">
        <v>14</v>
      </c>
      <c r="BF168">
        <v>13.5</v>
      </c>
      <c r="BG168">
        <v>13</v>
      </c>
      <c r="BH168">
        <v>-0.2000000000000007</v>
      </c>
      <c r="BI168">
        <v>-12.320000000000002</v>
      </c>
      <c r="BJ168">
        <v>-1.6799999999999997</v>
      </c>
      <c r="BK168">
        <v>14</v>
      </c>
      <c r="BL168">
        <v>13.5</v>
      </c>
      <c r="BM168">
        <v>19</v>
      </c>
      <c r="BN168">
        <v>-3.0799999999999996</v>
      </c>
      <c r="BO168">
        <v>8</v>
      </c>
      <c r="BP168">
        <v>-0.76</v>
      </c>
      <c r="BQ168">
        <v>-3.7199999999999998</v>
      </c>
      <c r="BR168">
        <v>8</v>
      </c>
      <c r="BS168">
        <v>12</v>
      </c>
      <c r="BT168">
        <v>2</v>
      </c>
      <c r="BU168">
        <v>8.1819623587972817E-2</v>
      </c>
      <c r="BV168">
        <v>17</v>
      </c>
      <c r="BW168">
        <v>3.9080413848829793E-2</v>
      </c>
      <c r="BX168">
        <v>12</v>
      </c>
      <c r="BY168">
        <v>-2.2719999999999998</v>
      </c>
      <c r="BZ168">
        <v>17</v>
      </c>
      <c r="CA168">
        <v>6.44</v>
      </c>
      <c r="CB168">
        <v>-4.7600000000000007</v>
      </c>
      <c r="CC168">
        <v>-6.44</v>
      </c>
      <c r="CD168">
        <v>-0.51999999999999991</v>
      </c>
      <c r="CE168">
        <v>-66.84</v>
      </c>
      <c r="CF168">
        <v>-23.799999999999994</v>
      </c>
      <c r="CG168">
        <v>-26.439999999999998</v>
      </c>
      <c r="CH168">
        <v>-1.8400000000000003</v>
      </c>
      <c r="CI168">
        <v>-14.76</v>
      </c>
      <c r="CJ168">
        <v>14</v>
      </c>
      <c r="CK168">
        <v>2.3839999999999981</v>
      </c>
      <c r="CL168">
        <v>2.3043999999999993</v>
      </c>
      <c r="CM168">
        <v>2.6400000000000041</v>
      </c>
      <c r="CN168">
        <v>-2.3839999999999977</v>
      </c>
      <c r="CO168">
        <v>-2.2050000000000005</v>
      </c>
      <c r="CP168">
        <v>-1.8400000000000007</v>
      </c>
      <c r="CQ168">
        <v>-1.8400000000000034</v>
      </c>
      <c r="CR168">
        <v>-7.452</v>
      </c>
      <c r="CS168">
        <v>-24.92</v>
      </c>
      <c r="CT168">
        <v>-1.3999999999999992</v>
      </c>
      <c r="CU168">
        <v>0.19999999999999973</v>
      </c>
      <c r="CV168">
        <v>1.8949375000000002</v>
      </c>
      <c r="CW168">
        <v>1.0996750000000002</v>
      </c>
      <c r="CX168" t="s">
        <v>293</v>
      </c>
      <c r="CY168">
        <v>2</v>
      </c>
      <c r="CZ168">
        <v>4.9576000000000011</v>
      </c>
      <c r="DA168">
        <v>1</v>
      </c>
      <c r="DB168">
        <v>1.5</v>
      </c>
      <c r="DC168">
        <v>1</v>
      </c>
      <c r="DD168">
        <v>4.82</v>
      </c>
      <c r="DE168">
        <v>2</v>
      </c>
      <c r="DF168">
        <v>30.080000000000002</v>
      </c>
      <c r="DG168">
        <v>-0.32000000000000006</v>
      </c>
      <c r="DH168">
        <v>30</v>
      </c>
      <c r="DI168">
        <v>27</v>
      </c>
      <c r="DJ168">
        <v>27</v>
      </c>
      <c r="DK168">
        <v>-1.8</v>
      </c>
      <c r="DL168">
        <v>27</v>
      </c>
      <c r="DM168">
        <v>1.4399999999999991</v>
      </c>
      <c r="DN168">
        <v>-1.2</v>
      </c>
      <c r="DO168">
        <v>2</v>
      </c>
      <c r="DP168">
        <v>1.5</v>
      </c>
      <c r="DQ168">
        <v>1</v>
      </c>
      <c r="DR168">
        <v>10.212</v>
      </c>
      <c r="DS168">
        <v>2</v>
      </c>
      <c r="DT168">
        <v>31.559999999999995</v>
      </c>
      <c r="DU168">
        <v>0.91999999999999993</v>
      </c>
      <c r="DV168">
        <v>8</v>
      </c>
      <c r="DW168">
        <v>7</v>
      </c>
      <c r="DX168">
        <v>6</v>
      </c>
      <c r="DY168">
        <v>0.29999999999999921</v>
      </c>
      <c r="DZ168">
        <v>8</v>
      </c>
      <c r="EA168">
        <v>-1.8</v>
      </c>
      <c r="EB168">
        <v>-0.24000000000000013</v>
      </c>
      <c r="EC168">
        <v>29</v>
      </c>
      <c r="ED168">
        <v>24</v>
      </c>
      <c r="EE168">
        <v>22</v>
      </c>
      <c r="EF168">
        <v>-0.48799999999999971</v>
      </c>
      <c r="EG168">
        <v>26</v>
      </c>
      <c r="EH168">
        <v>-2.7999999999999994</v>
      </c>
      <c r="EI168">
        <v>-0.12000000000000006</v>
      </c>
      <c r="EJ168">
        <v>9</v>
      </c>
      <c r="EK168">
        <v>9</v>
      </c>
      <c r="EL168">
        <v>8</v>
      </c>
      <c r="EM168">
        <v>4.2919999999999998</v>
      </c>
      <c r="EN168">
        <v>10</v>
      </c>
      <c r="EO168">
        <v>-0.67999999999999972</v>
      </c>
      <c r="EP168">
        <v>8.0000000000000071E-2</v>
      </c>
      <c r="EQ168">
        <v>19</v>
      </c>
      <c r="ER168">
        <v>18.5</v>
      </c>
      <c r="ES168">
        <v>25</v>
      </c>
      <c r="ET168">
        <v>-1.2799999999999998</v>
      </c>
      <c r="EU168">
        <v>12</v>
      </c>
      <c r="EV168">
        <v>2.3999999999999986</v>
      </c>
      <c r="EW168">
        <v>1</v>
      </c>
      <c r="EX168">
        <v>1</v>
      </c>
      <c r="EY168">
        <v>1.5</v>
      </c>
      <c r="EZ168">
        <v>1</v>
      </c>
      <c r="FA168">
        <v>4.8</v>
      </c>
      <c r="FB168">
        <v>2</v>
      </c>
      <c r="FC168">
        <v>1.1599999999999997</v>
      </c>
      <c r="FD168">
        <v>1.9200000000000004</v>
      </c>
      <c r="FE168">
        <v>31</v>
      </c>
      <c r="FF168">
        <v>29</v>
      </c>
      <c r="FG168">
        <v>29</v>
      </c>
      <c r="FH168">
        <v>-4.3242412407643552E-2</v>
      </c>
      <c r="FI168">
        <v>32</v>
      </c>
      <c r="FJ168">
        <v>-3.118140422194653E-2</v>
      </c>
      <c r="FK168">
        <v>30</v>
      </c>
      <c r="FL168">
        <v>7.4679999999999991</v>
      </c>
      <c r="FM168">
        <v>25</v>
      </c>
      <c r="FN168">
        <v>-7.4399999999999995</v>
      </c>
      <c r="FO168">
        <v>0.75999999999999945</v>
      </c>
      <c r="FP168">
        <v>4.84</v>
      </c>
      <c r="FQ168">
        <v>0.15999999999999998</v>
      </c>
      <c r="FR168">
        <v>4.6399999999999988</v>
      </c>
      <c r="FS168">
        <v>7.4</v>
      </c>
      <c r="FT168">
        <v>0.60000000000000009</v>
      </c>
      <c r="FU168">
        <v>64.080000000000013</v>
      </c>
      <c r="FV168">
        <v>35.039999999999992</v>
      </c>
      <c r="FW168">
        <v>33.32</v>
      </c>
      <c r="FX168">
        <v>-4.08</v>
      </c>
      <c r="FY168">
        <v>-0.19999999999999979</v>
      </c>
      <c r="FZ168">
        <v>11</v>
      </c>
      <c r="GA168">
        <v>1.9376000000000009</v>
      </c>
      <c r="GB168">
        <v>1.2303199999999999</v>
      </c>
      <c r="GC168">
        <v>1.7199999999999918</v>
      </c>
      <c r="GD168">
        <v>-1.9376000000000007</v>
      </c>
      <c r="GE168">
        <v>2.6902000000000004</v>
      </c>
      <c r="GF168">
        <v>10.023999999999999</v>
      </c>
      <c r="GG168">
        <v>26.959999999999994</v>
      </c>
      <c r="GH168">
        <v>3.0200000000000005</v>
      </c>
      <c r="GI168">
        <v>31.52</v>
      </c>
      <c r="GJ168">
        <v>1.5599999999999996</v>
      </c>
      <c r="GK168">
        <v>-1.52</v>
      </c>
    </row>
    <row r="169" spans="1:193" x14ac:dyDescent="0.2">
      <c r="A169" s="39">
        <v>43772</v>
      </c>
      <c r="B169" s="22" t="s">
        <v>246</v>
      </c>
      <c r="C169" s="41" t="s">
        <v>294</v>
      </c>
      <c r="D169" s="22" t="s">
        <v>265</v>
      </c>
      <c r="E169">
        <v>7.6</v>
      </c>
      <c r="F169">
        <v>5.0999999999999996</v>
      </c>
      <c r="G169">
        <v>1.5</v>
      </c>
      <c r="H169">
        <f>28.3+7.9</f>
        <v>36.200000000000003</v>
      </c>
      <c r="I169">
        <v>-5</v>
      </c>
      <c r="J169">
        <v>41</v>
      </c>
      <c r="L169" s="1" t="s">
        <v>294</v>
      </c>
      <c r="M169">
        <v>17</v>
      </c>
      <c r="N169">
        <v>-4.0400000000000699E-2</v>
      </c>
      <c r="O169">
        <v>16</v>
      </c>
      <c r="P169">
        <v>16.5</v>
      </c>
      <c r="Q169">
        <v>18</v>
      </c>
      <c r="R169">
        <v>-0.58400000000000107</v>
      </c>
      <c r="S169">
        <v>15</v>
      </c>
      <c r="T169">
        <v>5</v>
      </c>
      <c r="U169">
        <v>-1.5599999999999998</v>
      </c>
      <c r="V169">
        <v>9</v>
      </c>
      <c r="W169">
        <v>10.5</v>
      </c>
      <c r="X169">
        <v>16</v>
      </c>
      <c r="Y169">
        <v>6.2439999999999998</v>
      </c>
      <c r="Z169">
        <v>5</v>
      </c>
      <c r="AA169">
        <v>18.149999999999999</v>
      </c>
      <c r="AB169">
        <v>0.25</v>
      </c>
      <c r="AC169">
        <v>19</v>
      </c>
      <c r="AD169">
        <v>18.5</v>
      </c>
      <c r="AE169">
        <v>20</v>
      </c>
      <c r="AF169">
        <v>-0.7600000000000009</v>
      </c>
      <c r="AG169">
        <v>17</v>
      </c>
      <c r="AH169">
        <v>-12.45</v>
      </c>
      <c r="AI169">
        <v>0.27000000000000013</v>
      </c>
      <c r="AJ169">
        <v>30</v>
      </c>
      <c r="AK169">
        <v>30</v>
      </c>
      <c r="AL169">
        <v>29</v>
      </c>
      <c r="AM169">
        <v>-7.036999999999999</v>
      </c>
      <c r="AN169">
        <v>31</v>
      </c>
      <c r="AO169">
        <v>-25.99</v>
      </c>
      <c r="AP169">
        <v>-2.5499999999999998</v>
      </c>
      <c r="AQ169">
        <v>23</v>
      </c>
      <c r="AR169">
        <v>23.5</v>
      </c>
      <c r="AS169">
        <v>24</v>
      </c>
      <c r="AT169">
        <v>-5.6520000000000001</v>
      </c>
      <c r="AU169">
        <v>23</v>
      </c>
      <c r="AV169">
        <v>-27.079999999999995</v>
      </c>
      <c r="AW169">
        <v>-2.1999999999999997</v>
      </c>
      <c r="AX169">
        <v>20</v>
      </c>
      <c r="AY169">
        <v>20</v>
      </c>
      <c r="AZ169">
        <v>19</v>
      </c>
      <c r="BA169">
        <v>-2.1280000000000001</v>
      </c>
      <c r="BB169">
        <v>21</v>
      </c>
      <c r="BC169">
        <v>-19.68</v>
      </c>
      <c r="BD169">
        <v>-1.08</v>
      </c>
      <c r="BE169">
        <v>1</v>
      </c>
      <c r="BF169">
        <v>1</v>
      </c>
      <c r="BG169">
        <v>1</v>
      </c>
      <c r="BH169">
        <v>6.5479999999999992</v>
      </c>
      <c r="BI169">
        <v>24.88</v>
      </c>
      <c r="BJ169">
        <v>3.6000000000000005</v>
      </c>
      <c r="BK169">
        <v>23</v>
      </c>
      <c r="BL169">
        <v>22.5</v>
      </c>
      <c r="BM169">
        <v>24</v>
      </c>
      <c r="BN169">
        <v>-1.9599999999999997</v>
      </c>
      <c r="BO169">
        <v>21</v>
      </c>
      <c r="BP169">
        <v>-1.1200000000000001</v>
      </c>
      <c r="BQ169">
        <v>2.8800000000000003</v>
      </c>
      <c r="BR169">
        <v>6</v>
      </c>
      <c r="BS169">
        <v>10.25</v>
      </c>
      <c r="BT169">
        <v>16</v>
      </c>
      <c r="BU169">
        <v>3.5532068397901531E-2</v>
      </c>
      <c r="BV169">
        <v>4</v>
      </c>
      <c r="BW169">
        <v>-9.7883016348527512E-3</v>
      </c>
      <c r="BX169">
        <v>6</v>
      </c>
      <c r="BY169">
        <v>-4.6199999999999974</v>
      </c>
      <c r="BZ169">
        <v>15</v>
      </c>
      <c r="CA169">
        <v>-0.12000000000000011</v>
      </c>
      <c r="CB169">
        <v>-0.48000000000000115</v>
      </c>
      <c r="CC169">
        <v>1.9599999999999991</v>
      </c>
      <c r="CD169">
        <v>1.8</v>
      </c>
      <c r="CE169">
        <v>-4.4000000000000004</v>
      </c>
      <c r="CF169">
        <v>-39.959999999999994</v>
      </c>
      <c r="CG169">
        <v>32.279999999999994</v>
      </c>
      <c r="CH169">
        <v>-2</v>
      </c>
      <c r="CI169">
        <v>5.2799999999999994</v>
      </c>
      <c r="CJ169">
        <v>25</v>
      </c>
      <c r="CK169">
        <v>-5.7003999999999992</v>
      </c>
      <c r="CL169">
        <v>-4.2182799999999991</v>
      </c>
      <c r="CM169">
        <v>-72.239999999999981</v>
      </c>
      <c r="CN169">
        <v>5.7003999999999992</v>
      </c>
      <c r="CO169">
        <v>-0.40517500000000028</v>
      </c>
      <c r="CP169">
        <v>-13.449</v>
      </c>
      <c r="CQ169">
        <v>-65.52</v>
      </c>
      <c r="CR169">
        <v>5.6599999999999984</v>
      </c>
      <c r="CS169">
        <v>23.15</v>
      </c>
      <c r="CT169">
        <v>-0.87999999999999901</v>
      </c>
      <c r="CU169">
        <v>-1.3099999999999998</v>
      </c>
      <c r="CV169">
        <v>-0.82331249999999989</v>
      </c>
      <c r="CW169">
        <v>-9.0150000000000036E-2</v>
      </c>
      <c r="CX169" t="s">
        <v>265</v>
      </c>
      <c r="CY169">
        <v>29</v>
      </c>
      <c r="CZ169">
        <v>-4.4999999999999973</v>
      </c>
      <c r="DA169">
        <v>12</v>
      </c>
      <c r="DB169">
        <v>11.5</v>
      </c>
      <c r="DC169">
        <v>15</v>
      </c>
      <c r="DD169">
        <v>2.727199999999999</v>
      </c>
      <c r="DE169">
        <v>8</v>
      </c>
      <c r="DF169">
        <v>4.5999999999999996</v>
      </c>
      <c r="DG169">
        <v>-7.9999999999999988E-2</v>
      </c>
      <c r="DH169">
        <v>14</v>
      </c>
      <c r="DI169">
        <v>15</v>
      </c>
      <c r="DJ169">
        <v>14</v>
      </c>
      <c r="DK169">
        <v>-3.7600000000000002</v>
      </c>
      <c r="DL169">
        <v>16</v>
      </c>
      <c r="DM169">
        <v>-15.76</v>
      </c>
      <c r="DN169">
        <v>-0.55999999999999983</v>
      </c>
      <c r="DO169">
        <v>25</v>
      </c>
      <c r="DP169">
        <v>20</v>
      </c>
      <c r="DQ169">
        <v>19</v>
      </c>
      <c r="DR169">
        <v>-5.3099999999999987</v>
      </c>
      <c r="DS169">
        <v>21</v>
      </c>
      <c r="DT169">
        <v>-12.25</v>
      </c>
      <c r="DU169">
        <v>-0.34999999999999987</v>
      </c>
      <c r="DV169">
        <v>28</v>
      </c>
      <c r="DW169">
        <v>27</v>
      </c>
      <c r="DX169">
        <v>28</v>
      </c>
      <c r="DY169">
        <v>-0.43500000000000094</v>
      </c>
      <c r="DZ169">
        <v>26</v>
      </c>
      <c r="EA169">
        <v>6.5500000000000025</v>
      </c>
      <c r="EB169">
        <v>0.89999999999999991</v>
      </c>
      <c r="EC169">
        <v>20</v>
      </c>
      <c r="ED169">
        <v>19.5</v>
      </c>
      <c r="EE169">
        <v>20</v>
      </c>
      <c r="EF169">
        <v>0.27</v>
      </c>
      <c r="EG169">
        <v>19</v>
      </c>
      <c r="EH169">
        <v>-0.29999999999999982</v>
      </c>
      <c r="EI169">
        <v>0.45</v>
      </c>
      <c r="EJ169">
        <v>21</v>
      </c>
      <c r="EK169">
        <v>21.5</v>
      </c>
      <c r="EL169">
        <v>20</v>
      </c>
      <c r="EM169">
        <v>-4.5519999999999996</v>
      </c>
      <c r="EN169">
        <v>23</v>
      </c>
      <c r="EO169">
        <v>-15.52</v>
      </c>
      <c r="EP169">
        <v>0.4</v>
      </c>
      <c r="EQ169">
        <v>15</v>
      </c>
      <c r="ER169">
        <v>15</v>
      </c>
      <c r="ES169">
        <v>12</v>
      </c>
      <c r="ET169">
        <v>0.19600000000000062</v>
      </c>
      <c r="EU169">
        <v>18</v>
      </c>
      <c r="EV169">
        <v>5.3599999999999994</v>
      </c>
      <c r="EW169">
        <v>7.9999999999999891E-2</v>
      </c>
      <c r="EX169">
        <v>15</v>
      </c>
      <c r="EY169">
        <v>13</v>
      </c>
      <c r="EZ169">
        <v>14</v>
      </c>
      <c r="FA169">
        <v>-1.64</v>
      </c>
      <c r="FB169">
        <v>12</v>
      </c>
      <c r="FC169">
        <v>0</v>
      </c>
      <c r="FD169">
        <v>-1.1199999999999997</v>
      </c>
      <c r="FE169">
        <v>32</v>
      </c>
      <c r="FF169">
        <v>29.25</v>
      </c>
      <c r="FG169">
        <v>28</v>
      </c>
      <c r="FH169">
        <v>-3.8113487894282129E-2</v>
      </c>
      <c r="FI169">
        <v>29</v>
      </c>
      <c r="FJ169">
        <v>1.5648822183262391E-2</v>
      </c>
      <c r="FK169">
        <v>29</v>
      </c>
      <c r="FL169">
        <v>6.591999999999997</v>
      </c>
      <c r="FM169">
        <v>31</v>
      </c>
      <c r="FN169">
        <v>1.92</v>
      </c>
      <c r="FO169">
        <v>1.8399999999999999</v>
      </c>
      <c r="FP169">
        <v>-0.4799999999999997</v>
      </c>
      <c r="FQ169">
        <v>-0.27999999999999997</v>
      </c>
      <c r="FR169">
        <v>1.3200000000000003</v>
      </c>
      <c r="FS169">
        <v>-2.6399999999999992</v>
      </c>
      <c r="FT169">
        <v>-0.87999999999999989</v>
      </c>
      <c r="FU169">
        <v>-41.240000000000009</v>
      </c>
      <c r="FV169">
        <v>-28.600000000000005</v>
      </c>
      <c r="FW169">
        <v>-10</v>
      </c>
      <c r="FX169">
        <v>-5.6800000000000006</v>
      </c>
      <c r="FY169">
        <v>3.04</v>
      </c>
      <c r="FZ169">
        <v>25</v>
      </c>
      <c r="GA169">
        <v>-3.4671999999999961</v>
      </c>
      <c r="GB169">
        <v>-1.4393999999999987</v>
      </c>
      <c r="GC169">
        <v>-18.600000000000005</v>
      </c>
      <c r="GD169">
        <v>3.4671999999999961</v>
      </c>
      <c r="GE169">
        <v>-1.5564749999999998</v>
      </c>
      <c r="GF169">
        <v>-5.4749999999999996</v>
      </c>
      <c r="GG169">
        <v>-5.9999999999999973</v>
      </c>
      <c r="GH169">
        <v>-1.0328000000000013</v>
      </c>
      <c r="GI169">
        <v>-11.16</v>
      </c>
      <c r="GJ169">
        <v>1.0799999999999998</v>
      </c>
      <c r="GK169">
        <v>-0.63999999999999979</v>
      </c>
    </row>
    <row r="170" spans="1:193" x14ac:dyDescent="0.2">
      <c r="A170" s="39">
        <v>43772</v>
      </c>
      <c r="B170" s="22" t="s">
        <v>246</v>
      </c>
      <c r="C170" s="41" t="s">
        <v>309</v>
      </c>
      <c r="D170" s="22" t="s">
        <v>289</v>
      </c>
      <c r="E170">
        <v>4.5999999999999996</v>
      </c>
      <c r="F170">
        <v>10.9</v>
      </c>
      <c r="G170">
        <v>1.5</v>
      </c>
      <c r="H170">
        <v>14</v>
      </c>
      <c r="I170">
        <v>-1</v>
      </c>
      <c r="J170">
        <v>39.5</v>
      </c>
      <c r="K170" t="s">
        <v>110</v>
      </c>
      <c r="L170" s="1" t="s">
        <v>309</v>
      </c>
      <c r="M170">
        <v>26</v>
      </c>
      <c r="N170">
        <v>-3.5368000000000008</v>
      </c>
      <c r="O170">
        <v>12</v>
      </c>
      <c r="P170">
        <v>14.5</v>
      </c>
      <c r="Q170">
        <v>9</v>
      </c>
      <c r="R170">
        <v>5.9439999999999991</v>
      </c>
      <c r="S170">
        <v>20</v>
      </c>
      <c r="T170">
        <v>-10.120000000000001</v>
      </c>
      <c r="U170">
        <v>2.44</v>
      </c>
      <c r="V170">
        <v>9</v>
      </c>
      <c r="W170">
        <v>10.5</v>
      </c>
      <c r="X170">
        <v>11</v>
      </c>
      <c r="Y170">
        <v>1.8719999999999999</v>
      </c>
      <c r="Z170">
        <v>10</v>
      </c>
      <c r="AA170">
        <v>6.9599999999999991</v>
      </c>
      <c r="AB170">
        <v>0.87999999999999989</v>
      </c>
      <c r="AC170">
        <v>13</v>
      </c>
      <c r="AD170">
        <v>14.5</v>
      </c>
      <c r="AE170">
        <v>19</v>
      </c>
      <c r="AF170">
        <v>-3.6680000000000001</v>
      </c>
      <c r="AG170">
        <v>10</v>
      </c>
      <c r="AH170">
        <v>-12.160000000000002</v>
      </c>
      <c r="AI170">
        <v>-1.2</v>
      </c>
      <c r="AJ170">
        <v>17</v>
      </c>
      <c r="AK170">
        <v>17.5</v>
      </c>
      <c r="AL170">
        <v>19</v>
      </c>
      <c r="AM170">
        <v>1.7279999999999991</v>
      </c>
      <c r="AN170">
        <v>16</v>
      </c>
      <c r="AO170">
        <v>2.9600000000000009</v>
      </c>
      <c r="AP170">
        <v>-0.11999999999999984</v>
      </c>
      <c r="AQ170">
        <v>18</v>
      </c>
      <c r="AR170">
        <v>17.5</v>
      </c>
      <c r="AS170">
        <v>20</v>
      </c>
      <c r="AT170">
        <v>-2.9279999999999999</v>
      </c>
      <c r="AU170">
        <v>15</v>
      </c>
      <c r="AV170">
        <v>-10.6</v>
      </c>
      <c r="AW170">
        <v>-0.28000000000000008</v>
      </c>
      <c r="AX170">
        <v>31</v>
      </c>
      <c r="AY170">
        <v>31.5</v>
      </c>
      <c r="AZ170">
        <v>32</v>
      </c>
      <c r="BA170">
        <v>-8.3559999999999999</v>
      </c>
      <c r="BB170">
        <v>31</v>
      </c>
      <c r="BC170">
        <v>-45.559999999999995</v>
      </c>
      <c r="BD170">
        <v>-3.1999999999999997</v>
      </c>
      <c r="BE170">
        <v>28</v>
      </c>
      <c r="BF170">
        <v>27.5</v>
      </c>
      <c r="BG170">
        <v>24</v>
      </c>
      <c r="BH170">
        <v>-1.464</v>
      </c>
      <c r="BI170">
        <v>-14.64</v>
      </c>
      <c r="BJ170">
        <v>-1.2799999999999998</v>
      </c>
      <c r="BK170">
        <v>3</v>
      </c>
      <c r="BL170">
        <v>5.5</v>
      </c>
      <c r="BM170">
        <v>5</v>
      </c>
      <c r="BN170">
        <v>1.8400000000000003</v>
      </c>
      <c r="BO170">
        <v>6</v>
      </c>
      <c r="BP170">
        <v>8.0000000000000071E-2</v>
      </c>
      <c r="BQ170">
        <v>6.6800000000000015</v>
      </c>
      <c r="BR170">
        <v>12</v>
      </c>
      <c r="BS170">
        <v>13.25</v>
      </c>
      <c r="BT170">
        <v>9</v>
      </c>
      <c r="BU170">
        <v>-6.1436483155306362E-3</v>
      </c>
      <c r="BV170">
        <v>20</v>
      </c>
      <c r="BW170">
        <v>-2.6677649240851725E-2</v>
      </c>
      <c r="BX170">
        <v>19</v>
      </c>
      <c r="BY170">
        <v>15.98</v>
      </c>
      <c r="BZ170">
        <v>5</v>
      </c>
      <c r="CA170">
        <v>-1.44</v>
      </c>
      <c r="CB170">
        <v>-3.6</v>
      </c>
      <c r="CC170">
        <v>1.7600000000000002</v>
      </c>
      <c r="CD170">
        <v>1.0399999999999998</v>
      </c>
      <c r="CE170">
        <v>-66.52000000000001</v>
      </c>
      <c r="CF170">
        <v>-42.999999999999993</v>
      </c>
      <c r="CG170">
        <v>-4.5999999999999996</v>
      </c>
      <c r="CH170">
        <v>-5.88</v>
      </c>
      <c r="CI170">
        <v>-13.040000000000001</v>
      </c>
      <c r="CJ170">
        <v>31</v>
      </c>
      <c r="CK170">
        <v>-11.3528</v>
      </c>
      <c r="CL170">
        <v>-5.8817599999999999</v>
      </c>
      <c r="CM170">
        <v>-38.399999999999991</v>
      </c>
      <c r="CN170">
        <v>11.3528</v>
      </c>
      <c r="CO170">
        <v>-2.6600000000000401E-2</v>
      </c>
      <c r="CP170">
        <v>-4.8680000000000012</v>
      </c>
      <c r="CQ170">
        <v>-19.8</v>
      </c>
      <c r="CR170">
        <v>7.8159999999999989</v>
      </c>
      <c r="CS170">
        <v>-3.1600000000000019</v>
      </c>
      <c r="CT170">
        <v>-2.88</v>
      </c>
      <c r="CU170">
        <v>3.32</v>
      </c>
      <c r="CV170">
        <v>-1.1319416666666666</v>
      </c>
      <c r="CW170">
        <v>-1.2865833333333332</v>
      </c>
      <c r="CX170" t="s">
        <v>289</v>
      </c>
      <c r="CY170">
        <v>25</v>
      </c>
      <c r="CZ170">
        <v>-2.9023999999999992</v>
      </c>
      <c r="DA170">
        <v>20</v>
      </c>
      <c r="DB170">
        <v>21</v>
      </c>
      <c r="DC170">
        <v>17</v>
      </c>
      <c r="DD170">
        <v>-4.5039999999999996</v>
      </c>
      <c r="DE170">
        <v>25</v>
      </c>
      <c r="DF170">
        <v>-25.920000000000005</v>
      </c>
      <c r="DG170">
        <v>1.5200000000000002</v>
      </c>
      <c r="DH170">
        <v>16</v>
      </c>
      <c r="DI170">
        <v>16.5</v>
      </c>
      <c r="DJ170">
        <v>26</v>
      </c>
      <c r="DK170">
        <v>-2.5280000000000009</v>
      </c>
      <c r="DL170">
        <v>7</v>
      </c>
      <c r="DM170">
        <v>4.2399999999999993</v>
      </c>
      <c r="DN170">
        <v>-1.52</v>
      </c>
      <c r="DO170">
        <v>24</v>
      </c>
      <c r="DP170">
        <v>20</v>
      </c>
      <c r="DQ170">
        <v>21</v>
      </c>
      <c r="DR170">
        <v>1.6320000000000003</v>
      </c>
      <c r="DS170">
        <v>19</v>
      </c>
      <c r="DT170">
        <v>9.8000000000000007</v>
      </c>
      <c r="DU170">
        <v>0.20000000000000018</v>
      </c>
      <c r="DV170">
        <v>5</v>
      </c>
      <c r="DW170">
        <v>5.5</v>
      </c>
      <c r="DX170">
        <v>7</v>
      </c>
      <c r="DY170">
        <v>-2.8319999999999999</v>
      </c>
      <c r="DZ170">
        <v>4</v>
      </c>
      <c r="EA170">
        <v>-2.7200000000000015</v>
      </c>
      <c r="EB170">
        <v>-1.6</v>
      </c>
      <c r="EC170">
        <v>29</v>
      </c>
      <c r="ED170">
        <v>26</v>
      </c>
      <c r="EE170">
        <v>24</v>
      </c>
      <c r="EF170">
        <v>2.4440000000000008</v>
      </c>
      <c r="EG170">
        <v>28</v>
      </c>
      <c r="EH170">
        <v>-2.5200000000000005</v>
      </c>
      <c r="EI170">
        <v>-0.24000000000000005</v>
      </c>
      <c r="EJ170">
        <v>17</v>
      </c>
      <c r="EK170">
        <v>16.5</v>
      </c>
      <c r="EL170">
        <v>15</v>
      </c>
      <c r="EM170">
        <v>-3.0599999999999996</v>
      </c>
      <c r="EN170">
        <v>18</v>
      </c>
      <c r="EO170">
        <v>-13</v>
      </c>
      <c r="EP170">
        <v>-0.47999999999999987</v>
      </c>
      <c r="EQ170">
        <v>27</v>
      </c>
      <c r="ER170">
        <v>26</v>
      </c>
      <c r="ES170">
        <v>27</v>
      </c>
      <c r="ET170">
        <v>-0.20800000000000018</v>
      </c>
      <c r="EU170">
        <v>25</v>
      </c>
      <c r="EV170">
        <v>-1.7999999999999978</v>
      </c>
      <c r="EW170">
        <v>1.1999999999999997</v>
      </c>
      <c r="EX170">
        <v>5</v>
      </c>
      <c r="EY170">
        <v>4.5</v>
      </c>
      <c r="EZ170">
        <v>5</v>
      </c>
      <c r="FA170">
        <v>1.0799999999999998</v>
      </c>
      <c r="FB170">
        <v>4</v>
      </c>
      <c r="FC170">
        <v>0.28000000000000003</v>
      </c>
      <c r="FD170">
        <v>-0.72000000000000008</v>
      </c>
      <c r="FE170">
        <v>28</v>
      </c>
      <c r="FF170">
        <v>23</v>
      </c>
      <c r="FG170">
        <v>27</v>
      </c>
      <c r="FH170">
        <v>3.1757923867217937E-2</v>
      </c>
      <c r="FI170">
        <v>18</v>
      </c>
      <c r="FJ170">
        <v>1.8996538660106241E-2</v>
      </c>
      <c r="FK170">
        <v>26</v>
      </c>
      <c r="FL170">
        <v>-1.7040000000000006</v>
      </c>
      <c r="FM170">
        <v>21</v>
      </c>
      <c r="FN170">
        <v>1.8800000000000003</v>
      </c>
      <c r="FO170">
        <v>1.4799999999999998</v>
      </c>
      <c r="FP170">
        <v>-2.6399999999999992</v>
      </c>
      <c r="FQ170">
        <v>-0.88000000000000012</v>
      </c>
      <c r="FR170">
        <v>-0.32000000000000173</v>
      </c>
      <c r="FS170">
        <v>-4.2799999999999994</v>
      </c>
      <c r="FT170">
        <v>1.1199999999999999</v>
      </c>
      <c r="FU170">
        <v>-20.839999999999996</v>
      </c>
      <c r="FV170">
        <v>-11.160000000000007</v>
      </c>
      <c r="FW170">
        <v>-20.28</v>
      </c>
      <c r="FX170">
        <v>10.36</v>
      </c>
      <c r="FY170">
        <v>0.24000000000000049</v>
      </c>
      <c r="FZ170">
        <v>7</v>
      </c>
      <c r="GA170">
        <v>4.1296000000000017</v>
      </c>
      <c r="GB170">
        <v>3.1427200000000006</v>
      </c>
      <c r="GC170">
        <v>9.1199999999999939</v>
      </c>
      <c r="GD170">
        <v>-4.1296000000000008</v>
      </c>
      <c r="GE170">
        <v>-0.97729999999999984</v>
      </c>
      <c r="GF170">
        <v>1.2440000000000013</v>
      </c>
      <c r="GG170">
        <v>4.5599999999999987</v>
      </c>
      <c r="GH170">
        <v>-7.032</v>
      </c>
      <c r="GI170">
        <v>-21.680000000000007</v>
      </c>
      <c r="GJ170">
        <v>-0.44000000000000017</v>
      </c>
      <c r="GK170">
        <v>0</v>
      </c>
    </row>
    <row r="171" spans="1:193" x14ac:dyDescent="0.2">
      <c r="A171" s="39">
        <v>43772</v>
      </c>
      <c r="B171" s="22" t="s">
        <v>246</v>
      </c>
      <c r="C171" s="40" t="s">
        <v>256</v>
      </c>
      <c r="D171" s="22" t="s">
        <v>285</v>
      </c>
      <c r="E171">
        <v>27.2</v>
      </c>
      <c r="F171">
        <v>8</v>
      </c>
      <c r="G171">
        <v>9.1</v>
      </c>
      <c r="H171">
        <f>19.9+6.9</f>
        <v>26.799999999999997</v>
      </c>
      <c r="I171">
        <v>-10.5</v>
      </c>
      <c r="J171">
        <v>43.5</v>
      </c>
      <c r="L171" s="1" t="s">
        <v>256</v>
      </c>
      <c r="M171">
        <v>27</v>
      </c>
      <c r="N171">
        <v>-3.5944000000000003</v>
      </c>
      <c r="O171">
        <v>26</v>
      </c>
      <c r="P171">
        <v>24.5</v>
      </c>
      <c r="Q171">
        <v>25</v>
      </c>
      <c r="R171">
        <v>-2.2000000000000015</v>
      </c>
      <c r="S171">
        <v>24</v>
      </c>
      <c r="T171">
        <v>-10.919999999999998</v>
      </c>
      <c r="U171">
        <v>-1.28</v>
      </c>
      <c r="V171">
        <v>5</v>
      </c>
      <c r="W171">
        <v>8</v>
      </c>
      <c r="X171">
        <v>9</v>
      </c>
      <c r="Y171">
        <v>5.4799999999999995</v>
      </c>
      <c r="Z171">
        <v>7</v>
      </c>
      <c r="AA171">
        <v>33.480000000000004</v>
      </c>
      <c r="AB171">
        <v>-0.20000000000000009</v>
      </c>
      <c r="AC171">
        <v>23</v>
      </c>
      <c r="AD171">
        <v>22</v>
      </c>
      <c r="AE171">
        <v>24</v>
      </c>
      <c r="AF171">
        <v>-2.7040000000000006</v>
      </c>
      <c r="AG171">
        <v>20</v>
      </c>
      <c r="AH171">
        <v>-13.999999999999996</v>
      </c>
      <c r="AI171">
        <v>-2.4</v>
      </c>
      <c r="AJ171">
        <v>27</v>
      </c>
      <c r="AK171">
        <v>27</v>
      </c>
      <c r="AL171">
        <v>25</v>
      </c>
      <c r="AM171">
        <v>-4.8760000000000003</v>
      </c>
      <c r="AN171">
        <v>29</v>
      </c>
      <c r="AO171">
        <v>-25.4</v>
      </c>
      <c r="AP171">
        <v>-1.7599999999999993</v>
      </c>
      <c r="AQ171">
        <v>13</v>
      </c>
      <c r="AR171">
        <v>14.5</v>
      </c>
      <c r="AS171">
        <v>16</v>
      </c>
      <c r="AT171">
        <v>-1.7920000000000003</v>
      </c>
      <c r="AU171">
        <v>13</v>
      </c>
      <c r="AV171">
        <v>-13.919999999999998</v>
      </c>
      <c r="AW171">
        <v>-1.4</v>
      </c>
      <c r="AX171">
        <v>19</v>
      </c>
      <c r="AY171">
        <v>19.5</v>
      </c>
      <c r="AZ171">
        <v>20</v>
      </c>
      <c r="BA171">
        <v>-3.5520000000000009</v>
      </c>
      <c r="BB171">
        <v>19</v>
      </c>
      <c r="BC171">
        <v>-15.919999999999998</v>
      </c>
      <c r="BD171">
        <v>-2.44</v>
      </c>
      <c r="BE171">
        <v>17</v>
      </c>
      <c r="BF171">
        <v>17.5</v>
      </c>
      <c r="BG171">
        <v>16</v>
      </c>
      <c r="BH171">
        <v>4.8680000000000003</v>
      </c>
      <c r="BI171">
        <v>18.88</v>
      </c>
      <c r="BJ171">
        <v>2.44</v>
      </c>
      <c r="BK171">
        <v>17</v>
      </c>
      <c r="BL171">
        <v>16</v>
      </c>
      <c r="BM171">
        <v>15</v>
      </c>
      <c r="BN171">
        <v>-0.11999999999999993</v>
      </c>
      <c r="BO171">
        <v>17</v>
      </c>
      <c r="BP171">
        <v>0.28000000000000008</v>
      </c>
      <c r="BQ171">
        <v>4.32</v>
      </c>
      <c r="BR171">
        <v>21</v>
      </c>
      <c r="BS171">
        <v>17.75</v>
      </c>
      <c r="BT171">
        <v>19</v>
      </c>
      <c r="BU171">
        <v>-8.3247670432860382E-2</v>
      </c>
      <c r="BV171">
        <v>3</v>
      </c>
      <c r="BW171">
        <v>-1.3131046048901173E-2</v>
      </c>
      <c r="BX171">
        <v>29</v>
      </c>
      <c r="BY171">
        <v>-3.447999999999996</v>
      </c>
      <c r="BZ171">
        <v>20</v>
      </c>
      <c r="CA171">
        <v>-3.56</v>
      </c>
      <c r="CB171">
        <v>1.3599999999999994</v>
      </c>
      <c r="CC171">
        <v>3.44</v>
      </c>
      <c r="CD171">
        <v>-1.4</v>
      </c>
      <c r="CE171">
        <v>-17.399999999999999</v>
      </c>
      <c r="CF171">
        <v>-56.36</v>
      </c>
      <c r="CG171">
        <v>40.320000000000007</v>
      </c>
      <c r="CH171">
        <v>8.6</v>
      </c>
      <c r="CI171">
        <v>-9.9599999999999991</v>
      </c>
      <c r="CJ171">
        <v>27</v>
      </c>
      <c r="CK171">
        <v>-6.8743999999999978</v>
      </c>
      <c r="CL171">
        <v>-3.2596799999999995</v>
      </c>
      <c r="CM171">
        <v>-96.68</v>
      </c>
      <c r="CN171">
        <v>6.8743999999999978</v>
      </c>
      <c r="CO171">
        <v>-0.61730000000000029</v>
      </c>
      <c r="CP171">
        <v>-9.3720000000000017</v>
      </c>
      <c r="CQ171">
        <v>-53.319999999999993</v>
      </c>
      <c r="CR171">
        <v>3.279999999999998</v>
      </c>
      <c r="CS171">
        <v>22.560000000000006</v>
      </c>
      <c r="CT171">
        <v>-3.1199999999999988</v>
      </c>
      <c r="CU171">
        <v>-1.4800000000000002</v>
      </c>
      <c r="CV171">
        <v>-1.5024875</v>
      </c>
      <c r="CW171">
        <v>-4.5336250000000007</v>
      </c>
      <c r="CX171" t="s">
        <v>285</v>
      </c>
      <c r="CY171">
        <v>1</v>
      </c>
      <c r="CZ171">
        <v>1.6920000000000002</v>
      </c>
      <c r="DA171">
        <v>16</v>
      </c>
      <c r="DB171">
        <v>16.5</v>
      </c>
      <c r="DC171">
        <v>12</v>
      </c>
      <c r="DD171">
        <v>5.9272000000000018</v>
      </c>
      <c r="DE171">
        <v>21</v>
      </c>
      <c r="DF171">
        <v>28.120000000000005</v>
      </c>
      <c r="DG171">
        <v>0.52000000000000013</v>
      </c>
      <c r="DH171">
        <v>11</v>
      </c>
      <c r="DI171">
        <v>14</v>
      </c>
      <c r="DJ171">
        <v>23</v>
      </c>
      <c r="DK171">
        <v>-1.56</v>
      </c>
      <c r="DL171">
        <v>5</v>
      </c>
      <c r="DM171">
        <v>-4.68</v>
      </c>
      <c r="DN171">
        <v>-1.2399999999999998</v>
      </c>
      <c r="DO171">
        <v>8</v>
      </c>
      <c r="DP171">
        <v>7</v>
      </c>
      <c r="DQ171">
        <v>7</v>
      </c>
      <c r="DR171">
        <v>3.9000000000000012</v>
      </c>
      <c r="DS171">
        <v>7</v>
      </c>
      <c r="DT171">
        <v>11.919999999999998</v>
      </c>
      <c r="DU171">
        <v>0.79999999999999982</v>
      </c>
      <c r="DV171">
        <v>1</v>
      </c>
      <c r="DW171">
        <v>1.5</v>
      </c>
      <c r="DX171">
        <v>2</v>
      </c>
      <c r="DY171">
        <v>-1.2839999999999998</v>
      </c>
      <c r="DZ171">
        <v>1</v>
      </c>
      <c r="EA171">
        <v>-10.96</v>
      </c>
      <c r="EB171">
        <v>-1.3599999999999999</v>
      </c>
      <c r="EC171">
        <v>4</v>
      </c>
      <c r="ED171">
        <v>5.5</v>
      </c>
      <c r="EE171">
        <v>4</v>
      </c>
      <c r="EF171">
        <v>-1.5840000000000001</v>
      </c>
      <c r="EG171">
        <v>7</v>
      </c>
      <c r="EH171">
        <v>-4.7200000000000006</v>
      </c>
      <c r="EI171">
        <v>-1.3200000000000003</v>
      </c>
      <c r="EJ171">
        <v>1</v>
      </c>
      <c r="EK171">
        <v>1.5</v>
      </c>
      <c r="EL171">
        <v>2</v>
      </c>
      <c r="EM171">
        <v>1.4239999999999999</v>
      </c>
      <c r="EN171">
        <v>1</v>
      </c>
      <c r="EO171">
        <v>13.439999999999998</v>
      </c>
      <c r="EP171">
        <v>-7.999999999999971E-2</v>
      </c>
      <c r="EQ171">
        <v>5</v>
      </c>
      <c r="ER171">
        <v>6</v>
      </c>
      <c r="ES171">
        <v>4</v>
      </c>
      <c r="ET171">
        <v>3.8179999999999992</v>
      </c>
      <c r="EU171">
        <v>8</v>
      </c>
      <c r="EV171">
        <v>13.330000000000002</v>
      </c>
      <c r="EW171">
        <v>0.59000000000000008</v>
      </c>
      <c r="EX171">
        <v>19</v>
      </c>
      <c r="EY171">
        <v>20.5</v>
      </c>
      <c r="EZ171">
        <v>19</v>
      </c>
      <c r="FA171">
        <v>1.3200000000000003</v>
      </c>
      <c r="FB171">
        <v>22</v>
      </c>
      <c r="FC171">
        <v>0.15999999999999998</v>
      </c>
      <c r="FD171">
        <v>0.67999999999999994</v>
      </c>
      <c r="FE171">
        <v>26</v>
      </c>
      <c r="FF171">
        <v>22</v>
      </c>
      <c r="FG171">
        <v>5</v>
      </c>
      <c r="FH171">
        <v>-2.5121957842891375E-2</v>
      </c>
      <c r="FI171">
        <v>31</v>
      </c>
      <c r="FJ171">
        <v>6.0801317715168416E-3</v>
      </c>
      <c r="FK171">
        <v>20</v>
      </c>
      <c r="FL171">
        <v>11.687999999999995</v>
      </c>
      <c r="FM171">
        <v>32</v>
      </c>
      <c r="FN171">
        <v>-5.04</v>
      </c>
      <c r="FO171">
        <v>-1.2400000000000007</v>
      </c>
      <c r="FP171">
        <v>1.9599999999999995</v>
      </c>
      <c r="FQ171">
        <v>-1.2000000000000002</v>
      </c>
      <c r="FR171">
        <v>-0.95999999999999941</v>
      </c>
      <c r="FS171">
        <v>4.68</v>
      </c>
      <c r="FT171">
        <v>1.3199999999999998</v>
      </c>
      <c r="FU171">
        <v>34.56</v>
      </c>
      <c r="FV171">
        <v>18.880000000000006</v>
      </c>
      <c r="FW171">
        <v>24.48</v>
      </c>
      <c r="FX171">
        <v>-4.2</v>
      </c>
      <c r="FY171">
        <v>-4.5999999999999996</v>
      </c>
      <c r="FZ171">
        <v>23</v>
      </c>
      <c r="GA171">
        <v>-2.6752000000000016</v>
      </c>
      <c r="GB171">
        <v>-0.87520000000000087</v>
      </c>
      <c r="GC171">
        <v>-5.5999999999999943</v>
      </c>
      <c r="GD171">
        <v>2.675200000000002</v>
      </c>
      <c r="GE171">
        <v>1.5286500000000005</v>
      </c>
      <c r="GF171">
        <v>1.0320000000000014</v>
      </c>
      <c r="GG171">
        <v>-3.7600000000000033</v>
      </c>
      <c r="GH171">
        <v>4.3672000000000022</v>
      </c>
      <c r="GI171">
        <v>23.440000000000005</v>
      </c>
      <c r="GJ171">
        <v>-1.2900000000000003</v>
      </c>
      <c r="GK171">
        <v>-0.71999999999999964</v>
      </c>
    </row>
    <row r="172" spans="1:193" x14ac:dyDescent="0.2">
      <c r="A172" s="39">
        <v>43772</v>
      </c>
      <c r="B172" s="22" t="s">
        <v>246</v>
      </c>
      <c r="C172" s="41" t="s">
        <v>308</v>
      </c>
      <c r="D172" s="22" t="s">
        <v>284</v>
      </c>
      <c r="E172">
        <v>43.2</v>
      </c>
      <c r="F172">
        <v>30</v>
      </c>
      <c r="G172">
        <v>3.8</v>
      </c>
      <c r="H172">
        <v>23.7</v>
      </c>
      <c r="I172">
        <v>-4</v>
      </c>
      <c r="J172">
        <v>50.5</v>
      </c>
      <c r="K172" t="s">
        <v>109</v>
      </c>
      <c r="L172" s="1" t="s">
        <v>308</v>
      </c>
      <c r="M172">
        <v>19</v>
      </c>
      <c r="N172">
        <v>-0.90880000000000083</v>
      </c>
      <c r="O172">
        <v>3</v>
      </c>
      <c r="P172">
        <v>6</v>
      </c>
      <c r="Q172">
        <v>10</v>
      </c>
      <c r="R172">
        <v>2.6800000000000006</v>
      </c>
      <c r="S172">
        <v>2</v>
      </c>
      <c r="T172">
        <v>25.28</v>
      </c>
      <c r="U172">
        <v>0.4</v>
      </c>
      <c r="V172">
        <v>1</v>
      </c>
      <c r="W172">
        <v>1.5</v>
      </c>
      <c r="X172">
        <v>2</v>
      </c>
      <c r="Y172">
        <v>-2.7504</v>
      </c>
      <c r="Z172">
        <v>1</v>
      </c>
      <c r="AA172">
        <v>-4.5999999999999996</v>
      </c>
      <c r="AB172">
        <v>-0.96</v>
      </c>
      <c r="AC172">
        <v>19</v>
      </c>
      <c r="AD172">
        <v>18.5</v>
      </c>
      <c r="AE172">
        <v>15</v>
      </c>
      <c r="AF172">
        <v>-1.1479999999999997</v>
      </c>
      <c r="AG172">
        <v>22</v>
      </c>
      <c r="AH172">
        <v>-2.079999999999997</v>
      </c>
      <c r="AI172">
        <v>-2.56</v>
      </c>
      <c r="AJ172">
        <v>12</v>
      </c>
      <c r="AK172">
        <v>11.5</v>
      </c>
      <c r="AL172">
        <v>12</v>
      </c>
      <c r="AM172">
        <v>-4.3160000000000007</v>
      </c>
      <c r="AN172">
        <v>11</v>
      </c>
      <c r="AO172">
        <v>-25.119999999999997</v>
      </c>
      <c r="AP172">
        <v>-1.5599999999999996</v>
      </c>
      <c r="AQ172">
        <v>17</v>
      </c>
      <c r="AR172">
        <v>17</v>
      </c>
      <c r="AS172">
        <v>17</v>
      </c>
      <c r="AT172">
        <v>2.4559999999999995</v>
      </c>
      <c r="AU172">
        <v>17</v>
      </c>
      <c r="AV172">
        <v>8.1999999999999993</v>
      </c>
      <c r="AW172">
        <v>0.39999999999999991</v>
      </c>
      <c r="AX172">
        <v>24</v>
      </c>
      <c r="AY172">
        <v>25</v>
      </c>
      <c r="AZ172">
        <v>26</v>
      </c>
      <c r="BA172">
        <v>-1.856000000000001</v>
      </c>
      <c r="BB172">
        <v>24</v>
      </c>
      <c r="BC172">
        <v>4.6400000000000006</v>
      </c>
      <c r="BD172">
        <v>-1.1200000000000001</v>
      </c>
      <c r="BE172">
        <v>12</v>
      </c>
      <c r="BF172">
        <v>12.5</v>
      </c>
      <c r="BG172">
        <v>10</v>
      </c>
      <c r="BH172">
        <v>-4.38</v>
      </c>
      <c r="BI172">
        <v>-13.8</v>
      </c>
      <c r="BJ172">
        <v>-1.1599999999999999</v>
      </c>
      <c r="BK172">
        <v>8</v>
      </c>
      <c r="BL172">
        <v>8.5</v>
      </c>
      <c r="BM172">
        <v>9</v>
      </c>
      <c r="BN172">
        <v>0.32000000000000028</v>
      </c>
      <c r="BO172">
        <v>8</v>
      </c>
      <c r="BP172">
        <v>0.2</v>
      </c>
      <c r="BQ172">
        <v>-3.9999999999999855E-2</v>
      </c>
      <c r="BR172">
        <v>12</v>
      </c>
      <c r="BS172">
        <v>13.25</v>
      </c>
      <c r="BT172">
        <v>11</v>
      </c>
      <c r="BU172">
        <v>0.15288668773701455</v>
      </c>
      <c r="BV172">
        <v>5</v>
      </c>
      <c r="BW172">
        <v>8.6727803065072221E-3</v>
      </c>
      <c r="BX172">
        <v>21</v>
      </c>
      <c r="BY172">
        <v>7.3760000000000003</v>
      </c>
      <c r="BZ172">
        <v>16</v>
      </c>
      <c r="CA172">
        <v>0.87999999999999989</v>
      </c>
      <c r="CB172">
        <v>8.000000000000114E-2</v>
      </c>
      <c r="CC172">
        <v>-0.64000000000000057</v>
      </c>
      <c r="CD172">
        <v>-0.55999999999999994</v>
      </c>
      <c r="CE172">
        <v>-8.3200000000000038</v>
      </c>
      <c r="CF172">
        <v>-27.720000000000006</v>
      </c>
      <c r="CG172">
        <v>14.960000000000003</v>
      </c>
      <c r="CH172">
        <v>-1.4800000000000002</v>
      </c>
      <c r="CI172">
        <v>5.92</v>
      </c>
      <c r="CJ172">
        <v>19</v>
      </c>
      <c r="CK172">
        <v>-0.83840000000000137</v>
      </c>
      <c r="CL172">
        <v>-1.6241600000000005</v>
      </c>
      <c r="CM172">
        <v>-42.680000000000007</v>
      </c>
      <c r="CN172">
        <v>0.83840000000000148</v>
      </c>
      <c r="CO172">
        <v>-1.0059</v>
      </c>
      <c r="CP172">
        <v>-3.0080000000000009</v>
      </c>
      <c r="CQ172">
        <v>-18.999999999999996</v>
      </c>
      <c r="CR172">
        <v>-7.0399999999999352E-2</v>
      </c>
      <c r="CS172">
        <v>20.68</v>
      </c>
      <c r="CT172">
        <v>-4.879999999999999</v>
      </c>
      <c r="CU172">
        <v>-0.55999999999999994</v>
      </c>
      <c r="CV172">
        <v>2.2484083333333338</v>
      </c>
      <c r="CW172">
        <v>2.9466666666666613E-2</v>
      </c>
      <c r="CX172" t="s">
        <v>284</v>
      </c>
      <c r="CY172">
        <v>4</v>
      </c>
      <c r="CZ172">
        <v>9.3496000000000006</v>
      </c>
      <c r="DA172">
        <v>25</v>
      </c>
      <c r="DB172">
        <v>23.5</v>
      </c>
      <c r="DC172">
        <v>24</v>
      </c>
      <c r="DD172">
        <v>-2.9207999999999998</v>
      </c>
      <c r="DE172">
        <v>23</v>
      </c>
      <c r="DF172">
        <v>-22.759999999999998</v>
      </c>
      <c r="DG172">
        <v>0.83999999999999986</v>
      </c>
      <c r="DH172">
        <v>31</v>
      </c>
      <c r="DI172">
        <v>31</v>
      </c>
      <c r="DJ172">
        <v>31</v>
      </c>
      <c r="DK172">
        <v>-2.2959999999999994</v>
      </c>
      <c r="DL172">
        <v>31</v>
      </c>
      <c r="DM172">
        <v>-7.8799999999999981</v>
      </c>
      <c r="DN172">
        <v>-0.59999999999999987</v>
      </c>
      <c r="DO172">
        <v>9</v>
      </c>
      <c r="DP172">
        <v>6</v>
      </c>
      <c r="DQ172">
        <v>6</v>
      </c>
      <c r="DR172">
        <v>9.4520000000000017</v>
      </c>
      <c r="DS172">
        <v>6</v>
      </c>
      <c r="DT172">
        <v>24.880000000000003</v>
      </c>
      <c r="DU172">
        <v>4.08</v>
      </c>
      <c r="DV172">
        <v>1</v>
      </c>
      <c r="DW172">
        <v>1.5</v>
      </c>
      <c r="DX172">
        <v>1</v>
      </c>
      <c r="DY172">
        <v>10.112</v>
      </c>
      <c r="DZ172">
        <v>2</v>
      </c>
      <c r="EA172">
        <v>33.799999999999997</v>
      </c>
      <c r="EB172">
        <v>1.1999999999999997</v>
      </c>
      <c r="EC172">
        <v>8</v>
      </c>
      <c r="ED172">
        <v>12.5</v>
      </c>
      <c r="EE172">
        <v>17</v>
      </c>
      <c r="EF172">
        <v>-7.2000000000000244E-2</v>
      </c>
      <c r="EG172">
        <v>8</v>
      </c>
      <c r="EH172">
        <v>-4.24</v>
      </c>
      <c r="EI172">
        <v>0.11999999999999993</v>
      </c>
      <c r="EJ172">
        <v>2</v>
      </c>
      <c r="EK172">
        <v>3.5</v>
      </c>
      <c r="EL172">
        <v>1</v>
      </c>
      <c r="EM172">
        <v>9.668000000000001</v>
      </c>
      <c r="EN172">
        <v>6</v>
      </c>
      <c r="EO172">
        <v>26.28</v>
      </c>
      <c r="EP172">
        <v>5.24</v>
      </c>
      <c r="EQ172">
        <v>21</v>
      </c>
      <c r="ER172">
        <v>20.5</v>
      </c>
      <c r="ES172">
        <v>15</v>
      </c>
      <c r="ET172">
        <v>8.7539999999999996</v>
      </c>
      <c r="EU172">
        <v>26</v>
      </c>
      <c r="EV172">
        <v>22.490000000000002</v>
      </c>
      <c r="EW172">
        <v>3.5099999999999993</v>
      </c>
      <c r="EX172">
        <v>16</v>
      </c>
      <c r="EY172">
        <v>14</v>
      </c>
      <c r="EZ172">
        <v>13</v>
      </c>
      <c r="FA172">
        <v>3.3600000000000003</v>
      </c>
      <c r="FB172">
        <v>15</v>
      </c>
      <c r="FC172">
        <v>0.52</v>
      </c>
      <c r="FD172">
        <v>0.20000000000000018</v>
      </c>
      <c r="FE172">
        <v>10</v>
      </c>
      <c r="FF172">
        <v>13.25</v>
      </c>
      <c r="FG172">
        <v>9</v>
      </c>
      <c r="FH172">
        <v>-4.6855978736132495E-2</v>
      </c>
      <c r="FI172">
        <v>26</v>
      </c>
      <c r="FJ172">
        <v>-2.017832115926951E-2</v>
      </c>
      <c r="FK172">
        <v>6</v>
      </c>
      <c r="FL172">
        <v>10.819999999999997</v>
      </c>
      <c r="FM172">
        <v>12</v>
      </c>
      <c r="FN172">
        <v>-2</v>
      </c>
      <c r="FO172">
        <v>7.4</v>
      </c>
      <c r="FP172">
        <v>-4.5999999999999996</v>
      </c>
      <c r="FQ172">
        <v>-0.36000000000000004</v>
      </c>
      <c r="FR172">
        <v>2.9200000000000017</v>
      </c>
      <c r="FS172">
        <v>10.760000000000002</v>
      </c>
      <c r="FT172">
        <v>0.12000000000000002</v>
      </c>
      <c r="FU172">
        <v>39.760000000000005</v>
      </c>
      <c r="FV172">
        <v>72.320000000000007</v>
      </c>
      <c r="FW172">
        <v>-31.24</v>
      </c>
      <c r="FX172">
        <v>7.999999999999971E-2</v>
      </c>
      <c r="FY172">
        <v>-1.4000000000000001</v>
      </c>
      <c r="FZ172">
        <v>1</v>
      </c>
      <c r="GA172">
        <v>14.5664</v>
      </c>
      <c r="GB172">
        <v>10.127520000000001</v>
      </c>
      <c r="GC172">
        <v>103.56</v>
      </c>
      <c r="GD172">
        <v>-14.5664</v>
      </c>
      <c r="GE172">
        <v>4.4673500000000006</v>
      </c>
      <c r="GF172">
        <v>19.492000000000001</v>
      </c>
      <c r="GG172">
        <v>54.44</v>
      </c>
      <c r="GH172">
        <v>-5.2167999999999992</v>
      </c>
      <c r="GI172">
        <v>-30.639999999999997</v>
      </c>
      <c r="GJ172">
        <v>8.9099999999999984</v>
      </c>
      <c r="GK172">
        <v>0.24</v>
      </c>
    </row>
    <row r="173" spans="1:193" x14ac:dyDescent="0.2">
      <c r="A173" s="39">
        <v>43772</v>
      </c>
      <c r="B173" s="22" t="s">
        <v>246</v>
      </c>
      <c r="C173" s="41" t="s">
        <v>284</v>
      </c>
      <c r="D173" s="22" t="s">
        <v>308</v>
      </c>
      <c r="E173">
        <v>39</v>
      </c>
      <c r="F173">
        <v>13.9</v>
      </c>
      <c r="G173">
        <v>14.2</v>
      </c>
      <c r="H173">
        <v>4.3</v>
      </c>
      <c r="I173">
        <v>4</v>
      </c>
      <c r="J173">
        <v>50.5</v>
      </c>
      <c r="K173" t="s">
        <v>109</v>
      </c>
      <c r="L173" s="1" t="s">
        <v>284</v>
      </c>
      <c r="M173">
        <v>3</v>
      </c>
      <c r="N173">
        <v>5.1863999999999999</v>
      </c>
      <c r="O173">
        <v>24</v>
      </c>
      <c r="P173">
        <v>22.5</v>
      </c>
      <c r="Q173">
        <v>20</v>
      </c>
      <c r="R173">
        <v>-5.4540000000000006</v>
      </c>
      <c r="S173">
        <v>25</v>
      </c>
      <c r="T173">
        <v>-11.4</v>
      </c>
      <c r="U173">
        <v>-2.1800000000000002</v>
      </c>
      <c r="V173">
        <v>20</v>
      </c>
      <c r="W173">
        <v>18.5</v>
      </c>
      <c r="X173">
        <v>12</v>
      </c>
      <c r="Y173">
        <v>0.92700000000000016</v>
      </c>
      <c r="Z173">
        <v>25</v>
      </c>
      <c r="AA173">
        <v>-3.9099999999999993</v>
      </c>
      <c r="AB173">
        <v>-0.6100000000000001</v>
      </c>
      <c r="AC173">
        <v>24</v>
      </c>
      <c r="AD173">
        <v>22.5</v>
      </c>
      <c r="AE173">
        <v>26</v>
      </c>
      <c r="AF173">
        <v>11.1</v>
      </c>
      <c r="AG173">
        <v>19</v>
      </c>
      <c r="AH173">
        <v>47.239999999999995</v>
      </c>
      <c r="AI173">
        <v>1.0000000000000002</v>
      </c>
      <c r="AJ173">
        <v>2</v>
      </c>
      <c r="AK173">
        <v>3</v>
      </c>
      <c r="AL173">
        <v>3</v>
      </c>
      <c r="AM173">
        <v>13.496</v>
      </c>
      <c r="AN173">
        <v>3</v>
      </c>
      <c r="AO173">
        <v>53.919999999999995</v>
      </c>
      <c r="AP173">
        <v>3.6400000000000006</v>
      </c>
      <c r="AQ173">
        <v>4</v>
      </c>
      <c r="AR173">
        <v>4.5</v>
      </c>
      <c r="AS173">
        <v>5</v>
      </c>
      <c r="AT173">
        <v>0.15199999999999977</v>
      </c>
      <c r="AU173">
        <v>4</v>
      </c>
      <c r="AV173">
        <v>-6.9200000000000017</v>
      </c>
      <c r="AW173">
        <v>1.2400000000000002</v>
      </c>
      <c r="AX173">
        <v>6</v>
      </c>
      <c r="AY173">
        <v>5.5</v>
      </c>
      <c r="AZ173">
        <v>6</v>
      </c>
      <c r="BA173">
        <v>7.5319999999999991</v>
      </c>
      <c r="BB173">
        <v>5</v>
      </c>
      <c r="BC173">
        <v>29.320000000000004</v>
      </c>
      <c r="BD173">
        <v>0.96000000000000019</v>
      </c>
      <c r="BE173">
        <v>20</v>
      </c>
      <c r="BF173">
        <v>22</v>
      </c>
      <c r="BG173">
        <v>22</v>
      </c>
      <c r="BH173">
        <v>-3.2400000000000007</v>
      </c>
      <c r="BI173">
        <v>-21.72</v>
      </c>
      <c r="BJ173">
        <v>-1.4000000000000001</v>
      </c>
      <c r="BK173">
        <v>18</v>
      </c>
      <c r="BL173">
        <v>17.5</v>
      </c>
      <c r="BM173">
        <v>16</v>
      </c>
      <c r="BN173">
        <v>2.7600000000000002</v>
      </c>
      <c r="BO173">
        <v>19</v>
      </c>
      <c r="BP173">
        <v>-3.9999999999999994E-2</v>
      </c>
      <c r="BQ173">
        <v>-2</v>
      </c>
      <c r="BR173">
        <v>14</v>
      </c>
      <c r="BS173">
        <v>14</v>
      </c>
      <c r="BT173">
        <v>29</v>
      </c>
      <c r="BU173">
        <v>-4.6269555265333231E-2</v>
      </c>
      <c r="BV173">
        <v>22</v>
      </c>
      <c r="BW173">
        <v>1.6179984640325853E-2</v>
      </c>
      <c r="BX173">
        <v>1</v>
      </c>
      <c r="BY173">
        <v>-14.491999999999999</v>
      </c>
      <c r="BZ173">
        <v>4</v>
      </c>
      <c r="CA173">
        <v>0.20000000000000018</v>
      </c>
      <c r="CB173">
        <v>5.7200000000000015</v>
      </c>
      <c r="CC173">
        <v>11.599999999999998</v>
      </c>
      <c r="CD173">
        <v>0.28000000000000008</v>
      </c>
      <c r="CE173">
        <v>36.559999999999988</v>
      </c>
      <c r="CF173">
        <v>50.559999999999988</v>
      </c>
      <c r="CG173">
        <v>-10.639999999999997</v>
      </c>
      <c r="CH173">
        <v>-0.56000000000000005</v>
      </c>
      <c r="CI173">
        <v>-2.7999999999999994</v>
      </c>
      <c r="CJ173">
        <v>4</v>
      </c>
      <c r="CK173">
        <v>9.7134</v>
      </c>
      <c r="CL173">
        <v>7.6023800000000001</v>
      </c>
      <c r="CM173">
        <v>61.199999999999989</v>
      </c>
      <c r="CN173">
        <v>-9.7134</v>
      </c>
      <c r="CO173">
        <v>3.1159250000000003</v>
      </c>
      <c r="CP173">
        <v>24.748000000000001</v>
      </c>
      <c r="CQ173">
        <v>94.24</v>
      </c>
      <c r="CR173">
        <v>-4.5270000000000001</v>
      </c>
      <c r="CS173">
        <v>-15.309999999999999</v>
      </c>
      <c r="CT173">
        <v>4.4800000000000004</v>
      </c>
      <c r="CU173">
        <v>-2.79</v>
      </c>
      <c r="CV173">
        <v>2.2484083333333338</v>
      </c>
      <c r="CW173">
        <v>4.4673500000000006</v>
      </c>
      <c r="CX173" t="s">
        <v>308</v>
      </c>
      <c r="CY173">
        <v>17</v>
      </c>
      <c r="CZ173">
        <v>2.0224000000000011</v>
      </c>
      <c r="DA173">
        <v>24</v>
      </c>
      <c r="DB173">
        <v>22</v>
      </c>
      <c r="DC173">
        <v>18</v>
      </c>
      <c r="DD173">
        <v>2.9719999999999991</v>
      </c>
      <c r="DE173">
        <v>26</v>
      </c>
      <c r="DF173">
        <v>1.9600000000000009</v>
      </c>
      <c r="DG173">
        <v>2.04</v>
      </c>
      <c r="DH173">
        <v>25</v>
      </c>
      <c r="DI173">
        <v>22.5</v>
      </c>
      <c r="DJ173">
        <v>16</v>
      </c>
      <c r="DK173">
        <v>-3</v>
      </c>
      <c r="DL173">
        <v>29</v>
      </c>
      <c r="DM173">
        <v>1.8800000000000003</v>
      </c>
      <c r="DN173">
        <v>-1.6799999999999997</v>
      </c>
      <c r="DO173">
        <v>5</v>
      </c>
      <c r="DP173">
        <v>3.5</v>
      </c>
      <c r="DQ173">
        <v>3</v>
      </c>
      <c r="DR173">
        <v>3.9839999999999991</v>
      </c>
      <c r="DS173">
        <v>4</v>
      </c>
      <c r="DT173">
        <v>18.386666666666667</v>
      </c>
      <c r="DU173">
        <v>0.89333333333333331</v>
      </c>
      <c r="DV173">
        <v>19</v>
      </c>
      <c r="DW173">
        <v>17.5</v>
      </c>
      <c r="DX173">
        <v>18</v>
      </c>
      <c r="DY173">
        <v>-4.7040000000000006</v>
      </c>
      <c r="DZ173">
        <v>17</v>
      </c>
      <c r="EA173">
        <v>-23.386666666666663</v>
      </c>
      <c r="EB173">
        <v>-1.6800000000000004</v>
      </c>
      <c r="EC173">
        <v>13</v>
      </c>
      <c r="ED173">
        <v>13.5</v>
      </c>
      <c r="EE173">
        <v>6</v>
      </c>
      <c r="EF173">
        <v>-0.50266666666666693</v>
      </c>
      <c r="EG173">
        <v>21</v>
      </c>
      <c r="EH173">
        <v>-2.9200000000000004</v>
      </c>
      <c r="EI173">
        <v>2.6666666666666571E-2</v>
      </c>
      <c r="EJ173">
        <v>18</v>
      </c>
      <c r="EK173">
        <v>18</v>
      </c>
      <c r="EL173">
        <v>16</v>
      </c>
      <c r="EM173">
        <v>-0.33999999999999986</v>
      </c>
      <c r="EN173">
        <v>20</v>
      </c>
      <c r="EO173">
        <v>6.6</v>
      </c>
      <c r="EP173">
        <v>0.68000000000000038</v>
      </c>
      <c r="EQ173">
        <v>15</v>
      </c>
      <c r="ER173">
        <v>15</v>
      </c>
      <c r="ES173">
        <v>11</v>
      </c>
      <c r="ET173">
        <v>0.86400000000000077</v>
      </c>
      <c r="EU173">
        <v>19</v>
      </c>
      <c r="EV173">
        <v>12.64</v>
      </c>
      <c r="EW173">
        <v>0.4</v>
      </c>
      <c r="EX173">
        <v>12</v>
      </c>
      <c r="EY173">
        <v>12.5</v>
      </c>
      <c r="EZ173">
        <v>17</v>
      </c>
      <c r="FA173">
        <v>-1.4000000000000001</v>
      </c>
      <c r="FB173">
        <v>8</v>
      </c>
      <c r="FC173">
        <v>0.59999999999999987</v>
      </c>
      <c r="FD173">
        <v>8.0000000000000071E-2</v>
      </c>
      <c r="FE173">
        <v>21</v>
      </c>
      <c r="FF173">
        <v>17.25</v>
      </c>
      <c r="FG173">
        <v>30</v>
      </c>
      <c r="FH173">
        <v>-2.7923767022392455E-2</v>
      </c>
      <c r="FI173">
        <v>28</v>
      </c>
      <c r="FJ173">
        <v>-1.7540682526739008E-2</v>
      </c>
      <c r="FK173">
        <v>4</v>
      </c>
      <c r="FL173">
        <v>8.6480000000000015</v>
      </c>
      <c r="FM173">
        <v>7</v>
      </c>
      <c r="FN173">
        <v>-3.9999999999999855E-2</v>
      </c>
      <c r="FO173">
        <v>1.2</v>
      </c>
      <c r="FP173">
        <v>-1.6400000000000006</v>
      </c>
      <c r="FQ173">
        <v>0.43999999999999995</v>
      </c>
      <c r="FR173">
        <v>-0.63999999999999768</v>
      </c>
      <c r="FS173">
        <v>-1.0400000000000005</v>
      </c>
      <c r="FT173">
        <v>1.1200000000000003</v>
      </c>
      <c r="FU173">
        <v>40.96</v>
      </c>
      <c r="FV173">
        <v>22.28</v>
      </c>
      <c r="FW173">
        <v>1.0399999999999978</v>
      </c>
      <c r="FX173">
        <v>4.8</v>
      </c>
      <c r="FY173">
        <v>12.84</v>
      </c>
      <c r="FZ173">
        <v>10</v>
      </c>
      <c r="GA173">
        <v>2.050400000000002</v>
      </c>
      <c r="GB173">
        <v>0.34674666666666715</v>
      </c>
      <c r="GC173">
        <v>21.240000000000002</v>
      </c>
      <c r="GD173">
        <v>-2.050400000000002</v>
      </c>
      <c r="GE173">
        <v>2.9466666666666613E-2</v>
      </c>
      <c r="GF173">
        <v>-1.2226666666666683</v>
      </c>
      <c r="GG173">
        <v>-7.9199999999999964</v>
      </c>
      <c r="GH173">
        <v>-2.8000000000000913E-2</v>
      </c>
      <c r="GI173">
        <v>3.8400000000000012</v>
      </c>
      <c r="GJ173">
        <v>-0.36000000000000043</v>
      </c>
      <c r="GK173">
        <v>0.36000000000000032</v>
      </c>
    </row>
    <row r="174" spans="1:193" x14ac:dyDescent="0.2">
      <c r="A174" s="39">
        <v>43772</v>
      </c>
      <c r="B174" s="22" t="s">
        <v>246</v>
      </c>
      <c r="C174" s="41" t="s">
        <v>310</v>
      </c>
      <c r="D174" s="22" t="s">
        <v>301</v>
      </c>
      <c r="E174">
        <v>8.8000000000000007</v>
      </c>
      <c r="F174">
        <v>12.1</v>
      </c>
      <c r="G174">
        <v>10.5</v>
      </c>
      <c r="H174">
        <v>4.8</v>
      </c>
      <c r="I174">
        <v>3.5</v>
      </c>
      <c r="J174">
        <v>43</v>
      </c>
      <c r="L174" s="1" t="s">
        <v>310</v>
      </c>
      <c r="M174">
        <v>23</v>
      </c>
      <c r="N174">
        <v>-1.9316000000000009</v>
      </c>
      <c r="O174">
        <v>1</v>
      </c>
      <c r="P174">
        <v>1.5</v>
      </c>
      <c r="Q174">
        <v>2</v>
      </c>
      <c r="R174">
        <v>-5.5487999999999991</v>
      </c>
      <c r="S174">
        <v>1</v>
      </c>
      <c r="T174">
        <v>2.0799999999999996</v>
      </c>
      <c r="U174">
        <v>-2.3200000000000003</v>
      </c>
      <c r="V174">
        <v>29</v>
      </c>
      <c r="W174">
        <v>29</v>
      </c>
      <c r="X174">
        <v>29</v>
      </c>
      <c r="Y174">
        <v>-3.1680000000000001</v>
      </c>
      <c r="Z174">
        <v>29</v>
      </c>
      <c r="AA174">
        <v>-21.24</v>
      </c>
      <c r="AB174">
        <v>0.39999999999999997</v>
      </c>
      <c r="AC174">
        <v>28</v>
      </c>
      <c r="AD174">
        <v>27.5</v>
      </c>
      <c r="AE174">
        <v>28</v>
      </c>
      <c r="AF174">
        <v>-3.0080000000000013</v>
      </c>
      <c r="AG174">
        <v>27</v>
      </c>
      <c r="AH174">
        <v>-16.04</v>
      </c>
      <c r="AI174">
        <v>-1.6800000000000002</v>
      </c>
      <c r="AJ174">
        <v>28</v>
      </c>
      <c r="AK174">
        <v>27.5</v>
      </c>
      <c r="AL174">
        <v>28</v>
      </c>
      <c r="AM174">
        <v>-1.7080000000000015</v>
      </c>
      <c r="AN174">
        <v>27</v>
      </c>
      <c r="AO174">
        <v>-9.5999999999999979</v>
      </c>
      <c r="AP174">
        <v>-0.8</v>
      </c>
      <c r="AQ174">
        <v>15</v>
      </c>
      <c r="AR174">
        <v>15</v>
      </c>
      <c r="AS174">
        <v>12</v>
      </c>
      <c r="AT174">
        <v>1.4960000000000002</v>
      </c>
      <c r="AU174">
        <v>18</v>
      </c>
      <c r="AV174">
        <v>0.56000000000000016</v>
      </c>
      <c r="AW174">
        <v>-0.24000000000000005</v>
      </c>
      <c r="AX174">
        <v>20</v>
      </c>
      <c r="AY174">
        <v>20</v>
      </c>
      <c r="AZ174">
        <v>22</v>
      </c>
      <c r="BA174">
        <v>-1.5400000000000009</v>
      </c>
      <c r="BB174">
        <v>18</v>
      </c>
      <c r="BC174">
        <v>-3.3999999999999986</v>
      </c>
      <c r="BD174">
        <v>0.96</v>
      </c>
      <c r="BE174">
        <v>14</v>
      </c>
      <c r="BF174">
        <v>13.5</v>
      </c>
      <c r="BG174">
        <v>15</v>
      </c>
      <c r="BH174">
        <v>1.6760000000000013</v>
      </c>
      <c r="BI174">
        <v>26.68</v>
      </c>
      <c r="BJ174">
        <v>0.55999999999999983</v>
      </c>
      <c r="BK174">
        <v>29</v>
      </c>
      <c r="BL174">
        <v>29</v>
      </c>
      <c r="BM174">
        <v>28</v>
      </c>
      <c r="BN174">
        <v>-3.8800000000000003</v>
      </c>
      <c r="BO174">
        <v>30</v>
      </c>
      <c r="BP174">
        <v>-0.87999999999999989</v>
      </c>
      <c r="BQ174">
        <v>-1.8</v>
      </c>
      <c r="BR174">
        <v>25</v>
      </c>
      <c r="BS174">
        <v>21</v>
      </c>
      <c r="BT174">
        <v>27</v>
      </c>
      <c r="BU174">
        <v>-1.6236540238399933E-3</v>
      </c>
      <c r="BV174">
        <v>2</v>
      </c>
      <c r="BW174">
        <v>3.1665901132557586E-2</v>
      </c>
      <c r="BX174">
        <v>30</v>
      </c>
      <c r="BY174">
        <v>0.1880000000000038</v>
      </c>
      <c r="BZ174">
        <v>25</v>
      </c>
      <c r="CA174">
        <v>2.88</v>
      </c>
      <c r="CB174">
        <v>-3.9599999999999995</v>
      </c>
      <c r="CC174">
        <v>-6.2800000000000011</v>
      </c>
      <c r="CD174">
        <v>-1.9600000000000002</v>
      </c>
      <c r="CE174">
        <v>-45.92</v>
      </c>
      <c r="CF174">
        <v>-19.839999999999996</v>
      </c>
      <c r="CG174">
        <v>-21.04</v>
      </c>
      <c r="CH174">
        <v>-2.9200000000000004</v>
      </c>
      <c r="CI174">
        <v>-2.1200000000000006</v>
      </c>
      <c r="CJ174">
        <v>6</v>
      </c>
      <c r="CK174">
        <v>6.7851999999999979</v>
      </c>
      <c r="CL174">
        <v>3.663279999999999</v>
      </c>
      <c r="CM174">
        <v>1.2000000000000028</v>
      </c>
      <c r="CN174">
        <v>-6.7851999999999979</v>
      </c>
      <c r="CO174">
        <v>-2.0090499999999998</v>
      </c>
      <c r="CP174">
        <v>-3.2200000000000024</v>
      </c>
      <c r="CQ174">
        <v>-25.08</v>
      </c>
      <c r="CR174">
        <v>-8.7167999999999992</v>
      </c>
      <c r="CS174">
        <v>-19.16</v>
      </c>
      <c r="CT174">
        <v>-2.160000000000001</v>
      </c>
      <c r="CU174">
        <v>-1.9200000000000004</v>
      </c>
      <c r="CV174">
        <v>-5.1324999999999926E-2</v>
      </c>
      <c r="CW174">
        <v>-0.39844999999999997</v>
      </c>
      <c r="CX174" t="s">
        <v>301</v>
      </c>
      <c r="CY174">
        <v>14</v>
      </c>
      <c r="CZ174">
        <v>-0.12559999999999896</v>
      </c>
      <c r="DA174">
        <v>7</v>
      </c>
      <c r="DB174">
        <v>10</v>
      </c>
      <c r="DC174">
        <v>5</v>
      </c>
      <c r="DD174">
        <v>7.3279999999999985</v>
      </c>
      <c r="DE174">
        <v>15</v>
      </c>
      <c r="DF174">
        <v>-6.5600000000000041</v>
      </c>
      <c r="DG174">
        <v>0.96</v>
      </c>
      <c r="DH174">
        <v>2</v>
      </c>
      <c r="DI174">
        <v>3</v>
      </c>
      <c r="DJ174">
        <v>4</v>
      </c>
      <c r="DK174">
        <v>0.10400000000000045</v>
      </c>
      <c r="DL174">
        <v>2</v>
      </c>
      <c r="DM174">
        <v>-2.88</v>
      </c>
      <c r="DN174">
        <v>0.91999999999999993</v>
      </c>
      <c r="DO174">
        <v>20</v>
      </c>
      <c r="DP174">
        <v>16.5</v>
      </c>
      <c r="DQ174">
        <v>16</v>
      </c>
      <c r="DR174">
        <v>-3.5199999999999987</v>
      </c>
      <c r="DS174">
        <v>17</v>
      </c>
      <c r="DT174">
        <v>-16.839999999999996</v>
      </c>
      <c r="DU174">
        <v>1.2000000000000004</v>
      </c>
      <c r="DV174">
        <v>7</v>
      </c>
      <c r="DW174">
        <v>6.5</v>
      </c>
      <c r="DX174">
        <v>8</v>
      </c>
      <c r="DY174">
        <v>3.3</v>
      </c>
      <c r="DZ174">
        <v>5</v>
      </c>
      <c r="EA174">
        <v>17.839999999999996</v>
      </c>
      <c r="EB174">
        <v>0.8</v>
      </c>
      <c r="EC174">
        <v>11</v>
      </c>
      <c r="ED174">
        <v>7.5</v>
      </c>
      <c r="EE174">
        <v>12</v>
      </c>
      <c r="EF174">
        <v>-0.15199999999999952</v>
      </c>
      <c r="EG174">
        <v>3</v>
      </c>
      <c r="EH174">
        <v>8.2399999999999984</v>
      </c>
      <c r="EI174">
        <v>-0.20000000000000004</v>
      </c>
      <c r="EJ174">
        <v>18</v>
      </c>
      <c r="EK174">
        <v>18</v>
      </c>
      <c r="EL174">
        <v>22</v>
      </c>
      <c r="EM174">
        <v>2.3959999999999999</v>
      </c>
      <c r="EN174">
        <v>14</v>
      </c>
      <c r="EO174">
        <v>13.16</v>
      </c>
      <c r="EP174">
        <v>1.0000000000000004</v>
      </c>
      <c r="EQ174">
        <v>12</v>
      </c>
      <c r="ER174">
        <v>13</v>
      </c>
      <c r="ES174">
        <v>20</v>
      </c>
      <c r="ET174">
        <v>-2.0080000000000009</v>
      </c>
      <c r="EU174">
        <v>6</v>
      </c>
      <c r="EV174">
        <v>-1.3599999999999981</v>
      </c>
      <c r="EW174">
        <v>-0.44000000000000022</v>
      </c>
      <c r="EX174">
        <v>10</v>
      </c>
      <c r="EY174">
        <v>11.5</v>
      </c>
      <c r="EZ174">
        <v>16</v>
      </c>
      <c r="FA174">
        <v>-2.56</v>
      </c>
      <c r="FB174">
        <v>7</v>
      </c>
      <c r="FC174">
        <v>-0.44000000000000006</v>
      </c>
      <c r="FD174">
        <v>-0.36000000000000032</v>
      </c>
      <c r="FE174">
        <v>18</v>
      </c>
      <c r="FF174">
        <v>16.25</v>
      </c>
      <c r="FG174">
        <v>18</v>
      </c>
      <c r="FH174">
        <v>1.9395181383897266E-2</v>
      </c>
      <c r="FI174">
        <v>16</v>
      </c>
      <c r="FJ174">
        <v>2.558335648383343E-2</v>
      </c>
      <c r="FK174">
        <v>8</v>
      </c>
      <c r="FL174">
        <v>5.3239999999999998</v>
      </c>
      <c r="FM174">
        <v>23</v>
      </c>
      <c r="FN174">
        <v>5.6</v>
      </c>
      <c r="FO174">
        <v>4.4400000000000004</v>
      </c>
      <c r="FP174">
        <v>-4.4800000000000004</v>
      </c>
      <c r="FQ174">
        <v>-0.84000000000000008</v>
      </c>
      <c r="FR174">
        <v>0.5999999999999972</v>
      </c>
      <c r="FS174">
        <v>3.7599999999999993</v>
      </c>
      <c r="FT174">
        <v>-0.83999999999999986</v>
      </c>
      <c r="FU174">
        <v>31.320000000000004</v>
      </c>
      <c r="FV174">
        <v>25.95999999999999</v>
      </c>
      <c r="FW174">
        <v>2.6000000000000028</v>
      </c>
      <c r="FX174">
        <v>2.4799999999999995</v>
      </c>
      <c r="FY174">
        <v>0.28000000000000042</v>
      </c>
      <c r="FZ174">
        <v>29</v>
      </c>
      <c r="GA174">
        <v>-7.5575999999999972</v>
      </c>
      <c r="GB174">
        <v>-4.2171199999999986</v>
      </c>
      <c r="GC174">
        <v>23.359999999999989</v>
      </c>
      <c r="GD174">
        <v>7.5575999999999972</v>
      </c>
      <c r="GE174">
        <v>0.29580000000000012</v>
      </c>
      <c r="GF174">
        <v>-0.37199999999999839</v>
      </c>
      <c r="GG174">
        <v>9.2399999999999984</v>
      </c>
      <c r="GH174">
        <v>7.4319999999999986</v>
      </c>
      <c r="GI174">
        <v>-9.4400000000000048</v>
      </c>
      <c r="GJ174">
        <v>1.3600000000000003</v>
      </c>
      <c r="GK174">
        <v>1.88</v>
      </c>
    </row>
    <row r="175" spans="1:193" x14ac:dyDescent="0.2">
      <c r="A175" s="39">
        <v>43772</v>
      </c>
      <c r="B175" s="22" t="s">
        <v>246</v>
      </c>
      <c r="C175" s="41" t="s">
        <v>306</v>
      </c>
      <c r="D175" s="22" t="s">
        <v>276</v>
      </c>
      <c r="E175">
        <v>7.9</v>
      </c>
      <c r="F175">
        <v>8.1999999999999993</v>
      </c>
      <c r="G175">
        <v>2.2000000000000002</v>
      </c>
      <c r="H175">
        <v>2.6</v>
      </c>
      <c r="I175">
        <v>10.5</v>
      </c>
      <c r="J175">
        <v>37</v>
      </c>
      <c r="L175" s="1" t="s">
        <v>306</v>
      </c>
      <c r="M175">
        <v>31</v>
      </c>
      <c r="N175">
        <v>-7.031200000000001</v>
      </c>
      <c r="O175">
        <v>9</v>
      </c>
      <c r="P175">
        <v>9</v>
      </c>
      <c r="Q175">
        <v>11</v>
      </c>
      <c r="R175">
        <v>-5.8080000000000007</v>
      </c>
      <c r="S175">
        <v>7</v>
      </c>
      <c r="T175">
        <v>-10.88</v>
      </c>
      <c r="U175">
        <v>-2.2000000000000002</v>
      </c>
      <c r="V175">
        <v>19</v>
      </c>
      <c r="W175">
        <v>18</v>
      </c>
      <c r="X175">
        <v>25</v>
      </c>
      <c r="Y175">
        <v>0.34800000000000003</v>
      </c>
      <c r="Z175">
        <v>11</v>
      </c>
      <c r="AA175">
        <v>-1.4</v>
      </c>
      <c r="AB175">
        <v>1.4</v>
      </c>
      <c r="AC175">
        <v>29</v>
      </c>
      <c r="AD175">
        <v>29</v>
      </c>
      <c r="AE175">
        <v>29</v>
      </c>
      <c r="AF175">
        <v>-3.8320000000000007</v>
      </c>
      <c r="AG175">
        <v>29</v>
      </c>
      <c r="AH175">
        <v>-16.919999999999998</v>
      </c>
      <c r="AI175">
        <v>-1.7600000000000002</v>
      </c>
      <c r="AJ175">
        <v>28</v>
      </c>
      <c r="AK175">
        <v>27.5</v>
      </c>
      <c r="AL175">
        <v>30</v>
      </c>
      <c r="AM175">
        <v>-5.5759999999999987</v>
      </c>
      <c r="AN175">
        <v>25</v>
      </c>
      <c r="AO175">
        <v>-21.6</v>
      </c>
      <c r="AP175">
        <v>-2.7199999999999998</v>
      </c>
      <c r="AQ175">
        <v>30</v>
      </c>
      <c r="AR175">
        <v>29.5</v>
      </c>
      <c r="AS175">
        <v>31</v>
      </c>
      <c r="AT175">
        <v>-3.0840000000000005</v>
      </c>
      <c r="AU175">
        <v>28</v>
      </c>
      <c r="AV175">
        <v>-15.48</v>
      </c>
      <c r="AW175">
        <v>-0.8</v>
      </c>
      <c r="AX175">
        <v>30</v>
      </c>
      <c r="AY175">
        <v>30</v>
      </c>
      <c r="AZ175">
        <v>30</v>
      </c>
      <c r="BA175">
        <v>-7.7160000000000011</v>
      </c>
      <c r="BB175">
        <v>30</v>
      </c>
      <c r="BC175">
        <v>-32.6</v>
      </c>
      <c r="BD175">
        <v>-7.76</v>
      </c>
      <c r="BE175">
        <v>31</v>
      </c>
      <c r="BF175">
        <v>30</v>
      </c>
      <c r="BG175">
        <v>31</v>
      </c>
      <c r="BH175">
        <v>-2.1279999999999997</v>
      </c>
      <c r="BI175">
        <v>-9.8800000000000008</v>
      </c>
      <c r="BJ175">
        <v>-1.52</v>
      </c>
      <c r="BK175">
        <v>1</v>
      </c>
      <c r="BL175">
        <v>1</v>
      </c>
      <c r="BM175">
        <v>1</v>
      </c>
      <c r="BN175">
        <v>-3.0399999999999996</v>
      </c>
      <c r="BO175">
        <v>1</v>
      </c>
      <c r="BP175">
        <v>-0.36000000000000004</v>
      </c>
      <c r="BQ175">
        <v>-0.23999999999999985</v>
      </c>
      <c r="BR175">
        <v>1</v>
      </c>
      <c r="BS175">
        <v>5.25</v>
      </c>
      <c r="BT175">
        <v>9</v>
      </c>
      <c r="BU175">
        <v>-3.3600295669370173E-2</v>
      </c>
      <c r="BV175">
        <v>1</v>
      </c>
      <c r="BW175">
        <v>3.5505563290478603E-2</v>
      </c>
      <c r="BX175">
        <v>2</v>
      </c>
      <c r="BY175">
        <v>-11.656000000000001</v>
      </c>
      <c r="BZ175">
        <v>9</v>
      </c>
      <c r="CA175">
        <v>1.7200000000000002</v>
      </c>
      <c r="CB175">
        <v>-9.84</v>
      </c>
      <c r="CC175">
        <v>-8.1199999999999992</v>
      </c>
      <c r="CD175">
        <v>-1.64</v>
      </c>
      <c r="CE175">
        <v>-74.559999999999988</v>
      </c>
      <c r="CF175">
        <v>-71.28</v>
      </c>
      <c r="CG175">
        <v>-11.559999999999999</v>
      </c>
      <c r="CH175">
        <v>8.36</v>
      </c>
      <c r="CI175">
        <v>-8.0000000000000071E-2</v>
      </c>
      <c r="CJ175">
        <v>21</v>
      </c>
      <c r="CK175">
        <v>-1.5712000000000004</v>
      </c>
      <c r="CL175">
        <v>-1.6002399999999994</v>
      </c>
      <c r="CM175">
        <v>-59.72</v>
      </c>
      <c r="CN175">
        <v>1.5712000000000002</v>
      </c>
      <c r="CO175">
        <v>-3.7688999999999999</v>
      </c>
      <c r="CP175">
        <v>-12.492000000000001</v>
      </c>
      <c r="CQ175">
        <v>-54</v>
      </c>
      <c r="CR175">
        <v>-5.4600000000000009</v>
      </c>
      <c r="CS175">
        <v>-12.280000000000001</v>
      </c>
      <c r="CT175">
        <v>-6.8000000000000007</v>
      </c>
      <c r="CU175">
        <v>-0.80000000000000027</v>
      </c>
      <c r="CV175">
        <v>-0.84267499999999973</v>
      </c>
      <c r="CW175">
        <v>-0.5752999999999997</v>
      </c>
      <c r="CX175" t="s">
        <v>276</v>
      </c>
      <c r="CY175">
        <v>24</v>
      </c>
      <c r="CZ175">
        <v>-3.2943999999999996</v>
      </c>
      <c r="DA175">
        <v>10</v>
      </c>
      <c r="DB175">
        <v>10.5</v>
      </c>
      <c r="DC175">
        <v>8</v>
      </c>
      <c r="DD175">
        <v>1.0160000000000013</v>
      </c>
      <c r="DE175">
        <v>13</v>
      </c>
      <c r="DF175">
        <v>10.76</v>
      </c>
      <c r="DG175">
        <v>-1.0399999999999998</v>
      </c>
      <c r="DH175">
        <v>3</v>
      </c>
      <c r="DI175">
        <v>6</v>
      </c>
      <c r="DJ175">
        <v>2</v>
      </c>
      <c r="DK175">
        <v>2.0600000000000009</v>
      </c>
      <c r="DL175">
        <v>10</v>
      </c>
      <c r="DM175">
        <v>12.440000000000001</v>
      </c>
      <c r="DN175">
        <v>0.52</v>
      </c>
      <c r="DO175">
        <v>17</v>
      </c>
      <c r="DP175">
        <v>19</v>
      </c>
      <c r="DQ175">
        <v>20</v>
      </c>
      <c r="DR175">
        <v>-4.4799999999999995</v>
      </c>
      <c r="DS175">
        <v>18</v>
      </c>
      <c r="DT175">
        <v>-6.56</v>
      </c>
      <c r="DU175">
        <v>-1.2400000000000002</v>
      </c>
      <c r="DV175">
        <v>20</v>
      </c>
      <c r="DW175">
        <v>19</v>
      </c>
      <c r="DX175">
        <v>20</v>
      </c>
      <c r="DY175">
        <v>-3.4000000000000516E-2</v>
      </c>
      <c r="DZ175">
        <v>18</v>
      </c>
      <c r="EA175">
        <v>-1.5400000000000005</v>
      </c>
      <c r="EB175">
        <v>1.43</v>
      </c>
      <c r="EC175">
        <v>8</v>
      </c>
      <c r="ED175">
        <v>21</v>
      </c>
      <c r="EE175">
        <v>11</v>
      </c>
      <c r="EF175">
        <v>-0.33199999999999957</v>
      </c>
      <c r="EG175">
        <v>31</v>
      </c>
      <c r="EH175">
        <v>2.7599999999999993</v>
      </c>
      <c r="EI175">
        <v>0</v>
      </c>
      <c r="EJ175">
        <v>20</v>
      </c>
      <c r="EK175">
        <v>19</v>
      </c>
      <c r="EL175">
        <v>19</v>
      </c>
      <c r="EM175">
        <v>-4.0759999999999987</v>
      </c>
      <c r="EN175">
        <v>19</v>
      </c>
      <c r="EO175">
        <v>-5.8</v>
      </c>
      <c r="EP175">
        <v>-4.8000000000000007</v>
      </c>
      <c r="EQ175">
        <v>32</v>
      </c>
      <c r="ER175">
        <v>32</v>
      </c>
      <c r="ES175">
        <v>32</v>
      </c>
      <c r="ET175">
        <v>-3.0960000000000001</v>
      </c>
      <c r="EU175">
        <v>32</v>
      </c>
      <c r="EV175">
        <v>-15.039999999999997</v>
      </c>
      <c r="EW175">
        <v>-2.2000000000000002</v>
      </c>
      <c r="EX175">
        <v>32</v>
      </c>
      <c r="EY175">
        <v>32</v>
      </c>
      <c r="EZ175">
        <v>32</v>
      </c>
      <c r="FA175">
        <v>-0.72</v>
      </c>
      <c r="FB175">
        <v>32</v>
      </c>
      <c r="FC175">
        <v>0.39999999999999997</v>
      </c>
      <c r="FD175">
        <v>-0.79999999999999982</v>
      </c>
      <c r="FE175">
        <v>7</v>
      </c>
      <c r="FF175">
        <v>12.25</v>
      </c>
      <c r="FG175">
        <v>24</v>
      </c>
      <c r="FH175">
        <v>2.8091401786934346E-2</v>
      </c>
      <c r="FI175">
        <v>3</v>
      </c>
      <c r="FJ175">
        <v>-1.9331248122945969E-3</v>
      </c>
      <c r="FK175">
        <v>17</v>
      </c>
      <c r="FL175">
        <v>0.66000000000000081</v>
      </c>
      <c r="FM175">
        <v>5</v>
      </c>
      <c r="FN175">
        <v>-1.2799999999999998</v>
      </c>
      <c r="FO175">
        <v>-2.7600000000000002</v>
      </c>
      <c r="FP175">
        <v>0.72000000000000031</v>
      </c>
      <c r="FQ175">
        <v>1.72</v>
      </c>
      <c r="FR175">
        <v>-0.4799999999999997</v>
      </c>
      <c r="FS175">
        <v>-1.7199999999999995</v>
      </c>
      <c r="FT175">
        <v>-0.43999999999999995</v>
      </c>
      <c r="FU175">
        <v>-1.4</v>
      </c>
      <c r="FV175">
        <v>-26.160000000000004</v>
      </c>
      <c r="FW175">
        <v>19.880000000000003</v>
      </c>
      <c r="FX175">
        <v>-0.59999999999999987</v>
      </c>
      <c r="FY175">
        <v>5.4799999999999995</v>
      </c>
      <c r="FZ175">
        <v>28</v>
      </c>
      <c r="GA175">
        <v>-6.3704000000000018</v>
      </c>
      <c r="GB175">
        <v>-3.7852800000000011</v>
      </c>
      <c r="GC175">
        <v>-46.040000000000006</v>
      </c>
      <c r="GD175">
        <v>6.3704000000000018</v>
      </c>
      <c r="GE175">
        <v>-1.1100499999999998</v>
      </c>
      <c r="GF175">
        <v>-4.8460000000000001</v>
      </c>
      <c r="GG175">
        <v>-5.34</v>
      </c>
      <c r="GH175">
        <v>3.0760000000000023</v>
      </c>
      <c r="GI175">
        <v>23.200000000000003</v>
      </c>
      <c r="GJ175">
        <v>-2.0100000000000007</v>
      </c>
      <c r="GK175">
        <v>-0.5199999999999998</v>
      </c>
    </row>
    <row r="176" spans="1:193" x14ac:dyDescent="0.2">
      <c r="A176" s="39">
        <v>43779</v>
      </c>
      <c r="B176" s="22" t="s">
        <v>244</v>
      </c>
      <c r="C176" s="41" t="s">
        <v>285</v>
      </c>
      <c r="D176" s="22" t="s">
        <v>284</v>
      </c>
      <c r="E176">
        <v>15.1</v>
      </c>
      <c r="F176">
        <v>40.799999999999997</v>
      </c>
      <c r="G176">
        <v>10.8</v>
      </c>
      <c r="H176">
        <v>4</v>
      </c>
      <c r="I176">
        <v>5.5</v>
      </c>
      <c r="J176">
        <v>51</v>
      </c>
      <c r="K176" t="s">
        <v>109</v>
      </c>
      <c r="L176" s="1" t="s">
        <v>285</v>
      </c>
      <c r="M176">
        <v>18</v>
      </c>
      <c r="N176">
        <v>-0.39280000000000043</v>
      </c>
      <c r="O176">
        <v>24</v>
      </c>
      <c r="P176">
        <v>22.5</v>
      </c>
      <c r="Q176">
        <v>22</v>
      </c>
      <c r="R176">
        <v>7.3549999999999986</v>
      </c>
      <c r="S176">
        <v>23</v>
      </c>
      <c r="T176">
        <v>2.8099999999999996</v>
      </c>
      <c r="U176">
        <v>0.73</v>
      </c>
      <c r="V176">
        <v>29</v>
      </c>
      <c r="W176">
        <v>29</v>
      </c>
      <c r="X176">
        <v>30</v>
      </c>
      <c r="Y176">
        <v>0.45400000000000029</v>
      </c>
      <c r="Z176">
        <v>28</v>
      </c>
      <c r="AA176">
        <v>-5.2000000000000011</v>
      </c>
      <c r="AB176">
        <v>-0.59000000000000008</v>
      </c>
      <c r="AC176">
        <v>27</v>
      </c>
      <c r="AD176">
        <v>26.5</v>
      </c>
      <c r="AE176">
        <v>27</v>
      </c>
      <c r="AF176">
        <v>-7.1480000000000006</v>
      </c>
      <c r="AG176">
        <v>26</v>
      </c>
      <c r="AH176">
        <v>-32.4</v>
      </c>
      <c r="AI176">
        <v>-1.8399999999999999</v>
      </c>
      <c r="AJ176">
        <v>7</v>
      </c>
      <c r="AK176">
        <v>8</v>
      </c>
      <c r="AL176">
        <v>6</v>
      </c>
      <c r="AM176">
        <v>-2.8240000000000007</v>
      </c>
      <c r="AN176">
        <v>10</v>
      </c>
      <c r="AO176">
        <v>-8.3999999999999986</v>
      </c>
      <c r="AP176">
        <v>4.0000000000000036E-2</v>
      </c>
      <c r="AQ176">
        <v>11</v>
      </c>
      <c r="AR176">
        <v>10.5</v>
      </c>
      <c r="AS176">
        <v>9</v>
      </c>
      <c r="AT176">
        <v>0.53599999999999981</v>
      </c>
      <c r="AU176">
        <v>12</v>
      </c>
      <c r="AV176">
        <v>2.2400000000000007</v>
      </c>
      <c r="AW176">
        <v>-0.68</v>
      </c>
      <c r="AX176">
        <v>16</v>
      </c>
      <c r="AY176">
        <v>16</v>
      </c>
      <c r="AZ176">
        <v>18</v>
      </c>
      <c r="BA176">
        <v>-0.67600000000000016</v>
      </c>
      <c r="BB176">
        <v>14</v>
      </c>
      <c r="BC176">
        <v>-3.0000000000000013</v>
      </c>
      <c r="BD176">
        <v>-2.92</v>
      </c>
      <c r="BE176">
        <v>24</v>
      </c>
      <c r="BF176">
        <v>23.5</v>
      </c>
      <c r="BG176">
        <v>29</v>
      </c>
      <c r="BH176">
        <v>-2.16</v>
      </c>
      <c r="BI176">
        <v>-2</v>
      </c>
      <c r="BJ176">
        <v>-1.8</v>
      </c>
      <c r="BK176">
        <v>21</v>
      </c>
      <c r="BL176">
        <v>20</v>
      </c>
      <c r="BM176">
        <v>17</v>
      </c>
      <c r="BN176">
        <v>0.64</v>
      </c>
      <c r="BO176">
        <v>23</v>
      </c>
      <c r="BP176">
        <v>0.55999999999999994</v>
      </c>
      <c r="BQ176">
        <v>-6.2799999999999994</v>
      </c>
      <c r="BR176">
        <v>9</v>
      </c>
      <c r="BS176">
        <v>12.25</v>
      </c>
      <c r="BT176">
        <v>20</v>
      </c>
      <c r="BU176">
        <v>-8.762492788711268E-2</v>
      </c>
      <c r="BV176">
        <v>7</v>
      </c>
      <c r="BW176">
        <v>-1.7538886644204603E-2</v>
      </c>
      <c r="BX176">
        <v>4</v>
      </c>
      <c r="BY176">
        <v>-8.5879999999999992</v>
      </c>
      <c r="BZ176">
        <v>18</v>
      </c>
      <c r="CA176">
        <v>-2.04</v>
      </c>
      <c r="CB176">
        <v>-2.6799999999999984</v>
      </c>
      <c r="CC176">
        <v>2.2799999999999994</v>
      </c>
      <c r="CD176">
        <v>-3.2399999999999998</v>
      </c>
      <c r="CE176">
        <v>2.2000000000000002</v>
      </c>
      <c r="CF176">
        <v>-9.5200000000000049</v>
      </c>
      <c r="CG176">
        <v>-4.8399999999999981</v>
      </c>
      <c r="CH176">
        <v>2.04</v>
      </c>
      <c r="CI176">
        <v>14.52</v>
      </c>
      <c r="CJ176">
        <v>31</v>
      </c>
      <c r="CK176">
        <v>-8.2017999999999986</v>
      </c>
      <c r="CL176">
        <v>-6.3022600000000004</v>
      </c>
      <c r="CM176">
        <v>-4.6800000000000068</v>
      </c>
      <c r="CN176">
        <v>8.2018000000000004</v>
      </c>
      <c r="CO176">
        <v>-0.44247500000000034</v>
      </c>
      <c r="CP176">
        <v>-9.4360000000000017</v>
      </c>
      <c r="CQ176">
        <v>-38.559999999999995</v>
      </c>
      <c r="CR176">
        <v>7.8089999999999993</v>
      </c>
      <c r="CS176">
        <v>-2.3900000000000015</v>
      </c>
      <c r="CT176">
        <v>-4.28</v>
      </c>
      <c r="CU176">
        <v>0.1399999999999999</v>
      </c>
      <c r="CV176">
        <v>2.7249625000000006</v>
      </c>
      <c r="CW176">
        <v>2.3819000000000004</v>
      </c>
      <c r="CX176" t="s">
        <v>284</v>
      </c>
      <c r="CY176">
        <v>4</v>
      </c>
      <c r="CZ176">
        <v>8.1640000000000015</v>
      </c>
      <c r="DA176">
        <v>25</v>
      </c>
      <c r="DB176">
        <v>23.5</v>
      </c>
      <c r="DC176">
        <v>24</v>
      </c>
      <c r="DD176">
        <v>-9.1847999999999992</v>
      </c>
      <c r="DE176">
        <v>23</v>
      </c>
      <c r="DF176">
        <v>-26.529999999999994</v>
      </c>
      <c r="DG176">
        <v>-0.40999999999999986</v>
      </c>
      <c r="DH176">
        <v>31</v>
      </c>
      <c r="DI176">
        <v>31</v>
      </c>
      <c r="DJ176">
        <v>31</v>
      </c>
      <c r="DK176">
        <v>-3.129</v>
      </c>
      <c r="DL176">
        <v>31</v>
      </c>
      <c r="DM176">
        <v>-10.64</v>
      </c>
      <c r="DN176">
        <v>-0.7</v>
      </c>
      <c r="DO176">
        <v>9</v>
      </c>
      <c r="DP176">
        <v>6</v>
      </c>
      <c r="DQ176">
        <v>6</v>
      </c>
      <c r="DR176">
        <v>7.4800000000000022</v>
      </c>
      <c r="DS176">
        <v>6</v>
      </c>
      <c r="DT176">
        <v>20.840000000000003</v>
      </c>
      <c r="DU176">
        <v>2.88</v>
      </c>
      <c r="DV176">
        <v>1</v>
      </c>
      <c r="DW176">
        <v>1.5</v>
      </c>
      <c r="DX176">
        <v>1</v>
      </c>
      <c r="DY176">
        <v>12.076000000000001</v>
      </c>
      <c r="DZ176">
        <v>2</v>
      </c>
      <c r="EA176">
        <v>29.76</v>
      </c>
      <c r="EB176">
        <v>0.23999999999999994</v>
      </c>
      <c r="EC176">
        <v>8</v>
      </c>
      <c r="ED176">
        <v>12.5</v>
      </c>
      <c r="EE176">
        <v>17</v>
      </c>
      <c r="EF176">
        <v>0.46799999999999997</v>
      </c>
      <c r="EG176">
        <v>8</v>
      </c>
      <c r="EH176">
        <v>0.43999999999999889</v>
      </c>
      <c r="EI176">
        <v>-0.47999999999999987</v>
      </c>
      <c r="EJ176">
        <v>2</v>
      </c>
      <c r="EK176">
        <v>3.5</v>
      </c>
      <c r="EL176">
        <v>1</v>
      </c>
      <c r="EM176">
        <v>5.3320000000000007</v>
      </c>
      <c r="EN176">
        <v>6</v>
      </c>
      <c r="EO176">
        <v>14.12</v>
      </c>
      <c r="EP176">
        <v>2.7199999999999998</v>
      </c>
      <c r="EQ176">
        <v>21</v>
      </c>
      <c r="ER176">
        <v>20.5</v>
      </c>
      <c r="ES176">
        <v>15</v>
      </c>
      <c r="ET176">
        <v>5.7900000000000009</v>
      </c>
      <c r="EU176">
        <v>26</v>
      </c>
      <c r="EV176">
        <v>12.75</v>
      </c>
      <c r="EW176">
        <v>2.2499999999999996</v>
      </c>
      <c r="EX176">
        <v>16</v>
      </c>
      <c r="EY176">
        <v>14</v>
      </c>
      <c r="EZ176">
        <v>13</v>
      </c>
      <c r="FA176">
        <v>2.88</v>
      </c>
      <c r="FB176">
        <v>15</v>
      </c>
      <c r="FC176">
        <v>0.36000000000000004</v>
      </c>
      <c r="FD176">
        <v>3.4400000000000004</v>
      </c>
      <c r="FE176">
        <v>10</v>
      </c>
      <c r="FF176">
        <v>13.25</v>
      </c>
      <c r="FG176">
        <v>9</v>
      </c>
      <c r="FH176">
        <v>-3.0167122108181364E-2</v>
      </c>
      <c r="FI176">
        <v>26</v>
      </c>
      <c r="FJ176">
        <v>-2.0434255764417812E-2</v>
      </c>
      <c r="FK176">
        <v>6</v>
      </c>
      <c r="FL176">
        <v>5.1759999999999993</v>
      </c>
      <c r="FM176">
        <v>12</v>
      </c>
      <c r="FN176">
        <v>-3.8800000000000003</v>
      </c>
      <c r="FO176">
        <v>2.9600000000000009</v>
      </c>
      <c r="FP176">
        <v>-2.04</v>
      </c>
      <c r="FQ176">
        <v>-1.0400000000000003</v>
      </c>
      <c r="FR176">
        <v>0.31999999999999884</v>
      </c>
      <c r="FS176">
        <v>8.7200000000000006</v>
      </c>
      <c r="FT176">
        <v>-0.44000000000000006</v>
      </c>
      <c r="FU176">
        <v>-7.999999999999545E-2</v>
      </c>
      <c r="FV176">
        <v>35.480000000000004</v>
      </c>
      <c r="FW176">
        <v>-34.119999999999997</v>
      </c>
      <c r="FX176">
        <v>1.3599999999999999</v>
      </c>
      <c r="FY176">
        <v>-2.8</v>
      </c>
      <c r="FZ176">
        <v>1</v>
      </c>
      <c r="GA176">
        <v>20.477800000000002</v>
      </c>
      <c r="GB176">
        <v>12.952500000000001</v>
      </c>
      <c r="GC176">
        <v>69.599999999999994</v>
      </c>
      <c r="GD176">
        <v>-20.477800000000002</v>
      </c>
      <c r="GE176">
        <v>3.0680250000000009</v>
      </c>
      <c r="GF176">
        <v>20.024000000000004</v>
      </c>
      <c r="GG176">
        <v>51.040000000000006</v>
      </c>
      <c r="GH176">
        <v>-12.313799999999999</v>
      </c>
      <c r="GI176">
        <v>-37.169999999999995</v>
      </c>
      <c r="GJ176">
        <v>4.8899999999999988</v>
      </c>
      <c r="GK176">
        <v>-1.1099999999999999</v>
      </c>
    </row>
    <row r="177" spans="1:193" x14ac:dyDescent="0.2">
      <c r="A177" s="39">
        <v>43779</v>
      </c>
      <c r="B177" s="22" t="s">
        <v>244</v>
      </c>
      <c r="C177" s="41" t="s">
        <v>295</v>
      </c>
      <c r="D177" s="22" t="s">
        <v>307</v>
      </c>
      <c r="E177">
        <v>10.9</v>
      </c>
      <c r="F177">
        <v>7.7</v>
      </c>
      <c r="G177">
        <v>6.3</v>
      </c>
      <c r="H177">
        <v>11.7</v>
      </c>
      <c r="I177">
        <v>14</v>
      </c>
      <c r="J177">
        <v>51.5</v>
      </c>
      <c r="K177" t="s">
        <v>109</v>
      </c>
      <c r="L177" s="1" t="s">
        <v>295</v>
      </c>
      <c r="M177">
        <v>9</v>
      </c>
      <c r="N177">
        <v>3.0727999999999982</v>
      </c>
      <c r="O177">
        <v>29</v>
      </c>
      <c r="P177">
        <v>28</v>
      </c>
      <c r="Q177">
        <v>29</v>
      </c>
      <c r="R177">
        <v>0.38299999999999945</v>
      </c>
      <c r="S177">
        <v>27</v>
      </c>
      <c r="T177">
        <v>-11.389999999999999</v>
      </c>
      <c r="U177">
        <v>0.53</v>
      </c>
      <c r="V177">
        <v>11</v>
      </c>
      <c r="W177">
        <v>11</v>
      </c>
      <c r="X177">
        <v>10</v>
      </c>
      <c r="Y177">
        <v>1.6819999999999993</v>
      </c>
      <c r="Z177">
        <v>12</v>
      </c>
      <c r="AA177">
        <v>5.36</v>
      </c>
      <c r="AB177">
        <v>-0.35000000000000009</v>
      </c>
      <c r="AC177">
        <v>15</v>
      </c>
      <c r="AD177">
        <v>16</v>
      </c>
      <c r="AE177">
        <v>23</v>
      </c>
      <c r="AF177">
        <v>-0.17999999999999972</v>
      </c>
      <c r="AG177">
        <v>9</v>
      </c>
      <c r="AH177">
        <v>17.64</v>
      </c>
      <c r="AI177">
        <v>0.52000000000000013</v>
      </c>
      <c r="AJ177">
        <v>6</v>
      </c>
      <c r="AK177">
        <v>7</v>
      </c>
      <c r="AL177">
        <v>8</v>
      </c>
      <c r="AM177">
        <v>0.11200000000000063</v>
      </c>
      <c r="AN177">
        <v>6</v>
      </c>
      <c r="AO177">
        <v>-1.2399999999999991</v>
      </c>
      <c r="AP177">
        <v>0.12000000000000011</v>
      </c>
      <c r="AQ177">
        <v>6</v>
      </c>
      <c r="AR177">
        <v>6</v>
      </c>
      <c r="AS177">
        <v>6</v>
      </c>
      <c r="AT177">
        <v>1.9120000000000004</v>
      </c>
      <c r="AU177">
        <v>6</v>
      </c>
      <c r="AV177">
        <v>0.84000000000000052</v>
      </c>
      <c r="AW177">
        <v>1.2400000000000002</v>
      </c>
      <c r="AX177">
        <v>7</v>
      </c>
      <c r="AY177">
        <v>6.5</v>
      </c>
      <c r="AZ177">
        <v>7</v>
      </c>
      <c r="BA177">
        <v>-1.8399999999999994</v>
      </c>
      <c r="BB177">
        <v>6</v>
      </c>
      <c r="BC177">
        <v>-16.400000000000002</v>
      </c>
      <c r="BD177">
        <v>-1.28</v>
      </c>
      <c r="BE177">
        <v>16</v>
      </c>
      <c r="BF177">
        <v>17</v>
      </c>
      <c r="BG177">
        <v>17</v>
      </c>
      <c r="BH177">
        <v>4.7799999999999994</v>
      </c>
      <c r="BI177">
        <v>5.76</v>
      </c>
      <c r="BJ177">
        <v>-3.9999999999999855E-2</v>
      </c>
      <c r="BK177">
        <v>4</v>
      </c>
      <c r="BL177">
        <v>7</v>
      </c>
      <c r="BM177">
        <v>10</v>
      </c>
      <c r="BN177">
        <v>1.48</v>
      </c>
      <c r="BO177">
        <v>4</v>
      </c>
      <c r="BP177">
        <v>0.72</v>
      </c>
      <c r="BQ177">
        <v>-4.08</v>
      </c>
      <c r="BR177">
        <v>14</v>
      </c>
      <c r="BS177">
        <v>14</v>
      </c>
      <c r="BT177">
        <v>7</v>
      </c>
      <c r="BU177">
        <v>4.0686899449590121E-2</v>
      </c>
      <c r="BV177">
        <v>9</v>
      </c>
      <c r="BW177">
        <v>8.5774395740100817E-3</v>
      </c>
      <c r="BX177">
        <v>26</v>
      </c>
      <c r="BY177">
        <v>6.3079999999999981</v>
      </c>
      <c r="BZ177">
        <v>14</v>
      </c>
      <c r="CA177">
        <v>1.6400000000000001</v>
      </c>
      <c r="CB177">
        <v>1.2399999999999991</v>
      </c>
      <c r="CC177">
        <v>2.7599999999999993</v>
      </c>
      <c r="CD177">
        <v>-1.48</v>
      </c>
      <c r="CE177">
        <v>21.280000000000008</v>
      </c>
      <c r="CF177">
        <v>31.920000000000005</v>
      </c>
      <c r="CG177">
        <v>-3.2399999999999975</v>
      </c>
      <c r="CH177">
        <v>0.31999999999999995</v>
      </c>
      <c r="CI177">
        <v>-7.7199999999999989</v>
      </c>
      <c r="CJ177">
        <v>17</v>
      </c>
      <c r="CK177">
        <v>1.0077999999999994</v>
      </c>
      <c r="CL177">
        <v>0.90686000000000067</v>
      </c>
      <c r="CM177">
        <v>35.160000000000004</v>
      </c>
      <c r="CN177">
        <v>-1.0077999999999996</v>
      </c>
      <c r="CO177">
        <v>1.6552249999999997</v>
      </c>
      <c r="CP177">
        <v>1.8440000000000012</v>
      </c>
      <c r="CQ177">
        <v>17.240000000000002</v>
      </c>
      <c r="CR177">
        <v>2.0649999999999986</v>
      </c>
      <c r="CS177">
        <v>-6.0299999999999985</v>
      </c>
      <c r="CT177">
        <v>1.8400000000000005</v>
      </c>
      <c r="CU177">
        <v>0.17999999999999994</v>
      </c>
      <c r="CV177">
        <v>-0.55761249999999962</v>
      </c>
      <c r="CW177">
        <v>1.233225</v>
      </c>
      <c r="CX177" t="s">
        <v>307</v>
      </c>
      <c r="CY177">
        <v>18</v>
      </c>
      <c r="CZ177">
        <v>-6.0775999999999994</v>
      </c>
      <c r="DA177">
        <v>29</v>
      </c>
      <c r="DB177">
        <v>27.5</v>
      </c>
      <c r="DC177">
        <v>26</v>
      </c>
      <c r="DD177">
        <v>-6.0499999999999989</v>
      </c>
      <c r="DE177">
        <v>29</v>
      </c>
      <c r="DF177">
        <v>-18.8</v>
      </c>
      <c r="DG177">
        <v>-0.24999999999999978</v>
      </c>
      <c r="DH177">
        <v>7</v>
      </c>
      <c r="DI177">
        <v>10</v>
      </c>
      <c r="DJ177">
        <v>8</v>
      </c>
      <c r="DK177">
        <v>1.6600000000000001</v>
      </c>
      <c r="DL177">
        <v>12</v>
      </c>
      <c r="DM177">
        <v>13.7</v>
      </c>
      <c r="DN177">
        <v>0.8</v>
      </c>
      <c r="DO177">
        <v>15</v>
      </c>
      <c r="DP177">
        <v>19</v>
      </c>
      <c r="DQ177">
        <v>18</v>
      </c>
      <c r="DR177">
        <v>-6.2840000000000007</v>
      </c>
      <c r="DS177">
        <v>20</v>
      </c>
      <c r="DT177">
        <v>-30.679999999999996</v>
      </c>
      <c r="DU177">
        <v>-0.44000000000000022</v>
      </c>
      <c r="DV177">
        <v>29</v>
      </c>
      <c r="DW177">
        <v>29.5</v>
      </c>
      <c r="DX177">
        <v>27</v>
      </c>
      <c r="DY177">
        <v>1.8119999999999998</v>
      </c>
      <c r="DZ177">
        <v>32</v>
      </c>
      <c r="EA177">
        <v>3.72</v>
      </c>
      <c r="EB177">
        <v>1.1600000000000001</v>
      </c>
      <c r="EC177">
        <v>27</v>
      </c>
      <c r="ED177">
        <v>25</v>
      </c>
      <c r="EE177">
        <v>25</v>
      </c>
      <c r="EF177">
        <v>-3.4720000000000004</v>
      </c>
      <c r="EG177">
        <v>25</v>
      </c>
      <c r="EH177">
        <v>-17</v>
      </c>
      <c r="EI177">
        <v>-0.48</v>
      </c>
      <c r="EJ177">
        <v>24</v>
      </c>
      <c r="EK177">
        <v>23.5</v>
      </c>
      <c r="EL177">
        <v>20</v>
      </c>
      <c r="EM177">
        <v>-3.4959999999999996</v>
      </c>
      <c r="EN177">
        <v>27</v>
      </c>
      <c r="EO177">
        <v>-16.96</v>
      </c>
      <c r="EP177">
        <v>0.31999999999999995</v>
      </c>
      <c r="EQ177">
        <v>3</v>
      </c>
      <c r="ER177">
        <v>3.5</v>
      </c>
      <c r="ES177">
        <v>3</v>
      </c>
      <c r="ET177">
        <v>-1.0159999999999996</v>
      </c>
      <c r="EU177">
        <v>4</v>
      </c>
      <c r="EV177">
        <v>-2.160000000000001</v>
      </c>
      <c r="EW177">
        <v>-0.59999999999999987</v>
      </c>
      <c r="EX177">
        <v>8</v>
      </c>
      <c r="EY177">
        <v>8.5</v>
      </c>
      <c r="EZ177">
        <v>9</v>
      </c>
      <c r="FA177">
        <v>0.6399999999999999</v>
      </c>
      <c r="FB177">
        <v>8</v>
      </c>
      <c r="FC177">
        <v>-3.9999999999999994E-2</v>
      </c>
      <c r="FD177">
        <v>0.6399999999999999</v>
      </c>
      <c r="FE177">
        <v>17</v>
      </c>
      <c r="FF177">
        <v>16</v>
      </c>
      <c r="FG177">
        <v>6</v>
      </c>
      <c r="FH177">
        <v>2.8169295768126757E-2</v>
      </c>
      <c r="FI177">
        <v>18</v>
      </c>
      <c r="FJ177">
        <v>2.7441354763366082E-3</v>
      </c>
      <c r="FK177">
        <v>21</v>
      </c>
      <c r="FL177">
        <v>-3.0640000000000014</v>
      </c>
      <c r="FM177">
        <v>19</v>
      </c>
      <c r="FN177">
        <v>-0.48000000000000009</v>
      </c>
      <c r="FO177">
        <v>-0.80000000000000138</v>
      </c>
      <c r="FP177">
        <v>-3.2400000000000007</v>
      </c>
      <c r="FQ177">
        <v>-2.36</v>
      </c>
      <c r="FR177">
        <v>-5.9600000000000009</v>
      </c>
      <c r="FS177">
        <v>-5.76</v>
      </c>
      <c r="FT177">
        <v>0.83999999999999986</v>
      </c>
      <c r="FU177">
        <v>-94.88</v>
      </c>
      <c r="FV177">
        <v>-64.84</v>
      </c>
      <c r="FW177">
        <v>-22.560000000000002</v>
      </c>
      <c r="FX177">
        <v>5.76</v>
      </c>
      <c r="FY177">
        <v>-13.24</v>
      </c>
      <c r="FZ177">
        <v>20</v>
      </c>
      <c r="GA177">
        <v>-1.6876000000000007</v>
      </c>
      <c r="GB177">
        <v>-0.81252000000000058</v>
      </c>
      <c r="GC177">
        <v>-42.28</v>
      </c>
      <c r="GD177">
        <v>1.6876000000000007</v>
      </c>
      <c r="GE177">
        <v>-2.3484499999999993</v>
      </c>
      <c r="GF177">
        <v>-7.9440000000000017</v>
      </c>
      <c r="GG177">
        <v>-43.959999999999994</v>
      </c>
      <c r="GH177">
        <v>-4.3899999999999988</v>
      </c>
      <c r="GI177">
        <v>-5.1000000000000014</v>
      </c>
      <c r="GJ177">
        <v>-0.35999999999999988</v>
      </c>
      <c r="GK177">
        <v>0.55000000000000027</v>
      </c>
    </row>
    <row r="178" spans="1:193" x14ac:dyDescent="0.2">
      <c r="A178" s="39">
        <v>43779</v>
      </c>
      <c r="B178" s="22" t="s">
        <v>244</v>
      </c>
      <c r="C178" s="41" t="s">
        <v>305</v>
      </c>
      <c r="D178" s="22" t="s">
        <v>272</v>
      </c>
      <c r="E178">
        <v>18</v>
      </c>
      <c r="F178">
        <v>3.2</v>
      </c>
      <c r="G178">
        <v>0</v>
      </c>
      <c r="H178">
        <f>23.3+11.8+4</f>
        <v>39.1</v>
      </c>
      <c r="I178">
        <v>-10.5</v>
      </c>
      <c r="J178">
        <v>44</v>
      </c>
      <c r="L178" s="1" t="s">
        <v>305</v>
      </c>
      <c r="M178">
        <v>2</v>
      </c>
      <c r="N178">
        <v>6.1575999999999995</v>
      </c>
      <c r="O178">
        <v>4</v>
      </c>
      <c r="P178">
        <v>6.5</v>
      </c>
      <c r="Q178">
        <v>4</v>
      </c>
      <c r="R178">
        <v>-0.8120000000000005</v>
      </c>
      <c r="S178">
        <v>9</v>
      </c>
      <c r="T178">
        <v>-8.2000000000000028</v>
      </c>
      <c r="U178">
        <v>-1.0000000000000002</v>
      </c>
      <c r="V178">
        <v>5</v>
      </c>
      <c r="W178">
        <v>8</v>
      </c>
      <c r="X178">
        <v>14</v>
      </c>
      <c r="Y178">
        <v>-1.1880000000000006</v>
      </c>
      <c r="Z178">
        <v>2</v>
      </c>
      <c r="AA178">
        <v>4.4399999999999986</v>
      </c>
      <c r="AB178">
        <v>-1.52</v>
      </c>
      <c r="AC178">
        <v>26</v>
      </c>
      <c r="AD178">
        <v>25</v>
      </c>
      <c r="AE178">
        <v>22</v>
      </c>
      <c r="AF178">
        <v>-0.31333333333333346</v>
      </c>
      <c r="AG178">
        <v>28</v>
      </c>
      <c r="AH178">
        <v>-10.866666666666667</v>
      </c>
      <c r="AI178">
        <v>-1.7333333333333334</v>
      </c>
      <c r="AJ178">
        <v>25</v>
      </c>
      <c r="AK178">
        <v>26</v>
      </c>
      <c r="AL178">
        <v>24</v>
      </c>
      <c r="AM178">
        <v>-2.3666666666666667</v>
      </c>
      <c r="AN178">
        <v>28</v>
      </c>
      <c r="AO178">
        <v>-13.266666666666666</v>
      </c>
      <c r="AP178">
        <v>-2.3333333333333335</v>
      </c>
      <c r="AQ178">
        <v>31</v>
      </c>
      <c r="AR178">
        <v>30</v>
      </c>
      <c r="AS178">
        <v>29</v>
      </c>
      <c r="AT178">
        <v>-5.4133333333333331</v>
      </c>
      <c r="AU178">
        <v>31</v>
      </c>
      <c r="AV178">
        <v>-25.533333333333331</v>
      </c>
      <c r="AW178">
        <v>-3.1999999999999997</v>
      </c>
      <c r="AX178">
        <v>10</v>
      </c>
      <c r="AY178">
        <v>11</v>
      </c>
      <c r="AZ178">
        <v>5</v>
      </c>
      <c r="BA178">
        <v>-0.47333333333333449</v>
      </c>
      <c r="BB178">
        <v>17</v>
      </c>
      <c r="BC178">
        <v>-12.73333333333334</v>
      </c>
      <c r="BD178">
        <v>0.19999999999999987</v>
      </c>
      <c r="BE178">
        <v>2</v>
      </c>
      <c r="BF178">
        <v>2</v>
      </c>
      <c r="BG178">
        <v>2</v>
      </c>
      <c r="BH178">
        <v>7.0319999999999983</v>
      </c>
      <c r="BI178">
        <v>33.120000000000005</v>
      </c>
      <c r="BJ178">
        <v>4.5600000000000005</v>
      </c>
      <c r="BK178">
        <v>8</v>
      </c>
      <c r="BL178">
        <v>8.5</v>
      </c>
      <c r="BM178">
        <v>2</v>
      </c>
      <c r="BN178">
        <v>3.0000000000000004</v>
      </c>
      <c r="BO178">
        <v>15</v>
      </c>
      <c r="BP178">
        <v>7.9999999999999988E-2</v>
      </c>
      <c r="BQ178">
        <v>4.4400000000000004</v>
      </c>
      <c r="BR178">
        <v>31</v>
      </c>
      <c r="BS178">
        <v>29.25</v>
      </c>
      <c r="BT178">
        <v>27</v>
      </c>
      <c r="BU178">
        <v>-1.6755866736370795E-2</v>
      </c>
      <c r="BV178">
        <v>31</v>
      </c>
      <c r="BW178">
        <v>-1.864633314740724E-3</v>
      </c>
      <c r="BX178">
        <v>27</v>
      </c>
      <c r="BY178">
        <v>17.432000000000002</v>
      </c>
      <c r="BZ178">
        <v>32</v>
      </c>
      <c r="CA178">
        <v>-3.839999999999999</v>
      </c>
      <c r="CB178">
        <v>1.4210854715202005E-15</v>
      </c>
      <c r="CC178">
        <v>4.88</v>
      </c>
      <c r="CD178">
        <v>3.7600000000000002</v>
      </c>
      <c r="CE178">
        <v>-14.160000000000014</v>
      </c>
      <c r="CF178">
        <v>-57.359999999999992</v>
      </c>
      <c r="CG178">
        <v>1.2799999999999983</v>
      </c>
      <c r="CH178">
        <v>-9</v>
      </c>
      <c r="CI178">
        <v>50.92</v>
      </c>
      <c r="CJ178">
        <v>4</v>
      </c>
      <c r="CK178">
        <v>8.1576000000000004</v>
      </c>
      <c r="CL178">
        <v>2.0192533333333333</v>
      </c>
      <c r="CM178">
        <v>-58.639999999999993</v>
      </c>
      <c r="CN178">
        <v>-8.1576000000000004</v>
      </c>
      <c r="CO178">
        <v>0.76203333333333301</v>
      </c>
      <c r="CP178">
        <v>-8.0933333333333337</v>
      </c>
      <c r="CQ178">
        <v>-49.666666666666664</v>
      </c>
      <c r="CR178">
        <v>-2.0000000000000009</v>
      </c>
      <c r="CS178">
        <v>-3.7600000000000042</v>
      </c>
      <c r="CT178">
        <v>-2.7066666666666652</v>
      </c>
      <c r="CU178">
        <v>-2.5200000000000005</v>
      </c>
      <c r="CV178">
        <v>-0.49357499999999987</v>
      </c>
      <c r="CW178">
        <v>-2.0768249999999999</v>
      </c>
      <c r="CX178" t="s">
        <v>272</v>
      </c>
      <c r="CY178">
        <v>10</v>
      </c>
      <c r="CZ178">
        <v>6.0583999999999989</v>
      </c>
      <c r="DA178">
        <v>25</v>
      </c>
      <c r="DB178">
        <v>23.5</v>
      </c>
      <c r="DC178">
        <v>29</v>
      </c>
      <c r="DD178">
        <v>-2.1559999999999988</v>
      </c>
      <c r="DE178">
        <v>18</v>
      </c>
      <c r="DF178">
        <v>2.0299999999999985</v>
      </c>
      <c r="DG178">
        <v>-1.1299999999999999</v>
      </c>
      <c r="DH178">
        <v>24</v>
      </c>
      <c r="DI178">
        <v>21.5</v>
      </c>
      <c r="DJ178">
        <v>19</v>
      </c>
      <c r="DK178">
        <v>1.6830000000000005</v>
      </c>
      <c r="DL178">
        <v>24</v>
      </c>
      <c r="DM178">
        <v>12.72</v>
      </c>
      <c r="DN178">
        <v>0.7</v>
      </c>
      <c r="DO178">
        <v>1</v>
      </c>
      <c r="DP178">
        <v>4</v>
      </c>
      <c r="DQ178">
        <v>5</v>
      </c>
      <c r="DR178">
        <v>5.0386666666666651</v>
      </c>
      <c r="DS178">
        <v>3</v>
      </c>
      <c r="DT178">
        <v>34.679999999999993</v>
      </c>
      <c r="DU178">
        <v>-0.37333333333333341</v>
      </c>
      <c r="DV178">
        <v>17</v>
      </c>
      <c r="DW178">
        <v>16.5</v>
      </c>
      <c r="DX178">
        <v>19</v>
      </c>
      <c r="DY178">
        <v>-4.3066666666666666</v>
      </c>
      <c r="DZ178">
        <v>14</v>
      </c>
      <c r="EA178">
        <v>-19.880000000000003</v>
      </c>
      <c r="EB178">
        <v>-2.0533333333333332</v>
      </c>
      <c r="EC178">
        <v>6</v>
      </c>
      <c r="ED178">
        <v>8</v>
      </c>
      <c r="EE178">
        <v>6</v>
      </c>
      <c r="EF178">
        <v>2.2239999999999993</v>
      </c>
      <c r="EG178">
        <v>10</v>
      </c>
      <c r="EH178">
        <v>14.12</v>
      </c>
      <c r="EI178">
        <v>1.1199999999999999</v>
      </c>
      <c r="EJ178">
        <v>2</v>
      </c>
      <c r="EK178">
        <v>3.5</v>
      </c>
      <c r="EL178">
        <v>5</v>
      </c>
      <c r="EM178">
        <v>8.2679999999999989</v>
      </c>
      <c r="EN178">
        <v>2</v>
      </c>
      <c r="EO178">
        <v>54.279999999999994</v>
      </c>
      <c r="EP178">
        <v>0.55999999999999983</v>
      </c>
      <c r="EQ178">
        <v>9</v>
      </c>
      <c r="ER178">
        <v>10</v>
      </c>
      <c r="ES178">
        <v>9</v>
      </c>
      <c r="ET178">
        <v>-0.78399999999999914</v>
      </c>
      <c r="EU178">
        <v>11</v>
      </c>
      <c r="EV178">
        <v>-2.6400000000000028</v>
      </c>
      <c r="EW178">
        <v>-1.6</v>
      </c>
      <c r="EX178">
        <v>20</v>
      </c>
      <c r="EY178">
        <v>21</v>
      </c>
      <c r="EZ178">
        <v>18</v>
      </c>
      <c r="FA178">
        <v>0.96000000000000019</v>
      </c>
      <c r="FB178">
        <v>24</v>
      </c>
      <c r="FC178">
        <v>0.23999999999999994</v>
      </c>
      <c r="FD178">
        <v>1.08</v>
      </c>
      <c r="FE178">
        <v>22</v>
      </c>
      <c r="FF178">
        <v>18.25</v>
      </c>
      <c r="FG178">
        <v>13</v>
      </c>
      <c r="FH178">
        <v>-3.0530006037428246E-2</v>
      </c>
      <c r="FI178">
        <v>15</v>
      </c>
      <c r="FJ178">
        <v>-2.7245205774960625E-2</v>
      </c>
      <c r="FK178">
        <v>19</v>
      </c>
      <c r="FL178">
        <v>-5.923999999999995</v>
      </c>
      <c r="FM178">
        <v>26</v>
      </c>
      <c r="FN178">
        <v>-3.96</v>
      </c>
      <c r="FO178">
        <v>-0.72000000000000031</v>
      </c>
      <c r="FP178">
        <v>2.12</v>
      </c>
      <c r="FQ178">
        <v>0.4</v>
      </c>
      <c r="FR178">
        <v>2.0400000000000005</v>
      </c>
      <c r="FS178">
        <v>3.2399999999999998</v>
      </c>
      <c r="FT178">
        <v>0.4799999999999997</v>
      </c>
      <c r="FU178">
        <v>88.879999999999981</v>
      </c>
      <c r="FV178">
        <v>40.360000000000007</v>
      </c>
      <c r="FW178">
        <v>22.68</v>
      </c>
      <c r="FX178">
        <v>4.5999999999999996</v>
      </c>
      <c r="FY178">
        <v>21.240000000000002</v>
      </c>
      <c r="FZ178">
        <v>3</v>
      </c>
      <c r="GA178">
        <v>6.531399999999997</v>
      </c>
      <c r="GB178">
        <v>1.8825799999999981</v>
      </c>
      <c r="GC178">
        <v>17.680000000000007</v>
      </c>
      <c r="GD178">
        <v>-6.531399999999997</v>
      </c>
      <c r="GE178">
        <v>1.0896750000000002</v>
      </c>
      <c r="GF178">
        <v>2.9559999999999977</v>
      </c>
      <c r="GG178">
        <v>28.919999999999987</v>
      </c>
      <c r="GH178">
        <v>-0.47299999999999831</v>
      </c>
      <c r="GI178">
        <v>14.75</v>
      </c>
      <c r="GJ178">
        <v>-2.9066666666666672</v>
      </c>
      <c r="GK178">
        <v>-0.42999999999999994</v>
      </c>
    </row>
    <row r="179" spans="1:193" x14ac:dyDescent="0.2">
      <c r="A179" s="39">
        <v>43779</v>
      </c>
      <c r="B179" s="22" t="s">
        <v>244</v>
      </c>
      <c r="C179" s="41" t="s">
        <v>276</v>
      </c>
      <c r="D179" s="22" t="s">
        <v>281</v>
      </c>
      <c r="E179">
        <v>12.7</v>
      </c>
      <c r="F179">
        <v>11.4</v>
      </c>
      <c r="G179">
        <v>3.9</v>
      </c>
      <c r="H179">
        <v>9.5</v>
      </c>
      <c r="I179">
        <v>3</v>
      </c>
      <c r="J179">
        <v>42</v>
      </c>
      <c r="K179" t="s">
        <v>110</v>
      </c>
      <c r="L179" s="1" t="s">
        <v>276</v>
      </c>
      <c r="M179">
        <v>8</v>
      </c>
      <c r="N179">
        <v>3.1328000000000014</v>
      </c>
      <c r="O179">
        <v>15</v>
      </c>
      <c r="P179">
        <v>16</v>
      </c>
      <c r="Q179">
        <v>21</v>
      </c>
      <c r="R179">
        <v>-5.484</v>
      </c>
      <c r="S179">
        <v>11</v>
      </c>
      <c r="T179">
        <v>-25.24</v>
      </c>
      <c r="U179">
        <v>4.0000000000000036E-2</v>
      </c>
      <c r="V179">
        <v>15</v>
      </c>
      <c r="W179">
        <v>14.5</v>
      </c>
      <c r="X179">
        <v>20</v>
      </c>
      <c r="Y179">
        <v>-2.7400000000000007</v>
      </c>
      <c r="Z179">
        <v>9</v>
      </c>
      <c r="AA179">
        <v>0.28000000000000114</v>
      </c>
      <c r="AB179">
        <v>-1.4400000000000002</v>
      </c>
      <c r="AC179">
        <v>21</v>
      </c>
      <c r="AD179">
        <v>19.5</v>
      </c>
      <c r="AE179">
        <v>14</v>
      </c>
      <c r="AF179">
        <v>-2.5439999999999996</v>
      </c>
      <c r="AG179">
        <v>25</v>
      </c>
      <c r="AH179">
        <v>0.23999999999999916</v>
      </c>
      <c r="AI179">
        <v>0.32000000000000028</v>
      </c>
      <c r="AJ179">
        <v>9</v>
      </c>
      <c r="AK179">
        <v>8.5</v>
      </c>
      <c r="AL179">
        <v>9</v>
      </c>
      <c r="AM179">
        <v>0.53200000000000003</v>
      </c>
      <c r="AN179">
        <v>8</v>
      </c>
      <c r="AO179">
        <v>-8.1999999999999993</v>
      </c>
      <c r="AP179">
        <v>4.0000000000000126E-2</v>
      </c>
      <c r="AQ179">
        <v>13</v>
      </c>
      <c r="AR179">
        <v>14.5</v>
      </c>
      <c r="AS179">
        <v>15</v>
      </c>
      <c r="AT179">
        <v>0.63200000000000023</v>
      </c>
      <c r="AU179">
        <v>14</v>
      </c>
      <c r="AV179">
        <v>7.92</v>
      </c>
      <c r="AW179">
        <v>-0.52</v>
      </c>
      <c r="AX179">
        <v>23</v>
      </c>
      <c r="AY179">
        <v>22.5</v>
      </c>
      <c r="AZ179">
        <v>25</v>
      </c>
      <c r="BA179">
        <v>-1.7720000000000002</v>
      </c>
      <c r="BB179">
        <v>20</v>
      </c>
      <c r="BC179">
        <v>-10.520000000000001</v>
      </c>
      <c r="BD179">
        <v>0</v>
      </c>
      <c r="BE179">
        <v>29</v>
      </c>
      <c r="BF179">
        <v>28.5</v>
      </c>
      <c r="BG179">
        <v>30</v>
      </c>
      <c r="BH179">
        <v>-2.2440000000000002</v>
      </c>
      <c r="BI179">
        <v>-11.319999999999999</v>
      </c>
      <c r="BJ179">
        <v>-0.56000000000000005</v>
      </c>
      <c r="BK179">
        <v>25</v>
      </c>
      <c r="BL179">
        <v>23</v>
      </c>
      <c r="BM179">
        <v>23</v>
      </c>
      <c r="BN179">
        <v>-2.76</v>
      </c>
      <c r="BO179">
        <v>23</v>
      </c>
      <c r="BP179">
        <v>-0.96</v>
      </c>
      <c r="BQ179">
        <v>-2.0000000000000004</v>
      </c>
      <c r="BR179">
        <v>24</v>
      </c>
      <c r="BS179">
        <v>20.75</v>
      </c>
      <c r="BT179">
        <v>25</v>
      </c>
      <c r="BU179">
        <v>-1.2758798067550514E-2</v>
      </c>
      <c r="BV179">
        <v>25</v>
      </c>
      <c r="BW179">
        <v>-3.6485535119917438E-3</v>
      </c>
      <c r="BX179">
        <v>5</v>
      </c>
      <c r="BY179">
        <v>-22.643999999999998</v>
      </c>
      <c r="BZ179">
        <v>28</v>
      </c>
      <c r="CA179">
        <v>-1.6800000000000002</v>
      </c>
      <c r="CB179">
        <v>-3.12</v>
      </c>
      <c r="CC179">
        <v>-3.3600000000000003</v>
      </c>
      <c r="CD179">
        <v>1.08</v>
      </c>
      <c r="CE179">
        <v>-39.08</v>
      </c>
      <c r="CF179">
        <v>-24</v>
      </c>
      <c r="CG179">
        <v>-28.159999999999997</v>
      </c>
      <c r="CH179">
        <v>-3.0800000000000005</v>
      </c>
      <c r="CI179">
        <v>16.16</v>
      </c>
      <c r="CJ179">
        <v>2</v>
      </c>
      <c r="CK179">
        <v>11.356800000000002</v>
      </c>
      <c r="CL179">
        <v>4.0137600000000004</v>
      </c>
      <c r="CM179">
        <v>4.1599999999999966</v>
      </c>
      <c r="CN179">
        <v>-11.356800000000002</v>
      </c>
      <c r="CO179">
        <v>-1.4343999999999997</v>
      </c>
      <c r="CP179">
        <v>-1.3799999999999994</v>
      </c>
      <c r="CQ179">
        <v>-4.0000000000000036E-2</v>
      </c>
      <c r="CR179">
        <v>-8.2240000000000002</v>
      </c>
      <c r="CS179">
        <v>-24.959999999999997</v>
      </c>
      <c r="CT179">
        <v>-0.71999999999999964</v>
      </c>
      <c r="CU179">
        <v>-1.4000000000000001</v>
      </c>
      <c r="CV179">
        <v>0.26013749999999985</v>
      </c>
      <c r="CW179">
        <v>0.41299999999999976</v>
      </c>
      <c r="CX179" t="s">
        <v>281</v>
      </c>
      <c r="CY179">
        <v>11</v>
      </c>
      <c r="CZ179">
        <v>2.4471999999999983</v>
      </c>
      <c r="DA179">
        <v>19</v>
      </c>
      <c r="DB179">
        <v>20</v>
      </c>
      <c r="DC179">
        <v>20</v>
      </c>
      <c r="DD179">
        <v>5.2000000000000671E-2</v>
      </c>
      <c r="DE179">
        <v>20</v>
      </c>
      <c r="DF179">
        <v>17.759999999999998</v>
      </c>
      <c r="DG179">
        <v>-0.88000000000000012</v>
      </c>
      <c r="DH179">
        <v>25</v>
      </c>
      <c r="DI179">
        <v>22.5</v>
      </c>
      <c r="DJ179">
        <v>19</v>
      </c>
      <c r="DK179">
        <v>2.1840000000000002</v>
      </c>
      <c r="DL179">
        <v>26</v>
      </c>
      <c r="DM179">
        <v>2.7999999999999985</v>
      </c>
      <c r="DN179">
        <v>-3.9999999999999904E-2</v>
      </c>
      <c r="DO179">
        <v>10</v>
      </c>
      <c r="DP179">
        <v>12</v>
      </c>
      <c r="DQ179">
        <v>13</v>
      </c>
      <c r="DR179">
        <v>-1.6319999999999992</v>
      </c>
      <c r="DS179">
        <v>11</v>
      </c>
      <c r="DT179">
        <v>-14.079999999999998</v>
      </c>
      <c r="DU179">
        <v>-0.48000000000000009</v>
      </c>
      <c r="DV179">
        <v>21</v>
      </c>
      <c r="DW179">
        <v>22</v>
      </c>
      <c r="DX179">
        <v>21</v>
      </c>
      <c r="DY179">
        <v>-4.1310000000000002</v>
      </c>
      <c r="DZ179">
        <v>23</v>
      </c>
      <c r="EA179">
        <v>-0.56999999999999962</v>
      </c>
      <c r="EB179">
        <v>-0.76</v>
      </c>
      <c r="EC179">
        <v>21</v>
      </c>
      <c r="ED179">
        <v>19.5</v>
      </c>
      <c r="EE179">
        <v>19</v>
      </c>
      <c r="EF179">
        <v>0.86799999999999944</v>
      </c>
      <c r="EG179">
        <v>20</v>
      </c>
      <c r="EH179">
        <v>-6.4799999999999995</v>
      </c>
      <c r="EI179">
        <v>0.52000000000000013</v>
      </c>
      <c r="EJ179">
        <v>10</v>
      </c>
      <c r="EK179">
        <v>11.5</v>
      </c>
      <c r="EL179">
        <v>12</v>
      </c>
      <c r="EM179">
        <v>-2.3919999999999986</v>
      </c>
      <c r="EN179">
        <v>11</v>
      </c>
      <c r="EO179">
        <v>-7.7600000000000033</v>
      </c>
      <c r="EP179">
        <v>-6.56</v>
      </c>
      <c r="EQ179">
        <v>4</v>
      </c>
      <c r="ER179">
        <v>4</v>
      </c>
      <c r="ES179">
        <v>5</v>
      </c>
      <c r="ET179">
        <v>1.7500000000000004</v>
      </c>
      <c r="EU179">
        <v>3</v>
      </c>
      <c r="EV179">
        <v>7.9499999999999975</v>
      </c>
      <c r="EW179">
        <v>-1.4700000000000002</v>
      </c>
      <c r="EX179">
        <v>29</v>
      </c>
      <c r="EY179">
        <v>27</v>
      </c>
      <c r="EZ179">
        <v>30</v>
      </c>
      <c r="FA179">
        <v>-0.68</v>
      </c>
      <c r="FB179">
        <v>24</v>
      </c>
      <c r="FC179">
        <v>0.48000000000000009</v>
      </c>
      <c r="FD179">
        <v>0.76</v>
      </c>
      <c r="FE179">
        <v>9</v>
      </c>
      <c r="FF179">
        <v>12.5</v>
      </c>
      <c r="FG179">
        <v>8</v>
      </c>
      <c r="FH179">
        <v>2.5066245895236643E-2</v>
      </c>
      <c r="FI179">
        <v>16</v>
      </c>
      <c r="FJ179">
        <v>-2.1488701380310655E-3</v>
      </c>
      <c r="FK179">
        <v>7</v>
      </c>
      <c r="FL179">
        <v>5.6</v>
      </c>
      <c r="FM179">
        <v>19</v>
      </c>
      <c r="FN179">
        <v>-3.2800000000000002</v>
      </c>
      <c r="FO179">
        <v>-0.84000000000000052</v>
      </c>
      <c r="FP179">
        <v>-1.6799999999999997</v>
      </c>
      <c r="FQ179">
        <v>0.79999999999999993</v>
      </c>
      <c r="FR179">
        <v>-1</v>
      </c>
      <c r="FS179">
        <v>1.6799999999999997</v>
      </c>
      <c r="FT179">
        <v>0.24000000000000013</v>
      </c>
      <c r="FU179">
        <v>28.639999999999997</v>
      </c>
      <c r="FV179">
        <v>1.6799999999999955</v>
      </c>
      <c r="FW179">
        <v>20.439999999999998</v>
      </c>
      <c r="FX179">
        <v>5.32</v>
      </c>
      <c r="FY179">
        <v>1.2000000000000002</v>
      </c>
      <c r="FZ179">
        <v>15</v>
      </c>
      <c r="GA179">
        <v>0.21119999999999761</v>
      </c>
      <c r="GB179">
        <v>-1.2575600000000007</v>
      </c>
      <c r="GC179">
        <v>-18.760000000000002</v>
      </c>
      <c r="GD179">
        <v>-0.21119999999999761</v>
      </c>
      <c r="GE179">
        <v>0.10727499999999997</v>
      </c>
      <c r="GF179">
        <v>-4.8950000000000005</v>
      </c>
      <c r="GG179">
        <v>-21.13</v>
      </c>
      <c r="GH179">
        <v>2.2360000000000007</v>
      </c>
      <c r="GI179">
        <v>20.559999999999995</v>
      </c>
      <c r="GJ179">
        <v>-2.1900000000000004</v>
      </c>
      <c r="GK179">
        <v>-0.92</v>
      </c>
    </row>
    <row r="180" spans="1:193" x14ac:dyDescent="0.2">
      <c r="A180" s="39">
        <v>43779</v>
      </c>
      <c r="B180" s="22" t="s">
        <v>244</v>
      </c>
      <c r="C180" s="41" t="s">
        <v>301</v>
      </c>
      <c r="D180" s="22" t="s">
        <v>300</v>
      </c>
      <c r="E180">
        <v>24</v>
      </c>
      <c r="F180">
        <v>13.5</v>
      </c>
      <c r="G180">
        <v>3.1</v>
      </c>
      <c r="H180">
        <v>17.8</v>
      </c>
      <c r="I180">
        <v>5</v>
      </c>
      <c r="J180">
        <v>49</v>
      </c>
      <c r="L180" s="1" t="s">
        <v>301</v>
      </c>
      <c r="M180">
        <v>30</v>
      </c>
      <c r="N180">
        <v>-5.0303999999999984</v>
      </c>
      <c r="O180">
        <v>2</v>
      </c>
      <c r="P180">
        <v>3</v>
      </c>
      <c r="Q180">
        <v>1</v>
      </c>
      <c r="R180">
        <v>17.347199999999997</v>
      </c>
      <c r="S180">
        <v>5</v>
      </c>
      <c r="T180">
        <v>42.8</v>
      </c>
      <c r="U180">
        <v>2.0799999999999996</v>
      </c>
      <c r="V180">
        <v>32</v>
      </c>
      <c r="W180">
        <v>31.5</v>
      </c>
      <c r="X180">
        <v>31</v>
      </c>
      <c r="Y180">
        <v>-2.633</v>
      </c>
      <c r="Z180">
        <v>32</v>
      </c>
      <c r="AA180">
        <v>-0.94999999999999862</v>
      </c>
      <c r="AB180">
        <v>-1.1499999999999999</v>
      </c>
      <c r="AC180">
        <v>7</v>
      </c>
      <c r="AD180">
        <v>6.5</v>
      </c>
      <c r="AE180">
        <v>7</v>
      </c>
      <c r="AF180">
        <v>0.28599999999999992</v>
      </c>
      <c r="AG180">
        <v>6</v>
      </c>
      <c r="AH180">
        <v>7.089999999999999</v>
      </c>
      <c r="AI180">
        <v>1.08</v>
      </c>
      <c r="AJ180">
        <v>21</v>
      </c>
      <c r="AK180">
        <v>20.5</v>
      </c>
      <c r="AL180">
        <v>20</v>
      </c>
      <c r="AM180">
        <v>1.6580000000000013</v>
      </c>
      <c r="AN180">
        <v>21</v>
      </c>
      <c r="AO180">
        <v>-4.3400000000000016</v>
      </c>
      <c r="AP180">
        <v>1.1700000000000002</v>
      </c>
      <c r="AQ180">
        <v>23</v>
      </c>
      <c r="AR180">
        <v>23.5</v>
      </c>
      <c r="AS180">
        <v>23</v>
      </c>
      <c r="AT180">
        <v>-3.7719999999999998</v>
      </c>
      <c r="AU180">
        <v>24</v>
      </c>
      <c r="AV180">
        <v>-21.04</v>
      </c>
      <c r="AW180">
        <v>0.4</v>
      </c>
      <c r="AX180">
        <v>24</v>
      </c>
      <c r="AY180">
        <v>25</v>
      </c>
      <c r="AZ180">
        <v>23</v>
      </c>
      <c r="BA180">
        <v>-4.7720000000000002</v>
      </c>
      <c r="BB180">
        <v>27</v>
      </c>
      <c r="BC180">
        <v>-27.720000000000006</v>
      </c>
      <c r="BD180">
        <v>-1.3200000000000003</v>
      </c>
      <c r="BE180">
        <v>20</v>
      </c>
      <c r="BF180">
        <v>22</v>
      </c>
      <c r="BG180">
        <v>20</v>
      </c>
      <c r="BH180">
        <v>-5.3440000000000012</v>
      </c>
      <c r="BI180">
        <v>-7.8</v>
      </c>
      <c r="BJ180">
        <v>-1.2</v>
      </c>
      <c r="BK180">
        <v>32</v>
      </c>
      <c r="BL180">
        <v>31.5</v>
      </c>
      <c r="BM180">
        <v>32</v>
      </c>
      <c r="BN180">
        <v>-0.99999999999999967</v>
      </c>
      <c r="BO180">
        <v>31</v>
      </c>
      <c r="BP180">
        <v>7.9999999999999988E-2</v>
      </c>
      <c r="BQ180">
        <v>1.9999999999999996</v>
      </c>
      <c r="BR180">
        <v>4</v>
      </c>
      <c r="BS180">
        <v>8.5</v>
      </c>
      <c r="BT180">
        <v>4</v>
      </c>
      <c r="BU180">
        <v>7.7824173438987175E-3</v>
      </c>
      <c r="BV180">
        <v>6</v>
      </c>
      <c r="BW180">
        <v>1.2815883339807243E-2</v>
      </c>
      <c r="BX180">
        <v>17</v>
      </c>
      <c r="BY180">
        <v>-4.5439999999999996</v>
      </c>
      <c r="BZ180">
        <v>7</v>
      </c>
      <c r="CA180">
        <v>-0.16000000000000014</v>
      </c>
      <c r="CB180">
        <v>3.1599999999999993</v>
      </c>
      <c r="CC180">
        <v>2.36</v>
      </c>
      <c r="CD180">
        <v>1.1599999999999999</v>
      </c>
      <c r="CE180">
        <v>5.9600000000000026</v>
      </c>
      <c r="CF180">
        <v>-28.28</v>
      </c>
      <c r="CG180">
        <v>42.480000000000004</v>
      </c>
      <c r="CH180">
        <v>3.6</v>
      </c>
      <c r="CI180">
        <v>-11.84</v>
      </c>
      <c r="CJ180">
        <v>32</v>
      </c>
      <c r="CK180">
        <v>-19.744599999999995</v>
      </c>
      <c r="CL180">
        <v>-9.79758</v>
      </c>
      <c r="CM180">
        <v>-70.760000000000005</v>
      </c>
      <c r="CN180">
        <v>19.744599999999998</v>
      </c>
      <c r="CO180">
        <v>0.18897499999999973</v>
      </c>
      <c r="CP180">
        <v>-1.8279999999999985</v>
      </c>
      <c r="CQ180">
        <v>-18.290000000000003</v>
      </c>
      <c r="CR180">
        <v>14.714199999999998</v>
      </c>
      <c r="CS180">
        <v>41.85</v>
      </c>
      <c r="CT180">
        <v>1.45</v>
      </c>
      <c r="CU180">
        <v>0.92999999999999972</v>
      </c>
      <c r="CV180">
        <v>1.2423781250000006</v>
      </c>
      <c r="CW180">
        <v>1.7532000000000005</v>
      </c>
      <c r="CX180" t="s">
        <v>300</v>
      </c>
      <c r="CY180">
        <v>21</v>
      </c>
      <c r="CZ180">
        <v>-0.91279999999999895</v>
      </c>
      <c r="DA180">
        <v>5</v>
      </c>
      <c r="DB180">
        <v>6</v>
      </c>
      <c r="DC180">
        <v>8</v>
      </c>
      <c r="DD180">
        <v>1.3640000000000003</v>
      </c>
      <c r="DE180">
        <v>4</v>
      </c>
      <c r="DF180">
        <v>5.2</v>
      </c>
      <c r="DG180">
        <v>-0.27999999999999997</v>
      </c>
      <c r="DH180">
        <v>9</v>
      </c>
      <c r="DI180">
        <v>11.5</v>
      </c>
      <c r="DJ180">
        <v>19</v>
      </c>
      <c r="DK180">
        <v>-1.4559999999999991</v>
      </c>
      <c r="DL180">
        <v>4</v>
      </c>
      <c r="DM180">
        <v>5.72</v>
      </c>
      <c r="DN180">
        <v>-1.0799999999999998</v>
      </c>
      <c r="DO180">
        <v>23</v>
      </c>
      <c r="DP180">
        <v>27.5</v>
      </c>
      <c r="DQ180">
        <v>29</v>
      </c>
      <c r="DR180">
        <v>1.4712500000000026</v>
      </c>
      <c r="DS180">
        <v>26</v>
      </c>
      <c r="DT180">
        <v>24.512500000000003</v>
      </c>
      <c r="DU180">
        <v>0.70000000000000018</v>
      </c>
      <c r="DV180">
        <v>13</v>
      </c>
      <c r="DW180">
        <v>13.5</v>
      </c>
      <c r="DX180">
        <v>17</v>
      </c>
      <c r="DY180">
        <v>5.4999999999999716E-2</v>
      </c>
      <c r="DZ180">
        <v>10</v>
      </c>
      <c r="EA180">
        <v>6.6500000000000039</v>
      </c>
      <c r="EB180">
        <v>0.10000000000000009</v>
      </c>
      <c r="EC180">
        <v>12</v>
      </c>
      <c r="ED180">
        <v>17</v>
      </c>
      <c r="EE180">
        <v>20</v>
      </c>
      <c r="EF180">
        <v>-0.70499999999999963</v>
      </c>
      <c r="EG180">
        <v>14</v>
      </c>
      <c r="EH180">
        <v>1.1500000000000012</v>
      </c>
      <c r="EI180">
        <v>-1.7000000000000002</v>
      </c>
      <c r="EJ180">
        <v>16</v>
      </c>
      <c r="EK180">
        <v>16</v>
      </c>
      <c r="EL180">
        <v>17</v>
      </c>
      <c r="EM180">
        <v>1.5000000000000007</v>
      </c>
      <c r="EN180">
        <v>15</v>
      </c>
      <c r="EO180">
        <v>6.9999999999999982</v>
      </c>
      <c r="EP180">
        <v>-1.7600000000000002</v>
      </c>
      <c r="EQ180">
        <v>1</v>
      </c>
      <c r="ER180">
        <v>1</v>
      </c>
      <c r="ES180">
        <v>1</v>
      </c>
      <c r="ET180">
        <v>4.3960000000000008</v>
      </c>
      <c r="EU180">
        <v>1</v>
      </c>
      <c r="EV180">
        <v>11.84</v>
      </c>
      <c r="EW180">
        <v>0.76000000000000012</v>
      </c>
      <c r="EX180">
        <v>6</v>
      </c>
      <c r="EY180">
        <v>5</v>
      </c>
      <c r="EZ180">
        <v>2</v>
      </c>
      <c r="FA180">
        <v>1.64</v>
      </c>
      <c r="FB180">
        <v>8</v>
      </c>
      <c r="FC180">
        <v>0.72</v>
      </c>
      <c r="FD180">
        <v>-3.3200000000000003</v>
      </c>
      <c r="FE180">
        <v>29</v>
      </c>
      <c r="FF180">
        <v>24</v>
      </c>
      <c r="FG180">
        <v>17</v>
      </c>
      <c r="FH180">
        <v>-5.3560739412721971E-2</v>
      </c>
      <c r="FI180">
        <v>23</v>
      </c>
      <c r="FJ180">
        <v>8.5568622260432832E-3</v>
      </c>
      <c r="FK180">
        <v>27</v>
      </c>
      <c r="FL180">
        <v>-3.2719999999999998</v>
      </c>
      <c r="FM180">
        <v>29</v>
      </c>
      <c r="FN180">
        <v>-0.4</v>
      </c>
      <c r="FO180">
        <v>-2</v>
      </c>
      <c r="FP180">
        <v>1.2799999999999998</v>
      </c>
      <c r="FQ180">
        <v>0.76</v>
      </c>
      <c r="FR180">
        <v>0.4</v>
      </c>
      <c r="FS180">
        <v>1.2800000000000005</v>
      </c>
      <c r="FT180">
        <v>-1.4</v>
      </c>
      <c r="FU180">
        <v>50.4</v>
      </c>
      <c r="FV180">
        <v>31.160000000000004</v>
      </c>
      <c r="FW180">
        <v>16.119999999999997</v>
      </c>
      <c r="FX180">
        <v>0.48000000000000026</v>
      </c>
      <c r="FY180">
        <v>2.6399999999999997</v>
      </c>
      <c r="FZ180">
        <v>18</v>
      </c>
      <c r="GA180">
        <v>-0.8208000000000002</v>
      </c>
      <c r="GB180">
        <v>0.90689000000000031</v>
      </c>
      <c r="GC180">
        <v>15.040000000000006</v>
      </c>
      <c r="GD180">
        <v>0.8208000000000002</v>
      </c>
      <c r="GE180">
        <v>0.73155625000000069</v>
      </c>
      <c r="GF180">
        <v>0.8212500000000027</v>
      </c>
      <c r="GG180">
        <v>32.312500000000007</v>
      </c>
      <c r="GH180">
        <v>-9.1999999999998749E-2</v>
      </c>
      <c r="GI180">
        <v>10.92</v>
      </c>
      <c r="GJ180">
        <v>-0.13999999999999979</v>
      </c>
      <c r="GK180">
        <v>-1.3599999999999999</v>
      </c>
    </row>
    <row r="181" spans="1:193" x14ac:dyDescent="0.2">
      <c r="A181" s="39">
        <v>43779</v>
      </c>
      <c r="B181" s="22" t="s">
        <v>244</v>
      </c>
      <c r="C181" s="41" t="s">
        <v>265</v>
      </c>
      <c r="D181" s="22" t="s">
        <v>299</v>
      </c>
      <c r="E181">
        <v>14.6</v>
      </c>
      <c r="F181">
        <v>13.8</v>
      </c>
      <c r="G181">
        <v>1.7</v>
      </c>
      <c r="H181">
        <v>8.8000000000000007</v>
      </c>
      <c r="I181">
        <v>-6</v>
      </c>
      <c r="J181">
        <v>38</v>
      </c>
      <c r="L181" s="1" t="s">
        <v>265</v>
      </c>
      <c r="M181">
        <v>29</v>
      </c>
      <c r="N181">
        <v>-4.5792000000000002</v>
      </c>
      <c r="O181">
        <v>20</v>
      </c>
      <c r="P181">
        <v>21</v>
      </c>
      <c r="Q181">
        <v>23</v>
      </c>
      <c r="R181">
        <v>-2.7529999999999997</v>
      </c>
      <c r="S181">
        <v>19</v>
      </c>
      <c r="T181">
        <v>-10.029999999999998</v>
      </c>
      <c r="U181">
        <v>-1.19</v>
      </c>
      <c r="V181">
        <v>13</v>
      </c>
      <c r="W181">
        <v>13.5</v>
      </c>
      <c r="X181">
        <v>7</v>
      </c>
      <c r="Y181">
        <v>0.26199999999999929</v>
      </c>
      <c r="Z181">
        <v>20</v>
      </c>
      <c r="AA181">
        <v>-15.160000000000002</v>
      </c>
      <c r="AB181">
        <v>3.25</v>
      </c>
      <c r="AC181">
        <v>16</v>
      </c>
      <c r="AD181">
        <v>17</v>
      </c>
      <c r="AE181">
        <v>16</v>
      </c>
      <c r="AF181">
        <v>2.8759999999999999</v>
      </c>
      <c r="AG181">
        <v>18</v>
      </c>
      <c r="AH181">
        <v>7.3200000000000021</v>
      </c>
      <c r="AI181">
        <v>1.6800000000000002</v>
      </c>
      <c r="AJ181">
        <v>11</v>
      </c>
      <c r="AK181">
        <v>11</v>
      </c>
      <c r="AL181">
        <v>13</v>
      </c>
      <c r="AM181">
        <v>-3.0359999999999996</v>
      </c>
      <c r="AN181">
        <v>9</v>
      </c>
      <c r="AO181">
        <v>-1.8800000000000012</v>
      </c>
      <c r="AP181">
        <v>-0.31999999999999984</v>
      </c>
      <c r="AQ181">
        <v>26</v>
      </c>
      <c r="AR181">
        <v>26</v>
      </c>
      <c r="AS181">
        <v>26</v>
      </c>
      <c r="AT181">
        <v>-1.0119999999999998</v>
      </c>
      <c r="AU181">
        <v>26</v>
      </c>
      <c r="AV181">
        <v>-6.08</v>
      </c>
      <c r="AW181">
        <v>-0.6</v>
      </c>
      <c r="AX181">
        <v>8</v>
      </c>
      <c r="AY181">
        <v>9</v>
      </c>
      <c r="AZ181">
        <v>9</v>
      </c>
      <c r="BA181">
        <v>5.6719999999999988</v>
      </c>
      <c r="BB181">
        <v>9</v>
      </c>
      <c r="BC181">
        <v>29.520000000000003</v>
      </c>
      <c r="BD181">
        <v>4.5600000000000005</v>
      </c>
      <c r="BE181">
        <v>29</v>
      </c>
      <c r="BF181">
        <v>28.5</v>
      </c>
      <c r="BG181">
        <v>25</v>
      </c>
      <c r="BH181">
        <v>-4.9320000000000004</v>
      </c>
      <c r="BI181">
        <v>-22.640000000000004</v>
      </c>
      <c r="BJ181">
        <v>-1.32</v>
      </c>
      <c r="BK181">
        <v>30</v>
      </c>
      <c r="BL181">
        <v>29.5</v>
      </c>
      <c r="BM181">
        <v>31</v>
      </c>
      <c r="BN181">
        <v>-2.2799999999999998</v>
      </c>
      <c r="BO181">
        <v>28</v>
      </c>
      <c r="BP181">
        <v>-0.52000000000000013</v>
      </c>
      <c r="BQ181">
        <v>-0.27999999999999997</v>
      </c>
      <c r="BR181">
        <v>18</v>
      </c>
      <c r="BS181">
        <v>15.5</v>
      </c>
      <c r="BT181">
        <v>20</v>
      </c>
      <c r="BU181">
        <v>1.560854732544995E-2</v>
      </c>
      <c r="BV181">
        <v>11</v>
      </c>
      <c r="BW181">
        <v>2.6367696093076133E-2</v>
      </c>
      <c r="BX181">
        <v>20</v>
      </c>
      <c r="BY181">
        <v>-7.8320000000000025</v>
      </c>
      <c r="BZ181">
        <v>11</v>
      </c>
      <c r="CA181">
        <v>0.55999999999999994</v>
      </c>
      <c r="CB181">
        <v>-3.5199999999999987</v>
      </c>
      <c r="CC181">
        <v>-4.5200000000000005</v>
      </c>
      <c r="CD181">
        <v>0.83999999999999986</v>
      </c>
      <c r="CE181">
        <v>-66.11999999999999</v>
      </c>
      <c r="CF181">
        <v>-33.4</v>
      </c>
      <c r="CG181">
        <v>-23.96</v>
      </c>
      <c r="CH181">
        <v>-5.68</v>
      </c>
      <c r="CI181">
        <v>-3.08</v>
      </c>
      <c r="CJ181">
        <v>18</v>
      </c>
      <c r="CK181">
        <v>-2.0881999999999996</v>
      </c>
      <c r="CL181">
        <v>-0.8911399999999996</v>
      </c>
      <c r="CM181">
        <v>-9.4399999999999977</v>
      </c>
      <c r="CN181">
        <v>2.0881999999999996</v>
      </c>
      <c r="CO181">
        <v>-1.931775</v>
      </c>
      <c r="CP181">
        <v>-1.1719999999999995</v>
      </c>
      <c r="CQ181">
        <v>-0.63999999999999879</v>
      </c>
      <c r="CR181">
        <v>-2.4910000000000005</v>
      </c>
      <c r="CS181">
        <v>-25.189999999999998</v>
      </c>
      <c r="CT181">
        <v>-0.55999999999999972</v>
      </c>
      <c r="CU181">
        <v>2.06</v>
      </c>
      <c r="CV181">
        <v>0.70042500000000019</v>
      </c>
      <c r="CW181">
        <v>-0.83259999999999956</v>
      </c>
      <c r="CX181" t="s">
        <v>299</v>
      </c>
      <c r="CY181">
        <v>3</v>
      </c>
      <c r="CZ181">
        <v>5.4871999999999996</v>
      </c>
      <c r="DA181">
        <v>14</v>
      </c>
      <c r="DB181">
        <v>16</v>
      </c>
      <c r="DC181">
        <v>14</v>
      </c>
      <c r="DD181">
        <v>0.49240000000000067</v>
      </c>
      <c r="DE181">
        <v>18</v>
      </c>
      <c r="DF181">
        <v>14.959999999999999</v>
      </c>
      <c r="DG181">
        <v>-1.52</v>
      </c>
      <c r="DH181">
        <v>11</v>
      </c>
      <c r="DI181">
        <v>14</v>
      </c>
      <c r="DJ181">
        <v>3</v>
      </c>
      <c r="DK181">
        <v>3.7120000000000006</v>
      </c>
      <c r="DL181">
        <v>25</v>
      </c>
      <c r="DM181">
        <v>8.84</v>
      </c>
      <c r="DN181">
        <v>-0.36</v>
      </c>
      <c r="DO181">
        <v>10</v>
      </c>
      <c r="DP181">
        <v>9.5</v>
      </c>
      <c r="DQ181">
        <v>10</v>
      </c>
      <c r="DR181">
        <v>-6.8000000000000865E-2</v>
      </c>
      <c r="DS181">
        <v>9</v>
      </c>
      <c r="DT181">
        <v>1.2000000000000028</v>
      </c>
      <c r="DU181">
        <v>0.8</v>
      </c>
      <c r="DV181">
        <v>3</v>
      </c>
      <c r="DW181">
        <v>3.5</v>
      </c>
      <c r="DX181">
        <v>4</v>
      </c>
      <c r="DY181">
        <v>6.8599999999999994</v>
      </c>
      <c r="DZ181">
        <v>3</v>
      </c>
      <c r="EA181">
        <v>18.64</v>
      </c>
      <c r="EB181">
        <v>0.96000000000000019</v>
      </c>
      <c r="EC181">
        <v>15</v>
      </c>
      <c r="ED181">
        <v>3.5</v>
      </c>
      <c r="EE181">
        <v>3</v>
      </c>
      <c r="EF181">
        <v>-0.65600000000000003</v>
      </c>
      <c r="EG181">
        <v>4</v>
      </c>
      <c r="EH181">
        <v>-0.2</v>
      </c>
      <c r="EI181">
        <v>-0.4</v>
      </c>
      <c r="EJ181">
        <v>2</v>
      </c>
      <c r="EK181">
        <v>3.5</v>
      </c>
      <c r="EL181">
        <v>3</v>
      </c>
      <c r="EM181">
        <v>5.1720000000000006</v>
      </c>
      <c r="EN181">
        <v>4</v>
      </c>
      <c r="EO181">
        <v>5.3199999999999985</v>
      </c>
      <c r="EP181">
        <v>0.64000000000000024</v>
      </c>
      <c r="EQ181">
        <v>11</v>
      </c>
      <c r="ER181">
        <v>12.5</v>
      </c>
      <c r="ES181">
        <v>8</v>
      </c>
      <c r="ET181">
        <v>3.2</v>
      </c>
      <c r="EU181">
        <v>17</v>
      </c>
      <c r="EV181">
        <v>9.16</v>
      </c>
      <c r="EW181">
        <v>-0.23999999999999985</v>
      </c>
      <c r="EX181">
        <v>12</v>
      </c>
      <c r="EY181">
        <v>12.5</v>
      </c>
      <c r="EZ181">
        <v>7</v>
      </c>
      <c r="FA181">
        <v>-1.1599999999999997</v>
      </c>
      <c r="FB181">
        <v>18</v>
      </c>
      <c r="FC181">
        <v>-0.48</v>
      </c>
      <c r="FD181">
        <v>-0.8</v>
      </c>
      <c r="FE181">
        <v>24</v>
      </c>
      <c r="FF181">
        <v>21</v>
      </c>
      <c r="FG181">
        <v>26</v>
      </c>
      <c r="FH181">
        <v>-1.3540330282671997E-2</v>
      </c>
      <c r="FI181">
        <v>23</v>
      </c>
      <c r="FJ181">
        <v>-7.9522555368686833E-3</v>
      </c>
      <c r="FK181">
        <v>5</v>
      </c>
      <c r="FL181">
        <v>3.7479999999999962</v>
      </c>
      <c r="FM181">
        <v>30</v>
      </c>
      <c r="FN181">
        <v>-2.3199999999999994</v>
      </c>
      <c r="FO181">
        <v>0.3999999999999993</v>
      </c>
      <c r="FP181">
        <v>3.7599999999999993</v>
      </c>
      <c r="FQ181">
        <v>0.16000000000000009</v>
      </c>
      <c r="FR181">
        <v>4.0000000000000018</v>
      </c>
      <c r="FS181">
        <v>5.32</v>
      </c>
      <c r="FT181">
        <v>-1.2</v>
      </c>
      <c r="FU181">
        <v>51.360000000000014</v>
      </c>
      <c r="FV181">
        <v>25.680000000000007</v>
      </c>
      <c r="FW181">
        <v>25.119999999999997</v>
      </c>
      <c r="FX181">
        <v>3.84</v>
      </c>
      <c r="FY181">
        <v>-3.28</v>
      </c>
      <c r="FZ181">
        <v>11</v>
      </c>
      <c r="GA181">
        <v>1.2827999999999982</v>
      </c>
      <c r="GB181">
        <v>0.86243999999999943</v>
      </c>
      <c r="GC181">
        <v>0.56000000000000938</v>
      </c>
      <c r="GD181">
        <v>-1.2827999999999982</v>
      </c>
      <c r="GE181">
        <v>2.2334499999999999</v>
      </c>
      <c r="GF181">
        <v>6.1359999999999992</v>
      </c>
      <c r="GG181">
        <v>19.640000000000004</v>
      </c>
      <c r="GH181">
        <v>4.2044000000000015</v>
      </c>
      <c r="GI181">
        <v>23.799999999999997</v>
      </c>
      <c r="GJ181">
        <v>1.1200000000000006</v>
      </c>
      <c r="GK181">
        <v>-1.88</v>
      </c>
    </row>
    <row r="182" spans="1:193" x14ac:dyDescent="0.2">
      <c r="A182" s="39">
        <v>43779</v>
      </c>
      <c r="B182" s="28" t="s">
        <v>244</v>
      </c>
      <c r="C182" s="17" t="s">
        <v>272</v>
      </c>
      <c r="D182" s="28" t="s">
        <v>305</v>
      </c>
      <c r="E182" s="3">
        <v>12.2</v>
      </c>
      <c r="F182" s="3">
        <v>6.6</v>
      </c>
      <c r="G182" s="3">
        <v>1.9</v>
      </c>
      <c r="H182" s="3">
        <v>11.3</v>
      </c>
      <c r="I182" s="3">
        <v>10.5</v>
      </c>
      <c r="J182" s="3">
        <v>44</v>
      </c>
      <c r="K182" s="3"/>
      <c r="L182" s="1" t="s">
        <v>272</v>
      </c>
      <c r="M182">
        <v>17</v>
      </c>
      <c r="N182">
        <v>-0.16720000000000113</v>
      </c>
      <c r="O182">
        <v>29</v>
      </c>
      <c r="P182">
        <v>28</v>
      </c>
      <c r="Q182">
        <v>26</v>
      </c>
      <c r="R182">
        <v>-2.0640000000000001</v>
      </c>
      <c r="S182">
        <v>30</v>
      </c>
      <c r="T182">
        <v>-5.839999999999999</v>
      </c>
      <c r="U182">
        <v>-1.1599999999999999</v>
      </c>
      <c r="V182">
        <v>24</v>
      </c>
      <c r="W182">
        <v>24</v>
      </c>
      <c r="X182">
        <v>24</v>
      </c>
      <c r="Y182">
        <v>-2.2168000000000001</v>
      </c>
      <c r="Z182">
        <v>24</v>
      </c>
      <c r="AA182">
        <v>-9.76</v>
      </c>
      <c r="AB182">
        <v>0.31999999999999995</v>
      </c>
      <c r="AC182">
        <v>22</v>
      </c>
      <c r="AD182">
        <v>20</v>
      </c>
      <c r="AE182">
        <v>17</v>
      </c>
      <c r="AF182">
        <v>-1.6</v>
      </c>
      <c r="AG182">
        <v>23</v>
      </c>
      <c r="AH182">
        <v>-6.3599999999999994</v>
      </c>
      <c r="AI182">
        <v>1.6799999999999997</v>
      </c>
      <c r="AJ182">
        <v>20</v>
      </c>
      <c r="AK182">
        <v>19</v>
      </c>
      <c r="AL182">
        <v>23</v>
      </c>
      <c r="AM182">
        <v>-8.000000000000184E-3</v>
      </c>
      <c r="AN182">
        <v>15</v>
      </c>
      <c r="AO182">
        <v>7.4399999999999995</v>
      </c>
      <c r="AP182">
        <v>1.1599999999999997</v>
      </c>
      <c r="AQ182">
        <v>2</v>
      </c>
      <c r="AR182">
        <v>2</v>
      </c>
      <c r="AS182">
        <v>2</v>
      </c>
      <c r="AT182">
        <v>5.1959999999999997</v>
      </c>
      <c r="AU182">
        <v>2</v>
      </c>
      <c r="AV182">
        <v>28.640000000000004</v>
      </c>
      <c r="AW182">
        <v>2.6000000000000005</v>
      </c>
      <c r="AX182">
        <v>14</v>
      </c>
      <c r="AY182">
        <v>14.5</v>
      </c>
      <c r="AZ182">
        <v>16</v>
      </c>
      <c r="BA182">
        <v>3.7159999999999997</v>
      </c>
      <c r="BB182">
        <v>13</v>
      </c>
      <c r="BC182">
        <v>21.96</v>
      </c>
      <c r="BD182">
        <v>2.5199999999999996</v>
      </c>
      <c r="BE182">
        <v>17</v>
      </c>
      <c r="BF182">
        <v>17.5</v>
      </c>
      <c r="BG182">
        <v>19</v>
      </c>
      <c r="BH182">
        <v>-2.6360000000000001</v>
      </c>
      <c r="BI182">
        <v>-9.9599999999999991</v>
      </c>
      <c r="BJ182">
        <v>8.0000000000000071E-2</v>
      </c>
      <c r="BK182">
        <v>12</v>
      </c>
      <c r="BL182">
        <v>11.5</v>
      </c>
      <c r="BM182">
        <v>12</v>
      </c>
      <c r="BN182">
        <v>-0.43999999999999984</v>
      </c>
      <c r="BO182">
        <v>11</v>
      </c>
      <c r="BP182">
        <v>-0.36000000000000004</v>
      </c>
      <c r="BQ182">
        <v>-3.96</v>
      </c>
      <c r="BR182">
        <v>10</v>
      </c>
      <c r="BS182">
        <v>12.75</v>
      </c>
      <c r="BT182">
        <v>13</v>
      </c>
      <c r="BU182">
        <v>-3.6277966185013416E-2</v>
      </c>
      <c r="BV182">
        <v>15</v>
      </c>
      <c r="BW182">
        <v>-8.0484146466201587E-3</v>
      </c>
      <c r="BX182">
        <v>11</v>
      </c>
      <c r="BY182">
        <v>-4.484</v>
      </c>
      <c r="BZ182">
        <v>12</v>
      </c>
      <c r="CA182">
        <v>1.08</v>
      </c>
      <c r="CB182">
        <v>2.4799999999999995</v>
      </c>
      <c r="CC182">
        <v>-4.24</v>
      </c>
      <c r="CD182">
        <v>8.8817841970012528E-17</v>
      </c>
      <c r="CE182">
        <v>-10.039999999999997</v>
      </c>
      <c r="CF182">
        <v>5.5200000000000049</v>
      </c>
      <c r="CG182">
        <v>-18.04</v>
      </c>
      <c r="CH182">
        <v>2.04</v>
      </c>
      <c r="CI182">
        <v>0.44000000000000022</v>
      </c>
      <c r="CJ182">
        <v>11</v>
      </c>
      <c r="CK182">
        <v>4.113599999999999</v>
      </c>
      <c r="CL182">
        <v>2.2973599999999998</v>
      </c>
      <c r="CM182">
        <v>23.560000000000002</v>
      </c>
      <c r="CN182">
        <v>-4.113599999999999</v>
      </c>
      <c r="CO182">
        <v>-0.49200000000000027</v>
      </c>
      <c r="CP182">
        <v>3.5879999999999992</v>
      </c>
      <c r="CQ182">
        <v>29.720000000000006</v>
      </c>
      <c r="CR182">
        <v>-4.2808000000000002</v>
      </c>
      <c r="CS182">
        <v>-15.599999999999998</v>
      </c>
      <c r="CT182">
        <v>5.52</v>
      </c>
      <c r="CU182">
        <v>-0.84</v>
      </c>
      <c r="CV182">
        <v>-0.49357499999999987</v>
      </c>
      <c r="CW182">
        <v>1.0896750000000002</v>
      </c>
      <c r="CX182" t="s">
        <v>305</v>
      </c>
      <c r="CY182">
        <v>32</v>
      </c>
      <c r="CZ182">
        <v>-5.0191999999999997</v>
      </c>
      <c r="DA182">
        <v>4</v>
      </c>
      <c r="DB182">
        <v>5.5</v>
      </c>
      <c r="DC182">
        <v>6</v>
      </c>
      <c r="DD182">
        <v>-5.0199999999999978</v>
      </c>
      <c r="DE182">
        <v>5</v>
      </c>
      <c r="DF182">
        <v>-14.120000000000001</v>
      </c>
      <c r="DG182">
        <v>-0.88000000000000012</v>
      </c>
      <c r="DH182">
        <v>27</v>
      </c>
      <c r="DI182">
        <v>24.5</v>
      </c>
      <c r="DJ182">
        <v>29</v>
      </c>
      <c r="DK182">
        <v>-0.70639999999999992</v>
      </c>
      <c r="DL182">
        <v>20</v>
      </c>
      <c r="DM182">
        <v>-3.5599999999999996</v>
      </c>
      <c r="DN182">
        <v>-0.51999999999999991</v>
      </c>
      <c r="DO182">
        <v>20</v>
      </c>
      <c r="DP182">
        <v>25</v>
      </c>
      <c r="DQ182">
        <v>27</v>
      </c>
      <c r="DR182">
        <v>-2.4639999999999995</v>
      </c>
      <c r="DS182">
        <v>23</v>
      </c>
      <c r="DT182">
        <v>-12.760000000000002</v>
      </c>
      <c r="DU182">
        <v>-1.28</v>
      </c>
      <c r="DV182">
        <v>16</v>
      </c>
      <c r="DW182">
        <v>16</v>
      </c>
      <c r="DX182">
        <v>12</v>
      </c>
      <c r="DY182">
        <v>-0.48699999999999954</v>
      </c>
      <c r="DZ182">
        <v>20</v>
      </c>
      <c r="EA182">
        <v>7.0000000000000284E-2</v>
      </c>
      <c r="EB182">
        <v>2.4000000000000004</v>
      </c>
      <c r="EC182">
        <v>22</v>
      </c>
      <c r="ED182">
        <v>29</v>
      </c>
      <c r="EE182">
        <v>31</v>
      </c>
      <c r="EF182">
        <v>-1.8959999999999995</v>
      </c>
      <c r="EG182">
        <v>27</v>
      </c>
      <c r="EH182">
        <v>-8.1999999999999993</v>
      </c>
      <c r="EI182">
        <v>-0.12000000000000002</v>
      </c>
      <c r="EJ182">
        <v>26</v>
      </c>
      <c r="EK182">
        <v>26.5</v>
      </c>
      <c r="EL182">
        <v>23</v>
      </c>
      <c r="EM182">
        <v>-1.1000000000000003</v>
      </c>
      <c r="EN182">
        <v>30</v>
      </c>
      <c r="EO182">
        <v>-10.040000000000003</v>
      </c>
      <c r="EP182">
        <v>-3.9999999999999991</v>
      </c>
      <c r="EQ182">
        <v>31</v>
      </c>
      <c r="ER182">
        <v>30.5</v>
      </c>
      <c r="ES182">
        <v>30</v>
      </c>
      <c r="ET182">
        <v>-1.4220000000000002</v>
      </c>
      <c r="EU182">
        <v>31</v>
      </c>
      <c r="EV182">
        <v>-7.2899999999999991</v>
      </c>
      <c r="EW182">
        <v>-0.3500000000000002</v>
      </c>
      <c r="EX182">
        <v>23</v>
      </c>
      <c r="EY182">
        <v>22.5</v>
      </c>
      <c r="EZ182">
        <v>27</v>
      </c>
      <c r="FA182">
        <v>0.4</v>
      </c>
      <c r="FB182">
        <v>18</v>
      </c>
      <c r="FC182">
        <v>0.27999999999999997</v>
      </c>
      <c r="FD182">
        <v>-3.839999999999999</v>
      </c>
      <c r="FE182">
        <v>5</v>
      </c>
      <c r="FF182">
        <v>9.75</v>
      </c>
      <c r="FG182">
        <v>15</v>
      </c>
      <c r="FH182">
        <v>1.1435172095658752E-2</v>
      </c>
      <c r="FI182">
        <v>8</v>
      </c>
      <c r="FJ182">
        <v>-9.8586575028799753E-3</v>
      </c>
      <c r="FK182">
        <v>15</v>
      </c>
      <c r="FL182">
        <v>-10.872</v>
      </c>
      <c r="FM182">
        <v>1</v>
      </c>
      <c r="FN182">
        <v>4.4400000000000004</v>
      </c>
      <c r="FO182">
        <v>-0.27999999999999969</v>
      </c>
      <c r="FP182">
        <v>-2.88</v>
      </c>
      <c r="FQ182">
        <v>-0.6</v>
      </c>
      <c r="FR182">
        <v>-4.32</v>
      </c>
      <c r="FS182">
        <v>-4.08</v>
      </c>
      <c r="FT182">
        <v>-0.92000000000000015</v>
      </c>
      <c r="FU182">
        <v>-45.320000000000007</v>
      </c>
      <c r="FV182">
        <v>-30.280000000000008</v>
      </c>
      <c r="FW182">
        <v>-19.52</v>
      </c>
      <c r="FX182">
        <v>1.6</v>
      </c>
      <c r="FY182">
        <v>2.88</v>
      </c>
      <c r="FZ182">
        <v>14</v>
      </c>
      <c r="GA182">
        <v>0.70719999999999805</v>
      </c>
      <c r="GB182">
        <v>0.60555999999999965</v>
      </c>
      <c r="GC182">
        <v>-10.760000000000009</v>
      </c>
      <c r="GD182">
        <v>-0.7071999999999985</v>
      </c>
      <c r="GE182">
        <v>-2.0768249999999999</v>
      </c>
      <c r="GF182">
        <v>-4.8469999999999986</v>
      </c>
      <c r="GG182">
        <v>-20.89</v>
      </c>
      <c r="GH182">
        <v>-5.7263999999999982</v>
      </c>
      <c r="GI182">
        <v>-17.68</v>
      </c>
      <c r="GJ182">
        <v>0.65</v>
      </c>
      <c r="GK182">
        <v>-1.4</v>
      </c>
    </row>
    <row r="183" spans="1:193" x14ac:dyDescent="0.2">
      <c r="A183" s="39">
        <v>43779</v>
      </c>
      <c r="B183" s="22" t="s">
        <v>244</v>
      </c>
      <c r="C183" s="41" t="s">
        <v>281</v>
      </c>
      <c r="D183" s="22" t="s">
        <v>276</v>
      </c>
      <c r="E183">
        <v>10.7</v>
      </c>
      <c r="F183">
        <v>24.7</v>
      </c>
      <c r="G183">
        <v>7.7</v>
      </c>
      <c r="H183">
        <v>4.8</v>
      </c>
      <c r="I183">
        <v>-3</v>
      </c>
      <c r="J183">
        <v>42</v>
      </c>
      <c r="K183" t="s">
        <v>110</v>
      </c>
      <c r="L183" s="1" t="s">
        <v>281</v>
      </c>
      <c r="M183">
        <v>15</v>
      </c>
      <c r="N183">
        <v>0.23960000000000009</v>
      </c>
      <c r="O183">
        <v>5</v>
      </c>
      <c r="P183">
        <v>7</v>
      </c>
      <c r="Q183">
        <v>8</v>
      </c>
      <c r="R183">
        <v>2.984</v>
      </c>
      <c r="S183">
        <v>6</v>
      </c>
      <c r="T183">
        <v>32.480000000000004</v>
      </c>
      <c r="U183">
        <v>7.9999999999999807E-2</v>
      </c>
      <c r="V183">
        <v>4</v>
      </c>
      <c r="W183">
        <v>6</v>
      </c>
      <c r="X183">
        <v>6</v>
      </c>
      <c r="Y183">
        <v>0.39200000000000018</v>
      </c>
      <c r="Z183">
        <v>6</v>
      </c>
      <c r="AA183">
        <v>-8.56</v>
      </c>
      <c r="AB183">
        <v>1.36</v>
      </c>
      <c r="AC183">
        <v>25</v>
      </c>
      <c r="AD183">
        <v>24.5</v>
      </c>
      <c r="AE183">
        <v>25</v>
      </c>
      <c r="AF183">
        <v>-0.18400000000000069</v>
      </c>
      <c r="AG183">
        <v>24</v>
      </c>
      <c r="AH183">
        <v>4.8800000000000008</v>
      </c>
      <c r="AI183">
        <v>1.7200000000000002</v>
      </c>
      <c r="AJ183">
        <v>1</v>
      </c>
      <c r="AK183">
        <v>2.5</v>
      </c>
      <c r="AL183">
        <v>1</v>
      </c>
      <c r="AM183">
        <v>5.395999999999999</v>
      </c>
      <c r="AN183">
        <v>4</v>
      </c>
      <c r="AO183">
        <v>27.119999999999997</v>
      </c>
      <c r="AP183">
        <v>2.2000000000000002</v>
      </c>
      <c r="AQ183">
        <v>18</v>
      </c>
      <c r="AR183">
        <v>17.5</v>
      </c>
      <c r="AS183">
        <v>19</v>
      </c>
      <c r="AT183">
        <v>-0.24799999999999986</v>
      </c>
      <c r="AU183">
        <v>16</v>
      </c>
      <c r="AV183">
        <v>-4.8400000000000007</v>
      </c>
      <c r="AW183">
        <v>0.12000000000000002</v>
      </c>
      <c r="AX183">
        <v>15</v>
      </c>
      <c r="AY183">
        <v>15.5</v>
      </c>
      <c r="AZ183">
        <v>15</v>
      </c>
      <c r="BA183">
        <v>0.25200000000000067</v>
      </c>
      <c r="BB183">
        <v>16</v>
      </c>
      <c r="BC183">
        <v>1.319999999999999</v>
      </c>
      <c r="BD183">
        <v>-0.51999999999999991</v>
      </c>
      <c r="BE183">
        <v>23</v>
      </c>
      <c r="BF183">
        <v>23</v>
      </c>
      <c r="BG183">
        <v>21</v>
      </c>
      <c r="BH183">
        <v>-1.6480000000000004</v>
      </c>
      <c r="BI183">
        <v>-15.36</v>
      </c>
      <c r="BJ183">
        <v>-1.8</v>
      </c>
      <c r="BK183">
        <v>4</v>
      </c>
      <c r="BL183">
        <v>7</v>
      </c>
      <c r="BM183">
        <v>7</v>
      </c>
      <c r="BN183">
        <v>0.52000000000000013</v>
      </c>
      <c r="BO183">
        <v>7</v>
      </c>
      <c r="BP183">
        <v>-3.9999999999999945E-2</v>
      </c>
      <c r="BQ183">
        <v>-3.2800000000000002</v>
      </c>
      <c r="BR183">
        <v>30</v>
      </c>
      <c r="BS183">
        <v>29</v>
      </c>
      <c r="BT183">
        <v>31</v>
      </c>
      <c r="BU183">
        <v>-2.3078384150267493E-2</v>
      </c>
      <c r="BV183">
        <v>30</v>
      </c>
      <c r="BW183">
        <v>-4.2080969707410723E-3</v>
      </c>
      <c r="BX183">
        <v>24</v>
      </c>
      <c r="BY183">
        <v>-1.5639999999999972</v>
      </c>
      <c r="BZ183">
        <v>31</v>
      </c>
      <c r="CA183">
        <v>0.76</v>
      </c>
      <c r="CB183">
        <v>0.75999999999999945</v>
      </c>
      <c r="CC183">
        <v>0.28000000000000008</v>
      </c>
      <c r="CD183">
        <v>-2.04</v>
      </c>
      <c r="CE183">
        <v>15.4</v>
      </c>
      <c r="CF183">
        <v>2.960000000000008</v>
      </c>
      <c r="CG183">
        <v>20.36</v>
      </c>
      <c r="CH183">
        <v>-3.7999999999999994</v>
      </c>
      <c r="CI183">
        <v>-4.12</v>
      </c>
      <c r="CJ183">
        <v>22</v>
      </c>
      <c r="CK183">
        <v>-3.1364000000000001</v>
      </c>
      <c r="CL183">
        <v>-0.97688000000000064</v>
      </c>
      <c r="CM183">
        <v>-17.399999999999991</v>
      </c>
      <c r="CN183">
        <v>3.1364000000000001</v>
      </c>
      <c r="CO183">
        <v>0.93144999999999989</v>
      </c>
      <c r="CP183">
        <v>4.9639999999999977</v>
      </c>
      <c r="CQ183">
        <v>27.16</v>
      </c>
      <c r="CR183">
        <v>3.3760000000000003</v>
      </c>
      <c r="CS183">
        <v>23.92</v>
      </c>
      <c r="CT183">
        <v>2.2400000000000002</v>
      </c>
      <c r="CU183">
        <v>1.44</v>
      </c>
      <c r="CV183">
        <v>0.26013749999999985</v>
      </c>
      <c r="CW183">
        <v>0.10727499999999997</v>
      </c>
      <c r="CX183" t="s">
        <v>276</v>
      </c>
      <c r="CY183">
        <v>24</v>
      </c>
      <c r="CZ183">
        <v>-0.18799999999999989</v>
      </c>
      <c r="DA183">
        <v>10</v>
      </c>
      <c r="DB183">
        <v>10.5</v>
      </c>
      <c r="DC183">
        <v>8</v>
      </c>
      <c r="DD183">
        <v>2.2000000000000006</v>
      </c>
      <c r="DE183">
        <v>13</v>
      </c>
      <c r="DF183">
        <v>13.280000000000001</v>
      </c>
      <c r="DG183">
        <v>-0.28000000000000008</v>
      </c>
      <c r="DH183">
        <v>3</v>
      </c>
      <c r="DI183">
        <v>6</v>
      </c>
      <c r="DJ183">
        <v>2</v>
      </c>
      <c r="DK183">
        <v>3.6839999999999997</v>
      </c>
      <c r="DL183">
        <v>10</v>
      </c>
      <c r="DM183">
        <v>19.279999999999998</v>
      </c>
      <c r="DN183">
        <v>0.91999999999999993</v>
      </c>
      <c r="DO183">
        <v>17</v>
      </c>
      <c r="DP183">
        <v>19</v>
      </c>
      <c r="DQ183">
        <v>20</v>
      </c>
      <c r="DR183">
        <v>-1.7400000000000013</v>
      </c>
      <c r="DS183">
        <v>18</v>
      </c>
      <c r="DT183">
        <v>0.91999999999999882</v>
      </c>
      <c r="DU183">
        <v>0.15999999999999998</v>
      </c>
      <c r="DV183">
        <v>20</v>
      </c>
      <c r="DW183">
        <v>19</v>
      </c>
      <c r="DX183">
        <v>20</v>
      </c>
      <c r="DY183">
        <v>3.0519999999999996</v>
      </c>
      <c r="DZ183">
        <v>18</v>
      </c>
      <c r="EA183">
        <v>5.32</v>
      </c>
      <c r="EB183">
        <v>0.99999999999999967</v>
      </c>
      <c r="EC183">
        <v>8</v>
      </c>
      <c r="ED183">
        <v>21</v>
      </c>
      <c r="EE183">
        <v>11</v>
      </c>
      <c r="EF183">
        <v>0.25200000000000011</v>
      </c>
      <c r="EG183">
        <v>31</v>
      </c>
      <c r="EH183">
        <v>1.7199999999999995</v>
      </c>
      <c r="EI183">
        <v>-1.3200000000000003</v>
      </c>
      <c r="EJ183">
        <v>20</v>
      </c>
      <c r="EK183">
        <v>19</v>
      </c>
      <c r="EL183">
        <v>19</v>
      </c>
      <c r="EM183">
        <v>-3.0880000000000001</v>
      </c>
      <c r="EN183">
        <v>19</v>
      </c>
      <c r="EO183">
        <v>-10.08</v>
      </c>
      <c r="EP183">
        <v>-1.0000000000000004</v>
      </c>
      <c r="EQ183">
        <v>32</v>
      </c>
      <c r="ER183">
        <v>32</v>
      </c>
      <c r="ES183">
        <v>32</v>
      </c>
      <c r="ET183">
        <v>-3.3960000000000008</v>
      </c>
      <c r="EU183">
        <v>32</v>
      </c>
      <c r="EV183">
        <v>-13.639999999999997</v>
      </c>
      <c r="EW183">
        <v>-2.2399999999999998</v>
      </c>
      <c r="EX183">
        <v>32</v>
      </c>
      <c r="EY183">
        <v>32</v>
      </c>
      <c r="EZ183">
        <v>32</v>
      </c>
      <c r="FA183">
        <v>-0.55999999999999994</v>
      </c>
      <c r="FB183">
        <v>32</v>
      </c>
      <c r="FC183">
        <v>0.31999999999999995</v>
      </c>
      <c r="FD183">
        <v>-1.6800000000000002</v>
      </c>
      <c r="FE183">
        <v>7</v>
      </c>
      <c r="FF183">
        <v>12.25</v>
      </c>
      <c r="FG183">
        <v>24</v>
      </c>
      <c r="FH183">
        <v>-2.9424667121040306E-3</v>
      </c>
      <c r="FI183">
        <v>3</v>
      </c>
      <c r="FJ183">
        <v>-4.4215036144920981E-3</v>
      </c>
      <c r="FK183">
        <v>17</v>
      </c>
      <c r="FL183">
        <v>-0.92000000000000171</v>
      </c>
      <c r="FM183">
        <v>5</v>
      </c>
      <c r="FN183">
        <v>-2.0000000000000004</v>
      </c>
      <c r="FO183">
        <v>-2.7600000000000007</v>
      </c>
      <c r="FP183">
        <v>2.6000000000000005</v>
      </c>
      <c r="FQ183">
        <v>1.44</v>
      </c>
      <c r="FR183">
        <v>1.0399999999999991</v>
      </c>
      <c r="FS183">
        <v>1.3200000000000003</v>
      </c>
      <c r="FT183">
        <v>-0.6399999999999999</v>
      </c>
      <c r="FU183">
        <v>27.240000000000002</v>
      </c>
      <c r="FV183">
        <v>-4</v>
      </c>
      <c r="FW183">
        <v>30.919999999999998</v>
      </c>
      <c r="FX183">
        <v>-1.8399999999999999</v>
      </c>
      <c r="FY183">
        <v>2.1599999999999997</v>
      </c>
      <c r="FZ183">
        <v>26</v>
      </c>
      <c r="GA183">
        <v>-6.0720000000000001</v>
      </c>
      <c r="GB183">
        <v>-3.3460000000000005</v>
      </c>
      <c r="GC183">
        <v>-34.92</v>
      </c>
      <c r="GD183">
        <v>6.0720000000000001</v>
      </c>
      <c r="GE183">
        <v>0.41299999999999976</v>
      </c>
      <c r="GF183">
        <v>1.5639999999999983</v>
      </c>
      <c r="GG183">
        <v>7.9599999999999991</v>
      </c>
      <c r="GH183">
        <v>5.8840000000000003</v>
      </c>
      <c r="GI183">
        <v>32.56</v>
      </c>
      <c r="GJ183">
        <v>-2.4000000000000004</v>
      </c>
      <c r="GK183">
        <v>0.6399999999999999</v>
      </c>
    </row>
    <row r="184" spans="1:193" x14ac:dyDescent="0.2">
      <c r="A184" s="39">
        <v>43779</v>
      </c>
      <c r="B184" s="22" t="s">
        <v>244</v>
      </c>
      <c r="C184" s="41" t="s">
        <v>291</v>
      </c>
      <c r="D184" s="22" t="s">
        <v>312</v>
      </c>
      <c r="E184">
        <v>34.700000000000003</v>
      </c>
      <c r="F184">
        <v>17.600000000000001</v>
      </c>
      <c r="G184">
        <v>25.6</v>
      </c>
      <c r="H184">
        <f>6.5+3.7</f>
        <v>10.199999999999999</v>
      </c>
      <c r="I184">
        <v>-3.5</v>
      </c>
      <c r="J184">
        <v>48.5</v>
      </c>
      <c r="L184" s="1" t="s">
        <v>291</v>
      </c>
      <c r="M184">
        <v>4</v>
      </c>
      <c r="N184">
        <v>4.9191999999999991</v>
      </c>
      <c r="O184">
        <v>5</v>
      </c>
      <c r="P184">
        <v>7</v>
      </c>
      <c r="Q184">
        <v>6</v>
      </c>
      <c r="R184">
        <v>3.032</v>
      </c>
      <c r="S184">
        <v>8</v>
      </c>
      <c r="T184">
        <v>25.160000000000004</v>
      </c>
      <c r="U184">
        <v>-0.19999999999999982</v>
      </c>
      <c r="V184">
        <v>27</v>
      </c>
      <c r="W184">
        <v>27.5</v>
      </c>
      <c r="X184">
        <v>28</v>
      </c>
      <c r="Y184">
        <v>-3.149</v>
      </c>
      <c r="Z184">
        <v>27</v>
      </c>
      <c r="AA184">
        <v>-4.07</v>
      </c>
      <c r="AB184">
        <v>-1.03</v>
      </c>
      <c r="AC184">
        <v>10</v>
      </c>
      <c r="AD184">
        <v>12</v>
      </c>
      <c r="AE184">
        <v>12</v>
      </c>
      <c r="AF184">
        <v>11.442500000000001</v>
      </c>
      <c r="AG184">
        <v>12</v>
      </c>
      <c r="AH184">
        <v>60.012500000000003</v>
      </c>
      <c r="AI184">
        <v>2.3500000000000005</v>
      </c>
      <c r="AJ184">
        <v>10</v>
      </c>
      <c r="AK184">
        <v>9</v>
      </c>
      <c r="AL184">
        <v>11</v>
      </c>
      <c r="AM184">
        <v>-0.43399999999999822</v>
      </c>
      <c r="AN184">
        <v>7</v>
      </c>
      <c r="AO184">
        <v>0.57999999999999829</v>
      </c>
      <c r="AP184">
        <v>1.53</v>
      </c>
      <c r="AQ184">
        <v>1</v>
      </c>
      <c r="AR184">
        <v>1</v>
      </c>
      <c r="AS184">
        <v>1</v>
      </c>
      <c r="AT184">
        <v>4.6479999999999997</v>
      </c>
      <c r="AU184">
        <v>1</v>
      </c>
      <c r="AV184">
        <v>23.679999999999996</v>
      </c>
      <c r="AW184">
        <v>2.6</v>
      </c>
      <c r="AX184">
        <v>2</v>
      </c>
      <c r="AY184">
        <v>3.5</v>
      </c>
      <c r="AZ184">
        <v>3</v>
      </c>
      <c r="BA184">
        <v>3.1280000000000001</v>
      </c>
      <c r="BB184">
        <v>4</v>
      </c>
      <c r="BC184">
        <v>31.04</v>
      </c>
      <c r="BD184">
        <v>-1.4400000000000006</v>
      </c>
      <c r="BE184">
        <v>8</v>
      </c>
      <c r="BF184">
        <v>7</v>
      </c>
      <c r="BG184">
        <v>7</v>
      </c>
      <c r="BH184">
        <v>3.0439999999999987</v>
      </c>
      <c r="BI184">
        <v>7.8399999999999981</v>
      </c>
      <c r="BJ184">
        <v>1.4</v>
      </c>
      <c r="BK184">
        <v>11</v>
      </c>
      <c r="BL184">
        <v>9.5</v>
      </c>
      <c r="BM184">
        <v>14</v>
      </c>
      <c r="BN184">
        <v>2.16</v>
      </c>
      <c r="BO184">
        <v>5</v>
      </c>
      <c r="BP184">
        <v>0.76</v>
      </c>
      <c r="BQ184">
        <v>-0.23999999999999969</v>
      </c>
      <c r="BR184">
        <v>26</v>
      </c>
      <c r="BS184">
        <v>22.25</v>
      </c>
      <c r="BT184">
        <v>18</v>
      </c>
      <c r="BU184">
        <v>5.560643233842881E-2</v>
      </c>
      <c r="BV184">
        <v>32</v>
      </c>
      <c r="BW184">
        <v>-3.7083501232900842E-2</v>
      </c>
      <c r="BX184">
        <v>16</v>
      </c>
      <c r="BY184">
        <v>7.3119999999999958</v>
      </c>
      <c r="BZ184">
        <v>23</v>
      </c>
      <c r="CA184">
        <v>-4</v>
      </c>
      <c r="CB184">
        <v>5.9999999999999982</v>
      </c>
      <c r="CC184">
        <v>4.0399999999999991</v>
      </c>
      <c r="CD184">
        <v>3.9999999999999994E-2</v>
      </c>
      <c r="CE184">
        <v>85.4</v>
      </c>
      <c r="CF184">
        <v>60.639999999999986</v>
      </c>
      <c r="CG184">
        <v>15.76</v>
      </c>
      <c r="CH184">
        <v>3.88</v>
      </c>
      <c r="CI184">
        <v>5.12</v>
      </c>
      <c r="CJ184">
        <v>10</v>
      </c>
      <c r="CK184">
        <v>5.0361999999999991</v>
      </c>
      <c r="CL184">
        <v>4.7824400000000011</v>
      </c>
      <c r="CM184">
        <v>44.879999999999988</v>
      </c>
      <c r="CN184">
        <v>-5.0361999999999991</v>
      </c>
      <c r="CO184">
        <v>3.2078375000000006</v>
      </c>
      <c r="CP184">
        <v>15.656500000000003</v>
      </c>
      <c r="CQ184">
        <v>84.272499999999994</v>
      </c>
      <c r="CR184">
        <v>-0.11699999999999999</v>
      </c>
      <c r="CS184">
        <v>21.090000000000003</v>
      </c>
      <c r="CT184">
        <v>7.8800000000000008</v>
      </c>
      <c r="CU184">
        <v>-1.2299999999999998</v>
      </c>
      <c r="CV184">
        <v>0.55797499999999989</v>
      </c>
      <c r="CW184">
        <v>-0.26125000000000037</v>
      </c>
      <c r="CX184" t="s">
        <v>312</v>
      </c>
      <c r="CY184">
        <v>7</v>
      </c>
      <c r="CZ184">
        <v>1.4576000000000007</v>
      </c>
      <c r="DA184">
        <v>22</v>
      </c>
      <c r="DB184">
        <v>21.5</v>
      </c>
      <c r="DC184">
        <v>22</v>
      </c>
      <c r="DD184">
        <v>-0.13999999999999951</v>
      </c>
      <c r="DE184">
        <v>21</v>
      </c>
      <c r="DF184">
        <v>10.8</v>
      </c>
      <c r="DG184">
        <v>-0.27999999999999997</v>
      </c>
      <c r="DH184">
        <v>8</v>
      </c>
      <c r="DI184">
        <v>11</v>
      </c>
      <c r="DJ184">
        <v>9</v>
      </c>
      <c r="DK184">
        <v>0.66399999999999992</v>
      </c>
      <c r="DL184">
        <v>13</v>
      </c>
      <c r="DM184">
        <v>-4.5600000000000005</v>
      </c>
      <c r="DN184">
        <v>-0.20000000000000009</v>
      </c>
      <c r="DO184">
        <v>6</v>
      </c>
      <c r="DP184">
        <v>14.5</v>
      </c>
      <c r="DQ184">
        <v>15</v>
      </c>
      <c r="DR184">
        <v>-1.1399999999999992</v>
      </c>
      <c r="DS184">
        <v>14</v>
      </c>
      <c r="DT184">
        <v>-6.3999999999999968</v>
      </c>
      <c r="DU184">
        <v>-7.9999999999999544E-2</v>
      </c>
      <c r="DV184">
        <v>4</v>
      </c>
      <c r="DW184">
        <v>5</v>
      </c>
      <c r="DX184">
        <v>3</v>
      </c>
      <c r="DY184">
        <v>5.1039999999999992</v>
      </c>
      <c r="DZ184">
        <v>7</v>
      </c>
      <c r="EA184">
        <v>9.32</v>
      </c>
      <c r="EB184">
        <v>2.2399999999999993</v>
      </c>
      <c r="EC184">
        <v>3</v>
      </c>
      <c r="ED184">
        <v>1</v>
      </c>
      <c r="EE184">
        <v>1</v>
      </c>
      <c r="EF184">
        <v>3.008</v>
      </c>
      <c r="EG184">
        <v>1</v>
      </c>
      <c r="EH184">
        <v>11.040000000000001</v>
      </c>
      <c r="EI184">
        <v>1.44</v>
      </c>
      <c r="EJ184">
        <v>13</v>
      </c>
      <c r="EK184">
        <v>12.5</v>
      </c>
      <c r="EL184">
        <v>13</v>
      </c>
      <c r="EM184">
        <v>-2.6760000000000002</v>
      </c>
      <c r="EN184">
        <v>12</v>
      </c>
      <c r="EO184">
        <v>-10.760000000000002</v>
      </c>
      <c r="EP184">
        <v>0.32000000000000028</v>
      </c>
      <c r="EQ184">
        <v>18</v>
      </c>
      <c r="ER184">
        <v>16</v>
      </c>
      <c r="ES184">
        <v>20</v>
      </c>
      <c r="ET184">
        <v>-0.29599999999999999</v>
      </c>
      <c r="EU184">
        <v>12</v>
      </c>
      <c r="EV184">
        <v>2.240000000000002</v>
      </c>
      <c r="EW184">
        <v>2.08</v>
      </c>
      <c r="EX184">
        <v>11</v>
      </c>
      <c r="EY184">
        <v>12</v>
      </c>
      <c r="EZ184">
        <v>11</v>
      </c>
      <c r="FA184">
        <v>2.36</v>
      </c>
      <c r="FB184">
        <v>13</v>
      </c>
      <c r="FC184">
        <v>0.3199999999999999</v>
      </c>
      <c r="FD184">
        <v>-5.44</v>
      </c>
      <c r="FE184">
        <v>7</v>
      </c>
      <c r="FF184">
        <v>12.25</v>
      </c>
      <c r="FG184">
        <v>19</v>
      </c>
      <c r="FH184">
        <v>1.9234712710372647E-2</v>
      </c>
      <c r="FI184">
        <v>13</v>
      </c>
      <c r="FJ184">
        <v>9.0903818360350171E-3</v>
      </c>
      <c r="FK184">
        <v>1</v>
      </c>
      <c r="FL184">
        <v>-17.284000000000002</v>
      </c>
      <c r="FM184">
        <v>16</v>
      </c>
      <c r="FN184">
        <v>-0.31999999999999973</v>
      </c>
      <c r="FO184">
        <v>2.919999999999999</v>
      </c>
      <c r="FP184">
        <v>-2.4399999999999995</v>
      </c>
      <c r="FQ184">
        <v>-1.8</v>
      </c>
      <c r="FR184">
        <v>-0.56000000000000227</v>
      </c>
      <c r="FS184">
        <v>1.3999999999999997</v>
      </c>
      <c r="FT184">
        <v>-1.6799999999999997</v>
      </c>
      <c r="FU184">
        <v>24.32</v>
      </c>
      <c r="FV184">
        <v>24.919999999999998</v>
      </c>
      <c r="FW184">
        <v>6.3199999999999985</v>
      </c>
      <c r="FX184">
        <v>-2.4</v>
      </c>
      <c r="FY184">
        <v>-4.5200000000000005</v>
      </c>
      <c r="FZ184">
        <v>13</v>
      </c>
      <c r="GA184">
        <v>0.93360000000000021</v>
      </c>
      <c r="GB184">
        <v>1.3647199999999999</v>
      </c>
      <c r="GC184">
        <v>18.600000000000001</v>
      </c>
      <c r="GD184">
        <v>-0.93360000000000021</v>
      </c>
      <c r="GE184">
        <v>1.3772000000000002</v>
      </c>
      <c r="GF184">
        <v>6.9719999999999995</v>
      </c>
      <c r="GG184">
        <v>13.960000000000004</v>
      </c>
      <c r="GH184">
        <v>0.52400000000000047</v>
      </c>
      <c r="GI184">
        <v>6.24</v>
      </c>
      <c r="GJ184">
        <v>5.68</v>
      </c>
      <c r="GK184">
        <v>-0.48000000000000009</v>
      </c>
    </row>
    <row r="185" spans="1:193" x14ac:dyDescent="0.2">
      <c r="A185" s="39">
        <v>43779</v>
      </c>
      <c r="B185" s="22" t="s">
        <v>244</v>
      </c>
      <c r="C185" s="41" t="s">
        <v>299</v>
      </c>
      <c r="D185" s="22" t="s">
        <v>265</v>
      </c>
      <c r="E185">
        <v>14.7</v>
      </c>
      <c r="F185">
        <v>12.7</v>
      </c>
      <c r="G185">
        <v>6.9</v>
      </c>
      <c r="H185">
        <f>7.7+3.9</f>
        <v>11.6</v>
      </c>
      <c r="I185">
        <v>6</v>
      </c>
      <c r="J185">
        <v>38</v>
      </c>
      <c r="L185" s="4" t="s">
        <v>299</v>
      </c>
      <c r="M185" s="3">
        <v>6</v>
      </c>
      <c r="N185" s="3">
        <v>3.8008000000000011</v>
      </c>
      <c r="O185" s="3">
        <v>28</v>
      </c>
      <c r="P185" s="3">
        <v>26</v>
      </c>
      <c r="Q185" s="3">
        <v>31</v>
      </c>
      <c r="R185" s="3">
        <v>-6.9600000000000009</v>
      </c>
      <c r="S185" s="3">
        <v>21</v>
      </c>
      <c r="T185" s="3">
        <v>-39.6</v>
      </c>
      <c r="U185" s="3">
        <v>1.24</v>
      </c>
      <c r="V185" s="3">
        <v>13</v>
      </c>
      <c r="W185" s="3">
        <v>13.5</v>
      </c>
      <c r="X185" s="3">
        <v>8</v>
      </c>
      <c r="Y185" s="3">
        <v>-1.0280000000000005</v>
      </c>
      <c r="Z185" s="3">
        <v>19</v>
      </c>
      <c r="AA185">
        <v>3.9299999999999997</v>
      </c>
      <c r="AB185">
        <v>-0.20999999999999996</v>
      </c>
      <c r="AC185">
        <v>5</v>
      </c>
      <c r="AD185">
        <v>5.5</v>
      </c>
      <c r="AE185">
        <v>8</v>
      </c>
      <c r="AF185">
        <v>-0.10700000000000039</v>
      </c>
      <c r="AG185">
        <v>3</v>
      </c>
      <c r="AH185">
        <v>-3.9999999999997725E-2</v>
      </c>
      <c r="AI185">
        <v>-1.0599999999999998</v>
      </c>
      <c r="AJ185">
        <v>3</v>
      </c>
      <c r="AK185">
        <v>3.5</v>
      </c>
      <c r="AL185">
        <v>2</v>
      </c>
      <c r="AM185">
        <v>9.6490000000000009</v>
      </c>
      <c r="AN185">
        <v>5</v>
      </c>
      <c r="AO185">
        <v>27.189999999999998</v>
      </c>
      <c r="AP185">
        <v>1.92</v>
      </c>
      <c r="AQ185">
        <v>10</v>
      </c>
      <c r="AR185">
        <v>10</v>
      </c>
      <c r="AS185">
        <v>10</v>
      </c>
      <c r="AT185">
        <v>4.8</v>
      </c>
      <c r="AU185">
        <v>10</v>
      </c>
      <c r="AV185">
        <v>24.9</v>
      </c>
      <c r="AW185">
        <v>1.85</v>
      </c>
      <c r="AX185">
        <v>9</v>
      </c>
      <c r="AY185">
        <v>10.5</v>
      </c>
      <c r="AZ185">
        <v>13</v>
      </c>
      <c r="BA185">
        <v>3.6999999999999993</v>
      </c>
      <c r="BB185">
        <v>8</v>
      </c>
      <c r="BC185">
        <v>38.760000000000005</v>
      </c>
      <c r="BD185">
        <v>-1.3200000000000007</v>
      </c>
      <c r="BE185">
        <v>20</v>
      </c>
      <c r="BF185">
        <v>22</v>
      </c>
      <c r="BG185">
        <v>23</v>
      </c>
      <c r="BH185">
        <v>-5.4000000000000012</v>
      </c>
      <c r="BI185">
        <v>-12.200000000000001</v>
      </c>
      <c r="BJ185">
        <v>-0.55999999999999983</v>
      </c>
      <c r="BK185">
        <v>23</v>
      </c>
      <c r="BL185">
        <v>22.5</v>
      </c>
      <c r="BM185">
        <v>20</v>
      </c>
      <c r="BN185">
        <v>1.1200000000000001</v>
      </c>
      <c r="BO185">
        <v>25</v>
      </c>
      <c r="BP185">
        <v>-8.0000000000000071E-2</v>
      </c>
      <c r="BQ185">
        <v>-2.3199999999999994</v>
      </c>
      <c r="BR185">
        <v>5</v>
      </c>
      <c r="BS185">
        <v>9</v>
      </c>
      <c r="BT185">
        <v>6</v>
      </c>
      <c r="BU185">
        <v>5.0837549520596839E-2</v>
      </c>
      <c r="BV185">
        <v>12</v>
      </c>
      <c r="BW185">
        <v>-4.9129936961431891E-4</v>
      </c>
      <c r="BX185">
        <v>9</v>
      </c>
      <c r="BY185">
        <v>0.81999999999999884</v>
      </c>
      <c r="BZ185">
        <v>9</v>
      </c>
      <c r="CA185">
        <v>-0.8</v>
      </c>
      <c r="CB185">
        <v>0.92000000000000026</v>
      </c>
      <c r="CC185">
        <v>-1.0400000000000005</v>
      </c>
      <c r="CD185">
        <v>0.12</v>
      </c>
      <c r="CE185">
        <v>5.3199999999999932</v>
      </c>
      <c r="CF185">
        <v>48.199999999999989</v>
      </c>
      <c r="CG185">
        <v>-36.239999999999995</v>
      </c>
      <c r="CH185">
        <v>-1.2</v>
      </c>
      <c r="CI185">
        <v>-5.4399999999999995</v>
      </c>
      <c r="CJ185">
        <v>1</v>
      </c>
      <c r="CK185">
        <v>11.788800000000002</v>
      </c>
      <c r="CL185">
        <v>6.5425599999999999</v>
      </c>
      <c r="CM185">
        <v>84.439999999999984</v>
      </c>
      <c r="CN185">
        <v>-11.788800000000002</v>
      </c>
      <c r="CO185">
        <v>0.73434999999999984</v>
      </c>
      <c r="CP185">
        <v>14.341999999999999</v>
      </c>
      <c r="CQ185">
        <v>52.05</v>
      </c>
      <c r="CR185">
        <v>-7.9880000000000013</v>
      </c>
      <c r="CS185">
        <v>-35.67</v>
      </c>
      <c r="CT185">
        <v>2.1500000000000004</v>
      </c>
      <c r="CU185">
        <v>1.03</v>
      </c>
      <c r="CV185">
        <v>0.70042500000000019</v>
      </c>
      <c r="CW185">
        <v>2.2334499999999999</v>
      </c>
      <c r="CX185" t="s">
        <v>265</v>
      </c>
      <c r="CY185">
        <v>29</v>
      </c>
      <c r="CZ185">
        <v>-2.399999999999999</v>
      </c>
      <c r="DA185">
        <v>12</v>
      </c>
      <c r="DB185">
        <v>11.5</v>
      </c>
      <c r="DC185">
        <v>15</v>
      </c>
      <c r="DD185">
        <v>4.5432000000000006</v>
      </c>
      <c r="DE185">
        <v>8</v>
      </c>
      <c r="DF185">
        <v>17.2</v>
      </c>
      <c r="DG185">
        <v>-0.47999999999999987</v>
      </c>
      <c r="DH185">
        <v>14</v>
      </c>
      <c r="DI185">
        <v>15</v>
      </c>
      <c r="DJ185">
        <v>14</v>
      </c>
      <c r="DK185">
        <v>-4.1840000000000002</v>
      </c>
      <c r="DL185">
        <v>16</v>
      </c>
      <c r="DM185">
        <v>-10.559999999999999</v>
      </c>
      <c r="DN185">
        <v>-1.1199999999999999</v>
      </c>
      <c r="DO185">
        <v>25</v>
      </c>
      <c r="DP185">
        <v>20</v>
      </c>
      <c r="DQ185">
        <v>19</v>
      </c>
      <c r="DR185">
        <v>-2.2349999999999981</v>
      </c>
      <c r="DS185">
        <v>21</v>
      </c>
      <c r="DT185">
        <v>-9.9999999999999964</v>
      </c>
      <c r="DU185">
        <v>0.75000000000000022</v>
      </c>
      <c r="DV185">
        <v>28</v>
      </c>
      <c r="DW185">
        <v>27</v>
      </c>
      <c r="DX185">
        <v>28</v>
      </c>
      <c r="DY185">
        <v>-2.7800000000000002</v>
      </c>
      <c r="DZ185">
        <v>26</v>
      </c>
      <c r="EA185">
        <v>0.30000000000000338</v>
      </c>
      <c r="EB185">
        <v>4.9999999999999933E-2</v>
      </c>
      <c r="EC185">
        <v>20</v>
      </c>
      <c r="ED185">
        <v>19.5</v>
      </c>
      <c r="EE185">
        <v>20</v>
      </c>
      <c r="EF185">
        <v>-1.2649999999999997</v>
      </c>
      <c r="EG185">
        <v>19</v>
      </c>
      <c r="EH185">
        <v>-8.9</v>
      </c>
      <c r="EI185">
        <v>0.64999999999999991</v>
      </c>
      <c r="EJ185">
        <v>21</v>
      </c>
      <c r="EK185">
        <v>21.5</v>
      </c>
      <c r="EL185">
        <v>20</v>
      </c>
      <c r="EM185">
        <v>-3.6920000000000002</v>
      </c>
      <c r="EN185">
        <v>23</v>
      </c>
      <c r="EO185">
        <v>-18.119999999999997</v>
      </c>
      <c r="EP185">
        <v>0.51999999999999991</v>
      </c>
      <c r="EQ185">
        <v>15</v>
      </c>
      <c r="ER185">
        <v>15</v>
      </c>
      <c r="ES185">
        <v>12</v>
      </c>
      <c r="ET185">
        <v>1.9</v>
      </c>
      <c r="EU185">
        <v>18</v>
      </c>
      <c r="EV185">
        <v>12</v>
      </c>
      <c r="EW185">
        <v>0.80000000000000038</v>
      </c>
      <c r="EX185">
        <v>15</v>
      </c>
      <c r="EY185">
        <v>13</v>
      </c>
      <c r="EZ185">
        <v>14</v>
      </c>
      <c r="FA185">
        <v>-0.24000000000000038</v>
      </c>
      <c r="FB185">
        <v>12</v>
      </c>
      <c r="FC185">
        <v>0.27999999999999997</v>
      </c>
      <c r="FD185">
        <v>0.55999999999999994</v>
      </c>
      <c r="FE185">
        <v>32</v>
      </c>
      <c r="FF185">
        <v>29.25</v>
      </c>
      <c r="FG185">
        <v>28</v>
      </c>
      <c r="FH185">
        <v>-4.4517409564758165E-2</v>
      </c>
      <c r="FI185">
        <v>29</v>
      </c>
      <c r="FJ185">
        <v>-9.4807369723878369E-3</v>
      </c>
      <c r="FK185">
        <v>29</v>
      </c>
      <c r="FL185">
        <v>1.7319999999999993</v>
      </c>
      <c r="FM185">
        <v>31</v>
      </c>
      <c r="FN185">
        <v>-0.27999999999999997</v>
      </c>
      <c r="FO185">
        <v>1.0799999999999996</v>
      </c>
      <c r="FP185">
        <v>3.0800000000000005</v>
      </c>
      <c r="FQ185">
        <v>0.87999999999999989</v>
      </c>
      <c r="FR185">
        <v>4.3599999999999977</v>
      </c>
      <c r="FS185">
        <v>0.43999999999999984</v>
      </c>
      <c r="FT185">
        <v>-1.0799999999999998</v>
      </c>
      <c r="FU185">
        <v>-24.199999999999989</v>
      </c>
      <c r="FV185">
        <v>-35.32</v>
      </c>
      <c r="FW185">
        <v>9.32</v>
      </c>
      <c r="FX185">
        <v>-2.3199999999999998</v>
      </c>
      <c r="FY185">
        <v>4.1199999999999992</v>
      </c>
      <c r="FZ185">
        <v>23</v>
      </c>
      <c r="GA185">
        <v>-2.759199999999999</v>
      </c>
      <c r="GB185">
        <v>-1.5355999999999994</v>
      </c>
      <c r="GC185">
        <v>-44.64</v>
      </c>
      <c r="GD185">
        <v>2.7591999999999994</v>
      </c>
      <c r="GE185">
        <v>-0.83259999999999956</v>
      </c>
      <c r="GF185">
        <v>-6.2799999999999985</v>
      </c>
      <c r="GG185">
        <v>-18.599999999999994</v>
      </c>
      <c r="GH185">
        <v>0.35920000000000041</v>
      </c>
      <c r="GI185">
        <v>6.6400000000000006</v>
      </c>
      <c r="GJ185">
        <v>2.2500000000000004</v>
      </c>
      <c r="GK185">
        <v>-1.5999999999999996</v>
      </c>
    </row>
    <row r="186" spans="1:193" x14ac:dyDescent="0.2">
      <c r="A186" s="39">
        <v>43779</v>
      </c>
      <c r="B186" s="22" t="s">
        <v>244</v>
      </c>
      <c r="C186" s="41" t="s">
        <v>300</v>
      </c>
      <c r="D186" s="22" t="s">
        <v>301</v>
      </c>
      <c r="E186">
        <v>21.8</v>
      </c>
      <c r="F186">
        <v>5.7</v>
      </c>
      <c r="G186">
        <v>4.3</v>
      </c>
      <c r="H186">
        <v>7.9</v>
      </c>
      <c r="I186">
        <v>-5</v>
      </c>
      <c r="J186">
        <v>49</v>
      </c>
      <c r="L186" s="1" t="s">
        <v>300</v>
      </c>
      <c r="M186">
        <v>7</v>
      </c>
      <c r="N186">
        <v>3.7248000000000006</v>
      </c>
      <c r="O186">
        <v>22</v>
      </c>
      <c r="P186">
        <v>21.5</v>
      </c>
      <c r="Q186">
        <v>14</v>
      </c>
      <c r="R186">
        <v>5.5004000000000008</v>
      </c>
      <c r="S186">
        <v>29</v>
      </c>
      <c r="T186">
        <v>-15.48</v>
      </c>
      <c r="U186">
        <v>2.7199999999999998</v>
      </c>
      <c r="V186">
        <v>2</v>
      </c>
      <c r="W186">
        <v>4</v>
      </c>
      <c r="X186">
        <v>4</v>
      </c>
      <c r="Y186">
        <v>6.0119999999999996</v>
      </c>
      <c r="Z186">
        <v>4</v>
      </c>
      <c r="AA186">
        <v>8.120000000000001</v>
      </c>
      <c r="AB186">
        <v>1.32</v>
      </c>
      <c r="AC186">
        <v>3</v>
      </c>
      <c r="AD186">
        <v>3.5</v>
      </c>
      <c r="AE186">
        <v>5</v>
      </c>
      <c r="AF186">
        <v>-3.524</v>
      </c>
      <c r="AG186">
        <v>2</v>
      </c>
      <c r="AH186">
        <v>-7.3199999999999976</v>
      </c>
      <c r="AI186">
        <v>-1.6</v>
      </c>
      <c r="AJ186">
        <v>16</v>
      </c>
      <c r="AK186">
        <v>17</v>
      </c>
      <c r="AL186">
        <v>17</v>
      </c>
      <c r="AM186">
        <v>-3.1479999999999997</v>
      </c>
      <c r="AN186">
        <v>17</v>
      </c>
      <c r="AO186">
        <v>-13.52</v>
      </c>
      <c r="AP186">
        <v>-0.56000000000000005</v>
      </c>
      <c r="AQ186">
        <v>20</v>
      </c>
      <c r="AR186">
        <v>19</v>
      </c>
      <c r="AS186">
        <v>18</v>
      </c>
      <c r="AT186">
        <v>1.5960000000000001</v>
      </c>
      <c r="AU186">
        <v>20</v>
      </c>
      <c r="AV186">
        <v>9.48</v>
      </c>
      <c r="AW186">
        <v>-3.9999999999999945E-2</v>
      </c>
      <c r="AX186">
        <v>18</v>
      </c>
      <c r="AY186">
        <v>17</v>
      </c>
      <c r="AZ186">
        <v>12</v>
      </c>
      <c r="BA186">
        <v>0.80399999999999849</v>
      </c>
      <c r="BB186">
        <v>22</v>
      </c>
      <c r="BC186">
        <v>8.8400000000000034</v>
      </c>
      <c r="BD186">
        <v>0.35999999999999976</v>
      </c>
      <c r="BE186">
        <v>27</v>
      </c>
      <c r="BF186">
        <v>27</v>
      </c>
      <c r="BG186">
        <v>26</v>
      </c>
      <c r="BH186">
        <v>-2.492</v>
      </c>
      <c r="BI186">
        <v>-0.15999999999999942</v>
      </c>
      <c r="BJ186">
        <v>-1.48</v>
      </c>
      <c r="BK186">
        <v>31</v>
      </c>
      <c r="BL186">
        <v>31</v>
      </c>
      <c r="BM186">
        <v>30</v>
      </c>
      <c r="BN186">
        <v>1.1200000000000001</v>
      </c>
      <c r="BO186">
        <v>32</v>
      </c>
      <c r="BP186">
        <v>-0.24</v>
      </c>
      <c r="BQ186">
        <v>-0.4</v>
      </c>
      <c r="BR186">
        <v>16</v>
      </c>
      <c r="BS186">
        <v>14.5</v>
      </c>
      <c r="BT186">
        <v>17</v>
      </c>
      <c r="BU186">
        <v>-3.6591674581538815E-2</v>
      </c>
      <c r="BV186">
        <v>14</v>
      </c>
      <c r="BW186">
        <v>-7.2249624499932264E-3</v>
      </c>
      <c r="BX186">
        <v>3</v>
      </c>
      <c r="BY186">
        <v>14.747999999999999</v>
      </c>
      <c r="BZ186">
        <v>24</v>
      </c>
      <c r="CA186">
        <v>-3.3200000000000003</v>
      </c>
      <c r="CB186">
        <v>-3.5599999999999996</v>
      </c>
      <c r="CC186">
        <v>4.28</v>
      </c>
      <c r="CD186">
        <v>-0.27999999999999997</v>
      </c>
      <c r="CE186">
        <v>13.240000000000009</v>
      </c>
      <c r="CF186">
        <v>28.72</v>
      </c>
      <c r="CG186">
        <v>-10.48</v>
      </c>
      <c r="CH186">
        <v>-3.0799999999999996</v>
      </c>
      <c r="CI186">
        <v>-1.92</v>
      </c>
      <c r="CJ186">
        <v>29</v>
      </c>
      <c r="CK186">
        <v>-7.7875999999999994</v>
      </c>
      <c r="CL186">
        <v>-6.5248399999999993</v>
      </c>
      <c r="CM186">
        <v>39.200000000000003</v>
      </c>
      <c r="CN186">
        <v>7.7875999999999994</v>
      </c>
      <c r="CO186">
        <v>1.0986500000000001</v>
      </c>
      <c r="CP186">
        <v>-5.0759999999999996</v>
      </c>
      <c r="CQ186">
        <v>-11.359999999999996</v>
      </c>
      <c r="CR186">
        <v>11.5124</v>
      </c>
      <c r="CS186">
        <v>-7.3599999999999994</v>
      </c>
      <c r="CT186">
        <v>-3.68</v>
      </c>
      <c r="CU186">
        <v>4.04</v>
      </c>
      <c r="CV186">
        <v>1.2423781250000006</v>
      </c>
      <c r="CW186">
        <v>0.73155625000000069</v>
      </c>
      <c r="CX186" t="s">
        <v>301</v>
      </c>
      <c r="CY186">
        <v>14</v>
      </c>
      <c r="CZ186">
        <v>0.46159999999999923</v>
      </c>
      <c r="DA186">
        <v>7</v>
      </c>
      <c r="DB186">
        <v>10</v>
      </c>
      <c r="DC186">
        <v>5</v>
      </c>
      <c r="DD186">
        <v>7.9680000000000009</v>
      </c>
      <c r="DE186">
        <v>15</v>
      </c>
      <c r="DF186">
        <v>13.36</v>
      </c>
      <c r="DG186">
        <v>-1.56</v>
      </c>
      <c r="DH186">
        <v>2</v>
      </c>
      <c r="DI186">
        <v>3</v>
      </c>
      <c r="DJ186">
        <v>4</v>
      </c>
      <c r="DK186">
        <v>-1.0279999999999994</v>
      </c>
      <c r="DL186">
        <v>2</v>
      </c>
      <c r="DM186">
        <v>5.6400000000000006</v>
      </c>
      <c r="DN186">
        <v>8.8817841970012528E-17</v>
      </c>
      <c r="DO186">
        <v>20</v>
      </c>
      <c r="DP186">
        <v>16.5</v>
      </c>
      <c r="DQ186">
        <v>16</v>
      </c>
      <c r="DR186">
        <v>1.4640000000000009</v>
      </c>
      <c r="DS186">
        <v>17</v>
      </c>
      <c r="DT186">
        <v>4.4400000000000004</v>
      </c>
      <c r="DU186">
        <v>2.3199999999999994</v>
      </c>
      <c r="DV186">
        <v>7</v>
      </c>
      <c r="DW186">
        <v>6.5</v>
      </c>
      <c r="DX186">
        <v>8</v>
      </c>
      <c r="DY186">
        <v>6.9240000000000013</v>
      </c>
      <c r="DZ186">
        <v>5</v>
      </c>
      <c r="EA186">
        <v>31.68</v>
      </c>
      <c r="EB186">
        <v>1.28</v>
      </c>
      <c r="EC186">
        <v>11</v>
      </c>
      <c r="ED186">
        <v>7.5</v>
      </c>
      <c r="EE186">
        <v>12</v>
      </c>
      <c r="EF186">
        <v>-0.70800000000000018</v>
      </c>
      <c r="EG186">
        <v>3</v>
      </c>
      <c r="EH186">
        <v>3.9599999999999995</v>
      </c>
      <c r="EI186">
        <v>-0.12000000000000002</v>
      </c>
      <c r="EJ186">
        <v>18</v>
      </c>
      <c r="EK186">
        <v>18</v>
      </c>
      <c r="EL186">
        <v>22</v>
      </c>
      <c r="EM186">
        <v>2.2560000000000002</v>
      </c>
      <c r="EN186">
        <v>14</v>
      </c>
      <c r="EO186">
        <v>14.559999999999997</v>
      </c>
      <c r="EP186">
        <v>1.1599999999999997</v>
      </c>
      <c r="EQ186">
        <v>12</v>
      </c>
      <c r="ER186">
        <v>13</v>
      </c>
      <c r="ES186">
        <v>20</v>
      </c>
      <c r="ET186">
        <v>0.14399999999999996</v>
      </c>
      <c r="EU186">
        <v>6</v>
      </c>
      <c r="EV186">
        <v>7.0400000000000009</v>
      </c>
      <c r="EW186">
        <v>-0.36000000000000015</v>
      </c>
      <c r="EX186">
        <v>10</v>
      </c>
      <c r="EY186">
        <v>11.5</v>
      </c>
      <c r="EZ186">
        <v>16</v>
      </c>
      <c r="FA186">
        <v>-1.2000000000000002</v>
      </c>
      <c r="FB186">
        <v>7</v>
      </c>
      <c r="FC186">
        <v>-0.48</v>
      </c>
      <c r="FD186">
        <v>-0.16000000000000014</v>
      </c>
      <c r="FE186">
        <v>18</v>
      </c>
      <c r="FF186">
        <v>16.25</v>
      </c>
      <c r="FG186">
        <v>18</v>
      </c>
      <c r="FH186">
        <v>-2.6091785233425126E-2</v>
      </c>
      <c r="FI186">
        <v>16</v>
      </c>
      <c r="FJ186">
        <v>5.60386769240377E-3</v>
      </c>
      <c r="FK186">
        <v>8</v>
      </c>
      <c r="FL186">
        <v>-5.38</v>
      </c>
      <c r="FM186">
        <v>23</v>
      </c>
      <c r="FN186">
        <v>1.9999999999999996</v>
      </c>
      <c r="FO186">
        <v>1.9999999999999993</v>
      </c>
      <c r="FP186">
        <v>0.19999999999999929</v>
      </c>
      <c r="FQ186">
        <v>-0.96</v>
      </c>
      <c r="FR186">
        <v>1.4</v>
      </c>
      <c r="FS186">
        <v>8.4</v>
      </c>
      <c r="FT186">
        <v>-0.55999999999999994</v>
      </c>
      <c r="FU186">
        <v>66.64</v>
      </c>
      <c r="FV186">
        <v>32.44</v>
      </c>
      <c r="FW186">
        <v>31.320000000000004</v>
      </c>
      <c r="FX186">
        <v>2</v>
      </c>
      <c r="FY186">
        <v>0.87999999999999967</v>
      </c>
      <c r="FZ186">
        <v>30</v>
      </c>
      <c r="GA186">
        <v>-6.4784000000000024</v>
      </c>
      <c r="GB186">
        <v>-1.8128800000000003</v>
      </c>
      <c r="GC186">
        <v>1.1199999999999939</v>
      </c>
      <c r="GD186">
        <v>6.4784000000000024</v>
      </c>
      <c r="GE186">
        <v>1.7532000000000005</v>
      </c>
      <c r="GF186">
        <v>7.6800000000000015</v>
      </c>
      <c r="GG186">
        <v>40.08</v>
      </c>
      <c r="GH186">
        <v>6.9400000000000013</v>
      </c>
      <c r="GI186">
        <v>19</v>
      </c>
      <c r="GJ186">
        <v>3.1199999999999992</v>
      </c>
      <c r="GK186">
        <v>-1.56</v>
      </c>
    </row>
    <row r="187" spans="1:193" x14ac:dyDescent="0.2">
      <c r="A187" s="39">
        <v>43779</v>
      </c>
      <c r="B187" s="28" t="s">
        <v>244</v>
      </c>
      <c r="C187" s="41" t="s">
        <v>289</v>
      </c>
      <c r="D187" s="28" t="s">
        <v>293</v>
      </c>
      <c r="E187" s="3"/>
      <c r="F187" s="3">
        <v>5.0999999999999996</v>
      </c>
      <c r="G187" s="3">
        <v>1.9</v>
      </c>
      <c r="H187" s="3">
        <f>13.4+10.6</f>
        <v>24</v>
      </c>
      <c r="I187">
        <v>-11</v>
      </c>
      <c r="J187">
        <v>44.5</v>
      </c>
      <c r="K187" t="s">
        <v>110</v>
      </c>
      <c r="L187" s="1" t="s">
        <v>289</v>
      </c>
      <c r="M187">
        <v>19</v>
      </c>
      <c r="N187">
        <v>-0.84320000000000017</v>
      </c>
      <c r="O187">
        <v>11</v>
      </c>
      <c r="P187">
        <v>11.5</v>
      </c>
      <c r="Q187">
        <v>19</v>
      </c>
      <c r="R187">
        <v>-1.4316</v>
      </c>
      <c r="S187">
        <v>4</v>
      </c>
      <c r="T187">
        <v>21.56</v>
      </c>
      <c r="U187">
        <v>-2.2400000000000002</v>
      </c>
      <c r="V187">
        <v>23</v>
      </c>
      <c r="W187">
        <v>20.5</v>
      </c>
      <c r="X187">
        <v>18</v>
      </c>
      <c r="Y187">
        <v>-0.64799999999999991</v>
      </c>
      <c r="Z187">
        <v>23</v>
      </c>
      <c r="AA187">
        <v>-7.839999999999999</v>
      </c>
      <c r="AB187">
        <v>0.88000000000000012</v>
      </c>
      <c r="AC187">
        <v>18</v>
      </c>
      <c r="AD187">
        <v>18</v>
      </c>
      <c r="AE187">
        <v>21</v>
      </c>
      <c r="AF187">
        <v>-0.94000000000000006</v>
      </c>
      <c r="AG187">
        <v>15</v>
      </c>
      <c r="AH187">
        <v>-0.31999999999999884</v>
      </c>
      <c r="AI187">
        <v>0.28000000000000025</v>
      </c>
      <c r="AJ187">
        <v>18</v>
      </c>
      <c r="AK187">
        <v>18.5</v>
      </c>
      <c r="AL187">
        <v>14</v>
      </c>
      <c r="AM187">
        <v>-0.11999999999999922</v>
      </c>
      <c r="AN187">
        <v>23</v>
      </c>
      <c r="AO187">
        <v>-8.6399999999999988</v>
      </c>
      <c r="AP187">
        <v>-2.2799999999999998</v>
      </c>
      <c r="AQ187">
        <v>22</v>
      </c>
      <c r="AR187">
        <v>22</v>
      </c>
      <c r="AS187">
        <v>22</v>
      </c>
      <c r="AT187">
        <v>-1.7</v>
      </c>
      <c r="AU187">
        <v>22</v>
      </c>
      <c r="AV187">
        <v>-11.36</v>
      </c>
      <c r="AW187">
        <v>-0.8</v>
      </c>
      <c r="AX187">
        <v>12</v>
      </c>
      <c r="AY187">
        <v>12</v>
      </c>
      <c r="AZ187">
        <v>14</v>
      </c>
      <c r="BA187">
        <v>-0.9399999999999995</v>
      </c>
      <c r="BB187">
        <v>10</v>
      </c>
      <c r="BC187">
        <v>3.3999999999999972</v>
      </c>
      <c r="BD187">
        <v>-0.56000000000000016</v>
      </c>
      <c r="BE187">
        <v>7</v>
      </c>
      <c r="BF187">
        <v>6.5</v>
      </c>
      <c r="BG187">
        <v>8</v>
      </c>
      <c r="BH187">
        <v>4.7679999999999998</v>
      </c>
      <c r="BI187">
        <v>18.880000000000003</v>
      </c>
      <c r="BJ187">
        <v>1.0800000000000003</v>
      </c>
      <c r="BK187">
        <v>19</v>
      </c>
      <c r="BL187">
        <v>19.5</v>
      </c>
      <c r="BM187">
        <v>24</v>
      </c>
      <c r="BN187">
        <v>0.83999999999999986</v>
      </c>
      <c r="BO187">
        <v>15</v>
      </c>
      <c r="BP187">
        <v>0.32000000000000012</v>
      </c>
      <c r="BQ187">
        <v>0.87999999999999989</v>
      </c>
      <c r="BR187">
        <v>3</v>
      </c>
      <c r="BS187">
        <v>7.75</v>
      </c>
      <c r="BT187">
        <v>4</v>
      </c>
      <c r="BU187">
        <v>0.10009669115890515</v>
      </c>
      <c r="BV187">
        <v>8</v>
      </c>
      <c r="BW187">
        <v>3.9521205152000526E-4</v>
      </c>
      <c r="BX187">
        <v>13</v>
      </c>
      <c r="BY187">
        <v>7.4960000000000022</v>
      </c>
      <c r="BZ187">
        <v>6</v>
      </c>
      <c r="CA187">
        <v>-0.59999999999999964</v>
      </c>
      <c r="CB187">
        <v>3</v>
      </c>
      <c r="CC187">
        <v>0.6400000000000009</v>
      </c>
      <c r="CD187">
        <v>-0.6399999999999999</v>
      </c>
      <c r="CE187">
        <v>7.880000000000007</v>
      </c>
      <c r="CF187">
        <v>-18.080000000000002</v>
      </c>
      <c r="CG187">
        <v>21.840000000000003</v>
      </c>
      <c r="CH187">
        <v>5.76</v>
      </c>
      <c r="CI187">
        <v>-1.6400000000000006</v>
      </c>
      <c r="CJ187">
        <v>15</v>
      </c>
      <c r="CK187">
        <v>1.2363999999999997</v>
      </c>
      <c r="CL187">
        <v>1.2727600000000001</v>
      </c>
      <c r="CM187">
        <v>-39.92</v>
      </c>
      <c r="CN187">
        <v>-1.2363999999999999</v>
      </c>
      <c r="CO187">
        <v>-9.3499999999998584E-3</v>
      </c>
      <c r="CP187">
        <v>-2.7599999999999989</v>
      </c>
      <c r="CQ187">
        <v>-20.319999999999997</v>
      </c>
      <c r="CR187">
        <v>-2.0796000000000001</v>
      </c>
      <c r="CS187">
        <v>13.719999999999999</v>
      </c>
      <c r="CT187">
        <v>-1.7199999999999995</v>
      </c>
      <c r="CU187">
        <v>-1.36</v>
      </c>
      <c r="CV187">
        <v>0.24352499999999999</v>
      </c>
      <c r="CW187">
        <v>-0.95724999999999993</v>
      </c>
      <c r="CX187" t="s">
        <v>293</v>
      </c>
      <c r="CY187">
        <v>2</v>
      </c>
      <c r="CZ187">
        <v>1.024799999999999</v>
      </c>
      <c r="DA187">
        <v>1</v>
      </c>
      <c r="DB187">
        <v>1.5</v>
      </c>
      <c r="DC187">
        <v>1</v>
      </c>
      <c r="DD187">
        <v>1.9520000000000006</v>
      </c>
      <c r="DE187">
        <v>2</v>
      </c>
      <c r="DF187">
        <v>22.56</v>
      </c>
      <c r="DG187">
        <v>-0.23999999999999994</v>
      </c>
      <c r="DH187">
        <v>30</v>
      </c>
      <c r="DI187">
        <v>27</v>
      </c>
      <c r="DJ187">
        <v>27</v>
      </c>
      <c r="DK187">
        <v>0.30560000000000009</v>
      </c>
      <c r="DL187">
        <v>27</v>
      </c>
      <c r="DM187">
        <v>1.8800000000000003</v>
      </c>
      <c r="DN187">
        <v>0.32</v>
      </c>
      <c r="DO187">
        <v>2</v>
      </c>
      <c r="DP187">
        <v>1.5</v>
      </c>
      <c r="DQ187">
        <v>1</v>
      </c>
      <c r="DR187">
        <v>7.6639999999999997</v>
      </c>
      <c r="DS187">
        <v>2</v>
      </c>
      <c r="DT187">
        <v>19.72</v>
      </c>
      <c r="DU187">
        <v>1.04</v>
      </c>
      <c r="DV187">
        <v>8</v>
      </c>
      <c r="DW187">
        <v>7</v>
      </c>
      <c r="DX187">
        <v>6</v>
      </c>
      <c r="DY187">
        <v>-1.2160000000000006</v>
      </c>
      <c r="DZ187">
        <v>8</v>
      </c>
      <c r="EA187">
        <v>-6.9999999999999982</v>
      </c>
      <c r="EB187">
        <v>0.24000000000000013</v>
      </c>
      <c r="EC187">
        <v>29</v>
      </c>
      <c r="ED187">
        <v>24</v>
      </c>
      <c r="EE187">
        <v>22</v>
      </c>
      <c r="EF187">
        <v>-1.9360000000000004</v>
      </c>
      <c r="EG187">
        <v>26</v>
      </c>
      <c r="EH187">
        <v>-10.08</v>
      </c>
      <c r="EI187">
        <v>-0.24000000000000013</v>
      </c>
      <c r="EJ187">
        <v>9</v>
      </c>
      <c r="EK187">
        <v>9</v>
      </c>
      <c r="EL187">
        <v>8</v>
      </c>
      <c r="EM187">
        <v>4.1479999999999988</v>
      </c>
      <c r="EN187">
        <v>10</v>
      </c>
      <c r="EO187">
        <v>9.4800000000000022</v>
      </c>
      <c r="EP187">
        <v>2.7600000000000002</v>
      </c>
      <c r="EQ187">
        <v>19</v>
      </c>
      <c r="ER187">
        <v>18.5</v>
      </c>
      <c r="ES187">
        <v>25</v>
      </c>
      <c r="ET187">
        <v>1.2400000000000007</v>
      </c>
      <c r="EU187">
        <v>12</v>
      </c>
      <c r="EV187">
        <v>11.440000000000001</v>
      </c>
      <c r="EW187">
        <v>2.6000000000000005</v>
      </c>
      <c r="EX187">
        <v>1</v>
      </c>
      <c r="EY187">
        <v>1.5</v>
      </c>
      <c r="EZ187">
        <v>1</v>
      </c>
      <c r="FA187">
        <v>2.52</v>
      </c>
      <c r="FB187">
        <v>2</v>
      </c>
      <c r="FC187">
        <v>0.84000000000000008</v>
      </c>
      <c r="FD187">
        <v>0.76000000000000012</v>
      </c>
      <c r="FE187">
        <v>31</v>
      </c>
      <c r="FF187">
        <v>29</v>
      </c>
      <c r="FG187">
        <v>29</v>
      </c>
      <c r="FH187">
        <v>-5.8930359512332262E-2</v>
      </c>
      <c r="FI187">
        <v>32</v>
      </c>
      <c r="FJ187">
        <v>-3.4165538160251439E-2</v>
      </c>
      <c r="FK187">
        <v>30</v>
      </c>
      <c r="FL187">
        <v>-1.2479999999999962</v>
      </c>
      <c r="FM187">
        <v>25</v>
      </c>
      <c r="FN187">
        <v>-3.3200000000000003</v>
      </c>
      <c r="FO187">
        <v>3.2399999999999993</v>
      </c>
      <c r="FP187">
        <v>2.4</v>
      </c>
      <c r="FQ187">
        <v>-1.1999999999999997</v>
      </c>
      <c r="FR187">
        <v>3.080000000000001</v>
      </c>
      <c r="FS187">
        <v>3.0000000000000004</v>
      </c>
      <c r="FT187">
        <v>7.9999999999999891E-2</v>
      </c>
      <c r="FU187">
        <v>37.760000000000005</v>
      </c>
      <c r="FV187">
        <v>18.8</v>
      </c>
      <c r="FW187">
        <v>27.320000000000004</v>
      </c>
      <c r="FX187">
        <v>-5.0400000000000009</v>
      </c>
      <c r="FY187">
        <v>-3.3200000000000003</v>
      </c>
      <c r="FZ187">
        <v>19</v>
      </c>
      <c r="GA187">
        <v>-1.2328000000000017</v>
      </c>
      <c r="GB187">
        <v>0.22655999999999921</v>
      </c>
      <c r="GC187">
        <v>-8.5200000000000031</v>
      </c>
      <c r="GD187">
        <v>1.2328000000000019</v>
      </c>
      <c r="GE187">
        <v>1.4442999999999999</v>
      </c>
      <c r="GF187">
        <v>4.5119999999999987</v>
      </c>
      <c r="GG187">
        <v>2.6400000000000006</v>
      </c>
      <c r="GH187">
        <v>2.2576000000000009</v>
      </c>
      <c r="GI187">
        <v>24.439999999999998</v>
      </c>
      <c r="GJ187">
        <v>3.6400000000000006</v>
      </c>
      <c r="GK187">
        <v>8.0000000000000071E-2</v>
      </c>
    </row>
    <row r="188" spans="1:193" x14ac:dyDescent="0.2">
      <c r="A188" s="39">
        <v>43779</v>
      </c>
      <c r="B188" s="22" t="s">
        <v>244</v>
      </c>
      <c r="C188" s="41" t="s">
        <v>288</v>
      </c>
      <c r="D188" s="22" t="s">
        <v>310</v>
      </c>
      <c r="E188">
        <v>36</v>
      </c>
      <c r="F188">
        <v>13.3</v>
      </c>
      <c r="G188">
        <v>10.1</v>
      </c>
      <c r="H188">
        <v>22.2</v>
      </c>
      <c r="I188">
        <v>-5</v>
      </c>
      <c r="J188">
        <v>49</v>
      </c>
      <c r="L188" s="4" t="s">
        <v>288</v>
      </c>
      <c r="M188" s="3">
        <v>13</v>
      </c>
      <c r="N188" s="3">
        <v>0.82399999999999918</v>
      </c>
      <c r="O188" s="3">
        <v>32</v>
      </c>
      <c r="P188" s="3">
        <v>30</v>
      </c>
      <c r="Q188" s="3">
        <v>28</v>
      </c>
      <c r="R188" s="3">
        <v>-1.0800000000000003</v>
      </c>
      <c r="S188" s="3">
        <v>32</v>
      </c>
      <c r="T188" s="3">
        <v>0.71999999999999886</v>
      </c>
      <c r="U188" s="3">
        <v>-1.4000000000000001</v>
      </c>
      <c r="V188" s="3">
        <v>17</v>
      </c>
      <c r="W188" s="3">
        <v>16.5</v>
      </c>
      <c r="X188" s="3">
        <v>19</v>
      </c>
      <c r="Y188" s="3">
        <v>-2.0049999999999999</v>
      </c>
      <c r="Z188" s="3">
        <v>14</v>
      </c>
      <c r="AA188">
        <v>-1.95</v>
      </c>
      <c r="AB188">
        <v>-0.79</v>
      </c>
      <c r="AC188">
        <v>8</v>
      </c>
      <c r="AD188">
        <v>7</v>
      </c>
      <c r="AE188">
        <v>6</v>
      </c>
      <c r="AF188">
        <v>6.6419999999999986</v>
      </c>
      <c r="AG188">
        <v>8</v>
      </c>
      <c r="AH188">
        <v>18.170000000000002</v>
      </c>
      <c r="AI188">
        <v>0.40000000000000036</v>
      </c>
      <c r="AJ188">
        <v>26</v>
      </c>
      <c r="AK188">
        <v>26.5</v>
      </c>
      <c r="AL188">
        <v>27</v>
      </c>
      <c r="AM188">
        <v>-3.53</v>
      </c>
      <c r="AN188">
        <v>26</v>
      </c>
      <c r="AO188">
        <v>-14.5</v>
      </c>
      <c r="AP188">
        <v>-0.51000000000000012</v>
      </c>
      <c r="AQ188">
        <v>9</v>
      </c>
      <c r="AR188">
        <v>9.5</v>
      </c>
      <c r="AS188">
        <v>11</v>
      </c>
      <c r="AT188">
        <v>0.50000000000000022</v>
      </c>
      <c r="AU188">
        <v>8</v>
      </c>
      <c r="AV188">
        <v>5.0400000000000009</v>
      </c>
      <c r="AW188">
        <v>0.12000000000000002</v>
      </c>
      <c r="AX188">
        <v>2</v>
      </c>
      <c r="AY188">
        <v>3.5</v>
      </c>
      <c r="AZ188">
        <v>4</v>
      </c>
      <c r="BA188">
        <v>4.0479999999999992</v>
      </c>
      <c r="BB188">
        <v>3</v>
      </c>
      <c r="BC188">
        <v>12.08</v>
      </c>
      <c r="BD188">
        <v>0.75999999999999979</v>
      </c>
      <c r="BE188">
        <v>3</v>
      </c>
      <c r="BF188">
        <v>3.5</v>
      </c>
      <c r="BG188">
        <v>4</v>
      </c>
      <c r="BH188">
        <v>-0.31600000000000039</v>
      </c>
      <c r="BI188">
        <v>4.2399999999999993</v>
      </c>
      <c r="BJ188">
        <v>0.40000000000000019</v>
      </c>
      <c r="BK188">
        <v>15</v>
      </c>
      <c r="BL188">
        <v>14.5</v>
      </c>
      <c r="BM188">
        <v>12</v>
      </c>
      <c r="BN188">
        <v>0.6399999999999999</v>
      </c>
      <c r="BO188">
        <v>17</v>
      </c>
      <c r="BP188">
        <v>0.2</v>
      </c>
      <c r="BQ188">
        <v>1.7599999999999998</v>
      </c>
      <c r="BR188">
        <v>29</v>
      </c>
      <c r="BS188">
        <v>25</v>
      </c>
      <c r="BT188">
        <v>26</v>
      </c>
      <c r="BU188">
        <v>-5.4039157212903775E-2</v>
      </c>
      <c r="BV188">
        <v>23</v>
      </c>
      <c r="BW188">
        <v>-3.1736584970451622E-3</v>
      </c>
      <c r="BX188">
        <v>25</v>
      </c>
      <c r="BY188">
        <v>7.6240000000000023</v>
      </c>
      <c r="BZ188">
        <v>26</v>
      </c>
      <c r="CA188">
        <v>-2.12</v>
      </c>
      <c r="CB188">
        <v>-5.44</v>
      </c>
      <c r="CC188">
        <v>3.0799999999999996</v>
      </c>
      <c r="CD188">
        <v>0.48000000000000009</v>
      </c>
      <c r="CE188">
        <v>-8.1199999999999939</v>
      </c>
      <c r="CF188">
        <v>-1.5200000000000102</v>
      </c>
      <c r="CG188">
        <v>-1.3999999999999986</v>
      </c>
      <c r="CH188">
        <v>1.6</v>
      </c>
      <c r="CI188">
        <v>-6.8</v>
      </c>
      <c r="CJ188">
        <v>12</v>
      </c>
      <c r="CK188">
        <v>3.9089999999999994</v>
      </c>
      <c r="CL188">
        <v>2.3664999999999994</v>
      </c>
      <c r="CM188">
        <v>-0.12000000000001165</v>
      </c>
      <c r="CN188">
        <v>-3.9089999999999989</v>
      </c>
      <c r="CO188">
        <v>0.20937499999999967</v>
      </c>
      <c r="CP188">
        <v>3.6119999999999992</v>
      </c>
      <c r="CQ188">
        <v>8.7100000000000026</v>
      </c>
      <c r="CR188">
        <v>-3.085</v>
      </c>
      <c r="CS188">
        <v>-1.2300000000000011</v>
      </c>
      <c r="CT188">
        <v>0.41000000000000048</v>
      </c>
      <c r="CU188">
        <v>-2.1900000000000004</v>
      </c>
      <c r="CV188">
        <v>-0.61262500000000009</v>
      </c>
      <c r="CW188">
        <v>-1.2677</v>
      </c>
      <c r="CX188" t="s">
        <v>310</v>
      </c>
      <c r="CY188">
        <v>11</v>
      </c>
      <c r="CZ188">
        <v>3.3236000000000003</v>
      </c>
      <c r="DA188">
        <v>7</v>
      </c>
      <c r="DB188">
        <v>10</v>
      </c>
      <c r="DC188">
        <v>13</v>
      </c>
      <c r="DD188">
        <v>-2.2400000000000007</v>
      </c>
      <c r="DE188">
        <v>7</v>
      </c>
      <c r="DF188">
        <v>-1.7999999999999985</v>
      </c>
      <c r="DG188">
        <v>-0.99999999999999978</v>
      </c>
      <c r="DH188">
        <v>23</v>
      </c>
      <c r="DI188">
        <v>19.5</v>
      </c>
      <c r="DJ188">
        <v>22</v>
      </c>
      <c r="DK188">
        <v>1.496</v>
      </c>
      <c r="DL188">
        <v>17</v>
      </c>
      <c r="DM188">
        <v>-9.6</v>
      </c>
      <c r="DN188">
        <v>1.3599999999999999</v>
      </c>
      <c r="DO188">
        <v>3</v>
      </c>
      <c r="DP188">
        <v>1.5</v>
      </c>
      <c r="DQ188">
        <v>2</v>
      </c>
      <c r="DR188">
        <v>3.2320000000000007</v>
      </c>
      <c r="DS188">
        <v>1</v>
      </c>
      <c r="DT188">
        <v>13.520000000000001</v>
      </c>
      <c r="DU188">
        <v>-0.48000000000000026</v>
      </c>
      <c r="DV188">
        <v>11</v>
      </c>
      <c r="DW188">
        <v>13</v>
      </c>
      <c r="DX188">
        <v>14</v>
      </c>
      <c r="DY188">
        <v>-4.1560000000000006</v>
      </c>
      <c r="DZ188">
        <v>12</v>
      </c>
      <c r="EA188">
        <v>-20.16</v>
      </c>
      <c r="EB188">
        <v>-1.8399999999999999</v>
      </c>
      <c r="EC188">
        <v>28</v>
      </c>
      <c r="ED188">
        <v>30</v>
      </c>
      <c r="EE188">
        <v>30</v>
      </c>
      <c r="EF188">
        <v>-0.85600000000000009</v>
      </c>
      <c r="EG188">
        <v>30</v>
      </c>
      <c r="EH188">
        <v>0.6</v>
      </c>
      <c r="EI188">
        <v>0</v>
      </c>
      <c r="EJ188">
        <v>6</v>
      </c>
      <c r="EK188">
        <v>5.5</v>
      </c>
      <c r="EL188">
        <v>6</v>
      </c>
      <c r="EM188">
        <v>-0.47200000000000009</v>
      </c>
      <c r="EN188">
        <v>5</v>
      </c>
      <c r="EO188">
        <v>2.4799999999999982</v>
      </c>
      <c r="EP188">
        <v>0.96</v>
      </c>
      <c r="EQ188">
        <v>6</v>
      </c>
      <c r="ER188">
        <v>8</v>
      </c>
      <c r="ES188">
        <v>7</v>
      </c>
      <c r="ET188">
        <v>-1.0200000000000007</v>
      </c>
      <c r="EU188">
        <v>9</v>
      </c>
      <c r="EV188">
        <v>-5.0800000000000027</v>
      </c>
      <c r="EW188">
        <v>0.24000000000000005</v>
      </c>
      <c r="EX188">
        <v>3</v>
      </c>
      <c r="EY188">
        <v>3.5</v>
      </c>
      <c r="EZ188">
        <v>6</v>
      </c>
      <c r="FA188">
        <v>0.55999999999999961</v>
      </c>
      <c r="FB188">
        <v>1</v>
      </c>
      <c r="FC188">
        <v>-0.24000000000000005</v>
      </c>
      <c r="FD188">
        <v>3.96</v>
      </c>
      <c r="FE188">
        <v>15</v>
      </c>
      <c r="FF188">
        <v>15.75</v>
      </c>
      <c r="FG188">
        <v>16</v>
      </c>
      <c r="FH188">
        <v>3.3596238614569021E-2</v>
      </c>
      <c r="FI188">
        <v>21</v>
      </c>
      <c r="FJ188">
        <v>-2.1773822270562012E-2</v>
      </c>
      <c r="FK188">
        <v>13</v>
      </c>
      <c r="FL188">
        <v>-2.5</v>
      </c>
      <c r="FM188">
        <v>13</v>
      </c>
      <c r="FN188">
        <v>-2.16</v>
      </c>
      <c r="FO188">
        <v>0.72000000000000031</v>
      </c>
      <c r="FP188">
        <v>0.67999999999999972</v>
      </c>
      <c r="FQ188">
        <v>2.2399999999999998</v>
      </c>
      <c r="FR188">
        <v>2.8</v>
      </c>
      <c r="FS188">
        <v>-3.9999999999999855E-2</v>
      </c>
      <c r="FT188">
        <v>-0.64</v>
      </c>
      <c r="FU188">
        <v>-0.2</v>
      </c>
      <c r="FV188">
        <v>10.95999999999999</v>
      </c>
      <c r="FW188">
        <v>-14.799999999999997</v>
      </c>
      <c r="FX188">
        <v>-2.08</v>
      </c>
      <c r="FY188">
        <v>5.7200000000000006</v>
      </c>
      <c r="FZ188">
        <v>6</v>
      </c>
      <c r="GA188">
        <v>4.0676000000000005</v>
      </c>
      <c r="GB188">
        <v>0.47672000000000025</v>
      </c>
      <c r="GC188">
        <v>25.759999999999987</v>
      </c>
      <c r="GD188">
        <v>-4.0676000000000005</v>
      </c>
      <c r="GE188">
        <v>4.2449999999999821E-2</v>
      </c>
      <c r="GF188">
        <v>-1.78</v>
      </c>
      <c r="GG188">
        <v>-6.0399999999999991</v>
      </c>
      <c r="GH188">
        <v>-0.74400000000000066</v>
      </c>
      <c r="GI188">
        <v>-11.399999999999999</v>
      </c>
      <c r="GJ188">
        <v>-2.08</v>
      </c>
      <c r="GK188">
        <v>0.3600000000000001</v>
      </c>
    </row>
    <row r="189" spans="1:193" x14ac:dyDescent="0.2">
      <c r="A189" s="39">
        <v>43779</v>
      </c>
      <c r="B189" s="22" t="s">
        <v>244</v>
      </c>
      <c r="C189" s="41" t="s">
        <v>303</v>
      </c>
      <c r="D189" s="22" t="s">
        <v>287</v>
      </c>
      <c r="E189">
        <v>5.5</v>
      </c>
      <c r="F189">
        <v>8.1999999999999993</v>
      </c>
      <c r="G189">
        <v>2</v>
      </c>
      <c r="H189">
        <v>7</v>
      </c>
      <c r="I189">
        <v>1</v>
      </c>
      <c r="J189">
        <v>49</v>
      </c>
      <c r="L189" s="1" t="s">
        <v>303</v>
      </c>
      <c r="M189">
        <v>22</v>
      </c>
      <c r="N189">
        <v>-2.0384000000000011</v>
      </c>
      <c r="O189">
        <v>7</v>
      </c>
      <c r="P189">
        <v>7.5</v>
      </c>
      <c r="Q189">
        <v>12</v>
      </c>
      <c r="R189">
        <v>3.2439999999999984</v>
      </c>
      <c r="S189">
        <v>3</v>
      </c>
      <c r="T189">
        <v>30.4</v>
      </c>
      <c r="U189">
        <v>-0.4</v>
      </c>
      <c r="V189">
        <v>22</v>
      </c>
      <c r="W189">
        <v>19.5</v>
      </c>
      <c r="X189">
        <v>17</v>
      </c>
      <c r="Y189">
        <v>-0.25600000000000006</v>
      </c>
      <c r="Z189">
        <v>22</v>
      </c>
      <c r="AA189">
        <v>-11.75</v>
      </c>
      <c r="AB189">
        <v>0.35</v>
      </c>
      <c r="AC189">
        <v>30</v>
      </c>
      <c r="AD189">
        <v>30.5</v>
      </c>
      <c r="AE189">
        <v>31</v>
      </c>
      <c r="AF189">
        <v>-6.3870000000000005</v>
      </c>
      <c r="AG189">
        <v>30</v>
      </c>
      <c r="AH189">
        <v>-24.32</v>
      </c>
      <c r="AI189">
        <v>-3.1799999999999997</v>
      </c>
      <c r="AJ189">
        <v>24</v>
      </c>
      <c r="AK189">
        <v>23</v>
      </c>
      <c r="AL189">
        <v>22</v>
      </c>
      <c r="AM189">
        <v>-1.990999999999999</v>
      </c>
      <c r="AN189">
        <v>24</v>
      </c>
      <c r="AO189">
        <v>-13.330000000000002</v>
      </c>
      <c r="AP189">
        <v>-1.4</v>
      </c>
      <c r="AQ189">
        <v>25</v>
      </c>
      <c r="AR189">
        <v>25</v>
      </c>
      <c r="AS189">
        <v>25</v>
      </c>
      <c r="AT189">
        <v>-1.22</v>
      </c>
      <c r="AU189">
        <v>25</v>
      </c>
      <c r="AV189">
        <v>-7.419999999999999</v>
      </c>
      <c r="AW189">
        <v>-0.11000000000000006</v>
      </c>
      <c r="AX189">
        <v>24</v>
      </c>
      <c r="AY189">
        <v>25</v>
      </c>
      <c r="AZ189">
        <v>27</v>
      </c>
      <c r="BA189">
        <v>-3.3280000000000003</v>
      </c>
      <c r="BB189">
        <v>23</v>
      </c>
      <c r="BC189">
        <v>-19.68</v>
      </c>
      <c r="BD189">
        <v>-1.48</v>
      </c>
      <c r="BE189">
        <v>5</v>
      </c>
      <c r="BF189">
        <v>6</v>
      </c>
      <c r="BG189">
        <v>6</v>
      </c>
      <c r="BH189">
        <v>6.4679999999999991</v>
      </c>
      <c r="BI189">
        <v>17.559999999999995</v>
      </c>
      <c r="BJ189">
        <v>1.6400000000000001</v>
      </c>
      <c r="BK189">
        <v>19</v>
      </c>
      <c r="BL189">
        <v>19.5</v>
      </c>
      <c r="BM189">
        <v>26</v>
      </c>
      <c r="BN189">
        <v>-0.3599999999999996</v>
      </c>
      <c r="BO189">
        <v>13</v>
      </c>
      <c r="BP189">
        <v>-0.44000000000000006</v>
      </c>
      <c r="BQ189">
        <v>0.64000000000000024</v>
      </c>
      <c r="BR189">
        <v>19</v>
      </c>
      <c r="BS189">
        <v>17.25</v>
      </c>
      <c r="BT189">
        <v>14</v>
      </c>
      <c r="BU189">
        <v>-5.3930569344292675E-2</v>
      </c>
      <c r="BV189">
        <v>21</v>
      </c>
      <c r="BW189">
        <v>-2.6245175946971566E-2</v>
      </c>
      <c r="BX189">
        <v>32</v>
      </c>
      <c r="BY189">
        <v>18.78</v>
      </c>
      <c r="BZ189">
        <v>2</v>
      </c>
      <c r="CA189">
        <v>-3.2</v>
      </c>
      <c r="CB189">
        <v>-1.3200000000000003</v>
      </c>
      <c r="CC189">
        <v>1.6000000000000008</v>
      </c>
      <c r="CD189">
        <v>0.95999999999999974</v>
      </c>
      <c r="CE189">
        <v>19.520000000000003</v>
      </c>
      <c r="CF189">
        <v>-2.1600000000000135</v>
      </c>
      <c r="CG189">
        <v>24.8</v>
      </c>
      <c r="CH189">
        <v>2.84</v>
      </c>
      <c r="CI189">
        <v>-5.96</v>
      </c>
      <c r="CJ189">
        <v>26</v>
      </c>
      <c r="CK189">
        <v>-5.0263999999999989</v>
      </c>
      <c r="CL189">
        <v>-2.5276799999999997</v>
      </c>
      <c r="CM189">
        <v>-26.960000000000015</v>
      </c>
      <c r="CN189">
        <v>5.0263999999999989</v>
      </c>
      <c r="CO189">
        <v>-0.31755000000000033</v>
      </c>
      <c r="CP189">
        <v>-9.5980000000000008</v>
      </c>
      <c r="CQ189">
        <v>-45.070000000000007</v>
      </c>
      <c r="CR189">
        <v>2.9879999999999982</v>
      </c>
      <c r="CS189">
        <v>18.649999999999999</v>
      </c>
      <c r="CT189">
        <v>-3.0500000000000003</v>
      </c>
      <c r="CU189">
        <v>-5.0000000000000044E-2</v>
      </c>
      <c r="CV189">
        <v>0.31630000000000014</v>
      </c>
      <c r="CW189">
        <v>1.3752000000000004</v>
      </c>
      <c r="CX189" t="s">
        <v>287</v>
      </c>
      <c r="CY189">
        <v>26</v>
      </c>
      <c r="CZ189">
        <v>-2.6624000000000003</v>
      </c>
      <c r="DA189">
        <v>7</v>
      </c>
      <c r="DB189">
        <v>10</v>
      </c>
      <c r="DC189">
        <v>11</v>
      </c>
      <c r="DD189">
        <v>4.048</v>
      </c>
      <c r="DE189">
        <v>9</v>
      </c>
      <c r="DF189">
        <v>19.919999999999998</v>
      </c>
      <c r="DG189">
        <v>0.39999999999999991</v>
      </c>
      <c r="DH189">
        <v>21</v>
      </c>
      <c r="DI189">
        <v>18.5</v>
      </c>
      <c r="DJ189">
        <v>9</v>
      </c>
      <c r="DK189">
        <v>-0.50640000000000052</v>
      </c>
      <c r="DL189">
        <v>28</v>
      </c>
      <c r="DM189">
        <v>8.48</v>
      </c>
      <c r="DN189">
        <v>-1.1199999999999999</v>
      </c>
      <c r="DO189">
        <v>28</v>
      </c>
      <c r="DP189">
        <v>26.5</v>
      </c>
      <c r="DQ189">
        <v>26</v>
      </c>
      <c r="DR189">
        <v>-3.2400000000000007</v>
      </c>
      <c r="DS189">
        <v>27</v>
      </c>
      <c r="DT189">
        <v>-21.4</v>
      </c>
      <c r="DU189">
        <v>-0.84000000000000019</v>
      </c>
      <c r="DV189">
        <v>21</v>
      </c>
      <c r="DW189">
        <v>22</v>
      </c>
      <c r="DX189">
        <v>22</v>
      </c>
      <c r="DY189">
        <v>-1.9319999999999999</v>
      </c>
      <c r="DZ189">
        <v>22</v>
      </c>
      <c r="EA189">
        <v>-3.28</v>
      </c>
      <c r="EB189">
        <v>-1.3599999999999999</v>
      </c>
      <c r="EC189">
        <v>18</v>
      </c>
      <c r="ED189">
        <v>20.5</v>
      </c>
      <c r="EE189">
        <v>23</v>
      </c>
      <c r="EF189">
        <v>0.15199999999999977</v>
      </c>
      <c r="EG189">
        <v>18</v>
      </c>
      <c r="EH189">
        <v>1.1999999999999993</v>
      </c>
      <c r="EI189">
        <v>-0.20000000000000004</v>
      </c>
      <c r="EJ189">
        <v>22</v>
      </c>
      <c r="EK189">
        <v>23</v>
      </c>
      <c r="EL189">
        <v>25</v>
      </c>
      <c r="EM189">
        <v>1.4439999999999997</v>
      </c>
      <c r="EN189">
        <v>21</v>
      </c>
      <c r="EO189">
        <v>12.839999999999998</v>
      </c>
      <c r="EP189">
        <v>-1.44</v>
      </c>
      <c r="EQ189">
        <v>30</v>
      </c>
      <c r="ER189">
        <v>27.5</v>
      </c>
      <c r="ES189">
        <v>28</v>
      </c>
      <c r="ET189">
        <v>-2.9999999999999991</v>
      </c>
      <c r="EU189">
        <v>27</v>
      </c>
      <c r="EV189">
        <v>-8.32</v>
      </c>
      <c r="EW189">
        <v>-1.56</v>
      </c>
      <c r="EX189">
        <v>3</v>
      </c>
      <c r="EY189">
        <v>3.5</v>
      </c>
      <c r="EZ189">
        <v>4</v>
      </c>
      <c r="FA189">
        <v>1.1999999999999997</v>
      </c>
      <c r="FB189">
        <v>3</v>
      </c>
      <c r="FC189">
        <v>0.55999999999999994</v>
      </c>
      <c r="FD189">
        <v>-1.1199999999999997</v>
      </c>
      <c r="FE189">
        <v>25</v>
      </c>
      <c r="FF189">
        <v>21.5</v>
      </c>
      <c r="FG189">
        <v>20</v>
      </c>
      <c r="FH189">
        <v>-1.5040928549718635E-2</v>
      </c>
      <c r="FI189">
        <v>25</v>
      </c>
      <c r="FJ189">
        <v>-1.4132125181737749E-2</v>
      </c>
      <c r="FK189">
        <v>18</v>
      </c>
      <c r="FL189">
        <v>-7.2759999999999989</v>
      </c>
      <c r="FM189">
        <v>23</v>
      </c>
      <c r="FN189">
        <v>-0.68000000000000027</v>
      </c>
      <c r="FO189">
        <v>-3.56</v>
      </c>
      <c r="FP189">
        <v>4.5199999999999996</v>
      </c>
      <c r="FQ189">
        <v>0.27999999999999997</v>
      </c>
      <c r="FR189">
        <v>0.72000000000000031</v>
      </c>
      <c r="FS189">
        <v>-2.2399999999999998</v>
      </c>
      <c r="FT189">
        <v>0.27999999999999997</v>
      </c>
      <c r="FU189">
        <v>10.880000000000006</v>
      </c>
      <c r="FV189">
        <v>-17.159999999999997</v>
      </c>
      <c r="FW189">
        <v>28.160000000000004</v>
      </c>
      <c r="FX189">
        <v>0.72</v>
      </c>
      <c r="FY189">
        <v>-0.83999999999999986</v>
      </c>
      <c r="FZ189">
        <v>27</v>
      </c>
      <c r="GA189">
        <v>-6.2039999999999997</v>
      </c>
      <c r="GB189">
        <v>-3.9072799999999992</v>
      </c>
      <c r="GC189">
        <v>-45.32</v>
      </c>
      <c r="GD189">
        <v>6.2039999999999997</v>
      </c>
      <c r="GE189">
        <v>-0.74260000000000015</v>
      </c>
      <c r="GF189">
        <v>-5.0200000000000005</v>
      </c>
      <c r="GG189">
        <v>-23.48</v>
      </c>
      <c r="GH189">
        <v>3.5415999999999994</v>
      </c>
      <c r="GI189">
        <v>28.4</v>
      </c>
      <c r="GJ189">
        <v>-3.9600000000000004</v>
      </c>
      <c r="GK189">
        <v>-0.72</v>
      </c>
    </row>
    <row r="190" spans="1:193" x14ac:dyDescent="0.2">
      <c r="A190" s="39">
        <v>43779</v>
      </c>
      <c r="B190" s="22" t="s">
        <v>244</v>
      </c>
      <c r="C190" s="41" t="s">
        <v>287</v>
      </c>
      <c r="D190" s="22" t="s">
        <v>303</v>
      </c>
      <c r="E190">
        <v>16.600000000000001</v>
      </c>
      <c r="F190">
        <v>7.5</v>
      </c>
      <c r="G190">
        <v>0</v>
      </c>
      <c r="H190">
        <v>13</v>
      </c>
      <c r="I190">
        <v>-1</v>
      </c>
      <c r="J190">
        <v>49</v>
      </c>
      <c r="L190" s="1" t="s">
        <v>287</v>
      </c>
      <c r="M190">
        <v>20</v>
      </c>
      <c r="N190">
        <v>-1.2671999999999992</v>
      </c>
      <c r="O190">
        <v>17</v>
      </c>
      <c r="P190">
        <v>17</v>
      </c>
      <c r="Q190">
        <v>17</v>
      </c>
      <c r="R190">
        <v>0.33999999999999808</v>
      </c>
      <c r="S190">
        <v>17</v>
      </c>
      <c r="T190">
        <v>-29.32</v>
      </c>
      <c r="U190">
        <v>2.0799999999999996</v>
      </c>
      <c r="V190">
        <v>3</v>
      </c>
      <c r="W190">
        <v>4.5</v>
      </c>
      <c r="X190">
        <v>1</v>
      </c>
      <c r="Y190">
        <v>6.5759999999999987</v>
      </c>
      <c r="Z190">
        <v>8</v>
      </c>
      <c r="AA190">
        <v>7.85</v>
      </c>
      <c r="AB190">
        <v>2.23</v>
      </c>
      <c r="AC190">
        <v>9</v>
      </c>
      <c r="AD190">
        <v>10</v>
      </c>
      <c r="AE190">
        <v>9</v>
      </c>
      <c r="AF190">
        <v>-6.3230000000000004</v>
      </c>
      <c r="AG190">
        <v>11</v>
      </c>
      <c r="AH190">
        <v>-31.079999999999995</v>
      </c>
      <c r="AI190">
        <v>-5.999999999999979E-2</v>
      </c>
      <c r="AJ190">
        <v>5</v>
      </c>
      <c r="AK190">
        <v>5.5</v>
      </c>
      <c r="AL190">
        <v>10</v>
      </c>
      <c r="AM190">
        <v>1.3730000000000004</v>
      </c>
      <c r="AN190">
        <v>1</v>
      </c>
      <c r="AO190">
        <v>21.11</v>
      </c>
      <c r="AP190">
        <v>0.91999999999999993</v>
      </c>
      <c r="AQ190">
        <v>28</v>
      </c>
      <c r="AR190">
        <v>28.5</v>
      </c>
      <c r="AS190">
        <v>30</v>
      </c>
      <c r="AT190">
        <v>-2.7600000000000002</v>
      </c>
      <c r="AU190">
        <v>27</v>
      </c>
      <c r="AV190">
        <v>-11.5</v>
      </c>
      <c r="AW190">
        <v>-1.9099999999999997</v>
      </c>
      <c r="AX190">
        <v>10</v>
      </c>
      <c r="AY190">
        <v>11</v>
      </c>
      <c r="AZ190">
        <v>11</v>
      </c>
      <c r="BA190">
        <v>1.4159999999999997</v>
      </c>
      <c r="BB190">
        <v>11</v>
      </c>
      <c r="BC190">
        <v>17.359999999999996</v>
      </c>
      <c r="BD190">
        <v>0.83999999999999986</v>
      </c>
      <c r="BE190">
        <v>26</v>
      </c>
      <c r="BF190">
        <v>26.5</v>
      </c>
      <c r="BG190">
        <v>27</v>
      </c>
      <c r="BH190">
        <v>1.1199999999999986</v>
      </c>
      <c r="BI190">
        <v>9.1999999999999993</v>
      </c>
      <c r="BJ190">
        <v>-0.67999999999999972</v>
      </c>
      <c r="BK190">
        <v>4</v>
      </c>
      <c r="BL190">
        <v>7</v>
      </c>
      <c r="BM190">
        <v>11</v>
      </c>
      <c r="BN190">
        <v>0.16000000000000031</v>
      </c>
      <c r="BO190">
        <v>3</v>
      </c>
      <c r="BP190">
        <v>0.32</v>
      </c>
      <c r="BQ190">
        <v>-0.68000000000000027</v>
      </c>
      <c r="BR190">
        <v>10</v>
      </c>
      <c r="BS190">
        <v>12.75</v>
      </c>
      <c r="BT190">
        <v>24</v>
      </c>
      <c r="BU190">
        <v>1.093744639398409E-2</v>
      </c>
      <c r="BV190">
        <v>12</v>
      </c>
      <c r="BW190">
        <v>-3.1902072279750011E-2</v>
      </c>
      <c r="BX190">
        <v>7</v>
      </c>
      <c r="BY190">
        <v>-3.9999999999992038E-3</v>
      </c>
      <c r="BZ190">
        <v>8</v>
      </c>
      <c r="CA190">
        <v>-1.1199999999999997</v>
      </c>
      <c r="CB190">
        <v>-6.08</v>
      </c>
      <c r="CC190">
        <v>-1.92</v>
      </c>
      <c r="CD190">
        <v>0.32</v>
      </c>
      <c r="CE190">
        <v>-20.6</v>
      </c>
      <c r="CF190">
        <v>18.119999999999997</v>
      </c>
      <c r="CG190">
        <v>-23.04</v>
      </c>
      <c r="CH190">
        <v>-1.6800000000000002</v>
      </c>
      <c r="CI190">
        <v>-14</v>
      </c>
      <c r="CJ190">
        <v>30</v>
      </c>
      <c r="CK190">
        <v>-8.1831999999999958</v>
      </c>
      <c r="CL190">
        <v>-5.0294399999999992</v>
      </c>
      <c r="CM190">
        <v>41.16</v>
      </c>
      <c r="CN190">
        <v>8.1831999999999958</v>
      </c>
      <c r="CO190">
        <v>-9.7650000000000403E-2</v>
      </c>
      <c r="CP190">
        <v>-7.7100000000000009</v>
      </c>
      <c r="CQ190">
        <v>-21.469999999999995</v>
      </c>
      <c r="CR190">
        <v>6.9159999999999968</v>
      </c>
      <c r="CS190">
        <v>-21.47</v>
      </c>
      <c r="CT190">
        <v>-1.7299999999999993</v>
      </c>
      <c r="CU190">
        <v>4.3099999999999996</v>
      </c>
      <c r="CV190">
        <v>0.31630000000000014</v>
      </c>
      <c r="CW190">
        <v>-0.74260000000000015</v>
      </c>
      <c r="CX190" t="s">
        <v>303</v>
      </c>
      <c r="CY190">
        <v>13</v>
      </c>
      <c r="CZ190">
        <v>5.5055999999999994</v>
      </c>
      <c r="DA190">
        <v>13</v>
      </c>
      <c r="DB190">
        <v>12</v>
      </c>
      <c r="DC190">
        <v>10</v>
      </c>
      <c r="DD190">
        <v>-2.1360000000000001</v>
      </c>
      <c r="DE190">
        <v>14</v>
      </c>
      <c r="DF190">
        <v>4.4000000000000004</v>
      </c>
      <c r="DG190">
        <v>-1.9599999999999997</v>
      </c>
      <c r="DH190">
        <v>6</v>
      </c>
      <c r="DI190">
        <v>8.5</v>
      </c>
      <c r="DJ190">
        <v>6</v>
      </c>
      <c r="DK190">
        <v>1.6600000000000006</v>
      </c>
      <c r="DL190">
        <v>11</v>
      </c>
      <c r="DM190">
        <v>-9.8000000000000007</v>
      </c>
      <c r="DN190">
        <v>0.4</v>
      </c>
      <c r="DO190">
        <v>18</v>
      </c>
      <c r="DP190">
        <v>25</v>
      </c>
      <c r="DQ190">
        <v>25</v>
      </c>
      <c r="DR190">
        <v>9.360000000000003</v>
      </c>
      <c r="DS190">
        <v>25</v>
      </c>
      <c r="DT190">
        <v>40.119999999999997</v>
      </c>
      <c r="DU190">
        <v>0.88000000000000012</v>
      </c>
      <c r="DV190">
        <v>9</v>
      </c>
      <c r="DW190">
        <v>10</v>
      </c>
      <c r="DX190">
        <v>11</v>
      </c>
      <c r="DY190">
        <v>-2.5160000000000005</v>
      </c>
      <c r="DZ190">
        <v>9</v>
      </c>
      <c r="EA190">
        <v>-9.9599999999999973</v>
      </c>
      <c r="EB190">
        <v>-0.83999999999999986</v>
      </c>
      <c r="EC190">
        <v>25</v>
      </c>
      <c r="ED190">
        <v>32</v>
      </c>
      <c r="EE190">
        <v>32</v>
      </c>
      <c r="EF190">
        <v>-1.988</v>
      </c>
      <c r="EG190">
        <v>32</v>
      </c>
      <c r="EH190">
        <v>-6.28</v>
      </c>
      <c r="EI190">
        <v>0.36000000000000004</v>
      </c>
      <c r="EJ190">
        <v>31</v>
      </c>
      <c r="EK190">
        <v>31</v>
      </c>
      <c r="EL190">
        <v>31</v>
      </c>
      <c r="EM190">
        <v>-1.1240000000000017</v>
      </c>
      <c r="EN190">
        <v>31</v>
      </c>
      <c r="EO190">
        <v>-12.84</v>
      </c>
      <c r="EP190">
        <v>-1.0400000000000003</v>
      </c>
      <c r="EQ190">
        <v>22</v>
      </c>
      <c r="ER190">
        <v>23.5</v>
      </c>
      <c r="ES190">
        <v>26</v>
      </c>
      <c r="ET190">
        <v>3.3559999999999994</v>
      </c>
      <c r="EU190">
        <v>21</v>
      </c>
      <c r="EV190">
        <v>3.1999999999999993</v>
      </c>
      <c r="EW190">
        <v>1.72</v>
      </c>
      <c r="EX190">
        <v>27</v>
      </c>
      <c r="EY190">
        <v>25.5</v>
      </c>
      <c r="EZ190">
        <v>22</v>
      </c>
      <c r="FA190">
        <v>-2.2400000000000002</v>
      </c>
      <c r="FB190">
        <v>29</v>
      </c>
      <c r="FC190">
        <v>-1.2</v>
      </c>
      <c r="FD190">
        <v>-3.2</v>
      </c>
      <c r="FE190">
        <v>10</v>
      </c>
      <c r="FF190">
        <v>13.25</v>
      </c>
      <c r="FG190">
        <v>12</v>
      </c>
      <c r="FH190">
        <v>2.8620976853145862E-2</v>
      </c>
      <c r="FI190">
        <v>11</v>
      </c>
      <c r="FJ190">
        <v>1.8972995743218618E-2</v>
      </c>
      <c r="FK190">
        <v>12</v>
      </c>
      <c r="FL190">
        <v>-1.7839999999999976</v>
      </c>
      <c r="FM190">
        <v>18</v>
      </c>
      <c r="FN190">
        <v>0.64000000000000024</v>
      </c>
      <c r="FO190">
        <v>-1.3600000000000008</v>
      </c>
      <c r="FP190">
        <v>-0.28000000000000042</v>
      </c>
      <c r="FQ190">
        <v>0.56000000000000005</v>
      </c>
      <c r="FR190">
        <v>-0.15999999999999942</v>
      </c>
      <c r="FS190">
        <v>4.3599999999999994</v>
      </c>
      <c r="FT190">
        <v>-1.1199999999999999</v>
      </c>
      <c r="FU190">
        <v>32.760000000000005</v>
      </c>
      <c r="FV190">
        <v>32.64</v>
      </c>
      <c r="FW190">
        <v>-3.7199999999999989</v>
      </c>
      <c r="FX190">
        <v>4.5200000000000005</v>
      </c>
      <c r="FY190">
        <v>-0.67999999999999938</v>
      </c>
      <c r="FZ190">
        <v>4</v>
      </c>
      <c r="GA190">
        <v>5.9815999999999985</v>
      </c>
      <c r="GB190">
        <v>2.9815200000000006</v>
      </c>
      <c r="GC190">
        <v>36.36</v>
      </c>
      <c r="GD190">
        <v>-5.9815999999999985</v>
      </c>
      <c r="GE190">
        <v>1.3752000000000004</v>
      </c>
      <c r="GF190">
        <v>4.8560000000000034</v>
      </c>
      <c r="GG190">
        <v>23.88</v>
      </c>
      <c r="GH190">
        <v>-0.47599999999999953</v>
      </c>
      <c r="GI190">
        <v>-5.4</v>
      </c>
      <c r="GJ190">
        <v>2.12</v>
      </c>
      <c r="GK190">
        <v>-1.5599999999999996</v>
      </c>
    </row>
    <row r="191" spans="1:193" x14ac:dyDescent="0.2">
      <c r="A191" s="39">
        <v>43779</v>
      </c>
      <c r="B191" s="22" t="s">
        <v>244</v>
      </c>
      <c r="C191" s="41" t="s">
        <v>304</v>
      </c>
      <c r="D191" s="22" t="s">
        <v>309</v>
      </c>
      <c r="E191" s="14">
        <v>0</v>
      </c>
      <c r="F191">
        <v>16.5</v>
      </c>
      <c r="G191">
        <v>7.9</v>
      </c>
      <c r="H191">
        <f>14.8+5.2+1.9</f>
        <v>21.9</v>
      </c>
      <c r="I191">
        <v>-4</v>
      </c>
      <c r="J191">
        <v>43</v>
      </c>
      <c r="K191" t="s">
        <v>110</v>
      </c>
      <c r="L191" s="1" t="s">
        <v>304</v>
      </c>
      <c r="M191">
        <v>27</v>
      </c>
      <c r="N191">
        <v>-4.3488000000000016</v>
      </c>
      <c r="O191">
        <v>12</v>
      </c>
      <c r="P191">
        <v>14.5</v>
      </c>
      <c r="Q191">
        <v>15</v>
      </c>
      <c r="R191">
        <v>-4.6320000000000006</v>
      </c>
      <c r="S191">
        <v>14</v>
      </c>
      <c r="T191">
        <v>-15.080000000000002</v>
      </c>
      <c r="U191">
        <v>-1.1200000000000003</v>
      </c>
      <c r="V191">
        <v>21</v>
      </c>
      <c r="W191">
        <v>19</v>
      </c>
      <c r="X191">
        <v>21</v>
      </c>
      <c r="Y191">
        <v>-0.74400000000000044</v>
      </c>
      <c r="Z191">
        <v>17</v>
      </c>
      <c r="AA191">
        <v>4.1599999999999993</v>
      </c>
      <c r="AB191">
        <v>-0.12000000000000002</v>
      </c>
      <c r="AC191">
        <v>12</v>
      </c>
      <c r="AD191">
        <v>13</v>
      </c>
      <c r="AE191">
        <v>13</v>
      </c>
      <c r="AF191">
        <v>2.1599999999999993</v>
      </c>
      <c r="AG191">
        <v>13</v>
      </c>
      <c r="AH191">
        <v>9.879999999999999</v>
      </c>
      <c r="AI191">
        <v>2.04</v>
      </c>
      <c r="AJ191">
        <v>4</v>
      </c>
      <c r="AK191">
        <v>4.5</v>
      </c>
      <c r="AL191">
        <v>7</v>
      </c>
      <c r="AM191">
        <v>0.1439999999999996</v>
      </c>
      <c r="AN191">
        <v>2</v>
      </c>
      <c r="AO191">
        <v>3.6000000000000005</v>
      </c>
      <c r="AP191">
        <v>0.6</v>
      </c>
      <c r="AQ191">
        <v>8</v>
      </c>
      <c r="AR191">
        <v>8.5</v>
      </c>
      <c r="AS191">
        <v>8</v>
      </c>
      <c r="AT191">
        <v>2.7680000000000007</v>
      </c>
      <c r="AU191">
        <v>9</v>
      </c>
      <c r="AV191">
        <v>14.040000000000001</v>
      </c>
      <c r="AW191">
        <v>1.6799999999999997</v>
      </c>
      <c r="AX191">
        <v>5</v>
      </c>
      <c r="AY191">
        <v>5</v>
      </c>
      <c r="AZ191">
        <v>8</v>
      </c>
      <c r="BA191">
        <v>-0.82400000000000007</v>
      </c>
      <c r="BB191">
        <v>2</v>
      </c>
      <c r="BC191">
        <v>6.1599999999999984</v>
      </c>
      <c r="BD191">
        <v>-0.4</v>
      </c>
      <c r="BE191">
        <v>12</v>
      </c>
      <c r="BF191">
        <v>12.5</v>
      </c>
      <c r="BG191">
        <v>14</v>
      </c>
      <c r="BH191">
        <v>2.3240000000000003</v>
      </c>
      <c r="BI191">
        <v>20.04</v>
      </c>
      <c r="BJ191">
        <v>3.2399999999999998</v>
      </c>
      <c r="BK191">
        <v>16</v>
      </c>
      <c r="BL191">
        <v>15.5</v>
      </c>
      <c r="BM191">
        <v>18</v>
      </c>
      <c r="BN191">
        <v>-0.8</v>
      </c>
      <c r="BO191">
        <v>13</v>
      </c>
      <c r="BP191">
        <v>0</v>
      </c>
      <c r="BQ191">
        <v>3.5599999999999996</v>
      </c>
      <c r="BR191">
        <v>23</v>
      </c>
      <c r="BS191">
        <v>20.5</v>
      </c>
      <c r="BT191">
        <v>32</v>
      </c>
      <c r="BU191">
        <v>1.6062355010023333E-2</v>
      </c>
      <c r="BV191">
        <v>29</v>
      </c>
      <c r="BW191">
        <v>-1.8271563851232735E-2</v>
      </c>
      <c r="BX191">
        <v>8</v>
      </c>
      <c r="BY191">
        <v>-16.255999999999997</v>
      </c>
      <c r="BZ191">
        <v>13</v>
      </c>
      <c r="CA191">
        <v>-0.72</v>
      </c>
      <c r="CB191">
        <v>0.16000000000000086</v>
      </c>
      <c r="CC191">
        <v>-3.4799999999999995</v>
      </c>
      <c r="CD191">
        <v>0.44000000000000006</v>
      </c>
      <c r="CE191">
        <v>-22.04000000000001</v>
      </c>
      <c r="CF191">
        <v>15.680000000000007</v>
      </c>
      <c r="CG191">
        <v>-13.040000000000001</v>
      </c>
      <c r="CH191">
        <v>6.6800000000000015</v>
      </c>
      <c r="CI191">
        <v>-31.360000000000003</v>
      </c>
      <c r="CJ191">
        <v>16</v>
      </c>
      <c r="CK191">
        <v>1.0271999999999994</v>
      </c>
      <c r="CL191">
        <v>3.2974400000000004</v>
      </c>
      <c r="CM191">
        <v>28.720000000000006</v>
      </c>
      <c r="CN191">
        <v>-1.0271999999999997</v>
      </c>
      <c r="CO191">
        <v>-0.39110000000000034</v>
      </c>
      <c r="CP191">
        <v>5.0719999999999992</v>
      </c>
      <c r="CQ191">
        <v>27.520000000000003</v>
      </c>
      <c r="CR191">
        <v>-5.3760000000000012</v>
      </c>
      <c r="CS191">
        <v>-10.920000000000002</v>
      </c>
      <c r="CT191">
        <v>7.5600000000000005</v>
      </c>
      <c r="CU191">
        <v>-1.2400000000000004</v>
      </c>
      <c r="CV191">
        <v>-1.1518999999999997</v>
      </c>
      <c r="CW191">
        <v>-1.3088499999999992</v>
      </c>
      <c r="CX191" t="s">
        <v>309</v>
      </c>
      <c r="CY191">
        <v>31</v>
      </c>
      <c r="CZ191">
        <v>-3.1476000000000011</v>
      </c>
      <c r="DA191">
        <v>22</v>
      </c>
      <c r="DB191">
        <v>21.5</v>
      </c>
      <c r="DC191">
        <v>32</v>
      </c>
      <c r="DD191">
        <v>-3.2679999999999993</v>
      </c>
      <c r="DE191">
        <v>11</v>
      </c>
      <c r="DF191">
        <v>0.15999999999999942</v>
      </c>
      <c r="DG191">
        <v>-0.20000000000000012</v>
      </c>
      <c r="DH191">
        <v>16</v>
      </c>
      <c r="DI191">
        <v>16.5</v>
      </c>
      <c r="DJ191">
        <v>12</v>
      </c>
      <c r="DK191">
        <v>-3.0479999999999996</v>
      </c>
      <c r="DL191">
        <v>21</v>
      </c>
      <c r="DM191">
        <v>-11.28</v>
      </c>
      <c r="DN191">
        <v>-0.72000000000000008</v>
      </c>
      <c r="DO191">
        <v>26</v>
      </c>
      <c r="DP191">
        <v>29.5</v>
      </c>
      <c r="DQ191">
        <v>28</v>
      </c>
      <c r="DR191">
        <v>-3.6146666666666674</v>
      </c>
      <c r="DS191">
        <v>31</v>
      </c>
      <c r="DT191">
        <v>-22.28</v>
      </c>
      <c r="DU191">
        <v>-1.5466666666666666</v>
      </c>
      <c r="DV191">
        <v>29</v>
      </c>
      <c r="DW191">
        <v>29.5</v>
      </c>
      <c r="DX191">
        <v>31</v>
      </c>
      <c r="DY191">
        <v>2.2626666666666666</v>
      </c>
      <c r="DZ191">
        <v>28</v>
      </c>
      <c r="EA191">
        <v>18.12</v>
      </c>
      <c r="EB191">
        <v>2.1733333333333329</v>
      </c>
      <c r="EC191">
        <v>5</v>
      </c>
      <c r="ED191">
        <v>25</v>
      </c>
      <c r="EE191">
        <v>27</v>
      </c>
      <c r="EF191">
        <v>2.1959999999999997</v>
      </c>
      <c r="EG191">
        <v>23</v>
      </c>
      <c r="EH191">
        <v>5.9599999999999991</v>
      </c>
      <c r="EI191">
        <v>0.19999999999999996</v>
      </c>
      <c r="EJ191">
        <v>27</v>
      </c>
      <c r="EK191">
        <v>27</v>
      </c>
      <c r="EL191">
        <v>30</v>
      </c>
      <c r="EM191">
        <v>4.0919999999999979</v>
      </c>
      <c r="EN191">
        <v>24</v>
      </c>
      <c r="EO191">
        <v>-8.6799999999999979</v>
      </c>
      <c r="EP191">
        <v>0.7999999999999996</v>
      </c>
      <c r="EQ191">
        <v>24</v>
      </c>
      <c r="ER191">
        <v>24</v>
      </c>
      <c r="ES191">
        <v>24</v>
      </c>
      <c r="ET191">
        <v>2.7</v>
      </c>
      <c r="EU191">
        <v>24</v>
      </c>
      <c r="EV191">
        <v>-3.8000000000000029</v>
      </c>
      <c r="EW191">
        <v>1.1200000000000003</v>
      </c>
      <c r="EX191">
        <v>30</v>
      </c>
      <c r="EY191">
        <v>27.5</v>
      </c>
      <c r="EZ191">
        <v>31</v>
      </c>
      <c r="FA191">
        <v>-2.04</v>
      </c>
      <c r="FB191">
        <v>24</v>
      </c>
      <c r="FC191">
        <v>-0.15999999999999998</v>
      </c>
      <c r="FD191">
        <v>-1.28</v>
      </c>
      <c r="FE191">
        <v>1</v>
      </c>
      <c r="FF191">
        <v>5.25</v>
      </c>
      <c r="FG191">
        <v>2</v>
      </c>
      <c r="FH191">
        <v>7.8838823260693039E-2</v>
      </c>
      <c r="FI191">
        <v>1</v>
      </c>
      <c r="FJ191">
        <v>4.1244940367669729E-2</v>
      </c>
      <c r="FK191">
        <v>16</v>
      </c>
      <c r="FL191">
        <v>-3.1679999999999966</v>
      </c>
      <c r="FM191">
        <v>2</v>
      </c>
      <c r="FN191">
        <v>8.9999999999999982</v>
      </c>
      <c r="FO191">
        <v>2.04</v>
      </c>
      <c r="FP191">
        <v>-2.3599999999999994</v>
      </c>
      <c r="FQ191">
        <v>-4.0000000000000126E-2</v>
      </c>
      <c r="FR191">
        <v>1.4</v>
      </c>
      <c r="FS191">
        <v>-3.44</v>
      </c>
      <c r="FT191">
        <v>-0.36000000000000015</v>
      </c>
      <c r="FU191">
        <v>-25.360000000000003</v>
      </c>
      <c r="FV191">
        <v>-8.3199999999999932</v>
      </c>
      <c r="FW191">
        <v>-13.719999999999999</v>
      </c>
      <c r="FX191">
        <v>0.95999999999999974</v>
      </c>
      <c r="FY191">
        <v>-4.2799999999999994</v>
      </c>
      <c r="FZ191">
        <v>7</v>
      </c>
      <c r="GA191">
        <v>3.1683999999999979</v>
      </c>
      <c r="GB191">
        <v>3.2372799999999988</v>
      </c>
      <c r="GC191">
        <v>5.4000000000000057</v>
      </c>
      <c r="GD191">
        <v>-3.1683999999999979</v>
      </c>
      <c r="GE191">
        <v>-0.99495000000000022</v>
      </c>
      <c r="GF191">
        <v>0.84399999999999897</v>
      </c>
      <c r="GG191">
        <v>1.7999999999999989</v>
      </c>
      <c r="GH191">
        <v>-6.3159999999999989</v>
      </c>
      <c r="GI191">
        <v>-11.12</v>
      </c>
      <c r="GJ191">
        <v>1.9466666666666665</v>
      </c>
      <c r="GK191">
        <v>-0.92000000000000015</v>
      </c>
    </row>
    <row r="192" spans="1:193" x14ac:dyDescent="0.2">
      <c r="A192" s="39">
        <v>43779</v>
      </c>
      <c r="B192" s="22" t="s">
        <v>244</v>
      </c>
      <c r="C192" s="41" t="s">
        <v>293</v>
      </c>
      <c r="D192" s="22" t="s">
        <v>289</v>
      </c>
      <c r="E192">
        <v>11.9</v>
      </c>
      <c r="F192">
        <v>5.2</v>
      </c>
      <c r="G192">
        <v>3.5</v>
      </c>
      <c r="H192">
        <f>4.8+1.8</f>
        <v>6.6</v>
      </c>
      <c r="I192">
        <v>11</v>
      </c>
      <c r="J192">
        <v>44.5</v>
      </c>
      <c r="K192" t="s">
        <v>110</v>
      </c>
      <c r="L192" s="1" t="s">
        <v>293</v>
      </c>
      <c r="M192">
        <v>14</v>
      </c>
      <c r="N192">
        <v>0.5991999999999994</v>
      </c>
      <c r="O192">
        <v>31</v>
      </c>
      <c r="P192">
        <v>29</v>
      </c>
      <c r="Q192">
        <v>27</v>
      </c>
      <c r="R192">
        <v>-5.0439999999999996</v>
      </c>
      <c r="S192">
        <v>31</v>
      </c>
      <c r="T192">
        <v>-25.879999999999995</v>
      </c>
      <c r="U192">
        <v>1.3599999999999999</v>
      </c>
      <c r="V192">
        <v>26</v>
      </c>
      <c r="W192">
        <v>24.5</v>
      </c>
      <c r="X192">
        <v>23</v>
      </c>
      <c r="Y192">
        <v>-1.736</v>
      </c>
      <c r="Z192">
        <v>26</v>
      </c>
      <c r="AA192">
        <v>3.44</v>
      </c>
      <c r="AB192">
        <v>-0.36000000000000004</v>
      </c>
      <c r="AC192">
        <v>1</v>
      </c>
      <c r="AD192">
        <v>1.5</v>
      </c>
      <c r="AE192">
        <v>2</v>
      </c>
      <c r="AF192">
        <v>-0.72400000000000053</v>
      </c>
      <c r="AG192">
        <v>1</v>
      </c>
      <c r="AH192">
        <v>-4.1599999999999993</v>
      </c>
      <c r="AI192">
        <v>0.84000000000000041</v>
      </c>
      <c r="AJ192">
        <v>18</v>
      </c>
      <c r="AK192">
        <v>18.5</v>
      </c>
      <c r="AL192">
        <v>18</v>
      </c>
      <c r="AM192">
        <v>-0.1279999999999987</v>
      </c>
      <c r="AN192">
        <v>19</v>
      </c>
      <c r="AO192">
        <v>-8.120000000000001</v>
      </c>
      <c r="AP192">
        <v>0.40000000000000008</v>
      </c>
      <c r="AQ192">
        <v>5</v>
      </c>
      <c r="AR192">
        <v>5.5</v>
      </c>
      <c r="AS192">
        <v>4</v>
      </c>
      <c r="AT192">
        <v>0.94799999999999984</v>
      </c>
      <c r="AU192">
        <v>7</v>
      </c>
      <c r="AV192">
        <v>3.080000000000001</v>
      </c>
      <c r="AW192">
        <v>0.6399999999999999</v>
      </c>
      <c r="AX192">
        <v>1</v>
      </c>
      <c r="AY192">
        <v>1</v>
      </c>
      <c r="AZ192">
        <v>1</v>
      </c>
      <c r="BA192">
        <v>0.69200000000000128</v>
      </c>
      <c r="BB192">
        <v>1</v>
      </c>
      <c r="BC192">
        <v>10.52</v>
      </c>
      <c r="BD192">
        <v>1.5999999999999999</v>
      </c>
      <c r="BE192">
        <v>10</v>
      </c>
      <c r="BF192">
        <v>11</v>
      </c>
      <c r="BG192">
        <v>12</v>
      </c>
      <c r="BH192">
        <v>-2.6120000000000005</v>
      </c>
      <c r="BI192">
        <v>-1.4</v>
      </c>
      <c r="BJ192">
        <v>-1.2</v>
      </c>
      <c r="BK192">
        <v>13</v>
      </c>
      <c r="BL192">
        <v>12</v>
      </c>
      <c r="BM192">
        <v>3</v>
      </c>
      <c r="BN192">
        <v>-2.2800000000000002</v>
      </c>
      <c r="BO192">
        <v>21</v>
      </c>
      <c r="BP192">
        <v>-1.0399999999999998</v>
      </c>
      <c r="BQ192">
        <v>-3.3200000000000003</v>
      </c>
      <c r="BR192">
        <v>16</v>
      </c>
      <c r="BS192">
        <v>14.5</v>
      </c>
      <c r="BT192">
        <v>12</v>
      </c>
      <c r="BU192">
        <v>3.4493755995173847E-3</v>
      </c>
      <c r="BV192">
        <v>10</v>
      </c>
      <c r="BW192">
        <v>-6.3704847837137927E-3</v>
      </c>
      <c r="BX192">
        <v>14</v>
      </c>
      <c r="BY192">
        <v>2.2919999999999989</v>
      </c>
      <c r="BZ192">
        <v>22</v>
      </c>
      <c r="CA192">
        <v>0.76000000000000012</v>
      </c>
      <c r="CB192">
        <v>-0.95999999999999797</v>
      </c>
      <c r="CC192">
        <v>-1.2799999999999998</v>
      </c>
      <c r="CD192">
        <v>-0.48000000000000009</v>
      </c>
      <c r="CE192">
        <v>-35.679999999999993</v>
      </c>
      <c r="CF192">
        <v>-6.199999999999994</v>
      </c>
      <c r="CG192">
        <v>-25.24</v>
      </c>
      <c r="CH192">
        <v>-2.3600000000000003</v>
      </c>
      <c r="CI192">
        <v>-1.8800000000000003</v>
      </c>
      <c r="CJ192">
        <v>6</v>
      </c>
      <c r="CK192">
        <v>7.3791999999999991</v>
      </c>
      <c r="CL192">
        <v>3.0066399999999995</v>
      </c>
      <c r="CM192">
        <v>19.040000000000006</v>
      </c>
      <c r="CN192">
        <v>-7.3791999999999991</v>
      </c>
      <c r="CO192">
        <v>-1.3721000000000001</v>
      </c>
      <c r="CP192">
        <v>9.600000000000064E-2</v>
      </c>
      <c r="CQ192">
        <v>-9.1999999999999993</v>
      </c>
      <c r="CR192">
        <v>-6.7799999999999994</v>
      </c>
      <c r="CS192">
        <v>-22.439999999999994</v>
      </c>
      <c r="CT192">
        <v>0.68000000000000038</v>
      </c>
      <c r="CU192">
        <v>0.99999999999999978</v>
      </c>
      <c r="CV192">
        <v>0.24352499999999999</v>
      </c>
      <c r="CW192">
        <v>1.4442999999999999</v>
      </c>
      <c r="CX192" t="s">
        <v>289</v>
      </c>
      <c r="CY192">
        <v>25</v>
      </c>
      <c r="CZ192">
        <v>-2.3596000000000004</v>
      </c>
      <c r="DA192">
        <v>20</v>
      </c>
      <c r="DB192">
        <v>21</v>
      </c>
      <c r="DC192">
        <v>17</v>
      </c>
      <c r="DD192">
        <v>-3.2359999999999993</v>
      </c>
      <c r="DE192">
        <v>25</v>
      </c>
      <c r="DF192">
        <v>-27.24</v>
      </c>
      <c r="DG192">
        <v>1.72</v>
      </c>
      <c r="DH192">
        <v>16</v>
      </c>
      <c r="DI192">
        <v>16.5</v>
      </c>
      <c r="DJ192">
        <v>26</v>
      </c>
      <c r="DK192">
        <v>-0.68240000000000023</v>
      </c>
      <c r="DL192">
        <v>7</v>
      </c>
      <c r="DM192">
        <v>2.1599999999999993</v>
      </c>
      <c r="DN192">
        <v>-1.1600000000000001</v>
      </c>
      <c r="DO192">
        <v>24</v>
      </c>
      <c r="DP192">
        <v>20</v>
      </c>
      <c r="DQ192">
        <v>21</v>
      </c>
      <c r="DR192">
        <v>-0.22399999999999914</v>
      </c>
      <c r="DS192">
        <v>19</v>
      </c>
      <c r="DT192">
        <v>9.56</v>
      </c>
      <c r="DU192">
        <v>4.0000000000000216E-2</v>
      </c>
      <c r="DV192">
        <v>5</v>
      </c>
      <c r="DW192">
        <v>5.5</v>
      </c>
      <c r="DX192">
        <v>7</v>
      </c>
      <c r="DY192">
        <v>-2.6760000000000002</v>
      </c>
      <c r="DZ192">
        <v>4</v>
      </c>
      <c r="EA192">
        <v>0.84000000000000052</v>
      </c>
      <c r="EB192">
        <v>-1.6</v>
      </c>
      <c r="EC192">
        <v>29</v>
      </c>
      <c r="ED192">
        <v>26</v>
      </c>
      <c r="EE192">
        <v>24</v>
      </c>
      <c r="EF192">
        <v>0.45200000000000012</v>
      </c>
      <c r="EG192">
        <v>28</v>
      </c>
      <c r="EH192">
        <v>-0.71999999999999886</v>
      </c>
      <c r="EI192">
        <v>-8.8817841970012528E-17</v>
      </c>
      <c r="EJ192">
        <v>17</v>
      </c>
      <c r="EK192">
        <v>16.5</v>
      </c>
      <c r="EL192">
        <v>15</v>
      </c>
      <c r="EM192">
        <v>-1.3759999999999983</v>
      </c>
      <c r="EN192">
        <v>18</v>
      </c>
      <c r="EO192">
        <v>-4.5600000000000023</v>
      </c>
      <c r="EP192">
        <v>0.27999999999999992</v>
      </c>
      <c r="EQ192">
        <v>27</v>
      </c>
      <c r="ER192">
        <v>26</v>
      </c>
      <c r="ES192">
        <v>27</v>
      </c>
      <c r="ET192">
        <v>-1.0920000000000007</v>
      </c>
      <c r="EU192">
        <v>25</v>
      </c>
      <c r="EV192">
        <v>-3.6</v>
      </c>
      <c r="EW192">
        <v>1.0399999999999998</v>
      </c>
      <c r="EX192">
        <v>5</v>
      </c>
      <c r="EY192">
        <v>4.5</v>
      </c>
      <c r="EZ192">
        <v>5</v>
      </c>
      <c r="FA192">
        <v>2.1599999999999997</v>
      </c>
      <c r="FB192">
        <v>4</v>
      </c>
      <c r="FC192">
        <v>0.64</v>
      </c>
      <c r="FD192">
        <v>-0.59999999999999964</v>
      </c>
      <c r="FE192">
        <v>28</v>
      </c>
      <c r="FF192">
        <v>23</v>
      </c>
      <c r="FG192">
        <v>27</v>
      </c>
      <c r="FH192">
        <v>5.2152986537197091E-2</v>
      </c>
      <c r="FI192">
        <v>18</v>
      </c>
      <c r="FJ192">
        <v>7.664536553447442E-3</v>
      </c>
      <c r="FK192">
        <v>26</v>
      </c>
      <c r="FL192">
        <v>-0.47599999999999909</v>
      </c>
      <c r="FM192">
        <v>21</v>
      </c>
      <c r="FN192">
        <v>0.87999999999999989</v>
      </c>
      <c r="FO192">
        <v>1.6399999999999983</v>
      </c>
      <c r="FP192">
        <v>-2.08</v>
      </c>
      <c r="FQ192">
        <v>-0.64000000000000012</v>
      </c>
      <c r="FR192">
        <v>-0.43999999999999917</v>
      </c>
      <c r="FS192">
        <v>-4.3600000000000003</v>
      </c>
      <c r="FT192">
        <v>-7.9999999999999988E-2</v>
      </c>
      <c r="FU192">
        <v>-27.240000000000009</v>
      </c>
      <c r="FV192">
        <v>-4.3200000000000047</v>
      </c>
      <c r="FW192">
        <v>-25.240000000000002</v>
      </c>
      <c r="FX192">
        <v>-1</v>
      </c>
      <c r="FY192">
        <v>3.3200000000000003</v>
      </c>
      <c r="FZ192">
        <v>10</v>
      </c>
      <c r="GA192">
        <v>1.5587999999999993</v>
      </c>
      <c r="GB192">
        <v>0.77927999999999975</v>
      </c>
      <c r="GC192">
        <v>20.919999999999998</v>
      </c>
      <c r="GD192">
        <v>-1.5587999999999993</v>
      </c>
      <c r="GE192">
        <v>-0.95724999999999993</v>
      </c>
      <c r="GF192">
        <v>-2.4479999999999995</v>
      </c>
      <c r="GG192">
        <v>9.6800000000000015</v>
      </c>
      <c r="GH192">
        <v>-3.9183999999999997</v>
      </c>
      <c r="GI192">
        <v>-25.08</v>
      </c>
      <c r="GJ192">
        <v>-0.52</v>
      </c>
      <c r="GK192">
        <v>0.55999999999999983</v>
      </c>
    </row>
    <row r="193" spans="1:193" x14ac:dyDescent="0.2">
      <c r="A193" s="39">
        <v>43779</v>
      </c>
      <c r="B193" s="22" t="s">
        <v>244</v>
      </c>
      <c r="C193" s="41" t="s">
        <v>312</v>
      </c>
      <c r="D193" s="22" t="s">
        <v>291</v>
      </c>
      <c r="E193" s="3">
        <v>7.9</v>
      </c>
      <c r="F193">
        <v>4.5</v>
      </c>
      <c r="G193">
        <v>2</v>
      </c>
      <c r="H193">
        <f>19.4+8.4</f>
        <v>27.799999999999997</v>
      </c>
      <c r="I193">
        <v>3.5</v>
      </c>
      <c r="J193">
        <v>48.5</v>
      </c>
      <c r="L193" s="1" t="s">
        <v>312</v>
      </c>
      <c r="M193">
        <v>5</v>
      </c>
      <c r="N193">
        <v>4.4951999999999996</v>
      </c>
      <c r="O193">
        <v>12</v>
      </c>
      <c r="P193">
        <v>14.5</v>
      </c>
      <c r="Q193">
        <v>7</v>
      </c>
      <c r="R193">
        <v>3.5144000000000006</v>
      </c>
      <c r="S193">
        <v>22</v>
      </c>
      <c r="T193">
        <v>16.68</v>
      </c>
      <c r="U193">
        <v>0.32000000000000017</v>
      </c>
      <c r="V193">
        <v>5</v>
      </c>
      <c r="W193">
        <v>8</v>
      </c>
      <c r="X193">
        <v>13</v>
      </c>
      <c r="Y193">
        <v>-0.92799999999999971</v>
      </c>
      <c r="Z193">
        <v>3</v>
      </c>
      <c r="AA193">
        <v>11.2</v>
      </c>
      <c r="AB193">
        <v>-1.1599999999999999</v>
      </c>
      <c r="AC193">
        <v>16</v>
      </c>
      <c r="AD193">
        <v>17</v>
      </c>
      <c r="AE193">
        <v>18</v>
      </c>
      <c r="AF193">
        <v>6.3279999999999994</v>
      </c>
      <c r="AG193">
        <v>16</v>
      </c>
      <c r="AH193">
        <v>14.560000000000002</v>
      </c>
      <c r="AI193">
        <v>0.44000000000000022</v>
      </c>
      <c r="AJ193">
        <v>23</v>
      </c>
      <c r="AK193">
        <v>22</v>
      </c>
      <c r="AL193">
        <v>26</v>
      </c>
      <c r="AM193">
        <v>6.7960000000000012</v>
      </c>
      <c r="AN193">
        <v>18</v>
      </c>
      <c r="AO193">
        <v>38.720000000000006</v>
      </c>
      <c r="AP193">
        <v>1.08</v>
      </c>
      <c r="AQ193">
        <v>27</v>
      </c>
      <c r="AR193">
        <v>28</v>
      </c>
      <c r="AS193">
        <v>27</v>
      </c>
      <c r="AT193">
        <v>-0.92800000000000016</v>
      </c>
      <c r="AU193">
        <v>29</v>
      </c>
      <c r="AV193">
        <v>-7.9999999999999982</v>
      </c>
      <c r="AW193">
        <v>-1.44</v>
      </c>
      <c r="AX193">
        <v>29</v>
      </c>
      <c r="AY193">
        <v>29</v>
      </c>
      <c r="AZ193">
        <v>29</v>
      </c>
      <c r="BA193">
        <v>-2.2919999999999994</v>
      </c>
      <c r="BB193">
        <v>29</v>
      </c>
      <c r="BC193">
        <v>-18.36</v>
      </c>
      <c r="BD193">
        <v>-8</v>
      </c>
      <c r="BE193">
        <v>5</v>
      </c>
      <c r="BF193">
        <v>6</v>
      </c>
      <c r="BG193">
        <v>3</v>
      </c>
      <c r="BH193">
        <v>3.536</v>
      </c>
      <c r="BI193">
        <v>13.240000000000004</v>
      </c>
      <c r="BJ193">
        <v>1.4400000000000002</v>
      </c>
      <c r="BK193">
        <v>26</v>
      </c>
      <c r="BL193">
        <v>25</v>
      </c>
      <c r="BM193">
        <v>21</v>
      </c>
      <c r="BN193">
        <v>2.7600000000000002</v>
      </c>
      <c r="BO193">
        <v>29</v>
      </c>
      <c r="BP193">
        <v>0.96000000000000019</v>
      </c>
      <c r="BQ193">
        <v>-0.31999999999999973</v>
      </c>
      <c r="BR193">
        <v>28</v>
      </c>
      <c r="BS193">
        <v>24.5</v>
      </c>
      <c r="BT193">
        <v>22</v>
      </c>
      <c r="BU193">
        <v>1.2431762360654441E-2</v>
      </c>
      <c r="BV193">
        <v>27</v>
      </c>
      <c r="BW193">
        <v>-2.9209728561713215E-2</v>
      </c>
      <c r="BX193">
        <v>22</v>
      </c>
      <c r="BY193">
        <v>15.215999999999998</v>
      </c>
      <c r="BZ193">
        <v>27</v>
      </c>
      <c r="CA193">
        <v>-5.44</v>
      </c>
      <c r="CB193">
        <v>1.5200000000000018</v>
      </c>
      <c r="CC193">
        <v>6.5600000000000005</v>
      </c>
      <c r="CD193">
        <v>-0.8</v>
      </c>
      <c r="CE193">
        <v>76.600000000000009</v>
      </c>
      <c r="CF193">
        <v>53.759999999999991</v>
      </c>
      <c r="CG193">
        <v>31.720000000000006</v>
      </c>
      <c r="CH193">
        <v>1.24</v>
      </c>
      <c r="CI193">
        <v>-10.119999999999999</v>
      </c>
      <c r="CJ193">
        <v>14</v>
      </c>
      <c r="CK193">
        <v>1.9087999999999987</v>
      </c>
      <c r="CL193">
        <v>2.7522399999999996</v>
      </c>
      <c r="CM193">
        <v>22.039999999999985</v>
      </c>
      <c r="CN193">
        <v>-1.9087999999999985</v>
      </c>
      <c r="CO193">
        <v>3.1967000000000008</v>
      </c>
      <c r="CP193">
        <v>12.196</v>
      </c>
      <c r="CQ193">
        <v>45.280000000000008</v>
      </c>
      <c r="CR193">
        <v>2.5864000000000011</v>
      </c>
      <c r="CS193">
        <v>27.88</v>
      </c>
      <c r="CT193">
        <v>1.5200000000000005</v>
      </c>
      <c r="CU193">
        <v>-0.83999999999999975</v>
      </c>
      <c r="CV193">
        <v>0.55797499999999989</v>
      </c>
      <c r="CW193">
        <v>1.3772000000000002</v>
      </c>
      <c r="CX193" t="s">
        <v>291</v>
      </c>
      <c r="CY193">
        <v>19</v>
      </c>
      <c r="CZ193">
        <v>-3.2944000000000004</v>
      </c>
      <c r="DA193">
        <v>6</v>
      </c>
      <c r="DB193">
        <v>8</v>
      </c>
      <c r="DC193">
        <v>4</v>
      </c>
      <c r="DD193">
        <v>6.2444000000000006</v>
      </c>
      <c r="DE193">
        <v>12</v>
      </c>
      <c r="DF193">
        <v>2.2799999999999998</v>
      </c>
      <c r="DG193">
        <v>0.88000000000000012</v>
      </c>
      <c r="DH193">
        <v>22</v>
      </c>
      <c r="DI193">
        <v>19</v>
      </c>
      <c r="DJ193">
        <v>24</v>
      </c>
      <c r="DK193">
        <v>-3.2680000000000007</v>
      </c>
      <c r="DL193">
        <v>14</v>
      </c>
      <c r="DM193">
        <v>0.51999999999999957</v>
      </c>
      <c r="DN193">
        <v>4.0000000000000126E-2</v>
      </c>
      <c r="DO193">
        <v>26</v>
      </c>
      <c r="DP193">
        <v>29.5</v>
      </c>
      <c r="DQ193">
        <v>30</v>
      </c>
      <c r="DR193">
        <v>-5.3280000000000012</v>
      </c>
      <c r="DS193">
        <v>29</v>
      </c>
      <c r="DT193">
        <v>-9.1999999999999993</v>
      </c>
      <c r="DU193">
        <v>-1.3199999999999998</v>
      </c>
      <c r="DV193">
        <v>15</v>
      </c>
      <c r="DW193">
        <v>14</v>
      </c>
      <c r="DX193">
        <v>13</v>
      </c>
      <c r="DY193">
        <v>-1.5999999999999837E-2</v>
      </c>
      <c r="DZ193">
        <v>15</v>
      </c>
      <c r="EA193">
        <v>-1.5599999999999981</v>
      </c>
      <c r="EB193">
        <v>-0.4</v>
      </c>
      <c r="EC193">
        <v>19</v>
      </c>
      <c r="ED193">
        <v>10.5</v>
      </c>
      <c r="EE193">
        <v>9</v>
      </c>
      <c r="EF193">
        <v>-1.3</v>
      </c>
      <c r="EG193">
        <v>12</v>
      </c>
      <c r="EH193">
        <v>-6.16</v>
      </c>
      <c r="EI193">
        <v>-4.0000000000000036E-2</v>
      </c>
      <c r="EJ193">
        <v>8</v>
      </c>
      <c r="EK193">
        <v>8.5</v>
      </c>
      <c r="EL193">
        <v>10</v>
      </c>
      <c r="EM193">
        <v>0.34800000000000109</v>
      </c>
      <c r="EN193">
        <v>7</v>
      </c>
      <c r="EO193">
        <v>5.88</v>
      </c>
      <c r="EP193">
        <v>-0.39999999999999963</v>
      </c>
      <c r="EQ193">
        <v>27</v>
      </c>
      <c r="ER193">
        <v>26</v>
      </c>
      <c r="ES193">
        <v>22</v>
      </c>
      <c r="ET193">
        <v>4.1519999999999984</v>
      </c>
      <c r="EU193">
        <v>30</v>
      </c>
      <c r="EV193">
        <v>10.28</v>
      </c>
      <c r="EW193">
        <v>0.92000000000000015</v>
      </c>
      <c r="EX193">
        <v>7</v>
      </c>
      <c r="EY193">
        <v>7</v>
      </c>
      <c r="EZ193">
        <v>10</v>
      </c>
      <c r="FA193">
        <v>0.72000000000000008</v>
      </c>
      <c r="FB193">
        <v>4</v>
      </c>
      <c r="FC193">
        <v>0.23999999999999994</v>
      </c>
      <c r="FD193">
        <v>-4</v>
      </c>
      <c r="FE193">
        <v>15</v>
      </c>
      <c r="FF193">
        <v>15.75</v>
      </c>
      <c r="FG193">
        <v>7</v>
      </c>
      <c r="FH193">
        <v>-3.5023574975489137E-3</v>
      </c>
      <c r="FI193">
        <v>7</v>
      </c>
      <c r="FJ193">
        <v>-3.8916349313731597E-3</v>
      </c>
      <c r="FK193">
        <v>28</v>
      </c>
      <c r="FL193">
        <v>6.5479999999999965</v>
      </c>
      <c r="FM193">
        <v>21</v>
      </c>
      <c r="FN193">
        <v>-0.23999999999999969</v>
      </c>
      <c r="FO193">
        <v>-0.32000000000000101</v>
      </c>
      <c r="FP193">
        <v>0.43999999999999984</v>
      </c>
      <c r="FQ193">
        <v>0.6</v>
      </c>
      <c r="FR193">
        <v>0.32000000000000028</v>
      </c>
      <c r="FS193">
        <v>0.88000000000000045</v>
      </c>
      <c r="FT193">
        <v>-1.56</v>
      </c>
      <c r="FU193">
        <v>-9.4</v>
      </c>
      <c r="FV193">
        <v>-9.5599999999999969</v>
      </c>
      <c r="FW193">
        <v>-3.0400000000000018</v>
      </c>
      <c r="FX193">
        <v>0.52000000000000013</v>
      </c>
      <c r="FY193">
        <v>2.6800000000000006</v>
      </c>
      <c r="FZ193">
        <v>28</v>
      </c>
      <c r="GA193">
        <v>-6.2708000000000013</v>
      </c>
      <c r="GB193">
        <v>-2.6454800000000009</v>
      </c>
      <c r="GC193">
        <v>-6.5199999999999951</v>
      </c>
      <c r="GD193">
        <v>6.2708000000000004</v>
      </c>
      <c r="GE193">
        <v>-0.26125000000000037</v>
      </c>
      <c r="GF193">
        <v>-6.644000000000001</v>
      </c>
      <c r="GG193">
        <v>-16.919999999999998</v>
      </c>
      <c r="GH193">
        <v>2.9763999999999999</v>
      </c>
      <c r="GI193">
        <v>2.7999999999999994</v>
      </c>
      <c r="GJ193">
        <v>-0.83999999999999964</v>
      </c>
      <c r="GK193">
        <v>0.92000000000000026</v>
      </c>
    </row>
    <row r="194" spans="1:193" x14ac:dyDescent="0.2">
      <c r="A194" s="39">
        <v>43779</v>
      </c>
      <c r="B194" s="22" t="s">
        <v>244</v>
      </c>
      <c r="C194" s="41" t="s">
        <v>307</v>
      </c>
      <c r="D194" s="22" t="s">
        <v>295</v>
      </c>
      <c r="E194">
        <v>31.2</v>
      </c>
      <c r="F194">
        <v>2.2999999999999998</v>
      </c>
      <c r="G194">
        <v>0.5</v>
      </c>
      <c r="H194">
        <v>13.4</v>
      </c>
      <c r="I194">
        <v>-14</v>
      </c>
      <c r="J194">
        <v>51.5</v>
      </c>
      <c r="K194" t="s">
        <v>109</v>
      </c>
      <c r="L194" s="1" t="s">
        <v>307</v>
      </c>
      <c r="M194">
        <v>12</v>
      </c>
      <c r="N194">
        <v>1.2088000000000001</v>
      </c>
      <c r="O194">
        <v>8</v>
      </c>
      <c r="P194">
        <v>8.5</v>
      </c>
      <c r="Q194">
        <v>5</v>
      </c>
      <c r="R194">
        <v>5.7231999999999994</v>
      </c>
      <c r="S194">
        <v>12</v>
      </c>
      <c r="T194">
        <v>-1.1200000000000003</v>
      </c>
      <c r="U194">
        <v>4.08</v>
      </c>
      <c r="V194">
        <v>16</v>
      </c>
      <c r="W194">
        <v>15</v>
      </c>
      <c r="X194">
        <v>15</v>
      </c>
      <c r="Y194">
        <v>-0.57899999999999996</v>
      </c>
      <c r="Z194">
        <v>15</v>
      </c>
      <c r="AA194">
        <v>1.36</v>
      </c>
      <c r="AB194">
        <v>0.38</v>
      </c>
      <c r="AC194">
        <v>5</v>
      </c>
      <c r="AD194">
        <v>5.5</v>
      </c>
      <c r="AE194">
        <v>4</v>
      </c>
      <c r="AF194">
        <v>10.483000000000001</v>
      </c>
      <c r="AG194">
        <v>7</v>
      </c>
      <c r="AH194">
        <v>47.83</v>
      </c>
      <c r="AI194">
        <v>2.1799999999999997</v>
      </c>
      <c r="AJ194">
        <v>32</v>
      </c>
      <c r="AK194">
        <v>32</v>
      </c>
      <c r="AL194">
        <v>32</v>
      </c>
      <c r="AM194">
        <v>-7.044999999999999</v>
      </c>
      <c r="AN194">
        <v>32</v>
      </c>
      <c r="AO194">
        <v>-22.59</v>
      </c>
      <c r="AP194">
        <v>-2.4900000000000002</v>
      </c>
      <c r="AQ194">
        <v>29</v>
      </c>
      <c r="AR194">
        <v>29</v>
      </c>
      <c r="AS194">
        <v>28</v>
      </c>
      <c r="AT194">
        <v>-4.6360000000000001</v>
      </c>
      <c r="AU194">
        <v>30</v>
      </c>
      <c r="AV194">
        <v>-23.580000000000002</v>
      </c>
      <c r="AW194">
        <v>-1.9899999999999998</v>
      </c>
      <c r="AX194">
        <v>28</v>
      </c>
      <c r="AY194">
        <v>28</v>
      </c>
      <c r="AZ194">
        <v>28</v>
      </c>
      <c r="BA194">
        <v>-1.0960000000000001</v>
      </c>
      <c r="BB194">
        <v>28</v>
      </c>
      <c r="BC194">
        <v>-13.760000000000002</v>
      </c>
      <c r="BD194">
        <v>-1.8400000000000003</v>
      </c>
      <c r="BE194">
        <v>4</v>
      </c>
      <c r="BF194">
        <v>4.5</v>
      </c>
      <c r="BG194">
        <v>5</v>
      </c>
      <c r="BH194">
        <v>-1.0559999999999996</v>
      </c>
      <c r="BI194">
        <v>0.68000000000000038</v>
      </c>
      <c r="BJ194">
        <v>8.0000000000000071E-2</v>
      </c>
      <c r="BK194">
        <v>4</v>
      </c>
      <c r="BL194">
        <v>7</v>
      </c>
      <c r="BM194">
        <v>4</v>
      </c>
      <c r="BN194">
        <v>-0.35999999999999976</v>
      </c>
      <c r="BO194">
        <v>10</v>
      </c>
      <c r="BP194">
        <v>0.2</v>
      </c>
      <c r="BQ194">
        <v>-0.48000000000000009</v>
      </c>
      <c r="BR194">
        <v>32</v>
      </c>
      <c r="BS194">
        <v>29.5</v>
      </c>
      <c r="BT194">
        <v>30</v>
      </c>
      <c r="BU194">
        <v>-8.0426012715275608E-3</v>
      </c>
      <c r="BV194">
        <v>28</v>
      </c>
      <c r="BW194">
        <v>-9.3418432055118808E-3</v>
      </c>
      <c r="BX194">
        <v>31</v>
      </c>
      <c r="BY194">
        <v>3.1280000000000001</v>
      </c>
      <c r="BZ194">
        <v>29</v>
      </c>
      <c r="CA194">
        <v>0.6399999999999999</v>
      </c>
      <c r="CB194">
        <v>3.28</v>
      </c>
      <c r="CC194">
        <v>-2.2000000000000002</v>
      </c>
      <c r="CD194">
        <v>-0.79999999999999982</v>
      </c>
      <c r="CE194">
        <v>34.560000000000016</v>
      </c>
      <c r="CF194">
        <v>32.4</v>
      </c>
      <c r="CG194">
        <v>3.8000000000000029</v>
      </c>
      <c r="CH194">
        <v>-1.7200000000000002</v>
      </c>
      <c r="CI194">
        <v>8.0000000000000432E-2</v>
      </c>
      <c r="CJ194">
        <v>25</v>
      </c>
      <c r="CK194">
        <v>-3.9353999999999996</v>
      </c>
      <c r="CL194">
        <v>-2.7811399999999993</v>
      </c>
      <c r="CM194">
        <v>28.599999999999994</v>
      </c>
      <c r="CN194">
        <v>3.9353999999999996</v>
      </c>
      <c r="CO194">
        <v>0.46737500000000004</v>
      </c>
      <c r="CP194">
        <v>-1.1979999999999986</v>
      </c>
      <c r="CQ194">
        <v>1.6599999999999966</v>
      </c>
      <c r="CR194">
        <v>5.1441999999999997</v>
      </c>
      <c r="CS194">
        <v>0.23999999999999977</v>
      </c>
      <c r="CT194">
        <v>-2.2200000000000002</v>
      </c>
      <c r="CU194">
        <v>4.46</v>
      </c>
      <c r="CV194">
        <v>-0.55761249999999962</v>
      </c>
      <c r="CW194">
        <v>-2.3484499999999993</v>
      </c>
      <c r="CX194" t="s">
        <v>295</v>
      </c>
      <c r="CY194">
        <v>27</v>
      </c>
      <c r="CZ194">
        <v>3.3736000000000006</v>
      </c>
      <c r="DA194">
        <v>30</v>
      </c>
      <c r="DB194">
        <v>28</v>
      </c>
      <c r="DC194">
        <v>28</v>
      </c>
      <c r="DD194">
        <v>-2.484799999999999</v>
      </c>
      <c r="DE194">
        <v>28</v>
      </c>
      <c r="DF194">
        <v>-29.97</v>
      </c>
      <c r="DG194">
        <v>0.31000000000000005</v>
      </c>
      <c r="DH194">
        <v>28</v>
      </c>
      <c r="DI194">
        <v>25.5</v>
      </c>
      <c r="DJ194">
        <v>30</v>
      </c>
      <c r="DK194">
        <v>0.64699999999999969</v>
      </c>
      <c r="DL194">
        <v>21</v>
      </c>
      <c r="DM194">
        <v>12.72</v>
      </c>
      <c r="DN194">
        <v>-0.57999999999999996</v>
      </c>
      <c r="DO194">
        <v>22</v>
      </c>
      <c r="DP194">
        <v>18.5</v>
      </c>
      <c r="DQ194">
        <v>21</v>
      </c>
      <c r="DR194">
        <v>-1.2559999999999998</v>
      </c>
      <c r="DS194">
        <v>16</v>
      </c>
      <c r="DT194">
        <v>7.8000000000000025</v>
      </c>
      <c r="DU194">
        <v>-0.35999999999999976</v>
      </c>
      <c r="DV194">
        <v>9</v>
      </c>
      <c r="DW194">
        <v>10</v>
      </c>
      <c r="DX194">
        <v>9</v>
      </c>
      <c r="DY194">
        <v>7.1599999999999993</v>
      </c>
      <c r="DZ194">
        <v>11</v>
      </c>
      <c r="EA194">
        <v>21.68</v>
      </c>
      <c r="EB194">
        <v>0.43999999999999984</v>
      </c>
      <c r="EC194">
        <v>17</v>
      </c>
      <c r="ED194">
        <v>26.5</v>
      </c>
      <c r="EE194">
        <v>29</v>
      </c>
      <c r="EF194">
        <v>-0.60800000000000076</v>
      </c>
      <c r="EG194">
        <v>24</v>
      </c>
      <c r="EH194">
        <v>3.4399999999999991</v>
      </c>
      <c r="EI194">
        <v>0.84000000000000008</v>
      </c>
      <c r="EJ194">
        <v>10</v>
      </c>
      <c r="EK194">
        <v>11.5</v>
      </c>
      <c r="EL194">
        <v>14</v>
      </c>
      <c r="EM194">
        <v>1.5320000000000011</v>
      </c>
      <c r="EN194">
        <v>9</v>
      </c>
      <c r="EO194">
        <v>12.919999999999998</v>
      </c>
      <c r="EP194">
        <v>1.2399999999999995</v>
      </c>
      <c r="EQ194">
        <v>29</v>
      </c>
      <c r="ER194">
        <v>26.5</v>
      </c>
      <c r="ES194">
        <v>30</v>
      </c>
      <c r="ET194">
        <v>0.1139999999999997</v>
      </c>
      <c r="EU194">
        <v>23</v>
      </c>
      <c r="EV194">
        <v>-9.5700000000000021</v>
      </c>
      <c r="EW194">
        <v>-0.4700000000000002</v>
      </c>
      <c r="EX194">
        <v>17</v>
      </c>
      <c r="EY194">
        <v>14.5</v>
      </c>
      <c r="EZ194">
        <v>14</v>
      </c>
      <c r="FA194">
        <v>2.92</v>
      </c>
      <c r="FB194">
        <v>15</v>
      </c>
      <c r="FC194">
        <v>8.0000000000000071E-2</v>
      </c>
      <c r="FD194">
        <v>1.6400000000000001</v>
      </c>
      <c r="FE194">
        <v>19</v>
      </c>
      <c r="FF194">
        <v>16.5</v>
      </c>
      <c r="FG194">
        <v>10</v>
      </c>
      <c r="FH194">
        <v>-6.4113716823648151E-2</v>
      </c>
      <c r="FI194">
        <v>20</v>
      </c>
      <c r="FJ194">
        <v>-5.8074681239015779E-3</v>
      </c>
      <c r="FK194">
        <v>25</v>
      </c>
      <c r="FL194">
        <v>17.167999999999999</v>
      </c>
      <c r="FM194">
        <v>11</v>
      </c>
      <c r="FN194">
        <v>-4.08</v>
      </c>
      <c r="FO194">
        <v>7.999999999999971E-2</v>
      </c>
      <c r="FP194">
        <v>0.56000000000000016</v>
      </c>
      <c r="FQ194">
        <v>-0.43999999999999995</v>
      </c>
      <c r="FR194">
        <v>-0.4</v>
      </c>
      <c r="FS194">
        <v>3.9999999999999991</v>
      </c>
      <c r="FT194">
        <v>1.8</v>
      </c>
      <c r="FU194">
        <v>13.159999999999991</v>
      </c>
      <c r="FV194">
        <v>27.919999999999998</v>
      </c>
      <c r="FW194">
        <v>-7.5199999999999987</v>
      </c>
      <c r="FX194">
        <v>-2.6799999999999997</v>
      </c>
      <c r="FY194">
        <v>-4.5599999999999996</v>
      </c>
      <c r="FZ194">
        <v>5</v>
      </c>
      <c r="GA194">
        <v>5.2114000000000003</v>
      </c>
      <c r="GB194">
        <v>2.6756199999999994</v>
      </c>
      <c r="GC194">
        <v>35.44</v>
      </c>
      <c r="GD194">
        <v>-5.2113999999999994</v>
      </c>
      <c r="GE194">
        <v>1.233225</v>
      </c>
      <c r="GF194">
        <v>5.2959999999999994</v>
      </c>
      <c r="GG194">
        <v>32.92</v>
      </c>
      <c r="GH194">
        <v>-1.8377999999999992</v>
      </c>
      <c r="GI194">
        <v>-17.25</v>
      </c>
      <c r="GJ194">
        <v>0.44999999999999996</v>
      </c>
      <c r="GK194">
        <v>-0.26999999999999991</v>
      </c>
    </row>
    <row r="195" spans="1:193" x14ac:dyDescent="0.2">
      <c r="A195" s="39">
        <v>43779</v>
      </c>
      <c r="B195" s="22" t="s">
        <v>244</v>
      </c>
      <c r="C195" s="41" t="s">
        <v>296</v>
      </c>
      <c r="D195" s="22" t="s">
        <v>298</v>
      </c>
      <c r="E195">
        <v>24.5</v>
      </c>
      <c r="F195">
        <v>37.1</v>
      </c>
      <c r="G195">
        <v>5.6</v>
      </c>
      <c r="H195">
        <v>8.3000000000000007</v>
      </c>
      <c r="I195">
        <v>-3</v>
      </c>
      <c r="J195">
        <v>43</v>
      </c>
      <c r="K195" t="s">
        <v>109</v>
      </c>
      <c r="L195" s="1" t="s">
        <v>296</v>
      </c>
      <c r="M195">
        <v>25</v>
      </c>
      <c r="N195">
        <v>-2.7000000000000006</v>
      </c>
      <c r="O195">
        <v>20</v>
      </c>
      <c r="P195">
        <v>21</v>
      </c>
      <c r="Q195">
        <v>16</v>
      </c>
      <c r="R195">
        <v>-3.1</v>
      </c>
      <c r="S195">
        <v>26</v>
      </c>
      <c r="T195">
        <v>-26.839999999999996</v>
      </c>
      <c r="U195">
        <v>-7.9999999999999988E-2</v>
      </c>
      <c r="V195">
        <v>31</v>
      </c>
      <c r="W195">
        <v>31</v>
      </c>
      <c r="X195">
        <v>32</v>
      </c>
      <c r="Y195">
        <v>-5.1639999999999997</v>
      </c>
      <c r="Z195">
        <v>30</v>
      </c>
      <c r="AA195">
        <v>-16.959999999999997</v>
      </c>
      <c r="AB195">
        <v>-1.56</v>
      </c>
      <c r="AC195">
        <v>14</v>
      </c>
      <c r="AD195">
        <v>15.5</v>
      </c>
      <c r="AE195">
        <v>10</v>
      </c>
      <c r="AF195">
        <v>0.64800000000000002</v>
      </c>
      <c r="AG195">
        <v>21</v>
      </c>
      <c r="AH195">
        <v>2.1200000000000019</v>
      </c>
      <c r="AI195">
        <v>1.44</v>
      </c>
      <c r="AJ195">
        <v>13</v>
      </c>
      <c r="AK195">
        <v>13.5</v>
      </c>
      <c r="AL195">
        <v>5</v>
      </c>
      <c r="AM195">
        <v>-2.444</v>
      </c>
      <c r="AN195">
        <v>22</v>
      </c>
      <c r="AO195">
        <v>-17.68</v>
      </c>
      <c r="AP195">
        <v>-0.68</v>
      </c>
      <c r="AQ195">
        <v>12</v>
      </c>
      <c r="AR195">
        <v>12.5</v>
      </c>
      <c r="AS195">
        <v>14</v>
      </c>
      <c r="AT195">
        <v>1.1719999999999999</v>
      </c>
      <c r="AU195">
        <v>11</v>
      </c>
      <c r="AV195">
        <v>4.4799999999999995</v>
      </c>
      <c r="AW195">
        <v>0.24000000000000005</v>
      </c>
      <c r="AX195">
        <v>22</v>
      </c>
      <c r="AY195">
        <v>21</v>
      </c>
      <c r="AZ195">
        <v>17</v>
      </c>
      <c r="BA195">
        <v>2.3200000000000003</v>
      </c>
      <c r="BB195">
        <v>25</v>
      </c>
      <c r="BC195">
        <v>4.4000000000000004</v>
      </c>
      <c r="BD195">
        <v>0.87999999999999967</v>
      </c>
      <c r="BE195">
        <v>19</v>
      </c>
      <c r="BF195">
        <v>19</v>
      </c>
      <c r="BG195">
        <v>18</v>
      </c>
      <c r="BH195">
        <v>-2.3719999999999999</v>
      </c>
      <c r="BI195">
        <v>-13.36</v>
      </c>
      <c r="BJ195">
        <v>1.7600000000000002</v>
      </c>
      <c r="BK195">
        <v>28</v>
      </c>
      <c r="BL195">
        <v>27.5</v>
      </c>
      <c r="BM195">
        <v>29</v>
      </c>
      <c r="BN195">
        <v>-2.2800000000000002</v>
      </c>
      <c r="BO195">
        <v>26</v>
      </c>
      <c r="BP195">
        <v>-0.32</v>
      </c>
      <c r="BQ195">
        <v>3.16</v>
      </c>
      <c r="BR195">
        <v>2</v>
      </c>
      <c r="BS195">
        <v>7.5</v>
      </c>
      <c r="BT195">
        <v>3</v>
      </c>
      <c r="BU195">
        <v>5.0476433695917075E-2</v>
      </c>
      <c r="BV195">
        <v>16</v>
      </c>
      <c r="BW195">
        <v>2.1023893892934041E-2</v>
      </c>
      <c r="BX195">
        <v>10</v>
      </c>
      <c r="BY195">
        <v>-3.3320000000000021</v>
      </c>
      <c r="BZ195">
        <v>1</v>
      </c>
      <c r="CA195">
        <v>8.0399999999999991</v>
      </c>
      <c r="CB195">
        <v>0.52000000000000024</v>
      </c>
      <c r="CC195">
        <v>-6.4799999999999995</v>
      </c>
      <c r="CD195">
        <v>1.9600000000000002</v>
      </c>
      <c r="CE195">
        <v>-62.159999999999989</v>
      </c>
      <c r="CF195">
        <v>-26.320000000000004</v>
      </c>
      <c r="CG195">
        <v>-47.32</v>
      </c>
      <c r="CH195">
        <v>-1.6799999999999997</v>
      </c>
      <c r="CI195">
        <v>13.16</v>
      </c>
      <c r="CJ195">
        <v>9</v>
      </c>
      <c r="CK195">
        <v>5.5639999999999992</v>
      </c>
      <c r="CL195">
        <v>2.9927999999999995</v>
      </c>
      <c r="CM195">
        <v>20.999999999999996</v>
      </c>
      <c r="CN195">
        <v>-5.5639999999999983</v>
      </c>
      <c r="CO195">
        <v>-2.0300000000000002</v>
      </c>
      <c r="CP195">
        <v>-0.62399999999999989</v>
      </c>
      <c r="CQ195">
        <v>-11.079999999999998</v>
      </c>
      <c r="CR195">
        <v>-8.2639999999999993</v>
      </c>
      <c r="CS195">
        <v>-43.8</v>
      </c>
      <c r="CT195">
        <v>2.7600000000000002</v>
      </c>
      <c r="CU195">
        <v>-1.6400000000000001</v>
      </c>
      <c r="CV195">
        <v>0.65072500000000044</v>
      </c>
      <c r="CW195">
        <v>-0.82192499999999991</v>
      </c>
      <c r="CX195" t="s">
        <v>298</v>
      </c>
      <c r="CY195">
        <v>9</v>
      </c>
      <c r="CZ195">
        <v>3.6019999999999994</v>
      </c>
      <c r="DA195">
        <v>32</v>
      </c>
      <c r="DB195">
        <v>30.5</v>
      </c>
      <c r="DC195">
        <v>30</v>
      </c>
      <c r="DD195">
        <v>2.2120000000000006</v>
      </c>
      <c r="DE195">
        <v>31</v>
      </c>
      <c r="DF195">
        <v>-13.64</v>
      </c>
      <c r="DG195">
        <v>0.51999999999999991</v>
      </c>
      <c r="DH195">
        <v>16</v>
      </c>
      <c r="DI195">
        <v>16.5</v>
      </c>
      <c r="DJ195">
        <v>18</v>
      </c>
      <c r="DK195">
        <v>-1.2319999999999995</v>
      </c>
      <c r="DL195">
        <v>15</v>
      </c>
      <c r="DM195">
        <v>-4.5600000000000005</v>
      </c>
      <c r="DN195">
        <v>0.12000000000000004</v>
      </c>
      <c r="DO195">
        <v>7</v>
      </c>
      <c r="DP195">
        <v>10.5</v>
      </c>
      <c r="DQ195">
        <v>8</v>
      </c>
      <c r="DR195">
        <v>4.4999999999999991</v>
      </c>
      <c r="DS195">
        <v>13</v>
      </c>
      <c r="DT195">
        <v>1.25</v>
      </c>
      <c r="DU195">
        <v>0.60000000000000009</v>
      </c>
      <c r="DV195">
        <v>5</v>
      </c>
      <c r="DW195">
        <v>5.5</v>
      </c>
      <c r="DX195">
        <v>5</v>
      </c>
      <c r="DY195">
        <v>6.3530000000000006</v>
      </c>
      <c r="DZ195">
        <v>6</v>
      </c>
      <c r="EA195">
        <v>20.83</v>
      </c>
      <c r="EB195">
        <v>0.55999999999999994</v>
      </c>
      <c r="EC195">
        <v>26</v>
      </c>
      <c r="ED195">
        <v>28.5</v>
      </c>
      <c r="EE195">
        <v>28</v>
      </c>
      <c r="EF195">
        <v>0.90799999999999981</v>
      </c>
      <c r="EG195">
        <v>29</v>
      </c>
      <c r="EH195">
        <v>-1.3200000000000003</v>
      </c>
      <c r="EI195">
        <v>-8.8817841970012528E-17</v>
      </c>
      <c r="EJ195">
        <v>25</v>
      </c>
      <c r="EK195">
        <v>26</v>
      </c>
      <c r="EL195">
        <v>26</v>
      </c>
      <c r="EM195">
        <v>0.86000000000000121</v>
      </c>
      <c r="EN195">
        <v>26</v>
      </c>
      <c r="EO195">
        <v>-4.0000000000003408E-2</v>
      </c>
      <c r="EP195">
        <v>-4.5199999999999996</v>
      </c>
      <c r="EQ195">
        <v>13</v>
      </c>
      <c r="ER195">
        <v>13.5</v>
      </c>
      <c r="ES195">
        <v>17</v>
      </c>
      <c r="ET195">
        <v>0.16399999999999987</v>
      </c>
      <c r="EU195">
        <v>10</v>
      </c>
      <c r="EV195">
        <v>6.7199999999999989</v>
      </c>
      <c r="EW195">
        <v>-0.15999999999999998</v>
      </c>
      <c r="EX195">
        <v>24</v>
      </c>
      <c r="EY195">
        <v>23</v>
      </c>
      <c r="EZ195">
        <v>28</v>
      </c>
      <c r="FA195">
        <v>0.48000000000000043</v>
      </c>
      <c r="FB195">
        <v>18</v>
      </c>
      <c r="FC195">
        <v>0</v>
      </c>
      <c r="FD195">
        <v>1.0000000000000004</v>
      </c>
      <c r="FE195">
        <v>23</v>
      </c>
      <c r="FF195">
        <v>20</v>
      </c>
      <c r="FG195">
        <v>32</v>
      </c>
      <c r="FH195">
        <v>-9.2647044723449708E-3</v>
      </c>
      <c r="FI195">
        <v>22</v>
      </c>
      <c r="FJ195">
        <v>-3.5948545155516836E-3</v>
      </c>
      <c r="FK195">
        <v>11</v>
      </c>
      <c r="FL195">
        <v>6.5640000000000001</v>
      </c>
      <c r="FM195">
        <v>15</v>
      </c>
      <c r="FN195">
        <v>-3.88</v>
      </c>
      <c r="FO195">
        <v>0.7999999999999986</v>
      </c>
      <c r="FP195">
        <v>2</v>
      </c>
      <c r="FQ195">
        <v>0.39999999999999997</v>
      </c>
      <c r="FR195">
        <v>2.9599999999999982</v>
      </c>
      <c r="FS195">
        <v>6.08</v>
      </c>
      <c r="FT195">
        <v>-1.3199999999999998</v>
      </c>
      <c r="FU195">
        <v>-12.160000000000002</v>
      </c>
      <c r="FV195">
        <v>11.000000000000005</v>
      </c>
      <c r="FW195">
        <v>-18.32</v>
      </c>
      <c r="FX195">
        <v>-0.35999999999999943</v>
      </c>
      <c r="FY195">
        <v>-4.4799999999999995</v>
      </c>
      <c r="FZ195">
        <v>9</v>
      </c>
      <c r="GA195">
        <v>2.6219999999999981</v>
      </c>
      <c r="GB195">
        <v>2.6153999999999988</v>
      </c>
      <c r="GC195">
        <v>29.320000000000007</v>
      </c>
      <c r="GD195">
        <v>-2.6219999999999981</v>
      </c>
      <c r="GE195">
        <v>2.1233750000000007</v>
      </c>
      <c r="GF195">
        <v>11.760999999999999</v>
      </c>
      <c r="GG195">
        <v>20.759999999999998</v>
      </c>
      <c r="GH195">
        <v>0.98000000000000109</v>
      </c>
      <c r="GI195">
        <v>-18.200000000000003</v>
      </c>
      <c r="GJ195">
        <v>1.0000000000000002</v>
      </c>
      <c r="GK195">
        <v>0.6399999999999999</v>
      </c>
    </row>
    <row r="196" spans="1:193" x14ac:dyDescent="0.2">
      <c r="A196" s="39">
        <v>43779</v>
      </c>
      <c r="B196" s="22" t="s">
        <v>244</v>
      </c>
      <c r="C196" s="41" t="s">
        <v>298</v>
      </c>
      <c r="D196" s="22" t="s">
        <v>296</v>
      </c>
      <c r="E196">
        <v>19.100000000000001</v>
      </c>
      <c r="F196">
        <v>2.1</v>
      </c>
      <c r="G196">
        <v>14.4</v>
      </c>
      <c r="H196">
        <v>4.4000000000000004</v>
      </c>
      <c r="I196">
        <v>3</v>
      </c>
      <c r="J196">
        <v>43</v>
      </c>
      <c r="K196" t="s">
        <v>109</v>
      </c>
      <c r="L196" s="1" t="s">
        <v>298</v>
      </c>
      <c r="M196">
        <v>21</v>
      </c>
      <c r="N196">
        <v>-1.3432000000000006</v>
      </c>
      <c r="O196">
        <v>19</v>
      </c>
      <c r="P196">
        <v>20.5</v>
      </c>
      <c r="Q196">
        <v>13</v>
      </c>
      <c r="R196">
        <v>-4.92</v>
      </c>
      <c r="S196">
        <v>28</v>
      </c>
      <c r="T196">
        <v>-32.720000000000006</v>
      </c>
      <c r="U196">
        <v>0.72000000000000008</v>
      </c>
      <c r="V196">
        <v>24</v>
      </c>
      <c r="W196">
        <v>24</v>
      </c>
      <c r="X196">
        <v>27</v>
      </c>
      <c r="Y196">
        <v>-4.0279999999999996</v>
      </c>
      <c r="Z196">
        <v>21</v>
      </c>
      <c r="AA196">
        <v>-11.28</v>
      </c>
      <c r="AB196">
        <v>-1.44</v>
      </c>
      <c r="AC196">
        <v>31</v>
      </c>
      <c r="AD196">
        <v>31</v>
      </c>
      <c r="AE196">
        <v>30</v>
      </c>
      <c r="AF196">
        <v>-1.3039999999999992</v>
      </c>
      <c r="AG196">
        <v>32</v>
      </c>
      <c r="AH196">
        <v>-6.1199999999999957</v>
      </c>
      <c r="AI196">
        <v>-0.83999999999999986</v>
      </c>
      <c r="AJ196">
        <v>21</v>
      </c>
      <c r="AK196">
        <v>20.5</v>
      </c>
      <c r="AL196">
        <v>21</v>
      </c>
      <c r="AM196">
        <v>0.82800000000000007</v>
      </c>
      <c r="AN196">
        <v>20</v>
      </c>
      <c r="AO196">
        <v>7.3599999999999994</v>
      </c>
      <c r="AP196">
        <v>0.6</v>
      </c>
      <c r="AQ196">
        <v>6</v>
      </c>
      <c r="AR196">
        <v>6</v>
      </c>
      <c r="AS196">
        <v>7</v>
      </c>
      <c r="AT196">
        <v>4.2720000000000002</v>
      </c>
      <c r="AU196">
        <v>5</v>
      </c>
      <c r="AV196">
        <v>28.120000000000005</v>
      </c>
      <c r="AW196">
        <v>2.56</v>
      </c>
      <c r="AX196">
        <v>24</v>
      </c>
      <c r="AY196">
        <v>25</v>
      </c>
      <c r="AZ196">
        <v>24</v>
      </c>
      <c r="BA196">
        <v>-0.97200000000000064</v>
      </c>
      <c r="BB196">
        <v>26</v>
      </c>
      <c r="BC196">
        <v>10.84</v>
      </c>
      <c r="BD196">
        <v>-5.08</v>
      </c>
      <c r="BE196">
        <v>14</v>
      </c>
      <c r="BF196">
        <v>13.5</v>
      </c>
      <c r="BG196">
        <v>13</v>
      </c>
      <c r="BH196">
        <v>-0.75599999999999912</v>
      </c>
      <c r="BI196">
        <v>-9.0399999999999974</v>
      </c>
      <c r="BJ196">
        <v>-1.6799999999999997</v>
      </c>
      <c r="BK196">
        <v>14</v>
      </c>
      <c r="BL196">
        <v>13.5</v>
      </c>
      <c r="BM196">
        <v>19</v>
      </c>
      <c r="BN196">
        <v>-1.2</v>
      </c>
      <c r="BO196">
        <v>8</v>
      </c>
      <c r="BP196">
        <v>-0.36</v>
      </c>
      <c r="BQ196">
        <v>-3.88</v>
      </c>
      <c r="BR196">
        <v>8</v>
      </c>
      <c r="BS196">
        <v>12</v>
      </c>
      <c r="BT196">
        <v>2</v>
      </c>
      <c r="BU196">
        <v>7.0286562519176685E-2</v>
      </c>
      <c r="BV196">
        <v>17</v>
      </c>
      <c r="BW196">
        <v>1.2769658450059068E-2</v>
      </c>
      <c r="BX196">
        <v>12</v>
      </c>
      <c r="BY196">
        <v>1.2640000000000029</v>
      </c>
      <c r="BZ196">
        <v>17</v>
      </c>
      <c r="CA196">
        <v>1.0000000000000004</v>
      </c>
      <c r="CB196">
        <v>-4.5599999999999996</v>
      </c>
      <c r="CC196">
        <v>-3.3200000000000012</v>
      </c>
      <c r="CD196">
        <v>-0.6</v>
      </c>
      <c r="CE196">
        <v>-51.279999999999994</v>
      </c>
      <c r="CF196">
        <v>7.919999999999999</v>
      </c>
      <c r="CG196">
        <v>-47.679999999999993</v>
      </c>
      <c r="CH196">
        <v>-2.52</v>
      </c>
      <c r="CI196">
        <v>-9</v>
      </c>
      <c r="CJ196">
        <v>5</v>
      </c>
      <c r="CK196">
        <v>7.6047999999999991</v>
      </c>
      <c r="CL196">
        <v>4.8133600000000003</v>
      </c>
      <c r="CM196">
        <v>55.599999999999994</v>
      </c>
      <c r="CN196">
        <v>-7.6048</v>
      </c>
      <c r="CO196">
        <v>-1.0563999999999998</v>
      </c>
      <c r="CP196">
        <v>3.7960000000000012</v>
      </c>
      <c r="CQ196">
        <v>29.360000000000007</v>
      </c>
      <c r="CR196">
        <v>-8.9480000000000004</v>
      </c>
      <c r="CS196">
        <v>-44.000000000000007</v>
      </c>
      <c r="CT196">
        <v>0.64000000000000057</v>
      </c>
      <c r="CU196">
        <v>-0.71999999999999986</v>
      </c>
      <c r="CV196">
        <v>0.65072500000000044</v>
      </c>
      <c r="CW196">
        <v>2.1233750000000007</v>
      </c>
      <c r="CX196" t="s">
        <v>296</v>
      </c>
      <c r="CY196">
        <v>5</v>
      </c>
      <c r="CZ196">
        <v>-0.91680000000000061</v>
      </c>
      <c r="DA196">
        <v>31</v>
      </c>
      <c r="DB196">
        <v>29</v>
      </c>
      <c r="DC196">
        <v>31</v>
      </c>
      <c r="DD196">
        <v>1.3004000000000009</v>
      </c>
      <c r="DE196">
        <v>27</v>
      </c>
      <c r="DF196">
        <v>26.15</v>
      </c>
      <c r="DG196">
        <v>0.27000000000000013</v>
      </c>
      <c r="DH196">
        <v>15</v>
      </c>
      <c r="DI196">
        <v>16</v>
      </c>
      <c r="DJ196">
        <v>24</v>
      </c>
      <c r="DK196">
        <v>-2.2889999999999993</v>
      </c>
      <c r="DL196">
        <v>8</v>
      </c>
      <c r="DM196">
        <v>-1.8</v>
      </c>
      <c r="DN196">
        <v>-1.06</v>
      </c>
      <c r="DO196">
        <v>4</v>
      </c>
      <c r="DP196">
        <v>4.5</v>
      </c>
      <c r="DQ196">
        <v>4</v>
      </c>
      <c r="DR196">
        <v>2.6090000000000004</v>
      </c>
      <c r="DS196">
        <v>5</v>
      </c>
      <c r="DT196">
        <v>4.8900000000000006</v>
      </c>
      <c r="DU196">
        <v>-0.2</v>
      </c>
      <c r="DV196">
        <v>13</v>
      </c>
      <c r="DW196">
        <v>13.5</v>
      </c>
      <c r="DX196">
        <v>14</v>
      </c>
      <c r="DY196">
        <v>-6.6390000000000002</v>
      </c>
      <c r="DZ196">
        <v>13</v>
      </c>
      <c r="EA196">
        <v>-25.169999999999998</v>
      </c>
      <c r="EB196">
        <v>-2.88</v>
      </c>
      <c r="EC196">
        <v>24</v>
      </c>
      <c r="ED196">
        <v>13.5</v>
      </c>
      <c r="EE196">
        <v>16</v>
      </c>
      <c r="EF196">
        <v>0.5680000000000005</v>
      </c>
      <c r="EG196">
        <v>11</v>
      </c>
      <c r="EH196">
        <v>0.96000000000000019</v>
      </c>
      <c r="EI196">
        <v>-8.0000000000000071E-2</v>
      </c>
      <c r="EJ196">
        <v>2</v>
      </c>
      <c r="EK196">
        <v>3.5</v>
      </c>
      <c r="EL196">
        <v>4</v>
      </c>
      <c r="EM196">
        <v>3.6719999999999997</v>
      </c>
      <c r="EN196">
        <v>3</v>
      </c>
      <c r="EO196">
        <v>5.2799999999999985</v>
      </c>
      <c r="EP196">
        <v>16.52</v>
      </c>
      <c r="EQ196">
        <v>17</v>
      </c>
      <c r="ER196">
        <v>15.5</v>
      </c>
      <c r="ES196">
        <v>15</v>
      </c>
      <c r="ET196">
        <v>-2.3280000000000007</v>
      </c>
      <c r="EU196">
        <v>16</v>
      </c>
      <c r="EV196">
        <v>-9.2799999999999994</v>
      </c>
      <c r="EW196">
        <v>-2.12</v>
      </c>
      <c r="EX196">
        <v>2</v>
      </c>
      <c r="EY196">
        <v>3</v>
      </c>
      <c r="EZ196">
        <v>2</v>
      </c>
      <c r="FA196">
        <v>1.1200000000000003</v>
      </c>
      <c r="FB196">
        <v>4</v>
      </c>
      <c r="FC196">
        <v>0.15999999999999998</v>
      </c>
      <c r="FD196">
        <v>8.0399999999999991</v>
      </c>
      <c r="FE196">
        <v>29</v>
      </c>
      <c r="FF196">
        <v>24</v>
      </c>
      <c r="FG196">
        <v>11</v>
      </c>
      <c r="FH196">
        <v>-7.1035453438702587E-2</v>
      </c>
      <c r="FI196">
        <v>27</v>
      </c>
      <c r="FJ196">
        <v>1.0470336599360077E-2</v>
      </c>
      <c r="FK196">
        <v>31</v>
      </c>
      <c r="FL196">
        <v>-1.8399999999999976</v>
      </c>
      <c r="FM196">
        <v>27</v>
      </c>
      <c r="FN196">
        <v>3.16</v>
      </c>
      <c r="FO196">
        <v>-4.8000000000000007</v>
      </c>
      <c r="FP196">
        <v>3.12</v>
      </c>
      <c r="FQ196">
        <v>1.52</v>
      </c>
      <c r="FR196">
        <v>-0.4799999999999997</v>
      </c>
      <c r="FS196">
        <v>-0.27999999999999969</v>
      </c>
      <c r="FT196">
        <v>4.4400000000000004</v>
      </c>
      <c r="FU196">
        <v>-2.6799999999999953</v>
      </c>
      <c r="FV196">
        <v>-27.039999999999992</v>
      </c>
      <c r="FW196">
        <v>33.08</v>
      </c>
      <c r="FX196">
        <v>-5.4799999999999995</v>
      </c>
      <c r="FY196">
        <v>-3.2399999999999998</v>
      </c>
      <c r="FZ196">
        <v>16</v>
      </c>
      <c r="GA196">
        <v>7.1799999999997866E-2</v>
      </c>
      <c r="GB196">
        <v>-0.84706000000000115</v>
      </c>
      <c r="GC196">
        <v>-60.11999999999999</v>
      </c>
      <c r="GD196">
        <v>-7.1799999999997755E-2</v>
      </c>
      <c r="GE196">
        <v>-0.82192499999999991</v>
      </c>
      <c r="GF196">
        <v>-3.4619999999999989</v>
      </c>
      <c r="GG196">
        <v>-19.319999999999997</v>
      </c>
      <c r="GH196">
        <v>-0.98859999999999837</v>
      </c>
      <c r="GI196">
        <v>24.349999999999998</v>
      </c>
      <c r="GJ196">
        <v>-5.28</v>
      </c>
      <c r="GK196">
        <v>-0.78999999999999992</v>
      </c>
    </row>
    <row r="197" spans="1:193" x14ac:dyDescent="0.2">
      <c r="A197" s="39">
        <v>43779</v>
      </c>
      <c r="B197" s="22" t="s">
        <v>244</v>
      </c>
      <c r="C197" s="41" t="s">
        <v>309</v>
      </c>
      <c r="D197" s="22" t="s">
        <v>304</v>
      </c>
      <c r="E197">
        <v>7.4</v>
      </c>
      <c r="F197">
        <v>20</v>
      </c>
      <c r="G197">
        <v>10.4</v>
      </c>
      <c r="H197">
        <f>4.3+1.8</f>
        <v>6.1</v>
      </c>
      <c r="I197">
        <v>4</v>
      </c>
      <c r="J197">
        <v>43</v>
      </c>
      <c r="K197" t="s">
        <v>110</v>
      </c>
      <c r="L197" s="1" t="s">
        <v>309</v>
      </c>
      <c r="M197">
        <v>23</v>
      </c>
      <c r="N197">
        <v>-2.0424000000000007</v>
      </c>
      <c r="O197">
        <v>12</v>
      </c>
      <c r="P197">
        <v>14.5</v>
      </c>
      <c r="Q197">
        <v>9</v>
      </c>
      <c r="R197">
        <v>5.1520000000000001</v>
      </c>
      <c r="S197">
        <v>20</v>
      </c>
      <c r="T197">
        <v>-5.919999999999999</v>
      </c>
      <c r="U197">
        <v>2.4000000000000004</v>
      </c>
      <c r="V197">
        <v>9</v>
      </c>
      <c r="W197">
        <v>10.5</v>
      </c>
      <c r="X197">
        <v>11</v>
      </c>
      <c r="Y197">
        <v>-1.0623999999999998</v>
      </c>
      <c r="Z197">
        <v>10</v>
      </c>
      <c r="AA197">
        <v>7.3599999999999994</v>
      </c>
      <c r="AB197">
        <v>-0.24000000000000005</v>
      </c>
      <c r="AC197">
        <v>13</v>
      </c>
      <c r="AD197">
        <v>14.5</v>
      </c>
      <c r="AE197">
        <v>19</v>
      </c>
      <c r="AF197">
        <v>-2.5719999999999992</v>
      </c>
      <c r="AG197">
        <v>10</v>
      </c>
      <c r="AH197">
        <v>-4.3599999999999994</v>
      </c>
      <c r="AI197">
        <v>-1.2799999999999998</v>
      </c>
      <c r="AJ197">
        <v>17</v>
      </c>
      <c r="AK197">
        <v>17.5</v>
      </c>
      <c r="AL197">
        <v>19</v>
      </c>
      <c r="AM197">
        <v>2.8559999999999994</v>
      </c>
      <c r="AN197">
        <v>16</v>
      </c>
      <c r="AO197">
        <v>10.720000000000002</v>
      </c>
      <c r="AP197">
        <v>-0.28000000000000014</v>
      </c>
      <c r="AQ197">
        <v>18</v>
      </c>
      <c r="AR197">
        <v>17.5</v>
      </c>
      <c r="AS197">
        <v>20</v>
      </c>
      <c r="AT197">
        <v>-0.47999999999999987</v>
      </c>
      <c r="AU197">
        <v>15</v>
      </c>
      <c r="AV197">
        <v>0.63999999999999913</v>
      </c>
      <c r="AW197">
        <v>0.55999999999999994</v>
      </c>
      <c r="AX197">
        <v>31</v>
      </c>
      <c r="AY197">
        <v>31.5</v>
      </c>
      <c r="AZ197">
        <v>32</v>
      </c>
      <c r="BA197">
        <v>-8.1560000000000006</v>
      </c>
      <c r="BB197">
        <v>31</v>
      </c>
      <c r="BC197">
        <v>-40.76</v>
      </c>
      <c r="BD197">
        <v>-4.0400000000000009</v>
      </c>
      <c r="BE197">
        <v>28</v>
      </c>
      <c r="BF197">
        <v>27.5</v>
      </c>
      <c r="BG197">
        <v>24</v>
      </c>
      <c r="BH197">
        <v>-2.4560000000000004</v>
      </c>
      <c r="BI197">
        <v>-19.399999999999999</v>
      </c>
      <c r="BJ197">
        <v>-1.1599999999999999</v>
      </c>
      <c r="BK197">
        <v>3</v>
      </c>
      <c r="BL197">
        <v>5.5</v>
      </c>
      <c r="BM197">
        <v>5</v>
      </c>
      <c r="BN197">
        <v>2.12</v>
      </c>
      <c r="BO197">
        <v>6</v>
      </c>
      <c r="BP197">
        <v>0.16000000000000009</v>
      </c>
      <c r="BQ197">
        <v>8.9999999999999982</v>
      </c>
      <c r="BR197">
        <v>12</v>
      </c>
      <c r="BS197">
        <v>13.25</v>
      </c>
      <c r="BT197">
        <v>9</v>
      </c>
      <c r="BU197">
        <v>-2.8533052296364114E-2</v>
      </c>
      <c r="BV197">
        <v>20</v>
      </c>
      <c r="BW197">
        <v>-2.3865411905743449E-2</v>
      </c>
      <c r="BX197">
        <v>19</v>
      </c>
      <c r="BY197">
        <v>8.9880000000000013</v>
      </c>
      <c r="BZ197">
        <v>5</v>
      </c>
      <c r="CA197">
        <v>-1.28</v>
      </c>
      <c r="CB197">
        <v>-1.9599999999999995</v>
      </c>
      <c r="CC197">
        <v>2.0400000000000005</v>
      </c>
      <c r="CD197">
        <v>2.7199999999999998</v>
      </c>
      <c r="CE197">
        <v>-29.439999999999998</v>
      </c>
      <c r="CF197">
        <v>-25.759999999999998</v>
      </c>
      <c r="CG197">
        <v>2.2000000000000028</v>
      </c>
      <c r="CH197">
        <v>-1.2</v>
      </c>
      <c r="CI197">
        <v>-4.6799999999999988</v>
      </c>
      <c r="CJ197">
        <v>27</v>
      </c>
      <c r="CK197">
        <v>-6.1320000000000014</v>
      </c>
      <c r="CL197">
        <v>-2.9836800000000006</v>
      </c>
      <c r="CM197">
        <v>-27.96</v>
      </c>
      <c r="CN197">
        <v>6.1320000000000014</v>
      </c>
      <c r="CO197">
        <v>0.18939999999999996</v>
      </c>
      <c r="CP197">
        <v>-0.19599999999999962</v>
      </c>
      <c r="CQ197">
        <v>7.0000000000000018</v>
      </c>
      <c r="CR197">
        <v>4.0896000000000008</v>
      </c>
      <c r="CS197">
        <v>1.4400000000000004</v>
      </c>
      <c r="CT197">
        <v>-2.16</v>
      </c>
      <c r="CU197">
        <v>2.16</v>
      </c>
      <c r="CV197">
        <v>-1.1518999999999997</v>
      </c>
      <c r="CW197">
        <v>-0.99495000000000022</v>
      </c>
      <c r="CX197" t="s">
        <v>304</v>
      </c>
      <c r="CY197">
        <v>16</v>
      </c>
      <c r="CZ197">
        <v>-1.4623999999999993</v>
      </c>
      <c r="DA197">
        <v>17</v>
      </c>
      <c r="DB197">
        <v>18</v>
      </c>
      <c r="DC197">
        <v>20</v>
      </c>
      <c r="DD197">
        <v>-3.1879999999999979</v>
      </c>
      <c r="DE197">
        <v>16</v>
      </c>
      <c r="DF197">
        <v>-6.8400000000000007</v>
      </c>
      <c r="DG197">
        <v>-3.9999999999999945E-2</v>
      </c>
      <c r="DH197">
        <v>4</v>
      </c>
      <c r="DI197">
        <v>6.5</v>
      </c>
      <c r="DJ197">
        <v>7</v>
      </c>
      <c r="DK197">
        <v>0.70160000000000045</v>
      </c>
      <c r="DL197">
        <v>6</v>
      </c>
      <c r="DM197">
        <v>-6.2799999999999994</v>
      </c>
      <c r="DN197">
        <v>0.68</v>
      </c>
      <c r="DO197">
        <v>19</v>
      </c>
      <c r="DP197">
        <v>19.5</v>
      </c>
      <c r="DQ197">
        <v>17</v>
      </c>
      <c r="DR197">
        <v>-4.3839999999999986</v>
      </c>
      <c r="DS197">
        <v>22</v>
      </c>
      <c r="DT197">
        <v>-15.959999999999997</v>
      </c>
      <c r="DU197">
        <v>-1.3199999999999998</v>
      </c>
      <c r="DV197">
        <v>11</v>
      </c>
      <c r="DW197">
        <v>13</v>
      </c>
      <c r="DX197">
        <v>10</v>
      </c>
      <c r="DY197">
        <v>-0.96799999999999964</v>
      </c>
      <c r="DZ197">
        <v>16</v>
      </c>
      <c r="EA197">
        <v>-2.2799999999999989</v>
      </c>
      <c r="EB197">
        <v>0.44000000000000022</v>
      </c>
      <c r="EC197">
        <v>2</v>
      </c>
      <c r="ED197">
        <v>2</v>
      </c>
      <c r="EE197">
        <v>2</v>
      </c>
      <c r="EF197">
        <v>-0.30800000000000055</v>
      </c>
      <c r="EG197">
        <v>2</v>
      </c>
      <c r="EH197">
        <v>8.120000000000001</v>
      </c>
      <c r="EI197">
        <v>-0.2</v>
      </c>
      <c r="EJ197">
        <v>14</v>
      </c>
      <c r="EK197">
        <v>14</v>
      </c>
      <c r="EL197">
        <v>11</v>
      </c>
      <c r="EM197">
        <v>-4.524</v>
      </c>
      <c r="EN197">
        <v>17</v>
      </c>
      <c r="EO197">
        <v>-14.040000000000003</v>
      </c>
      <c r="EP197">
        <v>-1.2400000000000002</v>
      </c>
      <c r="EQ197">
        <v>25</v>
      </c>
      <c r="ER197">
        <v>24.5</v>
      </c>
      <c r="ES197">
        <v>29</v>
      </c>
      <c r="ET197">
        <v>1.898000000000001</v>
      </c>
      <c r="EU197">
        <v>20</v>
      </c>
      <c r="EV197">
        <v>18.11</v>
      </c>
      <c r="EW197">
        <v>0.8899999999999999</v>
      </c>
      <c r="EX197">
        <v>28</v>
      </c>
      <c r="EY197">
        <v>26.5</v>
      </c>
      <c r="EZ197">
        <v>29</v>
      </c>
      <c r="FA197">
        <v>-2.7600000000000007</v>
      </c>
      <c r="FB197">
        <v>24</v>
      </c>
      <c r="FC197">
        <v>-0.6</v>
      </c>
      <c r="FD197">
        <v>-0.72</v>
      </c>
      <c r="FE197">
        <v>14</v>
      </c>
      <c r="FF197">
        <v>15</v>
      </c>
      <c r="FG197">
        <v>22</v>
      </c>
      <c r="FH197">
        <v>3.5559502529351847E-2</v>
      </c>
      <c r="FI197">
        <v>10</v>
      </c>
      <c r="FJ197">
        <v>2.4172318154540063E-2</v>
      </c>
      <c r="FK197">
        <v>22</v>
      </c>
      <c r="FL197">
        <v>0.83999999999999775</v>
      </c>
      <c r="FM197">
        <v>6</v>
      </c>
      <c r="FN197">
        <v>3.5599999999999996</v>
      </c>
      <c r="FO197">
        <v>0.56000000000000016</v>
      </c>
      <c r="FP197">
        <v>0.6399999999999999</v>
      </c>
      <c r="FQ197">
        <v>0.64</v>
      </c>
      <c r="FR197">
        <v>2.9600000000000009</v>
      </c>
      <c r="FS197">
        <v>-6.4</v>
      </c>
      <c r="FT197">
        <v>0</v>
      </c>
      <c r="FU197">
        <v>-11</v>
      </c>
      <c r="FV197">
        <v>7.8399999999999981</v>
      </c>
      <c r="FW197">
        <v>-13.360000000000003</v>
      </c>
      <c r="FX197">
        <v>-2.88</v>
      </c>
      <c r="FY197">
        <v>-2.6000000000000005</v>
      </c>
      <c r="FZ197">
        <v>12</v>
      </c>
      <c r="GA197">
        <v>1.0239999999999982</v>
      </c>
      <c r="GB197">
        <v>0.19831999999999916</v>
      </c>
      <c r="GC197">
        <v>21.200000000000003</v>
      </c>
      <c r="GD197">
        <v>-1.0239999999999982</v>
      </c>
      <c r="GE197">
        <v>-1.3088499999999992</v>
      </c>
      <c r="GF197">
        <v>-5.6599999999999993</v>
      </c>
      <c r="GG197">
        <v>-10.119999999999994</v>
      </c>
      <c r="GH197">
        <v>-2.4863999999999975</v>
      </c>
      <c r="GI197">
        <v>-13.120000000000001</v>
      </c>
      <c r="GJ197">
        <v>-0.18999999999999972</v>
      </c>
      <c r="GK197">
        <v>0.64000000000000012</v>
      </c>
    </row>
    <row r="198" spans="1:193" x14ac:dyDescent="0.2">
      <c r="A198" s="39">
        <v>43779</v>
      </c>
      <c r="B198" s="22" t="s">
        <v>244</v>
      </c>
      <c r="C198" s="40" t="s">
        <v>256</v>
      </c>
      <c r="D198" s="22" t="s">
        <v>308</v>
      </c>
      <c r="E198">
        <v>22.2</v>
      </c>
      <c r="F198">
        <v>16.2</v>
      </c>
      <c r="G198">
        <v>4.4000000000000004</v>
      </c>
      <c r="H198">
        <v>5.4</v>
      </c>
      <c r="I198">
        <v>-6.5</v>
      </c>
      <c r="J198">
        <v>47</v>
      </c>
      <c r="L198" s="1" t="s">
        <v>256</v>
      </c>
      <c r="M198">
        <v>28</v>
      </c>
      <c r="N198">
        <v>-4.5048000000000012</v>
      </c>
      <c r="O198">
        <v>26</v>
      </c>
      <c r="P198">
        <v>24.5</v>
      </c>
      <c r="Q198">
        <v>25</v>
      </c>
      <c r="R198">
        <v>-3.2200000000000024</v>
      </c>
      <c r="S198">
        <v>24</v>
      </c>
      <c r="T198">
        <v>-14.8</v>
      </c>
      <c r="U198">
        <v>-1.0799999999999998</v>
      </c>
      <c r="V198">
        <v>5</v>
      </c>
      <c r="W198">
        <v>8</v>
      </c>
      <c r="X198">
        <v>9</v>
      </c>
      <c r="Y198">
        <v>1.4519999999999995</v>
      </c>
      <c r="Z198">
        <v>7</v>
      </c>
      <c r="AA198">
        <v>16.52</v>
      </c>
      <c r="AB198">
        <v>-0.12000000000000002</v>
      </c>
      <c r="AC198">
        <v>23</v>
      </c>
      <c r="AD198">
        <v>22</v>
      </c>
      <c r="AE198">
        <v>24</v>
      </c>
      <c r="AF198">
        <v>-2.3280000000000007</v>
      </c>
      <c r="AG198">
        <v>20</v>
      </c>
      <c r="AH198">
        <v>-14.639999999999997</v>
      </c>
      <c r="AI198">
        <v>-1.5999999999999999</v>
      </c>
      <c r="AJ198">
        <v>27</v>
      </c>
      <c r="AK198">
        <v>27</v>
      </c>
      <c r="AL198">
        <v>25</v>
      </c>
      <c r="AM198">
        <v>-1.9400000000000002</v>
      </c>
      <c r="AN198">
        <v>29</v>
      </c>
      <c r="AO198">
        <v>-18.68</v>
      </c>
      <c r="AP198">
        <v>-1.0399999999999998</v>
      </c>
      <c r="AQ198">
        <v>13</v>
      </c>
      <c r="AR198">
        <v>14.5</v>
      </c>
      <c r="AS198">
        <v>16</v>
      </c>
      <c r="AT198">
        <v>-1.9159999999999997</v>
      </c>
      <c r="AU198">
        <v>13</v>
      </c>
      <c r="AV198">
        <v>-13.280000000000001</v>
      </c>
      <c r="AW198">
        <v>-1.48</v>
      </c>
      <c r="AX198">
        <v>19</v>
      </c>
      <c r="AY198">
        <v>19.5</v>
      </c>
      <c r="AZ198">
        <v>20</v>
      </c>
      <c r="BA198">
        <v>-1.1639999999999986</v>
      </c>
      <c r="BB198">
        <v>19</v>
      </c>
      <c r="BC198">
        <v>-14.040000000000003</v>
      </c>
      <c r="BD198">
        <v>-1.1599999999999999</v>
      </c>
      <c r="BE198">
        <v>17</v>
      </c>
      <c r="BF198">
        <v>17.5</v>
      </c>
      <c r="BG198">
        <v>16</v>
      </c>
      <c r="BH198">
        <v>1.6479999999999992</v>
      </c>
      <c r="BI198">
        <v>7.6400000000000006</v>
      </c>
      <c r="BJ198">
        <v>1.36</v>
      </c>
      <c r="BK198">
        <v>17</v>
      </c>
      <c r="BL198">
        <v>16</v>
      </c>
      <c r="BM198">
        <v>15</v>
      </c>
      <c r="BN198">
        <v>0.84000000000000008</v>
      </c>
      <c r="BO198">
        <v>17</v>
      </c>
      <c r="BP198">
        <v>0.36</v>
      </c>
      <c r="BQ198">
        <v>6.1199999999999992</v>
      </c>
      <c r="BR198">
        <v>21</v>
      </c>
      <c r="BS198">
        <v>17.75</v>
      </c>
      <c r="BT198">
        <v>19</v>
      </c>
      <c r="BU198">
        <v>-1.8121324894158564E-2</v>
      </c>
      <c r="BV198">
        <v>3</v>
      </c>
      <c r="BW198">
        <v>8.6883642314618467E-3</v>
      </c>
      <c r="BX198">
        <v>29</v>
      </c>
      <c r="BY198">
        <v>4.8320000000000007</v>
      </c>
      <c r="BZ198">
        <v>20</v>
      </c>
      <c r="CA198">
        <v>-0.11999999999999975</v>
      </c>
      <c r="CB198">
        <v>2.7599999999999993</v>
      </c>
      <c r="CC198">
        <v>0.95999999999999941</v>
      </c>
      <c r="CD198">
        <v>0.28000000000000008</v>
      </c>
      <c r="CE198">
        <v>-43.839999999999996</v>
      </c>
      <c r="CF198">
        <v>-56.919999999999995</v>
      </c>
      <c r="CG198">
        <v>19.600000000000001</v>
      </c>
      <c r="CH198">
        <v>3.5199999999999996</v>
      </c>
      <c r="CI198">
        <v>-10.040000000000001</v>
      </c>
      <c r="CJ198">
        <v>20</v>
      </c>
      <c r="CK198">
        <v>-2.7367999999999983</v>
      </c>
      <c r="CL198">
        <v>-0.92415999999999898</v>
      </c>
      <c r="CM198">
        <v>-76.52</v>
      </c>
      <c r="CN198">
        <v>2.7367999999999983</v>
      </c>
      <c r="CO198">
        <v>-1.2461000000000007</v>
      </c>
      <c r="CP198">
        <v>-6.1840000000000002</v>
      </c>
      <c r="CQ198">
        <v>-46.599999999999994</v>
      </c>
      <c r="CR198">
        <v>-1.7680000000000029</v>
      </c>
      <c r="CS198">
        <v>1.7199999999999989</v>
      </c>
      <c r="CT198">
        <v>-2.7599999999999989</v>
      </c>
      <c r="CU198">
        <v>-1.2</v>
      </c>
      <c r="CV198">
        <v>-0.88423750000000034</v>
      </c>
      <c r="CW198">
        <v>-3.5282750000000003</v>
      </c>
      <c r="CX198" t="s">
        <v>308</v>
      </c>
      <c r="CY198">
        <v>17</v>
      </c>
      <c r="CZ198">
        <v>3.130399999999999</v>
      </c>
      <c r="DA198">
        <v>24</v>
      </c>
      <c r="DB198">
        <v>22</v>
      </c>
      <c r="DC198">
        <v>18</v>
      </c>
      <c r="DD198">
        <v>4.8239999999999998</v>
      </c>
      <c r="DE198">
        <v>26</v>
      </c>
      <c r="DF198">
        <v>5.0400000000000009</v>
      </c>
      <c r="DG198">
        <v>1.32</v>
      </c>
      <c r="DH198">
        <v>25</v>
      </c>
      <c r="DI198">
        <v>22.5</v>
      </c>
      <c r="DJ198">
        <v>16</v>
      </c>
      <c r="DK198">
        <v>-1.3759999999999999</v>
      </c>
      <c r="DL198">
        <v>29</v>
      </c>
      <c r="DM198">
        <v>-6.2399999999999993</v>
      </c>
      <c r="DN198">
        <v>-1.08</v>
      </c>
      <c r="DO198">
        <v>5</v>
      </c>
      <c r="DP198">
        <v>3.5</v>
      </c>
      <c r="DQ198">
        <v>3</v>
      </c>
      <c r="DR198">
        <v>6.9493333333333336</v>
      </c>
      <c r="DS198">
        <v>4</v>
      </c>
      <c r="DT198">
        <v>29.68</v>
      </c>
      <c r="DU198">
        <v>1.2533333333333334</v>
      </c>
      <c r="DV198">
        <v>19</v>
      </c>
      <c r="DW198">
        <v>17.5</v>
      </c>
      <c r="DX198">
        <v>18</v>
      </c>
      <c r="DY198">
        <v>-3.8973333333333331</v>
      </c>
      <c r="DZ198">
        <v>17</v>
      </c>
      <c r="EA198">
        <v>-14.239999999999998</v>
      </c>
      <c r="EB198">
        <v>-1.0666666666666669</v>
      </c>
      <c r="EC198">
        <v>13</v>
      </c>
      <c r="ED198">
        <v>13.5</v>
      </c>
      <c r="EE198">
        <v>6</v>
      </c>
      <c r="EF198">
        <v>1.8999999999999992</v>
      </c>
      <c r="EG198">
        <v>21</v>
      </c>
      <c r="EH198">
        <v>6.0399999999999991</v>
      </c>
      <c r="EI198">
        <v>1.1599999999999999</v>
      </c>
      <c r="EJ198">
        <v>18</v>
      </c>
      <c r="EK198">
        <v>18</v>
      </c>
      <c r="EL198">
        <v>16</v>
      </c>
      <c r="EM198">
        <v>4.3360000000000003</v>
      </c>
      <c r="EN198">
        <v>20</v>
      </c>
      <c r="EO198">
        <v>22.96</v>
      </c>
      <c r="EP198">
        <v>2.2399999999999998</v>
      </c>
      <c r="EQ198">
        <v>15</v>
      </c>
      <c r="ER198">
        <v>15</v>
      </c>
      <c r="ES198">
        <v>11</v>
      </c>
      <c r="ET198">
        <v>2.3480000000000003</v>
      </c>
      <c r="EU198">
        <v>19</v>
      </c>
      <c r="EV198">
        <v>21.479999999999997</v>
      </c>
      <c r="EW198">
        <v>0.92000000000000015</v>
      </c>
      <c r="EX198">
        <v>12</v>
      </c>
      <c r="EY198">
        <v>12.5</v>
      </c>
      <c r="EZ198">
        <v>17</v>
      </c>
      <c r="FA198">
        <v>0.19999999999999982</v>
      </c>
      <c r="FB198">
        <v>8</v>
      </c>
      <c r="FC198">
        <v>0.59999999999999987</v>
      </c>
      <c r="FD198">
        <v>-0.99999999999999978</v>
      </c>
      <c r="FE198">
        <v>21</v>
      </c>
      <c r="FF198">
        <v>17.25</v>
      </c>
      <c r="FG198">
        <v>30</v>
      </c>
      <c r="FH198">
        <v>-6.318744995534363E-2</v>
      </c>
      <c r="FI198">
        <v>28</v>
      </c>
      <c r="FJ198">
        <v>-4.0318877608038754E-2</v>
      </c>
      <c r="FK198">
        <v>4</v>
      </c>
      <c r="FL198">
        <v>-3.7639999999999985</v>
      </c>
      <c r="FM198">
        <v>7</v>
      </c>
      <c r="FN198">
        <v>-3.16</v>
      </c>
      <c r="FO198">
        <v>4.5199999999999996</v>
      </c>
      <c r="FP198">
        <v>-1.7199999999999995</v>
      </c>
      <c r="FQ198">
        <v>-0.32</v>
      </c>
      <c r="FR198">
        <v>0.64000000000000057</v>
      </c>
      <c r="FS198">
        <v>3.84</v>
      </c>
      <c r="FT198">
        <v>0.76</v>
      </c>
      <c r="FU198">
        <v>59.719999999999992</v>
      </c>
      <c r="FV198">
        <v>56.160000000000004</v>
      </c>
      <c r="FW198">
        <v>-3.0000000000000013</v>
      </c>
      <c r="FX198">
        <v>2.48</v>
      </c>
      <c r="FY198">
        <v>4.080000000000001</v>
      </c>
      <c r="FZ198">
        <v>17</v>
      </c>
      <c r="GA198">
        <v>-0.31760000000000099</v>
      </c>
      <c r="GB198">
        <v>0.36207999999999996</v>
      </c>
      <c r="GC198">
        <v>59.160000000000004</v>
      </c>
      <c r="GD198">
        <v>0.31760000000000099</v>
      </c>
      <c r="GE198">
        <v>1.7597999999999996</v>
      </c>
      <c r="GF198">
        <v>4.952</v>
      </c>
      <c r="GG198">
        <v>21.48</v>
      </c>
      <c r="GH198">
        <v>3.448</v>
      </c>
      <c r="GI198">
        <v>-1.1999999999999984</v>
      </c>
      <c r="GJ198">
        <v>2.2666666666666666</v>
      </c>
      <c r="GK198">
        <v>0.24</v>
      </c>
    </row>
    <row r="199" spans="1:193" x14ac:dyDescent="0.2">
      <c r="A199" s="39">
        <v>43779</v>
      </c>
      <c r="B199" s="22" t="s">
        <v>244</v>
      </c>
      <c r="C199" s="41" t="s">
        <v>308</v>
      </c>
      <c r="D199" s="22" t="s">
        <v>256</v>
      </c>
      <c r="E199">
        <v>5.9</v>
      </c>
      <c r="F199">
        <v>12</v>
      </c>
      <c r="G199">
        <v>5.5</v>
      </c>
      <c r="H199">
        <v>20.2</v>
      </c>
      <c r="I199">
        <v>6.5</v>
      </c>
      <c r="J199">
        <v>47</v>
      </c>
      <c r="L199" s="1" t="s">
        <v>308</v>
      </c>
      <c r="M199">
        <v>3</v>
      </c>
      <c r="N199">
        <v>4.9511999999999992</v>
      </c>
      <c r="O199">
        <v>3</v>
      </c>
      <c r="P199">
        <v>6</v>
      </c>
      <c r="Q199">
        <v>10</v>
      </c>
      <c r="R199">
        <v>4.7792000000000003</v>
      </c>
      <c r="S199">
        <v>2</v>
      </c>
      <c r="T199">
        <v>39.399999999999991</v>
      </c>
      <c r="U199">
        <v>-0.64000000000000012</v>
      </c>
      <c r="V199">
        <v>1</v>
      </c>
      <c r="W199">
        <v>1.5</v>
      </c>
      <c r="X199">
        <v>2</v>
      </c>
      <c r="Y199">
        <v>-2.6584000000000003</v>
      </c>
      <c r="Z199">
        <v>1</v>
      </c>
      <c r="AA199">
        <v>-0.24000000000000057</v>
      </c>
      <c r="AB199">
        <v>-0.72000000000000008</v>
      </c>
      <c r="AC199">
        <v>19</v>
      </c>
      <c r="AD199">
        <v>18.5</v>
      </c>
      <c r="AE199">
        <v>15</v>
      </c>
      <c r="AF199">
        <v>4.5200000000000014</v>
      </c>
      <c r="AG199">
        <v>22</v>
      </c>
      <c r="AH199">
        <v>13.080000000000002</v>
      </c>
      <c r="AI199">
        <v>-0.48000000000000009</v>
      </c>
      <c r="AJ199">
        <v>12</v>
      </c>
      <c r="AK199">
        <v>11.5</v>
      </c>
      <c r="AL199">
        <v>12</v>
      </c>
      <c r="AM199">
        <v>1.2240000000000009</v>
      </c>
      <c r="AN199">
        <v>11</v>
      </c>
      <c r="AO199">
        <v>0.72000000000000031</v>
      </c>
      <c r="AP199">
        <v>-0.52000000000000013</v>
      </c>
      <c r="AQ199">
        <v>17</v>
      </c>
      <c r="AR199">
        <v>17</v>
      </c>
      <c r="AS199">
        <v>17</v>
      </c>
      <c r="AT199">
        <v>1.6959999999999997</v>
      </c>
      <c r="AU199">
        <v>17</v>
      </c>
      <c r="AV199">
        <v>2.9999999999999991</v>
      </c>
      <c r="AW199">
        <v>0.59999999999999987</v>
      </c>
      <c r="AX199">
        <v>24</v>
      </c>
      <c r="AY199">
        <v>25</v>
      </c>
      <c r="AZ199">
        <v>26</v>
      </c>
      <c r="BA199">
        <v>5.1280000000000001</v>
      </c>
      <c r="BB199">
        <v>24</v>
      </c>
      <c r="BC199">
        <v>24.48</v>
      </c>
      <c r="BD199">
        <v>0.72</v>
      </c>
      <c r="BE199">
        <v>12</v>
      </c>
      <c r="BF199">
        <v>12.5</v>
      </c>
      <c r="BG199">
        <v>10</v>
      </c>
      <c r="BH199">
        <v>-3.3079999999999998</v>
      </c>
      <c r="BI199">
        <v>-14.6</v>
      </c>
      <c r="BJ199">
        <v>-1.7200000000000002</v>
      </c>
      <c r="BK199">
        <v>8</v>
      </c>
      <c r="BL199">
        <v>8.5</v>
      </c>
      <c r="BM199">
        <v>9</v>
      </c>
      <c r="BN199">
        <v>0.20000000000000018</v>
      </c>
      <c r="BO199">
        <v>8</v>
      </c>
      <c r="BP199">
        <v>0.36</v>
      </c>
      <c r="BQ199">
        <v>-3.16</v>
      </c>
      <c r="BR199">
        <v>12</v>
      </c>
      <c r="BS199">
        <v>13.25</v>
      </c>
      <c r="BT199">
        <v>11</v>
      </c>
      <c r="BU199">
        <v>0.13329081320837433</v>
      </c>
      <c r="BV199">
        <v>5</v>
      </c>
      <c r="BW199">
        <v>-1.1437240256541887E-3</v>
      </c>
      <c r="BX199">
        <v>21</v>
      </c>
      <c r="BY199">
        <v>6.4560000000000013</v>
      </c>
      <c r="BZ199">
        <v>16</v>
      </c>
      <c r="CA199">
        <v>-0.99999999999999978</v>
      </c>
      <c r="CB199">
        <v>1.6400000000000006</v>
      </c>
      <c r="CC199">
        <v>5.3600000000000012</v>
      </c>
      <c r="CD199">
        <v>-1.4799999999999998</v>
      </c>
      <c r="CE199">
        <v>47.680000000000007</v>
      </c>
      <c r="CF199">
        <v>8.7599999999999962</v>
      </c>
      <c r="CG199">
        <v>32.6</v>
      </c>
      <c r="CH199">
        <v>-2.4</v>
      </c>
      <c r="CI199">
        <v>8.7200000000000006</v>
      </c>
      <c r="CJ199">
        <v>13</v>
      </c>
      <c r="CK199">
        <v>2.8303999999999991</v>
      </c>
      <c r="CL199">
        <v>0.75624000000000002</v>
      </c>
      <c r="CM199">
        <v>-23.840000000000003</v>
      </c>
      <c r="CN199">
        <v>-2.8303999999999991</v>
      </c>
      <c r="CO199">
        <v>1.4255</v>
      </c>
      <c r="CP199">
        <v>7.4400000000000022</v>
      </c>
      <c r="CQ199">
        <v>16.8</v>
      </c>
      <c r="CR199">
        <v>2.1208</v>
      </c>
      <c r="CS199">
        <v>39.159999999999989</v>
      </c>
      <c r="CT199">
        <v>-2.1200000000000006</v>
      </c>
      <c r="CU199">
        <v>-1.3600000000000003</v>
      </c>
      <c r="CV199">
        <v>-0.88423750000000034</v>
      </c>
      <c r="CW199">
        <v>1.7597999999999996</v>
      </c>
      <c r="CX199" t="s">
        <v>256</v>
      </c>
      <c r="CY199">
        <v>22</v>
      </c>
      <c r="CZ199">
        <v>-6.7032000000000007</v>
      </c>
      <c r="DA199">
        <v>14</v>
      </c>
      <c r="DB199">
        <v>16</v>
      </c>
      <c r="DC199">
        <v>22</v>
      </c>
      <c r="DD199">
        <v>-2.504</v>
      </c>
      <c r="DE199">
        <v>10</v>
      </c>
      <c r="DF199">
        <v>0.15</v>
      </c>
      <c r="DG199">
        <v>-0.80999999999999994</v>
      </c>
      <c r="DH199">
        <v>32</v>
      </c>
      <c r="DI199">
        <v>32</v>
      </c>
      <c r="DJ199">
        <v>32</v>
      </c>
      <c r="DK199">
        <v>-2.2489999999999997</v>
      </c>
      <c r="DL199">
        <v>32</v>
      </c>
      <c r="DM199">
        <v>-7.6399999999999988</v>
      </c>
      <c r="DN199">
        <v>-0.4200000000000001</v>
      </c>
      <c r="DO199">
        <v>28</v>
      </c>
      <c r="DP199">
        <v>26.5</v>
      </c>
      <c r="DQ199">
        <v>23</v>
      </c>
      <c r="DR199">
        <v>-8.604000000000001</v>
      </c>
      <c r="DS199">
        <v>30</v>
      </c>
      <c r="DT199">
        <v>-41.64</v>
      </c>
      <c r="DU199">
        <v>-2.52</v>
      </c>
      <c r="DV199">
        <v>31</v>
      </c>
      <c r="DW199">
        <v>30.5</v>
      </c>
      <c r="DX199">
        <v>32</v>
      </c>
      <c r="DY199">
        <v>-3.3000000000000007</v>
      </c>
      <c r="DZ199">
        <v>29</v>
      </c>
      <c r="EA199">
        <v>-13.719999999999999</v>
      </c>
      <c r="EB199">
        <v>0.68</v>
      </c>
      <c r="EC199">
        <v>7</v>
      </c>
      <c r="ED199">
        <v>14</v>
      </c>
      <c r="EE199">
        <v>12</v>
      </c>
      <c r="EF199">
        <v>0.59599999999999975</v>
      </c>
      <c r="EG199">
        <v>16</v>
      </c>
      <c r="EH199">
        <v>4.5199999999999987</v>
      </c>
      <c r="EI199">
        <v>-1.48</v>
      </c>
      <c r="EJ199">
        <v>27</v>
      </c>
      <c r="EK199">
        <v>27</v>
      </c>
      <c r="EL199">
        <v>26</v>
      </c>
      <c r="EM199">
        <v>-8.668000000000001</v>
      </c>
      <c r="EN199">
        <v>28</v>
      </c>
      <c r="EO199">
        <v>-38.28</v>
      </c>
      <c r="EP199">
        <v>-2.8800000000000003</v>
      </c>
      <c r="EQ199">
        <v>22</v>
      </c>
      <c r="ER199">
        <v>23.5</v>
      </c>
      <c r="ES199">
        <v>19</v>
      </c>
      <c r="ET199">
        <v>-1.9420000000000002</v>
      </c>
      <c r="EU199">
        <v>28</v>
      </c>
      <c r="EV199">
        <v>-17.770000000000003</v>
      </c>
      <c r="EW199">
        <v>-0.35000000000000009</v>
      </c>
      <c r="EX199">
        <v>18</v>
      </c>
      <c r="EY199">
        <v>20</v>
      </c>
      <c r="EZ199">
        <v>22</v>
      </c>
      <c r="FA199">
        <v>-3.5200000000000005</v>
      </c>
      <c r="FB199">
        <v>18</v>
      </c>
      <c r="FC199">
        <v>-1.3599999999999999</v>
      </c>
      <c r="FD199">
        <v>-0.11999999999999975</v>
      </c>
      <c r="FE199">
        <v>13</v>
      </c>
      <c r="FF199">
        <v>14.75</v>
      </c>
      <c r="FG199">
        <v>23</v>
      </c>
      <c r="FH199">
        <v>3.8331540169107225E-3</v>
      </c>
      <c r="FI199">
        <v>8</v>
      </c>
      <c r="FJ199">
        <v>6.9136544446713979E-2</v>
      </c>
      <c r="FK199">
        <v>24</v>
      </c>
      <c r="FL199">
        <v>1.7759999999999976</v>
      </c>
      <c r="FM199">
        <v>4</v>
      </c>
      <c r="FN199">
        <v>6.1199999999999992</v>
      </c>
      <c r="FO199">
        <v>-4.4399999999999995</v>
      </c>
      <c r="FP199">
        <v>-1.0399999999999998</v>
      </c>
      <c r="FQ199">
        <v>-1.1599999999999997</v>
      </c>
      <c r="FR199">
        <v>-5.08</v>
      </c>
      <c r="FS199">
        <v>-8.2799999999999994</v>
      </c>
      <c r="FT199">
        <v>0.8</v>
      </c>
      <c r="FU199">
        <v>-70.960000000000008</v>
      </c>
      <c r="FV199">
        <v>-69</v>
      </c>
      <c r="FW199">
        <v>-3.1199999999999988</v>
      </c>
      <c r="FX199">
        <v>-1.3200000000000003</v>
      </c>
      <c r="FY199">
        <v>2.48</v>
      </c>
      <c r="FZ199">
        <v>21</v>
      </c>
      <c r="GA199">
        <v>-1.9502000000000015</v>
      </c>
      <c r="GB199">
        <v>-1.6141400000000004</v>
      </c>
      <c r="GC199">
        <v>-65.88</v>
      </c>
      <c r="GD199">
        <v>1.9502000000000006</v>
      </c>
      <c r="GE199">
        <v>-3.5282750000000003</v>
      </c>
      <c r="GF199">
        <v>-11.308000000000002</v>
      </c>
      <c r="GG199">
        <v>-50.84</v>
      </c>
      <c r="GH199">
        <v>-4.7530000000000001</v>
      </c>
      <c r="GI199">
        <v>-7.4899999999999984</v>
      </c>
      <c r="GJ199">
        <v>-3.67</v>
      </c>
      <c r="GK199">
        <v>-1.23</v>
      </c>
    </row>
    <row r="200" spans="1:193" x14ac:dyDescent="0.2">
      <c r="A200" s="39">
        <v>43779</v>
      </c>
      <c r="B200" s="22" t="s">
        <v>244</v>
      </c>
      <c r="C200" s="41" t="s">
        <v>284</v>
      </c>
      <c r="D200" s="22" t="s">
        <v>285</v>
      </c>
      <c r="E200">
        <v>12.2</v>
      </c>
      <c r="F200">
        <v>13.4</v>
      </c>
      <c r="G200">
        <v>5.3</v>
      </c>
      <c r="H200">
        <v>14.7</v>
      </c>
      <c r="I200">
        <v>-5.5</v>
      </c>
      <c r="J200">
        <v>51</v>
      </c>
      <c r="K200" t="s">
        <v>109</v>
      </c>
      <c r="L200" s="1" t="s">
        <v>284</v>
      </c>
      <c r="M200">
        <v>10</v>
      </c>
      <c r="N200">
        <v>2.1896000000000004</v>
      </c>
      <c r="O200">
        <v>24</v>
      </c>
      <c r="P200">
        <v>22.5</v>
      </c>
      <c r="Q200">
        <v>20</v>
      </c>
      <c r="R200">
        <v>-5.729000000000001</v>
      </c>
      <c r="S200">
        <v>25</v>
      </c>
      <c r="T200">
        <v>-19.749999999999996</v>
      </c>
      <c r="U200">
        <v>-0.31000000000000005</v>
      </c>
      <c r="V200">
        <v>20</v>
      </c>
      <c r="W200">
        <v>18.5</v>
      </c>
      <c r="X200">
        <v>12</v>
      </c>
      <c r="Y200">
        <v>1.8859999999999997</v>
      </c>
      <c r="Z200">
        <v>25</v>
      </c>
      <c r="AA200">
        <v>-9.2799999999999994</v>
      </c>
      <c r="AB200">
        <v>-0.31000000000000011</v>
      </c>
      <c r="AC200">
        <v>24</v>
      </c>
      <c r="AD200">
        <v>22.5</v>
      </c>
      <c r="AE200">
        <v>26</v>
      </c>
      <c r="AF200">
        <v>5.3319999999999999</v>
      </c>
      <c r="AG200">
        <v>19</v>
      </c>
      <c r="AH200">
        <v>26.559999999999995</v>
      </c>
      <c r="AI200">
        <v>-0.23999999999999985</v>
      </c>
      <c r="AJ200">
        <v>2</v>
      </c>
      <c r="AK200">
        <v>3</v>
      </c>
      <c r="AL200">
        <v>3</v>
      </c>
      <c r="AM200">
        <v>7.6560000000000006</v>
      </c>
      <c r="AN200">
        <v>3</v>
      </c>
      <c r="AO200">
        <v>36.32</v>
      </c>
      <c r="AP200">
        <v>3.5200000000000005</v>
      </c>
      <c r="AQ200">
        <v>4</v>
      </c>
      <c r="AR200">
        <v>4.5</v>
      </c>
      <c r="AS200">
        <v>5</v>
      </c>
      <c r="AT200">
        <v>0.81600000000000006</v>
      </c>
      <c r="AU200">
        <v>4</v>
      </c>
      <c r="AV200">
        <v>1.64</v>
      </c>
      <c r="AW200">
        <v>1.48</v>
      </c>
      <c r="AX200">
        <v>6</v>
      </c>
      <c r="AY200">
        <v>5.5</v>
      </c>
      <c r="AZ200">
        <v>6</v>
      </c>
      <c r="BA200">
        <v>6.3559999999999999</v>
      </c>
      <c r="BB200">
        <v>5</v>
      </c>
      <c r="BC200">
        <v>36.759999999999991</v>
      </c>
      <c r="BD200">
        <v>1.2399999999999998</v>
      </c>
      <c r="BE200">
        <v>20</v>
      </c>
      <c r="BF200">
        <v>22</v>
      </c>
      <c r="BG200">
        <v>22</v>
      </c>
      <c r="BH200">
        <v>-3.4</v>
      </c>
      <c r="BI200">
        <v>-19.600000000000001</v>
      </c>
      <c r="BJ200">
        <v>-1.1199999999999999</v>
      </c>
      <c r="BK200">
        <v>18</v>
      </c>
      <c r="BL200">
        <v>17.5</v>
      </c>
      <c r="BM200">
        <v>16</v>
      </c>
      <c r="BN200">
        <v>1.8000000000000003</v>
      </c>
      <c r="BO200">
        <v>19</v>
      </c>
      <c r="BP200">
        <v>0.15999999999999998</v>
      </c>
      <c r="BQ200">
        <v>-3.8800000000000003</v>
      </c>
      <c r="BR200">
        <v>14</v>
      </c>
      <c r="BS200">
        <v>14</v>
      </c>
      <c r="BT200">
        <v>29</v>
      </c>
      <c r="BU200">
        <v>-1.5389751345299763E-2</v>
      </c>
      <c r="BV200">
        <v>22</v>
      </c>
      <c r="BW200">
        <v>3.1269387411979245E-2</v>
      </c>
      <c r="BX200">
        <v>1</v>
      </c>
      <c r="BY200">
        <v>-19.916000000000004</v>
      </c>
      <c r="BZ200">
        <v>4</v>
      </c>
      <c r="CA200">
        <v>3.4400000000000004</v>
      </c>
      <c r="CB200">
        <v>6.6799999999999971</v>
      </c>
      <c r="CC200">
        <v>4.3599999999999985</v>
      </c>
      <c r="CD200">
        <v>-1.1199999999999999</v>
      </c>
      <c r="CE200">
        <v>24.96</v>
      </c>
      <c r="CF200">
        <v>43.440000000000005</v>
      </c>
      <c r="CG200">
        <v>-24.919999999999995</v>
      </c>
      <c r="CH200">
        <v>-0.28000000000000008</v>
      </c>
      <c r="CI200">
        <v>6.7200000000000006</v>
      </c>
      <c r="CJ200">
        <v>8</v>
      </c>
      <c r="CK200">
        <v>6.0326000000000022</v>
      </c>
      <c r="CL200">
        <v>4.4402200000000009</v>
      </c>
      <c r="CM200">
        <v>68.36</v>
      </c>
      <c r="CN200">
        <v>-6.0326000000000022</v>
      </c>
      <c r="CO200">
        <v>1.3188250000000001</v>
      </c>
      <c r="CP200">
        <v>13.804</v>
      </c>
      <c r="CQ200">
        <v>64.52</v>
      </c>
      <c r="CR200">
        <v>-3.8430000000000013</v>
      </c>
      <c r="CS200">
        <v>-29.029999999999994</v>
      </c>
      <c r="CT200">
        <v>3.6400000000000006</v>
      </c>
      <c r="CU200">
        <v>-0.62000000000000011</v>
      </c>
      <c r="CV200">
        <v>2.7249625000000006</v>
      </c>
      <c r="CW200">
        <v>3.0680250000000009</v>
      </c>
      <c r="CX200" t="s">
        <v>285</v>
      </c>
      <c r="CY200">
        <v>1</v>
      </c>
      <c r="CZ200">
        <v>5.8879999999999999</v>
      </c>
      <c r="DA200">
        <v>16</v>
      </c>
      <c r="DB200">
        <v>16.5</v>
      </c>
      <c r="DC200">
        <v>12</v>
      </c>
      <c r="DD200">
        <v>3.8872000000000027</v>
      </c>
      <c r="DE200">
        <v>21</v>
      </c>
      <c r="DF200">
        <v>21.68</v>
      </c>
      <c r="DG200">
        <v>0.60000000000000009</v>
      </c>
      <c r="DH200">
        <v>11</v>
      </c>
      <c r="DI200">
        <v>14</v>
      </c>
      <c r="DJ200">
        <v>23</v>
      </c>
      <c r="DK200">
        <v>-1.0119999999999998</v>
      </c>
      <c r="DL200">
        <v>5</v>
      </c>
      <c r="DM200">
        <v>5.32</v>
      </c>
      <c r="DN200">
        <v>-0.79999999999999993</v>
      </c>
      <c r="DO200">
        <v>8</v>
      </c>
      <c r="DP200">
        <v>7</v>
      </c>
      <c r="DQ200">
        <v>7</v>
      </c>
      <c r="DR200">
        <v>6.6240000000000006</v>
      </c>
      <c r="DS200">
        <v>7</v>
      </c>
      <c r="DT200">
        <v>19.960000000000004</v>
      </c>
      <c r="DU200">
        <v>1.2000000000000004</v>
      </c>
      <c r="DV200">
        <v>1</v>
      </c>
      <c r="DW200">
        <v>1.5</v>
      </c>
      <c r="DX200">
        <v>2</v>
      </c>
      <c r="DY200">
        <v>-9.9999999999999825E-2</v>
      </c>
      <c r="DZ200">
        <v>1</v>
      </c>
      <c r="EA200">
        <v>-2.5199999999999996</v>
      </c>
      <c r="EB200">
        <v>-0.55999999999999983</v>
      </c>
      <c r="EC200">
        <v>4</v>
      </c>
      <c r="ED200">
        <v>5.5</v>
      </c>
      <c r="EE200">
        <v>4</v>
      </c>
      <c r="EF200">
        <v>8.0000000000000071E-3</v>
      </c>
      <c r="EG200">
        <v>7</v>
      </c>
      <c r="EH200">
        <v>-1.879999999999999</v>
      </c>
      <c r="EI200">
        <v>-1.1599999999999999</v>
      </c>
      <c r="EJ200">
        <v>1</v>
      </c>
      <c r="EK200">
        <v>1.5</v>
      </c>
      <c r="EL200">
        <v>2</v>
      </c>
      <c r="EM200">
        <v>3.5200000000000018</v>
      </c>
      <c r="EN200">
        <v>1</v>
      </c>
      <c r="EO200">
        <v>25.599999999999998</v>
      </c>
      <c r="EP200">
        <v>0.48000000000000009</v>
      </c>
      <c r="EQ200">
        <v>5</v>
      </c>
      <c r="ER200">
        <v>6</v>
      </c>
      <c r="ES200">
        <v>4</v>
      </c>
      <c r="ET200">
        <v>3.9599999999999995</v>
      </c>
      <c r="EU200">
        <v>8</v>
      </c>
      <c r="EV200">
        <v>18.679999999999996</v>
      </c>
      <c r="EW200">
        <v>0.67999999999999994</v>
      </c>
      <c r="EX200">
        <v>19</v>
      </c>
      <c r="EY200">
        <v>20.5</v>
      </c>
      <c r="EZ200">
        <v>19</v>
      </c>
      <c r="FA200">
        <v>-0.20000000000000018</v>
      </c>
      <c r="FB200">
        <v>22</v>
      </c>
      <c r="FC200">
        <v>-0.44000000000000006</v>
      </c>
      <c r="FD200">
        <v>-2.04</v>
      </c>
      <c r="FE200">
        <v>26</v>
      </c>
      <c r="FF200">
        <v>22</v>
      </c>
      <c r="FG200">
        <v>5</v>
      </c>
      <c r="FH200">
        <v>-3.9123818515458486E-2</v>
      </c>
      <c r="FI200">
        <v>31</v>
      </c>
      <c r="FJ200">
        <v>-1.0509881961917045E-2</v>
      </c>
      <c r="FK200">
        <v>20</v>
      </c>
      <c r="FL200">
        <v>10.907999999999998</v>
      </c>
      <c r="FM200">
        <v>32</v>
      </c>
      <c r="FN200">
        <v>-6.2799999999999994</v>
      </c>
      <c r="FO200">
        <v>-3.9999999999999855E-2</v>
      </c>
      <c r="FP200">
        <v>1.56</v>
      </c>
      <c r="FQ200">
        <v>-0.60000000000000009</v>
      </c>
      <c r="FR200">
        <v>-0.11999999999999886</v>
      </c>
      <c r="FS200">
        <v>5.32</v>
      </c>
      <c r="FT200">
        <v>0.20000000000000009</v>
      </c>
      <c r="FU200">
        <v>54.840000000000011</v>
      </c>
      <c r="FV200">
        <v>42.88</v>
      </c>
      <c r="FW200">
        <v>21.2</v>
      </c>
      <c r="FX200">
        <v>-6.04</v>
      </c>
      <c r="FY200">
        <v>-3.1999999999999997</v>
      </c>
      <c r="FZ200">
        <v>8</v>
      </c>
      <c r="GA200">
        <v>3.0127999999999968</v>
      </c>
      <c r="GB200">
        <v>1.8383999999999991</v>
      </c>
      <c r="GC200">
        <v>21.680000000000003</v>
      </c>
      <c r="GD200">
        <v>-3.0127999999999968</v>
      </c>
      <c r="GE200">
        <v>2.3819000000000004</v>
      </c>
      <c r="GF200">
        <v>6.5320000000000009</v>
      </c>
      <c r="GG200">
        <v>15.560000000000006</v>
      </c>
      <c r="GH200">
        <v>2.8752000000000031</v>
      </c>
      <c r="GI200">
        <v>27</v>
      </c>
      <c r="GJ200">
        <v>0.16000000000000059</v>
      </c>
      <c r="GK200">
        <v>-0.19999999999999984</v>
      </c>
    </row>
    <row r="201" spans="1:193" x14ac:dyDescent="0.2">
      <c r="A201" s="39">
        <v>43779</v>
      </c>
      <c r="B201" s="22" t="s">
        <v>244</v>
      </c>
      <c r="C201" s="41" t="s">
        <v>310</v>
      </c>
      <c r="D201" s="22" t="s">
        <v>288</v>
      </c>
      <c r="E201">
        <v>2.7</v>
      </c>
      <c r="F201" s="14">
        <v>9.3000000000000007</v>
      </c>
      <c r="G201">
        <v>3</v>
      </c>
      <c r="H201">
        <f>12.6+7</f>
        <v>19.600000000000001</v>
      </c>
      <c r="I201">
        <v>5</v>
      </c>
      <c r="J201">
        <v>49</v>
      </c>
      <c r="L201" s="1" t="s">
        <v>310</v>
      </c>
      <c r="M201">
        <v>16</v>
      </c>
      <c r="N201">
        <v>-0.13720000000000016</v>
      </c>
      <c r="O201">
        <v>1</v>
      </c>
      <c r="P201">
        <v>1.5</v>
      </c>
      <c r="Q201">
        <v>2</v>
      </c>
      <c r="R201">
        <v>-4.1848000000000001</v>
      </c>
      <c r="S201">
        <v>1</v>
      </c>
      <c r="T201">
        <v>-3.4399999999999991</v>
      </c>
      <c r="U201">
        <v>-2.12</v>
      </c>
      <c r="V201">
        <v>29</v>
      </c>
      <c r="W201">
        <v>29</v>
      </c>
      <c r="X201">
        <v>29</v>
      </c>
      <c r="Y201">
        <v>-2.472</v>
      </c>
      <c r="Z201">
        <v>29</v>
      </c>
      <c r="AA201">
        <v>-16.239999999999998</v>
      </c>
      <c r="AB201">
        <v>7.9999999999999988E-2</v>
      </c>
      <c r="AC201">
        <v>28</v>
      </c>
      <c r="AD201">
        <v>27.5</v>
      </c>
      <c r="AE201">
        <v>28</v>
      </c>
      <c r="AF201">
        <v>-4.992</v>
      </c>
      <c r="AG201">
        <v>27</v>
      </c>
      <c r="AH201">
        <v>-23.2</v>
      </c>
      <c r="AI201">
        <v>-2.44</v>
      </c>
      <c r="AJ201">
        <v>28</v>
      </c>
      <c r="AK201">
        <v>27.5</v>
      </c>
      <c r="AL201">
        <v>28</v>
      </c>
      <c r="AM201">
        <v>-4.3559999999999999</v>
      </c>
      <c r="AN201">
        <v>27</v>
      </c>
      <c r="AO201">
        <v>-11.560000000000004</v>
      </c>
      <c r="AP201">
        <v>-0.36</v>
      </c>
      <c r="AQ201">
        <v>15</v>
      </c>
      <c r="AR201">
        <v>15</v>
      </c>
      <c r="AS201">
        <v>12</v>
      </c>
      <c r="AT201">
        <v>2.6280000000000001</v>
      </c>
      <c r="AU201">
        <v>18</v>
      </c>
      <c r="AV201">
        <v>9.24</v>
      </c>
      <c r="AW201">
        <v>0.64</v>
      </c>
      <c r="AX201">
        <v>20</v>
      </c>
      <c r="AY201">
        <v>20</v>
      </c>
      <c r="AZ201">
        <v>22</v>
      </c>
      <c r="BA201">
        <v>1.6000000000000014E-2</v>
      </c>
      <c r="BB201">
        <v>18</v>
      </c>
      <c r="BC201">
        <v>6.5599999999999978</v>
      </c>
      <c r="BD201">
        <v>1.8400000000000003</v>
      </c>
      <c r="BE201">
        <v>14</v>
      </c>
      <c r="BF201">
        <v>13.5</v>
      </c>
      <c r="BG201">
        <v>15</v>
      </c>
      <c r="BH201">
        <v>2.8400000000000007</v>
      </c>
      <c r="BI201">
        <v>24.32</v>
      </c>
      <c r="BJ201">
        <v>1.1200000000000001</v>
      </c>
      <c r="BK201">
        <v>29</v>
      </c>
      <c r="BL201">
        <v>29</v>
      </c>
      <c r="BM201">
        <v>28</v>
      </c>
      <c r="BN201">
        <v>-3.8</v>
      </c>
      <c r="BO201">
        <v>30</v>
      </c>
      <c r="BP201">
        <v>-0.31999999999999995</v>
      </c>
      <c r="BQ201">
        <v>-1.56</v>
      </c>
      <c r="BR201">
        <v>25</v>
      </c>
      <c r="BS201">
        <v>21</v>
      </c>
      <c r="BT201">
        <v>27</v>
      </c>
      <c r="BU201">
        <v>-5.6218922573214149E-3</v>
      </c>
      <c r="BV201">
        <v>2</v>
      </c>
      <c r="BW201">
        <v>3.9191081372193293E-2</v>
      </c>
      <c r="BX201">
        <v>30</v>
      </c>
      <c r="BY201">
        <v>8.1840000000000028</v>
      </c>
      <c r="BZ201">
        <v>25</v>
      </c>
      <c r="CA201">
        <v>3.3600000000000003</v>
      </c>
      <c r="CB201">
        <v>-3.4000000000000012</v>
      </c>
      <c r="CC201">
        <v>-4.88</v>
      </c>
      <c r="CD201">
        <v>-0.83999999999999986</v>
      </c>
      <c r="CE201">
        <v>-27.759999999999991</v>
      </c>
      <c r="CF201">
        <v>0.7199999999999932</v>
      </c>
      <c r="CG201">
        <v>-24.479999999999997</v>
      </c>
      <c r="CH201">
        <v>-3.28</v>
      </c>
      <c r="CI201">
        <v>-0.72000000000000031</v>
      </c>
      <c r="CJ201">
        <v>7</v>
      </c>
      <c r="CK201">
        <v>6.5196000000000005</v>
      </c>
      <c r="CL201">
        <v>2.5249600000000005</v>
      </c>
      <c r="CM201">
        <v>25.199999999999989</v>
      </c>
      <c r="CN201">
        <v>-6.5196000000000005</v>
      </c>
      <c r="CO201">
        <v>-1.8092500000000005</v>
      </c>
      <c r="CP201">
        <v>-6.7199999999999989</v>
      </c>
      <c r="CQ201">
        <v>-25.520000000000003</v>
      </c>
      <c r="CR201">
        <v>-6.6568000000000005</v>
      </c>
      <c r="CS201">
        <v>-19.679999999999996</v>
      </c>
      <c r="CT201">
        <v>-1.0399999999999996</v>
      </c>
      <c r="CU201">
        <v>-2.04</v>
      </c>
      <c r="CV201">
        <v>-0.61262500000000009</v>
      </c>
      <c r="CW201">
        <v>4.2449999999999821E-2</v>
      </c>
      <c r="CX201" t="s">
        <v>288</v>
      </c>
      <c r="CY201">
        <v>7</v>
      </c>
      <c r="CZ201">
        <v>-0.12000000000000063</v>
      </c>
      <c r="DA201">
        <v>3</v>
      </c>
      <c r="DB201">
        <v>3</v>
      </c>
      <c r="DC201">
        <v>3</v>
      </c>
      <c r="DD201">
        <v>3.5224000000000002</v>
      </c>
      <c r="DE201">
        <v>3</v>
      </c>
      <c r="DF201">
        <v>3.4</v>
      </c>
      <c r="DG201">
        <v>0.88000000000000012</v>
      </c>
      <c r="DH201">
        <v>20</v>
      </c>
      <c r="DI201">
        <v>17.5</v>
      </c>
      <c r="DJ201">
        <v>5</v>
      </c>
      <c r="DK201">
        <v>2.7</v>
      </c>
      <c r="DL201">
        <v>30</v>
      </c>
      <c r="DM201">
        <v>-9.48</v>
      </c>
      <c r="DN201">
        <v>1</v>
      </c>
      <c r="DO201">
        <v>32</v>
      </c>
      <c r="DP201">
        <v>32</v>
      </c>
      <c r="DQ201">
        <v>32</v>
      </c>
      <c r="DR201">
        <v>-6.8040000000000003</v>
      </c>
      <c r="DS201">
        <v>32</v>
      </c>
      <c r="DT201">
        <v>-31.4</v>
      </c>
      <c r="DU201">
        <v>-1.48</v>
      </c>
      <c r="DV201">
        <v>24</v>
      </c>
      <c r="DW201">
        <v>25</v>
      </c>
      <c r="DX201">
        <v>23</v>
      </c>
      <c r="DY201">
        <v>-5.2120000000000006</v>
      </c>
      <c r="DZ201">
        <v>27</v>
      </c>
      <c r="EA201">
        <v>-18.439999999999998</v>
      </c>
      <c r="EB201">
        <v>-7.9999999999999891E-2</v>
      </c>
      <c r="EC201">
        <v>13</v>
      </c>
      <c r="ED201">
        <v>12.5</v>
      </c>
      <c r="EE201">
        <v>12</v>
      </c>
      <c r="EF201">
        <v>1.0319999999999998</v>
      </c>
      <c r="EG201">
        <v>13</v>
      </c>
      <c r="EH201">
        <v>-1.7200000000000002</v>
      </c>
      <c r="EI201">
        <v>1.2399999999999998</v>
      </c>
      <c r="EJ201">
        <v>12</v>
      </c>
      <c r="EK201">
        <v>12</v>
      </c>
      <c r="EL201">
        <v>8</v>
      </c>
      <c r="EM201">
        <v>4.016</v>
      </c>
      <c r="EN201">
        <v>16</v>
      </c>
      <c r="EO201">
        <v>10.16</v>
      </c>
      <c r="EP201">
        <v>3.4799999999999995</v>
      </c>
      <c r="EQ201">
        <v>2</v>
      </c>
      <c r="ER201">
        <v>2</v>
      </c>
      <c r="ES201">
        <v>2</v>
      </c>
      <c r="ET201">
        <v>-2.6199999999999997</v>
      </c>
      <c r="EU201">
        <v>2</v>
      </c>
      <c r="EV201">
        <v>-8.9600000000000009</v>
      </c>
      <c r="EW201">
        <v>0.44000000000000006</v>
      </c>
      <c r="EX201">
        <v>20</v>
      </c>
      <c r="EY201">
        <v>21</v>
      </c>
      <c r="EZ201">
        <v>25</v>
      </c>
      <c r="FA201">
        <v>-2.6399999999999997</v>
      </c>
      <c r="FB201">
        <v>17</v>
      </c>
      <c r="FC201">
        <v>-0.43999999999999995</v>
      </c>
      <c r="FD201">
        <v>-2.12</v>
      </c>
      <c r="FE201">
        <v>2</v>
      </c>
      <c r="FF201">
        <v>7.25</v>
      </c>
      <c r="FG201">
        <v>4</v>
      </c>
      <c r="FH201">
        <v>2.5478000483529151E-2</v>
      </c>
      <c r="FI201">
        <v>13</v>
      </c>
      <c r="FJ201">
        <v>4.4638370251939398E-3</v>
      </c>
      <c r="FK201">
        <v>3</v>
      </c>
      <c r="FL201">
        <v>-21.403999999999996</v>
      </c>
      <c r="FM201">
        <v>9</v>
      </c>
      <c r="FN201">
        <v>1.7599999999999998</v>
      </c>
      <c r="FO201">
        <v>3.2399999999999993</v>
      </c>
      <c r="FP201">
        <v>1.7999999999999994</v>
      </c>
      <c r="FQ201">
        <v>0.6</v>
      </c>
      <c r="FR201">
        <v>6.1200000000000028</v>
      </c>
      <c r="FS201">
        <v>-2.3600000000000003</v>
      </c>
      <c r="FT201">
        <v>-0.51999999999999991</v>
      </c>
      <c r="FU201">
        <v>-24.8</v>
      </c>
      <c r="FV201">
        <v>-23.8</v>
      </c>
      <c r="FW201">
        <v>-4.6800000000000015</v>
      </c>
      <c r="FX201">
        <v>0.44000000000000006</v>
      </c>
      <c r="FY201">
        <v>3.2400000000000011</v>
      </c>
      <c r="FZ201">
        <v>29</v>
      </c>
      <c r="GA201">
        <v>-6.3424000000000014</v>
      </c>
      <c r="GB201">
        <v>-5.8560000000000008</v>
      </c>
      <c r="GC201">
        <v>-19.119999999999997</v>
      </c>
      <c r="GD201">
        <v>6.3424000000000014</v>
      </c>
      <c r="GE201">
        <v>-1.2677</v>
      </c>
      <c r="GF201">
        <v>-10.984000000000002</v>
      </c>
      <c r="GG201">
        <v>-51.559999999999995</v>
      </c>
      <c r="GH201">
        <v>6.2224000000000004</v>
      </c>
      <c r="GI201">
        <v>-6.08</v>
      </c>
      <c r="GJ201">
        <v>0.12</v>
      </c>
      <c r="GK201">
        <v>1.8800000000000001</v>
      </c>
    </row>
    <row r="202" spans="1:193" x14ac:dyDescent="0.2">
      <c r="A202" s="39">
        <v>43786</v>
      </c>
      <c r="B202" s="22" t="s">
        <v>259</v>
      </c>
      <c r="C202" s="41" t="s">
        <v>285</v>
      </c>
      <c r="D202" s="22" t="s">
        <v>256</v>
      </c>
      <c r="E202">
        <v>13.7</v>
      </c>
      <c r="F202">
        <v>10.199999999999999</v>
      </c>
      <c r="G202">
        <v>12.5</v>
      </c>
      <c r="H202">
        <v>1.4</v>
      </c>
      <c r="I202">
        <v>10</v>
      </c>
      <c r="J202">
        <v>44</v>
      </c>
      <c r="L202" s="1" t="s">
        <v>285</v>
      </c>
      <c r="M202">
        <v>12</v>
      </c>
      <c r="N202">
        <v>1.2112000000000023</v>
      </c>
      <c r="O202">
        <v>24</v>
      </c>
      <c r="P202">
        <v>22.5</v>
      </c>
      <c r="Q202">
        <v>22</v>
      </c>
      <c r="R202">
        <v>4.8890000000000002</v>
      </c>
      <c r="S202">
        <v>23</v>
      </c>
      <c r="T202">
        <v>-3.6099999999999994</v>
      </c>
      <c r="U202">
        <v>-0.2</v>
      </c>
      <c r="V202">
        <v>29</v>
      </c>
      <c r="W202">
        <v>29</v>
      </c>
      <c r="X202">
        <v>30</v>
      </c>
      <c r="Y202">
        <v>-1.3240000000000003</v>
      </c>
      <c r="Z202">
        <v>28</v>
      </c>
      <c r="AA202">
        <v>-6.3599999999999994</v>
      </c>
      <c r="AB202">
        <v>-1.1600000000000001</v>
      </c>
      <c r="AC202">
        <v>27</v>
      </c>
      <c r="AD202">
        <v>26.5</v>
      </c>
      <c r="AE202">
        <v>27</v>
      </c>
      <c r="AF202">
        <v>-7.3439999999999994</v>
      </c>
      <c r="AG202">
        <v>26</v>
      </c>
      <c r="AH202">
        <v>-30</v>
      </c>
      <c r="AI202">
        <v>-3.0799999999999996</v>
      </c>
      <c r="AJ202">
        <v>7</v>
      </c>
      <c r="AK202">
        <v>8</v>
      </c>
      <c r="AL202">
        <v>6</v>
      </c>
      <c r="AM202">
        <v>3.6680000000000006</v>
      </c>
      <c r="AN202">
        <v>10</v>
      </c>
      <c r="AO202">
        <v>15.959999999999997</v>
      </c>
      <c r="AP202">
        <v>0.32000000000000012</v>
      </c>
      <c r="AQ202">
        <v>11</v>
      </c>
      <c r="AR202">
        <v>10.5</v>
      </c>
      <c r="AS202">
        <v>9</v>
      </c>
      <c r="AT202">
        <v>1.3839999999999999</v>
      </c>
      <c r="AU202">
        <v>12</v>
      </c>
      <c r="AV202">
        <v>10.600000000000001</v>
      </c>
      <c r="AW202">
        <v>-0.6399999999999999</v>
      </c>
      <c r="AX202">
        <v>16</v>
      </c>
      <c r="AY202">
        <v>16</v>
      </c>
      <c r="AZ202">
        <v>18</v>
      </c>
      <c r="BA202">
        <v>0.90400000000000136</v>
      </c>
      <c r="BB202">
        <v>14</v>
      </c>
      <c r="BC202">
        <v>4.7999999999999989</v>
      </c>
      <c r="BD202">
        <v>-3.5200000000000005</v>
      </c>
      <c r="BE202">
        <v>24</v>
      </c>
      <c r="BF202">
        <v>23.5</v>
      </c>
      <c r="BG202">
        <v>29</v>
      </c>
      <c r="BH202">
        <v>-2.8000000000000012</v>
      </c>
      <c r="BI202">
        <v>-5.4400000000000022</v>
      </c>
      <c r="BJ202">
        <v>-1.9599999999999997</v>
      </c>
      <c r="BK202">
        <v>21</v>
      </c>
      <c r="BL202">
        <v>20</v>
      </c>
      <c r="BM202">
        <v>17</v>
      </c>
      <c r="BN202">
        <v>0.24000000000000005</v>
      </c>
      <c r="BO202">
        <v>23</v>
      </c>
      <c r="BP202">
        <v>-0.12000000000000002</v>
      </c>
      <c r="BQ202">
        <v>-4.6399999999999997</v>
      </c>
      <c r="BR202">
        <v>9</v>
      </c>
      <c r="BS202">
        <v>12.25</v>
      </c>
      <c r="BT202">
        <v>20</v>
      </c>
      <c r="BU202">
        <v>-7.0512924245924369E-2</v>
      </c>
      <c r="BV202">
        <v>7</v>
      </c>
      <c r="BW202">
        <v>-1.5783531433996977E-2</v>
      </c>
      <c r="BX202">
        <v>4</v>
      </c>
      <c r="BY202">
        <v>-7.1400000000000023</v>
      </c>
      <c r="BZ202">
        <v>18</v>
      </c>
      <c r="CA202">
        <v>-2.6399999999999997</v>
      </c>
      <c r="CB202">
        <v>-4.1199999999999992</v>
      </c>
      <c r="CC202">
        <v>2.4799999999999995</v>
      </c>
      <c r="CD202">
        <v>-2.6</v>
      </c>
      <c r="CE202">
        <v>9.5200000000000049</v>
      </c>
      <c r="CF202">
        <v>4.8799999999999955</v>
      </c>
      <c r="CG202">
        <v>-10.680000000000001</v>
      </c>
      <c r="CH202">
        <v>1.92</v>
      </c>
      <c r="CI202">
        <v>13.4</v>
      </c>
      <c r="CJ202">
        <v>19</v>
      </c>
      <c r="CK202">
        <v>-2.3537999999999974</v>
      </c>
      <c r="CL202">
        <v>-2.5586599999999997</v>
      </c>
      <c r="CM202">
        <v>15.559999999999997</v>
      </c>
      <c r="CN202">
        <v>2.3537999999999979</v>
      </c>
      <c r="CO202">
        <v>-9.4749999999996434E-3</v>
      </c>
      <c r="CP202">
        <v>-2.2919999999999989</v>
      </c>
      <c r="CQ202">
        <v>-3.4400000000000013</v>
      </c>
      <c r="CR202">
        <v>3.5649999999999999</v>
      </c>
      <c r="CS202">
        <v>-9.9699999999999989</v>
      </c>
      <c r="CT202">
        <v>-5.3599999999999994</v>
      </c>
      <c r="CU202">
        <v>-1.36</v>
      </c>
      <c r="CV202">
        <v>-0.33264999999999978</v>
      </c>
      <c r="CW202">
        <v>1.9850000000000001</v>
      </c>
      <c r="CX202" t="s">
        <v>256</v>
      </c>
      <c r="CY202">
        <v>22</v>
      </c>
      <c r="CZ202">
        <v>-2.9064000000000005</v>
      </c>
      <c r="DA202">
        <v>14</v>
      </c>
      <c r="DB202">
        <v>16</v>
      </c>
      <c r="DC202">
        <v>22</v>
      </c>
      <c r="DD202">
        <v>-2.9540000000000002</v>
      </c>
      <c r="DE202">
        <v>10</v>
      </c>
      <c r="DF202">
        <v>8.2199999999999989</v>
      </c>
      <c r="DG202">
        <v>-0.57999999999999996</v>
      </c>
      <c r="DH202">
        <v>32</v>
      </c>
      <c r="DI202">
        <v>32</v>
      </c>
      <c r="DJ202">
        <v>32</v>
      </c>
      <c r="DK202">
        <v>-1.6819999999999999</v>
      </c>
      <c r="DL202">
        <v>32</v>
      </c>
      <c r="DM202">
        <v>-5.1999999999999993</v>
      </c>
      <c r="DN202">
        <v>-0.38</v>
      </c>
      <c r="DO202">
        <v>28</v>
      </c>
      <c r="DP202">
        <v>26.5</v>
      </c>
      <c r="DQ202">
        <v>23</v>
      </c>
      <c r="DR202">
        <v>-5.2240000000000002</v>
      </c>
      <c r="DS202">
        <v>30</v>
      </c>
      <c r="DT202">
        <v>-29.8</v>
      </c>
      <c r="DU202">
        <v>-2.16</v>
      </c>
      <c r="DV202">
        <v>31</v>
      </c>
      <c r="DW202">
        <v>30.5</v>
      </c>
      <c r="DX202">
        <v>32</v>
      </c>
      <c r="DY202">
        <v>-5.3520000000000012</v>
      </c>
      <c r="DZ202">
        <v>29</v>
      </c>
      <c r="EA202">
        <v>-15.199999999999998</v>
      </c>
      <c r="EB202">
        <v>1.1199999999999999</v>
      </c>
      <c r="EC202">
        <v>7</v>
      </c>
      <c r="ED202">
        <v>14</v>
      </c>
      <c r="EE202">
        <v>12</v>
      </c>
      <c r="EF202">
        <v>1.8440000000000001</v>
      </c>
      <c r="EG202">
        <v>16</v>
      </c>
      <c r="EH202">
        <v>7.0799999999999983</v>
      </c>
      <c r="EI202">
        <v>-0.76</v>
      </c>
      <c r="EJ202">
        <v>27</v>
      </c>
      <c r="EK202">
        <v>27</v>
      </c>
      <c r="EL202">
        <v>26</v>
      </c>
      <c r="EM202">
        <v>-4.5960000000000019</v>
      </c>
      <c r="EN202">
        <v>28</v>
      </c>
      <c r="EO202">
        <v>-26.359999999999996</v>
      </c>
      <c r="EP202">
        <v>-2.6399999999999997</v>
      </c>
      <c r="EQ202">
        <v>22</v>
      </c>
      <c r="ER202">
        <v>23.5</v>
      </c>
      <c r="ES202">
        <v>19</v>
      </c>
      <c r="ET202">
        <v>-2.528</v>
      </c>
      <c r="EU202">
        <v>28</v>
      </c>
      <c r="EV202">
        <v>-15.879999999999999</v>
      </c>
      <c r="EW202">
        <v>-0.91999999999999993</v>
      </c>
      <c r="EX202">
        <v>18</v>
      </c>
      <c r="EY202">
        <v>20</v>
      </c>
      <c r="EZ202">
        <v>22</v>
      </c>
      <c r="FA202">
        <v>-2.4</v>
      </c>
      <c r="FB202">
        <v>18</v>
      </c>
      <c r="FC202">
        <v>-0.88000000000000012</v>
      </c>
      <c r="FD202">
        <v>0.36000000000000015</v>
      </c>
      <c r="FE202">
        <v>13</v>
      </c>
      <c r="FF202">
        <v>14.75</v>
      </c>
      <c r="FG202">
        <v>23</v>
      </c>
      <c r="FH202">
        <v>-1.3953058888773028E-2</v>
      </c>
      <c r="FI202">
        <v>8</v>
      </c>
      <c r="FJ202">
        <v>5.7933214711236504E-2</v>
      </c>
      <c r="FK202">
        <v>24</v>
      </c>
      <c r="FL202">
        <v>1.1839999999999975</v>
      </c>
      <c r="FM202">
        <v>4</v>
      </c>
      <c r="FN202">
        <v>5.68</v>
      </c>
      <c r="FO202">
        <v>-3.8</v>
      </c>
      <c r="FP202">
        <v>0.71999999999999953</v>
      </c>
      <c r="FQ202">
        <v>-0.44000000000000006</v>
      </c>
      <c r="FR202">
        <v>-2.319999999999999</v>
      </c>
      <c r="FS202">
        <v>-4.7199999999999989</v>
      </c>
      <c r="FT202">
        <v>1.44</v>
      </c>
      <c r="FU202">
        <v>-39.199999999999989</v>
      </c>
      <c r="FV202">
        <v>-60.480000000000018</v>
      </c>
      <c r="FW202">
        <v>10.959999999999997</v>
      </c>
      <c r="FX202">
        <v>-1.56</v>
      </c>
      <c r="FY202">
        <v>11.88</v>
      </c>
      <c r="FZ202">
        <v>11</v>
      </c>
      <c r="GA202">
        <v>1.7295999999999996</v>
      </c>
      <c r="GB202">
        <v>-0.51528000000000063</v>
      </c>
      <c r="GC202">
        <v>-71.440000000000012</v>
      </c>
      <c r="GD202">
        <v>-1.7295999999999996</v>
      </c>
      <c r="GE202">
        <v>-2.6502999999999997</v>
      </c>
      <c r="GF202">
        <v>-8.7320000000000011</v>
      </c>
      <c r="GG202">
        <v>-37.92</v>
      </c>
      <c r="GH202">
        <v>-4.6360000000000001</v>
      </c>
      <c r="GI202">
        <v>3.0199999999999996</v>
      </c>
      <c r="GJ202">
        <v>-2.72</v>
      </c>
      <c r="GK202">
        <v>-0.96</v>
      </c>
    </row>
    <row r="203" spans="1:193" x14ac:dyDescent="0.2">
      <c r="A203" s="39">
        <v>43786</v>
      </c>
      <c r="B203" s="22" t="s">
        <v>259</v>
      </c>
      <c r="C203" s="41" t="s">
        <v>295</v>
      </c>
      <c r="D203" s="22" t="s">
        <v>301</v>
      </c>
      <c r="E203">
        <v>14.7</v>
      </c>
      <c r="F203">
        <v>31.3</v>
      </c>
      <c r="G203">
        <v>5.2</v>
      </c>
      <c r="H203">
        <v>4.3</v>
      </c>
      <c r="I203">
        <v>3.5</v>
      </c>
      <c r="J203">
        <v>49</v>
      </c>
      <c r="K203" t="s">
        <v>109</v>
      </c>
      <c r="L203" s="1" t="s">
        <v>295</v>
      </c>
      <c r="M203">
        <v>11</v>
      </c>
      <c r="N203">
        <v>1.5895999999999986</v>
      </c>
      <c r="O203">
        <v>29</v>
      </c>
      <c r="P203">
        <v>28</v>
      </c>
      <c r="Q203">
        <v>29</v>
      </c>
      <c r="R203">
        <v>-2.8590000000000004</v>
      </c>
      <c r="S203">
        <v>27</v>
      </c>
      <c r="T203">
        <v>-8.65</v>
      </c>
      <c r="U203">
        <v>7.9999999999999891E-2</v>
      </c>
      <c r="V203">
        <v>11</v>
      </c>
      <c r="W203">
        <v>11</v>
      </c>
      <c r="X203">
        <v>10</v>
      </c>
      <c r="Y203">
        <v>0.1239999999999994</v>
      </c>
      <c r="Z203">
        <v>12</v>
      </c>
      <c r="AA203">
        <v>1.7199999999999995</v>
      </c>
      <c r="AB203">
        <v>-1.2399999999999998</v>
      </c>
      <c r="AC203">
        <v>15</v>
      </c>
      <c r="AD203">
        <v>16</v>
      </c>
      <c r="AE203">
        <v>23</v>
      </c>
      <c r="AF203">
        <v>2.1240000000000001</v>
      </c>
      <c r="AG203">
        <v>9</v>
      </c>
      <c r="AH203">
        <v>26.040000000000003</v>
      </c>
      <c r="AI203">
        <v>0.84000000000000008</v>
      </c>
      <c r="AJ203">
        <v>6</v>
      </c>
      <c r="AK203">
        <v>7</v>
      </c>
      <c r="AL203">
        <v>8</v>
      </c>
      <c r="AM203">
        <v>1.5240000000000002</v>
      </c>
      <c r="AN203">
        <v>6</v>
      </c>
      <c r="AO203">
        <v>5.6399999999999988</v>
      </c>
      <c r="AP203">
        <v>-0.72</v>
      </c>
      <c r="AQ203">
        <v>6</v>
      </c>
      <c r="AR203">
        <v>6</v>
      </c>
      <c r="AS203">
        <v>6</v>
      </c>
      <c r="AT203">
        <v>-0.26399999999999968</v>
      </c>
      <c r="AU203">
        <v>6</v>
      </c>
      <c r="AV203">
        <v>-4.4400000000000013</v>
      </c>
      <c r="AW203">
        <v>0.59999999999999987</v>
      </c>
      <c r="AX203">
        <v>7</v>
      </c>
      <c r="AY203">
        <v>6.5</v>
      </c>
      <c r="AZ203">
        <v>7</v>
      </c>
      <c r="BA203">
        <v>-4.0559999999999992</v>
      </c>
      <c r="BB203">
        <v>6</v>
      </c>
      <c r="BC203">
        <v>-14.160000000000002</v>
      </c>
      <c r="BD203">
        <v>-2.7600000000000002</v>
      </c>
      <c r="BE203">
        <v>16</v>
      </c>
      <c r="BF203">
        <v>17</v>
      </c>
      <c r="BG203">
        <v>17</v>
      </c>
      <c r="BH203">
        <v>4.7200000000000006</v>
      </c>
      <c r="BI203">
        <v>7.2799999999999994</v>
      </c>
      <c r="BJ203">
        <v>-0.72</v>
      </c>
      <c r="BK203">
        <v>4</v>
      </c>
      <c r="BL203">
        <v>7</v>
      </c>
      <c r="BM203">
        <v>10</v>
      </c>
      <c r="BN203">
        <v>2.56</v>
      </c>
      <c r="BO203">
        <v>4</v>
      </c>
      <c r="BP203">
        <v>1.1600000000000001</v>
      </c>
      <c r="BQ203">
        <v>-0.99999999999999978</v>
      </c>
      <c r="BR203">
        <v>14</v>
      </c>
      <c r="BS203">
        <v>14</v>
      </c>
      <c r="BT203">
        <v>7</v>
      </c>
      <c r="BU203">
        <v>5.6287993945918116E-2</v>
      </c>
      <c r="BV203">
        <v>9</v>
      </c>
      <c r="BW203">
        <v>6.358214553195715E-3</v>
      </c>
      <c r="BX203">
        <v>26</v>
      </c>
      <c r="BY203">
        <v>9.0079999999999991</v>
      </c>
      <c r="BZ203">
        <v>14</v>
      </c>
      <c r="CA203">
        <v>-1.4400000000000002</v>
      </c>
      <c r="CB203">
        <v>-2.0399999999999991</v>
      </c>
      <c r="CC203">
        <v>0.59999999999999964</v>
      </c>
      <c r="CD203">
        <v>-0.56000000000000016</v>
      </c>
      <c r="CE203">
        <v>17.720000000000006</v>
      </c>
      <c r="CF203">
        <v>32.839999999999989</v>
      </c>
      <c r="CG203">
        <v>-5.4800000000000013</v>
      </c>
      <c r="CH203">
        <v>0.12000000000000002</v>
      </c>
      <c r="CI203">
        <v>-9.76</v>
      </c>
      <c r="CJ203">
        <v>10</v>
      </c>
      <c r="CK203">
        <v>4.3245999999999993</v>
      </c>
      <c r="CL203">
        <v>3.3062200000000006</v>
      </c>
      <c r="CM203">
        <v>38.319999999999993</v>
      </c>
      <c r="CN203">
        <v>-4.3246000000000002</v>
      </c>
      <c r="CO203">
        <v>1.1898249999999999</v>
      </c>
      <c r="CP203">
        <v>3.3840000000000008</v>
      </c>
      <c r="CQ203">
        <v>27.24</v>
      </c>
      <c r="CR203">
        <v>-2.7350000000000012</v>
      </c>
      <c r="CS203">
        <v>-6.9300000000000006</v>
      </c>
      <c r="CT203">
        <v>0</v>
      </c>
      <c r="CU203">
        <v>-1.1599999999999999</v>
      </c>
      <c r="CV203">
        <v>0.28627500000000028</v>
      </c>
      <c r="CW203">
        <v>0.34705000000000008</v>
      </c>
      <c r="CX203" t="s">
        <v>301</v>
      </c>
      <c r="CY203">
        <v>14</v>
      </c>
      <c r="CZ203">
        <v>-3.0319999999999991</v>
      </c>
      <c r="DA203">
        <v>7</v>
      </c>
      <c r="DB203">
        <v>10</v>
      </c>
      <c r="DC203">
        <v>5</v>
      </c>
      <c r="DD203">
        <v>5.4840000000000009</v>
      </c>
      <c r="DE203">
        <v>15</v>
      </c>
      <c r="DF203">
        <v>4.5600000000000023</v>
      </c>
      <c r="DG203">
        <v>-1.92</v>
      </c>
      <c r="DH203">
        <v>2</v>
      </c>
      <c r="DI203">
        <v>3</v>
      </c>
      <c r="DJ203">
        <v>4</v>
      </c>
      <c r="DK203">
        <v>-0.26799999999999996</v>
      </c>
      <c r="DL203">
        <v>2</v>
      </c>
      <c r="DM203">
        <v>4.4000000000000012</v>
      </c>
      <c r="DN203">
        <v>0.36</v>
      </c>
      <c r="DO203">
        <v>20</v>
      </c>
      <c r="DP203">
        <v>16.5</v>
      </c>
      <c r="DQ203">
        <v>16</v>
      </c>
      <c r="DR203">
        <v>-1.2079999999999995</v>
      </c>
      <c r="DS203">
        <v>17</v>
      </c>
      <c r="DT203">
        <v>-9.4400000000000013</v>
      </c>
      <c r="DU203">
        <v>1.1999999999999997</v>
      </c>
      <c r="DV203">
        <v>7</v>
      </c>
      <c r="DW203">
        <v>6.5</v>
      </c>
      <c r="DX203">
        <v>8</v>
      </c>
      <c r="DY203">
        <v>6.1480000000000006</v>
      </c>
      <c r="DZ203">
        <v>5</v>
      </c>
      <c r="EA203">
        <v>33.44</v>
      </c>
      <c r="EB203">
        <v>1.1199999999999999</v>
      </c>
      <c r="EC203">
        <v>11</v>
      </c>
      <c r="ED203">
        <v>7.5</v>
      </c>
      <c r="EE203">
        <v>12</v>
      </c>
      <c r="EF203">
        <v>-0.59999999999999964</v>
      </c>
      <c r="EG203">
        <v>3</v>
      </c>
      <c r="EH203">
        <v>2.7599999999999989</v>
      </c>
      <c r="EI203">
        <v>-3.9999999999999945E-2</v>
      </c>
      <c r="EJ203">
        <v>18</v>
      </c>
      <c r="EK203">
        <v>18</v>
      </c>
      <c r="EL203">
        <v>22</v>
      </c>
      <c r="EM203">
        <v>-0.88399999999999967</v>
      </c>
      <c r="EN203">
        <v>14</v>
      </c>
      <c r="EO203">
        <v>1.1599999999999995</v>
      </c>
      <c r="EP203">
        <v>-8.0000000000000432E-2</v>
      </c>
      <c r="EQ203">
        <v>12</v>
      </c>
      <c r="ER203">
        <v>13</v>
      </c>
      <c r="ES203">
        <v>20</v>
      </c>
      <c r="ET203">
        <v>-3.8800000000000003</v>
      </c>
      <c r="EU203">
        <v>6</v>
      </c>
      <c r="EV203">
        <v>-4.8000000000000016</v>
      </c>
      <c r="EW203">
        <v>-1.8</v>
      </c>
      <c r="EX203">
        <v>10</v>
      </c>
      <c r="EY203">
        <v>11.5</v>
      </c>
      <c r="EZ203">
        <v>16</v>
      </c>
      <c r="FA203">
        <v>-0.83999999999999986</v>
      </c>
      <c r="FB203">
        <v>7</v>
      </c>
      <c r="FC203">
        <v>3.9999999999999945E-2</v>
      </c>
      <c r="FD203">
        <v>4.5999999999999996</v>
      </c>
      <c r="FE203">
        <v>18</v>
      </c>
      <c r="FF203">
        <v>16.25</v>
      </c>
      <c r="FG203">
        <v>18</v>
      </c>
      <c r="FH203">
        <v>-1.6612738603690492E-2</v>
      </c>
      <c r="FI203">
        <v>16</v>
      </c>
      <c r="FJ203">
        <v>1.7043735430308935E-2</v>
      </c>
      <c r="FK203">
        <v>8</v>
      </c>
      <c r="FL203">
        <v>1.4360000000000042</v>
      </c>
      <c r="FM203">
        <v>23</v>
      </c>
      <c r="FN203">
        <v>-3.9999999999999855E-2</v>
      </c>
      <c r="FO203">
        <v>-1.7600000000000002</v>
      </c>
      <c r="FP203">
        <v>1.1600000000000008</v>
      </c>
      <c r="FQ203">
        <v>-0.52000000000000013</v>
      </c>
      <c r="FR203">
        <v>-4.000000000000057E-2</v>
      </c>
      <c r="FS203">
        <v>5.84</v>
      </c>
      <c r="FT203">
        <v>0.27999999999999992</v>
      </c>
      <c r="FU203">
        <v>24.439999999999998</v>
      </c>
      <c r="FV203">
        <v>2.4</v>
      </c>
      <c r="FW203">
        <v>23.6</v>
      </c>
      <c r="FX203">
        <v>2.6399999999999997</v>
      </c>
      <c r="FY203">
        <v>-4.2</v>
      </c>
      <c r="FZ203">
        <v>31</v>
      </c>
      <c r="GA203">
        <v>-8.2479999999999993</v>
      </c>
      <c r="GB203">
        <v>-3.1223999999999998</v>
      </c>
      <c r="GC203">
        <v>-21.200000000000003</v>
      </c>
      <c r="GD203">
        <v>8.2480000000000011</v>
      </c>
      <c r="GE203">
        <v>0.22550000000000042</v>
      </c>
      <c r="GF203">
        <v>4.3400000000000016</v>
      </c>
      <c r="GG203">
        <v>26.759999999999994</v>
      </c>
      <c r="GH203">
        <v>5.2160000000000011</v>
      </c>
      <c r="GI203">
        <v>8.9600000000000044</v>
      </c>
      <c r="GJ203">
        <v>0.47999999999999932</v>
      </c>
      <c r="GK203">
        <v>-1.56</v>
      </c>
    </row>
    <row r="204" spans="1:193" x14ac:dyDescent="0.2">
      <c r="A204" s="39">
        <v>43786</v>
      </c>
      <c r="B204" s="22" t="s">
        <v>259</v>
      </c>
      <c r="C204" s="41" t="s">
        <v>305</v>
      </c>
      <c r="D204" s="22" t="s">
        <v>311</v>
      </c>
      <c r="E204">
        <v>4.3</v>
      </c>
      <c r="F204">
        <v>3.3</v>
      </c>
      <c r="G204">
        <v>8.5</v>
      </c>
      <c r="H204">
        <f>17.5+4+3.6</f>
        <v>25.1</v>
      </c>
      <c r="I204">
        <v>-4</v>
      </c>
      <c r="J204">
        <v>51</v>
      </c>
      <c r="L204" s="1" t="s">
        <v>305</v>
      </c>
      <c r="M204">
        <v>1</v>
      </c>
      <c r="N204">
        <v>8.4575999999999993</v>
      </c>
      <c r="O204">
        <v>4</v>
      </c>
      <c r="P204">
        <v>6.5</v>
      </c>
      <c r="Q204">
        <v>4</v>
      </c>
      <c r="R204">
        <v>0.7840000000000007</v>
      </c>
      <c r="S204">
        <v>9</v>
      </c>
      <c r="T204">
        <v>-7.2399999999999975</v>
      </c>
      <c r="U204">
        <v>-0.55999999999999994</v>
      </c>
      <c r="V204">
        <v>5</v>
      </c>
      <c r="W204">
        <v>8</v>
      </c>
      <c r="X204">
        <v>14</v>
      </c>
      <c r="Y204">
        <v>2.2719999999999994</v>
      </c>
      <c r="Z204">
        <v>2</v>
      </c>
      <c r="AA204">
        <v>23.919999999999998</v>
      </c>
      <c r="AB204">
        <v>-1.48</v>
      </c>
      <c r="AC204">
        <v>26</v>
      </c>
      <c r="AD204">
        <v>25</v>
      </c>
      <c r="AE204">
        <v>22</v>
      </c>
      <c r="AF204">
        <v>-4.68</v>
      </c>
      <c r="AG204">
        <v>28</v>
      </c>
      <c r="AH204">
        <v>-19.866666666666667</v>
      </c>
      <c r="AI204">
        <v>-2.7333333333333329</v>
      </c>
      <c r="AJ204">
        <v>25</v>
      </c>
      <c r="AK204">
        <v>26</v>
      </c>
      <c r="AL204">
        <v>24</v>
      </c>
      <c r="AM204">
        <v>-4.8999999999999995</v>
      </c>
      <c r="AN204">
        <v>28</v>
      </c>
      <c r="AO204">
        <v>-25.266666666666662</v>
      </c>
      <c r="AP204">
        <v>-2.2666666666666666</v>
      </c>
      <c r="AQ204">
        <v>31</v>
      </c>
      <c r="AR204">
        <v>30</v>
      </c>
      <c r="AS204">
        <v>29</v>
      </c>
      <c r="AT204">
        <v>-2.78</v>
      </c>
      <c r="AU204">
        <v>31</v>
      </c>
      <c r="AV204">
        <v>-23.866666666666664</v>
      </c>
      <c r="AW204">
        <v>-2.7999999999999994</v>
      </c>
      <c r="AX204">
        <v>10</v>
      </c>
      <c r="AY204">
        <v>11</v>
      </c>
      <c r="AZ204">
        <v>5</v>
      </c>
      <c r="BA204">
        <v>0.44666666666666427</v>
      </c>
      <c r="BB204">
        <v>17</v>
      </c>
      <c r="BC204">
        <v>-12.866666666666665</v>
      </c>
      <c r="BD204">
        <v>-0.86666666666666659</v>
      </c>
      <c r="BE204">
        <v>2</v>
      </c>
      <c r="BF204">
        <v>2</v>
      </c>
      <c r="BG204">
        <v>2</v>
      </c>
      <c r="BH204">
        <v>8.032</v>
      </c>
      <c r="BI204">
        <v>38.56</v>
      </c>
      <c r="BJ204">
        <v>3.2399999999999998</v>
      </c>
      <c r="BK204">
        <v>8</v>
      </c>
      <c r="BL204">
        <v>8.5</v>
      </c>
      <c r="BM204">
        <v>2</v>
      </c>
      <c r="BN204">
        <v>2.6799999999999997</v>
      </c>
      <c r="BO204">
        <v>15</v>
      </c>
      <c r="BP204">
        <v>0.28000000000000003</v>
      </c>
      <c r="BQ204">
        <v>4.9999999999999982</v>
      </c>
      <c r="BR204">
        <v>31</v>
      </c>
      <c r="BS204">
        <v>29.25</v>
      </c>
      <c r="BT204">
        <v>27</v>
      </c>
      <c r="BU204">
        <v>-3.2843124265690214E-2</v>
      </c>
      <c r="BV204">
        <v>31</v>
      </c>
      <c r="BW204">
        <v>-1.8820762357118777E-2</v>
      </c>
      <c r="BX204">
        <v>27</v>
      </c>
      <c r="BY204">
        <v>14.231999999999999</v>
      </c>
      <c r="BZ204">
        <v>32</v>
      </c>
      <c r="CA204">
        <v>-5.32</v>
      </c>
      <c r="CB204">
        <v>-1.3199999999999974</v>
      </c>
      <c r="CC204">
        <v>7.44</v>
      </c>
      <c r="CD204">
        <v>3.8400000000000007</v>
      </c>
      <c r="CE204">
        <v>24.520000000000003</v>
      </c>
      <c r="CF204">
        <v>-54.760000000000012</v>
      </c>
      <c r="CG204">
        <v>22.240000000000002</v>
      </c>
      <c r="CH204">
        <v>-3.08</v>
      </c>
      <c r="CI204">
        <v>60.120000000000005</v>
      </c>
      <c r="CJ204">
        <v>6</v>
      </c>
      <c r="CK204">
        <v>5.4015999999999993</v>
      </c>
      <c r="CL204">
        <v>-0.70208000000000004</v>
      </c>
      <c r="CM204">
        <v>-77.000000000000014</v>
      </c>
      <c r="CN204">
        <v>-5.4015999999999993</v>
      </c>
      <c r="CO204">
        <v>1.2332000000000001</v>
      </c>
      <c r="CP204">
        <v>-12.359999999999998</v>
      </c>
      <c r="CQ204">
        <v>-68.999999999999986</v>
      </c>
      <c r="CR204">
        <v>3.056</v>
      </c>
      <c r="CS204">
        <v>16.68</v>
      </c>
      <c r="CT204">
        <v>-4.5599999999999987</v>
      </c>
      <c r="CU204">
        <v>-2.04</v>
      </c>
      <c r="CV204">
        <v>-0.75787500000000008</v>
      </c>
      <c r="CW204">
        <v>-2.2881499999999999</v>
      </c>
      <c r="CX204" t="s">
        <v>311</v>
      </c>
      <c r="CY204">
        <v>6</v>
      </c>
      <c r="CZ204">
        <v>3.5551999999999979</v>
      </c>
      <c r="DA204">
        <v>27</v>
      </c>
      <c r="DB204">
        <v>24</v>
      </c>
      <c r="DC204">
        <v>18</v>
      </c>
      <c r="DD204">
        <v>-3.1879999999999997</v>
      </c>
      <c r="DE204">
        <v>30</v>
      </c>
      <c r="DF204">
        <v>-37.200000000000003</v>
      </c>
      <c r="DG204">
        <v>0.24000000000000005</v>
      </c>
      <c r="DH204">
        <v>1</v>
      </c>
      <c r="DI204">
        <v>1</v>
      </c>
      <c r="DJ204">
        <v>1</v>
      </c>
      <c r="DK204">
        <v>3.3800000000000003</v>
      </c>
      <c r="DL204">
        <v>1</v>
      </c>
      <c r="DM204">
        <v>15.280000000000001</v>
      </c>
      <c r="DN204">
        <v>0.48000000000000009</v>
      </c>
      <c r="DO204">
        <v>15</v>
      </c>
      <c r="DP204">
        <v>11.5</v>
      </c>
      <c r="DQ204">
        <v>11</v>
      </c>
      <c r="DR204">
        <v>1.1933333333333334</v>
      </c>
      <c r="DS204">
        <v>12</v>
      </c>
      <c r="DT204">
        <v>-4.9866666666666672</v>
      </c>
      <c r="DU204">
        <v>1</v>
      </c>
      <c r="DV204">
        <v>23</v>
      </c>
      <c r="DW204">
        <v>23</v>
      </c>
      <c r="DX204">
        <v>25</v>
      </c>
      <c r="DY204">
        <v>2.437333333333334</v>
      </c>
      <c r="DZ204">
        <v>21</v>
      </c>
      <c r="EA204">
        <v>11.053333333333335</v>
      </c>
      <c r="EB204">
        <v>-5.3333333333333413E-2</v>
      </c>
      <c r="EC204">
        <v>10</v>
      </c>
      <c r="ED204">
        <v>8.5</v>
      </c>
      <c r="EE204">
        <v>8</v>
      </c>
      <c r="EF204">
        <v>1.3453333333333335</v>
      </c>
      <c r="EG204">
        <v>9</v>
      </c>
      <c r="EH204">
        <v>10.239999999999998</v>
      </c>
      <c r="EI204">
        <v>-0.3066666666666667</v>
      </c>
      <c r="EJ204">
        <v>15</v>
      </c>
      <c r="EK204">
        <v>15.5</v>
      </c>
      <c r="EL204">
        <v>18</v>
      </c>
      <c r="EM204">
        <v>-0.74799999999999822</v>
      </c>
      <c r="EN204">
        <v>13</v>
      </c>
      <c r="EO204">
        <v>1.7200000000000017</v>
      </c>
      <c r="EP204">
        <v>0.28000000000000008</v>
      </c>
      <c r="EQ204">
        <v>14</v>
      </c>
      <c r="ER204">
        <v>14</v>
      </c>
      <c r="ES204">
        <v>14</v>
      </c>
      <c r="ET204">
        <v>-0.54400000000000015</v>
      </c>
      <c r="EU204">
        <v>14</v>
      </c>
      <c r="EV204">
        <v>-0.83999999999999919</v>
      </c>
      <c r="EW204">
        <v>0.32000000000000012</v>
      </c>
      <c r="EX204">
        <v>22</v>
      </c>
      <c r="EY204">
        <v>21.5</v>
      </c>
      <c r="EZ204">
        <v>19</v>
      </c>
      <c r="FA204">
        <v>-2</v>
      </c>
      <c r="FB204">
        <v>24</v>
      </c>
      <c r="FC204">
        <v>-0.76000000000000012</v>
      </c>
      <c r="FD204">
        <v>-2.2799999999999998</v>
      </c>
      <c r="FE204">
        <v>27</v>
      </c>
      <c r="FF204">
        <v>22.75</v>
      </c>
      <c r="FG204">
        <v>31</v>
      </c>
      <c r="FH204">
        <v>-4.81555335803351E-2</v>
      </c>
      <c r="FI204">
        <v>30</v>
      </c>
      <c r="FJ204">
        <v>-2.6886412194979437E-2</v>
      </c>
      <c r="FK204">
        <v>2</v>
      </c>
      <c r="FL204">
        <v>-12.496</v>
      </c>
      <c r="FM204">
        <v>28</v>
      </c>
      <c r="FN204">
        <v>-1.2</v>
      </c>
      <c r="FO204">
        <v>3.04</v>
      </c>
      <c r="FP204">
        <v>-4.4799999999999995</v>
      </c>
      <c r="FQ204">
        <v>-0.83999999999999964</v>
      </c>
      <c r="FR204">
        <v>-3.0799999999999996</v>
      </c>
      <c r="FS204">
        <v>1.2</v>
      </c>
      <c r="FT204">
        <v>-2.0000000000000004</v>
      </c>
      <c r="FU204">
        <v>8.7999999999999883</v>
      </c>
      <c r="FV204">
        <v>34.08</v>
      </c>
      <c r="FW204">
        <v>-18.2</v>
      </c>
      <c r="FX204">
        <v>-5.2</v>
      </c>
      <c r="FY204">
        <v>-1.8799999999999986</v>
      </c>
      <c r="FZ204">
        <v>7</v>
      </c>
      <c r="GA204">
        <v>3.3631999999999977</v>
      </c>
      <c r="GB204">
        <v>1.5014399999999992</v>
      </c>
      <c r="GC204">
        <v>52.28</v>
      </c>
      <c r="GD204">
        <v>-3.3631999999999973</v>
      </c>
      <c r="GE204">
        <v>0.77239999999999975</v>
      </c>
      <c r="GF204">
        <v>4.9760000000000009</v>
      </c>
      <c r="GG204">
        <v>16.306666666666665</v>
      </c>
      <c r="GH204">
        <v>0.19200000000000061</v>
      </c>
      <c r="GI204">
        <v>-21.92</v>
      </c>
      <c r="GJ204">
        <v>0.96</v>
      </c>
      <c r="GK204">
        <v>0.7200000000000002</v>
      </c>
    </row>
    <row r="205" spans="1:193" x14ac:dyDescent="0.2">
      <c r="A205" s="39">
        <v>43786</v>
      </c>
      <c r="B205" s="22" t="s">
        <v>259</v>
      </c>
      <c r="C205" s="41" t="s">
        <v>276</v>
      </c>
      <c r="D205" s="22" t="s">
        <v>293</v>
      </c>
      <c r="E205">
        <v>37.700000000000003</v>
      </c>
      <c r="F205">
        <v>7.8</v>
      </c>
      <c r="G205">
        <v>6.1</v>
      </c>
      <c r="H205">
        <v>12.8</v>
      </c>
      <c r="I205">
        <v>-7</v>
      </c>
      <c r="J205">
        <v>41.5</v>
      </c>
      <c r="K205" t="s">
        <v>110</v>
      </c>
      <c r="L205" s="1" t="s">
        <v>276</v>
      </c>
      <c r="M205">
        <v>4</v>
      </c>
      <c r="N205">
        <v>5.2952000000000021</v>
      </c>
      <c r="O205">
        <v>15</v>
      </c>
      <c r="P205">
        <v>16</v>
      </c>
      <c r="Q205">
        <v>21</v>
      </c>
      <c r="R205">
        <v>-4.1199999999999992</v>
      </c>
      <c r="S205">
        <v>11</v>
      </c>
      <c r="T205">
        <v>-18.119999999999997</v>
      </c>
      <c r="U205">
        <v>-0.19999999999999982</v>
      </c>
      <c r="V205">
        <v>15</v>
      </c>
      <c r="W205">
        <v>14.5</v>
      </c>
      <c r="X205">
        <v>20</v>
      </c>
      <c r="Y205">
        <v>-1.0240000000000002</v>
      </c>
      <c r="Z205">
        <v>9</v>
      </c>
      <c r="AA205">
        <v>3.72</v>
      </c>
      <c r="AB205">
        <v>-1.6</v>
      </c>
      <c r="AC205">
        <v>21</v>
      </c>
      <c r="AD205">
        <v>19.5</v>
      </c>
      <c r="AE205">
        <v>14</v>
      </c>
      <c r="AF205">
        <v>0.90100000000000047</v>
      </c>
      <c r="AG205">
        <v>25</v>
      </c>
      <c r="AH205">
        <v>9.6999999999999975</v>
      </c>
      <c r="AI205">
        <v>1.1299999999999997</v>
      </c>
      <c r="AJ205">
        <v>9</v>
      </c>
      <c r="AK205">
        <v>8.5</v>
      </c>
      <c r="AL205">
        <v>9</v>
      </c>
      <c r="AM205">
        <v>0.36800000000000066</v>
      </c>
      <c r="AN205">
        <v>8</v>
      </c>
      <c r="AO205">
        <v>-6.3199999999999994</v>
      </c>
      <c r="AP205">
        <v>0.36000000000000004</v>
      </c>
      <c r="AQ205">
        <v>13</v>
      </c>
      <c r="AR205">
        <v>14.5</v>
      </c>
      <c r="AS205">
        <v>15</v>
      </c>
      <c r="AT205">
        <v>-0.5880000000000003</v>
      </c>
      <c r="AU205">
        <v>14</v>
      </c>
      <c r="AV205">
        <v>-1.4800000000000009</v>
      </c>
      <c r="AW205">
        <v>-0.15999999999999998</v>
      </c>
      <c r="AX205">
        <v>23</v>
      </c>
      <c r="AY205">
        <v>22.5</v>
      </c>
      <c r="AZ205">
        <v>25</v>
      </c>
      <c r="BA205">
        <v>-3.3599999999999994</v>
      </c>
      <c r="BB205">
        <v>20</v>
      </c>
      <c r="BC205">
        <v>-17.2</v>
      </c>
      <c r="BD205">
        <v>-0.63999999999999968</v>
      </c>
      <c r="BE205">
        <v>29</v>
      </c>
      <c r="BF205">
        <v>28.5</v>
      </c>
      <c r="BG205">
        <v>30</v>
      </c>
      <c r="BH205">
        <v>-3.4</v>
      </c>
      <c r="BI205">
        <v>-13.6</v>
      </c>
      <c r="BJ205">
        <v>-1.56</v>
      </c>
      <c r="BK205">
        <v>25</v>
      </c>
      <c r="BL205">
        <v>23</v>
      </c>
      <c r="BM205">
        <v>23</v>
      </c>
      <c r="BN205">
        <v>-1.1199999999999999</v>
      </c>
      <c r="BO205">
        <v>23</v>
      </c>
      <c r="BP205">
        <v>-0.52</v>
      </c>
      <c r="BQ205">
        <v>-1.3199999999999998</v>
      </c>
      <c r="BR205">
        <v>24</v>
      </c>
      <c r="BS205">
        <v>20.75</v>
      </c>
      <c r="BT205">
        <v>25</v>
      </c>
      <c r="BU205">
        <v>-3.4739172914955617E-2</v>
      </c>
      <c r="BV205">
        <v>25</v>
      </c>
      <c r="BW205">
        <v>-9.9553279086046845E-3</v>
      </c>
      <c r="BX205">
        <v>5</v>
      </c>
      <c r="BY205">
        <v>-19.027999999999999</v>
      </c>
      <c r="BZ205">
        <v>28</v>
      </c>
      <c r="CA205">
        <v>-1.6800000000000004</v>
      </c>
      <c r="CB205">
        <v>-2.3599999999999994</v>
      </c>
      <c r="CC205">
        <v>0.40000000000000069</v>
      </c>
      <c r="CD205">
        <v>0.72</v>
      </c>
      <c r="CE205">
        <v>-20.320000000000004</v>
      </c>
      <c r="CF205">
        <v>-20.04</v>
      </c>
      <c r="CG205">
        <v>-18.2</v>
      </c>
      <c r="CH205">
        <v>-1.0799999999999998</v>
      </c>
      <c r="CI205">
        <v>19</v>
      </c>
      <c r="CJ205">
        <v>2</v>
      </c>
      <c r="CK205">
        <v>10.439200000000003</v>
      </c>
      <c r="CL205">
        <v>3.0872400000000004</v>
      </c>
      <c r="CM205">
        <v>-1.8399999999999999</v>
      </c>
      <c r="CN205">
        <v>-10.439200000000001</v>
      </c>
      <c r="CO205">
        <v>-0.46097499999999958</v>
      </c>
      <c r="CP205">
        <v>0.68100000000000072</v>
      </c>
      <c r="CQ205">
        <v>1.8999999999999972</v>
      </c>
      <c r="CR205">
        <v>-5.1439999999999992</v>
      </c>
      <c r="CS205">
        <v>-14.399999999999997</v>
      </c>
      <c r="CT205">
        <v>-0.2300000000000002</v>
      </c>
      <c r="CU205">
        <v>-1.7999999999999998</v>
      </c>
      <c r="CV205">
        <v>1.110625</v>
      </c>
      <c r="CW205">
        <v>0.88115000000000032</v>
      </c>
      <c r="CX205" t="s">
        <v>293</v>
      </c>
      <c r="CY205">
        <v>2</v>
      </c>
      <c r="CZ205">
        <v>0.68079999999999996</v>
      </c>
      <c r="DA205">
        <v>1</v>
      </c>
      <c r="DB205">
        <v>1.5</v>
      </c>
      <c r="DC205">
        <v>1</v>
      </c>
      <c r="DD205">
        <v>-1.1840000000000004</v>
      </c>
      <c r="DE205">
        <v>2</v>
      </c>
      <c r="DF205">
        <v>15.8</v>
      </c>
      <c r="DG205">
        <v>-1.2</v>
      </c>
      <c r="DH205">
        <v>30</v>
      </c>
      <c r="DI205">
        <v>27</v>
      </c>
      <c r="DJ205">
        <v>27</v>
      </c>
      <c r="DK205">
        <v>0.4280000000000001</v>
      </c>
      <c r="DL205">
        <v>27</v>
      </c>
      <c r="DM205">
        <v>-1.0400000000000005</v>
      </c>
      <c r="DN205">
        <v>0.84000000000000008</v>
      </c>
      <c r="DO205">
        <v>2</v>
      </c>
      <c r="DP205">
        <v>1.5</v>
      </c>
      <c r="DQ205">
        <v>1</v>
      </c>
      <c r="DR205">
        <v>7.3760000000000003</v>
      </c>
      <c r="DS205">
        <v>2</v>
      </c>
      <c r="DT205">
        <v>19.609999999999996</v>
      </c>
      <c r="DU205">
        <v>1.4100000000000001</v>
      </c>
      <c r="DV205">
        <v>8</v>
      </c>
      <c r="DW205">
        <v>7</v>
      </c>
      <c r="DX205">
        <v>6</v>
      </c>
      <c r="DY205">
        <v>-0.6160000000000011</v>
      </c>
      <c r="DZ205">
        <v>8</v>
      </c>
      <c r="EA205">
        <v>0.12000000000000029</v>
      </c>
      <c r="EB205">
        <v>0.15999999999999998</v>
      </c>
      <c r="EC205">
        <v>29</v>
      </c>
      <c r="ED205">
        <v>24</v>
      </c>
      <c r="EE205">
        <v>22</v>
      </c>
      <c r="EF205">
        <v>-1.4200000000000004</v>
      </c>
      <c r="EG205">
        <v>26</v>
      </c>
      <c r="EH205">
        <v>-5.7999999999999989</v>
      </c>
      <c r="EI205">
        <v>-8.0000000000000071E-2</v>
      </c>
      <c r="EJ205">
        <v>9</v>
      </c>
      <c r="EK205">
        <v>9</v>
      </c>
      <c r="EL205">
        <v>8</v>
      </c>
      <c r="EM205">
        <v>3.092000000000001</v>
      </c>
      <c r="EN205">
        <v>10</v>
      </c>
      <c r="EO205">
        <v>9.3200000000000038</v>
      </c>
      <c r="EP205">
        <v>2.4000000000000004</v>
      </c>
      <c r="EQ205">
        <v>19</v>
      </c>
      <c r="ER205">
        <v>18.5</v>
      </c>
      <c r="ES205">
        <v>25</v>
      </c>
      <c r="ET205">
        <v>1.2159999999999995</v>
      </c>
      <c r="EU205">
        <v>12</v>
      </c>
      <c r="EV205">
        <v>6.3999999999999986</v>
      </c>
      <c r="EW205">
        <v>2.1200000000000006</v>
      </c>
      <c r="EX205">
        <v>1</v>
      </c>
      <c r="EY205">
        <v>1.5</v>
      </c>
      <c r="EZ205">
        <v>1</v>
      </c>
      <c r="FA205">
        <v>4.24</v>
      </c>
      <c r="FB205">
        <v>2</v>
      </c>
      <c r="FC205">
        <v>1.0799999999999998</v>
      </c>
      <c r="FD205">
        <v>0.6</v>
      </c>
      <c r="FE205">
        <v>31</v>
      </c>
      <c r="FF205">
        <v>29</v>
      </c>
      <c r="FG205">
        <v>29</v>
      </c>
      <c r="FH205">
        <v>-8.1261440817176289E-2</v>
      </c>
      <c r="FI205">
        <v>32</v>
      </c>
      <c r="FJ205">
        <v>-2.0590863867861221E-2</v>
      </c>
      <c r="FK205">
        <v>30</v>
      </c>
      <c r="FL205">
        <v>9.5240000000000009</v>
      </c>
      <c r="FM205">
        <v>25</v>
      </c>
      <c r="FN205">
        <v>-2.2800000000000002</v>
      </c>
      <c r="FO205">
        <v>2.5999999999999988</v>
      </c>
      <c r="FP205">
        <v>1.7200000000000011</v>
      </c>
      <c r="FQ205">
        <v>-1.2399999999999998</v>
      </c>
      <c r="FR205">
        <v>1.7199999999999989</v>
      </c>
      <c r="FS205">
        <v>2.9600000000000009</v>
      </c>
      <c r="FT205">
        <v>-0.28000000000000008</v>
      </c>
      <c r="FU205">
        <v>38.04</v>
      </c>
      <c r="FV205">
        <v>21.119999999999997</v>
      </c>
      <c r="FW205">
        <v>18.639999999999997</v>
      </c>
      <c r="FX205">
        <v>-1.3599999999999999</v>
      </c>
      <c r="FY205">
        <v>-0.36000000000000065</v>
      </c>
      <c r="FZ205">
        <v>13</v>
      </c>
      <c r="GA205">
        <v>1.4368000000000001</v>
      </c>
      <c r="GB205">
        <v>1.8253599999999999</v>
      </c>
      <c r="GC205">
        <v>2.4800000000000004</v>
      </c>
      <c r="GD205">
        <v>-1.4368000000000003</v>
      </c>
      <c r="GE205">
        <v>1.3400999999999996</v>
      </c>
      <c r="GF205">
        <v>5.3399999999999981</v>
      </c>
      <c r="GG205">
        <v>13.929999999999998</v>
      </c>
      <c r="GH205">
        <v>-0.75600000000000023</v>
      </c>
      <c r="GI205">
        <v>14.76</v>
      </c>
      <c r="GJ205">
        <v>3.6100000000000003</v>
      </c>
      <c r="GK205">
        <v>-0.35999999999999988</v>
      </c>
    </row>
    <row r="206" spans="1:193" x14ac:dyDescent="0.2">
      <c r="A206" s="39">
        <v>43786</v>
      </c>
      <c r="B206" s="22" t="s">
        <v>259</v>
      </c>
      <c r="C206" s="41" t="s">
        <v>301</v>
      </c>
      <c r="D206" s="22" t="s">
        <v>295</v>
      </c>
      <c r="E206">
        <v>17.5</v>
      </c>
      <c r="F206">
        <v>6.5</v>
      </c>
      <c r="G206">
        <v>2.9</v>
      </c>
      <c r="H206">
        <v>10.7</v>
      </c>
      <c r="I206">
        <v>-3.5</v>
      </c>
      <c r="J206">
        <v>49</v>
      </c>
      <c r="K206" t="s">
        <v>109</v>
      </c>
      <c r="L206" s="1" t="s">
        <v>301</v>
      </c>
      <c r="M206">
        <v>30</v>
      </c>
      <c r="N206">
        <v>-6.1863999999999981</v>
      </c>
      <c r="O206">
        <v>2</v>
      </c>
      <c r="P206">
        <v>3</v>
      </c>
      <c r="Q206">
        <v>1</v>
      </c>
      <c r="R206">
        <v>12.180000000000001</v>
      </c>
      <c r="S206">
        <v>5</v>
      </c>
      <c r="T206">
        <v>22.799999999999997</v>
      </c>
      <c r="U206">
        <v>2.04</v>
      </c>
      <c r="V206">
        <v>32</v>
      </c>
      <c r="W206">
        <v>31.5</v>
      </c>
      <c r="X206">
        <v>31</v>
      </c>
      <c r="Y206">
        <v>-3.7379999999999995</v>
      </c>
      <c r="Z206">
        <v>32</v>
      </c>
      <c r="AA206">
        <v>-13.64</v>
      </c>
      <c r="AB206">
        <v>-0.39</v>
      </c>
      <c r="AC206">
        <v>7</v>
      </c>
      <c r="AD206">
        <v>6.5</v>
      </c>
      <c r="AE206">
        <v>7</v>
      </c>
      <c r="AF206">
        <v>5.6000000000000404E-2</v>
      </c>
      <c r="AG206">
        <v>6</v>
      </c>
      <c r="AH206">
        <v>5.4699999999999989</v>
      </c>
      <c r="AI206">
        <v>2.1500000000000004</v>
      </c>
      <c r="AJ206">
        <v>21</v>
      </c>
      <c r="AK206">
        <v>20.5</v>
      </c>
      <c r="AL206">
        <v>20</v>
      </c>
      <c r="AM206">
        <v>1.6039999999999999</v>
      </c>
      <c r="AN206">
        <v>21</v>
      </c>
      <c r="AO206">
        <v>-0.7600000000000009</v>
      </c>
      <c r="AP206">
        <v>1.67</v>
      </c>
      <c r="AQ206">
        <v>23</v>
      </c>
      <c r="AR206">
        <v>23.5</v>
      </c>
      <c r="AS206">
        <v>23</v>
      </c>
      <c r="AT206">
        <v>-2.9680000000000004</v>
      </c>
      <c r="AU206">
        <v>24</v>
      </c>
      <c r="AV206">
        <v>-13.440000000000001</v>
      </c>
      <c r="AW206">
        <v>0.12000000000000011</v>
      </c>
      <c r="AX206">
        <v>24</v>
      </c>
      <c r="AY206">
        <v>25</v>
      </c>
      <c r="AZ206">
        <v>23</v>
      </c>
      <c r="BA206">
        <v>-8.3800000000000008</v>
      </c>
      <c r="BB206">
        <v>27</v>
      </c>
      <c r="BC206">
        <v>-37.799999999999997</v>
      </c>
      <c r="BD206">
        <v>-2</v>
      </c>
      <c r="BE206">
        <v>20</v>
      </c>
      <c r="BF206">
        <v>22</v>
      </c>
      <c r="BG206">
        <v>20</v>
      </c>
      <c r="BH206">
        <v>-3.7960000000000007</v>
      </c>
      <c r="BI206">
        <v>-3.1600000000000024</v>
      </c>
      <c r="BJ206">
        <v>-0.79999999999999982</v>
      </c>
      <c r="BK206">
        <v>32</v>
      </c>
      <c r="BL206">
        <v>31.5</v>
      </c>
      <c r="BM206">
        <v>32</v>
      </c>
      <c r="BN206">
        <v>-3.08</v>
      </c>
      <c r="BO206">
        <v>31</v>
      </c>
      <c r="BP206">
        <v>-0.51999999999999991</v>
      </c>
      <c r="BQ206">
        <v>-3.9999999999999855E-2</v>
      </c>
      <c r="BR206">
        <v>4</v>
      </c>
      <c r="BS206">
        <v>8.5</v>
      </c>
      <c r="BT206">
        <v>4</v>
      </c>
      <c r="BU206">
        <v>6.5213301754995068E-2</v>
      </c>
      <c r="BV206">
        <v>6</v>
      </c>
      <c r="BW206">
        <v>2.1875557310148584E-2</v>
      </c>
      <c r="BX206">
        <v>17</v>
      </c>
      <c r="BY206">
        <v>-5.5959999999999992</v>
      </c>
      <c r="BZ206">
        <v>7</v>
      </c>
      <c r="CA206">
        <v>4.5999999999999996</v>
      </c>
      <c r="CB206">
        <v>3.1200000000000019</v>
      </c>
      <c r="CC206">
        <v>-3.6399999999999997</v>
      </c>
      <c r="CD206">
        <v>-0.51999999999999991</v>
      </c>
      <c r="CE206">
        <v>-13.439999999999987</v>
      </c>
      <c r="CF206">
        <v>-13.159999999999997</v>
      </c>
      <c r="CG206">
        <v>8.2800000000000011</v>
      </c>
      <c r="CH206">
        <v>1.6</v>
      </c>
      <c r="CI206">
        <v>-10.16</v>
      </c>
      <c r="CJ206">
        <v>32</v>
      </c>
      <c r="CK206">
        <v>-14.628399999999999</v>
      </c>
      <c r="CL206">
        <v>-6.4790800000000015</v>
      </c>
      <c r="CM206">
        <v>-21.439999999999998</v>
      </c>
      <c r="CN206">
        <v>14.628399999999999</v>
      </c>
      <c r="CO206">
        <v>-0.74104999999999965</v>
      </c>
      <c r="CP206">
        <v>-1.3080000000000001</v>
      </c>
      <c r="CQ206">
        <v>-8.730000000000004</v>
      </c>
      <c r="CR206">
        <v>8.4420000000000019</v>
      </c>
      <c r="CS206">
        <v>9.1599999999999966</v>
      </c>
      <c r="CT206">
        <v>3.1400000000000006</v>
      </c>
      <c r="CU206">
        <v>1.65</v>
      </c>
      <c r="CV206">
        <v>0.28627500000000028</v>
      </c>
      <c r="CW206">
        <v>0.22550000000000042</v>
      </c>
      <c r="CX206" t="s">
        <v>295</v>
      </c>
      <c r="CY206">
        <v>27</v>
      </c>
      <c r="CZ206">
        <v>1.3343999999999998</v>
      </c>
      <c r="DA206">
        <v>30</v>
      </c>
      <c r="DB206">
        <v>28</v>
      </c>
      <c r="DC206">
        <v>28</v>
      </c>
      <c r="DD206">
        <v>-1.6349999999999998</v>
      </c>
      <c r="DE206">
        <v>28</v>
      </c>
      <c r="DF206">
        <v>-27.089999999999996</v>
      </c>
      <c r="DG206">
        <v>1.45</v>
      </c>
      <c r="DH206">
        <v>28</v>
      </c>
      <c r="DI206">
        <v>25.5</v>
      </c>
      <c r="DJ206">
        <v>30</v>
      </c>
      <c r="DK206">
        <v>2.653</v>
      </c>
      <c r="DL206">
        <v>21</v>
      </c>
      <c r="DM206">
        <v>9.34</v>
      </c>
      <c r="DN206">
        <v>0.32999999999999996</v>
      </c>
      <c r="DO206">
        <v>22</v>
      </c>
      <c r="DP206">
        <v>18.5</v>
      </c>
      <c r="DQ206">
        <v>21</v>
      </c>
      <c r="DR206">
        <v>1.5439999999999998</v>
      </c>
      <c r="DS206">
        <v>16</v>
      </c>
      <c r="DT206">
        <v>14.12</v>
      </c>
      <c r="DU206">
        <v>1.7199999999999995</v>
      </c>
      <c r="DV206">
        <v>9</v>
      </c>
      <c r="DW206">
        <v>10</v>
      </c>
      <c r="DX206">
        <v>9</v>
      </c>
      <c r="DY206">
        <v>-2.9479999999999995</v>
      </c>
      <c r="DZ206">
        <v>11</v>
      </c>
      <c r="EA206">
        <v>-13.839999999999998</v>
      </c>
      <c r="EB206">
        <v>-1.6799999999999997</v>
      </c>
      <c r="EC206">
        <v>17</v>
      </c>
      <c r="ED206">
        <v>26.5</v>
      </c>
      <c r="EE206">
        <v>29</v>
      </c>
      <c r="EF206">
        <v>-1.0719999999999998</v>
      </c>
      <c r="EG206">
        <v>24</v>
      </c>
      <c r="EH206">
        <v>-2.6400000000000006</v>
      </c>
      <c r="EI206">
        <v>0.59999999999999987</v>
      </c>
      <c r="EJ206">
        <v>10</v>
      </c>
      <c r="EK206">
        <v>11.5</v>
      </c>
      <c r="EL206">
        <v>14</v>
      </c>
      <c r="EM206">
        <v>-0.56400000000000072</v>
      </c>
      <c r="EN206">
        <v>9</v>
      </c>
      <c r="EO206">
        <v>2.7599999999999993</v>
      </c>
      <c r="EP206">
        <v>1.7600000000000002</v>
      </c>
      <c r="EQ206">
        <v>29</v>
      </c>
      <c r="ER206">
        <v>26.5</v>
      </c>
      <c r="ES206">
        <v>30</v>
      </c>
      <c r="ET206">
        <v>1.1800000000000002</v>
      </c>
      <c r="EU206">
        <v>23</v>
      </c>
      <c r="EV206">
        <v>4.8000000000000016</v>
      </c>
      <c r="EW206">
        <v>0.76000000000000012</v>
      </c>
      <c r="EX206">
        <v>17</v>
      </c>
      <c r="EY206">
        <v>14.5</v>
      </c>
      <c r="EZ206">
        <v>14</v>
      </c>
      <c r="FA206">
        <v>1.72</v>
      </c>
      <c r="FB206">
        <v>15</v>
      </c>
      <c r="FC206">
        <v>0.15999999999999998</v>
      </c>
      <c r="FD206">
        <v>-1.56</v>
      </c>
      <c r="FE206">
        <v>19</v>
      </c>
      <c r="FF206">
        <v>16.5</v>
      </c>
      <c r="FG206">
        <v>10</v>
      </c>
      <c r="FH206">
        <v>-1.3306066293360624E-2</v>
      </c>
      <c r="FI206">
        <v>20</v>
      </c>
      <c r="FJ206">
        <v>-3.221877102249175E-3</v>
      </c>
      <c r="FK206">
        <v>25</v>
      </c>
      <c r="FL206">
        <v>12.979999999999995</v>
      </c>
      <c r="FM206">
        <v>11</v>
      </c>
      <c r="FN206">
        <v>-0.87999999999999989</v>
      </c>
      <c r="FO206">
        <v>3.2399999999999998</v>
      </c>
      <c r="FP206">
        <v>-1.64</v>
      </c>
      <c r="FQ206">
        <v>0.32000000000000012</v>
      </c>
      <c r="FR206">
        <v>1.5200000000000031</v>
      </c>
      <c r="FS206">
        <v>-1.3599999999999994</v>
      </c>
      <c r="FT206">
        <v>3.9999999999999945E-2</v>
      </c>
      <c r="FU206">
        <v>14.920000000000005</v>
      </c>
      <c r="FV206">
        <v>29.159999999999989</v>
      </c>
      <c r="FW206">
        <v>-9.6400000000000041</v>
      </c>
      <c r="FX206">
        <v>-1.52</v>
      </c>
      <c r="FY206">
        <v>-3.0799999999999996</v>
      </c>
      <c r="FZ206">
        <v>17</v>
      </c>
      <c r="GA206">
        <v>0.31639999999999935</v>
      </c>
      <c r="GB206">
        <v>-0.50131999999999999</v>
      </c>
      <c r="GC206">
        <v>38.799999999999997</v>
      </c>
      <c r="GD206">
        <v>-0.31639999999999957</v>
      </c>
      <c r="GE206">
        <v>0.34705000000000008</v>
      </c>
      <c r="GF206">
        <v>-2.4759999999999995</v>
      </c>
      <c r="GG206">
        <v>-2.3599999999999994</v>
      </c>
      <c r="GH206">
        <v>1.0180000000000002</v>
      </c>
      <c r="GI206">
        <v>-17.749999999999996</v>
      </c>
      <c r="GJ206">
        <v>1.4</v>
      </c>
      <c r="GK206">
        <v>1.7799999999999998</v>
      </c>
    </row>
    <row r="207" spans="1:193" x14ac:dyDescent="0.2">
      <c r="A207" s="39">
        <v>43786</v>
      </c>
      <c r="B207" s="22" t="s">
        <v>259</v>
      </c>
      <c r="C207" s="41" t="s">
        <v>265</v>
      </c>
      <c r="D207" s="22" t="s">
        <v>304</v>
      </c>
      <c r="E207">
        <v>5.5</v>
      </c>
      <c r="F207">
        <v>12.7</v>
      </c>
      <c r="G207">
        <v>11.4</v>
      </c>
      <c r="H207">
        <v>1.8</v>
      </c>
      <c r="I207">
        <v>5</v>
      </c>
      <c r="J207">
        <v>40</v>
      </c>
      <c r="L207" s="1" t="s">
        <v>265</v>
      </c>
      <c r="M207">
        <v>28</v>
      </c>
      <c r="N207">
        <v>-4.1024000000000012</v>
      </c>
      <c r="O207">
        <v>20</v>
      </c>
      <c r="P207">
        <v>21</v>
      </c>
      <c r="Q207">
        <v>23</v>
      </c>
      <c r="R207">
        <v>-2.4829999999999997</v>
      </c>
      <c r="S207">
        <v>19</v>
      </c>
      <c r="T207">
        <v>-1.3300000000000012</v>
      </c>
      <c r="U207">
        <v>-0.43999999999999995</v>
      </c>
      <c r="V207">
        <v>13</v>
      </c>
      <c r="W207">
        <v>13.5</v>
      </c>
      <c r="X207">
        <v>7</v>
      </c>
      <c r="Y207">
        <v>2.7479999999999993</v>
      </c>
      <c r="Z207">
        <v>20</v>
      </c>
      <c r="AA207">
        <v>-4.3199999999999994</v>
      </c>
      <c r="AB207">
        <v>2.44</v>
      </c>
      <c r="AC207">
        <v>16</v>
      </c>
      <c r="AD207">
        <v>17</v>
      </c>
      <c r="AE207">
        <v>16</v>
      </c>
      <c r="AF207">
        <v>-3.5527136788005011E-16</v>
      </c>
      <c r="AG207">
        <v>18</v>
      </c>
      <c r="AH207">
        <v>-3.6400000000000006</v>
      </c>
      <c r="AI207">
        <v>0.92000000000000015</v>
      </c>
      <c r="AJ207">
        <v>11</v>
      </c>
      <c r="AK207">
        <v>11</v>
      </c>
      <c r="AL207">
        <v>13</v>
      </c>
      <c r="AM207">
        <v>-2.0840000000000001</v>
      </c>
      <c r="AN207">
        <v>9</v>
      </c>
      <c r="AO207">
        <v>-0.8</v>
      </c>
      <c r="AP207">
        <v>8.0000000000000071E-2</v>
      </c>
      <c r="AQ207">
        <v>26</v>
      </c>
      <c r="AR207">
        <v>26</v>
      </c>
      <c r="AS207">
        <v>26</v>
      </c>
      <c r="AT207">
        <v>-0.89599999999999935</v>
      </c>
      <c r="AU207">
        <v>26</v>
      </c>
      <c r="AV207">
        <v>-4.8400000000000016</v>
      </c>
      <c r="AW207">
        <v>0.6</v>
      </c>
      <c r="AX207">
        <v>8</v>
      </c>
      <c r="AY207">
        <v>9</v>
      </c>
      <c r="AZ207">
        <v>9</v>
      </c>
      <c r="BA207">
        <v>6.1319999999999997</v>
      </c>
      <c r="BB207">
        <v>9</v>
      </c>
      <c r="BC207">
        <v>22.119999999999997</v>
      </c>
      <c r="BD207">
        <v>4.5200000000000005</v>
      </c>
      <c r="BE207">
        <v>29</v>
      </c>
      <c r="BF207">
        <v>28.5</v>
      </c>
      <c r="BG207">
        <v>25</v>
      </c>
      <c r="BH207">
        <v>-6.4240000000000013</v>
      </c>
      <c r="BI207">
        <v>-31.48</v>
      </c>
      <c r="BJ207">
        <v>-2.48</v>
      </c>
      <c r="BK207">
        <v>30</v>
      </c>
      <c r="BL207">
        <v>29.5</v>
      </c>
      <c r="BM207">
        <v>31</v>
      </c>
      <c r="BN207">
        <v>-2.48</v>
      </c>
      <c r="BO207">
        <v>28</v>
      </c>
      <c r="BP207">
        <v>-0.36000000000000004</v>
      </c>
      <c r="BQ207">
        <v>-1.4799999999999995</v>
      </c>
      <c r="BR207">
        <v>18</v>
      </c>
      <c r="BS207">
        <v>15.5</v>
      </c>
      <c r="BT207">
        <v>20</v>
      </c>
      <c r="BU207">
        <v>2.2917733476831702E-2</v>
      </c>
      <c r="BV207">
        <v>11</v>
      </c>
      <c r="BW207">
        <v>2.4751229942798519E-2</v>
      </c>
      <c r="BX207">
        <v>20</v>
      </c>
      <c r="BY207">
        <v>-6.3320000000000034</v>
      </c>
      <c r="BZ207">
        <v>11</v>
      </c>
      <c r="CA207">
        <v>0.99999999999999967</v>
      </c>
      <c r="CB207">
        <v>-1.5200000000000002</v>
      </c>
      <c r="CC207">
        <v>-4.68</v>
      </c>
      <c r="CD207">
        <v>0.28000000000000008</v>
      </c>
      <c r="CE207">
        <v>-54.92</v>
      </c>
      <c r="CF207">
        <v>-43.279999999999994</v>
      </c>
      <c r="CG207">
        <v>-6.2399999999999975</v>
      </c>
      <c r="CH207">
        <v>-3.9599999999999995</v>
      </c>
      <c r="CI207">
        <v>-1.4400000000000002</v>
      </c>
      <c r="CJ207">
        <v>22</v>
      </c>
      <c r="CK207">
        <v>-4.3674000000000008</v>
      </c>
      <c r="CL207">
        <v>-2.83378</v>
      </c>
      <c r="CM207">
        <v>-37.04</v>
      </c>
      <c r="CN207">
        <v>4.3674000000000008</v>
      </c>
      <c r="CO207">
        <v>-1.9651750000000003</v>
      </c>
      <c r="CP207">
        <v>-2.98</v>
      </c>
      <c r="CQ207">
        <v>-9.2800000000000011</v>
      </c>
      <c r="CR207">
        <v>0.26499999999999968</v>
      </c>
      <c r="CS207">
        <v>-5.65</v>
      </c>
      <c r="CT207">
        <v>-0.87999999999999989</v>
      </c>
      <c r="CU207">
        <v>2</v>
      </c>
      <c r="CV207">
        <v>-0.97109999999999985</v>
      </c>
      <c r="CW207">
        <v>-0.90109999999999979</v>
      </c>
      <c r="CX207" t="s">
        <v>304</v>
      </c>
      <c r="CY207">
        <v>16</v>
      </c>
      <c r="CZ207">
        <v>-2.1128</v>
      </c>
      <c r="DA207">
        <v>17</v>
      </c>
      <c r="DB207">
        <v>18</v>
      </c>
      <c r="DC207">
        <v>20</v>
      </c>
      <c r="DD207">
        <v>-5.0560000000000009</v>
      </c>
      <c r="DE207">
        <v>16</v>
      </c>
      <c r="DF207">
        <v>-12.76</v>
      </c>
      <c r="DG207">
        <v>0.27999999999999997</v>
      </c>
      <c r="DH207">
        <v>4</v>
      </c>
      <c r="DI207">
        <v>6.5</v>
      </c>
      <c r="DJ207">
        <v>7</v>
      </c>
      <c r="DK207">
        <v>1.8</v>
      </c>
      <c r="DL207">
        <v>6</v>
      </c>
      <c r="DM207">
        <v>-0.76000000000000012</v>
      </c>
      <c r="DN207">
        <v>0.31999999999999995</v>
      </c>
      <c r="DO207">
        <v>19</v>
      </c>
      <c r="DP207">
        <v>19.5</v>
      </c>
      <c r="DQ207">
        <v>17</v>
      </c>
      <c r="DR207">
        <v>-3.6079999999999997</v>
      </c>
      <c r="DS207">
        <v>22</v>
      </c>
      <c r="DT207">
        <v>-15.669999999999998</v>
      </c>
      <c r="DU207">
        <v>-0.74999999999999978</v>
      </c>
      <c r="DV207">
        <v>11</v>
      </c>
      <c r="DW207">
        <v>13</v>
      </c>
      <c r="DX207">
        <v>10</v>
      </c>
      <c r="DY207">
        <v>-0.74799999999999933</v>
      </c>
      <c r="DZ207">
        <v>16</v>
      </c>
      <c r="EA207">
        <v>-4.24</v>
      </c>
      <c r="EB207">
        <v>2.6</v>
      </c>
      <c r="EC207">
        <v>2</v>
      </c>
      <c r="ED207">
        <v>2</v>
      </c>
      <c r="EE207">
        <v>2</v>
      </c>
      <c r="EF207">
        <v>2.2839999999999998</v>
      </c>
      <c r="EG207">
        <v>2</v>
      </c>
      <c r="EH207">
        <v>14.720000000000002</v>
      </c>
      <c r="EI207">
        <v>1.3999999999999997</v>
      </c>
      <c r="EJ207">
        <v>14</v>
      </c>
      <c r="EK207">
        <v>14</v>
      </c>
      <c r="EL207">
        <v>11</v>
      </c>
      <c r="EM207">
        <v>-1.3640000000000001</v>
      </c>
      <c r="EN207">
        <v>17</v>
      </c>
      <c r="EO207">
        <v>-12.04</v>
      </c>
      <c r="EP207">
        <v>0.76000000000000012</v>
      </c>
      <c r="EQ207">
        <v>25</v>
      </c>
      <c r="ER207">
        <v>24.5</v>
      </c>
      <c r="ES207">
        <v>29</v>
      </c>
      <c r="ET207">
        <v>1.552</v>
      </c>
      <c r="EU207">
        <v>20</v>
      </c>
      <c r="EV207">
        <v>13.2</v>
      </c>
      <c r="EW207">
        <v>1.0799999999999998</v>
      </c>
      <c r="EX207">
        <v>28</v>
      </c>
      <c r="EY207">
        <v>26.5</v>
      </c>
      <c r="EZ207">
        <v>29</v>
      </c>
      <c r="FA207">
        <v>-2.44</v>
      </c>
      <c r="FB207">
        <v>24</v>
      </c>
      <c r="FC207">
        <v>-0.28000000000000008</v>
      </c>
      <c r="FD207">
        <v>-1.52</v>
      </c>
      <c r="FE207">
        <v>14</v>
      </c>
      <c r="FF207">
        <v>15</v>
      </c>
      <c r="FG207">
        <v>22</v>
      </c>
      <c r="FH207">
        <v>-6.6439737741890992E-3</v>
      </c>
      <c r="FI207">
        <v>10</v>
      </c>
      <c r="FJ207">
        <v>7.6921269192743334E-3</v>
      </c>
      <c r="FK207">
        <v>22</v>
      </c>
      <c r="FL207">
        <v>2.8480000000000003</v>
      </c>
      <c r="FM207">
        <v>6</v>
      </c>
      <c r="FN207">
        <v>3.8800000000000003</v>
      </c>
      <c r="FO207">
        <v>4.3599999999999994</v>
      </c>
      <c r="FP207">
        <v>0.64000000000000057</v>
      </c>
      <c r="FQ207">
        <v>-3.9999999999999945E-2</v>
      </c>
      <c r="FR207">
        <v>5.6400000000000006</v>
      </c>
      <c r="FS207">
        <v>-7</v>
      </c>
      <c r="FT207">
        <v>-0.83999999999999986</v>
      </c>
      <c r="FU207">
        <v>-16.359999999999992</v>
      </c>
      <c r="FV207">
        <v>7.0799999999999956</v>
      </c>
      <c r="FW207">
        <v>-14.520000000000001</v>
      </c>
      <c r="FX207">
        <v>-2.5599999999999996</v>
      </c>
      <c r="FY207">
        <v>-6.3600000000000012</v>
      </c>
      <c r="FZ207">
        <v>14</v>
      </c>
      <c r="GA207">
        <v>1.1432000000000009</v>
      </c>
      <c r="GB207">
        <v>1.1014400000000006</v>
      </c>
      <c r="GC207">
        <v>21.599999999999998</v>
      </c>
      <c r="GD207">
        <v>-1.1432000000000011</v>
      </c>
      <c r="GE207">
        <v>-1.0410999999999999</v>
      </c>
      <c r="GF207">
        <v>-2.0719999999999992</v>
      </c>
      <c r="GG207">
        <v>-5.1899999999999942</v>
      </c>
      <c r="GH207">
        <v>-3.2560000000000011</v>
      </c>
      <c r="GI207">
        <v>-13.52</v>
      </c>
      <c r="GJ207">
        <v>4.33</v>
      </c>
      <c r="GK207">
        <v>0.59999999999999987</v>
      </c>
    </row>
    <row r="208" spans="1:193" x14ac:dyDescent="0.2">
      <c r="A208" s="39">
        <v>43786</v>
      </c>
      <c r="B208" s="28" t="s">
        <v>259</v>
      </c>
      <c r="C208" s="17" t="s">
        <v>272</v>
      </c>
      <c r="D208" s="28" t="s">
        <v>303</v>
      </c>
      <c r="E208" s="3">
        <v>2</v>
      </c>
      <c r="F208" s="3">
        <v>9.6</v>
      </c>
      <c r="G208" s="3">
        <v>1</v>
      </c>
      <c r="H208" s="3">
        <v>2.6</v>
      </c>
      <c r="I208" s="3">
        <v>13</v>
      </c>
      <c r="J208" s="3">
        <v>48</v>
      </c>
      <c r="K208" t="s">
        <v>110</v>
      </c>
      <c r="L208" s="1" t="s">
        <v>272</v>
      </c>
      <c r="M208">
        <v>18</v>
      </c>
      <c r="N208">
        <v>-1.2119999999999993</v>
      </c>
      <c r="O208">
        <v>29</v>
      </c>
      <c r="P208">
        <v>28</v>
      </c>
      <c r="Q208">
        <v>26</v>
      </c>
      <c r="R208">
        <v>1.1599999999999997</v>
      </c>
      <c r="S208">
        <v>30</v>
      </c>
      <c r="T208">
        <v>-5.6399999999999988</v>
      </c>
      <c r="U208">
        <v>-0.15999999999999986</v>
      </c>
      <c r="V208">
        <v>24</v>
      </c>
      <c r="W208">
        <v>24</v>
      </c>
      <c r="X208">
        <v>24</v>
      </c>
      <c r="Y208">
        <v>-4.4479999999999986</v>
      </c>
      <c r="Z208">
        <v>24</v>
      </c>
      <c r="AA208">
        <v>-5.08</v>
      </c>
      <c r="AB208">
        <v>-0.23999999999999991</v>
      </c>
      <c r="AC208">
        <v>22</v>
      </c>
      <c r="AD208">
        <v>20</v>
      </c>
      <c r="AE208">
        <v>17</v>
      </c>
      <c r="AF208">
        <v>-5.4319999999999977</v>
      </c>
      <c r="AG208">
        <v>23</v>
      </c>
      <c r="AH208">
        <v>-24.48</v>
      </c>
      <c r="AI208">
        <v>-0.54</v>
      </c>
      <c r="AJ208">
        <v>20</v>
      </c>
      <c r="AK208">
        <v>19</v>
      </c>
      <c r="AL208">
        <v>23</v>
      </c>
      <c r="AM208">
        <v>-0.82600000000000051</v>
      </c>
      <c r="AN208">
        <v>15</v>
      </c>
      <c r="AO208">
        <v>7.68</v>
      </c>
      <c r="AP208">
        <v>0.70000000000000018</v>
      </c>
      <c r="AQ208">
        <v>2</v>
      </c>
      <c r="AR208">
        <v>2</v>
      </c>
      <c r="AS208">
        <v>2</v>
      </c>
      <c r="AT208">
        <v>3.9319999999999999</v>
      </c>
      <c r="AU208">
        <v>2</v>
      </c>
      <c r="AV208">
        <v>21.279999999999998</v>
      </c>
      <c r="AW208">
        <v>2.3600000000000003</v>
      </c>
      <c r="AX208">
        <v>14</v>
      </c>
      <c r="AY208">
        <v>14.5</v>
      </c>
      <c r="AZ208">
        <v>16</v>
      </c>
      <c r="BA208">
        <v>-2.0120000000000022</v>
      </c>
      <c r="BB208">
        <v>13</v>
      </c>
      <c r="BC208">
        <v>-3.7199999999999989</v>
      </c>
      <c r="BD208">
        <v>0.15999999999999978</v>
      </c>
      <c r="BE208">
        <v>17</v>
      </c>
      <c r="BF208">
        <v>17.5</v>
      </c>
      <c r="BG208">
        <v>19</v>
      </c>
      <c r="BH208">
        <v>-2.3880000000000003</v>
      </c>
      <c r="BI208">
        <v>-3.7599999999999993</v>
      </c>
      <c r="BJ208">
        <v>0.52000000000000013</v>
      </c>
      <c r="BK208">
        <v>12</v>
      </c>
      <c r="BL208">
        <v>11.5</v>
      </c>
      <c r="BM208">
        <v>12</v>
      </c>
      <c r="BN208">
        <v>-0.72000000000000008</v>
      </c>
      <c r="BO208">
        <v>11</v>
      </c>
      <c r="BP208">
        <v>-0.27999999999999997</v>
      </c>
      <c r="BQ208">
        <v>-1.1600000000000004</v>
      </c>
      <c r="BR208">
        <v>10</v>
      </c>
      <c r="BS208">
        <v>12.75</v>
      </c>
      <c r="BT208">
        <v>13</v>
      </c>
      <c r="BU208">
        <v>-4.2474291775310542E-2</v>
      </c>
      <c r="BV208">
        <v>15</v>
      </c>
      <c r="BW208">
        <v>-2.9795017574596626E-3</v>
      </c>
      <c r="BX208">
        <v>11</v>
      </c>
      <c r="BY208">
        <v>1.7679999999999978</v>
      </c>
      <c r="BZ208">
        <v>12</v>
      </c>
      <c r="CA208">
        <v>1.56</v>
      </c>
      <c r="CB208">
        <v>1.4400000000000006</v>
      </c>
      <c r="CC208">
        <v>-4.8</v>
      </c>
      <c r="CD208">
        <v>0.55999999999999994</v>
      </c>
      <c r="CE208">
        <v>-16.920000000000005</v>
      </c>
      <c r="CF208">
        <v>-13.6</v>
      </c>
      <c r="CG208">
        <v>-14.000000000000004</v>
      </c>
      <c r="CH208">
        <v>2.52</v>
      </c>
      <c r="CI208">
        <v>8.16</v>
      </c>
      <c r="CJ208">
        <v>13</v>
      </c>
      <c r="CK208">
        <v>2.0759999999999996</v>
      </c>
      <c r="CL208">
        <v>0.45879999999999987</v>
      </c>
      <c r="CM208">
        <v>0.40000000000000391</v>
      </c>
      <c r="CN208">
        <v>-2.0759999999999996</v>
      </c>
      <c r="CO208">
        <v>-1.2417499999999995</v>
      </c>
      <c r="CP208">
        <v>-2.3259999999999983</v>
      </c>
      <c r="CQ208">
        <v>4.4799999999999969</v>
      </c>
      <c r="CR208">
        <v>-3.2879999999999989</v>
      </c>
      <c r="CS208">
        <v>-10.719999999999999</v>
      </c>
      <c r="CT208">
        <v>3.0400000000000005</v>
      </c>
      <c r="CU208">
        <v>-0.3999999999999998</v>
      </c>
      <c r="CV208">
        <v>1.0511000000000001</v>
      </c>
      <c r="CW208">
        <v>0.98389999999999989</v>
      </c>
      <c r="CX208" t="s">
        <v>303</v>
      </c>
      <c r="CY208">
        <v>13</v>
      </c>
      <c r="CZ208">
        <v>4.3024000000000004</v>
      </c>
      <c r="DA208">
        <v>13</v>
      </c>
      <c r="DB208">
        <v>12</v>
      </c>
      <c r="DC208">
        <v>10</v>
      </c>
      <c r="DD208">
        <v>0.34000000000000091</v>
      </c>
      <c r="DE208">
        <v>14</v>
      </c>
      <c r="DF208">
        <v>11.599999999999998</v>
      </c>
      <c r="DG208">
        <v>-0.59999999999999987</v>
      </c>
      <c r="DH208">
        <v>6</v>
      </c>
      <c r="DI208">
        <v>8.5</v>
      </c>
      <c r="DJ208">
        <v>6</v>
      </c>
      <c r="DK208">
        <v>1.4</v>
      </c>
      <c r="DL208">
        <v>11</v>
      </c>
      <c r="DM208">
        <v>-7.8</v>
      </c>
      <c r="DN208">
        <v>0.55999999999999994</v>
      </c>
      <c r="DO208">
        <v>18</v>
      </c>
      <c r="DP208">
        <v>25</v>
      </c>
      <c r="DQ208">
        <v>25</v>
      </c>
      <c r="DR208">
        <v>5.0999999999999996</v>
      </c>
      <c r="DS208">
        <v>25</v>
      </c>
      <c r="DT208">
        <v>25.52</v>
      </c>
      <c r="DU208">
        <v>-0.3999999999999998</v>
      </c>
      <c r="DV208">
        <v>9</v>
      </c>
      <c r="DW208">
        <v>10</v>
      </c>
      <c r="DX208">
        <v>11</v>
      </c>
      <c r="DY208">
        <v>-0.81999999999999962</v>
      </c>
      <c r="DZ208">
        <v>9</v>
      </c>
      <c r="EA208">
        <v>-2.6799999999999997</v>
      </c>
      <c r="EB208">
        <v>-0.87999999999999989</v>
      </c>
      <c r="EC208">
        <v>25</v>
      </c>
      <c r="ED208">
        <v>32</v>
      </c>
      <c r="EE208">
        <v>32</v>
      </c>
      <c r="EF208">
        <v>-3.2559999999999993</v>
      </c>
      <c r="EG208">
        <v>32</v>
      </c>
      <c r="EH208">
        <v>-13.040000000000001</v>
      </c>
      <c r="EI208">
        <v>-8.8817841970012528E-17</v>
      </c>
      <c r="EJ208">
        <v>31</v>
      </c>
      <c r="EK208">
        <v>31</v>
      </c>
      <c r="EL208">
        <v>31</v>
      </c>
      <c r="EM208">
        <v>-3.1480000000000006</v>
      </c>
      <c r="EN208">
        <v>31</v>
      </c>
      <c r="EO208">
        <v>-22.68</v>
      </c>
      <c r="EP208">
        <v>-1.6800000000000002</v>
      </c>
      <c r="EQ208">
        <v>22</v>
      </c>
      <c r="ER208">
        <v>23.5</v>
      </c>
      <c r="ES208">
        <v>26</v>
      </c>
      <c r="ET208">
        <v>2.4800000000000004</v>
      </c>
      <c r="EU208">
        <v>21</v>
      </c>
      <c r="EV208">
        <v>3.9999999999999147E-2</v>
      </c>
      <c r="EW208">
        <v>1.6800000000000002</v>
      </c>
      <c r="EX208">
        <v>27</v>
      </c>
      <c r="EY208">
        <v>25.5</v>
      </c>
      <c r="EZ208">
        <v>22</v>
      </c>
      <c r="FA208">
        <v>-0.6000000000000002</v>
      </c>
      <c r="FB208">
        <v>29</v>
      </c>
      <c r="FC208">
        <v>-0.48</v>
      </c>
      <c r="FD208">
        <v>-0.83999999999999986</v>
      </c>
      <c r="FE208">
        <v>10</v>
      </c>
      <c r="FF208">
        <v>13.25</v>
      </c>
      <c r="FG208">
        <v>12</v>
      </c>
      <c r="FH208">
        <v>2.2682625349539708E-2</v>
      </c>
      <c r="FI208">
        <v>11</v>
      </c>
      <c r="FJ208">
        <v>1.7265658483249326E-2</v>
      </c>
      <c r="FK208">
        <v>12</v>
      </c>
      <c r="FL208">
        <v>8.5200000000000014</v>
      </c>
      <c r="FM208">
        <v>18</v>
      </c>
      <c r="FN208">
        <v>-0.43999999999999984</v>
      </c>
      <c r="FO208">
        <v>-1.2</v>
      </c>
      <c r="FP208">
        <v>-0.24000000000000057</v>
      </c>
      <c r="FQ208">
        <v>0.8</v>
      </c>
      <c r="FR208">
        <v>2.8421709430404009E-15</v>
      </c>
      <c r="FS208">
        <v>4.3599999999999994</v>
      </c>
      <c r="FT208">
        <v>-0.55999999999999994</v>
      </c>
      <c r="FU208">
        <v>32.480000000000004</v>
      </c>
      <c r="FV208">
        <v>18.760000000000002</v>
      </c>
      <c r="FW208">
        <v>5.3199999999999985</v>
      </c>
      <c r="FX208">
        <v>3.7199999999999998</v>
      </c>
      <c r="FY208">
        <v>4.6800000000000006</v>
      </c>
      <c r="FZ208">
        <v>10</v>
      </c>
      <c r="GA208">
        <v>2.5623999999999998</v>
      </c>
      <c r="GB208">
        <v>0.69127999999999978</v>
      </c>
      <c r="GC208">
        <v>13.440000000000003</v>
      </c>
      <c r="GD208">
        <v>-2.5623999999999993</v>
      </c>
      <c r="GE208">
        <v>1.1183000000000003</v>
      </c>
      <c r="GF208">
        <v>1.0240000000000009</v>
      </c>
      <c r="GG208">
        <v>9.7999999999999989</v>
      </c>
      <c r="GH208">
        <v>1.7400000000000009</v>
      </c>
      <c r="GI208">
        <v>3.799999999999998</v>
      </c>
      <c r="GJ208">
        <v>0.40000000000000036</v>
      </c>
      <c r="GK208">
        <v>-3.9999999999999925E-2</v>
      </c>
    </row>
    <row r="209" spans="1:193" x14ac:dyDescent="0.2">
      <c r="A209" s="39">
        <v>43786</v>
      </c>
      <c r="B209" s="22" t="s">
        <v>259</v>
      </c>
      <c r="C209" s="41" t="s">
        <v>281</v>
      </c>
      <c r="D209" s="22" t="s">
        <v>309</v>
      </c>
      <c r="E209">
        <v>10</v>
      </c>
      <c r="F209">
        <v>14.3</v>
      </c>
      <c r="G209">
        <v>5.0999999999999996</v>
      </c>
      <c r="H209">
        <v>7.8</v>
      </c>
      <c r="I209">
        <v>-3</v>
      </c>
      <c r="J209">
        <v>41.5</v>
      </c>
      <c r="L209" s="1" t="s">
        <v>281</v>
      </c>
      <c r="M209">
        <v>10</v>
      </c>
      <c r="N209">
        <v>1.9307999999999996</v>
      </c>
      <c r="O209">
        <v>5</v>
      </c>
      <c r="P209">
        <v>7</v>
      </c>
      <c r="Q209">
        <v>8</v>
      </c>
      <c r="R209">
        <v>5.1480000000000006</v>
      </c>
      <c r="S209">
        <v>6</v>
      </c>
      <c r="T209">
        <v>40.319999999999993</v>
      </c>
      <c r="U209">
        <v>4.0000000000000036E-2</v>
      </c>
      <c r="V209">
        <v>4</v>
      </c>
      <c r="W209">
        <v>6</v>
      </c>
      <c r="X209">
        <v>6</v>
      </c>
      <c r="Y209">
        <v>1.956</v>
      </c>
      <c r="Z209">
        <v>6</v>
      </c>
      <c r="AA209">
        <v>-5</v>
      </c>
      <c r="AB209">
        <v>2.6399999999999997</v>
      </c>
      <c r="AC209">
        <v>25</v>
      </c>
      <c r="AD209">
        <v>24.5</v>
      </c>
      <c r="AE209">
        <v>25</v>
      </c>
      <c r="AF209">
        <v>-1.111999999999999</v>
      </c>
      <c r="AG209">
        <v>24</v>
      </c>
      <c r="AH209">
        <v>0.47999999999999687</v>
      </c>
      <c r="AI209">
        <v>2.16</v>
      </c>
      <c r="AJ209">
        <v>1</v>
      </c>
      <c r="AK209">
        <v>2.5</v>
      </c>
      <c r="AL209">
        <v>1</v>
      </c>
      <c r="AM209">
        <v>4.6319999999999997</v>
      </c>
      <c r="AN209">
        <v>4</v>
      </c>
      <c r="AO209">
        <v>15.2</v>
      </c>
      <c r="AP209">
        <v>2.12</v>
      </c>
      <c r="AQ209">
        <v>18</v>
      </c>
      <c r="AR209">
        <v>17.5</v>
      </c>
      <c r="AS209">
        <v>19</v>
      </c>
      <c r="AT209">
        <v>8.8000000000000342E-2</v>
      </c>
      <c r="AU209">
        <v>16</v>
      </c>
      <c r="AV209">
        <v>2.7600000000000007</v>
      </c>
      <c r="AW209">
        <v>-0.12000000000000002</v>
      </c>
      <c r="AX209">
        <v>15</v>
      </c>
      <c r="AY209">
        <v>15.5</v>
      </c>
      <c r="AZ209">
        <v>15</v>
      </c>
      <c r="BA209">
        <v>-1.2840000000000003</v>
      </c>
      <c r="BB209">
        <v>16</v>
      </c>
      <c r="BC209">
        <v>-1.2399999999999978</v>
      </c>
      <c r="BD209">
        <v>-0.91999999999999993</v>
      </c>
      <c r="BE209">
        <v>23</v>
      </c>
      <c r="BF209">
        <v>23</v>
      </c>
      <c r="BG209">
        <v>21</v>
      </c>
      <c r="BH209">
        <v>-3.3519999999999994</v>
      </c>
      <c r="BI209">
        <v>-20.000000000000004</v>
      </c>
      <c r="BJ209">
        <v>-3.28</v>
      </c>
      <c r="BK209">
        <v>4</v>
      </c>
      <c r="BL209">
        <v>7</v>
      </c>
      <c r="BM209">
        <v>7</v>
      </c>
      <c r="BN209">
        <v>0.6399999999999999</v>
      </c>
      <c r="BO209">
        <v>7</v>
      </c>
      <c r="BP209">
        <v>0.28000000000000008</v>
      </c>
      <c r="BQ209">
        <v>-1.2000000000000002</v>
      </c>
      <c r="BR209">
        <v>30</v>
      </c>
      <c r="BS209">
        <v>29</v>
      </c>
      <c r="BT209">
        <v>31</v>
      </c>
      <c r="BU209">
        <v>-6.3466727730403905E-2</v>
      </c>
      <c r="BV209">
        <v>30</v>
      </c>
      <c r="BW209">
        <v>-1.9804354691977624E-2</v>
      </c>
      <c r="BX209">
        <v>24</v>
      </c>
      <c r="BY209">
        <v>7.1639999999999988</v>
      </c>
      <c r="BZ209">
        <v>31</v>
      </c>
      <c r="CA209">
        <v>-3.4800000000000004</v>
      </c>
      <c r="CB209">
        <v>2.3600000000000008</v>
      </c>
      <c r="CC209">
        <v>2.5999999999999996</v>
      </c>
      <c r="CD209">
        <v>-2.4</v>
      </c>
      <c r="CE209">
        <v>25.320000000000014</v>
      </c>
      <c r="CF209">
        <v>-1.7600000000000022</v>
      </c>
      <c r="CG209">
        <v>31.439999999999998</v>
      </c>
      <c r="CH209">
        <v>-2.84</v>
      </c>
      <c r="CI209">
        <v>-1.52</v>
      </c>
      <c r="CJ209">
        <v>24</v>
      </c>
      <c r="CK209">
        <v>-5.1732000000000014</v>
      </c>
      <c r="CL209">
        <v>-3.1146400000000005</v>
      </c>
      <c r="CM209">
        <v>-33.200000000000003</v>
      </c>
      <c r="CN209">
        <v>5.1732000000000014</v>
      </c>
      <c r="CO209">
        <v>1.2413500000000002</v>
      </c>
      <c r="CP209">
        <v>3.608000000000001</v>
      </c>
      <c r="CQ209">
        <v>18.439999999999998</v>
      </c>
      <c r="CR209">
        <v>7.104000000000001</v>
      </c>
      <c r="CS209">
        <v>35.319999999999993</v>
      </c>
      <c r="CT209">
        <v>0.88000000000000034</v>
      </c>
      <c r="CU209">
        <v>2.6799999999999997</v>
      </c>
      <c r="CV209">
        <v>-0.79776250000000004</v>
      </c>
      <c r="CW209">
        <v>-0.51947500000000013</v>
      </c>
      <c r="CX209" t="s">
        <v>309</v>
      </c>
      <c r="CY209">
        <v>31</v>
      </c>
      <c r="CZ209">
        <v>0.10759999999999917</v>
      </c>
      <c r="DA209">
        <v>22</v>
      </c>
      <c r="DB209">
        <v>21.5</v>
      </c>
      <c r="DC209">
        <v>32</v>
      </c>
      <c r="DD209">
        <v>-5.7839999999999989</v>
      </c>
      <c r="DE209">
        <v>11</v>
      </c>
      <c r="DF209">
        <v>-7.9999999999999982</v>
      </c>
      <c r="DG209">
        <v>0.16000000000000009</v>
      </c>
      <c r="DH209">
        <v>16</v>
      </c>
      <c r="DI209">
        <v>16.5</v>
      </c>
      <c r="DJ209">
        <v>12</v>
      </c>
      <c r="DK209">
        <v>-3.004</v>
      </c>
      <c r="DL209">
        <v>21</v>
      </c>
      <c r="DM209">
        <v>-8.52</v>
      </c>
      <c r="DN209">
        <v>-0.12000000000000006</v>
      </c>
      <c r="DO209">
        <v>26</v>
      </c>
      <c r="DP209">
        <v>29.5</v>
      </c>
      <c r="DQ209">
        <v>28</v>
      </c>
      <c r="DR209">
        <v>-4.0679999999999996</v>
      </c>
      <c r="DS209">
        <v>31</v>
      </c>
      <c r="DT209">
        <v>-21.76</v>
      </c>
      <c r="DU209">
        <v>-1.36</v>
      </c>
      <c r="DV209">
        <v>29</v>
      </c>
      <c r="DW209">
        <v>29.5</v>
      </c>
      <c r="DX209">
        <v>31</v>
      </c>
      <c r="DY209">
        <v>1.4040000000000006</v>
      </c>
      <c r="DZ209">
        <v>28</v>
      </c>
      <c r="EA209">
        <v>8.32</v>
      </c>
      <c r="EB209">
        <v>1.8</v>
      </c>
      <c r="EC209">
        <v>5</v>
      </c>
      <c r="ED209">
        <v>25</v>
      </c>
      <c r="EE209">
        <v>27</v>
      </c>
      <c r="EF209">
        <v>1.7239999999999995</v>
      </c>
      <c r="EG209">
        <v>23</v>
      </c>
      <c r="EH209">
        <v>9.16</v>
      </c>
      <c r="EI209">
        <v>4.4408920985006264E-17</v>
      </c>
      <c r="EJ209">
        <v>27</v>
      </c>
      <c r="EK209">
        <v>27</v>
      </c>
      <c r="EL209">
        <v>30</v>
      </c>
      <c r="EM209">
        <v>1.2079999999999991</v>
      </c>
      <c r="EN209">
        <v>24</v>
      </c>
      <c r="EO209">
        <v>-13.120000000000001</v>
      </c>
      <c r="EP209">
        <v>-0.6399999999999999</v>
      </c>
      <c r="EQ209">
        <v>24</v>
      </c>
      <c r="ER209">
        <v>24</v>
      </c>
      <c r="ES209">
        <v>24</v>
      </c>
      <c r="ET209">
        <v>4.1319999999999997</v>
      </c>
      <c r="EU209">
        <v>24</v>
      </c>
      <c r="EV209">
        <v>2.5200000000000005</v>
      </c>
      <c r="EW209">
        <v>0.68000000000000027</v>
      </c>
      <c r="EX209">
        <v>30</v>
      </c>
      <c r="EY209">
        <v>27.5</v>
      </c>
      <c r="EZ209">
        <v>31</v>
      </c>
      <c r="FA209">
        <v>-3.12</v>
      </c>
      <c r="FB209">
        <v>24</v>
      </c>
      <c r="FC209">
        <v>-0.16</v>
      </c>
      <c r="FD209">
        <v>2.3199999999999998</v>
      </c>
      <c r="FE209">
        <v>1</v>
      </c>
      <c r="FF209">
        <v>5.25</v>
      </c>
      <c r="FG209">
        <v>2</v>
      </c>
      <c r="FH209">
        <v>9.8323110752909143E-2</v>
      </c>
      <c r="FI209">
        <v>1</v>
      </c>
      <c r="FJ209">
        <v>1.015920470018312E-2</v>
      </c>
      <c r="FK209">
        <v>16</v>
      </c>
      <c r="FL209">
        <v>-0.37599999999999911</v>
      </c>
      <c r="FM209">
        <v>2</v>
      </c>
      <c r="FN209">
        <v>6.04</v>
      </c>
      <c r="FO209">
        <v>2.7199999999999998</v>
      </c>
      <c r="FP209">
        <v>-1.9200000000000004</v>
      </c>
      <c r="FQ209">
        <v>-4.0000000000000036E-2</v>
      </c>
      <c r="FR209">
        <v>1.1600000000000008</v>
      </c>
      <c r="FS209">
        <v>-3.9200000000000004</v>
      </c>
      <c r="FT209">
        <v>1.04</v>
      </c>
      <c r="FU209">
        <v>-23.600000000000012</v>
      </c>
      <c r="FV209">
        <v>-5.0400000000000036</v>
      </c>
      <c r="FW209">
        <v>-17.360000000000003</v>
      </c>
      <c r="FX209">
        <v>1.28</v>
      </c>
      <c r="FY209">
        <v>-2.48</v>
      </c>
      <c r="FZ209">
        <v>2</v>
      </c>
      <c r="GA209">
        <v>8.8955999999999982</v>
      </c>
      <c r="GB209">
        <v>5.0539199999999989</v>
      </c>
      <c r="GC209">
        <v>12.32</v>
      </c>
      <c r="GD209">
        <v>-8.8955999999999982</v>
      </c>
      <c r="GE209">
        <v>-1.07605</v>
      </c>
      <c r="GF209">
        <v>-0.93999999999999928</v>
      </c>
      <c r="GG209">
        <v>-4.2800000000000011</v>
      </c>
      <c r="GH209">
        <v>-8.7879999999999985</v>
      </c>
      <c r="GI209">
        <v>-16.519999999999996</v>
      </c>
      <c r="GJ209">
        <v>1.1200000000000003</v>
      </c>
      <c r="GK209">
        <v>4.0000000000000022E-2</v>
      </c>
    </row>
    <row r="210" spans="1:193" x14ac:dyDescent="0.2">
      <c r="A210" s="39">
        <v>43786</v>
      </c>
      <c r="B210" s="22" t="s">
        <v>259</v>
      </c>
      <c r="C210" s="41" t="s">
        <v>291</v>
      </c>
      <c r="D210" s="22" t="s">
        <v>299</v>
      </c>
      <c r="E210">
        <v>6.8</v>
      </c>
      <c r="F210">
        <v>26.8</v>
      </c>
      <c r="G210">
        <v>24.5</v>
      </c>
      <c r="H210">
        <f>8.3+5.8</f>
        <v>14.100000000000001</v>
      </c>
      <c r="I210">
        <v>-7.5</v>
      </c>
      <c r="J210">
        <v>46.5</v>
      </c>
      <c r="K210" t="s">
        <v>109</v>
      </c>
      <c r="L210" s="1" t="s">
        <v>291</v>
      </c>
      <c r="M210">
        <v>5</v>
      </c>
      <c r="N210">
        <v>3.3167999999999993</v>
      </c>
      <c r="O210">
        <v>5</v>
      </c>
      <c r="P210">
        <v>7</v>
      </c>
      <c r="Q210">
        <v>6</v>
      </c>
      <c r="R210">
        <v>3.972</v>
      </c>
      <c r="S210">
        <v>8</v>
      </c>
      <c r="T210">
        <v>25.16</v>
      </c>
      <c r="U210">
        <v>0.44000000000000006</v>
      </c>
      <c r="V210">
        <v>27</v>
      </c>
      <c r="W210">
        <v>27.5</v>
      </c>
      <c r="X210">
        <v>28</v>
      </c>
      <c r="Y210">
        <v>-0.97599999999999998</v>
      </c>
      <c r="Z210">
        <v>27</v>
      </c>
      <c r="AA210">
        <v>-0.23999999999999949</v>
      </c>
      <c r="AB210">
        <v>-0.72</v>
      </c>
      <c r="AC210">
        <v>10</v>
      </c>
      <c r="AD210">
        <v>12</v>
      </c>
      <c r="AE210">
        <v>12</v>
      </c>
      <c r="AF210">
        <v>3.2200000000000006</v>
      </c>
      <c r="AG210">
        <v>12</v>
      </c>
      <c r="AH210">
        <v>21.25</v>
      </c>
      <c r="AI210">
        <v>0.60000000000000009</v>
      </c>
      <c r="AJ210">
        <v>10</v>
      </c>
      <c r="AK210">
        <v>9</v>
      </c>
      <c r="AL210">
        <v>11</v>
      </c>
      <c r="AM210">
        <v>-2.0959999999999988</v>
      </c>
      <c r="AN210">
        <v>7</v>
      </c>
      <c r="AO210">
        <v>3.6400000000000032</v>
      </c>
      <c r="AP210">
        <v>1.1999999999999997</v>
      </c>
      <c r="AQ210">
        <v>1</v>
      </c>
      <c r="AR210">
        <v>1</v>
      </c>
      <c r="AS210">
        <v>1</v>
      </c>
      <c r="AT210">
        <v>7.2560000000000002</v>
      </c>
      <c r="AU210">
        <v>1</v>
      </c>
      <c r="AV210">
        <v>36.279999999999994</v>
      </c>
      <c r="AW210">
        <v>2.5200000000000005</v>
      </c>
      <c r="AX210">
        <v>2</v>
      </c>
      <c r="AY210">
        <v>3.5</v>
      </c>
      <c r="AZ210">
        <v>3</v>
      </c>
      <c r="BA210">
        <v>4.1519999999999992</v>
      </c>
      <c r="BB210">
        <v>4</v>
      </c>
      <c r="BC210">
        <v>37.28</v>
      </c>
      <c r="BD210">
        <v>-1.5200000000000002</v>
      </c>
      <c r="BE210">
        <v>8</v>
      </c>
      <c r="BF210">
        <v>7</v>
      </c>
      <c r="BG210">
        <v>7</v>
      </c>
      <c r="BH210">
        <v>4.9119999999999999</v>
      </c>
      <c r="BI210">
        <v>18.359999999999996</v>
      </c>
      <c r="BJ210">
        <v>2.8</v>
      </c>
      <c r="BK210">
        <v>11</v>
      </c>
      <c r="BL210">
        <v>9.5</v>
      </c>
      <c r="BM210">
        <v>14</v>
      </c>
      <c r="BN210">
        <v>4.08</v>
      </c>
      <c r="BO210">
        <v>5</v>
      </c>
      <c r="BP210">
        <v>1</v>
      </c>
      <c r="BQ210">
        <v>-0.59999999999999987</v>
      </c>
      <c r="BR210">
        <v>26</v>
      </c>
      <c r="BS210">
        <v>22.25</v>
      </c>
      <c r="BT210">
        <v>18</v>
      </c>
      <c r="BU210">
        <v>3.8730094177784252E-2</v>
      </c>
      <c r="BV210">
        <v>32</v>
      </c>
      <c r="BW210">
        <v>-3.6937959384844454E-2</v>
      </c>
      <c r="BX210">
        <v>16</v>
      </c>
      <c r="BY210">
        <v>8.7559999999999949</v>
      </c>
      <c r="BZ210">
        <v>23</v>
      </c>
      <c r="CA210">
        <v>-4.08</v>
      </c>
      <c r="CB210">
        <v>5.5599999999999978</v>
      </c>
      <c r="CC210">
        <v>4.0399999999999991</v>
      </c>
      <c r="CD210">
        <v>-0.16</v>
      </c>
      <c r="CE210">
        <v>75.839999999999989</v>
      </c>
      <c r="CF210">
        <v>52.08</v>
      </c>
      <c r="CG210">
        <v>19.68</v>
      </c>
      <c r="CH210">
        <v>0.76000000000000012</v>
      </c>
      <c r="CI210">
        <v>3.3200000000000003</v>
      </c>
      <c r="CJ210">
        <v>15</v>
      </c>
      <c r="CK210">
        <v>0.32079999999999931</v>
      </c>
      <c r="CL210">
        <v>1.8237600000000003</v>
      </c>
      <c r="CM210">
        <v>32.4</v>
      </c>
      <c r="CN210">
        <v>-0.32079999999999931</v>
      </c>
      <c r="CO210">
        <v>2.9606000000000003</v>
      </c>
      <c r="CP210">
        <v>8.3800000000000026</v>
      </c>
      <c r="CQ210">
        <v>61.17</v>
      </c>
      <c r="CR210">
        <v>2.996</v>
      </c>
      <c r="CS210">
        <v>24.92</v>
      </c>
      <c r="CT210">
        <v>7.12</v>
      </c>
      <c r="CU210">
        <v>-0.27999999999999992</v>
      </c>
      <c r="CV210">
        <v>0.87498749999999992</v>
      </c>
      <c r="CW210">
        <v>-0.9960500000000001</v>
      </c>
      <c r="CX210" t="s">
        <v>299</v>
      </c>
      <c r="CY210">
        <v>3</v>
      </c>
      <c r="CZ210">
        <v>7.1568000000000014</v>
      </c>
      <c r="DA210">
        <v>14</v>
      </c>
      <c r="DB210">
        <v>16</v>
      </c>
      <c r="DC210">
        <v>14</v>
      </c>
      <c r="DD210">
        <v>4.284399999999998</v>
      </c>
      <c r="DE210">
        <v>18</v>
      </c>
      <c r="DF210">
        <v>11.64</v>
      </c>
      <c r="DG210">
        <v>-2.1599999999999997</v>
      </c>
      <c r="DH210">
        <v>11</v>
      </c>
      <c r="DI210">
        <v>14</v>
      </c>
      <c r="DJ210">
        <v>3</v>
      </c>
      <c r="DK210">
        <v>4.28</v>
      </c>
      <c r="DL210">
        <v>25</v>
      </c>
      <c r="DM210">
        <v>-7.44</v>
      </c>
      <c r="DN210">
        <v>0.19999999999999996</v>
      </c>
      <c r="DO210">
        <v>10</v>
      </c>
      <c r="DP210">
        <v>9.5</v>
      </c>
      <c r="DQ210">
        <v>10</v>
      </c>
      <c r="DR210">
        <v>-1.129</v>
      </c>
      <c r="DS210">
        <v>9</v>
      </c>
      <c r="DT210">
        <v>-5.2700000000000005</v>
      </c>
      <c r="DU210">
        <v>0.65999999999999992</v>
      </c>
      <c r="DV210">
        <v>3</v>
      </c>
      <c r="DW210">
        <v>3.5</v>
      </c>
      <c r="DX210">
        <v>4</v>
      </c>
      <c r="DY210">
        <v>6.08</v>
      </c>
      <c r="DZ210">
        <v>3</v>
      </c>
      <c r="EA210">
        <v>24.04</v>
      </c>
      <c r="EB210">
        <v>1.2</v>
      </c>
      <c r="EC210">
        <v>15</v>
      </c>
      <c r="ED210">
        <v>3.5</v>
      </c>
      <c r="EE210">
        <v>3</v>
      </c>
      <c r="EF210">
        <v>1.036</v>
      </c>
      <c r="EG210">
        <v>4</v>
      </c>
      <c r="EH210">
        <v>5.8800000000000008</v>
      </c>
      <c r="EI210">
        <v>-0.32000000000000012</v>
      </c>
      <c r="EJ210">
        <v>2</v>
      </c>
      <c r="EK210">
        <v>3.5</v>
      </c>
      <c r="EL210">
        <v>3</v>
      </c>
      <c r="EM210">
        <v>7.8040000000000003</v>
      </c>
      <c r="EN210">
        <v>4</v>
      </c>
      <c r="EO210">
        <v>25.240000000000002</v>
      </c>
      <c r="EP210">
        <v>0.64000000000000035</v>
      </c>
      <c r="EQ210">
        <v>11</v>
      </c>
      <c r="ER210">
        <v>12.5</v>
      </c>
      <c r="ES210">
        <v>8</v>
      </c>
      <c r="ET210">
        <v>2.1800000000000006</v>
      </c>
      <c r="EU210">
        <v>17</v>
      </c>
      <c r="EV210">
        <v>7.4799999999999995</v>
      </c>
      <c r="EW210">
        <v>-0.43999999999999984</v>
      </c>
      <c r="EX210">
        <v>12</v>
      </c>
      <c r="EY210">
        <v>12.5</v>
      </c>
      <c r="EZ210">
        <v>7</v>
      </c>
      <c r="FA210">
        <v>-1.9200000000000004</v>
      </c>
      <c r="FB210">
        <v>18</v>
      </c>
      <c r="FC210">
        <v>-0.96000000000000019</v>
      </c>
      <c r="FD210">
        <v>-1.24</v>
      </c>
      <c r="FE210">
        <v>24</v>
      </c>
      <c r="FF210">
        <v>21</v>
      </c>
      <c r="FG210">
        <v>26</v>
      </c>
      <c r="FH210">
        <v>-8.3218223965267346E-3</v>
      </c>
      <c r="FI210">
        <v>23</v>
      </c>
      <c r="FJ210">
        <v>-1.5286251779972726E-3</v>
      </c>
      <c r="FK210">
        <v>5</v>
      </c>
      <c r="FL210">
        <v>-3.3080000000000025</v>
      </c>
      <c r="FM210">
        <v>30</v>
      </c>
      <c r="FN210">
        <v>-3.72</v>
      </c>
      <c r="FO210">
        <v>8.0000000000000432E-2</v>
      </c>
      <c r="FP210">
        <v>1.0400000000000005</v>
      </c>
      <c r="FQ210">
        <v>0.84000000000000008</v>
      </c>
      <c r="FR210">
        <v>1.6400000000000006</v>
      </c>
      <c r="FS210">
        <v>7.4799999999999995</v>
      </c>
      <c r="FT210">
        <v>-1.4</v>
      </c>
      <c r="FU210">
        <v>54.36</v>
      </c>
      <c r="FV210">
        <v>47.2</v>
      </c>
      <c r="FW210">
        <v>8.52</v>
      </c>
      <c r="FX210">
        <v>1.5200000000000007</v>
      </c>
      <c r="FY210">
        <v>-2.88</v>
      </c>
      <c r="FZ210">
        <v>21</v>
      </c>
      <c r="GA210">
        <v>-1.4075999999999969</v>
      </c>
      <c r="GB210">
        <v>-1.217439999999999</v>
      </c>
      <c r="GC210">
        <v>38.680000000000007</v>
      </c>
      <c r="GD210">
        <v>1.4075999999999977</v>
      </c>
      <c r="GE210">
        <v>2.7460249999999999</v>
      </c>
      <c r="GF210">
        <v>5.9870000000000001</v>
      </c>
      <c r="GG210">
        <v>24.65</v>
      </c>
      <c r="GH210">
        <v>8.5643999999999991</v>
      </c>
      <c r="GI210">
        <v>4.2</v>
      </c>
      <c r="GJ210">
        <v>1.1000000000000001</v>
      </c>
      <c r="GK210">
        <v>-1.9599999999999997</v>
      </c>
    </row>
    <row r="211" spans="1:193" x14ac:dyDescent="0.2">
      <c r="A211" s="39">
        <v>43786</v>
      </c>
      <c r="B211" t="s">
        <v>259</v>
      </c>
      <c r="C211" s="41" t="s">
        <v>278</v>
      </c>
      <c r="D211" t="s">
        <v>312</v>
      </c>
      <c r="E211">
        <v>21.82</v>
      </c>
      <c r="F211">
        <v>11.7</v>
      </c>
      <c r="G211">
        <v>0</v>
      </c>
      <c r="H211">
        <v>16.600000000000001</v>
      </c>
      <c r="I211">
        <v>10</v>
      </c>
      <c r="J211">
        <v>40.5</v>
      </c>
      <c r="L211" s="4" t="s">
        <v>278</v>
      </c>
      <c r="M211" s="3">
        <v>32</v>
      </c>
      <c r="N211" s="3">
        <v>-9.2216000000000005</v>
      </c>
      <c r="O211" s="3">
        <v>17</v>
      </c>
      <c r="P211" s="3">
        <v>17</v>
      </c>
      <c r="Q211" s="3">
        <v>24</v>
      </c>
      <c r="R211" s="3">
        <v>-4.8476000000000017</v>
      </c>
      <c r="S211" s="3">
        <v>10</v>
      </c>
      <c r="T211" s="3">
        <v>-4.1999999999999975</v>
      </c>
      <c r="U211" s="3">
        <v>-1.6799999999999997</v>
      </c>
      <c r="V211" s="3">
        <v>18</v>
      </c>
      <c r="W211" s="3">
        <v>17.5</v>
      </c>
      <c r="X211" s="3">
        <v>22</v>
      </c>
      <c r="Y211" s="3">
        <v>1.7999999999999989</v>
      </c>
      <c r="Z211" s="3">
        <v>13</v>
      </c>
      <c r="AA211">
        <v>13.959999999999999</v>
      </c>
      <c r="AB211">
        <v>0.3199999999999999</v>
      </c>
      <c r="AC211">
        <v>11</v>
      </c>
      <c r="AD211">
        <v>12.5</v>
      </c>
      <c r="AE211">
        <v>11</v>
      </c>
      <c r="AF211">
        <v>-0.83900000000000041</v>
      </c>
      <c r="AG211">
        <v>14</v>
      </c>
      <c r="AH211">
        <v>8.3000000000000007</v>
      </c>
      <c r="AI211">
        <v>-0.43000000000000005</v>
      </c>
      <c r="AJ211">
        <v>31</v>
      </c>
      <c r="AK211">
        <v>30.5</v>
      </c>
      <c r="AL211">
        <v>31</v>
      </c>
      <c r="AM211">
        <v>-5.9160000000000004</v>
      </c>
      <c r="AN211">
        <v>30</v>
      </c>
      <c r="AO211">
        <v>-20.199999999999996</v>
      </c>
      <c r="AP211">
        <v>-1.48</v>
      </c>
      <c r="AQ211">
        <v>32</v>
      </c>
      <c r="AR211">
        <v>32</v>
      </c>
      <c r="AS211">
        <v>32</v>
      </c>
      <c r="AT211">
        <v>-4.395999999999999</v>
      </c>
      <c r="AU211">
        <v>32</v>
      </c>
      <c r="AV211">
        <v>-15.639999999999997</v>
      </c>
      <c r="AW211">
        <v>-2.2400000000000007</v>
      </c>
      <c r="AX211">
        <v>31</v>
      </c>
      <c r="AY211">
        <v>31.5</v>
      </c>
      <c r="AZ211">
        <v>31</v>
      </c>
      <c r="BA211">
        <v>-11.703999999999999</v>
      </c>
      <c r="BB211">
        <v>32</v>
      </c>
      <c r="BC211">
        <v>-51.04</v>
      </c>
      <c r="BD211">
        <v>-4.08</v>
      </c>
      <c r="BE211">
        <v>9</v>
      </c>
      <c r="BF211">
        <v>8.5</v>
      </c>
      <c r="BG211">
        <v>9</v>
      </c>
      <c r="BH211">
        <v>0.67199999999999949</v>
      </c>
      <c r="BI211">
        <v>0.11999999999999744</v>
      </c>
      <c r="BJ211">
        <v>0.36</v>
      </c>
      <c r="BK211">
        <v>10</v>
      </c>
      <c r="BL211">
        <v>9</v>
      </c>
      <c r="BM211">
        <v>6</v>
      </c>
      <c r="BN211">
        <v>-0.12000000000000011</v>
      </c>
      <c r="BO211">
        <v>12</v>
      </c>
      <c r="BP211">
        <v>0</v>
      </c>
      <c r="BQ211">
        <v>2.04</v>
      </c>
      <c r="BR211">
        <v>22</v>
      </c>
      <c r="BS211">
        <v>20.25</v>
      </c>
      <c r="BT211">
        <v>15</v>
      </c>
      <c r="BU211">
        <v>-3.2912960937462064E-2</v>
      </c>
      <c r="BV211">
        <v>19</v>
      </c>
      <c r="BW211">
        <v>2.2541249377095285E-2</v>
      </c>
      <c r="BX211">
        <v>28</v>
      </c>
      <c r="BY211">
        <v>2.7199999999999975</v>
      </c>
      <c r="BZ211">
        <v>19</v>
      </c>
      <c r="CA211">
        <v>1.4799999999999995</v>
      </c>
      <c r="CB211">
        <v>-2.6400000000000019</v>
      </c>
      <c r="CC211">
        <v>-4.88</v>
      </c>
      <c r="CD211">
        <v>-0.91999999999999993</v>
      </c>
      <c r="CE211">
        <v>-57.719999999999992</v>
      </c>
      <c r="CF211">
        <v>-63.160000000000011</v>
      </c>
      <c r="CG211">
        <v>11.079999999999998</v>
      </c>
      <c r="CH211">
        <v>0.16000000000000006</v>
      </c>
      <c r="CI211">
        <v>-5.8</v>
      </c>
      <c r="CJ211">
        <v>28</v>
      </c>
      <c r="CK211">
        <v>-6.1739999999999977</v>
      </c>
      <c r="CL211">
        <v>-2.416319999999998</v>
      </c>
      <c r="CM211">
        <v>-74.240000000000009</v>
      </c>
      <c r="CN211">
        <v>6.1739999999999977</v>
      </c>
      <c r="CO211">
        <v>-2.8585250000000002</v>
      </c>
      <c r="CP211">
        <v>-11.151</v>
      </c>
      <c r="CQ211">
        <v>-27.539999999999992</v>
      </c>
      <c r="CR211">
        <v>-3.0476000000000028</v>
      </c>
      <c r="CS211">
        <v>9.7600000000000016</v>
      </c>
      <c r="CT211">
        <v>-3.7900000000000005</v>
      </c>
      <c r="CU211">
        <v>-1.3599999999999999</v>
      </c>
      <c r="CV211">
        <v>-0.28638749999999991</v>
      </c>
      <c r="CW211">
        <v>-1.9458499999999996</v>
      </c>
      <c r="CX211" t="s">
        <v>312</v>
      </c>
      <c r="CY211">
        <v>7</v>
      </c>
      <c r="CZ211">
        <v>1.6215999999999995</v>
      </c>
      <c r="DA211">
        <v>22</v>
      </c>
      <c r="DB211">
        <v>21.5</v>
      </c>
      <c r="DC211">
        <v>22</v>
      </c>
      <c r="DD211">
        <v>-1.2959999999999998</v>
      </c>
      <c r="DE211">
        <v>21</v>
      </c>
      <c r="DF211">
        <v>2.6799999999999984</v>
      </c>
      <c r="DG211">
        <v>-0.3199999999999999</v>
      </c>
      <c r="DH211">
        <v>8</v>
      </c>
      <c r="DI211">
        <v>11</v>
      </c>
      <c r="DJ211">
        <v>9</v>
      </c>
      <c r="DK211">
        <v>-0.43600000000000066</v>
      </c>
      <c r="DL211">
        <v>13</v>
      </c>
      <c r="DM211">
        <v>-10.879999999999999</v>
      </c>
      <c r="DN211">
        <v>-0.15999999999999998</v>
      </c>
      <c r="DO211">
        <v>6</v>
      </c>
      <c r="DP211">
        <v>14.5</v>
      </c>
      <c r="DQ211">
        <v>15</v>
      </c>
      <c r="DR211">
        <v>3.2990000000000008</v>
      </c>
      <c r="DS211">
        <v>14</v>
      </c>
      <c r="DT211">
        <v>10.050000000000001</v>
      </c>
      <c r="DU211">
        <v>0.70000000000000018</v>
      </c>
      <c r="DV211">
        <v>4</v>
      </c>
      <c r="DW211">
        <v>5</v>
      </c>
      <c r="DX211">
        <v>3</v>
      </c>
      <c r="DY211">
        <v>5.6039999999999992</v>
      </c>
      <c r="DZ211">
        <v>7</v>
      </c>
      <c r="EA211">
        <v>10.560000000000002</v>
      </c>
      <c r="EB211">
        <v>2.44</v>
      </c>
      <c r="EC211">
        <v>3</v>
      </c>
      <c r="ED211">
        <v>1</v>
      </c>
      <c r="EE211">
        <v>1</v>
      </c>
      <c r="EF211">
        <v>2.8919999999999999</v>
      </c>
      <c r="EG211">
        <v>1</v>
      </c>
      <c r="EH211">
        <v>12.600000000000003</v>
      </c>
      <c r="EI211">
        <v>1.1599999999999997</v>
      </c>
      <c r="EJ211">
        <v>13</v>
      </c>
      <c r="EK211">
        <v>12.5</v>
      </c>
      <c r="EL211">
        <v>13</v>
      </c>
      <c r="EM211">
        <v>-1.4039999999999992</v>
      </c>
      <c r="EN211">
        <v>12</v>
      </c>
      <c r="EO211">
        <v>-9.2399999999999984</v>
      </c>
      <c r="EP211">
        <v>0.6000000000000002</v>
      </c>
      <c r="EQ211">
        <v>18</v>
      </c>
      <c r="ER211">
        <v>16</v>
      </c>
      <c r="ES211">
        <v>20</v>
      </c>
      <c r="ET211">
        <v>-2.3399999999999994</v>
      </c>
      <c r="EU211">
        <v>12</v>
      </c>
      <c r="EV211">
        <v>-2.6800000000000019</v>
      </c>
      <c r="EW211">
        <v>1.48</v>
      </c>
      <c r="EX211">
        <v>11</v>
      </c>
      <c r="EY211">
        <v>12</v>
      </c>
      <c r="EZ211">
        <v>11</v>
      </c>
      <c r="FA211">
        <v>1.64</v>
      </c>
      <c r="FB211">
        <v>13</v>
      </c>
      <c r="FC211">
        <v>0.15999999999999992</v>
      </c>
      <c r="FD211">
        <v>-4.9599999999999991</v>
      </c>
      <c r="FE211">
        <v>7</v>
      </c>
      <c r="FF211">
        <v>12.25</v>
      </c>
      <c r="FG211">
        <v>19</v>
      </c>
      <c r="FH211">
        <v>4.4516385770170329E-2</v>
      </c>
      <c r="FI211">
        <v>13</v>
      </c>
      <c r="FJ211">
        <v>6.8789585251140765E-3</v>
      </c>
      <c r="FK211">
        <v>1</v>
      </c>
      <c r="FL211">
        <v>-12.955999999999994</v>
      </c>
      <c r="FM211">
        <v>16</v>
      </c>
      <c r="FN211">
        <v>0.76000000000000012</v>
      </c>
      <c r="FO211">
        <v>3.2400000000000007</v>
      </c>
      <c r="FP211">
        <v>-3.16</v>
      </c>
      <c r="FQ211">
        <v>-2.44</v>
      </c>
      <c r="FR211">
        <v>-1.9199999999999988</v>
      </c>
      <c r="FS211">
        <v>0.19999999999999893</v>
      </c>
      <c r="FT211">
        <v>-0.83999999999999986</v>
      </c>
      <c r="FU211">
        <v>27.080000000000005</v>
      </c>
      <c r="FV211">
        <v>39.799999999999997</v>
      </c>
      <c r="FW211">
        <v>-7.5200000000000014</v>
      </c>
      <c r="FX211">
        <v>0.87999999999999967</v>
      </c>
      <c r="FY211">
        <v>-6.08</v>
      </c>
      <c r="FZ211">
        <v>8</v>
      </c>
      <c r="GA211">
        <v>3.3536000000000001</v>
      </c>
      <c r="GB211">
        <v>3.0813199999999998</v>
      </c>
      <c r="GC211">
        <v>47.32</v>
      </c>
      <c r="GD211">
        <v>-3.3536000000000001</v>
      </c>
      <c r="GE211">
        <v>1.3730749999999998</v>
      </c>
      <c r="GF211">
        <v>11.795</v>
      </c>
      <c r="GG211">
        <v>33.210000000000008</v>
      </c>
      <c r="GH211">
        <v>-1.7320000000000004</v>
      </c>
      <c r="GI211">
        <v>-8.2000000000000011</v>
      </c>
      <c r="GJ211">
        <v>5.7799999999999994</v>
      </c>
      <c r="GK211">
        <v>-0.47999999999999987</v>
      </c>
    </row>
    <row r="212" spans="1:193" x14ac:dyDescent="0.2">
      <c r="A212" s="39">
        <v>43786</v>
      </c>
      <c r="B212" s="22" t="s">
        <v>259</v>
      </c>
      <c r="C212" s="41" t="s">
        <v>299</v>
      </c>
      <c r="D212" s="22" t="s">
        <v>291</v>
      </c>
      <c r="E212">
        <v>4.4000000000000004</v>
      </c>
      <c r="F212">
        <v>19.899999999999999</v>
      </c>
      <c r="G212">
        <v>8.6999999999999993</v>
      </c>
      <c r="H212">
        <v>1.6</v>
      </c>
      <c r="I212">
        <v>7.5</v>
      </c>
      <c r="J212">
        <v>46.5</v>
      </c>
      <c r="K212" t="s">
        <v>109</v>
      </c>
      <c r="L212" s="1" t="s">
        <v>299</v>
      </c>
      <c r="M212">
        <v>2</v>
      </c>
      <c r="N212">
        <v>6.7496000000000009</v>
      </c>
      <c r="O212">
        <v>28</v>
      </c>
      <c r="P212">
        <v>26</v>
      </c>
      <c r="Q212">
        <v>31</v>
      </c>
      <c r="R212">
        <v>-6.6240000000000006</v>
      </c>
      <c r="S212">
        <v>21</v>
      </c>
      <c r="T212">
        <v>-31</v>
      </c>
      <c r="U212">
        <v>0.55999999999999994</v>
      </c>
      <c r="V212">
        <v>13</v>
      </c>
      <c r="W212">
        <v>13.5</v>
      </c>
      <c r="X212">
        <v>8</v>
      </c>
      <c r="Y212">
        <v>0.80799999999999961</v>
      </c>
      <c r="Z212">
        <v>19</v>
      </c>
      <c r="AA212">
        <v>8.5599999999999987</v>
      </c>
      <c r="AB212">
        <v>0.2</v>
      </c>
      <c r="AC212">
        <v>5</v>
      </c>
      <c r="AD212">
        <v>5.5</v>
      </c>
      <c r="AE212">
        <v>8</v>
      </c>
      <c r="AF212">
        <v>8.3999999999999631E-2</v>
      </c>
      <c r="AG212">
        <v>3</v>
      </c>
      <c r="AH212">
        <v>-2.1599999999999993</v>
      </c>
      <c r="AI212">
        <v>-0.91999999999999993</v>
      </c>
      <c r="AJ212">
        <v>3</v>
      </c>
      <c r="AK212">
        <v>3.5</v>
      </c>
      <c r="AL212">
        <v>2</v>
      </c>
      <c r="AM212">
        <v>12.904000000000002</v>
      </c>
      <c r="AN212">
        <v>5</v>
      </c>
      <c r="AO212">
        <v>36.28</v>
      </c>
      <c r="AP212">
        <v>2.44</v>
      </c>
      <c r="AQ212">
        <v>10</v>
      </c>
      <c r="AR212">
        <v>10</v>
      </c>
      <c r="AS212">
        <v>10</v>
      </c>
      <c r="AT212">
        <v>4.8120000000000003</v>
      </c>
      <c r="AU212">
        <v>10</v>
      </c>
      <c r="AV212">
        <v>21.32</v>
      </c>
      <c r="AW212">
        <v>1.8799999999999997</v>
      </c>
      <c r="AX212">
        <v>9</v>
      </c>
      <c r="AY212">
        <v>10.5</v>
      </c>
      <c r="AZ212">
        <v>13</v>
      </c>
      <c r="BA212">
        <v>6.7800000000000011</v>
      </c>
      <c r="BB212">
        <v>8</v>
      </c>
      <c r="BC212">
        <v>50.36</v>
      </c>
      <c r="BD212">
        <v>-0.24000000000000021</v>
      </c>
      <c r="BE212">
        <v>20</v>
      </c>
      <c r="BF212">
        <v>22</v>
      </c>
      <c r="BG212">
        <v>23</v>
      </c>
      <c r="BH212">
        <v>-5.1319999999999997</v>
      </c>
      <c r="BI212">
        <v>-9.0799999999999983</v>
      </c>
      <c r="BJ212">
        <v>-0.99999999999999978</v>
      </c>
      <c r="BK212">
        <v>23</v>
      </c>
      <c r="BL212">
        <v>22.5</v>
      </c>
      <c r="BM212">
        <v>20</v>
      </c>
      <c r="BN212">
        <v>-1.4799999999999995</v>
      </c>
      <c r="BO212">
        <v>25</v>
      </c>
      <c r="BP212">
        <v>-0.84000000000000008</v>
      </c>
      <c r="BQ212">
        <v>-3.72</v>
      </c>
      <c r="BR212">
        <v>5</v>
      </c>
      <c r="BS212">
        <v>9</v>
      </c>
      <c r="BT212">
        <v>6</v>
      </c>
      <c r="BU212">
        <v>5.8564648081675233E-2</v>
      </c>
      <c r="BV212">
        <v>12</v>
      </c>
      <c r="BW212">
        <v>-5.5739160079465856E-4</v>
      </c>
      <c r="BX212">
        <v>9</v>
      </c>
      <c r="BY212">
        <v>2.4599999999999951</v>
      </c>
      <c r="BZ212">
        <v>9</v>
      </c>
      <c r="CA212">
        <v>-1.24</v>
      </c>
      <c r="CB212">
        <v>1.8399999999999976</v>
      </c>
      <c r="CC212">
        <v>0.6</v>
      </c>
      <c r="CD212">
        <v>-0.08</v>
      </c>
      <c r="CE212">
        <v>32.359999999999992</v>
      </c>
      <c r="CF212">
        <v>56.320000000000007</v>
      </c>
      <c r="CG212">
        <v>-19.399999999999999</v>
      </c>
      <c r="CH212">
        <v>-2.16</v>
      </c>
      <c r="CI212">
        <v>-2.4000000000000004</v>
      </c>
      <c r="CJ212">
        <v>1</v>
      </c>
      <c r="CK212">
        <v>12.565600000000002</v>
      </c>
      <c r="CL212">
        <v>6.7915200000000002</v>
      </c>
      <c r="CM212">
        <v>75.72</v>
      </c>
      <c r="CN212">
        <v>-12.565600000000002</v>
      </c>
      <c r="CO212">
        <v>1.5152000000000005</v>
      </c>
      <c r="CP212">
        <v>17.8</v>
      </c>
      <c r="CQ212">
        <v>55.440000000000005</v>
      </c>
      <c r="CR212">
        <v>-5.8160000000000007</v>
      </c>
      <c r="CS212">
        <v>-22.44</v>
      </c>
      <c r="CT212">
        <v>2.3999999999999995</v>
      </c>
      <c r="CU212">
        <v>0.76</v>
      </c>
      <c r="CV212">
        <v>0.87498749999999992</v>
      </c>
      <c r="CW212">
        <v>2.7460249999999999</v>
      </c>
      <c r="CX212" t="s">
        <v>291</v>
      </c>
      <c r="CY212">
        <v>19</v>
      </c>
      <c r="CZ212">
        <v>-1.3008000000000006</v>
      </c>
      <c r="DA212">
        <v>6</v>
      </c>
      <c r="DB212">
        <v>8</v>
      </c>
      <c r="DC212">
        <v>4</v>
      </c>
      <c r="DD212">
        <v>1.2003999999999995</v>
      </c>
      <c r="DE212">
        <v>12</v>
      </c>
      <c r="DF212">
        <v>-0.63999999999999913</v>
      </c>
      <c r="DG212">
        <v>-0.59999999999999987</v>
      </c>
      <c r="DH212">
        <v>22</v>
      </c>
      <c r="DI212">
        <v>19</v>
      </c>
      <c r="DJ212">
        <v>24</v>
      </c>
      <c r="DK212">
        <v>-1.0039999999999998</v>
      </c>
      <c r="DL212">
        <v>14</v>
      </c>
      <c r="DM212">
        <v>-1.2399999999999998</v>
      </c>
      <c r="DN212">
        <v>0.64</v>
      </c>
      <c r="DO212">
        <v>26</v>
      </c>
      <c r="DP212">
        <v>29.5</v>
      </c>
      <c r="DQ212">
        <v>30</v>
      </c>
      <c r="DR212">
        <v>-5.863999999999999</v>
      </c>
      <c r="DS212">
        <v>29</v>
      </c>
      <c r="DT212">
        <v>-12.879999999999999</v>
      </c>
      <c r="DU212">
        <v>-1.2400000000000002</v>
      </c>
      <c r="DV212">
        <v>15</v>
      </c>
      <c r="DW212">
        <v>14</v>
      </c>
      <c r="DX212">
        <v>13</v>
      </c>
      <c r="DY212">
        <v>-0.79200000000000093</v>
      </c>
      <c r="DZ212">
        <v>15</v>
      </c>
      <c r="EA212">
        <v>-7.080000000000001</v>
      </c>
      <c r="EB212">
        <v>-1.5999999999999999</v>
      </c>
      <c r="EC212">
        <v>19</v>
      </c>
      <c r="ED212">
        <v>10.5</v>
      </c>
      <c r="EE212">
        <v>9</v>
      </c>
      <c r="EF212">
        <v>-0.34000000000000058</v>
      </c>
      <c r="EG212">
        <v>12</v>
      </c>
      <c r="EH212">
        <v>1.4000000000000008</v>
      </c>
      <c r="EI212">
        <v>0.15999999999999998</v>
      </c>
      <c r="EJ212">
        <v>8</v>
      </c>
      <c r="EK212">
        <v>8.5</v>
      </c>
      <c r="EL212">
        <v>10</v>
      </c>
      <c r="EM212">
        <v>4.1040000000000019</v>
      </c>
      <c r="EN212">
        <v>7</v>
      </c>
      <c r="EO212">
        <v>20.640000000000004</v>
      </c>
      <c r="EP212">
        <v>0.28000000000000025</v>
      </c>
      <c r="EQ212">
        <v>27</v>
      </c>
      <c r="ER212">
        <v>26</v>
      </c>
      <c r="ES212">
        <v>22</v>
      </c>
      <c r="ET212">
        <v>-2.800000000000118E-2</v>
      </c>
      <c r="EU212">
        <v>30</v>
      </c>
      <c r="EV212">
        <v>-11.320000000000002</v>
      </c>
      <c r="EW212">
        <v>-0.63999999999999968</v>
      </c>
      <c r="EX212">
        <v>7</v>
      </c>
      <c r="EY212">
        <v>7</v>
      </c>
      <c r="EZ212">
        <v>10</v>
      </c>
      <c r="FA212">
        <v>0.16000000000000014</v>
      </c>
      <c r="FB212">
        <v>4</v>
      </c>
      <c r="FC212">
        <v>-4.4408920985006264E-17</v>
      </c>
      <c r="FD212">
        <v>-4.08</v>
      </c>
      <c r="FE212">
        <v>15</v>
      </c>
      <c r="FF212">
        <v>15.75</v>
      </c>
      <c r="FG212">
        <v>7</v>
      </c>
      <c r="FH212">
        <v>-1.10062807038527E-2</v>
      </c>
      <c r="FI212">
        <v>7</v>
      </c>
      <c r="FJ212">
        <v>5.4145879874209772E-4</v>
      </c>
      <c r="FK212">
        <v>28</v>
      </c>
      <c r="FL212">
        <v>3.8360000000000012</v>
      </c>
      <c r="FM212">
        <v>21</v>
      </c>
      <c r="FN212">
        <v>-0.59999999999999987</v>
      </c>
      <c r="FO212">
        <v>-3.2800000000000002</v>
      </c>
      <c r="FP212">
        <v>-1.36</v>
      </c>
      <c r="FQ212">
        <v>1.6800000000000002</v>
      </c>
      <c r="FR212">
        <v>-3.1199999999999974</v>
      </c>
      <c r="FS212">
        <v>-0.52000000000000024</v>
      </c>
      <c r="FT212">
        <v>-1.1999999999999997</v>
      </c>
      <c r="FU212">
        <v>-17.480000000000008</v>
      </c>
      <c r="FV212">
        <v>-23.120000000000005</v>
      </c>
      <c r="FW212">
        <v>-5.9200000000000017</v>
      </c>
      <c r="FX212">
        <v>-7.9999999999999988E-2</v>
      </c>
      <c r="FY212">
        <v>11.640000000000002</v>
      </c>
      <c r="FZ212">
        <v>22</v>
      </c>
      <c r="GA212">
        <v>-1.4972000000000001</v>
      </c>
      <c r="GB212">
        <v>-1.7631600000000001</v>
      </c>
      <c r="GC212">
        <v>-17.200000000000003</v>
      </c>
      <c r="GD212">
        <v>1.4972000000000003</v>
      </c>
      <c r="GE212">
        <v>-0.9960500000000001</v>
      </c>
      <c r="GF212">
        <v>-6.9960000000000004</v>
      </c>
      <c r="GG212">
        <v>-18.559999999999999</v>
      </c>
      <c r="GH212">
        <v>0.19639999999999969</v>
      </c>
      <c r="GI212">
        <v>-1.879999999999999</v>
      </c>
      <c r="GJ212">
        <v>-3.3199999999999994</v>
      </c>
      <c r="GK212">
        <v>4.0000000000000147E-2</v>
      </c>
    </row>
    <row r="213" spans="1:193" x14ac:dyDescent="0.2">
      <c r="A213" s="39">
        <v>43786</v>
      </c>
      <c r="B213" s="22" t="s">
        <v>259</v>
      </c>
      <c r="C213" s="41" t="s">
        <v>311</v>
      </c>
      <c r="D213" s="22" t="s">
        <v>305</v>
      </c>
      <c r="E213">
        <v>15</v>
      </c>
      <c r="F213">
        <v>6.7</v>
      </c>
      <c r="G213">
        <v>5.5</v>
      </c>
      <c r="H213">
        <v>5.3</v>
      </c>
      <c r="I213">
        <v>4</v>
      </c>
      <c r="J213">
        <v>51</v>
      </c>
      <c r="L213" s="1" t="s">
        <v>311</v>
      </c>
      <c r="M213">
        <v>7</v>
      </c>
      <c r="N213">
        <v>2.7991999999999999</v>
      </c>
      <c r="O213">
        <v>22</v>
      </c>
      <c r="P213">
        <v>21.5</v>
      </c>
      <c r="Q213">
        <v>30</v>
      </c>
      <c r="R213">
        <v>-2.7795999999999998</v>
      </c>
      <c r="S213">
        <v>13</v>
      </c>
      <c r="T213">
        <v>23.12</v>
      </c>
      <c r="U213">
        <v>-3</v>
      </c>
      <c r="V213">
        <v>8</v>
      </c>
      <c r="W213">
        <v>9.5</v>
      </c>
      <c r="X213">
        <v>3</v>
      </c>
      <c r="Y213">
        <v>2.8400000000000007</v>
      </c>
      <c r="Z213">
        <v>16</v>
      </c>
      <c r="AA213">
        <v>2.5200000000000005</v>
      </c>
      <c r="AB213">
        <v>0.6</v>
      </c>
      <c r="AC213">
        <v>2</v>
      </c>
      <c r="AD213">
        <v>2.5</v>
      </c>
      <c r="AE213">
        <v>1</v>
      </c>
      <c r="AF213">
        <v>7.9080000000000013</v>
      </c>
      <c r="AG213">
        <v>4</v>
      </c>
      <c r="AH213">
        <v>18.68</v>
      </c>
      <c r="AI213">
        <v>3.78</v>
      </c>
      <c r="AJ213">
        <v>15</v>
      </c>
      <c r="AK213">
        <v>15</v>
      </c>
      <c r="AL213">
        <v>16</v>
      </c>
      <c r="AM213">
        <v>-1.31</v>
      </c>
      <c r="AN213">
        <v>14</v>
      </c>
      <c r="AO213">
        <v>-3.7999999999999985</v>
      </c>
      <c r="AP213">
        <v>-0.33999999999999986</v>
      </c>
      <c r="AQ213">
        <v>21</v>
      </c>
      <c r="AR213">
        <v>21</v>
      </c>
      <c r="AS213">
        <v>21</v>
      </c>
      <c r="AT213">
        <v>0.21999999999999992</v>
      </c>
      <c r="AU213">
        <v>21</v>
      </c>
      <c r="AV213">
        <v>-1.679999999999999</v>
      </c>
      <c r="AW213">
        <v>-0.67999999999999994</v>
      </c>
      <c r="AX213">
        <v>17</v>
      </c>
      <c r="AY213">
        <v>16.5</v>
      </c>
      <c r="AZ213">
        <v>21</v>
      </c>
      <c r="BA213">
        <v>-2.2400000000000011</v>
      </c>
      <c r="BB213">
        <v>12</v>
      </c>
      <c r="BC213">
        <v>-3.2</v>
      </c>
      <c r="BD213">
        <v>1.1199999999999997</v>
      </c>
      <c r="BE213">
        <v>11</v>
      </c>
      <c r="BF213">
        <v>12</v>
      </c>
      <c r="BG213">
        <v>11</v>
      </c>
      <c r="BH213">
        <v>3.4</v>
      </c>
      <c r="BI213">
        <v>15.439999999999998</v>
      </c>
      <c r="BJ213">
        <v>0.6</v>
      </c>
      <c r="BK213">
        <v>22</v>
      </c>
      <c r="BL213">
        <v>20.5</v>
      </c>
      <c r="BM213">
        <v>22</v>
      </c>
      <c r="BN213">
        <v>1.3199999999999998</v>
      </c>
      <c r="BO213">
        <v>19</v>
      </c>
      <c r="BP213">
        <v>0.55999999999999994</v>
      </c>
      <c r="BQ213">
        <v>-1.2</v>
      </c>
      <c r="BR213">
        <v>20</v>
      </c>
      <c r="BS213">
        <v>17.5</v>
      </c>
      <c r="BT213">
        <v>1</v>
      </c>
      <c r="BU213">
        <v>-2.1861064242943873E-2</v>
      </c>
      <c r="BV213">
        <v>24</v>
      </c>
      <c r="BW213">
        <v>-1.2799478491069794E-2</v>
      </c>
      <c r="BX213">
        <v>15</v>
      </c>
      <c r="BY213">
        <v>-1.9120000000000048</v>
      </c>
      <c r="BZ213">
        <v>30</v>
      </c>
      <c r="CA213">
        <v>-2.2799999999999998</v>
      </c>
      <c r="CB213">
        <v>4.68</v>
      </c>
      <c r="CC213">
        <v>2.72</v>
      </c>
      <c r="CD213">
        <v>-0.83999999999999986</v>
      </c>
      <c r="CE213">
        <v>47.760000000000005</v>
      </c>
      <c r="CF213">
        <v>9.2800000000000011</v>
      </c>
      <c r="CG213">
        <v>25.679999999999996</v>
      </c>
      <c r="CH213">
        <v>-3.28</v>
      </c>
      <c r="CI213">
        <v>16.080000000000002</v>
      </c>
      <c r="CJ213">
        <v>12</v>
      </c>
      <c r="CK213">
        <v>2.7387999999999986</v>
      </c>
      <c r="CL213">
        <v>2.5732399999999993</v>
      </c>
      <c r="CM213">
        <v>-16.399999999999995</v>
      </c>
      <c r="CN213">
        <v>-2.738799999999999</v>
      </c>
      <c r="CO213">
        <v>1.7997000000000003</v>
      </c>
      <c r="CP213">
        <v>6.8180000000000005</v>
      </c>
      <c r="CQ213">
        <v>13.200000000000001</v>
      </c>
      <c r="CR213">
        <v>6.0400000000000897E-2</v>
      </c>
      <c r="CS213">
        <v>25.64</v>
      </c>
      <c r="CT213">
        <v>3.36</v>
      </c>
      <c r="CU213">
        <v>-2.4</v>
      </c>
      <c r="CV213">
        <v>-0.75787500000000008</v>
      </c>
      <c r="CW213">
        <v>0.77239999999999975</v>
      </c>
      <c r="CX213" t="s">
        <v>305</v>
      </c>
      <c r="CY213">
        <v>32</v>
      </c>
      <c r="CZ213">
        <v>-6.039200000000001</v>
      </c>
      <c r="DA213">
        <v>4</v>
      </c>
      <c r="DB213">
        <v>5.5</v>
      </c>
      <c r="DC213">
        <v>6</v>
      </c>
      <c r="DD213">
        <v>-3.2320000000000002</v>
      </c>
      <c r="DE213">
        <v>5</v>
      </c>
      <c r="DF213">
        <v>-15.239999999999998</v>
      </c>
      <c r="DG213">
        <v>0.15999999999999998</v>
      </c>
      <c r="DH213">
        <v>27</v>
      </c>
      <c r="DI213">
        <v>24.5</v>
      </c>
      <c r="DJ213">
        <v>29</v>
      </c>
      <c r="DK213">
        <v>-1.0319999999999996</v>
      </c>
      <c r="DL213">
        <v>20</v>
      </c>
      <c r="DM213">
        <v>4.8</v>
      </c>
      <c r="DN213">
        <v>-1</v>
      </c>
      <c r="DO213">
        <v>20</v>
      </c>
      <c r="DP213">
        <v>25</v>
      </c>
      <c r="DQ213">
        <v>27</v>
      </c>
      <c r="DR213">
        <v>-2.0360000000000005</v>
      </c>
      <c r="DS213">
        <v>23</v>
      </c>
      <c r="DT213">
        <v>-2.6399999999999979</v>
      </c>
      <c r="DU213">
        <v>-0.6399999999999999</v>
      </c>
      <c r="DV213">
        <v>16</v>
      </c>
      <c r="DW213">
        <v>16</v>
      </c>
      <c r="DX213">
        <v>12</v>
      </c>
      <c r="DY213">
        <v>0.41000000000000031</v>
      </c>
      <c r="DZ213">
        <v>20</v>
      </c>
      <c r="EA213">
        <v>0.74000000000000055</v>
      </c>
      <c r="EB213">
        <v>2.04</v>
      </c>
      <c r="EC213">
        <v>22</v>
      </c>
      <c r="ED213">
        <v>29</v>
      </c>
      <c r="EE213">
        <v>31</v>
      </c>
      <c r="EF213">
        <v>-2.7159999999999993</v>
      </c>
      <c r="EG213">
        <v>27</v>
      </c>
      <c r="EH213">
        <v>-11.52</v>
      </c>
      <c r="EI213">
        <v>-0.76000000000000012</v>
      </c>
      <c r="EJ213">
        <v>26</v>
      </c>
      <c r="EK213">
        <v>26.5</v>
      </c>
      <c r="EL213">
        <v>23</v>
      </c>
      <c r="EM213">
        <v>0.60399999999999954</v>
      </c>
      <c r="EN213">
        <v>30</v>
      </c>
      <c r="EO213">
        <v>-0.19999999999999715</v>
      </c>
      <c r="EP213">
        <v>-4.4799999999999995</v>
      </c>
      <c r="EQ213">
        <v>31</v>
      </c>
      <c r="ER213">
        <v>30.5</v>
      </c>
      <c r="ES213">
        <v>30</v>
      </c>
      <c r="ET213">
        <v>-2.82</v>
      </c>
      <c r="EU213">
        <v>31</v>
      </c>
      <c r="EV213">
        <v>-11.56</v>
      </c>
      <c r="EW213">
        <v>-0.84000000000000008</v>
      </c>
      <c r="EX213">
        <v>23</v>
      </c>
      <c r="EY213">
        <v>22.5</v>
      </c>
      <c r="EZ213">
        <v>27</v>
      </c>
      <c r="FA213">
        <v>-0.84000000000000019</v>
      </c>
      <c r="FB213">
        <v>18</v>
      </c>
      <c r="FC213">
        <v>0</v>
      </c>
      <c r="FD213">
        <v>-5.32</v>
      </c>
      <c r="FE213">
        <v>5</v>
      </c>
      <c r="FF213">
        <v>9.75</v>
      </c>
      <c r="FG213">
        <v>15</v>
      </c>
      <c r="FH213">
        <v>1.7893576589196426E-2</v>
      </c>
      <c r="FI213">
        <v>8</v>
      </c>
      <c r="FJ213">
        <v>1.2117779732636654E-3</v>
      </c>
      <c r="FK213">
        <v>15</v>
      </c>
      <c r="FL213">
        <v>-14</v>
      </c>
      <c r="FM213">
        <v>1</v>
      </c>
      <c r="FN213">
        <v>4.9999999999999982</v>
      </c>
      <c r="FO213">
        <v>-0.7600000000000009</v>
      </c>
      <c r="FP213">
        <v>-1.7600000000000009</v>
      </c>
      <c r="FQ213">
        <v>-1.3599999999999999</v>
      </c>
      <c r="FR213">
        <v>-4.3199999999999958</v>
      </c>
      <c r="FS213">
        <v>-5.92</v>
      </c>
      <c r="FT213">
        <v>-0.36000000000000015</v>
      </c>
      <c r="FU213">
        <v>-45.839999999999989</v>
      </c>
      <c r="FV213">
        <v>-26.680000000000014</v>
      </c>
      <c r="FW213">
        <v>-10.880000000000004</v>
      </c>
      <c r="FX213">
        <v>8.0000000000000432E-2</v>
      </c>
      <c r="FY213">
        <v>-8.36</v>
      </c>
      <c r="FZ213">
        <v>23</v>
      </c>
      <c r="GA213">
        <v>-1.7752000000000012</v>
      </c>
      <c r="GB213">
        <v>-0.50824000000000069</v>
      </c>
      <c r="GC213">
        <v>-15.80000000000001</v>
      </c>
      <c r="GD213">
        <v>1.7752000000000017</v>
      </c>
      <c r="GE213">
        <v>-2.2881499999999999</v>
      </c>
      <c r="GF213">
        <v>-4.3419999999999996</v>
      </c>
      <c r="GG213">
        <v>-13.419999999999996</v>
      </c>
      <c r="GH213">
        <v>-4.2639999999999993</v>
      </c>
      <c r="GI213">
        <v>-10.439999999999998</v>
      </c>
      <c r="GJ213">
        <v>-0.20000000000000007</v>
      </c>
      <c r="GK213">
        <v>-0.84000000000000008</v>
      </c>
    </row>
    <row r="214" spans="1:193" x14ac:dyDescent="0.2">
      <c r="A214" s="39">
        <v>43786</v>
      </c>
      <c r="B214" s="22" t="s">
        <v>259</v>
      </c>
      <c r="C214" s="41" t="s">
        <v>289</v>
      </c>
      <c r="D214" s="22" t="s">
        <v>297</v>
      </c>
      <c r="E214" s="3">
        <v>3.7</v>
      </c>
      <c r="F214" s="3">
        <v>13.8</v>
      </c>
      <c r="G214" s="3">
        <v>3.9</v>
      </c>
      <c r="H214">
        <v>6.7</v>
      </c>
      <c r="I214">
        <v>-2.5</v>
      </c>
      <c r="J214">
        <v>41.5</v>
      </c>
      <c r="K214" t="s">
        <v>110</v>
      </c>
      <c r="L214" s="1" t="s">
        <v>289</v>
      </c>
      <c r="M214">
        <v>17</v>
      </c>
      <c r="N214">
        <v>-1.1967999999999996</v>
      </c>
      <c r="O214">
        <v>11</v>
      </c>
      <c r="P214">
        <v>11.5</v>
      </c>
      <c r="Q214">
        <v>19</v>
      </c>
      <c r="R214">
        <v>3.6359999999999992</v>
      </c>
      <c r="S214">
        <v>4</v>
      </c>
      <c r="T214">
        <v>37.720000000000006</v>
      </c>
      <c r="U214">
        <v>-1.9600000000000002</v>
      </c>
      <c r="V214">
        <v>23</v>
      </c>
      <c r="W214">
        <v>20.5</v>
      </c>
      <c r="X214">
        <v>18</v>
      </c>
      <c r="Y214">
        <v>0.44799999999999968</v>
      </c>
      <c r="Z214">
        <v>23</v>
      </c>
      <c r="AA214">
        <v>-7.76</v>
      </c>
      <c r="AB214">
        <v>1.0799999999999996</v>
      </c>
      <c r="AC214">
        <v>18</v>
      </c>
      <c r="AD214">
        <v>18</v>
      </c>
      <c r="AE214">
        <v>21</v>
      </c>
      <c r="AF214">
        <v>-2.1999999999999988</v>
      </c>
      <c r="AG214">
        <v>15</v>
      </c>
      <c r="AH214">
        <v>-8.2500000000000036</v>
      </c>
      <c r="AI214">
        <v>0.25</v>
      </c>
      <c r="AJ214">
        <v>18</v>
      </c>
      <c r="AK214">
        <v>18.5</v>
      </c>
      <c r="AL214">
        <v>14</v>
      </c>
      <c r="AM214">
        <v>1.1650000000000005</v>
      </c>
      <c r="AN214">
        <v>23</v>
      </c>
      <c r="AO214">
        <v>0.25</v>
      </c>
      <c r="AP214">
        <v>-1.6999999999999997</v>
      </c>
      <c r="AQ214">
        <v>22</v>
      </c>
      <c r="AR214">
        <v>22</v>
      </c>
      <c r="AS214">
        <v>22</v>
      </c>
      <c r="AT214">
        <v>-1.085</v>
      </c>
      <c r="AU214">
        <v>22</v>
      </c>
      <c r="AV214">
        <v>-11.85</v>
      </c>
      <c r="AW214">
        <v>-0.19999999999999996</v>
      </c>
      <c r="AX214">
        <v>12</v>
      </c>
      <c r="AY214">
        <v>12</v>
      </c>
      <c r="AZ214">
        <v>14</v>
      </c>
      <c r="BA214">
        <v>3.0959999999999992</v>
      </c>
      <c r="BB214">
        <v>10</v>
      </c>
      <c r="BC214">
        <v>18.96</v>
      </c>
      <c r="BD214">
        <v>1.2400000000000002</v>
      </c>
      <c r="BE214">
        <v>7</v>
      </c>
      <c r="BF214">
        <v>6.5</v>
      </c>
      <c r="BG214">
        <v>8</v>
      </c>
      <c r="BH214">
        <v>2.3759999999999999</v>
      </c>
      <c r="BI214">
        <v>15</v>
      </c>
      <c r="BJ214">
        <v>1.6799999999999997</v>
      </c>
      <c r="BK214">
        <v>19</v>
      </c>
      <c r="BL214">
        <v>19.5</v>
      </c>
      <c r="BM214">
        <v>24</v>
      </c>
      <c r="BN214">
        <v>-0.31999999999999995</v>
      </c>
      <c r="BO214">
        <v>15</v>
      </c>
      <c r="BP214">
        <v>-0.12000000000000002</v>
      </c>
      <c r="BQ214">
        <v>-0.56000000000000016</v>
      </c>
      <c r="BR214">
        <v>3</v>
      </c>
      <c r="BS214">
        <v>7.75</v>
      </c>
      <c r="BT214">
        <v>4</v>
      </c>
      <c r="BU214">
        <v>0.11544767095331565</v>
      </c>
      <c r="BV214">
        <v>8</v>
      </c>
      <c r="BW214">
        <v>1.7540622060725319E-2</v>
      </c>
      <c r="BX214">
        <v>13</v>
      </c>
      <c r="BY214">
        <v>9.6159999999999961</v>
      </c>
      <c r="BZ214">
        <v>6</v>
      </c>
      <c r="CA214">
        <v>0.44000000000000006</v>
      </c>
      <c r="CB214">
        <v>2.72</v>
      </c>
      <c r="CC214">
        <v>1.9599999999999997</v>
      </c>
      <c r="CD214">
        <v>-0.36</v>
      </c>
      <c r="CE214">
        <v>13.920000000000005</v>
      </c>
      <c r="CF214">
        <v>-20.72</v>
      </c>
      <c r="CG214">
        <v>33.120000000000005</v>
      </c>
      <c r="CH214">
        <v>5.7200000000000006</v>
      </c>
      <c r="CI214">
        <v>-4.2000000000000011</v>
      </c>
      <c r="CJ214">
        <v>25</v>
      </c>
      <c r="CK214">
        <v>-5.2807999999999984</v>
      </c>
      <c r="CL214">
        <v>-2.2301599999999988</v>
      </c>
      <c r="CM214">
        <v>-53.84</v>
      </c>
      <c r="CN214">
        <v>5.2807999999999984</v>
      </c>
      <c r="CO214">
        <v>0.3529000000000001</v>
      </c>
      <c r="CP214">
        <v>-2.1199999999999983</v>
      </c>
      <c r="CQ214">
        <v>-19.850000000000001</v>
      </c>
      <c r="CR214">
        <v>4.0839999999999987</v>
      </c>
      <c r="CS214">
        <v>29.960000000000008</v>
      </c>
      <c r="CT214">
        <v>3.0000000000000027E-2</v>
      </c>
      <c r="CU214">
        <v>-0.88000000000000056</v>
      </c>
      <c r="CV214">
        <v>-0.11206250000000036</v>
      </c>
      <c r="CW214">
        <v>-0.20695000000000013</v>
      </c>
      <c r="CX214" t="s">
        <v>297</v>
      </c>
      <c r="CY214">
        <v>20</v>
      </c>
      <c r="CZ214">
        <v>-0.49840000000000162</v>
      </c>
      <c r="DA214">
        <v>1</v>
      </c>
      <c r="DB214">
        <v>1.5</v>
      </c>
      <c r="DC214">
        <v>2</v>
      </c>
      <c r="DD214">
        <v>0.45599999999999918</v>
      </c>
      <c r="DE214">
        <v>1</v>
      </c>
      <c r="DF214">
        <v>14.280000000000005</v>
      </c>
      <c r="DG214">
        <v>-0.55999999999999983</v>
      </c>
      <c r="DH214">
        <v>13</v>
      </c>
      <c r="DI214">
        <v>14.5</v>
      </c>
      <c r="DJ214">
        <v>11</v>
      </c>
      <c r="DK214">
        <v>3.1360000000000001</v>
      </c>
      <c r="DL214">
        <v>18</v>
      </c>
      <c r="DM214">
        <v>-3.5200000000000009</v>
      </c>
      <c r="DN214">
        <v>0.55999999999999994</v>
      </c>
      <c r="DO214">
        <v>12</v>
      </c>
      <c r="DP214">
        <v>13</v>
      </c>
      <c r="DQ214">
        <v>11</v>
      </c>
      <c r="DR214">
        <v>-4.6400000000000023</v>
      </c>
      <c r="DS214">
        <v>15</v>
      </c>
      <c r="DT214">
        <v>-19.899999999999999</v>
      </c>
      <c r="DU214">
        <v>0.85000000000000009</v>
      </c>
      <c r="DV214">
        <v>26</v>
      </c>
      <c r="DW214">
        <v>26.5</v>
      </c>
      <c r="DX214">
        <v>28</v>
      </c>
      <c r="DY214">
        <v>0.64500000000000002</v>
      </c>
      <c r="DZ214">
        <v>25</v>
      </c>
      <c r="EA214">
        <v>8.0499999999999989</v>
      </c>
      <c r="EB214">
        <v>-0.29999999999999982</v>
      </c>
      <c r="EC214">
        <v>1</v>
      </c>
      <c r="ED214">
        <v>5</v>
      </c>
      <c r="EE214">
        <v>5</v>
      </c>
      <c r="EF214">
        <v>2.62</v>
      </c>
      <c r="EG214">
        <v>5</v>
      </c>
      <c r="EH214">
        <v>16.899999999999999</v>
      </c>
      <c r="EI214">
        <v>0.34999999999999987</v>
      </c>
      <c r="EJ214">
        <v>27</v>
      </c>
      <c r="EK214">
        <v>27</v>
      </c>
      <c r="EL214">
        <v>29</v>
      </c>
      <c r="EM214">
        <v>-0.95999999999999941</v>
      </c>
      <c r="EN214">
        <v>25</v>
      </c>
      <c r="EO214">
        <v>0.40000000000000285</v>
      </c>
      <c r="EP214">
        <v>-1.1199999999999997</v>
      </c>
      <c r="EQ214">
        <v>26</v>
      </c>
      <c r="ER214">
        <v>25.5</v>
      </c>
      <c r="ES214">
        <v>22</v>
      </c>
      <c r="ET214">
        <v>-1.1360000000000001</v>
      </c>
      <c r="EU214">
        <v>29</v>
      </c>
      <c r="EV214">
        <v>-18.560000000000002</v>
      </c>
      <c r="EW214">
        <v>-2.44</v>
      </c>
      <c r="EX214">
        <v>26</v>
      </c>
      <c r="EY214">
        <v>25</v>
      </c>
      <c r="EZ214">
        <v>21</v>
      </c>
      <c r="FA214">
        <v>-0.72</v>
      </c>
      <c r="FB214">
        <v>29</v>
      </c>
      <c r="FC214">
        <v>-0.52</v>
      </c>
      <c r="FD214">
        <v>2.3199999999999998</v>
      </c>
      <c r="FE214">
        <v>20</v>
      </c>
      <c r="FF214">
        <v>16.75</v>
      </c>
      <c r="FG214">
        <v>21</v>
      </c>
      <c r="FH214">
        <v>3.0336658561128237E-2</v>
      </c>
      <c r="FI214">
        <v>5</v>
      </c>
      <c r="FJ214">
        <v>1.8321588381752189E-2</v>
      </c>
      <c r="FK214">
        <v>32</v>
      </c>
      <c r="FL214">
        <v>-3.0320000000000009</v>
      </c>
      <c r="FM214">
        <v>9</v>
      </c>
      <c r="FN214">
        <v>0.87999999999999989</v>
      </c>
      <c r="FO214">
        <v>-3.2000000000000015</v>
      </c>
      <c r="FP214">
        <v>-1.6799999999999997</v>
      </c>
      <c r="FQ214">
        <v>0.56000000000000016</v>
      </c>
      <c r="FR214">
        <v>-3.1999999999999971</v>
      </c>
      <c r="FS214">
        <v>1.2</v>
      </c>
      <c r="FT214">
        <v>-1.1599999999999999</v>
      </c>
      <c r="FU214">
        <v>-7.8</v>
      </c>
      <c r="FV214">
        <v>-22.560000000000002</v>
      </c>
      <c r="FW214">
        <v>7.4799999999999986</v>
      </c>
      <c r="FX214">
        <v>4.6400000000000006</v>
      </c>
      <c r="FY214">
        <v>2.6400000000000006</v>
      </c>
      <c r="FZ214">
        <v>26</v>
      </c>
      <c r="GA214">
        <v>-4.0904000000000007</v>
      </c>
      <c r="GB214">
        <v>-2.3978800000000007</v>
      </c>
      <c r="GC214">
        <v>-30.04</v>
      </c>
      <c r="GD214">
        <v>4.0904000000000007</v>
      </c>
      <c r="GE214">
        <v>-1.7175000000000579E-2</v>
      </c>
      <c r="GF214">
        <v>-1.3750000000000022</v>
      </c>
      <c r="GG214">
        <v>5.0499999999999989</v>
      </c>
      <c r="GH214">
        <v>3.5919999999999992</v>
      </c>
      <c r="GI214">
        <v>10.760000000000003</v>
      </c>
      <c r="GJ214">
        <v>-1.5399999999999998</v>
      </c>
      <c r="GK214">
        <v>0</v>
      </c>
    </row>
    <row r="215" spans="1:193" x14ac:dyDescent="0.2">
      <c r="A215" s="39">
        <v>43786</v>
      </c>
      <c r="B215" s="22" t="s">
        <v>259</v>
      </c>
      <c r="C215" s="41" t="s">
        <v>297</v>
      </c>
      <c r="D215" s="22" t="s">
        <v>289</v>
      </c>
      <c r="E215">
        <v>7.2</v>
      </c>
      <c r="F215">
        <v>33.4</v>
      </c>
      <c r="G215">
        <v>11.8</v>
      </c>
      <c r="H215">
        <f>1.9+1.5</f>
        <v>3.4</v>
      </c>
      <c r="I215">
        <v>2.5</v>
      </c>
      <c r="J215">
        <v>41.5</v>
      </c>
      <c r="K215" t="s">
        <v>110</v>
      </c>
      <c r="L215" s="1" t="s">
        <v>297</v>
      </c>
      <c r="M215">
        <v>26</v>
      </c>
      <c r="N215">
        <v>-3.7008000000000001</v>
      </c>
      <c r="O215">
        <v>10</v>
      </c>
      <c r="P215">
        <v>9.5</v>
      </c>
      <c r="Q215">
        <v>3</v>
      </c>
      <c r="R215">
        <v>4.3570000000000011</v>
      </c>
      <c r="S215">
        <v>16</v>
      </c>
      <c r="T215">
        <v>25.190000000000005</v>
      </c>
      <c r="U215">
        <v>1.8399999999999999</v>
      </c>
      <c r="V215">
        <v>28</v>
      </c>
      <c r="W215">
        <v>28.5</v>
      </c>
      <c r="X215">
        <v>26</v>
      </c>
      <c r="Y215">
        <v>-3.2280000000000002</v>
      </c>
      <c r="Z215">
        <v>31</v>
      </c>
      <c r="AA215">
        <v>-19.16</v>
      </c>
      <c r="AB215">
        <v>-0.67999999999999994</v>
      </c>
      <c r="AC215">
        <v>31</v>
      </c>
      <c r="AD215">
        <v>31.5</v>
      </c>
      <c r="AE215">
        <v>32</v>
      </c>
      <c r="AF215">
        <v>-2.3480000000000012</v>
      </c>
      <c r="AG215">
        <v>31</v>
      </c>
      <c r="AH215">
        <v>-11.84</v>
      </c>
      <c r="AI215">
        <v>1</v>
      </c>
      <c r="AJ215">
        <v>7</v>
      </c>
      <c r="AK215">
        <v>8</v>
      </c>
      <c r="AL215">
        <v>4</v>
      </c>
      <c r="AM215">
        <v>2.8280000000000007</v>
      </c>
      <c r="AN215">
        <v>12</v>
      </c>
      <c r="AO215">
        <v>10.200000000000001</v>
      </c>
      <c r="AP215">
        <v>2.2000000000000002</v>
      </c>
      <c r="AQ215">
        <v>3</v>
      </c>
      <c r="AR215">
        <v>3</v>
      </c>
      <c r="AS215">
        <v>3</v>
      </c>
      <c r="AT215">
        <v>3.0679999999999996</v>
      </c>
      <c r="AU215">
        <v>3</v>
      </c>
      <c r="AV215">
        <v>18.479999999999997</v>
      </c>
      <c r="AW215">
        <v>1.7200000000000002</v>
      </c>
      <c r="AX215">
        <v>13</v>
      </c>
      <c r="AY215">
        <v>12.5</v>
      </c>
      <c r="AZ215">
        <v>10</v>
      </c>
      <c r="BA215">
        <v>3.1</v>
      </c>
      <c r="BB215">
        <v>15</v>
      </c>
      <c r="BC215">
        <v>6.6</v>
      </c>
      <c r="BD215">
        <v>0.31999999999999995</v>
      </c>
      <c r="BE215">
        <v>32</v>
      </c>
      <c r="BF215">
        <v>31</v>
      </c>
      <c r="BG215">
        <v>32</v>
      </c>
      <c r="BH215">
        <v>-8.0960000000000001</v>
      </c>
      <c r="BI215">
        <v>-32.64</v>
      </c>
      <c r="BJ215">
        <v>-3.12</v>
      </c>
      <c r="BK215">
        <v>27</v>
      </c>
      <c r="BL215">
        <v>27</v>
      </c>
      <c r="BM215">
        <v>27</v>
      </c>
      <c r="BN215">
        <v>-0.92000000000000026</v>
      </c>
      <c r="BO215">
        <v>27</v>
      </c>
      <c r="BP215">
        <v>0.27999999999999997</v>
      </c>
      <c r="BQ215">
        <v>0.87999999999999989</v>
      </c>
      <c r="BR215">
        <v>7</v>
      </c>
      <c r="BS215">
        <v>11.25</v>
      </c>
      <c r="BT215">
        <v>7</v>
      </c>
      <c r="BU215">
        <v>2.0348552281940137E-2</v>
      </c>
      <c r="BV215">
        <v>17</v>
      </c>
      <c r="BW215">
        <v>2.348890997539578E-3</v>
      </c>
      <c r="BX215">
        <v>18</v>
      </c>
      <c r="BY215">
        <v>-18.632000000000005</v>
      </c>
      <c r="BZ215">
        <v>3</v>
      </c>
      <c r="CA215">
        <v>2.3199999999999998</v>
      </c>
      <c r="CB215">
        <v>2.9599999999999995</v>
      </c>
      <c r="CC215">
        <v>-6.8800000000000008</v>
      </c>
      <c r="CD215">
        <v>-0.23999999999999994</v>
      </c>
      <c r="CE215">
        <v>7.119999999999993</v>
      </c>
      <c r="CF215">
        <v>3.0799999999999899</v>
      </c>
      <c r="CG215">
        <v>2.2400000000000007</v>
      </c>
      <c r="CH215">
        <v>2.56</v>
      </c>
      <c r="CI215">
        <v>-0.76000000000000012</v>
      </c>
      <c r="CJ215">
        <v>23</v>
      </c>
      <c r="CK215">
        <v>-4.8298000000000005</v>
      </c>
      <c r="CL215">
        <v>-2.2142600000000003</v>
      </c>
      <c r="CM215">
        <v>0.8399999999999892</v>
      </c>
      <c r="CN215">
        <v>4.8298000000000005</v>
      </c>
      <c r="CO215">
        <v>-1.004975</v>
      </c>
      <c r="CP215">
        <v>3.5479999999999992</v>
      </c>
      <c r="CQ215">
        <v>16.839999999999996</v>
      </c>
      <c r="CR215">
        <v>1.1290000000000009</v>
      </c>
      <c r="CS215">
        <v>6.0300000000000047</v>
      </c>
      <c r="CT215">
        <v>1.7999999999999998</v>
      </c>
      <c r="CU215">
        <v>1.1599999999999999</v>
      </c>
      <c r="CV215">
        <v>-0.11206250000000036</v>
      </c>
      <c r="CW215">
        <v>-1.7175000000000579E-2</v>
      </c>
      <c r="CX215" t="s">
        <v>289</v>
      </c>
      <c r="CY215">
        <v>25</v>
      </c>
      <c r="CZ215">
        <v>-1.2908000000000004</v>
      </c>
      <c r="DA215">
        <v>20</v>
      </c>
      <c r="DB215">
        <v>21</v>
      </c>
      <c r="DC215">
        <v>17</v>
      </c>
      <c r="DD215">
        <v>-2.5560000000000005</v>
      </c>
      <c r="DE215">
        <v>25</v>
      </c>
      <c r="DF215">
        <v>-26.919999999999998</v>
      </c>
      <c r="DG215">
        <v>1.6000000000000003</v>
      </c>
      <c r="DH215">
        <v>16</v>
      </c>
      <c r="DI215">
        <v>16.5</v>
      </c>
      <c r="DJ215">
        <v>26</v>
      </c>
      <c r="DK215">
        <v>-0.45199999999999996</v>
      </c>
      <c r="DL215">
        <v>7</v>
      </c>
      <c r="DM215">
        <v>9.3199999999999985</v>
      </c>
      <c r="DN215">
        <v>-1.1200000000000001</v>
      </c>
      <c r="DO215">
        <v>24</v>
      </c>
      <c r="DP215">
        <v>20</v>
      </c>
      <c r="DQ215">
        <v>21</v>
      </c>
      <c r="DR215">
        <v>-2.3728000000000002</v>
      </c>
      <c r="DS215">
        <v>19</v>
      </c>
      <c r="DT215">
        <v>-1.5899999999999976</v>
      </c>
      <c r="DU215">
        <v>-1.0300000000000002</v>
      </c>
      <c r="DV215">
        <v>5</v>
      </c>
      <c r="DW215">
        <v>5.5</v>
      </c>
      <c r="DX215">
        <v>7</v>
      </c>
      <c r="DY215">
        <v>3.2720000000000007</v>
      </c>
      <c r="DZ215">
        <v>4</v>
      </c>
      <c r="EA215">
        <v>13.52</v>
      </c>
      <c r="EB215">
        <v>-4.0000000000000036E-2</v>
      </c>
      <c r="EC215">
        <v>29</v>
      </c>
      <c r="ED215">
        <v>26</v>
      </c>
      <c r="EE215">
        <v>24</v>
      </c>
      <c r="EF215">
        <v>1.2000000000000278E-2</v>
      </c>
      <c r="EG215">
        <v>28</v>
      </c>
      <c r="EH215">
        <v>-4.160000000000001</v>
      </c>
      <c r="EI215">
        <v>0.27999999999999992</v>
      </c>
      <c r="EJ215">
        <v>17</v>
      </c>
      <c r="EK215">
        <v>16.5</v>
      </c>
      <c r="EL215">
        <v>15</v>
      </c>
      <c r="EM215">
        <v>-1.787999999999998</v>
      </c>
      <c r="EN215">
        <v>18</v>
      </c>
      <c r="EO215">
        <v>-11.879999999999999</v>
      </c>
      <c r="EP215">
        <v>-0.19999999999999982</v>
      </c>
      <c r="EQ215">
        <v>27</v>
      </c>
      <c r="ER215">
        <v>26</v>
      </c>
      <c r="ES215">
        <v>27</v>
      </c>
      <c r="ET215">
        <v>-0.70800000000000052</v>
      </c>
      <c r="EU215">
        <v>25</v>
      </c>
      <c r="EV215">
        <v>-6.0399999999999991</v>
      </c>
      <c r="EW215">
        <v>7.9999999999999891E-2</v>
      </c>
      <c r="EX215">
        <v>5</v>
      </c>
      <c r="EY215">
        <v>4.5</v>
      </c>
      <c r="EZ215">
        <v>5</v>
      </c>
      <c r="FA215">
        <v>2.44</v>
      </c>
      <c r="FB215">
        <v>4</v>
      </c>
      <c r="FC215">
        <v>0.6399999999999999</v>
      </c>
      <c r="FD215">
        <v>0.44000000000000006</v>
      </c>
      <c r="FE215">
        <v>28</v>
      </c>
      <c r="FF215">
        <v>23</v>
      </c>
      <c r="FG215">
        <v>27</v>
      </c>
      <c r="FH215">
        <v>-3.7918095056881816E-3</v>
      </c>
      <c r="FI215">
        <v>18</v>
      </c>
      <c r="FJ215">
        <v>-7.4073366605073732E-3</v>
      </c>
      <c r="FK215">
        <v>26</v>
      </c>
      <c r="FL215">
        <v>7.7280000000000015</v>
      </c>
      <c r="FM215">
        <v>21</v>
      </c>
      <c r="FN215">
        <v>-0.56000000000000016</v>
      </c>
      <c r="FO215">
        <v>1.3599999999999994</v>
      </c>
      <c r="FP215">
        <v>-2.0400000000000005</v>
      </c>
      <c r="FQ215">
        <v>-1.8</v>
      </c>
      <c r="FR215">
        <v>-2.9599999999999995</v>
      </c>
      <c r="FS215">
        <v>-0.6</v>
      </c>
      <c r="FT215">
        <v>-8.0000000000000071E-2</v>
      </c>
      <c r="FU215">
        <v>-26.079999999999995</v>
      </c>
      <c r="FV215">
        <v>-5.4</v>
      </c>
      <c r="FW215">
        <v>-17.68</v>
      </c>
      <c r="FX215">
        <v>-0.64</v>
      </c>
      <c r="FY215">
        <v>-2.3599999999999994</v>
      </c>
      <c r="FZ215">
        <v>12</v>
      </c>
      <c r="GA215">
        <v>1.7172000000000001</v>
      </c>
      <c r="GB215">
        <v>1.2864800000000003</v>
      </c>
      <c r="GC215">
        <v>12.28</v>
      </c>
      <c r="GD215">
        <v>-1.7172000000000001</v>
      </c>
      <c r="GE215">
        <v>-0.20695000000000013</v>
      </c>
      <c r="GF215">
        <v>0.91120000000000068</v>
      </c>
      <c r="GG215">
        <v>7.7700000000000005</v>
      </c>
      <c r="GH215">
        <v>-3.0080000000000005</v>
      </c>
      <c r="GI215">
        <v>-17.600000000000001</v>
      </c>
      <c r="GJ215">
        <v>-0.71000000000000052</v>
      </c>
      <c r="GK215">
        <v>0.4800000000000002</v>
      </c>
    </row>
    <row r="216" spans="1:193" x14ac:dyDescent="0.2">
      <c r="A216" s="39">
        <v>43786</v>
      </c>
      <c r="B216" s="22" t="s">
        <v>259</v>
      </c>
      <c r="C216" s="41" t="s">
        <v>288</v>
      </c>
      <c r="D216" s="22" t="s">
        <v>287</v>
      </c>
      <c r="E216">
        <v>4.5999999999999996</v>
      </c>
      <c r="F216">
        <v>3.3</v>
      </c>
      <c r="G216">
        <v>1.9</v>
      </c>
      <c r="H216">
        <v>22.2</v>
      </c>
      <c r="I216">
        <v>-5.5</v>
      </c>
      <c r="J216">
        <v>52.5</v>
      </c>
      <c r="L216" s="1" t="s">
        <v>288</v>
      </c>
      <c r="M216">
        <v>14</v>
      </c>
      <c r="N216">
        <v>0.8424000000000007</v>
      </c>
      <c r="O216">
        <v>32</v>
      </c>
      <c r="P216">
        <v>30</v>
      </c>
      <c r="Q216">
        <v>28</v>
      </c>
      <c r="R216">
        <v>-1.4519999999999995</v>
      </c>
      <c r="S216">
        <v>32</v>
      </c>
      <c r="T216">
        <v>8.000000000000114E-2</v>
      </c>
      <c r="U216">
        <v>-0.60000000000000009</v>
      </c>
      <c r="V216">
        <v>17</v>
      </c>
      <c r="W216">
        <v>16.5</v>
      </c>
      <c r="X216">
        <v>19</v>
      </c>
      <c r="Y216">
        <v>-2.6820000000000008</v>
      </c>
      <c r="Z216">
        <v>14</v>
      </c>
      <c r="AA216">
        <v>1.2400000000000004</v>
      </c>
      <c r="AB216">
        <v>-1.03</v>
      </c>
      <c r="AC216">
        <v>8</v>
      </c>
      <c r="AD216">
        <v>7</v>
      </c>
      <c r="AE216">
        <v>6</v>
      </c>
      <c r="AF216">
        <v>6.76</v>
      </c>
      <c r="AG216">
        <v>8</v>
      </c>
      <c r="AH216">
        <v>23.07</v>
      </c>
      <c r="AI216">
        <v>2.11</v>
      </c>
      <c r="AJ216">
        <v>26</v>
      </c>
      <c r="AK216">
        <v>26.5</v>
      </c>
      <c r="AL216">
        <v>27</v>
      </c>
      <c r="AM216">
        <v>-1.3439999999999999</v>
      </c>
      <c r="AN216">
        <v>26</v>
      </c>
      <c r="AO216">
        <v>-0.63999999999999913</v>
      </c>
      <c r="AP216">
        <v>-1.0900000000000001</v>
      </c>
      <c r="AQ216">
        <v>9</v>
      </c>
      <c r="AR216">
        <v>9.5</v>
      </c>
      <c r="AS216">
        <v>11</v>
      </c>
      <c r="AT216">
        <v>1.1039999999999996</v>
      </c>
      <c r="AU216">
        <v>8</v>
      </c>
      <c r="AV216">
        <v>1.1199999999999997</v>
      </c>
      <c r="AW216">
        <v>0.92000000000000015</v>
      </c>
      <c r="AX216">
        <v>2</v>
      </c>
      <c r="AY216">
        <v>3.5</v>
      </c>
      <c r="AZ216">
        <v>4</v>
      </c>
      <c r="BA216">
        <v>6.7040000000000006</v>
      </c>
      <c r="BB216">
        <v>3</v>
      </c>
      <c r="BC216">
        <v>25.839999999999996</v>
      </c>
      <c r="BD216">
        <v>0.96000000000000019</v>
      </c>
      <c r="BE216">
        <v>3</v>
      </c>
      <c r="BF216">
        <v>3.5</v>
      </c>
      <c r="BG216">
        <v>4</v>
      </c>
      <c r="BH216">
        <v>-0.49600000000000011</v>
      </c>
      <c r="BI216">
        <v>-5.3600000000000012</v>
      </c>
      <c r="BJ216">
        <v>-0.27999999999999992</v>
      </c>
      <c r="BK216">
        <v>15</v>
      </c>
      <c r="BL216">
        <v>14.5</v>
      </c>
      <c r="BM216">
        <v>12</v>
      </c>
      <c r="BN216">
        <v>2.3200000000000003</v>
      </c>
      <c r="BO216">
        <v>17</v>
      </c>
      <c r="BP216">
        <v>0.84000000000000008</v>
      </c>
      <c r="BQ216">
        <v>1.8</v>
      </c>
      <c r="BR216">
        <v>29</v>
      </c>
      <c r="BS216">
        <v>25</v>
      </c>
      <c r="BT216">
        <v>26</v>
      </c>
      <c r="BU216">
        <v>-8.3026552482433263E-2</v>
      </c>
      <c r="BV216">
        <v>23</v>
      </c>
      <c r="BW216">
        <v>-9.4904745288558467E-3</v>
      </c>
      <c r="BX216">
        <v>25</v>
      </c>
      <c r="BY216">
        <v>9.208000000000002</v>
      </c>
      <c r="BZ216">
        <v>26</v>
      </c>
      <c r="CA216">
        <v>-0.67999999999999994</v>
      </c>
      <c r="CB216">
        <v>-2.680000000000001</v>
      </c>
      <c r="CC216">
        <v>3.96</v>
      </c>
      <c r="CD216">
        <v>1.0399999999999998</v>
      </c>
      <c r="CE216">
        <v>2.4800000000000066</v>
      </c>
      <c r="CF216">
        <v>7.6399999999999979</v>
      </c>
      <c r="CG216">
        <v>0.20000000000000284</v>
      </c>
      <c r="CH216">
        <v>5.5200000000000005</v>
      </c>
      <c r="CI216">
        <v>-10.88</v>
      </c>
      <c r="CJ216">
        <v>7</v>
      </c>
      <c r="CK216">
        <v>4.9764000000000017</v>
      </c>
      <c r="CL216">
        <v>3.44028</v>
      </c>
      <c r="CM216">
        <v>7.4399999999999951</v>
      </c>
      <c r="CN216">
        <v>-4.9764000000000008</v>
      </c>
      <c r="CO216">
        <v>0.63155000000000006</v>
      </c>
      <c r="CP216">
        <v>6.52</v>
      </c>
      <c r="CQ216">
        <v>23.55</v>
      </c>
      <c r="CR216">
        <v>-4.1340000000000003</v>
      </c>
      <c r="CS216">
        <v>1.3200000000000016</v>
      </c>
      <c r="CT216">
        <v>1.6600000000000001</v>
      </c>
      <c r="CU216">
        <v>-1.6300000000000001</v>
      </c>
      <c r="CV216">
        <v>-0.66089999999999982</v>
      </c>
      <c r="CW216">
        <v>-6.8099999999999716E-2</v>
      </c>
      <c r="CX216" t="s">
        <v>287</v>
      </c>
      <c r="CY216">
        <v>26</v>
      </c>
      <c r="CZ216">
        <v>-4.2695999999999996</v>
      </c>
      <c r="DA216">
        <v>7</v>
      </c>
      <c r="DB216">
        <v>10</v>
      </c>
      <c r="DC216">
        <v>11</v>
      </c>
      <c r="DD216">
        <v>1.6399999999999995</v>
      </c>
      <c r="DE216">
        <v>9</v>
      </c>
      <c r="DF216">
        <v>3.12</v>
      </c>
      <c r="DG216">
        <v>0.24000000000000013</v>
      </c>
      <c r="DH216">
        <v>21</v>
      </c>
      <c r="DI216">
        <v>18.5</v>
      </c>
      <c r="DJ216">
        <v>9</v>
      </c>
      <c r="DK216">
        <v>4.3999999999999949E-2</v>
      </c>
      <c r="DL216">
        <v>28</v>
      </c>
      <c r="DM216">
        <v>-1.0800000000000012</v>
      </c>
      <c r="DN216">
        <v>-0.20000000000000004</v>
      </c>
      <c r="DO216">
        <v>28</v>
      </c>
      <c r="DP216">
        <v>26.5</v>
      </c>
      <c r="DQ216">
        <v>26</v>
      </c>
      <c r="DR216">
        <v>-0.64800000000000024</v>
      </c>
      <c r="DS216">
        <v>27</v>
      </c>
      <c r="DT216">
        <v>-11.430000000000001</v>
      </c>
      <c r="DU216">
        <v>0.57000000000000006</v>
      </c>
      <c r="DV216">
        <v>21</v>
      </c>
      <c r="DW216">
        <v>22</v>
      </c>
      <c r="DX216">
        <v>22</v>
      </c>
      <c r="DY216">
        <v>-2.5959999999999996</v>
      </c>
      <c r="DZ216">
        <v>22</v>
      </c>
      <c r="EA216">
        <v>-4.5200000000000014</v>
      </c>
      <c r="EB216">
        <v>-0.91999999999999993</v>
      </c>
      <c r="EC216">
        <v>18</v>
      </c>
      <c r="ED216">
        <v>20.5</v>
      </c>
      <c r="EE216">
        <v>23</v>
      </c>
      <c r="EF216">
        <v>-0.43199999999999977</v>
      </c>
      <c r="EG216">
        <v>18</v>
      </c>
      <c r="EH216">
        <v>-0.96000000000000152</v>
      </c>
      <c r="EI216">
        <v>-8.0000000000000071E-2</v>
      </c>
      <c r="EJ216">
        <v>22</v>
      </c>
      <c r="EK216">
        <v>23</v>
      </c>
      <c r="EL216">
        <v>25</v>
      </c>
      <c r="EM216">
        <v>-2.7519999999999998</v>
      </c>
      <c r="EN216">
        <v>21</v>
      </c>
      <c r="EO216">
        <v>-5.92</v>
      </c>
      <c r="EP216">
        <v>-1.0000000000000002</v>
      </c>
      <c r="EQ216">
        <v>30</v>
      </c>
      <c r="ER216">
        <v>27.5</v>
      </c>
      <c r="ES216">
        <v>28</v>
      </c>
      <c r="ET216">
        <v>-5.4079999999999995</v>
      </c>
      <c r="EU216">
        <v>27</v>
      </c>
      <c r="EV216">
        <v>-13</v>
      </c>
      <c r="EW216">
        <v>-2.44</v>
      </c>
      <c r="EX216">
        <v>3</v>
      </c>
      <c r="EY216">
        <v>3.5</v>
      </c>
      <c r="EZ216">
        <v>4</v>
      </c>
      <c r="FA216">
        <v>1.64</v>
      </c>
      <c r="FB216">
        <v>3</v>
      </c>
      <c r="FC216">
        <v>0.83999999999999986</v>
      </c>
      <c r="FD216">
        <v>0.51999999999999991</v>
      </c>
      <c r="FE216">
        <v>25</v>
      </c>
      <c r="FF216">
        <v>21.5</v>
      </c>
      <c r="FG216">
        <v>20</v>
      </c>
      <c r="FH216">
        <v>-2.0743720300055724E-2</v>
      </c>
      <c r="FI216">
        <v>25</v>
      </c>
      <c r="FJ216">
        <v>-6.0171898673039249E-3</v>
      </c>
      <c r="FK216">
        <v>18</v>
      </c>
      <c r="FL216">
        <v>2.2239999999999993</v>
      </c>
      <c r="FM216">
        <v>23</v>
      </c>
      <c r="FN216">
        <v>-1.44</v>
      </c>
      <c r="FO216">
        <v>-3.04</v>
      </c>
      <c r="FP216">
        <v>1.9600000000000009</v>
      </c>
      <c r="FQ216">
        <v>0.27999999999999997</v>
      </c>
      <c r="FR216">
        <v>-1.0400000000000005</v>
      </c>
      <c r="FS216">
        <v>-3.12</v>
      </c>
      <c r="FT216">
        <v>1.1199999999999999</v>
      </c>
      <c r="FU216">
        <v>-29.76</v>
      </c>
      <c r="FV216">
        <v>-28.240000000000002</v>
      </c>
      <c r="FW216">
        <v>1.2800000000000011</v>
      </c>
      <c r="FX216">
        <v>-1.1200000000000001</v>
      </c>
      <c r="FY216">
        <v>-1.6800000000000004</v>
      </c>
      <c r="FZ216">
        <v>28</v>
      </c>
      <c r="GA216">
        <v>-5.9535999999999989</v>
      </c>
      <c r="GB216">
        <v>-3.5127199999999998</v>
      </c>
      <c r="GC216">
        <v>-29.520000000000003</v>
      </c>
      <c r="GD216">
        <v>5.9535999999999989</v>
      </c>
      <c r="GE216">
        <v>-1.2536999999999998</v>
      </c>
      <c r="GF216">
        <v>-3.6759999999999997</v>
      </c>
      <c r="GG216">
        <v>-16.910000000000004</v>
      </c>
      <c r="GH216">
        <v>1.6839999999999995</v>
      </c>
      <c r="GI216">
        <v>2.0399999999999991</v>
      </c>
      <c r="GJ216">
        <v>-2.87</v>
      </c>
      <c r="GK216">
        <v>4.0000000000000091E-2</v>
      </c>
    </row>
    <row r="217" spans="1:193" x14ac:dyDescent="0.2">
      <c r="A217" s="39">
        <v>43786</v>
      </c>
      <c r="B217" s="22" t="s">
        <v>259</v>
      </c>
      <c r="C217" s="41" t="s">
        <v>303</v>
      </c>
      <c r="D217" s="22" t="s">
        <v>272</v>
      </c>
      <c r="E217">
        <v>12.2</v>
      </c>
      <c r="F217">
        <v>11.6</v>
      </c>
      <c r="G217">
        <v>5.5</v>
      </c>
      <c r="H217">
        <f>12.6+8.8</f>
        <v>21.4</v>
      </c>
      <c r="I217">
        <v>-13</v>
      </c>
      <c r="J217">
        <v>48</v>
      </c>
      <c r="K217" t="s">
        <v>110</v>
      </c>
      <c r="L217" s="1" t="s">
        <v>303</v>
      </c>
      <c r="M217">
        <v>22</v>
      </c>
      <c r="N217">
        <v>-1.9296000000000006</v>
      </c>
      <c r="O217">
        <v>7</v>
      </c>
      <c r="P217">
        <v>7.5</v>
      </c>
      <c r="Q217">
        <v>12</v>
      </c>
      <c r="R217">
        <v>0.79200000000000015</v>
      </c>
      <c r="S217">
        <v>3</v>
      </c>
      <c r="T217">
        <v>28.160000000000004</v>
      </c>
      <c r="U217">
        <v>-8.0000000000000251E-2</v>
      </c>
      <c r="V217">
        <v>22</v>
      </c>
      <c r="W217">
        <v>19.5</v>
      </c>
      <c r="X217">
        <v>17</v>
      </c>
      <c r="Y217">
        <v>-1.3660000000000001</v>
      </c>
      <c r="Z217">
        <v>22</v>
      </c>
      <c r="AA217">
        <v>-12.879999999999999</v>
      </c>
      <c r="AB217">
        <v>0.6100000000000001</v>
      </c>
      <c r="AC217">
        <v>30</v>
      </c>
      <c r="AD217">
        <v>30.5</v>
      </c>
      <c r="AE217">
        <v>31</v>
      </c>
      <c r="AF217">
        <v>-4.1240000000000006</v>
      </c>
      <c r="AG217">
        <v>30</v>
      </c>
      <c r="AH217">
        <v>-10.73</v>
      </c>
      <c r="AI217">
        <v>-2.5299999999999998</v>
      </c>
      <c r="AJ217">
        <v>24</v>
      </c>
      <c r="AK217">
        <v>23</v>
      </c>
      <c r="AL217">
        <v>22</v>
      </c>
      <c r="AM217">
        <v>4.7999999999999335E-2</v>
      </c>
      <c r="AN217">
        <v>24</v>
      </c>
      <c r="AO217">
        <v>-2.1999999999999984</v>
      </c>
      <c r="AP217">
        <v>-0.29000000000000004</v>
      </c>
      <c r="AQ217">
        <v>25</v>
      </c>
      <c r="AR217">
        <v>25</v>
      </c>
      <c r="AS217">
        <v>25</v>
      </c>
      <c r="AT217">
        <v>-1.9559999999999995</v>
      </c>
      <c r="AU217">
        <v>25</v>
      </c>
      <c r="AV217">
        <v>-10.88</v>
      </c>
      <c r="AW217">
        <v>-0.11999999999999993</v>
      </c>
      <c r="AX217">
        <v>24</v>
      </c>
      <c r="AY217">
        <v>25</v>
      </c>
      <c r="AZ217">
        <v>27</v>
      </c>
      <c r="BA217">
        <v>-2.9440000000000004</v>
      </c>
      <c r="BB217">
        <v>23</v>
      </c>
      <c r="BC217">
        <v>-13.84</v>
      </c>
      <c r="BD217">
        <v>-1.2799999999999998</v>
      </c>
      <c r="BE217">
        <v>5</v>
      </c>
      <c r="BF217">
        <v>6</v>
      </c>
      <c r="BG217">
        <v>6</v>
      </c>
      <c r="BH217">
        <v>5.8079999999999998</v>
      </c>
      <c r="BI217">
        <v>9.6799999999999979</v>
      </c>
      <c r="BJ217">
        <v>0.96000000000000019</v>
      </c>
      <c r="BK217">
        <v>19</v>
      </c>
      <c r="BL217">
        <v>19.5</v>
      </c>
      <c r="BM217">
        <v>26</v>
      </c>
      <c r="BN217">
        <v>-0.96</v>
      </c>
      <c r="BO217">
        <v>13</v>
      </c>
      <c r="BP217">
        <v>-0.27999999999999992</v>
      </c>
      <c r="BQ217">
        <v>-0.43999999999999984</v>
      </c>
      <c r="BR217">
        <v>19</v>
      </c>
      <c r="BS217">
        <v>17.25</v>
      </c>
      <c r="BT217">
        <v>14</v>
      </c>
      <c r="BU217">
        <v>-3.2368640291027456E-2</v>
      </c>
      <c r="BV217">
        <v>21</v>
      </c>
      <c r="BW217">
        <v>-4.740563263367286E-3</v>
      </c>
      <c r="BX217">
        <v>32</v>
      </c>
      <c r="BY217">
        <v>21.143999999999998</v>
      </c>
      <c r="BZ217">
        <v>2</v>
      </c>
      <c r="CA217">
        <v>-0.83999999999999986</v>
      </c>
      <c r="CB217">
        <v>-1.6399999999999992</v>
      </c>
      <c r="CC217">
        <v>-0.6399999999999999</v>
      </c>
      <c r="CD217">
        <v>-0.08</v>
      </c>
      <c r="CE217">
        <v>6.1600000000000019</v>
      </c>
      <c r="CF217">
        <v>5.3600000000000021</v>
      </c>
      <c r="CG217">
        <v>17.280000000000005</v>
      </c>
      <c r="CH217">
        <v>2.2399999999999998</v>
      </c>
      <c r="CI217">
        <v>-18.72</v>
      </c>
      <c r="CJ217">
        <v>18</v>
      </c>
      <c r="CK217">
        <v>-1.3556000000000008</v>
      </c>
      <c r="CL217">
        <v>-0.14372000000000035</v>
      </c>
      <c r="CM217">
        <v>-11.920000000000002</v>
      </c>
      <c r="CN217">
        <v>1.3556000000000008</v>
      </c>
      <c r="CO217">
        <v>-0.4609500000000003</v>
      </c>
      <c r="CP217">
        <v>-6.0320000000000009</v>
      </c>
      <c r="CQ217">
        <v>-23.810000000000002</v>
      </c>
      <c r="CR217">
        <v>-0.57399999999999995</v>
      </c>
      <c r="CS217">
        <v>15.280000000000005</v>
      </c>
      <c r="CT217">
        <v>-1.9799999999999998</v>
      </c>
      <c r="CU217">
        <v>0.5299999999999998</v>
      </c>
      <c r="CV217">
        <v>1.0511000000000001</v>
      </c>
      <c r="CW217">
        <v>1.1183000000000003</v>
      </c>
      <c r="CX217" t="s">
        <v>272</v>
      </c>
      <c r="CY217">
        <v>10</v>
      </c>
      <c r="CZ217">
        <v>4.4591999999999983</v>
      </c>
      <c r="DA217">
        <v>25</v>
      </c>
      <c r="DB217">
        <v>23.5</v>
      </c>
      <c r="DC217">
        <v>29</v>
      </c>
      <c r="DD217">
        <v>-0.66799999999999993</v>
      </c>
      <c r="DE217">
        <v>18</v>
      </c>
      <c r="DF217">
        <v>5.8</v>
      </c>
      <c r="DG217">
        <v>-1.1599999999999999</v>
      </c>
      <c r="DH217">
        <v>24</v>
      </c>
      <c r="DI217">
        <v>21.5</v>
      </c>
      <c r="DJ217">
        <v>19</v>
      </c>
      <c r="DK217">
        <v>-2.5119999999999991</v>
      </c>
      <c r="DL217">
        <v>24</v>
      </c>
      <c r="DM217">
        <v>-5.76</v>
      </c>
      <c r="DN217">
        <v>8.0000000000000029E-2</v>
      </c>
      <c r="DO217">
        <v>1</v>
      </c>
      <c r="DP217">
        <v>4</v>
      </c>
      <c r="DQ217">
        <v>5</v>
      </c>
      <c r="DR217">
        <v>6.634666666666666</v>
      </c>
      <c r="DS217">
        <v>3</v>
      </c>
      <c r="DT217">
        <v>39.306666666666665</v>
      </c>
      <c r="DU217">
        <v>-0.16000000000000014</v>
      </c>
      <c r="DV217">
        <v>17</v>
      </c>
      <c r="DW217">
        <v>16.5</v>
      </c>
      <c r="DX217">
        <v>19</v>
      </c>
      <c r="DY217">
        <v>-2.7053333333333329</v>
      </c>
      <c r="DZ217">
        <v>14</v>
      </c>
      <c r="EA217">
        <v>-6.5333333333333341</v>
      </c>
      <c r="EB217">
        <v>-1.8666666666666665</v>
      </c>
      <c r="EC217">
        <v>6</v>
      </c>
      <c r="ED217">
        <v>8</v>
      </c>
      <c r="EE217">
        <v>6</v>
      </c>
      <c r="EF217">
        <v>1.4026666666666667</v>
      </c>
      <c r="EG217">
        <v>10</v>
      </c>
      <c r="EH217">
        <v>12.2</v>
      </c>
      <c r="EI217">
        <v>0.98666666666666658</v>
      </c>
      <c r="EJ217">
        <v>2</v>
      </c>
      <c r="EK217">
        <v>3.5</v>
      </c>
      <c r="EL217">
        <v>5</v>
      </c>
      <c r="EM217">
        <v>7.8920000000000003</v>
      </c>
      <c r="EN217">
        <v>2</v>
      </c>
      <c r="EO217">
        <v>54.52</v>
      </c>
      <c r="EP217">
        <v>0.8</v>
      </c>
      <c r="EQ217">
        <v>9</v>
      </c>
      <c r="ER217">
        <v>10</v>
      </c>
      <c r="ES217">
        <v>9</v>
      </c>
      <c r="ET217">
        <v>0.57999999999999896</v>
      </c>
      <c r="EU217">
        <v>11</v>
      </c>
      <c r="EV217">
        <v>6.8000000000000016</v>
      </c>
      <c r="EW217">
        <v>-0.27999999999999992</v>
      </c>
      <c r="EX217">
        <v>20</v>
      </c>
      <c r="EY217">
        <v>21</v>
      </c>
      <c r="EZ217">
        <v>18</v>
      </c>
      <c r="FA217">
        <v>0.68000000000000027</v>
      </c>
      <c r="FB217">
        <v>24</v>
      </c>
      <c r="FC217">
        <v>-8.0000000000000071E-2</v>
      </c>
      <c r="FD217">
        <v>1.56</v>
      </c>
      <c r="FE217">
        <v>22</v>
      </c>
      <c r="FF217">
        <v>18.25</v>
      </c>
      <c r="FG217">
        <v>13</v>
      </c>
      <c r="FH217">
        <v>6.7333504337807378E-3</v>
      </c>
      <c r="FI217">
        <v>15</v>
      </c>
      <c r="FJ217">
        <v>-3.2140710988679626E-3</v>
      </c>
      <c r="FK217">
        <v>19</v>
      </c>
      <c r="FL217">
        <v>-0.77200000000000268</v>
      </c>
      <c r="FM217">
        <v>26</v>
      </c>
      <c r="FN217">
        <v>-1.1600000000000004</v>
      </c>
      <c r="FO217">
        <v>-0.19999999999999929</v>
      </c>
      <c r="FP217">
        <v>1.2800000000000005</v>
      </c>
      <c r="FQ217">
        <v>1.1200000000000003</v>
      </c>
      <c r="FR217">
        <v>2.839999999999999</v>
      </c>
      <c r="FS217">
        <v>1.5200000000000002</v>
      </c>
      <c r="FT217">
        <v>0.19999999999999982</v>
      </c>
      <c r="FU217">
        <v>59.759999999999991</v>
      </c>
      <c r="FV217">
        <v>43.879999999999995</v>
      </c>
      <c r="FW217">
        <v>1.5199999999999989</v>
      </c>
      <c r="FX217">
        <v>3.3200000000000003</v>
      </c>
      <c r="FY217">
        <v>11.040000000000003</v>
      </c>
      <c r="FZ217">
        <v>3</v>
      </c>
      <c r="GA217">
        <v>7.6391999999999971</v>
      </c>
      <c r="GB217">
        <v>3.6642399999999986</v>
      </c>
      <c r="GC217">
        <v>42.36</v>
      </c>
      <c r="GD217">
        <v>-7.6391999999999971</v>
      </c>
      <c r="GE217">
        <v>0.98389999999999989</v>
      </c>
      <c r="GF217">
        <v>5.3319999999999999</v>
      </c>
      <c r="GG217">
        <v>44.973333333333329</v>
      </c>
      <c r="GH217">
        <v>-3.1799999999999988</v>
      </c>
      <c r="GI217">
        <v>4.0000000000000036E-2</v>
      </c>
      <c r="GJ217">
        <v>-1.3199999999999998</v>
      </c>
      <c r="GK217">
        <v>-1.0799999999999998</v>
      </c>
    </row>
    <row r="218" spans="1:193" x14ac:dyDescent="0.2">
      <c r="A218" s="39">
        <v>43786</v>
      </c>
      <c r="B218" s="22" t="s">
        <v>259</v>
      </c>
      <c r="C218" s="41" t="s">
        <v>287</v>
      </c>
      <c r="D218" s="22" t="s">
        <v>288</v>
      </c>
      <c r="E218">
        <v>21.1</v>
      </c>
      <c r="F218">
        <v>9.6</v>
      </c>
      <c r="G218">
        <v>0</v>
      </c>
      <c r="H218">
        <f>14.9+1.8</f>
        <v>16.7</v>
      </c>
      <c r="I218">
        <v>5.5</v>
      </c>
      <c r="J218">
        <v>52.5</v>
      </c>
      <c r="L218" s="1" t="s">
        <v>287</v>
      </c>
      <c r="M218">
        <v>25</v>
      </c>
      <c r="N218">
        <v>-2.9343999999999992</v>
      </c>
      <c r="O218">
        <v>17</v>
      </c>
      <c r="P218">
        <v>17</v>
      </c>
      <c r="Q218">
        <v>17</v>
      </c>
      <c r="R218">
        <v>-9.199999999999893E-2</v>
      </c>
      <c r="S218">
        <v>17</v>
      </c>
      <c r="T218">
        <v>-17.160000000000004</v>
      </c>
      <c r="U218">
        <v>-0.48000000000000009</v>
      </c>
      <c r="V218">
        <v>3</v>
      </c>
      <c r="W218">
        <v>4.5</v>
      </c>
      <c r="X218">
        <v>1</v>
      </c>
      <c r="Y218">
        <v>6.0699999999999994</v>
      </c>
      <c r="Z218">
        <v>8</v>
      </c>
      <c r="AA218">
        <v>5.7999999999999989</v>
      </c>
      <c r="AB218">
        <v>1.33</v>
      </c>
      <c r="AC218">
        <v>9</v>
      </c>
      <c r="AD218">
        <v>10</v>
      </c>
      <c r="AE218">
        <v>9</v>
      </c>
      <c r="AF218">
        <v>-5.6439999999999984</v>
      </c>
      <c r="AG218">
        <v>11</v>
      </c>
      <c r="AH218">
        <v>-26.610000000000003</v>
      </c>
      <c r="AI218">
        <v>0.11000000000000014</v>
      </c>
      <c r="AJ218">
        <v>5</v>
      </c>
      <c r="AK218">
        <v>5.5</v>
      </c>
      <c r="AL218">
        <v>10</v>
      </c>
      <c r="AM218">
        <v>0.14800000000000041</v>
      </c>
      <c r="AN218">
        <v>1</v>
      </c>
      <c r="AO218">
        <v>16.359999999999996</v>
      </c>
      <c r="AP218">
        <v>-0.44999999999999984</v>
      </c>
      <c r="AQ218">
        <v>28</v>
      </c>
      <c r="AR218">
        <v>28.5</v>
      </c>
      <c r="AS218">
        <v>30</v>
      </c>
      <c r="AT218">
        <v>-3.1520000000000001</v>
      </c>
      <c r="AU218">
        <v>27</v>
      </c>
      <c r="AV218">
        <v>-13.439999999999998</v>
      </c>
      <c r="AW218">
        <v>-1.8399999999999999</v>
      </c>
      <c r="AX218">
        <v>10</v>
      </c>
      <c r="AY218">
        <v>11</v>
      </c>
      <c r="AZ218">
        <v>11</v>
      </c>
      <c r="BA218">
        <v>2.6399999999999997</v>
      </c>
      <c r="BB218">
        <v>11</v>
      </c>
      <c r="BC218">
        <v>11.6</v>
      </c>
      <c r="BD218">
        <v>1.28</v>
      </c>
      <c r="BE218">
        <v>26</v>
      </c>
      <c r="BF218">
        <v>26.5</v>
      </c>
      <c r="BG218">
        <v>27</v>
      </c>
      <c r="BH218">
        <v>2.6679999999999997</v>
      </c>
      <c r="BI218">
        <v>14.680000000000001</v>
      </c>
      <c r="BJ218">
        <v>0.96000000000000019</v>
      </c>
      <c r="BK218">
        <v>4</v>
      </c>
      <c r="BL218">
        <v>7</v>
      </c>
      <c r="BM218">
        <v>11</v>
      </c>
      <c r="BN218">
        <v>0.36000000000000021</v>
      </c>
      <c r="BO218">
        <v>3</v>
      </c>
      <c r="BP218">
        <v>0.2</v>
      </c>
      <c r="BQ218">
        <v>-1.44</v>
      </c>
      <c r="BR218">
        <v>10</v>
      </c>
      <c r="BS218">
        <v>12.75</v>
      </c>
      <c r="BT218">
        <v>24</v>
      </c>
      <c r="BU218">
        <v>1.3439200716429562E-2</v>
      </c>
      <c r="BV218">
        <v>12</v>
      </c>
      <c r="BW218">
        <v>-1.7329094092174314E-3</v>
      </c>
      <c r="BX218">
        <v>7</v>
      </c>
      <c r="BY218">
        <v>-9.1439999999999984</v>
      </c>
      <c r="BZ218">
        <v>8</v>
      </c>
      <c r="CA218">
        <v>0.51999999999999991</v>
      </c>
      <c r="CB218">
        <v>-5.3200000000000021</v>
      </c>
      <c r="CC218">
        <v>-0.7999999999999996</v>
      </c>
      <c r="CD218">
        <v>-0.52</v>
      </c>
      <c r="CE218">
        <v>-20.079999999999995</v>
      </c>
      <c r="CF218">
        <v>1.4400000000000091</v>
      </c>
      <c r="CG218">
        <v>-12.039999999999997</v>
      </c>
      <c r="CH218">
        <v>0.75999999999999979</v>
      </c>
      <c r="CI218">
        <v>-10.24</v>
      </c>
      <c r="CJ218">
        <v>30</v>
      </c>
      <c r="CK218">
        <v>-8.9123999999999999</v>
      </c>
      <c r="CL218">
        <v>-4.7718800000000003</v>
      </c>
      <c r="CM218">
        <v>13.480000000000006</v>
      </c>
      <c r="CN218">
        <v>8.9123999999999999</v>
      </c>
      <c r="CO218">
        <v>-0.32204999999999956</v>
      </c>
      <c r="CP218">
        <v>-8.6479999999999979</v>
      </c>
      <c r="CQ218">
        <v>-23.690000000000005</v>
      </c>
      <c r="CR218">
        <v>5.9780000000000006</v>
      </c>
      <c r="CS218">
        <v>-11.360000000000005</v>
      </c>
      <c r="CT218">
        <v>-1.2199999999999995</v>
      </c>
      <c r="CU218">
        <v>0.85</v>
      </c>
      <c r="CV218">
        <v>-0.66089999999999982</v>
      </c>
      <c r="CW218">
        <v>-1.2536999999999998</v>
      </c>
      <c r="CX218" t="s">
        <v>288</v>
      </c>
      <c r="CY218">
        <v>7</v>
      </c>
      <c r="CZ218">
        <v>2.4576000000000007</v>
      </c>
      <c r="DA218">
        <v>3</v>
      </c>
      <c r="DB218">
        <v>3</v>
      </c>
      <c r="DC218">
        <v>3</v>
      </c>
      <c r="DD218">
        <v>7.1104000000000012</v>
      </c>
      <c r="DE218">
        <v>3</v>
      </c>
      <c r="DF218">
        <v>17.080000000000002</v>
      </c>
      <c r="DG218">
        <v>0.96000000000000019</v>
      </c>
      <c r="DH218">
        <v>20</v>
      </c>
      <c r="DI218">
        <v>17.5</v>
      </c>
      <c r="DJ218">
        <v>5</v>
      </c>
      <c r="DK218">
        <v>1.7800000000000005</v>
      </c>
      <c r="DL218">
        <v>30</v>
      </c>
      <c r="DM218">
        <v>-9.9200000000000017</v>
      </c>
      <c r="DN218">
        <v>0.48</v>
      </c>
      <c r="DO218">
        <v>32</v>
      </c>
      <c r="DP218">
        <v>32</v>
      </c>
      <c r="DQ218">
        <v>32</v>
      </c>
      <c r="DR218">
        <v>-6.8848000000000003</v>
      </c>
      <c r="DS218">
        <v>32</v>
      </c>
      <c r="DT218">
        <v>-32.440000000000005</v>
      </c>
      <c r="DU218">
        <v>-1.7600000000000002</v>
      </c>
      <c r="DV218">
        <v>24</v>
      </c>
      <c r="DW218">
        <v>25</v>
      </c>
      <c r="DX218">
        <v>23</v>
      </c>
      <c r="DY218">
        <v>-2.2280000000000002</v>
      </c>
      <c r="DZ218">
        <v>27</v>
      </c>
      <c r="EA218">
        <v>-10.64</v>
      </c>
      <c r="EB218">
        <v>-0.4</v>
      </c>
      <c r="EC218">
        <v>13</v>
      </c>
      <c r="ED218">
        <v>12.5</v>
      </c>
      <c r="EE218">
        <v>12</v>
      </c>
      <c r="EF218">
        <v>1.0040000000000004</v>
      </c>
      <c r="EG218">
        <v>13</v>
      </c>
      <c r="EH218">
        <v>-0.64000000000000123</v>
      </c>
      <c r="EI218">
        <v>1.28</v>
      </c>
      <c r="EJ218">
        <v>12</v>
      </c>
      <c r="EK218">
        <v>12</v>
      </c>
      <c r="EL218">
        <v>8</v>
      </c>
      <c r="EM218">
        <v>6.7440000000000015</v>
      </c>
      <c r="EN218">
        <v>16</v>
      </c>
      <c r="EO218">
        <v>17.839999999999996</v>
      </c>
      <c r="EP218">
        <v>2.6799999999999997</v>
      </c>
      <c r="EQ218">
        <v>2</v>
      </c>
      <c r="ER218">
        <v>2</v>
      </c>
      <c r="ES218">
        <v>2</v>
      </c>
      <c r="ET218">
        <v>-0.66400000000000003</v>
      </c>
      <c r="EU218">
        <v>2</v>
      </c>
      <c r="EV218">
        <v>-4.8799999999999981</v>
      </c>
      <c r="EW218">
        <v>1.08</v>
      </c>
      <c r="EX218">
        <v>20</v>
      </c>
      <c r="EY218">
        <v>21</v>
      </c>
      <c r="EZ218">
        <v>25</v>
      </c>
      <c r="FA218">
        <v>-3.12</v>
      </c>
      <c r="FB218">
        <v>17</v>
      </c>
      <c r="FC218">
        <v>-0.88000000000000012</v>
      </c>
      <c r="FD218">
        <v>-0.67999999999999994</v>
      </c>
      <c r="FE218">
        <v>2</v>
      </c>
      <c r="FF218">
        <v>7.25</v>
      </c>
      <c r="FG218">
        <v>4</v>
      </c>
      <c r="FH218">
        <v>3.5932519114541463E-2</v>
      </c>
      <c r="FI218">
        <v>13</v>
      </c>
      <c r="FJ218">
        <v>2.5074277143146122E-2</v>
      </c>
      <c r="FK218">
        <v>3</v>
      </c>
      <c r="FL218">
        <v>-18.571999999999999</v>
      </c>
      <c r="FM218">
        <v>9</v>
      </c>
      <c r="FN218">
        <v>1.8</v>
      </c>
      <c r="FO218">
        <v>0.95999999999999941</v>
      </c>
      <c r="FP218">
        <v>0.67999999999999972</v>
      </c>
      <c r="FQ218">
        <v>0.36000000000000004</v>
      </c>
      <c r="FR218">
        <v>2.4800000000000026</v>
      </c>
      <c r="FS218">
        <v>0.71999999999999953</v>
      </c>
      <c r="FT218">
        <v>1.1199999999999999</v>
      </c>
      <c r="FU218">
        <v>4.8</v>
      </c>
      <c r="FV218">
        <v>-10.760000000000002</v>
      </c>
      <c r="FW218">
        <v>7.4399999999999977</v>
      </c>
      <c r="FX218">
        <v>-7.9999999999999891E-2</v>
      </c>
      <c r="FY218">
        <v>8.1999999999999993</v>
      </c>
      <c r="FZ218">
        <v>29</v>
      </c>
      <c r="GA218">
        <v>-6.4328000000000012</v>
      </c>
      <c r="GB218">
        <v>-5.70824</v>
      </c>
      <c r="GC218">
        <v>-18.2</v>
      </c>
      <c r="GD218">
        <v>6.4328000000000003</v>
      </c>
      <c r="GE218">
        <v>-6.8099999999999716E-2</v>
      </c>
      <c r="GF218">
        <v>-8.1087999999999987</v>
      </c>
      <c r="GG218">
        <v>-43.720000000000006</v>
      </c>
      <c r="GH218">
        <v>8.8904000000000014</v>
      </c>
      <c r="GI218">
        <v>7.16</v>
      </c>
      <c r="GJ218">
        <v>0.19999999999999996</v>
      </c>
      <c r="GK218">
        <v>1.4400000000000002</v>
      </c>
    </row>
    <row r="219" spans="1:193" x14ac:dyDescent="0.2">
      <c r="A219" s="39">
        <v>43786</v>
      </c>
      <c r="B219" s="22" t="s">
        <v>259</v>
      </c>
      <c r="C219" s="41" t="s">
        <v>304</v>
      </c>
      <c r="D219" s="22" t="s">
        <v>265</v>
      </c>
      <c r="E219" s="14">
        <v>8.3000000000000007</v>
      </c>
      <c r="F219">
        <v>8</v>
      </c>
      <c r="G219">
        <v>1.9</v>
      </c>
      <c r="H219">
        <v>3</v>
      </c>
      <c r="I219">
        <v>-5</v>
      </c>
      <c r="J219">
        <v>40</v>
      </c>
      <c r="L219" s="1" t="s">
        <v>304</v>
      </c>
      <c r="M219">
        <v>29</v>
      </c>
      <c r="N219">
        <v>-5.7175999999999991</v>
      </c>
      <c r="O219">
        <v>12</v>
      </c>
      <c r="P219">
        <v>14.5</v>
      </c>
      <c r="Q219">
        <v>15</v>
      </c>
      <c r="R219">
        <v>-5.4479999999999986</v>
      </c>
      <c r="S219">
        <v>14</v>
      </c>
      <c r="T219">
        <v>-11.719999999999997</v>
      </c>
      <c r="U219">
        <v>-2.12</v>
      </c>
      <c r="V219">
        <v>21</v>
      </c>
      <c r="W219">
        <v>19</v>
      </c>
      <c r="X219">
        <v>21</v>
      </c>
      <c r="Y219">
        <v>1.0079999999999996</v>
      </c>
      <c r="Z219">
        <v>17</v>
      </c>
      <c r="AA219">
        <v>13</v>
      </c>
      <c r="AB219">
        <v>-0.55999999999999994</v>
      </c>
      <c r="AC219">
        <v>12</v>
      </c>
      <c r="AD219">
        <v>13</v>
      </c>
      <c r="AE219">
        <v>13</v>
      </c>
      <c r="AF219">
        <v>-0.55599999999999983</v>
      </c>
      <c r="AG219">
        <v>13</v>
      </c>
      <c r="AH219">
        <v>2.319999999999999</v>
      </c>
      <c r="AI219">
        <v>-0.83999999999999964</v>
      </c>
      <c r="AJ219">
        <v>4</v>
      </c>
      <c r="AK219">
        <v>4.5</v>
      </c>
      <c r="AL219">
        <v>7</v>
      </c>
      <c r="AM219">
        <v>1.2680000000000007</v>
      </c>
      <c r="AN219">
        <v>2</v>
      </c>
      <c r="AO219">
        <v>7.4</v>
      </c>
      <c r="AP219">
        <v>8.0000000000000251E-2</v>
      </c>
      <c r="AQ219">
        <v>8</v>
      </c>
      <c r="AR219">
        <v>8.5</v>
      </c>
      <c r="AS219">
        <v>8</v>
      </c>
      <c r="AT219">
        <v>2.7560000000000002</v>
      </c>
      <c r="AU219">
        <v>9</v>
      </c>
      <c r="AV219">
        <v>14.48</v>
      </c>
      <c r="AW219">
        <v>2</v>
      </c>
      <c r="AX219">
        <v>5</v>
      </c>
      <c r="AY219">
        <v>5</v>
      </c>
      <c r="AZ219">
        <v>8</v>
      </c>
      <c r="BA219">
        <v>-0.82400000000000073</v>
      </c>
      <c r="BB219">
        <v>2</v>
      </c>
      <c r="BC219">
        <v>12.56</v>
      </c>
      <c r="BD219">
        <v>-1.36</v>
      </c>
      <c r="BE219">
        <v>12</v>
      </c>
      <c r="BF219">
        <v>12.5</v>
      </c>
      <c r="BG219">
        <v>14</v>
      </c>
      <c r="BH219">
        <v>-2.4960000000000004</v>
      </c>
      <c r="BI219">
        <v>-7.44</v>
      </c>
      <c r="BJ219">
        <v>1.3199999999999998</v>
      </c>
      <c r="BK219">
        <v>16</v>
      </c>
      <c r="BL219">
        <v>15.5</v>
      </c>
      <c r="BM219">
        <v>18</v>
      </c>
      <c r="BN219">
        <v>-1.0000000000000002</v>
      </c>
      <c r="BO219">
        <v>13</v>
      </c>
      <c r="BP219">
        <v>-0.31999999999999995</v>
      </c>
      <c r="BQ219">
        <v>3.8800000000000003</v>
      </c>
      <c r="BR219">
        <v>23</v>
      </c>
      <c r="BS219">
        <v>20.5</v>
      </c>
      <c r="BT219">
        <v>32</v>
      </c>
      <c r="BU219">
        <v>-4.8757507568143975E-2</v>
      </c>
      <c r="BV219">
        <v>29</v>
      </c>
      <c r="BW219">
        <v>-2.1764342402346405E-2</v>
      </c>
      <c r="BX219">
        <v>8</v>
      </c>
      <c r="BY219">
        <v>-14.892000000000001</v>
      </c>
      <c r="BZ219">
        <v>13</v>
      </c>
      <c r="CA219">
        <v>-1.52</v>
      </c>
      <c r="CB219">
        <v>-2.7999999999999985</v>
      </c>
      <c r="CC219">
        <v>-3.16</v>
      </c>
      <c r="CD219">
        <v>1.1999999999999997</v>
      </c>
      <c r="CE219">
        <v>-31.95999999999999</v>
      </c>
      <c r="CF219">
        <v>-13.640000000000004</v>
      </c>
      <c r="CG219">
        <v>-0.79999999999999716</v>
      </c>
      <c r="CH219">
        <v>3.8</v>
      </c>
      <c r="CI219">
        <v>-21.32</v>
      </c>
      <c r="CJ219">
        <v>17</v>
      </c>
      <c r="CK219">
        <v>-1.2776000000000001</v>
      </c>
      <c r="CL219">
        <v>1.27088</v>
      </c>
      <c r="CM219">
        <v>-12.840000000000007</v>
      </c>
      <c r="CN219">
        <v>1.2775999999999996</v>
      </c>
      <c r="CO219">
        <v>-1.2731999999999997</v>
      </c>
      <c r="CP219">
        <v>3.4680000000000009</v>
      </c>
      <c r="CQ219">
        <v>24.2</v>
      </c>
      <c r="CR219">
        <v>-4.4399999999999995</v>
      </c>
      <c r="CS219">
        <v>1.2800000000000029</v>
      </c>
      <c r="CT219">
        <v>2.5600000000000005</v>
      </c>
      <c r="CU219">
        <v>-2.68</v>
      </c>
      <c r="CV219">
        <v>-0.97109999999999985</v>
      </c>
      <c r="CW219">
        <v>-1.0410999999999999</v>
      </c>
      <c r="CX219" t="s">
        <v>265</v>
      </c>
      <c r="CY219">
        <v>29</v>
      </c>
      <c r="CZ219">
        <v>-2.6248000000000005</v>
      </c>
      <c r="DA219">
        <v>12</v>
      </c>
      <c r="DB219">
        <v>11.5</v>
      </c>
      <c r="DC219">
        <v>15</v>
      </c>
      <c r="DD219">
        <v>4.556</v>
      </c>
      <c r="DE219">
        <v>8</v>
      </c>
      <c r="DF219">
        <v>15.919999999999998</v>
      </c>
      <c r="DG219">
        <v>8.0000000000000251E-2</v>
      </c>
      <c r="DH219">
        <v>14</v>
      </c>
      <c r="DI219">
        <v>15</v>
      </c>
      <c r="DJ219">
        <v>14</v>
      </c>
      <c r="DK219">
        <v>-2.2759999999999998</v>
      </c>
      <c r="DL219">
        <v>16</v>
      </c>
      <c r="DM219">
        <v>-11.16</v>
      </c>
      <c r="DN219">
        <v>-0.48</v>
      </c>
      <c r="DO219">
        <v>25</v>
      </c>
      <c r="DP219">
        <v>20</v>
      </c>
      <c r="DQ219">
        <v>19</v>
      </c>
      <c r="DR219">
        <v>-1.6920000000000002</v>
      </c>
      <c r="DS219">
        <v>21</v>
      </c>
      <c r="DT219">
        <v>-6.3199999999999985</v>
      </c>
      <c r="DU219">
        <v>-4.0000000000000216E-2</v>
      </c>
      <c r="DV219">
        <v>28</v>
      </c>
      <c r="DW219">
        <v>27</v>
      </c>
      <c r="DX219">
        <v>28</v>
      </c>
      <c r="DY219">
        <v>-2.9679999999999995</v>
      </c>
      <c r="DZ219">
        <v>26</v>
      </c>
      <c r="EA219">
        <v>1.7200000000000002</v>
      </c>
      <c r="EB219">
        <v>0.24000000000000005</v>
      </c>
      <c r="EC219">
        <v>20</v>
      </c>
      <c r="ED219">
        <v>19.5</v>
      </c>
      <c r="EE219">
        <v>20</v>
      </c>
      <c r="EF219">
        <v>-2.456</v>
      </c>
      <c r="EG219">
        <v>19</v>
      </c>
      <c r="EH219">
        <v>-13.84</v>
      </c>
      <c r="EI219">
        <v>-0.20000000000000004</v>
      </c>
      <c r="EJ219">
        <v>21</v>
      </c>
      <c r="EK219">
        <v>21.5</v>
      </c>
      <c r="EL219">
        <v>20</v>
      </c>
      <c r="EM219">
        <v>-4.2959999999999994</v>
      </c>
      <c r="EN219">
        <v>23</v>
      </c>
      <c r="EO219">
        <v>-18.16</v>
      </c>
      <c r="EP219">
        <v>-0.35999999999999976</v>
      </c>
      <c r="EQ219">
        <v>15</v>
      </c>
      <c r="ER219">
        <v>15</v>
      </c>
      <c r="ES219">
        <v>12</v>
      </c>
      <c r="ET219">
        <v>-6.7999999999999255E-2</v>
      </c>
      <c r="EU219">
        <v>18</v>
      </c>
      <c r="EV219">
        <v>3.9999999999999147E-2</v>
      </c>
      <c r="EW219">
        <v>-1.3199999999999998</v>
      </c>
      <c r="EX219">
        <v>15</v>
      </c>
      <c r="EY219">
        <v>13</v>
      </c>
      <c r="EZ219">
        <v>14</v>
      </c>
      <c r="FA219">
        <v>0.32000000000000012</v>
      </c>
      <c r="FB219">
        <v>12</v>
      </c>
      <c r="FC219">
        <v>0.51999999999999991</v>
      </c>
      <c r="FD219">
        <v>0.99999999999999967</v>
      </c>
      <c r="FE219">
        <v>32</v>
      </c>
      <c r="FF219">
        <v>29.25</v>
      </c>
      <c r="FG219">
        <v>28</v>
      </c>
      <c r="FH219">
        <v>-7.0895088979815099E-2</v>
      </c>
      <c r="FI219">
        <v>29</v>
      </c>
      <c r="FJ219">
        <v>-2.2622690200616954E-2</v>
      </c>
      <c r="FK219">
        <v>29</v>
      </c>
      <c r="FL219">
        <v>10.704000000000001</v>
      </c>
      <c r="FM219">
        <v>31</v>
      </c>
      <c r="FN219">
        <v>-1.4799999999999995</v>
      </c>
      <c r="FO219">
        <v>-1.1199999999999997</v>
      </c>
      <c r="FP219">
        <v>2.3600000000000003</v>
      </c>
      <c r="FQ219">
        <v>0.76</v>
      </c>
      <c r="FR219">
        <v>0.52000000000000313</v>
      </c>
      <c r="FS219">
        <v>0.19999999999999929</v>
      </c>
      <c r="FT219">
        <v>-0.87999999999999989</v>
      </c>
      <c r="FU219">
        <v>-32.680000000000007</v>
      </c>
      <c r="FV219">
        <v>-32.32</v>
      </c>
      <c r="FW219">
        <v>2.0399999999999978</v>
      </c>
      <c r="FX219">
        <v>-4.12</v>
      </c>
      <c r="FY219">
        <v>1.7200000000000002</v>
      </c>
      <c r="FZ219">
        <v>27</v>
      </c>
      <c r="GA219">
        <v>-4.9048000000000007</v>
      </c>
      <c r="GB219">
        <v>-3.1017600000000001</v>
      </c>
      <c r="GC219">
        <v>-34.36</v>
      </c>
      <c r="GD219">
        <v>4.9048000000000007</v>
      </c>
      <c r="GE219">
        <v>-0.90109999999999979</v>
      </c>
      <c r="GF219">
        <v>-7.1159999999999997</v>
      </c>
      <c r="GG219">
        <v>-18.439999999999998</v>
      </c>
      <c r="GH219">
        <v>2.2800000000000002</v>
      </c>
      <c r="GI219">
        <v>4.759999999999998</v>
      </c>
      <c r="GJ219">
        <v>-1.32</v>
      </c>
      <c r="GK219">
        <v>-0.39999999999999974</v>
      </c>
    </row>
    <row r="220" spans="1:193" x14ac:dyDescent="0.2">
      <c r="A220" s="39">
        <v>43786</v>
      </c>
      <c r="B220" s="22" t="s">
        <v>259</v>
      </c>
      <c r="C220" s="41" t="s">
        <v>293</v>
      </c>
      <c r="D220" s="22" t="s">
        <v>276</v>
      </c>
      <c r="E220">
        <v>23.5</v>
      </c>
      <c r="F220">
        <v>8.3000000000000007</v>
      </c>
      <c r="G220">
        <v>18.899999999999999</v>
      </c>
      <c r="H220">
        <v>5.8</v>
      </c>
      <c r="I220">
        <v>7</v>
      </c>
      <c r="J220">
        <v>41.5</v>
      </c>
      <c r="K220" t="s">
        <v>110</v>
      </c>
      <c r="L220" s="1" t="s">
        <v>293</v>
      </c>
      <c r="M220">
        <v>13</v>
      </c>
      <c r="N220">
        <v>1.0091999999999994</v>
      </c>
      <c r="O220">
        <v>31</v>
      </c>
      <c r="P220">
        <v>29</v>
      </c>
      <c r="Q220">
        <v>27</v>
      </c>
      <c r="R220">
        <v>-3.8079999999999998</v>
      </c>
      <c r="S220">
        <v>31</v>
      </c>
      <c r="T220">
        <v>-26.560000000000002</v>
      </c>
      <c r="U220">
        <v>0.88000000000000012</v>
      </c>
      <c r="V220">
        <v>26</v>
      </c>
      <c r="W220">
        <v>24.5</v>
      </c>
      <c r="X220">
        <v>23</v>
      </c>
      <c r="Y220">
        <v>-2.4480000000000004</v>
      </c>
      <c r="Z220">
        <v>26</v>
      </c>
      <c r="AA220">
        <v>-4.1999999999999984</v>
      </c>
      <c r="AB220">
        <v>-0.96000000000000019</v>
      </c>
      <c r="AC220">
        <v>1</v>
      </c>
      <c r="AD220">
        <v>1.5</v>
      </c>
      <c r="AE220">
        <v>2</v>
      </c>
      <c r="AF220">
        <v>3.0719999999999992</v>
      </c>
      <c r="AG220">
        <v>1</v>
      </c>
      <c r="AH220">
        <v>12.999999999999996</v>
      </c>
      <c r="AI220">
        <v>0.8</v>
      </c>
      <c r="AJ220">
        <v>18</v>
      </c>
      <c r="AK220">
        <v>18.5</v>
      </c>
      <c r="AL220">
        <v>18</v>
      </c>
      <c r="AM220">
        <v>-3.0960000000000001</v>
      </c>
      <c r="AN220">
        <v>19</v>
      </c>
      <c r="AO220">
        <v>-10.319999999999999</v>
      </c>
      <c r="AP220">
        <v>-0.31999999999999995</v>
      </c>
      <c r="AQ220">
        <v>5</v>
      </c>
      <c r="AR220">
        <v>5.5</v>
      </c>
      <c r="AS220">
        <v>4</v>
      </c>
      <c r="AT220">
        <v>1.8840000000000003</v>
      </c>
      <c r="AU220">
        <v>7</v>
      </c>
      <c r="AV220">
        <v>4.6400000000000015</v>
      </c>
      <c r="AW220">
        <v>4.0000000000000036E-2</v>
      </c>
      <c r="AX220">
        <v>1</v>
      </c>
      <c r="AY220">
        <v>1</v>
      </c>
      <c r="AZ220">
        <v>1</v>
      </c>
      <c r="BA220">
        <v>2.1039999999999992</v>
      </c>
      <c r="BB220">
        <v>1</v>
      </c>
      <c r="BC220">
        <v>18.64</v>
      </c>
      <c r="BD220">
        <v>2.1599999999999997</v>
      </c>
      <c r="BE220">
        <v>10</v>
      </c>
      <c r="BF220">
        <v>11</v>
      </c>
      <c r="BG220">
        <v>12</v>
      </c>
      <c r="BH220">
        <v>-1.968</v>
      </c>
      <c r="BI220">
        <v>2.9599999999999995</v>
      </c>
      <c r="BJ220">
        <v>-0.32000000000000012</v>
      </c>
      <c r="BK220">
        <v>13</v>
      </c>
      <c r="BL220">
        <v>12</v>
      </c>
      <c r="BM220">
        <v>3</v>
      </c>
      <c r="BN220">
        <v>-0.84000000000000019</v>
      </c>
      <c r="BO220">
        <v>21</v>
      </c>
      <c r="BP220">
        <v>-0.64</v>
      </c>
      <c r="BQ220">
        <v>-2.2800000000000002</v>
      </c>
      <c r="BR220">
        <v>16</v>
      </c>
      <c r="BS220">
        <v>14.5</v>
      </c>
      <c r="BT220">
        <v>12</v>
      </c>
      <c r="BU220">
        <v>3.0079780870742728E-2</v>
      </c>
      <c r="BV220">
        <v>10</v>
      </c>
      <c r="BW220">
        <v>3.8073036525563485E-3</v>
      </c>
      <c r="BX220">
        <v>14</v>
      </c>
      <c r="BY220">
        <v>5.0839999999999979</v>
      </c>
      <c r="BZ220">
        <v>22</v>
      </c>
      <c r="CA220">
        <v>0.6</v>
      </c>
      <c r="CB220">
        <v>-0.72000000000000031</v>
      </c>
      <c r="CC220">
        <v>-1.400000000000001</v>
      </c>
      <c r="CD220">
        <v>0.35999999999999988</v>
      </c>
      <c r="CE220">
        <v>-21.719999999999992</v>
      </c>
      <c r="CF220">
        <v>11.719999999999994</v>
      </c>
      <c r="CG220">
        <v>-31.76</v>
      </c>
      <c r="CH220">
        <v>-2.04</v>
      </c>
      <c r="CI220">
        <v>0.35999999999999976</v>
      </c>
      <c r="CJ220">
        <v>3</v>
      </c>
      <c r="CK220">
        <v>7.2652000000000001</v>
      </c>
      <c r="CL220">
        <v>3.3082400000000001</v>
      </c>
      <c r="CM220">
        <v>43.48</v>
      </c>
      <c r="CN220">
        <v>-7.2652000000000001</v>
      </c>
      <c r="CO220">
        <v>-0.77435000000000009</v>
      </c>
      <c r="CP220">
        <v>1.8599999999999994</v>
      </c>
      <c r="CQ220">
        <v>7.3199999999999994</v>
      </c>
      <c r="CR220">
        <v>-6.2560000000000002</v>
      </c>
      <c r="CS220">
        <v>-30.76</v>
      </c>
      <c r="CT220">
        <v>0.2</v>
      </c>
      <c r="CU220">
        <v>-8.0000000000000071E-2</v>
      </c>
      <c r="CV220">
        <v>1.110625</v>
      </c>
      <c r="CW220">
        <v>1.3400999999999996</v>
      </c>
      <c r="CX220" t="s">
        <v>276</v>
      </c>
      <c r="CY220">
        <v>24</v>
      </c>
      <c r="CZ220">
        <v>-0.48679999999999984</v>
      </c>
      <c r="DA220">
        <v>10</v>
      </c>
      <c r="DB220">
        <v>10.5</v>
      </c>
      <c r="DC220">
        <v>8</v>
      </c>
      <c r="DD220">
        <v>2.7960000000000007</v>
      </c>
      <c r="DE220">
        <v>13</v>
      </c>
      <c r="DF220">
        <v>9.1199999999999992</v>
      </c>
      <c r="DG220">
        <v>0.16000000000000009</v>
      </c>
      <c r="DH220">
        <v>3</v>
      </c>
      <c r="DI220">
        <v>6</v>
      </c>
      <c r="DJ220">
        <v>2</v>
      </c>
      <c r="DK220">
        <v>4.6280000000000001</v>
      </c>
      <c r="DL220">
        <v>10</v>
      </c>
      <c r="DM220">
        <v>15.960000000000003</v>
      </c>
      <c r="DN220">
        <v>1.5599999999999996</v>
      </c>
      <c r="DO220">
        <v>17</v>
      </c>
      <c r="DP220">
        <v>19</v>
      </c>
      <c r="DQ220">
        <v>20</v>
      </c>
      <c r="DR220">
        <v>-0.35600000000000021</v>
      </c>
      <c r="DS220">
        <v>18</v>
      </c>
      <c r="DT220">
        <v>8.6399999999999988</v>
      </c>
      <c r="DU220">
        <v>0.43999999999999984</v>
      </c>
      <c r="DV220">
        <v>20</v>
      </c>
      <c r="DW220">
        <v>19</v>
      </c>
      <c r="DX220">
        <v>20</v>
      </c>
      <c r="DY220">
        <v>2.8600000000000008</v>
      </c>
      <c r="DZ220">
        <v>18</v>
      </c>
      <c r="EA220">
        <v>8.2799999999999976</v>
      </c>
      <c r="EB220">
        <v>0.44000000000000006</v>
      </c>
      <c r="EC220">
        <v>8</v>
      </c>
      <c r="ED220">
        <v>21</v>
      </c>
      <c r="EE220">
        <v>11</v>
      </c>
      <c r="EF220">
        <v>1.9039999999999992</v>
      </c>
      <c r="EG220">
        <v>31</v>
      </c>
      <c r="EH220">
        <v>0.6</v>
      </c>
      <c r="EI220">
        <v>-0.84000000000000008</v>
      </c>
      <c r="EJ220">
        <v>20</v>
      </c>
      <c r="EK220">
        <v>19</v>
      </c>
      <c r="EL220">
        <v>19</v>
      </c>
      <c r="EM220">
        <v>-0.92399999999999949</v>
      </c>
      <c r="EN220">
        <v>19</v>
      </c>
      <c r="EO220">
        <v>2.3599999999999981</v>
      </c>
      <c r="EP220">
        <v>-0.23999999999999969</v>
      </c>
      <c r="EQ220">
        <v>32</v>
      </c>
      <c r="ER220">
        <v>32</v>
      </c>
      <c r="ES220">
        <v>32</v>
      </c>
      <c r="ET220">
        <v>-3.7759999999999998</v>
      </c>
      <c r="EU220">
        <v>32</v>
      </c>
      <c r="EV220">
        <v>-17.84</v>
      </c>
      <c r="EW220">
        <v>-1.8</v>
      </c>
      <c r="EX220">
        <v>32</v>
      </c>
      <c r="EY220">
        <v>32</v>
      </c>
      <c r="EZ220">
        <v>32</v>
      </c>
      <c r="FA220">
        <v>-0.51999999999999991</v>
      </c>
      <c r="FB220">
        <v>32</v>
      </c>
      <c r="FC220">
        <v>-0.36000000000000004</v>
      </c>
      <c r="FD220">
        <v>-1.6800000000000004</v>
      </c>
      <c r="FE220">
        <v>7</v>
      </c>
      <c r="FF220">
        <v>12.25</v>
      </c>
      <c r="FG220">
        <v>24</v>
      </c>
      <c r="FH220">
        <v>-2.8830014979980057E-3</v>
      </c>
      <c r="FI220">
        <v>3</v>
      </c>
      <c r="FJ220">
        <v>-1.6720881859146469E-3</v>
      </c>
      <c r="FK220">
        <v>17</v>
      </c>
      <c r="FL220">
        <v>-8.0759999999999952</v>
      </c>
      <c r="FM220">
        <v>5</v>
      </c>
      <c r="FN220">
        <v>-1.3199999999999998</v>
      </c>
      <c r="FO220">
        <v>-0.4</v>
      </c>
      <c r="FP220">
        <v>0.63999999999999913</v>
      </c>
      <c r="FQ220">
        <v>0.55999999999999983</v>
      </c>
      <c r="FR220">
        <v>1.2800000000000011</v>
      </c>
      <c r="FS220">
        <v>1.7599999999999991</v>
      </c>
      <c r="FT220">
        <v>0.68</v>
      </c>
      <c r="FU220">
        <v>36.480000000000004</v>
      </c>
      <c r="FV220">
        <v>10.199999999999994</v>
      </c>
      <c r="FW220">
        <v>24.32</v>
      </c>
      <c r="FX220">
        <v>2.12</v>
      </c>
      <c r="FY220">
        <v>-0.15999999999999978</v>
      </c>
      <c r="FZ220">
        <v>30</v>
      </c>
      <c r="GA220">
        <v>-7.9108000000000001</v>
      </c>
      <c r="GB220">
        <v>-3.6829600000000005</v>
      </c>
      <c r="GC220">
        <v>-14.120000000000006</v>
      </c>
      <c r="GD220">
        <v>7.9108000000000009</v>
      </c>
      <c r="GE220">
        <v>0.88115000000000032</v>
      </c>
      <c r="GF220">
        <v>4.4079999999999995</v>
      </c>
      <c r="GG220">
        <v>17.519999999999996</v>
      </c>
      <c r="GH220">
        <v>7.4240000000000013</v>
      </c>
      <c r="GI220">
        <v>25.080000000000002</v>
      </c>
      <c r="GJ220">
        <v>-1.7600000000000002</v>
      </c>
      <c r="GK220">
        <v>1.7199999999999998</v>
      </c>
    </row>
    <row r="221" spans="1:193" x14ac:dyDescent="0.2">
      <c r="A221" s="39">
        <v>43786</v>
      </c>
      <c r="B221" s="22" t="s">
        <v>259</v>
      </c>
      <c r="C221" s="41" t="s">
        <v>312</v>
      </c>
      <c r="D221" s="22" t="s">
        <v>278</v>
      </c>
      <c r="E221" s="3">
        <v>26.1</v>
      </c>
      <c r="F221">
        <v>9.5</v>
      </c>
      <c r="G221">
        <v>0</v>
      </c>
      <c r="H221">
        <f>17.7+11+4.8</f>
        <v>33.5</v>
      </c>
      <c r="I221">
        <v>-10</v>
      </c>
      <c r="J221">
        <v>40.5</v>
      </c>
      <c r="L221" s="1" t="s">
        <v>312</v>
      </c>
      <c r="M221">
        <v>6</v>
      </c>
      <c r="N221">
        <v>2.9999999999999991</v>
      </c>
      <c r="O221">
        <v>12</v>
      </c>
      <c r="P221">
        <v>14.5</v>
      </c>
      <c r="Q221">
        <v>7</v>
      </c>
      <c r="R221">
        <v>4.2744</v>
      </c>
      <c r="S221">
        <v>22</v>
      </c>
      <c r="T221">
        <v>18.32</v>
      </c>
      <c r="U221">
        <v>1.2400000000000002</v>
      </c>
      <c r="V221">
        <v>5</v>
      </c>
      <c r="W221">
        <v>8</v>
      </c>
      <c r="X221">
        <v>13</v>
      </c>
      <c r="Y221">
        <v>-2.7999999999999758E-2</v>
      </c>
      <c r="Z221">
        <v>3</v>
      </c>
      <c r="AA221">
        <v>19.239999999999998</v>
      </c>
      <c r="AB221">
        <v>-0.92000000000000015</v>
      </c>
      <c r="AC221">
        <v>16</v>
      </c>
      <c r="AD221">
        <v>17</v>
      </c>
      <c r="AE221">
        <v>18</v>
      </c>
      <c r="AF221">
        <v>3.62</v>
      </c>
      <c r="AG221">
        <v>16</v>
      </c>
      <c r="AH221">
        <v>6.759999999999998</v>
      </c>
      <c r="AI221">
        <v>0.2</v>
      </c>
      <c r="AJ221">
        <v>23</v>
      </c>
      <c r="AK221">
        <v>22</v>
      </c>
      <c r="AL221">
        <v>26</v>
      </c>
      <c r="AM221">
        <v>4.8199999999999994</v>
      </c>
      <c r="AN221">
        <v>18</v>
      </c>
      <c r="AO221">
        <v>32.64</v>
      </c>
      <c r="AP221">
        <v>0.88000000000000012</v>
      </c>
      <c r="AQ221">
        <v>27</v>
      </c>
      <c r="AR221">
        <v>28</v>
      </c>
      <c r="AS221">
        <v>27</v>
      </c>
      <c r="AT221">
        <v>-2.8</v>
      </c>
      <c r="AU221">
        <v>29</v>
      </c>
      <c r="AV221">
        <v>-17.079999999999998</v>
      </c>
      <c r="AW221">
        <v>-2.2400000000000002</v>
      </c>
      <c r="AX221">
        <v>29</v>
      </c>
      <c r="AY221">
        <v>29</v>
      </c>
      <c r="AZ221">
        <v>29</v>
      </c>
      <c r="BA221">
        <v>-7.419999999999999</v>
      </c>
      <c r="BB221">
        <v>29</v>
      </c>
      <c r="BC221">
        <v>-38.600000000000009</v>
      </c>
      <c r="BD221">
        <v>-4.3199999999999994</v>
      </c>
      <c r="BE221">
        <v>5</v>
      </c>
      <c r="BF221">
        <v>6</v>
      </c>
      <c r="BG221">
        <v>3</v>
      </c>
      <c r="BH221">
        <v>5.6559999999999997</v>
      </c>
      <c r="BI221">
        <v>13.319999999999999</v>
      </c>
      <c r="BJ221">
        <v>2.36</v>
      </c>
      <c r="BK221">
        <v>26</v>
      </c>
      <c r="BL221">
        <v>25</v>
      </c>
      <c r="BM221">
        <v>21</v>
      </c>
      <c r="BN221">
        <v>2.4</v>
      </c>
      <c r="BO221">
        <v>29</v>
      </c>
      <c r="BP221">
        <v>0.96</v>
      </c>
      <c r="BQ221">
        <v>0.76000000000000012</v>
      </c>
      <c r="BR221">
        <v>28</v>
      </c>
      <c r="BS221">
        <v>24.5</v>
      </c>
      <c r="BT221">
        <v>22</v>
      </c>
      <c r="BU221">
        <v>1.2926265661550274E-2</v>
      </c>
      <c r="BV221">
        <v>27</v>
      </c>
      <c r="BW221">
        <v>-4.0830687268239498E-2</v>
      </c>
      <c r="BX221">
        <v>22</v>
      </c>
      <c r="BY221">
        <v>12.679999999999998</v>
      </c>
      <c r="BZ221">
        <v>27</v>
      </c>
      <c r="CA221">
        <v>-4.9599999999999991</v>
      </c>
      <c r="CB221">
        <v>4.08</v>
      </c>
      <c r="CC221">
        <v>6.4800000000000013</v>
      </c>
      <c r="CD221">
        <v>-0.27999999999999997</v>
      </c>
      <c r="CE221">
        <v>54.879999999999995</v>
      </c>
      <c r="CF221">
        <v>34.28</v>
      </c>
      <c r="CG221">
        <v>32.720000000000006</v>
      </c>
      <c r="CH221">
        <v>1.9600000000000002</v>
      </c>
      <c r="CI221">
        <v>-14.080000000000002</v>
      </c>
      <c r="CJ221">
        <v>16</v>
      </c>
      <c r="CK221">
        <v>-1.2464000000000011</v>
      </c>
      <c r="CL221">
        <v>0.73599999999999888</v>
      </c>
      <c r="CM221">
        <v>1.5599999999999952</v>
      </c>
      <c r="CN221">
        <v>1.2464000000000013</v>
      </c>
      <c r="CO221">
        <v>2.6177999999999995</v>
      </c>
      <c r="CP221">
        <v>5.64</v>
      </c>
      <c r="CQ221">
        <v>22.32</v>
      </c>
      <c r="CR221">
        <v>4.2464000000000004</v>
      </c>
      <c r="CS221">
        <v>37.56</v>
      </c>
      <c r="CT221">
        <v>1.1999999999999997</v>
      </c>
      <c r="CU221">
        <v>0.32000000000000006</v>
      </c>
      <c r="CV221">
        <v>-0.28638749999999991</v>
      </c>
      <c r="CW221">
        <v>1.3730749999999998</v>
      </c>
      <c r="CX221" t="s">
        <v>278</v>
      </c>
      <c r="CY221">
        <v>15</v>
      </c>
      <c r="CZ221">
        <v>-4.491200000000001</v>
      </c>
      <c r="DA221">
        <v>28</v>
      </c>
      <c r="DB221">
        <v>24.5</v>
      </c>
      <c r="DC221">
        <v>25</v>
      </c>
      <c r="DD221">
        <v>-5.9315999999999987</v>
      </c>
      <c r="DE221">
        <v>24</v>
      </c>
      <c r="DF221">
        <v>-37.760000000000005</v>
      </c>
      <c r="DG221">
        <v>0.56000000000000016</v>
      </c>
      <c r="DH221">
        <v>28</v>
      </c>
      <c r="DI221">
        <v>25.5</v>
      </c>
      <c r="DJ221">
        <v>28</v>
      </c>
      <c r="DK221">
        <v>-1.8159999999999996</v>
      </c>
      <c r="DL221">
        <v>23</v>
      </c>
      <c r="DM221">
        <v>-11.440000000000001</v>
      </c>
      <c r="DN221">
        <v>-0.2</v>
      </c>
      <c r="DO221">
        <v>14</v>
      </c>
      <c r="DP221">
        <v>8.5</v>
      </c>
      <c r="DQ221">
        <v>9</v>
      </c>
      <c r="DR221">
        <v>-0.21599999999999966</v>
      </c>
      <c r="DS221">
        <v>8</v>
      </c>
      <c r="DT221">
        <v>8.8399999999999981</v>
      </c>
      <c r="DU221">
        <v>-2.3999999999999995</v>
      </c>
      <c r="DV221">
        <v>17</v>
      </c>
      <c r="DW221">
        <v>16.5</v>
      </c>
      <c r="DX221">
        <v>14</v>
      </c>
      <c r="DY221">
        <v>-3.5320000000000009</v>
      </c>
      <c r="DZ221">
        <v>19</v>
      </c>
      <c r="EA221">
        <v>-23.2</v>
      </c>
      <c r="EB221">
        <v>0.67999999999999994</v>
      </c>
      <c r="EC221">
        <v>15</v>
      </c>
      <c r="ED221">
        <v>7.5</v>
      </c>
      <c r="EE221">
        <v>9</v>
      </c>
      <c r="EF221">
        <v>-1.1439999999999997</v>
      </c>
      <c r="EG221">
        <v>6</v>
      </c>
      <c r="EH221">
        <v>0.95999999999999974</v>
      </c>
      <c r="EI221">
        <v>0.36</v>
      </c>
      <c r="EJ221">
        <v>30</v>
      </c>
      <c r="EK221">
        <v>28.5</v>
      </c>
      <c r="EL221">
        <v>28</v>
      </c>
      <c r="EM221">
        <v>-4.8840000000000003</v>
      </c>
      <c r="EN221">
        <v>29</v>
      </c>
      <c r="EO221">
        <v>-27.639999999999997</v>
      </c>
      <c r="EP221">
        <v>-1.64</v>
      </c>
      <c r="EQ221">
        <v>6</v>
      </c>
      <c r="ER221">
        <v>8</v>
      </c>
      <c r="ES221">
        <v>9</v>
      </c>
      <c r="ET221">
        <v>0.92400000000000015</v>
      </c>
      <c r="EU221">
        <v>7</v>
      </c>
      <c r="EV221">
        <v>10.84</v>
      </c>
      <c r="EW221">
        <v>1.0400000000000003</v>
      </c>
      <c r="EX221">
        <v>9</v>
      </c>
      <c r="EY221">
        <v>9.5</v>
      </c>
      <c r="EZ221">
        <v>8</v>
      </c>
      <c r="FA221">
        <v>0.64</v>
      </c>
      <c r="FB221">
        <v>11</v>
      </c>
      <c r="FC221">
        <v>3.9999999999999994E-2</v>
      </c>
      <c r="FD221">
        <v>1.4799999999999995</v>
      </c>
      <c r="FE221">
        <v>12</v>
      </c>
      <c r="FF221">
        <v>14.5</v>
      </c>
      <c r="FG221">
        <v>25</v>
      </c>
      <c r="FH221">
        <v>-6.0139210865432689E-2</v>
      </c>
      <c r="FI221">
        <v>6</v>
      </c>
      <c r="FJ221">
        <v>2.3434299961670423E-2</v>
      </c>
      <c r="FK221">
        <v>10</v>
      </c>
      <c r="FL221">
        <v>-9.2239999999999984</v>
      </c>
      <c r="FM221">
        <v>17</v>
      </c>
      <c r="FN221">
        <v>2.04</v>
      </c>
      <c r="FO221">
        <v>-0.28000000000000114</v>
      </c>
      <c r="FP221">
        <v>-2</v>
      </c>
      <c r="FQ221">
        <v>0.6</v>
      </c>
      <c r="FR221">
        <v>-0.99999999999999856</v>
      </c>
      <c r="FS221">
        <v>-7.2</v>
      </c>
      <c r="FT221">
        <v>0.67999999999999994</v>
      </c>
      <c r="FU221">
        <v>-62.720000000000013</v>
      </c>
      <c r="FV221">
        <v>-14.280000000000006</v>
      </c>
      <c r="FW221">
        <v>-47.36</v>
      </c>
      <c r="FX221">
        <v>-5.16</v>
      </c>
      <c r="FY221">
        <v>4.08</v>
      </c>
      <c r="FZ221">
        <v>9</v>
      </c>
      <c r="GA221">
        <v>3.2563999999999975</v>
      </c>
      <c r="GB221">
        <v>2.1819599999999992</v>
      </c>
      <c r="GC221">
        <v>33.079999999999991</v>
      </c>
      <c r="GD221">
        <v>-3.2563999999999975</v>
      </c>
      <c r="GE221">
        <v>-1.9458499999999996</v>
      </c>
      <c r="GF221">
        <v>-4.8920000000000003</v>
      </c>
      <c r="GG221">
        <v>-13.400000000000002</v>
      </c>
      <c r="GH221">
        <v>-7.7475999999999985</v>
      </c>
      <c r="GI221">
        <v>-49.2</v>
      </c>
      <c r="GJ221">
        <v>-0.31999999999999917</v>
      </c>
      <c r="GK221">
        <v>0.36000000000000015</v>
      </c>
    </row>
    <row r="222" spans="1:193" x14ac:dyDescent="0.2">
      <c r="A222" s="39">
        <v>43786</v>
      </c>
      <c r="B222" s="22" t="s">
        <v>259</v>
      </c>
      <c r="C222" s="41" t="s">
        <v>302</v>
      </c>
      <c r="D222" s="22" t="s">
        <v>294</v>
      </c>
      <c r="E222">
        <v>14.9</v>
      </c>
      <c r="F222">
        <v>3.2</v>
      </c>
      <c r="G222">
        <v>12.3</v>
      </c>
      <c r="H222">
        <v>10.5</v>
      </c>
      <c r="I222">
        <v>-4.5</v>
      </c>
      <c r="J222">
        <v>45</v>
      </c>
      <c r="L222" s="1" t="s">
        <v>302</v>
      </c>
      <c r="M222">
        <v>24</v>
      </c>
      <c r="N222">
        <v>-2.4328000000000003</v>
      </c>
      <c r="O222">
        <v>27</v>
      </c>
      <c r="P222">
        <v>25</v>
      </c>
      <c r="Q222">
        <v>32</v>
      </c>
      <c r="R222">
        <v>-4.4759999999999991</v>
      </c>
      <c r="S222">
        <v>18</v>
      </c>
      <c r="T222">
        <v>-8.0399999999999974</v>
      </c>
      <c r="U222">
        <v>-0.47999999999999987</v>
      </c>
      <c r="V222">
        <v>12</v>
      </c>
      <c r="W222">
        <v>11.5</v>
      </c>
      <c r="X222">
        <v>5</v>
      </c>
      <c r="Y222">
        <v>7.8599999999999994</v>
      </c>
      <c r="Z222">
        <v>18</v>
      </c>
      <c r="AA222">
        <v>-5.1199999999999992</v>
      </c>
      <c r="AB222">
        <v>3.08</v>
      </c>
      <c r="AC222">
        <v>4</v>
      </c>
      <c r="AD222">
        <v>4</v>
      </c>
      <c r="AE222">
        <v>3</v>
      </c>
      <c r="AF222">
        <v>3.2969999999999997</v>
      </c>
      <c r="AG222">
        <v>5</v>
      </c>
      <c r="AH222">
        <v>7.7399999999999993</v>
      </c>
      <c r="AI222">
        <v>3.45</v>
      </c>
      <c r="AJ222">
        <v>14</v>
      </c>
      <c r="AK222">
        <v>14</v>
      </c>
      <c r="AL222">
        <v>15</v>
      </c>
      <c r="AM222">
        <v>-2.944</v>
      </c>
      <c r="AN222">
        <v>13</v>
      </c>
      <c r="AO222">
        <v>-20.639999999999997</v>
      </c>
      <c r="AP222">
        <v>-0.8</v>
      </c>
      <c r="AQ222">
        <v>16</v>
      </c>
      <c r="AR222">
        <v>16</v>
      </c>
      <c r="AS222">
        <v>13</v>
      </c>
      <c r="AT222">
        <v>1.1519999999999997</v>
      </c>
      <c r="AU222">
        <v>19</v>
      </c>
      <c r="AV222">
        <v>6.6</v>
      </c>
      <c r="AW222">
        <v>0.76000000000000012</v>
      </c>
      <c r="AX222">
        <v>4</v>
      </c>
      <c r="AY222">
        <v>4.5</v>
      </c>
      <c r="AZ222">
        <v>2</v>
      </c>
      <c r="BA222">
        <v>6.5399999999999991</v>
      </c>
      <c r="BB222">
        <v>7</v>
      </c>
      <c r="BC222">
        <v>2.7600000000000025</v>
      </c>
      <c r="BD222">
        <v>21.84</v>
      </c>
      <c r="BE222">
        <v>25</v>
      </c>
      <c r="BF222">
        <v>25.5</v>
      </c>
      <c r="BG222">
        <v>28</v>
      </c>
      <c r="BH222">
        <v>-2.2160000000000006</v>
      </c>
      <c r="BI222">
        <v>-7.2</v>
      </c>
      <c r="BJ222">
        <v>-0.35999999999999976</v>
      </c>
      <c r="BK222">
        <v>2</v>
      </c>
      <c r="BL222">
        <v>5</v>
      </c>
      <c r="BM222">
        <v>8</v>
      </c>
      <c r="BN222">
        <v>0.6</v>
      </c>
      <c r="BO222">
        <v>2</v>
      </c>
      <c r="BP222">
        <v>7.9999999999999988E-2</v>
      </c>
      <c r="BQ222">
        <v>8.2799999999999994</v>
      </c>
      <c r="BR222">
        <v>27</v>
      </c>
      <c r="BS222">
        <v>23.25</v>
      </c>
      <c r="BT222">
        <v>23</v>
      </c>
      <c r="BU222">
        <v>-4.2854847409853958E-2</v>
      </c>
      <c r="BV222">
        <v>26</v>
      </c>
      <c r="BW222">
        <v>-2.869380473277109E-2</v>
      </c>
      <c r="BX222">
        <v>23</v>
      </c>
      <c r="BY222">
        <v>-0.72400000000000087</v>
      </c>
      <c r="BZ222">
        <v>21</v>
      </c>
      <c r="CA222">
        <v>-1.32</v>
      </c>
      <c r="CB222">
        <v>7.9999999999999982</v>
      </c>
      <c r="CC222">
        <v>0.23999999999999985</v>
      </c>
      <c r="CD222">
        <v>2.4</v>
      </c>
      <c r="CE222">
        <v>13.479999999999995</v>
      </c>
      <c r="CF222">
        <v>27.95999999999999</v>
      </c>
      <c r="CG222">
        <v>-1.3200000000000016</v>
      </c>
      <c r="CH222">
        <v>0.7599999999999999</v>
      </c>
      <c r="CI222">
        <v>-13.919999999999998</v>
      </c>
      <c r="CJ222">
        <v>27</v>
      </c>
      <c r="CK222">
        <v>-5.8168000000000006</v>
      </c>
      <c r="CL222">
        <v>-2.3207600000000004</v>
      </c>
      <c r="CM222">
        <v>29.27999999999999</v>
      </c>
      <c r="CN222">
        <v>5.8168000000000006</v>
      </c>
      <c r="CO222">
        <v>0.10502499999999985</v>
      </c>
      <c r="CP222">
        <v>1.5049999999999994</v>
      </c>
      <c r="CQ222">
        <v>-6.2999999999999989</v>
      </c>
      <c r="CR222">
        <v>3.3840000000000003</v>
      </c>
      <c r="CS222">
        <v>-13.159999999999997</v>
      </c>
      <c r="CT222">
        <v>3.0500000000000007</v>
      </c>
      <c r="CU222">
        <v>2.6</v>
      </c>
      <c r="CV222">
        <v>-2.3284625000000001</v>
      </c>
      <c r="CW222">
        <v>-3.2124000000000001</v>
      </c>
      <c r="CX222" t="s">
        <v>294</v>
      </c>
      <c r="CY222">
        <v>30</v>
      </c>
      <c r="CZ222">
        <v>-3.033599999999999</v>
      </c>
      <c r="DA222">
        <v>18</v>
      </c>
      <c r="DB222">
        <v>19.5</v>
      </c>
      <c r="DC222">
        <v>7</v>
      </c>
      <c r="DD222">
        <v>1.4043999999999994</v>
      </c>
      <c r="DE222">
        <v>32</v>
      </c>
      <c r="DF222">
        <v>-18.32</v>
      </c>
      <c r="DG222">
        <v>0.80000000000000016</v>
      </c>
      <c r="DH222">
        <v>5</v>
      </c>
      <c r="DI222">
        <v>8</v>
      </c>
      <c r="DJ222">
        <v>13</v>
      </c>
      <c r="DK222">
        <v>-3.1840000000000002</v>
      </c>
      <c r="DL222">
        <v>3</v>
      </c>
      <c r="DM222">
        <v>7.44</v>
      </c>
      <c r="DN222">
        <v>-0.48000000000000009</v>
      </c>
      <c r="DO222">
        <v>30</v>
      </c>
      <c r="DP222">
        <v>24</v>
      </c>
      <c r="DQ222">
        <v>24</v>
      </c>
      <c r="DR222">
        <v>-4.1289999999999996</v>
      </c>
      <c r="DS222">
        <v>24</v>
      </c>
      <c r="DT222">
        <v>-18.590000000000003</v>
      </c>
      <c r="DU222">
        <v>-1.8199999999999998</v>
      </c>
      <c r="DV222">
        <v>31</v>
      </c>
      <c r="DW222">
        <v>30.5</v>
      </c>
      <c r="DX222">
        <v>30</v>
      </c>
      <c r="DY222">
        <v>2.6819999999999995</v>
      </c>
      <c r="DZ222">
        <v>31</v>
      </c>
      <c r="EA222">
        <v>4.8600000000000012</v>
      </c>
      <c r="EB222">
        <v>-0.8</v>
      </c>
      <c r="EC222">
        <v>29</v>
      </c>
      <c r="ED222">
        <v>20</v>
      </c>
      <c r="EE222">
        <v>18</v>
      </c>
      <c r="EF222">
        <v>-2.2839999999999998</v>
      </c>
      <c r="EG222">
        <v>22</v>
      </c>
      <c r="EH222">
        <v>-12.440000000000001</v>
      </c>
      <c r="EI222">
        <v>-1.52</v>
      </c>
      <c r="EJ222">
        <v>32</v>
      </c>
      <c r="EK222">
        <v>32</v>
      </c>
      <c r="EL222">
        <v>32</v>
      </c>
      <c r="EM222">
        <v>-11.355999999999998</v>
      </c>
      <c r="EN222">
        <v>32</v>
      </c>
      <c r="EO222">
        <v>-41</v>
      </c>
      <c r="EP222">
        <v>-8.16</v>
      </c>
      <c r="EQ222">
        <v>8</v>
      </c>
      <c r="ER222">
        <v>8.5</v>
      </c>
      <c r="ES222">
        <v>12</v>
      </c>
      <c r="ET222">
        <v>-2.0520000000000005</v>
      </c>
      <c r="EU222">
        <v>5</v>
      </c>
      <c r="EV222">
        <v>-4.1200000000000019</v>
      </c>
      <c r="EW222">
        <v>-1.52</v>
      </c>
      <c r="EX222">
        <v>31</v>
      </c>
      <c r="EY222">
        <v>28.5</v>
      </c>
      <c r="EZ222">
        <v>26</v>
      </c>
      <c r="FA222">
        <v>-0.96</v>
      </c>
      <c r="FB222">
        <v>31</v>
      </c>
      <c r="FC222">
        <v>0.11999999999999993</v>
      </c>
      <c r="FD222">
        <v>-0.48000000000000026</v>
      </c>
      <c r="FE222">
        <v>4</v>
      </c>
      <c r="FF222">
        <v>8.75</v>
      </c>
      <c r="FG222">
        <v>3</v>
      </c>
      <c r="FH222">
        <v>7.5955663524353064E-3</v>
      </c>
      <c r="FI222">
        <v>4</v>
      </c>
      <c r="FJ222">
        <v>2.1717556885565419E-2</v>
      </c>
      <c r="FK222">
        <v>14</v>
      </c>
      <c r="FL222">
        <v>5.9800000000000013</v>
      </c>
      <c r="FM222">
        <v>14</v>
      </c>
      <c r="FN222">
        <v>0.27999999999999992</v>
      </c>
      <c r="FO222">
        <v>-4.4799999999999995</v>
      </c>
      <c r="FP222">
        <v>-2.5199999999999996</v>
      </c>
      <c r="FQ222">
        <v>0.40000000000000008</v>
      </c>
      <c r="FR222">
        <v>-5.8</v>
      </c>
      <c r="FS222">
        <v>-8.0000000000000432E-2</v>
      </c>
      <c r="FT222">
        <v>-1.8399999999999999</v>
      </c>
      <c r="FU222">
        <v>-39.879999999999995</v>
      </c>
      <c r="FV222">
        <v>-40.159999999999997</v>
      </c>
      <c r="FW222">
        <v>-11.120000000000005</v>
      </c>
      <c r="FX222">
        <v>5.32</v>
      </c>
      <c r="FY222">
        <v>6.08</v>
      </c>
      <c r="FZ222">
        <v>19</v>
      </c>
      <c r="GA222">
        <v>-1.2539999999999987</v>
      </c>
      <c r="GB222">
        <v>-0.87351999999999941</v>
      </c>
      <c r="GC222">
        <v>-29.039999999999992</v>
      </c>
      <c r="GD222">
        <v>1.2539999999999982</v>
      </c>
      <c r="GE222">
        <v>-1.4445250000000001</v>
      </c>
      <c r="GF222">
        <v>-3.7309999999999999</v>
      </c>
      <c r="GG222">
        <v>-26.17</v>
      </c>
      <c r="GH222">
        <v>-1.7796000000000007</v>
      </c>
      <c r="GI222">
        <v>-10.879999999999999</v>
      </c>
      <c r="GJ222">
        <v>-5.66</v>
      </c>
      <c r="GK222">
        <v>0.32000000000000006</v>
      </c>
    </row>
    <row r="223" spans="1:193" x14ac:dyDescent="0.2">
      <c r="A223" s="39">
        <v>43786</v>
      </c>
      <c r="B223" s="22" t="s">
        <v>259</v>
      </c>
      <c r="C223" s="41" t="s">
        <v>307</v>
      </c>
      <c r="D223" s="22" t="s">
        <v>284</v>
      </c>
      <c r="E223">
        <v>28.4</v>
      </c>
      <c r="F223">
        <v>9.4</v>
      </c>
      <c r="G223">
        <v>0</v>
      </c>
      <c r="H223">
        <f>11.3+2.8</f>
        <v>14.100000000000001</v>
      </c>
      <c r="I223">
        <v>-5</v>
      </c>
      <c r="J223">
        <v>50.5</v>
      </c>
      <c r="K223" t="s">
        <v>109</v>
      </c>
      <c r="L223" s="1" t="s">
        <v>307</v>
      </c>
      <c r="M223">
        <v>15</v>
      </c>
      <c r="N223">
        <v>0.32720000000000127</v>
      </c>
      <c r="O223">
        <v>8</v>
      </c>
      <c r="P223">
        <v>8.5</v>
      </c>
      <c r="Q223">
        <v>5</v>
      </c>
      <c r="R223">
        <v>6.7200000000000015</v>
      </c>
      <c r="S223">
        <v>12</v>
      </c>
      <c r="T223">
        <v>1.9599999999999995</v>
      </c>
      <c r="U223">
        <v>4.16</v>
      </c>
      <c r="V223">
        <v>16</v>
      </c>
      <c r="W223">
        <v>15</v>
      </c>
      <c r="X223">
        <v>15</v>
      </c>
      <c r="Y223">
        <v>-0.21200000000000019</v>
      </c>
      <c r="Z223">
        <v>15</v>
      </c>
      <c r="AA223">
        <v>6.68</v>
      </c>
      <c r="AB223">
        <v>0.52</v>
      </c>
      <c r="AC223">
        <v>5</v>
      </c>
      <c r="AD223">
        <v>5.5</v>
      </c>
      <c r="AE223">
        <v>4</v>
      </c>
      <c r="AF223">
        <v>8.8919999999999995</v>
      </c>
      <c r="AG223">
        <v>7</v>
      </c>
      <c r="AH223">
        <v>40.880000000000003</v>
      </c>
      <c r="AI223">
        <v>1.9800000000000004</v>
      </c>
      <c r="AJ223">
        <v>32</v>
      </c>
      <c r="AK223">
        <v>32</v>
      </c>
      <c r="AL223">
        <v>32</v>
      </c>
      <c r="AM223">
        <v>-6.5739999999999998</v>
      </c>
      <c r="AN223">
        <v>32</v>
      </c>
      <c r="AO223">
        <v>-24</v>
      </c>
      <c r="AP223">
        <v>-1.94</v>
      </c>
      <c r="AQ223">
        <v>29</v>
      </c>
      <c r="AR223">
        <v>29</v>
      </c>
      <c r="AS223">
        <v>28</v>
      </c>
      <c r="AT223">
        <v>-4.7679999999999998</v>
      </c>
      <c r="AU223">
        <v>30</v>
      </c>
      <c r="AV223">
        <v>-24.72</v>
      </c>
      <c r="AW223">
        <v>-1.8</v>
      </c>
      <c r="AX223">
        <v>28</v>
      </c>
      <c r="AY223">
        <v>28</v>
      </c>
      <c r="AZ223">
        <v>28</v>
      </c>
      <c r="BA223">
        <v>7.1999999999999537E-2</v>
      </c>
      <c r="BB223">
        <v>28</v>
      </c>
      <c r="BC223">
        <v>-11.280000000000001</v>
      </c>
      <c r="BD223">
        <v>-1.7200000000000002</v>
      </c>
      <c r="BE223">
        <v>4</v>
      </c>
      <c r="BF223">
        <v>4.5</v>
      </c>
      <c r="BG223">
        <v>5</v>
      </c>
      <c r="BH223">
        <v>-1.2639999999999998</v>
      </c>
      <c r="BI223">
        <v>-3.4</v>
      </c>
      <c r="BJ223">
        <v>-0.52000000000000013</v>
      </c>
      <c r="BK223">
        <v>4</v>
      </c>
      <c r="BL223">
        <v>7</v>
      </c>
      <c r="BM223">
        <v>4</v>
      </c>
      <c r="BN223">
        <v>0.67999999999999994</v>
      </c>
      <c r="BO223">
        <v>10</v>
      </c>
      <c r="BP223">
        <v>0.48000000000000009</v>
      </c>
      <c r="BQ223">
        <v>1.36</v>
      </c>
      <c r="BR223">
        <v>32</v>
      </c>
      <c r="BS223">
        <v>29.5</v>
      </c>
      <c r="BT223">
        <v>30</v>
      </c>
      <c r="BU223">
        <v>-2.1218997726417877E-2</v>
      </c>
      <c r="BV223">
        <v>28</v>
      </c>
      <c r="BW223">
        <v>-1.4235280455858913E-2</v>
      </c>
      <c r="BX223">
        <v>31</v>
      </c>
      <c r="BY223">
        <v>1.547999999999996</v>
      </c>
      <c r="BZ223">
        <v>29</v>
      </c>
      <c r="CA223">
        <v>-0.96000000000000019</v>
      </c>
      <c r="CB223">
        <v>3.240000000000002</v>
      </c>
      <c r="CC223">
        <v>-1.2400000000000013</v>
      </c>
      <c r="CD223">
        <v>0.87999999999999989</v>
      </c>
      <c r="CE223">
        <v>30.480000000000008</v>
      </c>
      <c r="CF223">
        <v>20.879999999999995</v>
      </c>
      <c r="CG223">
        <v>13.719999999999999</v>
      </c>
      <c r="CH223">
        <v>-1.4000000000000004</v>
      </c>
      <c r="CI223">
        <v>-2.72</v>
      </c>
      <c r="CJ223">
        <v>29</v>
      </c>
      <c r="CK223">
        <v>-6.1807999999999996</v>
      </c>
      <c r="CL223">
        <v>-3.9313600000000002</v>
      </c>
      <c r="CM223">
        <v>7.1599999999999966</v>
      </c>
      <c r="CN223">
        <v>6.1807999999999996</v>
      </c>
      <c r="CO223">
        <v>0.47515000000000029</v>
      </c>
      <c r="CP223">
        <v>-2.4500000000000002</v>
      </c>
      <c r="CQ223">
        <v>-7.8399999999999963</v>
      </c>
      <c r="CR223">
        <v>6.5080000000000009</v>
      </c>
      <c r="CS223">
        <v>8.6399999999999988</v>
      </c>
      <c r="CT223">
        <v>-2.2799999999999998</v>
      </c>
      <c r="CU223">
        <v>4.68</v>
      </c>
      <c r="CV223">
        <v>0.24851249999999991</v>
      </c>
      <c r="CW223">
        <v>-1.9575250000000004</v>
      </c>
      <c r="CX223" t="s">
        <v>284</v>
      </c>
      <c r="CY223">
        <v>4</v>
      </c>
      <c r="CZ223">
        <v>6.3263999999999996</v>
      </c>
      <c r="DA223">
        <v>25</v>
      </c>
      <c r="DB223">
        <v>23.5</v>
      </c>
      <c r="DC223">
        <v>24</v>
      </c>
      <c r="DD223">
        <v>-7.9749999999999996</v>
      </c>
      <c r="DE223">
        <v>23</v>
      </c>
      <c r="DF223">
        <v>-20.65</v>
      </c>
      <c r="DG223">
        <v>-0.38999999999999985</v>
      </c>
      <c r="DH223">
        <v>31</v>
      </c>
      <c r="DI223">
        <v>31</v>
      </c>
      <c r="DJ223">
        <v>31</v>
      </c>
      <c r="DK223">
        <v>-1.4069999999999998</v>
      </c>
      <c r="DL223">
        <v>31</v>
      </c>
      <c r="DM223">
        <v>-3.1399999999999997</v>
      </c>
      <c r="DN223">
        <v>-0.23000000000000004</v>
      </c>
      <c r="DO223">
        <v>9</v>
      </c>
      <c r="DP223">
        <v>6</v>
      </c>
      <c r="DQ223">
        <v>6</v>
      </c>
      <c r="DR223">
        <v>5.1440000000000001</v>
      </c>
      <c r="DS223">
        <v>6</v>
      </c>
      <c r="DT223">
        <v>10.719999999999999</v>
      </c>
      <c r="DU223">
        <v>2.2799999999999998</v>
      </c>
      <c r="DV223">
        <v>1</v>
      </c>
      <c r="DW223">
        <v>1.5</v>
      </c>
      <c r="DX223">
        <v>1</v>
      </c>
      <c r="DY223">
        <v>10.271999999999998</v>
      </c>
      <c r="DZ223">
        <v>2</v>
      </c>
      <c r="EA223">
        <v>20.759999999999998</v>
      </c>
      <c r="EB223">
        <v>0.32000000000000012</v>
      </c>
      <c r="EC223">
        <v>8</v>
      </c>
      <c r="ED223">
        <v>12.5</v>
      </c>
      <c r="EE223">
        <v>17</v>
      </c>
      <c r="EF223">
        <v>0.22800000000000065</v>
      </c>
      <c r="EG223">
        <v>8</v>
      </c>
      <c r="EH223">
        <v>-1.3600000000000005</v>
      </c>
      <c r="EI223">
        <v>-0.20000000000000009</v>
      </c>
      <c r="EJ223">
        <v>2</v>
      </c>
      <c r="EK223">
        <v>3.5</v>
      </c>
      <c r="EL223">
        <v>1</v>
      </c>
      <c r="EM223">
        <v>5.839999999999999</v>
      </c>
      <c r="EN223">
        <v>6</v>
      </c>
      <c r="EO223">
        <v>17.2</v>
      </c>
      <c r="EP223">
        <v>2.7199999999999998</v>
      </c>
      <c r="EQ223">
        <v>21</v>
      </c>
      <c r="ER223">
        <v>20.5</v>
      </c>
      <c r="ES223">
        <v>15</v>
      </c>
      <c r="ET223">
        <v>3.6080000000000014</v>
      </c>
      <c r="EU223">
        <v>26</v>
      </c>
      <c r="EV223">
        <v>6.2799999999999994</v>
      </c>
      <c r="EW223">
        <v>0.6</v>
      </c>
      <c r="EX223">
        <v>16</v>
      </c>
      <c r="EY223">
        <v>14</v>
      </c>
      <c r="EZ223">
        <v>13</v>
      </c>
      <c r="FA223">
        <v>3.44</v>
      </c>
      <c r="FB223">
        <v>15</v>
      </c>
      <c r="FC223">
        <v>0.84000000000000008</v>
      </c>
      <c r="FD223">
        <v>4.5999999999999996</v>
      </c>
      <c r="FE223">
        <v>10</v>
      </c>
      <c r="FF223">
        <v>13.25</v>
      </c>
      <c r="FG223">
        <v>9</v>
      </c>
      <c r="FH223">
        <v>-3.2258835740738866E-2</v>
      </c>
      <c r="FI223">
        <v>26</v>
      </c>
      <c r="FJ223">
        <v>-2.4264800203707401E-2</v>
      </c>
      <c r="FK223">
        <v>6</v>
      </c>
      <c r="FL223">
        <v>4.535999999999996</v>
      </c>
      <c r="FM223">
        <v>12</v>
      </c>
      <c r="FN223">
        <v>-5.56</v>
      </c>
      <c r="FO223">
        <v>1.5199999999999996</v>
      </c>
      <c r="FP223">
        <v>-0.87999999999999967</v>
      </c>
      <c r="FQ223">
        <v>-1.0799999999999998</v>
      </c>
      <c r="FR223">
        <v>-0.31999999999999745</v>
      </c>
      <c r="FS223">
        <v>8.5599999999999987</v>
      </c>
      <c r="FT223">
        <v>0.40000000000000008</v>
      </c>
      <c r="FU223">
        <v>-12.439999999999998</v>
      </c>
      <c r="FV223">
        <v>11.759999999999991</v>
      </c>
      <c r="FW223">
        <v>-21.240000000000002</v>
      </c>
      <c r="FX223">
        <v>2.5999999999999996</v>
      </c>
      <c r="FY223">
        <v>-5.5600000000000005</v>
      </c>
      <c r="FZ223">
        <v>1</v>
      </c>
      <c r="GA223">
        <v>15.708399999999999</v>
      </c>
      <c r="GB223">
        <v>9.8066800000000001</v>
      </c>
      <c r="GC223">
        <v>32.999999999999993</v>
      </c>
      <c r="GD223">
        <v>-15.708399999999999</v>
      </c>
      <c r="GE223">
        <v>2.4545500000000002</v>
      </c>
      <c r="GF223">
        <v>15.643999999999998</v>
      </c>
      <c r="GG223">
        <v>30.119999999999997</v>
      </c>
      <c r="GH223">
        <v>-9.3819999999999997</v>
      </c>
      <c r="GI223">
        <v>-23.79</v>
      </c>
      <c r="GJ223">
        <v>3</v>
      </c>
      <c r="GK223">
        <v>-0.61999999999999988</v>
      </c>
    </row>
    <row r="224" spans="1:193" x14ac:dyDescent="0.2">
      <c r="A224" s="39">
        <v>43786</v>
      </c>
      <c r="B224" s="22" t="s">
        <v>259</v>
      </c>
      <c r="C224" s="41" t="s">
        <v>298</v>
      </c>
      <c r="D224" s="22" t="s">
        <v>306</v>
      </c>
      <c r="E224">
        <v>18.600000000000001</v>
      </c>
      <c r="F224">
        <v>7.6</v>
      </c>
      <c r="G224">
        <v>8.4</v>
      </c>
      <c r="H224">
        <f>24.9+9</f>
        <v>33.9</v>
      </c>
      <c r="I224">
        <v>1</v>
      </c>
      <c r="J224">
        <v>37.5</v>
      </c>
      <c r="L224" s="1" t="s">
        <v>298</v>
      </c>
      <c r="M224">
        <v>21</v>
      </c>
      <c r="N224">
        <v>-1.8151999999999995</v>
      </c>
      <c r="O224">
        <v>19</v>
      </c>
      <c r="P224">
        <v>20.5</v>
      </c>
      <c r="Q224">
        <v>13</v>
      </c>
      <c r="R224">
        <v>-1.58</v>
      </c>
      <c r="S224">
        <v>28</v>
      </c>
      <c r="T224">
        <v>-28.919999999999998</v>
      </c>
      <c r="U224">
        <v>1.24</v>
      </c>
      <c r="V224">
        <v>24</v>
      </c>
      <c r="W224">
        <v>24</v>
      </c>
      <c r="X224">
        <v>27</v>
      </c>
      <c r="Y224">
        <v>-3.528</v>
      </c>
      <c r="Z224">
        <v>21</v>
      </c>
      <c r="AA224">
        <v>-2.6</v>
      </c>
      <c r="AB224">
        <v>-1.44</v>
      </c>
      <c r="AC224">
        <v>31</v>
      </c>
      <c r="AD224">
        <v>31</v>
      </c>
      <c r="AE224">
        <v>30</v>
      </c>
      <c r="AF224">
        <v>-1.335999999999999</v>
      </c>
      <c r="AG224">
        <v>32</v>
      </c>
      <c r="AH224">
        <v>-12.960000000000003</v>
      </c>
      <c r="AI224">
        <v>-1.5</v>
      </c>
      <c r="AJ224">
        <v>21</v>
      </c>
      <c r="AK224">
        <v>20.5</v>
      </c>
      <c r="AL224">
        <v>21</v>
      </c>
      <c r="AM224">
        <v>-2.5979999999999999</v>
      </c>
      <c r="AN224">
        <v>20</v>
      </c>
      <c r="AO224">
        <v>-13.680000000000001</v>
      </c>
      <c r="AP224">
        <v>2.0000000000000018E-2</v>
      </c>
      <c r="AQ224">
        <v>6</v>
      </c>
      <c r="AR224">
        <v>6</v>
      </c>
      <c r="AS224">
        <v>7</v>
      </c>
      <c r="AT224">
        <v>3.1720000000000006</v>
      </c>
      <c r="AU224">
        <v>5</v>
      </c>
      <c r="AV224">
        <v>20.919999999999998</v>
      </c>
      <c r="AW224">
        <v>2.2800000000000002</v>
      </c>
      <c r="AX224">
        <v>24</v>
      </c>
      <c r="AY224">
        <v>25</v>
      </c>
      <c r="AZ224">
        <v>24</v>
      </c>
      <c r="BA224">
        <v>-0.38400000000000001</v>
      </c>
      <c r="BB224">
        <v>26</v>
      </c>
      <c r="BC224">
        <v>-2.8799999999999981</v>
      </c>
      <c r="BD224">
        <v>-5.68</v>
      </c>
      <c r="BE224">
        <v>14</v>
      </c>
      <c r="BF224">
        <v>13.5</v>
      </c>
      <c r="BG224">
        <v>13</v>
      </c>
      <c r="BH224">
        <v>2.8240000000000007</v>
      </c>
      <c r="BI224">
        <v>6.4399999999999995</v>
      </c>
      <c r="BJ224">
        <v>-1.4</v>
      </c>
      <c r="BK224">
        <v>14</v>
      </c>
      <c r="BL224">
        <v>13.5</v>
      </c>
      <c r="BM224">
        <v>19</v>
      </c>
      <c r="BN224">
        <v>-2.12</v>
      </c>
      <c r="BO224">
        <v>8</v>
      </c>
      <c r="BP224">
        <v>-0.4</v>
      </c>
      <c r="BQ224">
        <v>-3.28</v>
      </c>
      <c r="BR224">
        <v>8</v>
      </c>
      <c r="BS224">
        <v>12</v>
      </c>
      <c r="BT224">
        <v>2</v>
      </c>
      <c r="BU224">
        <v>0.10832909945927871</v>
      </c>
      <c r="BV224">
        <v>17</v>
      </c>
      <c r="BW224">
        <v>1.36051905153008E-2</v>
      </c>
      <c r="BX224">
        <v>12</v>
      </c>
      <c r="BY224">
        <v>-1.5120000000000005</v>
      </c>
      <c r="BZ224">
        <v>17</v>
      </c>
      <c r="CA224">
        <v>1.64</v>
      </c>
      <c r="CB224">
        <v>-3.4799999999999995</v>
      </c>
      <c r="CC224">
        <v>-2.04</v>
      </c>
      <c r="CD224">
        <v>-0.51999999999999991</v>
      </c>
      <c r="CE224">
        <v>-43.36</v>
      </c>
      <c r="CF224">
        <v>-0.47999999999999543</v>
      </c>
      <c r="CG224">
        <v>-32.04</v>
      </c>
      <c r="CH224">
        <v>0.6399999999999999</v>
      </c>
      <c r="CI224">
        <v>-11.48</v>
      </c>
      <c r="CJ224">
        <v>11</v>
      </c>
      <c r="CK224">
        <v>3.2928000000000006</v>
      </c>
      <c r="CL224">
        <v>2.6033600000000008</v>
      </c>
      <c r="CM224">
        <v>31.560000000000002</v>
      </c>
      <c r="CN224">
        <v>-3.2928000000000011</v>
      </c>
      <c r="CO224">
        <v>-0.8726499999999997</v>
      </c>
      <c r="CP224">
        <v>-0.76199999999999823</v>
      </c>
      <c r="CQ224">
        <v>-5.720000000000006</v>
      </c>
      <c r="CR224">
        <v>-5.1080000000000005</v>
      </c>
      <c r="CS224">
        <v>-31.52</v>
      </c>
      <c r="CT224">
        <v>-0.59999999999999964</v>
      </c>
      <c r="CU224">
        <v>-0.19999999999999996</v>
      </c>
      <c r="CV224">
        <v>0.72310000000000019</v>
      </c>
      <c r="CW224">
        <v>2.5169000000000001</v>
      </c>
      <c r="CX224" t="s">
        <v>306</v>
      </c>
      <c r="CY224">
        <v>22</v>
      </c>
      <c r="CZ224">
        <v>-5.1579999999999986</v>
      </c>
      <c r="DA224">
        <v>11</v>
      </c>
      <c r="DB224">
        <v>11</v>
      </c>
      <c r="DC224">
        <v>16</v>
      </c>
      <c r="DD224">
        <v>3.3443999999999994</v>
      </c>
      <c r="DE224">
        <v>6</v>
      </c>
      <c r="DF224">
        <v>17.240000000000002</v>
      </c>
      <c r="DG224">
        <v>0.36000000000000004</v>
      </c>
      <c r="DH224">
        <v>10</v>
      </c>
      <c r="DI224">
        <v>12.5</v>
      </c>
      <c r="DJ224">
        <v>16</v>
      </c>
      <c r="DK224">
        <v>0.30000000000000016</v>
      </c>
      <c r="DL224">
        <v>9</v>
      </c>
      <c r="DM224">
        <v>9.76</v>
      </c>
      <c r="DN224">
        <v>0.79999999999999993</v>
      </c>
      <c r="DO224">
        <v>13</v>
      </c>
      <c r="DP224">
        <v>12</v>
      </c>
      <c r="DQ224">
        <v>14</v>
      </c>
      <c r="DR224">
        <v>-2.9359999999999999</v>
      </c>
      <c r="DS224">
        <v>10</v>
      </c>
      <c r="DT224">
        <v>3.5199999999999987</v>
      </c>
      <c r="DU224">
        <v>-1.48</v>
      </c>
      <c r="DV224">
        <v>26</v>
      </c>
      <c r="DW224">
        <v>26.5</v>
      </c>
      <c r="DX224">
        <v>23</v>
      </c>
      <c r="DY224">
        <v>-3.5160000000000005</v>
      </c>
      <c r="DZ224">
        <v>30</v>
      </c>
      <c r="EA224">
        <v>-22.479999999999997</v>
      </c>
      <c r="EB224">
        <v>-3.12</v>
      </c>
      <c r="EC224">
        <v>32</v>
      </c>
      <c r="ED224">
        <v>15</v>
      </c>
      <c r="EE224">
        <v>15</v>
      </c>
      <c r="EF224">
        <v>-1.7600000000000002</v>
      </c>
      <c r="EG224">
        <v>15</v>
      </c>
      <c r="EH224">
        <v>-10.52</v>
      </c>
      <c r="EI224">
        <v>0.23999999999999994</v>
      </c>
      <c r="EJ224">
        <v>7</v>
      </c>
      <c r="EK224">
        <v>7.5</v>
      </c>
      <c r="EL224">
        <v>7</v>
      </c>
      <c r="EM224">
        <v>0.29200000000000087</v>
      </c>
      <c r="EN224">
        <v>8</v>
      </c>
      <c r="EO224">
        <v>8.9199999999999982</v>
      </c>
      <c r="EP224">
        <v>-1.1999999999999997</v>
      </c>
      <c r="EQ224">
        <v>10</v>
      </c>
      <c r="ER224">
        <v>10.5</v>
      </c>
      <c r="ES224">
        <v>6</v>
      </c>
      <c r="ET224">
        <v>0.27999999999999992</v>
      </c>
      <c r="EU224">
        <v>15</v>
      </c>
      <c r="EV224">
        <v>5.76</v>
      </c>
      <c r="EW224">
        <v>-0.15999999999999978</v>
      </c>
      <c r="EX224">
        <v>12</v>
      </c>
      <c r="EY224">
        <v>12.5</v>
      </c>
      <c r="EZ224">
        <v>12</v>
      </c>
      <c r="FA224">
        <v>0.88000000000000023</v>
      </c>
      <c r="FB224">
        <v>13</v>
      </c>
      <c r="FC224">
        <v>0.36</v>
      </c>
      <c r="FD224">
        <v>0.96</v>
      </c>
      <c r="FE224">
        <v>3</v>
      </c>
      <c r="FF224">
        <v>8</v>
      </c>
      <c r="FG224">
        <v>13</v>
      </c>
      <c r="FH224">
        <v>-3.4511208393495127E-2</v>
      </c>
      <c r="FI224">
        <v>2</v>
      </c>
      <c r="FJ224">
        <v>2.1252396387227632E-2</v>
      </c>
      <c r="FK224">
        <v>9</v>
      </c>
      <c r="FL224">
        <v>-0.74000000000000055</v>
      </c>
      <c r="FM224">
        <v>8</v>
      </c>
      <c r="FN224">
        <v>-0.15999999999999998</v>
      </c>
      <c r="FO224">
        <v>-5.1200000000000019</v>
      </c>
      <c r="FP224">
        <v>6.28</v>
      </c>
      <c r="FQ224">
        <v>0.12000000000000002</v>
      </c>
      <c r="FR224">
        <v>1.4400000000000019</v>
      </c>
      <c r="FS224">
        <v>-2.7600000000000002</v>
      </c>
      <c r="FT224">
        <v>-1.6400000000000001</v>
      </c>
      <c r="FU224">
        <v>-2.7600000000000025</v>
      </c>
      <c r="FV224">
        <v>-22.880000000000003</v>
      </c>
      <c r="FW224">
        <v>28.079999999999995</v>
      </c>
      <c r="FX224">
        <v>-3.6399999999999997</v>
      </c>
      <c r="FY224">
        <v>-4.32</v>
      </c>
      <c r="FZ224">
        <v>32</v>
      </c>
      <c r="GA224">
        <v>-8.8023999999999987</v>
      </c>
      <c r="GB224">
        <v>-4.440199999999999</v>
      </c>
      <c r="GC224">
        <v>-50.959999999999994</v>
      </c>
      <c r="GD224">
        <v>8.8023999999999987</v>
      </c>
      <c r="GE224">
        <v>-1.0706999999999998</v>
      </c>
      <c r="GF224">
        <v>-8.2119999999999997</v>
      </c>
      <c r="GG224">
        <v>-29.479999999999997</v>
      </c>
      <c r="GH224">
        <v>3.6443999999999996</v>
      </c>
      <c r="GI224">
        <v>27</v>
      </c>
      <c r="GJ224">
        <v>-4.5199999999999996</v>
      </c>
      <c r="GK224">
        <v>1.1599999999999999</v>
      </c>
    </row>
    <row r="225" spans="1:193" x14ac:dyDescent="0.2">
      <c r="A225" s="39">
        <v>43786</v>
      </c>
      <c r="B225" s="22" t="s">
        <v>259</v>
      </c>
      <c r="C225" s="41" t="s">
        <v>294</v>
      </c>
      <c r="D225" s="22" t="s">
        <v>302</v>
      </c>
      <c r="E225">
        <v>8</v>
      </c>
      <c r="F225">
        <v>1.6</v>
      </c>
      <c r="G225">
        <v>3.9</v>
      </c>
      <c r="H225">
        <f>18.4+12.6</f>
        <v>31</v>
      </c>
      <c r="I225">
        <v>4.5</v>
      </c>
      <c r="J225">
        <v>45</v>
      </c>
      <c r="L225" s="1" t="s">
        <v>294</v>
      </c>
      <c r="M225">
        <v>20</v>
      </c>
      <c r="N225">
        <v>-1.3956000000000006</v>
      </c>
      <c r="O225">
        <v>16</v>
      </c>
      <c r="P225">
        <v>16.5</v>
      </c>
      <c r="Q225">
        <v>18</v>
      </c>
      <c r="R225">
        <v>-3.9479999999999991</v>
      </c>
      <c r="S225">
        <v>15</v>
      </c>
      <c r="T225">
        <v>-6.44</v>
      </c>
      <c r="U225">
        <v>-1.36</v>
      </c>
      <c r="V225">
        <v>9</v>
      </c>
      <c r="W225">
        <v>10.5</v>
      </c>
      <c r="X225">
        <v>16</v>
      </c>
      <c r="Y225">
        <v>5.2439999999999998</v>
      </c>
      <c r="Z225">
        <v>5</v>
      </c>
      <c r="AA225">
        <v>13.48</v>
      </c>
      <c r="AB225">
        <v>3.9999999999999904E-2</v>
      </c>
      <c r="AC225">
        <v>19</v>
      </c>
      <c r="AD225">
        <v>18.5</v>
      </c>
      <c r="AE225">
        <v>20</v>
      </c>
      <c r="AF225">
        <v>-2.3600000000000003</v>
      </c>
      <c r="AG225">
        <v>17</v>
      </c>
      <c r="AH225">
        <v>-15.560000000000002</v>
      </c>
      <c r="AI225">
        <v>0.4</v>
      </c>
      <c r="AJ225">
        <v>30</v>
      </c>
      <c r="AK225">
        <v>30</v>
      </c>
      <c r="AL225">
        <v>29</v>
      </c>
      <c r="AM225">
        <v>-6.3919999999999995</v>
      </c>
      <c r="AN225">
        <v>31</v>
      </c>
      <c r="AO225">
        <v>-27.4</v>
      </c>
      <c r="AP225">
        <v>-0.92000000000000015</v>
      </c>
      <c r="AQ225">
        <v>23</v>
      </c>
      <c r="AR225">
        <v>23.5</v>
      </c>
      <c r="AS225">
        <v>24</v>
      </c>
      <c r="AT225">
        <v>-4.4719999999999995</v>
      </c>
      <c r="AU225">
        <v>23</v>
      </c>
      <c r="AV225">
        <v>-17.240000000000002</v>
      </c>
      <c r="AW225">
        <v>-2.2000000000000002</v>
      </c>
      <c r="AX225">
        <v>20</v>
      </c>
      <c r="AY225">
        <v>20</v>
      </c>
      <c r="AZ225">
        <v>19</v>
      </c>
      <c r="BA225">
        <v>-1.5240000000000005</v>
      </c>
      <c r="BB225">
        <v>21</v>
      </c>
      <c r="BC225">
        <v>-16.84</v>
      </c>
      <c r="BD225">
        <v>-4.0000000000000216E-2</v>
      </c>
      <c r="BE225">
        <v>1</v>
      </c>
      <c r="BF225">
        <v>1</v>
      </c>
      <c r="BG225">
        <v>1</v>
      </c>
      <c r="BH225">
        <v>11.828000000000001</v>
      </c>
      <c r="BI225">
        <v>54.280000000000008</v>
      </c>
      <c r="BJ225">
        <v>6.2</v>
      </c>
      <c r="BK225">
        <v>23</v>
      </c>
      <c r="BL225">
        <v>22.5</v>
      </c>
      <c r="BM225">
        <v>24</v>
      </c>
      <c r="BN225">
        <v>-7.9999999999999891E-2</v>
      </c>
      <c r="BO225">
        <v>21</v>
      </c>
      <c r="BP225">
        <v>-7.9999999999999988E-2</v>
      </c>
      <c r="BQ225">
        <v>0.27999999999999992</v>
      </c>
      <c r="BR225">
        <v>6</v>
      </c>
      <c r="BS225">
        <v>10.25</v>
      </c>
      <c r="BT225">
        <v>16</v>
      </c>
      <c r="BU225">
        <v>1.8768061802141411E-3</v>
      </c>
      <c r="BV225">
        <v>4</v>
      </c>
      <c r="BW225">
        <v>1.8320573882257028E-2</v>
      </c>
      <c r="BX225">
        <v>6</v>
      </c>
      <c r="BY225">
        <v>-9.200000000000301E-2</v>
      </c>
      <c r="BZ225">
        <v>15</v>
      </c>
      <c r="CA225">
        <v>-0.48000000000000026</v>
      </c>
      <c r="CB225">
        <v>5.56</v>
      </c>
      <c r="CC225">
        <v>-0.28000000000000042</v>
      </c>
      <c r="CD225">
        <v>-0.91999999999999993</v>
      </c>
      <c r="CE225">
        <v>14.6</v>
      </c>
      <c r="CF225">
        <v>-8.2400000000000038</v>
      </c>
      <c r="CG225">
        <v>17.360000000000003</v>
      </c>
      <c r="CH225">
        <v>-0.23999999999999985</v>
      </c>
      <c r="CI225">
        <v>5.7199999999999989</v>
      </c>
      <c r="CJ225">
        <v>20</v>
      </c>
      <c r="CK225">
        <v>-2.6916000000000011</v>
      </c>
      <c r="CL225">
        <v>-1.2063200000000003</v>
      </c>
      <c r="CM225">
        <v>-25.600000000000009</v>
      </c>
      <c r="CN225">
        <v>2.6916000000000011</v>
      </c>
      <c r="CO225">
        <v>-0.19694999999999971</v>
      </c>
      <c r="CP225">
        <v>-13.223999999999998</v>
      </c>
      <c r="CQ225">
        <v>-60.2</v>
      </c>
      <c r="CR225">
        <v>1.2960000000000007</v>
      </c>
      <c r="CS225">
        <v>7.04</v>
      </c>
      <c r="CT225">
        <v>3.48</v>
      </c>
      <c r="CU225">
        <v>-1.3200000000000003</v>
      </c>
      <c r="CV225">
        <v>-2.3284625000000001</v>
      </c>
      <c r="CW225">
        <v>-1.4445250000000001</v>
      </c>
      <c r="CX225" t="s">
        <v>302</v>
      </c>
      <c r="CY225">
        <v>28</v>
      </c>
      <c r="CZ225">
        <v>-7.9032000000000027</v>
      </c>
      <c r="DA225">
        <v>20</v>
      </c>
      <c r="DB225">
        <v>21</v>
      </c>
      <c r="DC225">
        <v>26</v>
      </c>
      <c r="DD225">
        <v>-3.4519999999999995</v>
      </c>
      <c r="DE225">
        <v>16</v>
      </c>
      <c r="DF225">
        <v>14.760000000000002</v>
      </c>
      <c r="DG225">
        <v>-0.39999999999999991</v>
      </c>
      <c r="DH225">
        <v>19</v>
      </c>
      <c r="DI225">
        <v>17</v>
      </c>
      <c r="DJ225">
        <v>15</v>
      </c>
      <c r="DK225">
        <v>-1.968</v>
      </c>
      <c r="DL225">
        <v>19</v>
      </c>
      <c r="DM225">
        <v>-6.6</v>
      </c>
      <c r="DN225">
        <v>-0.4</v>
      </c>
      <c r="DO225">
        <v>31</v>
      </c>
      <c r="DP225">
        <v>29</v>
      </c>
      <c r="DQ225">
        <v>30</v>
      </c>
      <c r="DR225">
        <v>-1.7506666666666668</v>
      </c>
      <c r="DS225">
        <v>28</v>
      </c>
      <c r="DT225">
        <v>-8.6666666666666661</v>
      </c>
      <c r="DU225">
        <v>-0.51999999999999991</v>
      </c>
      <c r="DV225">
        <v>24</v>
      </c>
      <c r="DW225">
        <v>25</v>
      </c>
      <c r="DX225">
        <v>26</v>
      </c>
      <c r="DY225">
        <v>-3.8186666666666667</v>
      </c>
      <c r="DZ225">
        <v>24</v>
      </c>
      <c r="EA225">
        <v>-6.7066666666666679</v>
      </c>
      <c r="EB225">
        <v>0.94666666666666688</v>
      </c>
      <c r="EC225">
        <v>23</v>
      </c>
      <c r="ED225">
        <v>21</v>
      </c>
      <c r="EE225">
        <v>25</v>
      </c>
      <c r="EF225">
        <v>-1.7546666666666666</v>
      </c>
      <c r="EG225">
        <v>17</v>
      </c>
      <c r="EH225">
        <v>-5.2799999999999994</v>
      </c>
      <c r="EI225">
        <v>9.3333333333333268E-2</v>
      </c>
      <c r="EJ225">
        <v>22</v>
      </c>
      <c r="EK225">
        <v>23</v>
      </c>
      <c r="EL225">
        <v>24</v>
      </c>
      <c r="EM225">
        <v>-3.2760000000000007</v>
      </c>
      <c r="EN225">
        <v>22</v>
      </c>
      <c r="EO225">
        <v>-9.16</v>
      </c>
      <c r="EP225">
        <v>1.0400000000000003</v>
      </c>
      <c r="EQ225">
        <v>20</v>
      </c>
      <c r="ER225">
        <v>20</v>
      </c>
      <c r="ES225">
        <v>18</v>
      </c>
      <c r="ET225">
        <v>-2.6920000000000002</v>
      </c>
      <c r="EU225">
        <v>22</v>
      </c>
      <c r="EV225">
        <v>-15.959999999999999</v>
      </c>
      <c r="EW225">
        <v>-0.55999999999999994</v>
      </c>
      <c r="EX225">
        <v>24</v>
      </c>
      <c r="EY225">
        <v>23</v>
      </c>
      <c r="EZ225">
        <v>24</v>
      </c>
      <c r="FA225">
        <v>-2.36</v>
      </c>
      <c r="FB225">
        <v>22</v>
      </c>
      <c r="FC225">
        <v>-0.84000000000000008</v>
      </c>
      <c r="FD225">
        <v>-1.32</v>
      </c>
      <c r="FE225">
        <v>5</v>
      </c>
      <c r="FF225">
        <v>9.75</v>
      </c>
      <c r="FG225">
        <v>1</v>
      </c>
      <c r="FH225">
        <v>9.3555593840792109E-2</v>
      </c>
      <c r="FI225">
        <v>12</v>
      </c>
      <c r="FJ225">
        <v>-9.9404251500156976E-5</v>
      </c>
      <c r="FK225">
        <v>23</v>
      </c>
      <c r="FL225">
        <v>-11.915999999999995</v>
      </c>
      <c r="FM225">
        <v>3</v>
      </c>
      <c r="FN225">
        <v>8.2799999999999994</v>
      </c>
      <c r="FO225">
        <v>-1.4800000000000004</v>
      </c>
      <c r="FP225">
        <v>-2.56</v>
      </c>
      <c r="FQ225">
        <v>-0.31999999999999984</v>
      </c>
      <c r="FR225">
        <v>-5.0400000000000009</v>
      </c>
      <c r="FS225">
        <v>-8.879999999999999</v>
      </c>
      <c r="FT225">
        <v>0.48000000000000009</v>
      </c>
      <c r="FU225">
        <v>-70.16</v>
      </c>
      <c r="FV225">
        <v>-60.480000000000004</v>
      </c>
      <c r="FW225">
        <v>3.919999999999999</v>
      </c>
      <c r="FX225">
        <v>-1.48</v>
      </c>
      <c r="FY225">
        <v>-12.12</v>
      </c>
      <c r="FZ225">
        <v>24</v>
      </c>
      <c r="GA225">
        <v>-2.4832000000000036</v>
      </c>
      <c r="GB225">
        <v>-0.87384000000000084</v>
      </c>
      <c r="GC225">
        <v>-64.400000000000006</v>
      </c>
      <c r="GD225">
        <v>2.4832000000000027</v>
      </c>
      <c r="GE225">
        <v>-3.2124000000000001</v>
      </c>
      <c r="GF225">
        <v>-7.3239999999999998</v>
      </c>
      <c r="GG225">
        <v>-20.653333333333336</v>
      </c>
      <c r="GH225">
        <v>-5.42</v>
      </c>
      <c r="GI225">
        <v>8.1600000000000019</v>
      </c>
      <c r="GJ225">
        <v>-3.9999999999999702E-2</v>
      </c>
      <c r="GK225">
        <v>-0.79999999999999993</v>
      </c>
    </row>
    <row r="226" spans="1:193" x14ac:dyDescent="0.2">
      <c r="A226" s="39">
        <v>43786</v>
      </c>
      <c r="B226" s="22" t="s">
        <v>259</v>
      </c>
      <c r="C226" s="41" t="s">
        <v>309</v>
      </c>
      <c r="D226" s="22" t="s">
        <v>281</v>
      </c>
      <c r="F226">
        <v>7.9</v>
      </c>
      <c r="G226">
        <v>4.4000000000000004</v>
      </c>
      <c r="H226">
        <v>8</v>
      </c>
      <c r="I226">
        <v>3</v>
      </c>
      <c r="J226">
        <v>41.5</v>
      </c>
      <c r="L226" s="1" t="s">
        <v>309</v>
      </c>
      <c r="M226">
        <v>27</v>
      </c>
      <c r="N226">
        <v>-4.0048000000000004</v>
      </c>
      <c r="O226">
        <v>12</v>
      </c>
      <c r="P226">
        <v>14.5</v>
      </c>
      <c r="Q226">
        <v>9</v>
      </c>
      <c r="R226">
        <v>6.5920000000000005</v>
      </c>
      <c r="S226">
        <v>20</v>
      </c>
      <c r="T226">
        <v>-7.0400000000000009</v>
      </c>
      <c r="U226">
        <v>3.4799999999999995</v>
      </c>
      <c r="V226">
        <v>9</v>
      </c>
      <c r="W226">
        <v>10.5</v>
      </c>
      <c r="X226">
        <v>11</v>
      </c>
      <c r="Y226">
        <v>-0.89200000000000057</v>
      </c>
      <c r="Z226">
        <v>10</v>
      </c>
      <c r="AA226">
        <v>10.68</v>
      </c>
      <c r="AB226">
        <v>-0.6</v>
      </c>
      <c r="AC226">
        <v>13</v>
      </c>
      <c r="AD226">
        <v>14.5</v>
      </c>
      <c r="AE226">
        <v>19</v>
      </c>
      <c r="AF226">
        <v>-3.9350000000000005</v>
      </c>
      <c r="AG226">
        <v>10</v>
      </c>
      <c r="AH226">
        <v>-7.1</v>
      </c>
      <c r="AI226">
        <v>-1.9</v>
      </c>
      <c r="AJ226">
        <v>17</v>
      </c>
      <c r="AK226">
        <v>17.5</v>
      </c>
      <c r="AL226">
        <v>19</v>
      </c>
      <c r="AM226">
        <v>2.1439999999999997</v>
      </c>
      <c r="AN226">
        <v>16</v>
      </c>
      <c r="AO226">
        <v>10.959999999999999</v>
      </c>
      <c r="AP226">
        <v>-0.88000000000000012</v>
      </c>
      <c r="AQ226">
        <v>18</v>
      </c>
      <c r="AR226">
        <v>17.5</v>
      </c>
      <c r="AS226">
        <v>20</v>
      </c>
      <c r="AT226">
        <v>-1.6159999999999997</v>
      </c>
      <c r="AU226">
        <v>15</v>
      </c>
      <c r="AV226">
        <v>-2.3200000000000003</v>
      </c>
      <c r="AW226">
        <v>-7.9999999999999891E-2</v>
      </c>
      <c r="AX226">
        <v>31</v>
      </c>
      <c r="AY226">
        <v>31.5</v>
      </c>
      <c r="AZ226">
        <v>32</v>
      </c>
      <c r="BA226">
        <v>-7.3200000000000021</v>
      </c>
      <c r="BB226">
        <v>31</v>
      </c>
      <c r="BC226">
        <v>-32.799999999999997</v>
      </c>
      <c r="BD226">
        <v>-3.88</v>
      </c>
      <c r="BE226">
        <v>28</v>
      </c>
      <c r="BF226">
        <v>27.5</v>
      </c>
      <c r="BG226">
        <v>24</v>
      </c>
      <c r="BH226">
        <v>-1.968</v>
      </c>
      <c r="BI226">
        <v>-17.2</v>
      </c>
      <c r="BJ226">
        <v>0.4</v>
      </c>
      <c r="BK226">
        <v>3</v>
      </c>
      <c r="BL226">
        <v>5.5</v>
      </c>
      <c r="BM226">
        <v>5</v>
      </c>
      <c r="BN226">
        <v>0.67999999999999994</v>
      </c>
      <c r="BO226">
        <v>6</v>
      </c>
      <c r="BP226">
        <v>-0.16</v>
      </c>
      <c r="BQ226">
        <v>6.04</v>
      </c>
      <c r="BR226">
        <v>12</v>
      </c>
      <c r="BS226">
        <v>13.25</v>
      </c>
      <c r="BT226">
        <v>9</v>
      </c>
      <c r="BU226">
        <v>9.6360620797413914E-3</v>
      </c>
      <c r="BV226">
        <v>20</v>
      </c>
      <c r="BW226">
        <v>-1.7173311716397001E-2</v>
      </c>
      <c r="BX226">
        <v>19</v>
      </c>
      <c r="BY226">
        <v>0.76399999999999868</v>
      </c>
      <c r="BZ226">
        <v>5</v>
      </c>
      <c r="CA226">
        <v>2.3199999999999998</v>
      </c>
      <c r="CB226">
        <v>-0.12000000000000029</v>
      </c>
      <c r="CC226">
        <v>-1.5999999999999996</v>
      </c>
      <c r="CD226">
        <v>2.36</v>
      </c>
      <c r="CE226">
        <v>-30.04</v>
      </c>
      <c r="CF226">
        <v>-26.919999999999998</v>
      </c>
      <c r="CG226">
        <v>3.9599999999999995</v>
      </c>
      <c r="CH226">
        <v>-0.84000000000000008</v>
      </c>
      <c r="CI226">
        <v>-6.24</v>
      </c>
      <c r="CJ226">
        <v>31</v>
      </c>
      <c r="CK226">
        <v>-9.7048000000000005</v>
      </c>
      <c r="CL226">
        <v>-4.7259600000000006</v>
      </c>
      <c r="CM226">
        <v>-30.88</v>
      </c>
      <c r="CN226">
        <v>9.7048000000000005</v>
      </c>
      <c r="CO226">
        <v>-0.37497500000000006</v>
      </c>
      <c r="CP226">
        <v>-3.4070000000000005</v>
      </c>
      <c r="CQ226">
        <v>1.5399999999999991</v>
      </c>
      <c r="CR226">
        <v>5.7</v>
      </c>
      <c r="CS226">
        <v>3.6399999999999988</v>
      </c>
      <c r="CT226">
        <v>-2.4600000000000004</v>
      </c>
      <c r="CU226">
        <v>2.8799999999999994</v>
      </c>
      <c r="CV226">
        <v>-0.79776250000000004</v>
      </c>
      <c r="CW226">
        <v>-1.07605</v>
      </c>
      <c r="CX226" t="s">
        <v>281</v>
      </c>
      <c r="CY226">
        <v>11</v>
      </c>
      <c r="CZ226">
        <v>2.7591999999999999</v>
      </c>
      <c r="DA226">
        <v>19</v>
      </c>
      <c r="DB226">
        <v>20</v>
      </c>
      <c r="DC226">
        <v>20</v>
      </c>
      <c r="DD226">
        <v>1.0439999999999992</v>
      </c>
      <c r="DE226">
        <v>20</v>
      </c>
      <c r="DF226">
        <v>10.88</v>
      </c>
      <c r="DG226">
        <v>-0.24000000000000005</v>
      </c>
      <c r="DH226">
        <v>25</v>
      </c>
      <c r="DI226">
        <v>22.5</v>
      </c>
      <c r="DJ226">
        <v>19</v>
      </c>
      <c r="DK226">
        <v>-1.7679999999999993</v>
      </c>
      <c r="DL226">
        <v>26</v>
      </c>
      <c r="DM226">
        <v>-14.439999999999998</v>
      </c>
      <c r="DN226">
        <v>0.32</v>
      </c>
      <c r="DO226">
        <v>10</v>
      </c>
      <c r="DP226">
        <v>12</v>
      </c>
      <c r="DQ226">
        <v>13</v>
      </c>
      <c r="DR226">
        <v>-0.54099999999999993</v>
      </c>
      <c r="DS226">
        <v>11</v>
      </c>
      <c r="DT226">
        <v>-9.75</v>
      </c>
      <c r="DU226">
        <v>-0.44999999999999996</v>
      </c>
      <c r="DV226">
        <v>21</v>
      </c>
      <c r="DW226">
        <v>22</v>
      </c>
      <c r="DX226">
        <v>21</v>
      </c>
      <c r="DY226">
        <v>-3.6179999999999994</v>
      </c>
      <c r="DZ226">
        <v>23</v>
      </c>
      <c r="EA226">
        <v>-0.53999999999999915</v>
      </c>
      <c r="EB226">
        <v>-0.8</v>
      </c>
      <c r="EC226">
        <v>21</v>
      </c>
      <c r="ED226">
        <v>19.5</v>
      </c>
      <c r="EE226">
        <v>19</v>
      </c>
      <c r="EF226">
        <v>0.94799999999999951</v>
      </c>
      <c r="EG226">
        <v>20</v>
      </c>
      <c r="EH226">
        <v>-4.3600000000000003</v>
      </c>
      <c r="EI226">
        <v>3.9999999999999994E-2</v>
      </c>
      <c r="EJ226">
        <v>10</v>
      </c>
      <c r="EK226">
        <v>11.5</v>
      </c>
      <c r="EL226">
        <v>12</v>
      </c>
      <c r="EM226">
        <v>-0.87599999999999978</v>
      </c>
      <c r="EN226">
        <v>11</v>
      </c>
      <c r="EO226">
        <v>-1.7999999999999978</v>
      </c>
      <c r="EP226">
        <v>-6.3600000000000012</v>
      </c>
      <c r="EQ226">
        <v>4</v>
      </c>
      <c r="ER226">
        <v>4</v>
      </c>
      <c r="ES226">
        <v>5</v>
      </c>
      <c r="ET226">
        <v>-6.0000000000001205E-2</v>
      </c>
      <c r="EU226">
        <v>3</v>
      </c>
      <c r="EV226">
        <v>12.199999999999998</v>
      </c>
      <c r="EW226">
        <v>-1.8800000000000001</v>
      </c>
      <c r="EX226">
        <v>29</v>
      </c>
      <c r="EY226">
        <v>27</v>
      </c>
      <c r="EZ226">
        <v>30</v>
      </c>
      <c r="FA226">
        <v>-2.92</v>
      </c>
      <c r="FB226">
        <v>24</v>
      </c>
      <c r="FC226">
        <v>-0.28000000000000008</v>
      </c>
      <c r="FD226">
        <v>-3.4800000000000004</v>
      </c>
      <c r="FE226">
        <v>9</v>
      </c>
      <c r="FF226">
        <v>12.5</v>
      </c>
      <c r="FG226">
        <v>8</v>
      </c>
      <c r="FH226">
        <v>8.1164569191846794E-2</v>
      </c>
      <c r="FI226">
        <v>16</v>
      </c>
      <c r="FJ226">
        <v>1.3174747035974663E-2</v>
      </c>
      <c r="FK226">
        <v>7</v>
      </c>
      <c r="FL226">
        <v>5.3360000000000012</v>
      </c>
      <c r="FM226">
        <v>19</v>
      </c>
      <c r="FN226">
        <v>-1.2000000000000002</v>
      </c>
      <c r="FO226">
        <v>0.15999999999999873</v>
      </c>
      <c r="FP226">
        <v>-4.16</v>
      </c>
      <c r="FQ226">
        <v>0.84000000000000019</v>
      </c>
      <c r="FR226">
        <v>-2.1999999999999984</v>
      </c>
      <c r="FS226">
        <v>-1.3199999999999996</v>
      </c>
      <c r="FT226">
        <v>-0.59999999999999987</v>
      </c>
      <c r="FU226">
        <v>10.760000000000002</v>
      </c>
      <c r="FV226">
        <v>16.47999999999999</v>
      </c>
      <c r="FW226">
        <v>-7.400000000000003</v>
      </c>
      <c r="FX226">
        <v>-0.6</v>
      </c>
      <c r="FY226">
        <v>2.2800000000000002</v>
      </c>
      <c r="FZ226">
        <v>6</v>
      </c>
      <c r="GA226">
        <v>3.4832000000000001</v>
      </c>
      <c r="GB226">
        <v>0.25963999999999987</v>
      </c>
      <c r="GC226">
        <v>23.879999999999992</v>
      </c>
      <c r="GD226">
        <v>-3.4832000000000001</v>
      </c>
      <c r="GE226">
        <v>-0.51947500000000013</v>
      </c>
      <c r="GF226">
        <v>-3.2109999999999994</v>
      </c>
      <c r="GG226">
        <v>-14.649999999999999</v>
      </c>
      <c r="GH226">
        <v>-0.7240000000000002</v>
      </c>
      <c r="GI226">
        <v>-3.5599999999999969</v>
      </c>
      <c r="GJ226">
        <v>-3.09</v>
      </c>
      <c r="GK226">
        <v>7.999999999999996E-2</v>
      </c>
    </row>
    <row r="227" spans="1:193" x14ac:dyDescent="0.2">
      <c r="A227" s="39">
        <v>43786</v>
      </c>
      <c r="B227" s="22" t="s">
        <v>259</v>
      </c>
      <c r="C227" s="40" t="s">
        <v>256</v>
      </c>
      <c r="D227" s="22" t="s">
        <v>285</v>
      </c>
      <c r="E227">
        <v>24.4</v>
      </c>
      <c r="F227">
        <v>13.1</v>
      </c>
      <c r="G227">
        <v>6.7</v>
      </c>
      <c r="H227">
        <v>17.399999999999999</v>
      </c>
      <c r="I227">
        <v>-10</v>
      </c>
      <c r="J227">
        <v>44</v>
      </c>
      <c r="L227" s="1" t="s">
        <v>256</v>
      </c>
      <c r="M227">
        <v>23</v>
      </c>
      <c r="N227">
        <v>-2.1072000000000024</v>
      </c>
      <c r="O227">
        <v>26</v>
      </c>
      <c r="P227">
        <v>24.5</v>
      </c>
      <c r="Q227">
        <v>25</v>
      </c>
      <c r="R227">
        <v>-4.0920000000000005</v>
      </c>
      <c r="S227">
        <v>24</v>
      </c>
      <c r="T227">
        <v>-15.559999999999999</v>
      </c>
      <c r="U227">
        <v>-1.36</v>
      </c>
      <c r="V227">
        <v>5</v>
      </c>
      <c r="W227">
        <v>8</v>
      </c>
      <c r="X227">
        <v>9</v>
      </c>
      <c r="Y227">
        <v>1.0319999999999994</v>
      </c>
      <c r="Z227">
        <v>7</v>
      </c>
      <c r="AA227">
        <v>9.44</v>
      </c>
      <c r="AB227">
        <v>0.35999999999999988</v>
      </c>
      <c r="AC227">
        <v>23</v>
      </c>
      <c r="AD227">
        <v>22</v>
      </c>
      <c r="AE227">
        <v>24</v>
      </c>
      <c r="AF227">
        <v>0.35199999999999959</v>
      </c>
      <c r="AG227">
        <v>20</v>
      </c>
      <c r="AH227">
        <v>-0.95999999999999663</v>
      </c>
      <c r="AI227">
        <v>-0.72</v>
      </c>
      <c r="AJ227">
        <v>27</v>
      </c>
      <c r="AK227">
        <v>27</v>
      </c>
      <c r="AL227">
        <v>25</v>
      </c>
      <c r="AM227">
        <v>-2.1279999999999997</v>
      </c>
      <c r="AN227">
        <v>29</v>
      </c>
      <c r="AO227">
        <v>-19.600000000000001</v>
      </c>
      <c r="AP227">
        <v>-0.48</v>
      </c>
      <c r="AQ227">
        <v>13</v>
      </c>
      <c r="AR227">
        <v>14.5</v>
      </c>
      <c r="AS227">
        <v>16</v>
      </c>
      <c r="AT227">
        <v>-1.6600000000000001</v>
      </c>
      <c r="AU227">
        <v>13</v>
      </c>
      <c r="AV227">
        <v>-6.2000000000000011</v>
      </c>
      <c r="AW227">
        <v>-1.7200000000000002</v>
      </c>
      <c r="AX227">
        <v>19</v>
      </c>
      <c r="AY227">
        <v>19.5</v>
      </c>
      <c r="AZ227">
        <v>20</v>
      </c>
      <c r="BA227">
        <v>2.6880000000000006</v>
      </c>
      <c r="BB227">
        <v>19</v>
      </c>
      <c r="BC227">
        <v>8.879999999999999</v>
      </c>
      <c r="BD227">
        <v>-0.28000000000000025</v>
      </c>
      <c r="BE227">
        <v>17</v>
      </c>
      <c r="BF227">
        <v>17.5</v>
      </c>
      <c r="BG227">
        <v>16</v>
      </c>
      <c r="BH227">
        <v>0.56400000000000006</v>
      </c>
      <c r="BI227">
        <v>-7.1599999999999993</v>
      </c>
      <c r="BJ227">
        <v>1</v>
      </c>
      <c r="BK227">
        <v>17</v>
      </c>
      <c r="BL227">
        <v>16</v>
      </c>
      <c r="BM227">
        <v>15</v>
      </c>
      <c r="BN227">
        <v>0.6</v>
      </c>
      <c r="BO227">
        <v>17</v>
      </c>
      <c r="BP227">
        <v>4.0000000000000036E-2</v>
      </c>
      <c r="BQ227">
        <v>5.4399999999999995</v>
      </c>
      <c r="BR227">
        <v>21</v>
      </c>
      <c r="BS227">
        <v>17.75</v>
      </c>
      <c r="BT227">
        <v>19</v>
      </c>
      <c r="BU227">
        <v>8.1494987618955465E-3</v>
      </c>
      <c r="BV227">
        <v>3</v>
      </c>
      <c r="BW227">
        <v>4.4570213667647378E-3</v>
      </c>
      <c r="BX227">
        <v>29</v>
      </c>
      <c r="BY227">
        <v>6.5080000000000009</v>
      </c>
      <c r="BZ227">
        <v>20</v>
      </c>
      <c r="CA227">
        <v>0.6</v>
      </c>
      <c r="CB227">
        <v>1.5200000000000018</v>
      </c>
      <c r="CC227">
        <v>1.1199999999999997</v>
      </c>
      <c r="CD227">
        <v>1.1199999999999997</v>
      </c>
      <c r="CE227">
        <v>-21.399999999999988</v>
      </c>
      <c r="CF227">
        <v>-24.080000000000005</v>
      </c>
      <c r="CG227">
        <v>8.0799999999999983</v>
      </c>
      <c r="CH227">
        <v>5.12</v>
      </c>
      <c r="CI227">
        <v>-10.520000000000001</v>
      </c>
      <c r="CJ227">
        <v>14</v>
      </c>
      <c r="CK227">
        <v>0.95279999999999876</v>
      </c>
      <c r="CL227">
        <v>0.53416000000000019</v>
      </c>
      <c r="CM227">
        <v>-32.160000000000004</v>
      </c>
      <c r="CN227">
        <v>-0.95279999999999898</v>
      </c>
      <c r="CO227">
        <v>-0.92990000000000061</v>
      </c>
      <c r="CP227">
        <v>-3.4359999999999999</v>
      </c>
      <c r="CQ227">
        <v>-26.759999999999998</v>
      </c>
      <c r="CR227">
        <v>-3.0600000000000014</v>
      </c>
      <c r="CS227">
        <v>-6.1199999999999992</v>
      </c>
      <c r="CT227">
        <v>-1.92</v>
      </c>
      <c r="CU227">
        <v>-1.0000000000000002</v>
      </c>
      <c r="CV227">
        <v>-0.33264999999999978</v>
      </c>
      <c r="CW227">
        <v>-2.6502999999999997</v>
      </c>
      <c r="CX227" t="s">
        <v>285</v>
      </c>
      <c r="CY227">
        <v>1</v>
      </c>
      <c r="CZ227">
        <v>6.3800000000000008</v>
      </c>
      <c r="DA227">
        <v>16</v>
      </c>
      <c r="DB227">
        <v>16.5</v>
      </c>
      <c r="DC227">
        <v>12</v>
      </c>
      <c r="DD227">
        <v>4.1720000000000006</v>
      </c>
      <c r="DE227">
        <v>21</v>
      </c>
      <c r="DF227">
        <v>15.440000000000001</v>
      </c>
      <c r="DG227">
        <v>1.4</v>
      </c>
      <c r="DH227">
        <v>11</v>
      </c>
      <c r="DI227">
        <v>14</v>
      </c>
      <c r="DJ227">
        <v>23</v>
      </c>
      <c r="DK227">
        <v>-2.4</v>
      </c>
      <c r="DL227">
        <v>5</v>
      </c>
      <c r="DM227">
        <v>6.5199999999999987</v>
      </c>
      <c r="DN227">
        <v>-1.04</v>
      </c>
      <c r="DO227">
        <v>8</v>
      </c>
      <c r="DP227">
        <v>7</v>
      </c>
      <c r="DQ227">
        <v>7</v>
      </c>
      <c r="DR227">
        <v>9.9999999999999645E-2</v>
      </c>
      <c r="DS227">
        <v>7</v>
      </c>
      <c r="DT227">
        <v>-7.4799999999999986</v>
      </c>
      <c r="DU227">
        <v>7.9999999999999544E-2</v>
      </c>
      <c r="DV227">
        <v>1</v>
      </c>
      <c r="DW227">
        <v>1.5</v>
      </c>
      <c r="DX227">
        <v>2</v>
      </c>
      <c r="DY227">
        <v>2.6839999999999984</v>
      </c>
      <c r="DZ227">
        <v>1</v>
      </c>
      <c r="EA227">
        <v>9.9600000000000026</v>
      </c>
      <c r="EB227">
        <v>-0.32000000000000012</v>
      </c>
      <c r="EC227">
        <v>4</v>
      </c>
      <c r="ED227">
        <v>5.5</v>
      </c>
      <c r="EE227">
        <v>4</v>
      </c>
      <c r="EF227">
        <v>2.2200000000000002</v>
      </c>
      <c r="EG227">
        <v>7</v>
      </c>
      <c r="EH227">
        <v>11.4</v>
      </c>
      <c r="EI227">
        <v>-0.91999999999999993</v>
      </c>
      <c r="EJ227">
        <v>1</v>
      </c>
      <c r="EK227">
        <v>1.5</v>
      </c>
      <c r="EL227">
        <v>2</v>
      </c>
      <c r="EM227">
        <v>0.49600000000000044</v>
      </c>
      <c r="EN227">
        <v>1</v>
      </c>
      <c r="EO227">
        <v>7.7600000000000025</v>
      </c>
      <c r="EP227">
        <v>0.16000000000000014</v>
      </c>
      <c r="EQ227">
        <v>5</v>
      </c>
      <c r="ER227">
        <v>6</v>
      </c>
      <c r="ES227">
        <v>4</v>
      </c>
      <c r="ET227">
        <v>3.8039999999999994</v>
      </c>
      <c r="EU227">
        <v>8</v>
      </c>
      <c r="EV227">
        <v>20.520000000000003</v>
      </c>
      <c r="EW227">
        <v>0.76</v>
      </c>
      <c r="EX227">
        <v>19</v>
      </c>
      <c r="EY227">
        <v>20.5</v>
      </c>
      <c r="EZ227">
        <v>19</v>
      </c>
      <c r="FA227">
        <v>-1.0799999999999996</v>
      </c>
      <c r="FB227">
        <v>22</v>
      </c>
      <c r="FC227">
        <v>-0.8</v>
      </c>
      <c r="FD227">
        <v>-2.04</v>
      </c>
      <c r="FE227">
        <v>26</v>
      </c>
      <c r="FF227">
        <v>22</v>
      </c>
      <c r="FG227">
        <v>5</v>
      </c>
      <c r="FH227">
        <v>-2.3472970240729484E-2</v>
      </c>
      <c r="FI227">
        <v>31</v>
      </c>
      <c r="FJ227">
        <v>-1.2049216420421347E-2</v>
      </c>
      <c r="FK227">
        <v>20</v>
      </c>
      <c r="FL227">
        <v>8.2040000000000024</v>
      </c>
      <c r="FM227">
        <v>32</v>
      </c>
      <c r="FN227">
        <v>-5.24</v>
      </c>
      <c r="FO227">
        <v>-0.36000000000000087</v>
      </c>
      <c r="FP227">
        <v>1.320000000000001</v>
      </c>
      <c r="FQ227">
        <v>-0.24</v>
      </c>
      <c r="FR227">
        <v>8.000000000000114E-2</v>
      </c>
      <c r="FS227">
        <v>3.12</v>
      </c>
      <c r="FT227">
        <v>-0.35999999999999988</v>
      </c>
      <c r="FU227">
        <v>41.4</v>
      </c>
      <c r="FV227">
        <v>30.4</v>
      </c>
      <c r="FW227">
        <v>14.239999999999998</v>
      </c>
      <c r="FX227">
        <v>-4.92</v>
      </c>
      <c r="FY227">
        <v>1.6800000000000002</v>
      </c>
      <c r="FZ227">
        <v>5</v>
      </c>
      <c r="GA227">
        <v>4.6080000000000005</v>
      </c>
      <c r="GB227">
        <v>2.1515999999999993</v>
      </c>
      <c r="GC227">
        <v>16.16</v>
      </c>
      <c r="GD227">
        <v>-4.6080000000000005</v>
      </c>
      <c r="GE227">
        <v>1.9850000000000001</v>
      </c>
      <c r="GF227">
        <v>5.0039999999999978</v>
      </c>
      <c r="GG227">
        <v>13.880000000000004</v>
      </c>
      <c r="GH227">
        <v>1.7720000000000007</v>
      </c>
      <c r="GI227">
        <v>21.96</v>
      </c>
      <c r="GJ227">
        <v>-0.40000000000000058</v>
      </c>
      <c r="GK227">
        <v>0.35999999999999988</v>
      </c>
    </row>
    <row r="228" spans="1:193" x14ac:dyDescent="0.2">
      <c r="A228" s="39">
        <v>43786</v>
      </c>
      <c r="B228" s="22" t="s">
        <v>259</v>
      </c>
      <c r="C228" s="41" t="s">
        <v>284</v>
      </c>
      <c r="D228" s="22" t="s">
        <v>307</v>
      </c>
      <c r="E228">
        <v>10.9</v>
      </c>
      <c r="F228">
        <v>13.7</v>
      </c>
      <c r="G228">
        <v>11.1</v>
      </c>
      <c r="H228">
        <v>17.3</v>
      </c>
      <c r="I228">
        <v>5</v>
      </c>
      <c r="J228">
        <v>50.5</v>
      </c>
      <c r="K228" t="s">
        <v>109</v>
      </c>
      <c r="L228" s="1" t="s">
        <v>284</v>
      </c>
      <c r="M228">
        <v>8</v>
      </c>
      <c r="N228">
        <v>2.5047999999999999</v>
      </c>
      <c r="O228">
        <v>24</v>
      </c>
      <c r="P228">
        <v>22.5</v>
      </c>
      <c r="Q228">
        <v>20</v>
      </c>
      <c r="R228">
        <v>-5.3109999999999999</v>
      </c>
      <c r="S228">
        <v>25</v>
      </c>
      <c r="T228">
        <v>-17.850000000000001</v>
      </c>
      <c r="U228">
        <v>-0.32000000000000012</v>
      </c>
      <c r="V228">
        <v>20</v>
      </c>
      <c r="W228">
        <v>18.5</v>
      </c>
      <c r="X228">
        <v>12</v>
      </c>
      <c r="Y228">
        <v>1.7039999999999993</v>
      </c>
      <c r="Z228">
        <v>25</v>
      </c>
      <c r="AA228">
        <v>-14.48</v>
      </c>
      <c r="AB228">
        <v>-8.8817841970012528E-17</v>
      </c>
      <c r="AC228">
        <v>24</v>
      </c>
      <c r="AD228">
        <v>22.5</v>
      </c>
      <c r="AE228">
        <v>26</v>
      </c>
      <c r="AF228">
        <v>7.104000000000001</v>
      </c>
      <c r="AG228">
        <v>19</v>
      </c>
      <c r="AH228">
        <v>36.24</v>
      </c>
      <c r="AI228">
        <v>0.6</v>
      </c>
      <c r="AJ228">
        <v>2</v>
      </c>
      <c r="AK228">
        <v>3</v>
      </c>
      <c r="AL228">
        <v>3</v>
      </c>
      <c r="AM228">
        <v>2.9000000000000004</v>
      </c>
      <c r="AN228">
        <v>3</v>
      </c>
      <c r="AO228">
        <v>18.759999999999998</v>
      </c>
      <c r="AP228">
        <v>3.12</v>
      </c>
      <c r="AQ228">
        <v>4</v>
      </c>
      <c r="AR228">
        <v>4.5</v>
      </c>
      <c r="AS228">
        <v>5</v>
      </c>
      <c r="AT228">
        <v>2.0439999999999996</v>
      </c>
      <c r="AU228">
        <v>4</v>
      </c>
      <c r="AV228">
        <v>10.319999999999999</v>
      </c>
      <c r="AW228">
        <v>1.8</v>
      </c>
      <c r="AX228">
        <v>6</v>
      </c>
      <c r="AY228">
        <v>5.5</v>
      </c>
      <c r="AZ228">
        <v>6</v>
      </c>
      <c r="BA228">
        <v>6.4159999999999995</v>
      </c>
      <c r="BB228">
        <v>5</v>
      </c>
      <c r="BC228">
        <v>34.96</v>
      </c>
      <c r="BD228">
        <v>2.1599999999999997</v>
      </c>
      <c r="BE228">
        <v>20</v>
      </c>
      <c r="BF228">
        <v>22</v>
      </c>
      <c r="BG228">
        <v>22</v>
      </c>
      <c r="BH228">
        <v>-0.34800000000000003</v>
      </c>
      <c r="BI228">
        <v>-5.4800000000000013</v>
      </c>
      <c r="BJ228">
        <v>1.08</v>
      </c>
      <c r="BK228">
        <v>18</v>
      </c>
      <c r="BL228">
        <v>17.5</v>
      </c>
      <c r="BM228">
        <v>16</v>
      </c>
      <c r="BN228">
        <v>0.72</v>
      </c>
      <c r="BO228">
        <v>19</v>
      </c>
      <c r="BP228">
        <v>-7.9999999999999988E-2</v>
      </c>
      <c r="BQ228">
        <v>-5.68</v>
      </c>
      <c r="BR228">
        <v>14</v>
      </c>
      <c r="BS228">
        <v>14</v>
      </c>
      <c r="BT228">
        <v>29</v>
      </c>
      <c r="BU228">
        <v>1.5787203177761056E-3</v>
      </c>
      <c r="BV228">
        <v>22</v>
      </c>
      <c r="BW228">
        <v>6.296781806849153E-3</v>
      </c>
      <c r="BX228">
        <v>1</v>
      </c>
      <c r="BY228">
        <v>-17.288000000000004</v>
      </c>
      <c r="BZ228">
        <v>4</v>
      </c>
      <c r="CA228">
        <v>4.72</v>
      </c>
      <c r="CB228">
        <v>7.12</v>
      </c>
      <c r="CC228">
        <v>3.04</v>
      </c>
      <c r="CD228">
        <v>-1.6800000000000002</v>
      </c>
      <c r="CE228">
        <v>35.840000000000011</v>
      </c>
      <c r="CF228">
        <v>57.719999999999992</v>
      </c>
      <c r="CG228">
        <v>-29.920000000000005</v>
      </c>
      <c r="CH228">
        <v>-1.7600000000000002</v>
      </c>
      <c r="CI228">
        <v>9.8000000000000007</v>
      </c>
      <c r="CJ228">
        <v>4</v>
      </c>
      <c r="CK228">
        <v>6.1118000000000006</v>
      </c>
      <c r="CL228">
        <v>4.6444600000000005</v>
      </c>
      <c r="CM228">
        <v>87.64</v>
      </c>
      <c r="CN228">
        <v>-6.1118000000000006</v>
      </c>
      <c r="CO228">
        <v>1.4147250000000002</v>
      </c>
      <c r="CP228">
        <v>12.048000000000002</v>
      </c>
      <c r="CQ228">
        <v>65.319999999999993</v>
      </c>
      <c r="CR228">
        <v>-3.6070000000000007</v>
      </c>
      <c r="CS228">
        <v>-32.33</v>
      </c>
      <c r="CT228">
        <v>6.6000000000000005</v>
      </c>
      <c r="CU228">
        <v>-0.32000000000000023</v>
      </c>
      <c r="CV228">
        <v>0.24851249999999991</v>
      </c>
      <c r="CW228">
        <v>2.4545500000000002</v>
      </c>
      <c r="CX228" t="s">
        <v>307</v>
      </c>
      <c r="CY228">
        <v>18</v>
      </c>
      <c r="CZ228">
        <v>-4.4392000000000005</v>
      </c>
      <c r="DA228">
        <v>29</v>
      </c>
      <c r="DB228">
        <v>27.5</v>
      </c>
      <c r="DC228">
        <v>26</v>
      </c>
      <c r="DD228">
        <v>-5.3</v>
      </c>
      <c r="DE228">
        <v>29</v>
      </c>
      <c r="DF228">
        <v>-19.25</v>
      </c>
      <c r="DG228">
        <v>-0.19999999999999996</v>
      </c>
      <c r="DH228">
        <v>7</v>
      </c>
      <c r="DI228">
        <v>10</v>
      </c>
      <c r="DJ228">
        <v>8</v>
      </c>
      <c r="DK228">
        <v>1.2349999999999999</v>
      </c>
      <c r="DL228">
        <v>12</v>
      </c>
      <c r="DM228">
        <v>5.8999999999999995</v>
      </c>
      <c r="DN228">
        <v>1.4</v>
      </c>
      <c r="DO228">
        <v>15</v>
      </c>
      <c r="DP228">
        <v>19</v>
      </c>
      <c r="DQ228">
        <v>18</v>
      </c>
      <c r="DR228">
        <v>-3.7239999999999993</v>
      </c>
      <c r="DS228">
        <v>20</v>
      </c>
      <c r="DT228">
        <v>-16.839999999999996</v>
      </c>
      <c r="DU228">
        <v>0.59999999999999964</v>
      </c>
      <c r="DV228">
        <v>29</v>
      </c>
      <c r="DW228">
        <v>29.5</v>
      </c>
      <c r="DX228">
        <v>27</v>
      </c>
      <c r="DY228">
        <v>-3.2880000000000003</v>
      </c>
      <c r="DZ228">
        <v>32</v>
      </c>
      <c r="EA228">
        <v>-13.4</v>
      </c>
      <c r="EB228">
        <v>0.15999999999999978</v>
      </c>
      <c r="EC228">
        <v>27</v>
      </c>
      <c r="ED228">
        <v>25</v>
      </c>
      <c r="EE228">
        <v>25</v>
      </c>
      <c r="EF228">
        <v>-2.6319999999999997</v>
      </c>
      <c r="EG228">
        <v>25</v>
      </c>
      <c r="EH228">
        <v>-12.040000000000001</v>
      </c>
      <c r="EI228">
        <v>-0.44000000000000006</v>
      </c>
      <c r="EJ228">
        <v>24</v>
      </c>
      <c r="EK228">
        <v>23.5</v>
      </c>
      <c r="EL228">
        <v>20</v>
      </c>
      <c r="EM228">
        <v>-2.4319999999999977</v>
      </c>
      <c r="EN228">
        <v>27</v>
      </c>
      <c r="EO228">
        <v>-11.919999999999996</v>
      </c>
      <c r="EP228">
        <v>1.3199999999999998</v>
      </c>
      <c r="EQ228">
        <v>3</v>
      </c>
      <c r="ER228">
        <v>3.5</v>
      </c>
      <c r="ES228">
        <v>3</v>
      </c>
      <c r="ET228">
        <v>2.0079999999999991</v>
      </c>
      <c r="EU228">
        <v>4</v>
      </c>
      <c r="EV228">
        <v>10.88</v>
      </c>
      <c r="EW228">
        <v>1.6</v>
      </c>
      <c r="EX228">
        <v>8</v>
      </c>
      <c r="EY228">
        <v>8.5</v>
      </c>
      <c r="EZ228">
        <v>9</v>
      </c>
      <c r="FA228">
        <v>0.47999999999999987</v>
      </c>
      <c r="FB228">
        <v>8</v>
      </c>
      <c r="FC228">
        <v>-8.0000000000000154E-2</v>
      </c>
      <c r="FD228">
        <v>-1.08</v>
      </c>
      <c r="FE228">
        <v>17</v>
      </c>
      <c r="FF228">
        <v>16</v>
      </c>
      <c r="FG228">
        <v>6</v>
      </c>
      <c r="FH228">
        <v>4.0831763653831774E-2</v>
      </c>
      <c r="FI228">
        <v>18</v>
      </c>
      <c r="FJ228">
        <v>-1.7029853346245565E-2</v>
      </c>
      <c r="FK228">
        <v>21</v>
      </c>
      <c r="FL228">
        <v>-2.6519999999999984</v>
      </c>
      <c r="FM228">
        <v>19</v>
      </c>
      <c r="FN228">
        <v>1.48</v>
      </c>
      <c r="FO228">
        <v>2.3600000000000008</v>
      </c>
      <c r="FP228">
        <v>-4.72</v>
      </c>
      <c r="FQ228">
        <v>-1.9600000000000002</v>
      </c>
      <c r="FR228">
        <v>-4.6400000000000032</v>
      </c>
      <c r="FS228">
        <v>-5.3999999999999995</v>
      </c>
      <c r="FT228">
        <v>0.55999999999999983</v>
      </c>
      <c r="FU228">
        <v>-72.64</v>
      </c>
      <c r="FV228">
        <v>-45.08</v>
      </c>
      <c r="FW228">
        <v>-24.36</v>
      </c>
      <c r="FX228">
        <v>4.32</v>
      </c>
      <c r="FY228">
        <v>-7.5199999999999987</v>
      </c>
      <c r="FZ228">
        <v>18</v>
      </c>
      <c r="GA228">
        <v>-0.37420000000000053</v>
      </c>
      <c r="GB228">
        <v>-0.38254000000000055</v>
      </c>
      <c r="GC228">
        <v>-20.72</v>
      </c>
      <c r="GD228">
        <v>0.37420000000000098</v>
      </c>
      <c r="GE228">
        <v>-1.9575250000000004</v>
      </c>
      <c r="GF228">
        <v>-9.6439999999999984</v>
      </c>
      <c r="GG228">
        <v>-42.279999999999994</v>
      </c>
      <c r="GH228">
        <v>-4.0649999999999995</v>
      </c>
      <c r="GI228">
        <v>-13.350000000000001</v>
      </c>
      <c r="GJ228">
        <v>1.9199999999999995</v>
      </c>
      <c r="GK228">
        <v>1.2</v>
      </c>
    </row>
    <row r="229" spans="1:193" x14ac:dyDescent="0.2">
      <c r="A229" s="39">
        <v>43786</v>
      </c>
      <c r="B229" s="22" t="s">
        <v>259</v>
      </c>
      <c r="C229" s="41" t="s">
        <v>306</v>
      </c>
      <c r="D229" s="22" t="s">
        <v>298</v>
      </c>
      <c r="E229">
        <v>9.9</v>
      </c>
      <c r="F229">
        <v>10.3</v>
      </c>
      <c r="G229">
        <v>4.9000000000000004</v>
      </c>
      <c r="H229">
        <v>10.6</v>
      </c>
      <c r="I229">
        <v>-1</v>
      </c>
      <c r="J229">
        <v>37.5</v>
      </c>
      <c r="L229" s="1" t="s">
        <v>306</v>
      </c>
      <c r="M229">
        <v>31</v>
      </c>
      <c r="N229">
        <v>-8.9475999999999996</v>
      </c>
      <c r="O229">
        <v>9</v>
      </c>
      <c r="P229">
        <v>9</v>
      </c>
      <c r="Q229">
        <v>11</v>
      </c>
      <c r="R229">
        <v>-1.2919999999999991</v>
      </c>
      <c r="S229">
        <v>7</v>
      </c>
      <c r="T229">
        <v>12.56</v>
      </c>
      <c r="U229">
        <v>-1.9600000000000002</v>
      </c>
      <c r="V229">
        <v>19</v>
      </c>
      <c r="W229">
        <v>18</v>
      </c>
      <c r="X229">
        <v>25</v>
      </c>
      <c r="Y229">
        <v>-1.8760000000000001</v>
      </c>
      <c r="Z229">
        <v>11</v>
      </c>
      <c r="AA229">
        <v>-2.44</v>
      </c>
      <c r="AB229">
        <v>-0.20000000000000009</v>
      </c>
      <c r="AC229">
        <v>29</v>
      </c>
      <c r="AD229">
        <v>29</v>
      </c>
      <c r="AE229">
        <v>29</v>
      </c>
      <c r="AF229">
        <v>-4.7680000000000007</v>
      </c>
      <c r="AG229">
        <v>29</v>
      </c>
      <c r="AH229">
        <v>-18.160000000000004</v>
      </c>
      <c r="AI229">
        <v>-2.9200000000000004</v>
      </c>
      <c r="AJ229">
        <v>28</v>
      </c>
      <c r="AK229">
        <v>27.5</v>
      </c>
      <c r="AL229">
        <v>30</v>
      </c>
      <c r="AM229">
        <v>-7.5999999999999988</v>
      </c>
      <c r="AN229">
        <v>25</v>
      </c>
      <c r="AO229">
        <v>-21.76</v>
      </c>
      <c r="AP229">
        <v>-2.7600000000000002</v>
      </c>
      <c r="AQ229">
        <v>30</v>
      </c>
      <c r="AR229">
        <v>29.5</v>
      </c>
      <c r="AS229">
        <v>31</v>
      </c>
      <c r="AT229">
        <v>-4.6879999999999997</v>
      </c>
      <c r="AU229">
        <v>28</v>
      </c>
      <c r="AV229">
        <v>-19.8</v>
      </c>
      <c r="AW229">
        <v>-0.76</v>
      </c>
      <c r="AX229">
        <v>30</v>
      </c>
      <c r="AY229">
        <v>30</v>
      </c>
      <c r="AZ229">
        <v>30</v>
      </c>
      <c r="BA229">
        <v>-7.6719999999999997</v>
      </c>
      <c r="BB229">
        <v>30</v>
      </c>
      <c r="BC229">
        <v>-32.320000000000007</v>
      </c>
      <c r="BD229">
        <v>-3.8800000000000003</v>
      </c>
      <c r="BE229">
        <v>31</v>
      </c>
      <c r="BF229">
        <v>30</v>
      </c>
      <c r="BG229">
        <v>31</v>
      </c>
      <c r="BH229">
        <v>-3.9200000000000004</v>
      </c>
      <c r="BI229">
        <v>-20.48</v>
      </c>
      <c r="BJ229">
        <v>-3.16</v>
      </c>
      <c r="BK229">
        <v>1</v>
      </c>
      <c r="BL229">
        <v>1</v>
      </c>
      <c r="BM229">
        <v>1</v>
      </c>
      <c r="BN229">
        <v>-2.2000000000000002</v>
      </c>
      <c r="BO229">
        <v>1</v>
      </c>
      <c r="BP229">
        <v>0.28000000000000008</v>
      </c>
      <c r="BQ229">
        <v>-0.15999999999999998</v>
      </c>
      <c r="BR229">
        <v>1</v>
      </c>
      <c r="BS229">
        <v>5.25</v>
      </c>
      <c r="BT229">
        <v>9</v>
      </c>
      <c r="BU229">
        <v>-2.2720987078639419E-2</v>
      </c>
      <c r="BV229">
        <v>1</v>
      </c>
      <c r="BW229">
        <v>4.2542658077380349E-2</v>
      </c>
      <c r="BX229">
        <v>2</v>
      </c>
      <c r="BY229">
        <v>-4.7240000000000038</v>
      </c>
      <c r="BZ229">
        <v>9</v>
      </c>
      <c r="CA229">
        <v>0.96</v>
      </c>
      <c r="CB229">
        <v>-12.32</v>
      </c>
      <c r="CC229">
        <v>-10.720000000000002</v>
      </c>
      <c r="CD229">
        <v>-1.1599999999999999</v>
      </c>
      <c r="CE229">
        <v>-93.56</v>
      </c>
      <c r="CF229">
        <v>-88.04</v>
      </c>
      <c r="CG229">
        <v>6.9200000000000017</v>
      </c>
      <c r="CH229">
        <v>-2.8</v>
      </c>
      <c r="CI229">
        <v>-9.64</v>
      </c>
      <c r="CJ229">
        <v>26</v>
      </c>
      <c r="CK229">
        <v>-5.7796000000000003</v>
      </c>
      <c r="CL229">
        <v>-4.4007200000000006</v>
      </c>
      <c r="CM229">
        <v>-94.960000000000008</v>
      </c>
      <c r="CN229">
        <v>5.7796000000000003</v>
      </c>
      <c r="CO229">
        <v>-4.4114500000000003</v>
      </c>
      <c r="CP229">
        <v>-17.055999999999997</v>
      </c>
      <c r="CQ229">
        <v>-59.72</v>
      </c>
      <c r="CR229">
        <v>-3.1679999999999993</v>
      </c>
      <c r="CS229">
        <v>10.120000000000001</v>
      </c>
      <c r="CT229">
        <v>-9.6000000000000014</v>
      </c>
      <c r="CU229">
        <v>-2.16</v>
      </c>
      <c r="CV229">
        <v>0.72310000000000019</v>
      </c>
      <c r="CW229">
        <v>-1.0706999999999998</v>
      </c>
      <c r="CX229" t="s">
        <v>298</v>
      </c>
      <c r="CY229">
        <v>9</v>
      </c>
      <c r="CZ229">
        <v>6.4971999999999994</v>
      </c>
      <c r="DA229">
        <v>32</v>
      </c>
      <c r="DB229">
        <v>30.5</v>
      </c>
      <c r="DC229">
        <v>30</v>
      </c>
      <c r="DD229">
        <v>1.4959999999999998</v>
      </c>
      <c r="DE229">
        <v>31</v>
      </c>
      <c r="DF229">
        <v>-19.28</v>
      </c>
      <c r="DG229">
        <v>0.20000000000000018</v>
      </c>
      <c r="DH229">
        <v>16</v>
      </c>
      <c r="DI229">
        <v>16.5</v>
      </c>
      <c r="DJ229">
        <v>18</v>
      </c>
      <c r="DK229">
        <v>-0.94399999999999995</v>
      </c>
      <c r="DL229">
        <v>15</v>
      </c>
      <c r="DM229">
        <v>3.9999999999999855E-2</v>
      </c>
      <c r="DN229">
        <v>0.19999999999999987</v>
      </c>
      <c r="DO229">
        <v>7</v>
      </c>
      <c r="DP229">
        <v>10.5</v>
      </c>
      <c r="DQ229">
        <v>8</v>
      </c>
      <c r="DR229">
        <v>2.8239999999999994</v>
      </c>
      <c r="DS229">
        <v>13</v>
      </c>
      <c r="DT229">
        <v>2.7600000000000007</v>
      </c>
      <c r="DU229">
        <v>0.35999999999999943</v>
      </c>
      <c r="DV229">
        <v>5</v>
      </c>
      <c r="DW229">
        <v>5.5</v>
      </c>
      <c r="DX229">
        <v>5</v>
      </c>
      <c r="DY229">
        <v>7.766</v>
      </c>
      <c r="DZ229">
        <v>6</v>
      </c>
      <c r="EA229">
        <v>27.46</v>
      </c>
      <c r="EB229">
        <v>0.76</v>
      </c>
      <c r="EC229">
        <v>26</v>
      </c>
      <c r="ED229">
        <v>28.5</v>
      </c>
      <c r="EE229">
        <v>28</v>
      </c>
      <c r="EF229">
        <v>0.56799999999999962</v>
      </c>
      <c r="EG229">
        <v>29</v>
      </c>
      <c r="EH229">
        <v>-4.0400000000000009</v>
      </c>
      <c r="EI229">
        <v>0.12000000000000002</v>
      </c>
      <c r="EJ229">
        <v>25</v>
      </c>
      <c r="EK229">
        <v>26</v>
      </c>
      <c r="EL229">
        <v>26</v>
      </c>
      <c r="EM229">
        <v>1.8920000000000017</v>
      </c>
      <c r="EN229">
        <v>26</v>
      </c>
      <c r="EO229">
        <v>4.6800000000000024</v>
      </c>
      <c r="EP229">
        <v>-4.5600000000000005</v>
      </c>
      <c r="EQ229">
        <v>13</v>
      </c>
      <c r="ER229">
        <v>13.5</v>
      </c>
      <c r="ES229">
        <v>17</v>
      </c>
      <c r="ET229">
        <v>1.8079999999999998</v>
      </c>
      <c r="EU229">
        <v>10</v>
      </c>
      <c r="EV229">
        <v>7.3599999999999994</v>
      </c>
      <c r="EW229">
        <v>0.11999999999999993</v>
      </c>
      <c r="EX229">
        <v>24</v>
      </c>
      <c r="EY229">
        <v>23</v>
      </c>
      <c r="EZ229">
        <v>28</v>
      </c>
      <c r="FA229">
        <v>0.12000000000000011</v>
      </c>
      <c r="FB229">
        <v>18</v>
      </c>
      <c r="FC229">
        <v>-0.12000000000000011</v>
      </c>
      <c r="FD229">
        <v>1.64</v>
      </c>
      <c r="FE229">
        <v>23</v>
      </c>
      <c r="FF229">
        <v>20</v>
      </c>
      <c r="FG229">
        <v>32</v>
      </c>
      <c r="FH229">
        <v>-3.7299018427534344E-2</v>
      </c>
      <c r="FI229">
        <v>22</v>
      </c>
      <c r="FJ229">
        <v>2.077783866148074E-3</v>
      </c>
      <c r="FK229">
        <v>11</v>
      </c>
      <c r="FL229">
        <v>4.8840000000000048</v>
      </c>
      <c r="FM229">
        <v>15</v>
      </c>
      <c r="FN229">
        <v>-3.28</v>
      </c>
      <c r="FO229">
        <v>2.4</v>
      </c>
      <c r="FP229">
        <v>0.99999999999999933</v>
      </c>
      <c r="FQ229">
        <v>1.04</v>
      </c>
      <c r="FR229">
        <v>4.92</v>
      </c>
      <c r="FS229">
        <v>9.120000000000001</v>
      </c>
      <c r="FT229">
        <v>-1.3199999999999998</v>
      </c>
      <c r="FU229">
        <v>10.720000000000004</v>
      </c>
      <c r="FV229">
        <v>32.08</v>
      </c>
      <c r="FW229">
        <v>-19.880000000000003</v>
      </c>
      <c r="FX229">
        <v>0.56000000000000016</v>
      </c>
      <c r="FY229">
        <v>-2.0399999999999996</v>
      </c>
      <c r="FZ229">
        <v>4</v>
      </c>
      <c r="GA229">
        <v>5.9451999999999998</v>
      </c>
      <c r="GB229">
        <v>3.6166400000000003</v>
      </c>
      <c r="GC229">
        <v>51.96</v>
      </c>
      <c r="GD229">
        <v>-5.9451999999999998</v>
      </c>
      <c r="GE229">
        <v>2.5169000000000001</v>
      </c>
      <c r="GF229">
        <v>11.157999999999999</v>
      </c>
      <c r="GG229">
        <v>26.18</v>
      </c>
      <c r="GH229">
        <v>0.55199999999999982</v>
      </c>
      <c r="GI229">
        <v>-19.240000000000002</v>
      </c>
      <c r="GJ229">
        <v>1.3599999999999994</v>
      </c>
      <c r="GK229">
        <v>0.4</v>
      </c>
    </row>
    <row r="230" spans="1:193" x14ac:dyDescent="0.2">
      <c r="A230" s="39">
        <v>43793</v>
      </c>
      <c r="B230" s="22" t="s">
        <v>242</v>
      </c>
      <c r="C230" s="41" t="s">
        <v>295</v>
      </c>
      <c r="D230" s="22" t="s">
        <v>284</v>
      </c>
      <c r="E230">
        <v>11.8</v>
      </c>
      <c r="F230">
        <v>22</v>
      </c>
      <c r="G230">
        <v>15.6</v>
      </c>
      <c r="H230">
        <v>6.3</v>
      </c>
      <c r="I230">
        <v>-3.5</v>
      </c>
      <c r="J230">
        <v>51.5</v>
      </c>
      <c r="K230" s="20" t="s">
        <v>109</v>
      </c>
      <c r="L230" s="1" t="s">
        <v>295</v>
      </c>
      <c r="M230">
        <v>25</v>
      </c>
      <c r="N230">
        <v>-4.0592000000000015</v>
      </c>
      <c r="O230">
        <v>29</v>
      </c>
      <c r="P230">
        <v>28</v>
      </c>
      <c r="Q230">
        <v>29</v>
      </c>
      <c r="R230">
        <v>-6.0239999999999991</v>
      </c>
      <c r="S230">
        <v>27</v>
      </c>
      <c r="T230">
        <v>-23.490000000000002</v>
      </c>
      <c r="U230">
        <v>-0.30999999999999994</v>
      </c>
      <c r="V230">
        <v>11</v>
      </c>
      <c r="W230">
        <v>11</v>
      </c>
      <c r="X230">
        <v>10</v>
      </c>
      <c r="Y230">
        <v>1.4809999999999994</v>
      </c>
      <c r="Z230">
        <v>12</v>
      </c>
      <c r="AA230">
        <v>2.29</v>
      </c>
      <c r="AB230">
        <v>-0.24000000000000005</v>
      </c>
      <c r="AC230">
        <v>15</v>
      </c>
      <c r="AD230">
        <v>16</v>
      </c>
      <c r="AE230">
        <v>23</v>
      </c>
      <c r="AF230">
        <v>-1.6580000000000006</v>
      </c>
      <c r="AG230">
        <v>9</v>
      </c>
      <c r="AH230">
        <v>17.400000000000002</v>
      </c>
      <c r="AI230">
        <v>0.99</v>
      </c>
      <c r="AJ230">
        <v>6</v>
      </c>
      <c r="AK230">
        <v>7</v>
      </c>
      <c r="AL230">
        <v>8</v>
      </c>
      <c r="AM230">
        <v>1.8650000000000007</v>
      </c>
      <c r="AN230">
        <v>6</v>
      </c>
      <c r="AO230">
        <v>17.07</v>
      </c>
      <c r="AP230">
        <v>1</v>
      </c>
      <c r="AQ230">
        <v>6</v>
      </c>
      <c r="AR230">
        <v>6</v>
      </c>
      <c r="AS230">
        <v>6</v>
      </c>
      <c r="AT230">
        <v>1.0939999999999999</v>
      </c>
      <c r="AU230">
        <v>6</v>
      </c>
      <c r="AV230">
        <v>2.2400000000000007</v>
      </c>
      <c r="AW230">
        <v>1.5900000000000003</v>
      </c>
      <c r="AX230">
        <v>7</v>
      </c>
      <c r="AY230">
        <v>6.5</v>
      </c>
      <c r="AZ230">
        <v>7</v>
      </c>
      <c r="BA230">
        <v>-0.9200000000000006</v>
      </c>
      <c r="BB230">
        <v>6</v>
      </c>
      <c r="BC230">
        <v>4.8</v>
      </c>
      <c r="BD230">
        <v>-1.72</v>
      </c>
      <c r="BE230">
        <v>16</v>
      </c>
      <c r="BF230">
        <v>17</v>
      </c>
      <c r="BG230">
        <v>17</v>
      </c>
      <c r="BH230">
        <v>-0.72800000000000009</v>
      </c>
      <c r="BI230">
        <v>-7.9327999999999985</v>
      </c>
      <c r="BJ230">
        <v>-2.56</v>
      </c>
      <c r="BK230">
        <v>4</v>
      </c>
      <c r="BL230">
        <v>7</v>
      </c>
      <c r="BM230">
        <v>10</v>
      </c>
      <c r="BN230">
        <v>1.6000000000000003</v>
      </c>
      <c r="BO230">
        <v>4</v>
      </c>
      <c r="BP230">
        <v>1.08</v>
      </c>
      <c r="BQ230">
        <v>-0.88000000000000012</v>
      </c>
      <c r="BR230">
        <v>14</v>
      </c>
      <c r="BS230">
        <v>14</v>
      </c>
      <c r="BT230">
        <v>7</v>
      </c>
      <c r="BU230">
        <v>6.7851665922197504E-2</v>
      </c>
      <c r="BV230">
        <v>9</v>
      </c>
      <c r="BW230">
        <v>1.3684955967097911E-2</v>
      </c>
      <c r="BX230">
        <v>26</v>
      </c>
      <c r="BY230">
        <v>0.1160000000000025</v>
      </c>
      <c r="BZ230">
        <v>14</v>
      </c>
      <c r="CA230">
        <v>2.2799999999999998</v>
      </c>
      <c r="CB230">
        <v>1.1200000000000032</v>
      </c>
      <c r="CC230">
        <v>-3.56</v>
      </c>
      <c r="CD230">
        <v>-0.56000000000000016</v>
      </c>
      <c r="CE230">
        <v>1.5200000000000045</v>
      </c>
      <c r="CF230">
        <v>33.56</v>
      </c>
      <c r="CG230">
        <v>-19.600000000000001</v>
      </c>
      <c r="CH230">
        <v>4.0000000000000216E-2</v>
      </c>
      <c r="CI230">
        <v>-12.48</v>
      </c>
      <c r="CJ230">
        <v>14</v>
      </c>
      <c r="CK230">
        <v>0.48379999999999823</v>
      </c>
      <c r="CL230">
        <v>1.5742599999999993</v>
      </c>
      <c r="CM230">
        <v>53.160000000000004</v>
      </c>
      <c r="CN230">
        <v>-0.48379999999999779</v>
      </c>
      <c r="CO230">
        <v>-0.80365000000000031</v>
      </c>
      <c r="CP230">
        <v>1.3009999999999999</v>
      </c>
      <c r="CQ230">
        <v>36.71</v>
      </c>
      <c r="CR230">
        <v>-4.5429999999999993</v>
      </c>
      <c r="CS230">
        <v>-21.200000000000003</v>
      </c>
      <c r="CT230">
        <v>1.02</v>
      </c>
      <c r="CU230">
        <v>-0.55000000000000004</v>
      </c>
      <c r="CV230">
        <v>0.74778750000000005</v>
      </c>
      <c r="CW230">
        <v>-0.51569999999999994</v>
      </c>
      <c r="CX230" t="s">
        <v>284</v>
      </c>
      <c r="CY230">
        <v>4</v>
      </c>
      <c r="CZ230">
        <v>3.6152000000000015</v>
      </c>
      <c r="DA230">
        <v>25</v>
      </c>
      <c r="DB230">
        <v>23.5</v>
      </c>
      <c r="DC230">
        <v>24</v>
      </c>
      <c r="DD230">
        <v>-5.8090000000000002</v>
      </c>
      <c r="DE230">
        <v>23</v>
      </c>
      <c r="DF230">
        <v>-13.7</v>
      </c>
      <c r="DG230">
        <v>-0.50000000000000011</v>
      </c>
      <c r="DH230">
        <v>31</v>
      </c>
      <c r="DI230">
        <v>31</v>
      </c>
      <c r="DJ230">
        <v>31</v>
      </c>
      <c r="DK230">
        <v>-1.8039999999999998</v>
      </c>
      <c r="DL230">
        <v>31</v>
      </c>
      <c r="DM230">
        <v>-10.440000000000001</v>
      </c>
      <c r="DN230">
        <v>0.82999999999999985</v>
      </c>
      <c r="DO230">
        <v>9</v>
      </c>
      <c r="DP230">
        <v>6</v>
      </c>
      <c r="DQ230">
        <v>6</v>
      </c>
      <c r="DR230">
        <v>3.5920000000000001</v>
      </c>
      <c r="DS230">
        <v>6</v>
      </c>
      <c r="DT230">
        <v>5.8</v>
      </c>
      <c r="DU230">
        <v>2.68</v>
      </c>
      <c r="DV230">
        <v>1</v>
      </c>
      <c r="DW230">
        <v>1.5</v>
      </c>
      <c r="DX230">
        <v>1</v>
      </c>
      <c r="DY230">
        <v>9.6999999999999993</v>
      </c>
      <c r="DZ230">
        <v>2</v>
      </c>
      <c r="EA230">
        <v>22.880000000000003</v>
      </c>
      <c r="EB230">
        <v>1.7599999999999998</v>
      </c>
      <c r="EC230">
        <v>8</v>
      </c>
      <c r="ED230">
        <v>12.5</v>
      </c>
      <c r="EE230">
        <v>17</v>
      </c>
      <c r="EF230">
        <v>1.5480000000000005</v>
      </c>
      <c r="EG230">
        <v>8</v>
      </c>
      <c r="EH230">
        <v>4.9600000000000009</v>
      </c>
      <c r="EI230">
        <v>0.55999999999999994</v>
      </c>
      <c r="EJ230">
        <v>2</v>
      </c>
      <c r="EK230">
        <v>3.5</v>
      </c>
      <c r="EL230">
        <v>1</v>
      </c>
      <c r="EM230">
        <v>11.360000000000001</v>
      </c>
      <c r="EN230">
        <v>6</v>
      </c>
      <c r="EO230">
        <v>36</v>
      </c>
      <c r="EP230">
        <v>5.32</v>
      </c>
      <c r="EQ230">
        <v>21</v>
      </c>
      <c r="ER230">
        <v>20.5</v>
      </c>
      <c r="ES230">
        <v>15</v>
      </c>
      <c r="ET230">
        <v>3.4480000000000004</v>
      </c>
      <c r="EU230">
        <v>26</v>
      </c>
      <c r="EV230">
        <v>9.4400000000000013</v>
      </c>
      <c r="EW230">
        <v>0.31999999999999995</v>
      </c>
      <c r="EX230">
        <v>16</v>
      </c>
      <c r="EY230">
        <v>14</v>
      </c>
      <c r="EZ230">
        <v>13</v>
      </c>
      <c r="FA230">
        <v>1.8</v>
      </c>
      <c r="FB230">
        <v>15</v>
      </c>
      <c r="FC230">
        <v>0.19999999999999996</v>
      </c>
      <c r="FD230">
        <v>1.08</v>
      </c>
      <c r="FE230">
        <v>10</v>
      </c>
      <c r="FF230">
        <v>13.25</v>
      </c>
      <c r="FG230">
        <v>9</v>
      </c>
      <c r="FH230">
        <v>4.0707053066628583E-3</v>
      </c>
      <c r="FI230">
        <v>26</v>
      </c>
      <c r="FJ230">
        <v>-1.7679525409801385E-2</v>
      </c>
      <c r="FK230">
        <v>6</v>
      </c>
      <c r="FL230">
        <v>-5.4200000000000035</v>
      </c>
      <c r="FM230">
        <v>12</v>
      </c>
      <c r="FN230">
        <v>-1.9599999999999995</v>
      </c>
      <c r="FO230">
        <v>7.4399999999999977</v>
      </c>
      <c r="FP230">
        <v>-2.0800000000000005</v>
      </c>
      <c r="FQ230">
        <v>-0.95999999999999974</v>
      </c>
      <c r="FR230">
        <v>4.4799999999999986</v>
      </c>
      <c r="FS230">
        <v>3.84</v>
      </c>
      <c r="FT230">
        <v>0.20000000000000009</v>
      </c>
      <c r="FU230">
        <v>1.0799999999999954</v>
      </c>
      <c r="FV230">
        <v>27.880000000000003</v>
      </c>
      <c r="FW230">
        <v>-22.68</v>
      </c>
      <c r="FX230">
        <v>1.8400000000000003</v>
      </c>
      <c r="FY230">
        <v>-5.96</v>
      </c>
      <c r="FZ230">
        <v>1</v>
      </c>
      <c r="GA230">
        <v>11.228200000000003</v>
      </c>
      <c r="GB230">
        <v>8.1871400000000012</v>
      </c>
      <c r="GC230">
        <v>50.56</v>
      </c>
      <c r="GD230">
        <v>-11.228200000000001</v>
      </c>
      <c r="GE230">
        <v>2.0112749999999999</v>
      </c>
      <c r="GF230">
        <v>14.84</v>
      </c>
      <c r="GG230">
        <v>33.64</v>
      </c>
      <c r="GH230">
        <v>-7.6129999999999995</v>
      </c>
      <c r="GI230">
        <v>-24.14</v>
      </c>
      <c r="GJ230">
        <v>5.3199999999999994</v>
      </c>
      <c r="GK230">
        <v>0.32999999999999974</v>
      </c>
    </row>
    <row r="231" spans="1:193" x14ac:dyDescent="0.2">
      <c r="A231" s="39">
        <v>43793</v>
      </c>
      <c r="B231" s="22" t="s">
        <v>242</v>
      </c>
      <c r="C231" s="41" t="s">
        <v>305</v>
      </c>
      <c r="D231" s="22" t="s">
        <v>304</v>
      </c>
      <c r="E231">
        <v>21.2</v>
      </c>
      <c r="F231">
        <v>15.4</v>
      </c>
      <c r="G231">
        <v>7.4</v>
      </c>
      <c r="H231">
        <v>8.1999999999999993</v>
      </c>
      <c r="I231">
        <v>-3.5</v>
      </c>
      <c r="J231">
        <v>47</v>
      </c>
      <c r="L231" s="1" t="s">
        <v>305</v>
      </c>
      <c r="M231">
        <v>1</v>
      </c>
      <c r="N231">
        <v>12.212</v>
      </c>
      <c r="O231">
        <v>4</v>
      </c>
      <c r="P231">
        <v>6.5</v>
      </c>
      <c r="Q231">
        <v>4</v>
      </c>
      <c r="R231">
        <v>3.5560000000000009</v>
      </c>
      <c r="S231">
        <v>9</v>
      </c>
      <c r="T231">
        <v>3.9200000000000004</v>
      </c>
      <c r="U231">
        <v>-1.48</v>
      </c>
      <c r="V231">
        <v>5</v>
      </c>
      <c r="W231">
        <v>8</v>
      </c>
      <c r="X231">
        <v>14</v>
      </c>
      <c r="Y231">
        <v>1.5959999999999999</v>
      </c>
      <c r="Z231">
        <v>2</v>
      </c>
      <c r="AA231">
        <v>26.4</v>
      </c>
      <c r="AB231">
        <v>-1.7599999999999998</v>
      </c>
      <c r="AC231">
        <v>26</v>
      </c>
      <c r="AD231">
        <v>25</v>
      </c>
      <c r="AE231">
        <v>22</v>
      </c>
      <c r="AF231">
        <v>9.9999999999991207E-3</v>
      </c>
      <c r="AG231">
        <v>28</v>
      </c>
      <c r="AH231">
        <v>-14.05</v>
      </c>
      <c r="AI231">
        <v>-1.9500000000000002</v>
      </c>
      <c r="AJ231">
        <v>25</v>
      </c>
      <c r="AK231">
        <v>26</v>
      </c>
      <c r="AL231">
        <v>24</v>
      </c>
      <c r="AM231">
        <v>-3.3</v>
      </c>
      <c r="AN231">
        <v>28</v>
      </c>
      <c r="AO231">
        <v>-29.05</v>
      </c>
      <c r="AP231">
        <v>-3.15</v>
      </c>
      <c r="AQ231">
        <v>31</v>
      </c>
      <c r="AR231">
        <v>30</v>
      </c>
      <c r="AS231">
        <v>29</v>
      </c>
      <c r="AT231">
        <v>-3.18</v>
      </c>
      <c r="AU231">
        <v>31</v>
      </c>
      <c r="AV231">
        <v>-22.85</v>
      </c>
      <c r="AW231">
        <v>-3.25</v>
      </c>
      <c r="AX231">
        <v>10</v>
      </c>
      <c r="AY231">
        <v>11</v>
      </c>
      <c r="AZ231">
        <v>5</v>
      </c>
      <c r="BA231">
        <v>6.5449999999999982</v>
      </c>
      <c r="BB231">
        <v>17</v>
      </c>
      <c r="BC231">
        <v>2.4499999999999993</v>
      </c>
      <c r="BD231">
        <v>-0.75</v>
      </c>
      <c r="BE231">
        <v>2</v>
      </c>
      <c r="BF231">
        <v>2</v>
      </c>
      <c r="BG231">
        <v>2</v>
      </c>
      <c r="BH231">
        <v>7.096000000000001</v>
      </c>
      <c r="BI231">
        <v>35.027199999999993</v>
      </c>
      <c r="BJ231">
        <v>1.8</v>
      </c>
      <c r="BK231">
        <v>8</v>
      </c>
      <c r="BL231">
        <v>8.5</v>
      </c>
      <c r="BM231">
        <v>2</v>
      </c>
      <c r="BN231">
        <v>2.4400000000000004</v>
      </c>
      <c r="BO231">
        <v>15</v>
      </c>
      <c r="BP231">
        <v>-0.2</v>
      </c>
      <c r="BQ231">
        <v>7.4800000000000013</v>
      </c>
      <c r="BR231">
        <v>31</v>
      </c>
      <c r="BS231">
        <v>29.25</v>
      </c>
      <c r="BT231">
        <v>27</v>
      </c>
      <c r="BU231">
        <v>-2.0965913621392974E-2</v>
      </c>
      <c r="BV231">
        <v>31</v>
      </c>
      <c r="BW231">
        <v>-2.2153357237747095E-2</v>
      </c>
      <c r="BX231">
        <v>27</v>
      </c>
      <c r="BY231">
        <v>14.720000000000002</v>
      </c>
      <c r="BZ231">
        <v>32</v>
      </c>
      <c r="CA231">
        <v>-8.1999999999999993</v>
      </c>
      <c r="CB231">
        <v>-4.0799999999999983</v>
      </c>
      <c r="CC231">
        <v>14.4</v>
      </c>
      <c r="CD231">
        <v>4.68</v>
      </c>
      <c r="CE231">
        <v>45.519999999999996</v>
      </c>
      <c r="CF231">
        <v>-47.76</v>
      </c>
      <c r="CG231">
        <v>34.32</v>
      </c>
      <c r="CH231">
        <v>-1.6400000000000001</v>
      </c>
      <c r="CI231">
        <v>60.6</v>
      </c>
      <c r="CJ231">
        <v>5</v>
      </c>
      <c r="CK231">
        <v>7.0599999999999987</v>
      </c>
      <c r="CL231">
        <v>-8.4000000000004071E-3</v>
      </c>
      <c r="CM231">
        <v>-82.08</v>
      </c>
      <c r="CN231">
        <v>-7.0599999999999987</v>
      </c>
      <c r="CO231">
        <v>2.55375</v>
      </c>
      <c r="CP231">
        <v>-6.4700000000000006</v>
      </c>
      <c r="CQ231">
        <v>-65.95</v>
      </c>
      <c r="CR231">
        <v>5.152000000000001</v>
      </c>
      <c r="CS231">
        <v>30.32</v>
      </c>
      <c r="CT231">
        <v>-6.55</v>
      </c>
      <c r="CU231">
        <v>-3.2399999999999998</v>
      </c>
      <c r="CV231">
        <v>-0.99776249999999989</v>
      </c>
      <c r="CW231">
        <v>-2.0482999999999998</v>
      </c>
      <c r="CX231" t="s">
        <v>304</v>
      </c>
      <c r="CY231">
        <v>16</v>
      </c>
      <c r="CZ231">
        <v>0.97119999999999929</v>
      </c>
      <c r="DA231">
        <v>17</v>
      </c>
      <c r="DB231">
        <v>18</v>
      </c>
      <c r="DC231">
        <v>20</v>
      </c>
      <c r="DD231">
        <v>-1.4360000000000006</v>
      </c>
      <c r="DE231">
        <v>16</v>
      </c>
      <c r="DF231">
        <v>-6.9200000000000017</v>
      </c>
      <c r="DG231">
        <v>0.56000000000000005</v>
      </c>
      <c r="DH231">
        <v>4</v>
      </c>
      <c r="DI231">
        <v>6.5</v>
      </c>
      <c r="DJ231">
        <v>7</v>
      </c>
      <c r="DK231">
        <v>0.35600000000000004</v>
      </c>
      <c r="DL231">
        <v>6</v>
      </c>
      <c r="DM231">
        <v>2.3999999999999995</v>
      </c>
      <c r="DN231">
        <v>-0.24</v>
      </c>
      <c r="DO231">
        <v>19</v>
      </c>
      <c r="DP231">
        <v>19.5</v>
      </c>
      <c r="DQ231">
        <v>17</v>
      </c>
      <c r="DR231">
        <v>-0.9399999999999995</v>
      </c>
      <c r="DS231">
        <v>22</v>
      </c>
      <c r="DT231">
        <v>-16.189999999999998</v>
      </c>
      <c r="DU231">
        <v>6.9999999999999923E-2</v>
      </c>
      <c r="DV231">
        <v>11</v>
      </c>
      <c r="DW231">
        <v>13</v>
      </c>
      <c r="DX231">
        <v>10</v>
      </c>
      <c r="DY231">
        <v>2.2860000000000005</v>
      </c>
      <c r="DZ231">
        <v>16</v>
      </c>
      <c r="EA231">
        <v>-0.1</v>
      </c>
      <c r="EB231">
        <v>2.5299999999999998</v>
      </c>
      <c r="EC231">
        <v>2</v>
      </c>
      <c r="ED231">
        <v>2</v>
      </c>
      <c r="EE231">
        <v>2</v>
      </c>
      <c r="EF231">
        <v>2.7930000000000001</v>
      </c>
      <c r="EG231">
        <v>2</v>
      </c>
      <c r="EH231">
        <v>20.43</v>
      </c>
      <c r="EI231">
        <v>1.0500000000000003</v>
      </c>
      <c r="EJ231">
        <v>14</v>
      </c>
      <c r="EK231">
        <v>14</v>
      </c>
      <c r="EL231">
        <v>11</v>
      </c>
      <c r="EM231">
        <v>2.1439999999999997</v>
      </c>
      <c r="EN231">
        <v>17</v>
      </c>
      <c r="EO231">
        <v>-12.960000000000003</v>
      </c>
      <c r="EP231">
        <v>0.32000000000000012</v>
      </c>
      <c r="EQ231">
        <v>25</v>
      </c>
      <c r="ER231">
        <v>24.5</v>
      </c>
      <c r="ES231">
        <v>29</v>
      </c>
      <c r="ET231">
        <v>-1.0480000000000005</v>
      </c>
      <c r="EU231">
        <v>20</v>
      </c>
      <c r="EV231">
        <v>0.4</v>
      </c>
      <c r="EW231">
        <v>0.51999999999999991</v>
      </c>
      <c r="EX231">
        <v>28</v>
      </c>
      <c r="EY231">
        <v>26.5</v>
      </c>
      <c r="EZ231">
        <v>29</v>
      </c>
      <c r="FA231">
        <v>-2.56</v>
      </c>
      <c r="FB231">
        <v>24</v>
      </c>
      <c r="FC231">
        <v>-0.72</v>
      </c>
      <c r="FD231">
        <v>-1.4800000000000004</v>
      </c>
      <c r="FE231">
        <v>14</v>
      </c>
      <c r="FF231">
        <v>15</v>
      </c>
      <c r="FG231">
        <v>22</v>
      </c>
      <c r="FH231">
        <v>-1.2539128095067381E-2</v>
      </c>
      <c r="FI231">
        <v>10</v>
      </c>
      <c r="FJ231">
        <v>1.1341474546594076E-2</v>
      </c>
      <c r="FK231">
        <v>22</v>
      </c>
      <c r="FL231">
        <v>5.251999999999998</v>
      </c>
      <c r="FM231">
        <v>6</v>
      </c>
      <c r="FN231">
        <v>2.72</v>
      </c>
      <c r="FO231">
        <v>4.6399999999999997</v>
      </c>
      <c r="FP231">
        <v>1.0399999999999998</v>
      </c>
      <c r="FQ231">
        <v>-1.0799999999999996</v>
      </c>
      <c r="FR231">
        <v>5.3200000000000021</v>
      </c>
      <c r="FS231">
        <v>-2.88</v>
      </c>
      <c r="FT231">
        <v>-0.83999999999999986</v>
      </c>
      <c r="FU231">
        <v>1.9600000000000137</v>
      </c>
      <c r="FV231">
        <v>11.919999999999993</v>
      </c>
      <c r="FW231">
        <v>-2.6799999999999984</v>
      </c>
      <c r="FX231">
        <v>-1.56</v>
      </c>
      <c r="FY231">
        <v>-5.7199999999999989</v>
      </c>
      <c r="FZ231">
        <v>12</v>
      </c>
      <c r="GA231">
        <v>2.0512000000000001</v>
      </c>
      <c r="GB231">
        <v>1.3524400000000005</v>
      </c>
      <c r="GC231">
        <v>14.599999999999991</v>
      </c>
      <c r="GD231">
        <v>-2.0511999999999997</v>
      </c>
      <c r="GE231">
        <v>5.2774999999999905E-2</v>
      </c>
      <c r="GF231">
        <v>4.1390000000000011</v>
      </c>
      <c r="GG231">
        <v>4.1400000000000006</v>
      </c>
      <c r="GH231">
        <v>-1.0800000000000005</v>
      </c>
      <c r="GI231">
        <v>-4.5200000000000022</v>
      </c>
      <c r="GJ231">
        <v>4.17</v>
      </c>
      <c r="GK231">
        <v>0.32000000000000006</v>
      </c>
    </row>
    <row r="232" spans="1:193" x14ac:dyDescent="0.2">
      <c r="A232" s="39">
        <v>43793</v>
      </c>
      <c r="B232" s="22" t="s">
        <v>242</v>
      </c>
      <c r="C232" s="41" t="s">
        <v>276</v>
      </c>
      <c r="D232" s="22" t="s">
        <v>278</v>
      </c>
      <c r="E232">
        <v>11.9</v>
      </c>
      <c r="F232">
        <v>19.600000000000001</v>
      </c>
      <c r="G232">
        <v>5.6</v>
      </c>
      <c r="H232">
        <f>3.1+2.4</f>
        <v>5.5</v>
      </c>
      <c r="I232">
        <v>-3.5</v>
      </c>
      <c r="J232">
        <v>37</v>
      </c>
      <c r="K232" t="s">
        <v>110</v>
      </c>
      <c r="L232" s="1" t="s">
        <v>276</v>
      </c>
      <c r="M232">
        <v>4</v>
      </c>
      <c r="N232">
        <v>5.7392000000000012</v>
      </c>
      <c r="O232">
        <v>15</v>
      </c>
      <c r="P232">
        <v>16</v>
      </c>
      <c r="Q232">
        <v>21</v>
      </c>
      <c r="R232">
        <v>-1.3679999999999997</v>
      </c>
      <c r="S232">
        <v>11</v>
      </c>
      <c r="T232">
        <v>-0.64000000000000201</v>
      </c>
      <c r="U232">
        <v>0.36</v>
      </c>
      <c r="V232">
        <v>15</v>
      </c>
      <c r="W232">
        <v>14.5</v>
      </c>
      <c r="X232">
        <v>20</v>
      </c>
      <c r="Y232">
        <v>-1.9080000000000001</v>
      </c>
      <c r="Z232">
        <v>9</v>
      </c>
      <c r="AA232">
        <v>5.6</v>
      </c>
      <c r="AB232">
        <v>-1.6</v>
      </c>
      <c r="AC232">
        <v>21</v>
      </c>
      <c r="AD232">
        <v>19.5</v>
      </c>
      <c r="AE232">
        <v>14</v>
      </c>
      <c r="AF232">
        <v>0.90600000000000025</v>
      </c>
      <c r="AG232">
        <v>25</v>
      </c>
      <c r="AH232">
        <v>1.9000000000000015</v>
      </c>
      <c r="AI232">
        <v>1.43</v>
      </c>
      <c r="AJ232">
        <v>9</v>
      </c>
      <c r="AK232">
        <v>8.5</v>
      </c>
      <c r="AL232">
        <v>9</v>
      </c>
      <c r="AM232">
        <v>2.1560000000000001</v>
      </c>
      <c r="AN232">
        <v>8</v>
      </c>
      <c r="AO232">
        <v>6.2799999999999994</v>
      </c>
      <c r="AP232">
        <v>7.9999999999999891E-2</v>
      </c>
      <c r="AQ232">
        <v>13</v>
      </c>
      <c r="AR232">
        <v>14.5</v>
      </c>
      <c r="AS232">
        <v>15</v>
      </c>
      <c r="AT232">
        <v>-0.10800000000000001</v>
      </c>
      <c r="AU232">
        <v>14</v>
      </c>
      <c r="AV232">
        <v>-2.4400000000000004</v>
      </c>
      <c r="AW232">
        <v>7.9999999999999988E-2</v>
      </c>
      <c r="AX232">
        <v>23</v>
      </c>
      <c r="AY232">
        <v>22.5</v>
      </c>
      <c r="AZ232">
        <v>25</v>
      </c>
      <c r="BA232">
        <v>-4.12</v>
      </c>
      <c r="BB232">
        <v>20</v>
      </c>
      <c r="BC232">
        <v>-12.399999999999999</v>
      </c>
      <c r="BD232">
        <v>-0.59999999999999987</v>
      </c>
      <c r="BE232">
        <v>29</v>
      </c>
      <c r="BF232">
        <v>28.5</v>
      </c>
      <c r="BG232">
        <v>30</v>
      </c>
      <c r="BH232">
        <v>-4.2960000000000003</v>
      </c>
      <c r="BI232">
        <v>-15.36</v>
      </c>
      <c r="BJ232">
        <v>-2.08</v>
      </c>
      <c r="BK232">
        <v>25</v>
      </c>
      <c r="BL232">
        <v>23</v>
      </c>
      <c r="BM232">
        <v>23</v>
      </c>
      <c r="BN232">
        <v>-1.8400000000000003</v>
      </c>
      <c r="BO232">
        <v>23</v>
      </c>
      <c r="BP232">
        <v>-0.56000000000000005</v>
      </c>
      <c r="BQ232">
        <v>-1.1999999999999997</v>
      </c>
      <c r="BR232">
        <v>24</v>
      </c>
      <c r="BS232">
        <v>20.75</v>
      </c>
      <c r="BT232">
        <v>25</v>
      </c>
      <c r="BU232">
        <v>-2.1273936880978467E-2</v>
      </c>
      <c r="BV232">
        <v>25</v>
      </c>
      <c r="BW232">
        <v>-2.7270330051635837E-2</v>
      </c>
      <c r="BX232">
        <v>5</v>
      </c>
      <c r="BY232">
        <v>-10.512000000000002</v>
      </c>
      <c r="BZ232">
        <v>28</v>
      </c>
      <c r="CA232">
        <v>-1.9200000000000004</v>
      </c>
      <c r="CB232">
        <v>1.8799999999999997</v>
      </c>
      <c r="CC232">
        <v>0.55999999999999939</v>
      </c>
      <c r="CD232">
        <v>-0.31999999999999995</v>
      </c>
      <c r="CE232">
        <v>4.1599999999999913</v>
      </c>
      <c r="CF232">
        <v>-19.440000000000005</v>
      </c>
      <c r="CG232">
        <v>0.23999999999999772</v>
      </c>
      <c r="CH232">
        <v>2.92</v>
      </c>
      <c r="CI232">
        <v>20.440000000000001</v>
      </c>
      <c r="CJ232">
        <v>2</v>
      </c>
      <c r="CK232">
        <v>9.0152000000000001</v>
      </c>
      <c r="CL232">
        <v>2.5174400000000001</v>
      </c>
      <c r="CM232">
        <v>-19.680000000000003</v>
      </c>
      <c r="CN232">
        <v>-9.0152000000000001</v>
      </c>
      <c r="CO232">
        <v>-8.9849999999999819E-2</v>
      </c>
      <c r="CP232">
        <v>2.9540000000000002</v>
      </c>
      <c r="CQ232">
        <v>5.7400000000000011</v>
      </c>
      <c r="CR232">
        <v>-3.2759999999999998</v>
      </c>
      <c r="CS232">
        <v>4.9599999999999973</v>
      </c>
      <c r="CT232">
        <v>-0.49000000000000021</v>
      </c>
      <c r="CU232">
        <v>-1.2400000000000002</v>
      </c>
      <c r="CV232">
        <v>-0.37003750000000002</v>
      </c>
      <c r="CW232">
        <v>-2.9124999999999984E-2</v>
      </c>
      <c r="CX232" t="s">
        <v>278</v>
      </c>
      <c r="CY232">
        <v>15</v>
      </c>
      <c r="CZ232">
        <v>-1.5799999999999996</v>
      </c>
      <c r="DA232">
        <v>28</v>
      </c>
      <c r="DB232">
        <v>24.5</v>
      </c>
      <c r="DC232">
        <v>25</v>
      </c>
      <c r="DD232">
        <v>-3.7036000000000002</v>
      </c>
      <c r="DE232">
        <v>24</v>
      </c>
      <c r="DF232">
        <v>-19.96</v>
      </c>
      <c r="DG232">
        <v>-0.3199999999999999</v>
      </c>
      <c r="DH232">
        <v>28</v>
      </c>
      <c r="DI232">
        <v>25.5</v>
      </c>
      <c r="DJ232">
        <v>28</v>
      </c>
      <c r="DK232">
        <v>-2.3559999999999999</v>
      </c>
      <c r="DL232">
        <v>23</v>
      </c>
      <c r="DM232">
        <v>-4.24</v>
      </c>
      <c r="DN232">
        <v>-0.68000000000000016</v>
      </c>
      <c r="DO232">
        <v>14</v>
      </c>
      <c r="DP232">
        <v>8.5</v>
      </c>
      <c r="DQ232">
        <v>9</v>
      </c>
      <c r="DR232">
        <v>0.12400000000000055</v>
      </c>
      <c r="DS232">
        <v>8</v>
      </c>
      <c r="DT232">
        <v>4.24</v>
      </c>
      <c r="DU232">
        <v>-2.56</v>
      </c>
      <c r="DV232">
        <v>17</v>
      </c>
      <c r="DW232">
        <v>16.5</v>
      </c>
      <c r="DX232">
        <v>14</v>
      </c>
      <c r="DY232">
        <v>-0.52800000000000014</v>
      </c>
      <c r="DZ232">
        <v>19</v>
      </c>
      <c r="EA232">
        <v>-12.2</v>
      </c>
      <c r="EB232">
        <v>1.1599999999999999</v>
      </c>
      <c r="EC232">
        <v>15</v>
      </c>
      <c r="ED232">
        <v>7.5</v>
      </c>
      <c r="EE232">
        <v>9</v>
      </c>
      <c r="EF232">
        <v>0.27199999999999974</v>
      </c>
      <c r="EG232">
        <v>6</v>
      </c>
      <c r="EH232">
        <v>7.6</v>
      </c>
      <c r="EI232">
        <v>4.0000000000000036E-2</v>
      </c>
      <c r="EJ232">
        <v>30</v>
      </c>
      <c r="EK232">
        <v>28.5</v>
      </c>
      <c r="EL232">
        <v>28</v>
      </c>
      <c r="EM232">
        <v>-3.9800000000000013</v>
      </c>
      <c r="EN232">
        <v>29</v>
      </c>
      <c r="EO232">
        <v>-25</v>
      </c>
      <c r="EP232">
        <v>-1.7600000000000002</v>
      </c>
      <c r="EQ232">
        <v>6</v>
      </c>
      <c r="ER232">
        <v>8</v>
      </c>
      <c r="ES232">
        <v>9</v>
      </c>
      <c r="ET232">
        <v>0.48399999999999965</v>
      </c>
      <c r="EU232">
        <v>7</v>
      </c>
      <c r="EV232">
        <v>7.24</v>
      </c>
      <c r="EW232">
        <v>0.47999999999999987</v>
      </c>
      <c r="EX232">
        <v>9</v>
      </c>
      <c r="EY232">
        <v>9.5</v>
      </c>
      <c r="EZ232">
        <v>8</v>
      </c>
      <c r="FA232">
        <v>1.5999999999999999</v>
      </c>
      <c r="FB232">
        <v>11</v>
      </c>
      <c r="FC232">
        <v>0.39999999999999997</v>
      </c>
      <c r="FD232">
        <v>3.12</v>
      </c>
      <c r="FE232">
        <v>12</v>
      </c>
      <c r="FF232">
        <v>14.5</v>
      </c>
      <c r="FG232">
        <v>25</v>
      </c>
      <c r="FH232">
        <v>-5.4069663992870755E-2</v>
      </c>
      <c r="FI232">
        <v>6</v>
      </c>
      <c r="FJ232">
        <v>5.8741029572076274E-3</v>
      </c>
      <c r="FK232">
        <v>10</v>
      </c>
      <c r="FL232">
        <v>0.90799999999999981</v>
      </c>
      <c r="FM232">
        <v>17</v>
      </c>
      <c r="FN232">
        <v>-0.56000000000000016</v>
      </c>
      <c r="FO232">
        <v>-1.4800000000000004</v>
      </c>
      <c r="FP232">
        <v>-0.16000000000000014</v>
      </c>
      <c r="FQ232">
        <v>0.96000000000000019</v>
      </c>
      <c r="FR232">
        <v>-0.48000000000000254</v>
      </c>
      <c r="FS232">
        <v>-2.8400000000000007</v>
      </c>
      <c r="FT232">
        <v>0.96</v>
      </c>
      <c r="FU232">
        <v>-19.920000000000005</v>
      </c>
      <c r="FV232">
        <v>-2.2000000000000002</v>
      </c>
      <c r="FW232">
        <v>-22.880000000000003</v>
      </c>
      <c r="FX232">
        <v>-2.04</v>
      </c>
      <c r="FY232">
        <v>7.2</v>
      </c>
      <c r="FZ232">
        <v>8</v>
      </c>
      <c r="GA232">
        <v>4.4796000000000005</v>
      </c>
      <c r="GB232">
        <v>2.7841999999999998</v>
      </c>
      <c r="GC232">
        <v>20.680000000000003</v>
      </c>
      <c r="GD232">
        <v>-4.4795999999999996</v>
      </c>
      <c r="GE232">
        <v>-0.71095000000000008</v>
      </c>
      <c r="GF232">
        <v>-0.13199999999999984</v>
      </c>
      <c r="GG232">
        <v>-0.35999999999999943</v>
      </c>
      <c r="GH232">
        <v>-6.0595999999999997</v>
      </c>
      <c r="GI232">
        <v>-24.200000000000003</v>
      </c>
      <c r="GJ232">
        <v>-0.88000000000000023</v>
      </c>
      <c r="GK232">
        <v>-1</v>
      </c>
    </row>
    <row r="233" spans="1:193" x14ac:dyDescent="0.2">
      <c r="A233" s="39">
        <v>43793</v>
      </c>
      <c r="B233" s="22" t="s">
        <v>242</v>
      </c>
      <c r="C233" s="41" t="s">
        <v>301</v>
      </c>
      <c r="D233" s="22" t="s">
        <v>307</v>
      </c>
      <c r="E233">
        <v>34.4</v>
      </c>
      <c r="F233">
        <v>5.9</v>
      </c>
      <c r="G233">
        <v>1.4</v>
      </c>
      <c r="H233">
        <v>10.8</v>
      </c>
      <c r="I233">
        <v>10</v>
      </c>
      <c r="J233">
        <v>46</v>
      </c>
      <c r="L233" s="1" t="s">
        <v>301</v>
      </c>
      <c r="M233">
        <v>26</v>
      </c>
      <c r="N233">
        <v>-4.2463999999999986</v>
      </c>
      <c r="O233">
        <v>2</v>
      </c>
      <c r="P233">
        <v>3</v>
      </c>
      <c r="Q233">
        <v>1</v>
      </c>
      <c r="R233">
        <v>15.288</v>
      </c>
      <c r="S233">
        <v>5</v>
      </c>
      <c r="T233">
        <v>35.950000000000003</v>
      </c>
      <c r="U233">
        <v>2.69</v>
      </c>
      <c r="V233">
        <v>32</v>
      </c>
      <c r="W233">
        <v>31.5</v>
      </c>
      <c r="X233">
        <v>31</v>
      </c>
      <c r="Y233">
        <v>-5.1749999999999998</v>
      </c>
      <c r="Z233">
        <v>32</v>
      </c>
      <c r="AA233">
        <v>-17.68</v>
      </c>
      <c r="AB233">
        <v>-1.03</v>
      </c>
      <c r="AC233">
        <v>7</v>
      </c>
      <c r="AD233">
        <v>6.5</v>
      </c>
      <c r="AE233">
        <v>7</v>
      </c>
      <c r="AF233">
        <v>4.5920000000000005</v>
      </c>
      <c r="AG233">
        <v>6</v>
      </c>
      <c r="AH233">
        <v>21.330000000000002</v>
      </c>
      <c r="AI233">
        <v>1.9900000000000007</v>
      </c>
      <c r="AJ233">
        <v>21</v>
      </c>
      <c r="AK233">
        <v>20.5</v>
      </c>
      <c r="AL233">
        <v>20</v>
      </c>
      <c r="AM233">
        <v>-1.9410000000000012</v>
      </c>
      <c r="AN233">
        <v>21</v>
      </c>
      <c r="AO233">
        <v>-16.330000000000002</v>
      </c>
      <c r="AP233">
        <v>0.78</v>
      </c>
      <c r="AQ233">
        <v>23</v>
      </c>
      <c r="AR233">
        <v>23.5</v>
      </c>
      <c r="AS233">
        <v>23</v>
      </c>
      <c r="AT233">
        <v>-3.1640000000000001</v>
      </c>
      <c r="AU233">
        <v>24</v>
      </c>
      <c r="AV233">
        <v>-15.24</v>
      </c>
      <c r="AW233">
        <v>-0.72</v>
      </c>
      <c r="AX233">
        <v>24</v>
      </c>
      <c r="AY233">
        <v>25</v>
      </c>
      <c r="AZ233">
        <v>23</v>
      </c>
      <c r="BA233">
        <v>-7.4159999999999995</v>
      </c>
      <c r="BB233">
        <v>27</v>
      </c>
      <c r="BC233">
        <v>-36.56</v>
      </c>
      <c r="BD233">
        <v>-1.3199999999999998</v>
      </c>
      <c r="BE233">
        <v>20</v>
      </c>
      <c r="BF233">
        <v>22</v>
      </c>
      <c r="BG233">
        <v>20</v>
      </c>
      <c r="BH233">
        <v>-3.3520000000000003</v>
      </c>
      <c r="BI233">
        <v>-6.7200000000000006</v>
      </c>
      <c r="BJ233">
        <v>-0.52000000000000013</v>
      </c>
      <c r="BK233">
        <v>32</v>
      </c>
      <c r="BL233">
        <v>31.5</v>
      </c>
      <c r="BM233">
        <v>32</v>
      </c>
      <c r="BN233">
        <v>-3</v>
      </c>
      <c r="BO233">
        <v>31</v>
      </c>
      <c r="BP233">
        <v>-0.6</v>
      </c>
      <c r="BQ233">
        <v>-1.5199999999999998</v>
      </c>
      <c r="BR233">
        <v>4</v>
      </c>
      <c r="BS233">
        <v>8.5</v>
      </c>
      <c r="BT233">
        <v>4</v>
      </c>
      <c r="BU233">
        <v>7.1021000083851246E-2</v>
      </c>
      <c r="BV233">
        <v>6</v>
      </c>
      <c r="BW233">
        <v>2.8969581800927881E-2</v>
      </c>
      <c r="BX233">
        <v>17</v>
      </c>
      <c r="BY233">
        <v>-7.5880000000000027</v>
      </c>
      <c r="BZ233">
        <v>7</v>
      </c>
      <c r="CA233">
        <v>4.3600000000000003</v>
      </c>
      <c r="CB233">
        <v>3.160000000000001</v>
      </c>
      <c r="CC233">
        <v>-3.3999999999999995</v>
      </c>
      <c r="CD233">
        <v>-0.79999999999999982</v>
      </c>
      <c r="CE233">
        <v>5.1600000000000019</v>
      </c>
      <c r="CF233">
        <v>-6.1599999999999966</v>
      </c>
      <c r="CG233">
        <v>17.48</v>
      </c>
      <c r="CH233">
        <v>3.9600000000000009</v>
      </c>
      <c r="CI233">
        <v>-10.119999999999999</v>
      </c>
      <c r="CJ233">
        <v>32</v>
      </c>
      <c r="CK233">
        <v>-14.359399999999997</v>
      </c>
      <c r="CL233">
        <v>-6.6787799999999997</v>
      </c>
      <c r="CM233">
        <v>-23.639999999999997</v>
      </c>
      <c r="CN233">
        <v>14.359399999999997</v>
      </c>
      <c r="CO233">
        <v>-0.12479999999999958</v>
      </c>
      <c r="CP233">
        <v>-0.51300000000000079</v>
      </c>
      <c r="CQ233">
        <v>-10.24</v>
      </c>
      <c r="CR233">
        <v>10.113</v>
      </c>
      <c r="CS233">
        <v>18.270000000000003</v>
      </c>
      <c r="CT233">
        <v>1.5300000000000007</v>
      </c>
      <c r="CU233">
        <v>1.66</v>
      </c>
      <c r="CV233">
        <v>0.14551250000000024</v>
      </c>
      <c r="CW233">
        <v>0.44350000000000034</v>
      </c>
      <c r="CX233" t="s">
        <v>307</v>
      </c>
      <c r="CY233">
        <v>18</v>
      </c>
      <c r="CZ233">
        <v>0.34319999999999984</v>
      </c>
      <c r="DA233">
        <v>29</v>
      </c>
      <c r="DB233">
        <v>27.5</v>
      </c>
      <c r="DC233">
        <v>26</v>
      </c>
      <c r="DD233">
        <v>-5.1050000000000004</v>
      </c>
      <c r="DE233">
        <v>29</v>
      </c>
      <c r="DF233">
        <v>-28.85</v>
      </c>
      <c r="DG233">
        <v>-4.9999999999999933E-2</v>
      </c>
      <c r="DH233">
        <v>7</v>
      </c>
      <c r="DI233">
        <v>10</v>
      </c>
      <c r="DJ233">
        <v>8</v>
      </c>
      <c r="DK233">
        <v>1.8300000000000005</v>
      </c>
      <c r="DL233">
        <v>12</v>
      </c>
      <c r="DM233">
        <v>3.3999999999999995</v>
      </c>
      <c r="DN233">
        <v>1.6</v>
      </c>
      <c r="DO233">
        <v>15</v>
      </c>
      <c r="DP233">
        <v>19</v>
      </c>
      <c r="DQ233">
        <v>18</v>
      </c>
      <c r="DR233">
        <v>0.53200000000000003</v>
      </c>
      <c r="DS233">
        <v>20</v>
      </c>
      <c r="DT233">
        <v>-6.5199999999999987</v>
      </c>
      <c r="DU233">
        <v>1.1199999999999997</v>
      </c>
      <c r="DV233">
        <v>29</v>
      </c>
      <c r="DW233">
        <v>29.5</v>
      </c>
      <c r="DX233">
        <v>27</v>
      </c>
      <c r="DY233">
        <v>-3.4279999999999999</v>
      </c>
      <c r="DZ233">
        <v>32</v>
      </c>
      <c r="EA233">
        <v>-16.52</v>
      </c>
      <c r="EB233">
        <v>-0.72000000000000008</v>
      </c>
      <c r="EC233">
        <v>27</v>
      </c>
      <c r="ED233">
        <v>25</v>
      </c>
      <c r="EE233">
        <v>25</v>
      </c>
      <c r="EF233">
        <v>-1.5719999999999998</v>
      </c>
      <c r="EG233">
        <v>25</v>
      </c>
      <c r="EH233">
        <v>-7.5199999999999987</v>
      </c>
      <c r="EI233">
        <v>-0.32</v>
      </c>
      <c r="EJ233">
        <v>24</v>
      </c>
      <c r="EK233">
        <v>23.5</v>
      </c>
      <c r="EL233">
        <v>20</v>
      </c>
      <c r="EM233">
        <v>-0.47599999999999837</v>
      </c>
      <c r="EN233">
        <v>27</v>
      </c>
      <c r="EO233">
        <v>-6.7600000000000051</v>
      </c>
      <c r="EP233">
        <v>2.5200000000000005</v>
      </c>
      <c r="EQ233">
        <v>3</v>
      </c>
      <c r="ER233">
        <v>3.5</v>
      </c>
      <c r="ES233">
        <v>3</v>
      </c>
      <c r="ET233">
        <v>4.660000000000001</v>
      </c>
      <c r="EU233">
        <v>4</v>
      </c>
      <c r="EV233">
        <v>18.600000000000001</v>
      </c>
      <c r="EW233">
        <v>2.84</v>
      </c>
      <c r="EX233">
        <v>8</v>
      </c>
      <c r="EY233">
        <v>8.5</v>
      </c>
      <c r="EZ233">
        <v>9</v>
      </c>
      <c r="FA233">
        <v>1.52</v>
      </c>
      <c r="FB233">
        <v>8</v>
      </c>
      <c r="FC233">
        <v>0.15999999999999992</v>
      </c>
      <c r="FD233">
        <v>-1.6799999999999997</v>
      </c>
      <c r="FE233">
        <v>17</v>
      </c>
      <c r="FF233">
        <v>16</v>
      </c>
      <c r="FG233">
        <v>6</v>
      </c>
      <c r="FH233">
        <v>4.2113593803773289E-2</v>
      </c>
      <c r="FI233">
        <v>18</v>
      </c>
      <c r="FJ233">
        <v>-2.1467360856892041E-2</v>
      </c>
      <c r="FK233">
        <v>21</v>
      </c>
      <c r="FL233">
        <v>2.4159999999999981</v>
      </c>
      <c r="FM233">
        <v>19</v>
      </c>
      <c r="FN233">
        <v>-0.83999999999999986</v>
      </c>
      <c r="FO233">
        <v>4.3600000000000003</v>
      </c>
      <c r="FP233">
        <v>-5.28</v>
      </c>
      <c r="FQ233">
        <v>-1.9599999999999997</v>
      </c>
      <c r="FR233">
        <v>-2.5599999999999978</v>
      </c>
      <c r="FS233">
        <v>-0.56000000000000016</v>
      </c>
      <c r="FT233">
        <v>0.76</v>
      </c>
      <c r="FU233">
        <v>-41.319999999999993</v>
      </c>
      <c r="FV233">
        <v>-14.320000000000004</v>
      </c>
      <c r="FW233">
        <v>-33.56</v>
      </c>
      <c r="FX233">
        <v>12.639999999999999</v>
      </c>
      <c r="FY233">
        <v>-6.08</v>
      </c>
      <c r="FZ233">
        <v>10</v>
      </c>
      <c r="GA233">
        <v>3.6181999999999994</v>
      </c>
      <c r="GB233">
        <v>1.7445400000000002</v>
      </c>
      <c r="GC233">
        <v>19.239999999999998</v>
      </c>
      <c r="GD233">
        <v>-3.6181999999999999</v>
      </c>
      <c r="GE233">
        <v>-0.15247499999999986</v>
      </c>
      <c r="GF233">
        <v>-4.468</v>
      </c>
      <c r="GG233">
        <v>-30.56</v>
      </c>
      <c r="GH233">
        <v>-3.2749999999999999</v>
      </c>
      <c r="GI233">
        <v>-25.450000000000003</v>
      </c>
      <c r="GJ233">
        <v>2.9199999999999995</v>
      </c>
      <c r="GK233">
        <v>1.5500000000000003</v>
      </c>
    </row>
    <row r="234" spans="1:193" x14ac:dyDescent="0.2">
      <c r="A234" s="39">
        <v>43793</v>
      </c>
      <c r="B234" s="22" t="s">
        <v>242</v>
      </c>
      <c r="C234" s="41" t="s">
        <v>265</v>
      </c>
      <c r="D234" s="22" t="s">
        <v>296</v>
      </c>
      <c r="E234">
        <v>28.1</v>
      </c>
      <c r="F234">
        <v>13.7</v>
      </c>
      <c r="G234">
        <v>2.9</v>
      </c>
      <c r="H234">
        <f>2.9+1.4</f>
        <v>4.3</v>
      </c>
      <c r="I234">
        <v>-6</v>
      </c>
      <c r="J234">
        <v>41</v>
      </c>
      <c r="L234" s="1" t="s">
        <v>265</v>
      </c>
      <c r="M234">
        <v>27</v>
      </c>
      <c r="N234">
        <v>-4.3487999999999998</v>
      </c>
      <c r="O234">
        <v>20</v>
      </c>
      <c r="P234">
        <v>21</v>
      </c>
      <c r="Q234">
        <v>23</v>
      </c>
      <c r="R234">
        <v>-2.5039999999999991</v>
      </c>
      <c r="S234">
        <v>19</v>
      </c>
      <c r="T234">
        <v>-2.4800000000000013</v>
      </c>
      <c r="U234">
        <v>3.9999999999999945E-2</v>
      </c>
      <c r="V234">
        <v>13</v>
      </c>
      <c r="W234">
        <v>13.5</v>
      </c>
      <c r="X234">
        <v>7</v>
      </c>
      <c r="Y234">
        <v>3.1160000000000005</v>
      </c>
      <c r="Z234">
        <v>20</v>
      </c>
      <c r="AA234">
        <v>-3.2319999999999993</v>
      </c>
      <c r="AB234">
        <v>2.16</v>
      </c>
      <c r="AC234">
        <v>16</v>
      </c>
      <c r="AD234">
        <v>17</v>
      </c>
      <c r="AE234">
        <v>16</v>
      </c>
      <c r="AF234">
        <v>-0.70000000000000073</v>
      </c>
      <c r="AG234">
        <v>18</v>
      </c>
      <c r="AH234">
        <v>-0.23999999999999916</v>
      </c>
      <c r="AI234">
        <v>0.32000000000000012</v>
      </c>
      <c r="AJ234">
        <v>11</v>
      </c>
      <c r="AK234">
        <v>11</v>
      </c>
      <c r="AL234">
        <v>13</v>
      </c>
      <c r="AM234">
        <v>0.66799999999999926</v>
      </c>
      <c r="AN234">
        <v>9</v>
      </c>
      <c r="AO234">
        <v>11.879999999999999</v>
      </c>
      <c r="AP234">
        <v>0.68</v>
      </c>
      <c r="AQ234">
        <v>26</v>
      </c>
      <c r="AR234">
        <v>26</v>
      </c>
      <c r="AS234">
        <v>26</v>
      </c>
      <c r="AT234">
        <v>-1.8639999999999997</v>
      </c>
      <c r="AU234">
        <v>26</v>
      </c>
      <c r="AV234">
        <v>-7.7200000000000006</v>
      </c>
      <c r="AW234">
        <v>0.68</v>
      </c>
      <c r="AX234">
        <v>8</v>
      </c>
      <c r="AY234">
        <v>9</v>
      </c>
      <c r="AZ234">
        <v>9</v>
      </c>
      <c r="BA234">
        <v>5.0920000000000005</v>
      </c>
      <c r="BB234">
        <v>9</v>
      </c>
      <c r="BC234">
        <v>21.32</v>
      </c>
      <c r="BD234">
        <v>3.4799999999999995</v>
      </c>
      <c r="BE234">
        <v>29</v>
      </c>
      <c r="BF234">
        <v>28.5</v>
      </c>
      <c r="BG234">
        <v>25</v>
      </c>
      <c r="BH234">
        <v>-5.7640000000000002</v>
      </c>
      <c r="BI234">
        <v>-28.32</v>
      </c>
      <c r="BJ234">
        <v>-2.04</v>
      </c>
      <c r="BK234">
        <v>30</v>
      </c>
      <c r="BL234">
        <v>29.5</v>
      </c>
      <c r="BM234">
        <v>31</v>
      </c>
      <c r="BN234">
        <v>-2.8399999999999994</v>
      </c>
      <c r="BO234">
        <v>28</v>
      </c>
      <c r="BP234">
        <v>-0.12000000000000002</v>
      </c>
      <c r="BQ234">
        <v>-4.4799999999999995</v>
      </c>
      <c r="BR234">
        <v>18</v>
      </c>
      <c r="BS234">
        <v>15.5</v>
      </c>
      <c r="BT234">
        <v>20</v>
      </c>
      <c r="BU234">
        <v>5.1520453362304932E-3</v>
      </c>
      <c r="BV234">
        <v>11</v>
      </c>
      <c r="BW234">
        <v>1.4276288031809557E-2</v>
      </c>
      <c r="BX234">
        <v>20</v>
      </c>
      <c r="BY234">
        <v>-1.1400000000000035</v>
      </c>
      <c r="BZ234">
        <v>11</v>
      </c>
      <c r="CA234">
        <v>0.6399999999999999</v>
      </c>
      <c r="CB234">
        <v>-0.27999999999999831</v>
      </c>
      <c r="CC234">
        <v>-5.76</v>
      </c>
      <c r="CD234">
        <v>-1.6800000000000002</v>
      </c>
      <c r="CE234">
        <v>-46.52</v>
      </c>
      <c r="CF234">
        <v>-29.2</v>
      </c>
      <c r="CG234">
        <v>-8.879999999999999</v>
      </c>
      <c r="CH234">
        <v>-2.04</v>
      </c>
      <c r="CI234">
        <v>-6.4</v>
      </c>
      <c r="CJ234">
        <v>25</v>
      </c>
      <c r="CK234">
        <v>-4.9608000000000008</v>
      </c>
      <c r="CL234">
        <v>-2.7077600000000013</v>
      </c>
      <c r="CM234">
        <v>-20.32</v>
      </c>
      <c r="CN234">
        <v>4.9608000000000008</v>
      </c>
      <c r="CO234">
        <v>-1.7795999999999998</v>
      </c>
      <c r="CP234">
        <v>-1.8960000000000012</v>
      </c>
      <c r="CQ234">
        <v>3.92</v>
      </c>
      <c r="CR234">
        <v>0.61200000000000143</v>
      </c>
      <c r="CS234">
        <v>-5.7120000000000006</v>
      </c>
      <c r="CT234">
        <v>-0.35999999999999988</v>
      </c>
      <c r="CU234">
        <v>2.2000000000000002</v>
      </c>
      <c r="CV234">
        <v>-0.59687500000000004</v>
      </c>
      <c r="CW234">
        <v>-1.4946250000000001</v>
      </c>
      <c r="CX234" t="s">
        <v>296</v>
      </c>
      <c r="CY234">
        <v>5</v>
      </c>
      <c r="CZ234">
        <v>-0.48399999999999965</v>
      </c>
      <c r="DA234">
        <v>31</v>
      </c>
      <c r="DB234">
        <v>29</v>
      </c>
      <c r="DC234">
        <v>31</v>
      </c>
      <c r="DD234">
        <v>0.50300000000000011</v>
      </c>
      <c r="DE234">
        <v>27</v>
      </c>
      <c r="DF234">
        <v>4.7</v>
      </c>
      <c r="DG234">
        <v>-1.1000000000000001</v>
      </c>
      <c r="DH234">
        <v>15</v>
      </c>
      <c r="DI234">
        <v>16</v>
      </c>
      <c r="DJ234">
        <v>24</v>
      </c>
      <c r="DK234">
        <v>-1.1400000000000001</v>
      </c>
      <c r="DL234">
        <v>8</v>
      </c>
      <c r="DM234">
        <v>4.3600000000000003</v>
      </c>
      <c r="DN234">
        <v>0.35</v>
      </c>
      <c r="DO234">
        <v>4</v>
      </c>
      <c r="DP234">
        <v>4.5</v>
      </c>
      <c r="DQ234">
        <v>4</v>
      </c>
      <c r="DR234">
        <v>6.4360000000000017</v>
      </c>
      <c r="DS234">
        <v>5</v>
      </c>
      <c r="DT234">
        <v>24.599999999999998</v>
      </c>
      <c r="DU234">
        <v>0.19999999999999982</v>
      </c>
      <c r="DV234">
        <v>13</v>
      </c>
      <c r="DW234">
        <v>13.5</v>
      </c>
      <c r="DX234">
        <v>14</v>
      </c>
      <c r="DY234">
        <v>-3.3760000000000021</v>
      </c>
      <c r="DZ234">
        <v>13</v>
      </c>
      <c r="EA234">
        <v>-11.64</v>
      </c>
      <c r="EB234">
        <v>-0.96</v>
      </c>
      <c r="EC234">
        <v>24</v>
      </c>
      <c r="ED234">
        <v>13.5</v>
      </c>
      <c r="EE234">
        <v>16</v>
      </c>
      <c r="EF234">
        <v>-1.0720000000000005</v>
      </c>
      <c r="EG234">
        <v>11</v>
      </c>
      <c r="EH234">
        <v>-6.5200000000000005</v>
      </c>
      <c r="EI234">
        <v>-0.11999999999999993</v>
      </c>
      <c r="EJ234">
        <v>2</v>
      </c>
      <c r="EK234">
        <v>3.5</v>
      </c>
      <c r="EL234">
        <v>4</v>
      </c>
      <c r="EM234">
        <v>4.4760000000000009</v>
      </c>
      <c r="EN234">
        <v>3</v>
      </c>
      <c r="EO234">
        <v>33.56</v>
      </c>
      <c r="EP234">
        <v>0.44000000000000022</v>
      </c>
      <c r="EQ234">
        <v>17</v>
      </c>
      <c r="ER234">
        <v>15.5</v>
      </c>
      <c r="ES234">
        <v>15</v>
      </c>
      <c r="ET234">
        <v>-1.02</v>
      </c>
      <c r="EU234">
        <v>16</v>
      </c>
      <c r="EV234">
        <v>-1.64</v>
      </c>
      <c r="EW234">
        <v>-0.23999999999999985</v>
      </c>
      <c r="EX234">
        <v>2</v>
      </c>
      <c r="EY234">
        <v>3</v>
      </c>
      <c r="EZ234">
        <v>2</v>
      </c>
      <c r="FA234">
        <v>2.56</v>
      </c>
      <c r="FB234">
        <v>4</v>
      </c>
      <c r="FC234">
        <v>0.59999999999999987</v>
      </c>
      <c r="FD234">
        <v>5.72</v>
      </c>
      <c r="FE234">
        <v>29</v>
      </c>
      <c r="FF234">
        <v>24</v>
      </c>
      <c r="FG234">
        <v>11</v>
      </c>
      <c r="FH234">
        <v>-4.4400737871440291E-2</v>
      </c>
      <c r="FI234">
        <v>27</v>
      </c>
      <c r="FJ234">
        <v>-2.1635198960472939E-2</v>
      </c>
      <c r="FK234">
        <v>31</v>
      </c>
      <c r="FL234">
        <v>-3.1519999999999966</v>
      </c>
      <c r="FM234">
        <v>27</v>
      </c>
      <c r="FN234">
        <v>-0.95999999999999974</v>
      </c>
      <c r="FO234">
        <v>-2.04</v>
      </c>
      <c r="FP234">
        <v>2.9199999999999995</v>
      </c>
      <c r="FQ234">
        <v>1.04</v>
      </c>
      <c r="FR234">
        <v>0.91999999999999882</v>
      </c>
      <c r="FS234">
        <v>3.3199999999999994</v>
      </c>
      <c r="FT234">
        <v>2.9999999999999996</v>
      </c>
      <c r="FU234">
        <v>-7.6799999999999953</v>
      </c>
      <c r="FV234">
        <v>-12.319999999999999</v>
      </c>
      <c r="FW234">
        <v>9.76</v>
      </c>
      <c r="FX234">
        <v>-2.6399999999999997</v>
      </c>
      <c r="FY234">
        <v>-2.4800000000000004</v>
      </c>
      <c r="FZ234">
        <v>17</v>
      </c>
      <c r="GA234">
        <v>0.15300000000000036</v>
      </c>
      <c r="GB234">
        <v>0.41529999999999984</v>
      </c>
      <c r="GC234">
        <v>-22.08</v>
      </c>
      <c r="GD234">
        <v>-0.15300000000000036</v>
      </c>
      <c r="GE234">
        <v>0.30087499999999995</v>
      </c>
      <c r="GF234">
        <v>1.9879999999999991</v>
      </c>
      <c r="GG234">
        <v>6.4399999999999968</v>
      </c>
      <c r="GH234">
        <v>-0.63700000000000001</v>
      </c>
      <c r="GI234">
        <v>9.06</v>
      </c>
      <c r="GJ234">
        <v>-1.1199999999999999</v>
      </c>
      <c r="GK234">
        <v>-0.75000000000000011</v>
      </c>
    </row>
    <row r="235" spans="1:193" x14ac:dyDescent="0.2">
      <c r="A235" s="39">
        <v>43793</v>
      </c>
      <c r="B235" s="28" t="s">
        <v>242</v>
      </c>
      <c r="C235" s="17" t="s">
        <v>272</v>
      </c>
      <c r="D235" s="28" t="s">
        <v>309</v>
      </c>
      <c r="E235" s="3">
        <v>23.1</v>
      </c>
      <c r="F235" s="3">
        <v>2</v>
      </c>
      <c r="G235" s="3">
        <v>6.3</v>
      </c>
      <c r="H235" s="3">
        <v>1.7</v>
      </c>
      <c r="I235" s="3">
        <v>5.5</v>
      </c>
      <c r="J235" s="3">
        <v>37.5</v>
      </c>
      <c r="K235" s="3"/>
      <c r="L235" s="1" t="s">
        <v>272</v>
      </c>
      <c r="M235">
        <v>22</v>
      </c>
      <c r="N235">
        <v>-3.0215999999999994</v>
      </c>
      <c r="O235">
        <v>29</v>
      </c>
      <c r="P235">
        <v>28</v>
      </c>
      <c r="Q235">
        <v>26</v>
      </c>
      <c r="R235">
        <v>0.88400000000000001</v>
      </c>
      <c r="S235">
        <v>30</v>
      </c>
      <c r="T235">
        <v>-3.8799999999999981</v>
      </c>
      <c r="U235">
        <v>-0.32000000000000006</v>
      </c>
      <c r="V235">
        <v>24</v>
      </c>
      <c r="W235">
        <v>24</v>
      </c>
      <c r="X235">
        <v>24</v>
      </c>
      <c r="Y235">
        <v>-2.984</v>
      </c>
      <c r="Z235">
        <v>24</v>
      </c>
      <c r="AA235">
        <v>-2.8</v>
      </c>
      <c r="AB235">
        <v>-3.9999999999999994E-2</v>
      </c>
      <c r="AC235">
        <v>22</v>
      </c>
      <c r="AD235">
        <v>20</v>
      </c>
      <c r="AE235">
        <v>17</v>
      </c>
      <c r="AF235">
        <v>-1.8</v>
      </c>
      <c r="AG235">
        <v>23</v>
      </c>
      <c r="AH235">
        <v>-3.9400000000000004</v>
      </c>
      <c r="AI235">
        <v>0.37000000000000011</v>
      </c>
      <c r="AJ235">
        <v>20</v>
      </c>
      <c r="AK235">
        <v>19</v>
      </c>
      <c r="AL235">
        <v>23</v>
      </c>
      <c r="AM235">
        <v>-4.0030000000000019</v>
      </c>
      <c r="AN235">
        <v>15</v>
      </c>
      <c r="AO235">
        <v>-9.25</v>
      </c>
      <c r="AP235">
        <v>-0.18999999999999986</v>
      </c>
      <c r="AQ235">
        <v>2</v>
      </c>
      <c r="AR235">
        <v>2</v>
      </c>
      <c r="AS235">
        <v>2</v>
      </c>
      <c r="AT235">
        <v>2.726</v>
      </c>
      <c r="AU235">
        <v>2</v>
      </c>
      <c r="AV235">
        <v>18.8</v>
      </c>
      <c r="AW235">
        <v>2.85</v>
      </c>
      <c r="AX235">
        <v>14</v>
      </c>
      <c r="AY235">
        <v>14.5</v>
      </c>
      <c r="AZ235">
        <v>16</v>
      </c>
      <c r="BA235">
        <v>0.46799999999999925</v>
      </c>
      <c r="BB235">
        <v>13</v>
      </c>
      <c r="BC235">
        <v>17.880000000000003</v>
      </c>
      <c r="BD235">
        <v>1.4400000000000002</v>
      </c>
      <c r="BE235">
        <v>17</v>
      </c>
      <c r="BF235">
        <v>17.5</v>
      </c>
      <c r="BG235">
        <v>19</v>
      </c>
      <c r="BH235">
        <v>-3.1839999999999997</v>
      </c>
      <c r="BI235">
        <v>-5.96</v>
      </c>
      <c r="BJ235">
        <v>-0.24000000000000013</v>
      </c>
      <c r="BK235">
        <v>12</v>
      </c>
      <c r="BL235">
        <v>11.5</v>
      </c>
      <c r="BM235">
        <v>12</v>
      </c>
      <c r="BN235">
        <v>-0.52</v>
      </c>
      <c r="BO235">
        <v>11</v>
      </c>
      <c r="BP235">
        <v>-0.16</v>
      </c>
      <c r="BQ235">
        <v>-3.5200000000000005</v>
      </c>
      <c r="BR235">
        <v>10</v>
      </c>
      <c r="BS235">
        <v>12.75</v>
      </c>
      <c r="BT235">
        <v>13</v>
      </c>
      <c r="BU235">
        <v>2.5931277331721243E-2</v>
      </c>
      <c r="BV235">
        <v>15</v>
      </c>
      <c r="BW235">
        <v>7.7559124619972592E-3</v>
      </c>
      <c r="BX235">
        <v>11</v>
      </c>
      <c r="BY235">
        <v>2.5279999999999987</v>
      </c>
      <c r="BZ235">
        <v>12</v>
      </c>
      <c r="CA235">
        <v>3.1999999999999997</v>
      </c>
      <c r="CB235">
        <v>1.6</v>
      </c>
      <c r="CC235">
        <v>-6.3599999999999994</v>
      </c>
      <c r="CD235">
        <v>-1</v>
      </c>
      <c r="CE235">
        <v>-19.239999999999998</v>
      </c>
      <c r="CF235">
        <v>-14</v>
      </c>
      <c r="CG235">
        <v>-11.16</v>
      </c>
      <c r="CH235">
        <v>0.31999999999999995</v>
      </c>
      <c r="CI235">
        <v>5.6</v>
      </c>
      <c r="CJ235">
        <v>17</v>
      </c>
      <c r="CK235">
        <v>-0.92159999999999931</v>
      </c>
      <c r="CL235">
        <v>-0.80652000000000013</v>
      </c>
      <c r="CM235">
        <v>-2.84</v>
      </c>
      <c r="CN235">
        <v>0.92159999999999931</v>
      </c>
      <c r="CO235">
        <v>-1.4878250000000002</v>
      </c>
      <c r="CP235">
        <v>-3.0770000000000017</v>
      </c>
      <c r="CQ235">
        <v>5.6099999999999994</v>
      </c>
      <c r="CR235">
        <v>-2.1</v>
      </c>
      <c r="CS235">
        <v>-6.6799999999999979</v>
      </c>
      <c r="CT235">
        <v>2.79</v>
      </c>
      <c r="CU235">
        <v>-0.36000000000000004</v>
      </c>
      <c r="CV235">
        <v>-0.26821249999999991</v>
      </c>
      <c r="CW235">
        <v>0.95277500000000026</v>
      </c>
      <c r="CX235" t="s">
        <v>309</v>
      </c>
      <c r="CY235">
        <v>31</v>
      </c>
      <c r="CZ235">
        <v>-1.1656000000000004</v>
      </c>
      <c r="DA235">
        <v>22</v>
      </c>
      <c r="DB235">
        <v>21.5</v>
      </c>
      <c r="DC235">
        <v>32</v>
      </c>
      <c r="DD235">
        <v>-5.7159999999999993</v>
      </c>
      <c r="DE235">
        <v>11</v>
      </c>
      <c r="DF235">
        <v>0.36000000000000015</v>
      </c>
      <c r="DG235">
        <v>-0.44000000000000006</v>
      </c>
      <c r="DH235">
        <v>16</v>
      </c>
      <c r="DI235">
        <v>16.5</v>
      </c>
      <c r="DJ235">
        <v>12</v>
      </c>
      <c r="DK235">
        <v>-1.1719999999999993</v>
      </c>
      <c r="DL235">
        <v>21</v>
      </c>
      <c r="DM235">
        <v>-9.32</v>
      </c>
      <c r="DN235">
        <v>7.9999999999999891E-2</v>
      </c>
      <c r="DO235">
        <v>26</v>
      </c>
      <c r="DP235">
        <v>29.5</v>
      </c>
      <c r="DQ235">
        <v>28</v>
      </c>
      <c r="DR235">
        <v>-0.53599999999999959</v>
      </c>
      <c r="DS235">
        <v>31</v>
      </c>
      <c r="DT235">
        <v>-7.4399999999999995</v>
      </c>
      <c r="DU235">
        <v>-0.76</v>
      </c>
      <c r="DV235">
        <v>29</v>
      </c>
      <c r="DW235">
        <v>29.5</v>
      </c>
      <c r="DX235">
        <v>31</v>
      </c>
      <c r="DY235">
        <v>-0.36400000000000005</v>
      </c>
      <c r="DZ235">
        <v>28</v>
      </c>
      <c r="EA235">
        <v>-3.2799999999999967</v>
      </c>
      <c r="EB235">
        <v>4.0000000000000036E-2</v>
      </c>
      <c r="EC235">
        <v>5</v>
      </c>
      <c r="ED235">
        <v>25</v>
      </c>
      <c r="EE235">
        <v>27</v>
      </c>
      <c r="EF235">
        <v>0.32400000000000057</v>
      </c>
      <c r="EG235">
        <v>23</v>
      </c>
      <c r="EH235">
        <v>1.5199999999999996</v>
      </c>
      <c r="EI235">
        <v>-0.12000000000000002</v>
      </c>
      <c r="EJ235">
        <v>27</v>
      </c>
      <c r="EK235">
        <v>27</v>
      </c>
      <c r="EL235">
        <v>30</v>
      </c>
      <c r="EM235">
        <v>-1.5360000000000014</v>
      </c>
      <c r="EN235">
        <v>24</v>
      </c>
      <c r="EO235">
        <v>-11.760000000000002</v>
      </c>
      <c r="EP235">
        <v>-2.2399999999999998</v>
      </c>
      <c r="EQ235">
        <v>24</v>
      </c>
      <c r="ER235">
        <v>24</v>
      </c>
      <c r="ES235">
        <v>24</v>
      </c>
      <c r="ET235">
        <v>0.1959999999999992</v>
      </c>
      <c r="EU235">
        <v>24</v>
      </c>
      <c r="EV235">
        <v>-7.24</v>
      </c>
      <c r="EW235">
        <v>-0.59999999999999987</v>
      </c>
      <c r="EX235">
        <v>30</v>
      </c>
      <c r="EY235">
        <v>27.5</v>
      </c>
      <c r="EZ235">
        <v>31</v>
      </c>
      <c r="FA235">
        <v>-3.4800000000000004</v>
      </c>
      <c r="FB235">
        <v>24</v>
      </c>
      <c r="FC235">
        <v>-0.44000000000000006</v>
      </c>
      <c r="FD235">
        <v>3.84</v>
      </c>
      <c r="FE235">
        <v>1</v>
      </c>
      <c r="FF235">
        <v>5.25</v>
      </c>
      <c r="FG235">
        <v>2</v>
      </c>
      <c r="FH235">
        <v>0.13215249047162195</v>
      </c>
      <c r="FI235">
        <v>1</v>
      </c>
      <c r="FJ235">
        <v>2.3905117092749329E-2</v>
      </c>
      <c r="FK235">
        <v>16</v>
      </c>
      <c r="FL235">
        <v>-3.4239999999999995</v>
      </c>
      <c r="FM235">
        <v>2</v>
      </c>
      <c r="FN235">
        <v>4.68</v>
      </c>
      <c r="FO235">
        <v>-1.3599999999999988</v>
      </c>
      <c r="FP235">
        <v>-0.71999999999999953</v>
      </c>
      <c r="FQ235">
        <v>-0.16</v>
      </c>
      <c r="FR235">
        <v>-1.6000000000000028</v>
      </c>
      <c r="FS235">
        <v>-3.72</v>
      </c>
      <c r="FT235">
        <v>1.1200000000000001</v>
      </c>
      <c r="FU235">
        <v>-31.079999999999995</v>
      </c>
      <c r="FV235">
        <v>-17.640000000000004</v>
      </c>
      <c r="FW235">
        <v>-9.56</v>
      </c>
      <c r="FX235">
        <v>2.12</v>
      </c>
      <c r="FY235">
        <v>-6</v>
      </c>
      <c r="FZ235">
        <v>6</v>
      </c>
      <c r="GA235">
        <v>5.7223999999999986</v>
      </c>
      <c r="GB235">
        <v>3.134879999999999</v>
      </c>
      <c r="GC235">
        <v>-8.0800000000000036</v>
      </c>
      <c r="GD235">
        <v>-5.7223999999999977</v>
      </c>
      <c r="GE235">
        <v>-1.4892000000000001</v>
      </c>
      <c r="GF235">
        <v>-0.57599999999999918</v>
      </c>
      <c r="GG235">
        <v>-9.1999999999999957</v>
      </c>
      <c r="GH235">
        <v>-6.8879999999999981</v>
      </c>
      <c r="GI235">
        <v>-8.9600000000000009</v>
      </c>
      <c r="GJ235">
        <v>-1.44</v>
      </c>
      <c r="GK235">
        <v>-0.36000000000000015</v>
      </c>
    </row>
    <row r="236" spans="1:193" x14ac:dyDescent="0.2">
      <c r="A236" s="39">
        <v>43793</v>
      </c>
      <c r="B236" s="22" t="s">
        <v>242</v>
      </c>
      <c r="C236" s="41" t="s">
        <v>281</v>
      </c>
      <c r="D236" s="22" t="s">
        <v>293</v>
      </c>
      <c r="E236">
        <v>20.399999999999999</v>
      </c>
      <c r="F236">
        <v>39.799999999999997</v>
      </c>
      <c r="G236">
        <v>0</v>
      </c>
      <c r="H236">
        <v>5.8</v>
      </c>
      <c r="I236">
        <v>-11</v>
      </c>
      <c r="J236">
        <v>45.5</v>
      </c>
      <c r="K236" s="20" t="s">
        <v>109</v>
      </c>
      <c r="L236" s="1" t="s">
        <v>281</v>
      </c>
      <c r="M236">
        <v>6</v>
      </c>
      <c r="N236">
        <v>3.9551999999999992</v>
      </c>
      <c r="O236">
        <v>5</v>
      </c>
      <c r="P236">
        <v>7</v>
      </c>
      <c r="Q236">
        <v>8</v>
      </c>
      <c r="R236">
        <v>2.964</v>
      </c>
      <c r="S236">
        <v>6</v>
      </c>
      <c r="T236">
        <v>22.119999999999997</v>
      </c>
      <c r="U236">
        <v>-0.12000000000000011</v>
      </c>
      <c r="V236">
        <v>4</v>
      </c>
      <c r="W236">
        <v>6</v>
      </c>
      <c r="X236">
        <v>6</v>
      </c>
      <c r="Y236">
        <v>3.508</v>
      </c>
      <c r="Z236">
        <v>6</v>
      </c>
      <c r="AA236">
        <v>1.2400000000000007</v>
      </c>
      <c r="AB236">
        <v>2.3600000000000003</v>
      </c>
      <c r="AC236">
        <v>25</v>
      </c>
      <c r="AD236">
        <v>24.5</v>
      </c>
      <c r="AE236">
        <v>25</v>
      </c>
      <c r="AF236">
        <v>-0.42000000000000048</v>
      </c>
      <c r="AG236">
        <v>24</v>
      </c>
      <c r="AH236">
        <v>5.7600000000000007</v>
      </c>
      <c r="AI236">
        <v>0.72</v>
      </c>
      <c r="AJ236">
        <v>1</v>
      </c>
      <c r="AK236">
        <v>2.5</v>
      </c>
      <c r="AL236">
        <v>1</v>
      </c>
      <c r="AM236">
        <v>10.692</v>
      </c>
      <c r="AN236">
        <v>4</v>
      </c>
      <c r="AO236">
        <v>35.080000000000005</v>
      </c>
      <c r="AP236">
        <v>4.12</v>
      </c>
      <c r="AQ236">
        <v>18</v>
      </c>
      <c r="AR236">
        <v>17.5</v>
      </c>
      <c r="AS236">
        <v>19</v>
      </c>
      <c r="AT236">
        <v>-0.19199999999999973</v>
      </c>
      <c r="AU236">
        <v>16</v>
      </c>
      <c r="AV236">
        <v>3.9999999999999855E-2</v>
      </c>
      <c r="AW236">
        <v>-0.76</v>
      </c>
      <c r="AX236">
        <v>15</v>
      </c>
      <c r="AY236">
        <v>15.5</v>
      </c>
      <c r="AZ236">
        <v>15</v>
      </c>
      <c r="BA236">
        <v>0.67600000000000016</v>
      </c>
      <c r="BB236">
        <v>16</v>
      </c>
      <c r="BC236">
        <v>2.7600000000000007</v>
      </c>
      <c r="BD236">
        <v>0.12000000000000011</v>
      </c>
      <c r="BE236">
        <v>23</v>
      </c>
      <c r="BF236">
        <v>23</v>
      </c>
      <c r="BG236">
        <v>21</v>
      </c>
      <c r="BH236">
        <v>-4.0239999999999991</v>
      </c>
      <c r="BI236">
        <v>-17.920000000000002</v>
      </c>
      <c r="BJ236">
        <v>-3.5200000000000005</v>
      </c>
      <c r="BK236">
        <v>4</v>
      </c>
      <c r="BL236">
        <v>7</v>
      </c>
      <c r="BM236">
        <v>7</v>
      </c>
      <c r="BN236">
        <v>1.52</v>
      </c>
      <c r="BO236">
        <v>7</v>
      </c>
      <c r="BP236">
        <v>0.6</v>
      </c>
      <c r="BQ236">
        <v>-0.8</v>
      </c>
      <c r="BR236">
        <v>30</v>
      </c>
      <c r="BS236">
        <v>29</v>
      </c>
      <c r="BT236">
        <v>31</v>
      </c>
      <c r="BU236">
        <v>-6.7870209951148508E-2</v>
      </c>
      <c r="BV236">
        <v>30</v>
      </c>
      <c r="BW236">
        <v>-1.5717425598831481E-2</v>
      </c>
      <c r="BX236">
        <v>24</v>
      </c>
      <c r="BY236">
        <v>1.3200000000000016</v>
      </c>
      <c r="BZ236">
        <v>31</v>
      </c>
      <c r="CA236">
        <v>-3.2800000000000002</v>
      </c>
      <c r="CB236">
        <v>4</v>
      </c>
      <c r="CC236">
        <v>4.68</v>
      </c>
      <c r="CD236">
        <v>-1.36</v>
      </c>
      <c r="CE236">
        <v>42.44</v>
      </c>
      <c r="CF236">
        <v>31.27999999999999</v>
      </c>
      <c r="CG236">
        <v>20.240000000000002</v>
      </c>
      <c r="CH236">
        <v>-3.5200000000000005</v>
      </c>
      <c r="CI236">
        <v>-5.5600000000000005</v>
      </c>
      <c r="CJ236">
        <v>21</v>
      </c>
      <c r="CK236">
        <v>-2.5168000000000008</v>
      </c>
      <c r="CL236">
        <v>-1.2337599999999997</v>
      </c>
      <c r="CM236">
        <v>11.039999999999988</v>
      </c>
      <c r="CN236">
        <v>2.5168000000000004</v>
      </c>
      <c r="CO236">
        <v>2.2503999999999995</v>
      </c>
      <c r="CP236">
        <v>10.08</v>
      </c>
      <c r="CQ236">
        <v>40.880000000000003</v>
      </c>
      <c r="CR236">
        <v>6.4719999999999995</v>
      </c>
      <c r="CS236">
        <v>23.36</v>
      </c>
      <c r="CT236">
        <v>0.55999999999999961</v>
      </c>
      <c r="CU236">
        <v>2.2400000000000002</v>
      </c>
      <c r="CV236">
        <v>1.2338500000000001</v>
      </c>
      <c r="CW236">
        <v>0.10157500000000008</v>
      </c>
      <c r="CX236" t="s">
        <v>293</v>
      </c>
      <c r="CY236">
        <v>2</v>
      </c>
      <c r="CZ236">
        <v>2.1</v>
      </c>
      <c r="DA236">
        <v>1</v>
      </c>
      <c r="DB236">
        <v>1.5</v>
      </c>
      <c r="DC236">
        <v>1</v>
      </c>
      <c r="DD236">
        <v>2.2919999999999994</v>
      </c>
      <c r="DE236">
        <v>2</v>
      </c>
      <c r="DF236">
        <v>14.64</v>
      </c>
      <c r="DG236">
        <v>-0.15999999999999998</v>
      </c>
      <c r="DH236">
        <v>30</v>
      </c>
      <c r="DI236">
        <v>27</v>
      </c>
      <c r="DJ236">
        <v>27</v>
      </c>
      <c r="DK236">
        <v>0.14400000000000029</v>
      </c>
      <c r="DL236">
        <v>27</v>
      </c>
      <c r="DM236">
        <v>-2.0799999999999996</v>
      </c>
      <c r="DN236">
        <v>0.23999999999999991</v>
      </c>
      <c r="DO236">
        <v>2</v>
      </c>
      <c r="DP236">
        <v>1.5</v>
      </c>
      <c r="DQ236">
        <v>1</v>
      </c>
      <c r="DR236">
        <v>8.8210000000000015</v>
      </c>
      <c r="DS236">
        <v>2</v>
      </c>
      <c r="DT236">
        <v>23.060000000000002</v>
      </c>
      <c r="DU236">
        <v>2.1</v>
      </c>
      <c r="DV236">
        <v>8</v>
      </c>
      <c r="DW236">
        <v>7</v>
      </c>
      <c r="DX236">
        <v>6</v>
      </c>
      <c r="DY236">
        <v>3.0679999999999987</v>
      </c>
      <c r="DZ236">
        <v>8</v>
      </c>
      <c r="EA236">
        <v>15.48</v>
      </c>
      <c r="EB236">
        <v>0.52000000000000013</v>
      </c>
      <c r="EC236">
        <v>29</v>
      </c>
      <c r="ED236">
        <v>24</v>
      </c>
      <c r="EE236">
        <v>22</v>
      </c>
      <c r="EF236">
        <v>-2.2280000000000002</v>
      </c>
      <c r="EG236">
        <v>26</v>
      </c>
      <c r="EH236">
        <v>-10.999999999999998</v>
      </c>
      <c r="EI236">
        <v>0.4</v>
      </c>
      <c r="EJ236">
        <v>9</v>
      </c>
      <c r="EK236">
        <v>9</v>
      </c>
      <c r="EL236">
        <v>8</v>
      </c>
      <c r="EM236">
        <v>3.4520000000000004</v>
      </c>
      <c r="EN236">
        <v>10</v>
      </c>
      <c r="EO236">
        <v>15.719999999999999</v>
      </c>
      <c r="EP236">
        <v>2</v>
      </c>
      <c r="EQ236">
        <v>19</v>
      </c>
      <c r="ER236">
        <v>18.5</v>
      </c>
      <c r="ES236">
        <v>25</v>
      </c>
      <c r="ET236">
        <v>1.2120000000000002</v>
      </c>
      <c r="EU236">
        <v>12</v>
      </c>
      <c r="EV236">
        <v>8.36</v>
      </c>
      <c r="EW236">
        <v>1.9600000000000002</v>
      </c>
      <c r="EX236">
        <v>1</v>
      </c>
      <c r="EY236">
        <v>1.5</v>
      </c>
      <c r="EZ236">
        <v>1</v>
      </c>
      <c r="FA236">
        <v>3.5199999999999996</v>
      </c>
      <c r="FB236">
        <v>2</v>
      </c>
      <c r="FC236">
        <v>0.79999999999999993</v>
      </c>
      <c r="FD236">
        <v>-0.40000000000000019</v>
      </c>
      <c r="FE236">
        <v>31</v>
      </c>
      <c r="FF236">
        <v>29</v>
      </c>
      <c r="FG236">
        <v>29</v>
      </c>
      <c r="FH236">
        <v>-7.7781579150107125E-2</v>
      </c>
      <c r="FI236">
        <v>32</v>
      </c>
      <c r="FJ236">
        <v>-3.1676283207522762E-2</v>
      </c>
      <c r="FK236">
        <v>30</v>
      </c>
      <c r="FL236">
        <v>11.248000000000001</v>
      </c>
      <c r="FM236">
        <v>25</v>
      </c>
      <c r="FN236">
        <v>-2.4</v>
      </c>
      <c r="FO236">
        <v>3.7199999999999998</v>
      </c>
      <c r="FP236">
        <v>1.0399999999999998</v>
      </c>
      <c r="FQ236">
        <v>-0.95999999999999974</v>
      </c>
      <c r="FR236">
        <v>2.1999999999999984</v>
      </c>
      <c r="FS236">
        <v>5.879999999999999</v>
      </c>
      <c r="FT236">
        <v>-0.96</v>
      </c>
      <c r="FU236">
        <v>45.04</v>
      </c>
      <c r="FV236">
        <v>35.800000000000004</v>
      </c>
      <c r="FW236">
        <v>13.679999999999998</v>
      </c>
      <c r="FX236">
        <v>-1.44</v>
      </c>
      <c r="FY236">
        <v>-2.9999999999999996</v>
      </c>
      <c r="FZ236">
        <v>19</v>
      </c>
      <c r="GA236">
        <v>-0.33599999999999958</v>
      </c>
      <c r="GB236">
        <v>1.3766000000000005</v>
      </c>
      <c r="GC236">
        <v>22.120000000000005</v>
      </c>
      <c r="GD236">
        <v>0.33599999999999941</v>
      </c>
      <c r="GE236">
        <v>2.3661250000000003</v>
      </c>
      <c r="GF236">
        <v>9.6609999999999996</v>
      </c>
      <c r="GG236">
        <v>27.540000000000006</v>
      </c>
      <c r="GH236">
        <v>2.4359999999999995</v>
      </c>
      <c r="GI236">
        <v>12.56</v>
      </c>
      <c r="GJ236">
        <v>4.9800000000000004</v>
      </c>
      <c r="GK236">
        <v>7.9999999999999932E-2</v>
      </c>
    </row>
    <row r="237" spans="1:193" x14ac:dyDescent="0.2">
      <c r="A237" s="39">
        <v>43793</v>
      </c>
      <c r="B237" s="22" t="s">
        <v>242</v>
      </c>
      <c r="C237" s="41" t="s">
        <v>291</v>
      </c>
      <c r="D237" s="22" t="s">
        <v>302</v>
      </c>
      <c r="E237">
        <v>0</v>
      </c>
      <c r="F237">
        <v>9.5</v>
      </c>
      <c r="G237">
        <v>12.6</v>
      </c>
      <c r="H237">
        <v>6.2</v>
      </c>
      <c r="I237">
        <v>5.5</v>
      </c>
      <c r="J237">
        <v>44.5</v>
      </c>
      <c r="K237" t="s">
        <v>109</v>
      </c>
      <c r="L237" s="1" t="s">
        <v>291</v>
      </c>
      <c r="M237">
        <v>3</v>
      </c>
      <c r="N237">
        <v>5.8367999999999993</v>
      </c>
      <c r="O237">
        <v>5</v>
      </c>
      <c r="P237">
        <v>7</v>
      </c>
      <c r="Q237">
        <v>6</v>
      </c>
      <c r="R237">
        <v>2.984</v>
      </c>
      <c r="S237">
        <v>8</v>
      </c>
      <c r="T237">
        <v>17.68</v>
      </c>
      <c r="U237">
        <v>0.32</v>
      </c>
      <c r="V237">
        <v>27</v>
      </c>
      <c r="W237">
        <v>27.5</v>
      </c>
      <c r="X237">
        <v>28</v>
      </c>
      <c r="Y237">
        <v>-0.38799999999999918</v>
      </c>
      <c r="Z237">
        <v>27</v>
      </c>
      <c r="AA237">
        <v>-5.0720000000000001</v>
      </c>
      <c r="AB237">
        <v>8.8817841970012528E-17</v>
      </c>
      <c r="AC237">
        <v>10</v>
      </c>
      <c r="AD237">
        <v>12</v>
      </c>
      <c r="AE237">
        <v>12</v>
      </c>
      <c r="AF237">
        <v>2.1191999999999998</v>
      </c>
      <c r="AG237">
        <v>12</v>
      </c>
      <c r="AH237">
        <v>8.6399999999999988</v>
      </c>
      <c r="AI237">
        <v>0.28000000000000008</v>
      </c>
      <c r="AJ237">
        <v>10</v>
      </c>
      <c r="AK237">
        <v>9</v>
      </c>
      <c r="AL237">
        <v>11</v>
      </c>
      <c r="AM237">
        <v>2.5079999999999996</v>
      </c>
      <c r="AN237">
        <v>7</v>
      </c>
      <c r="AO237">
        <v>18.96</v>
      </c>
      <c r="AP237">
        <v>1.0799999999999998</v>
      </c>
      <c r="AQ237">
        <v>1</v>
      </c>
      <c r="AR237">
        <v>1</v>
      </c>
      <c r="AS237">
        <v>1</v>
      </c>
      <c r="AT237">
        <v>7.7399999999999993</v>
      </c>
      <c r="AU237">
        <v>1</v>
      </c>
      <c r="AV237">
        <v>39.120000000000005</v>
      </c>
      <c r="AW237">
        <v>2.6800000000000006</v>
      </c>
      <c r="AX237">
        <v>2</v>
      </c>
      <c r="AY237">
        <v>3.5</v>
      </c>
      <c r="AZ237">
        <v>3</v>
      </c>
      <c r="BA237">
        <v>3.7880000000000003</v>
      </c>
      <c r="BB237">
        <v>4</v>
      </c>
      <c r="BC237">
        <v>22.679999999999996</v>
      </c>
      <c r="BD237">
        <v>1.6400000000000001</v>
      </c>
      <c r="BE237">
        <v>8</v>
      </c>
      <c r="BF237">
        <v>7</v>
      </c>
      <c r="BG237">
        <v>7</v>
      </c>
      <c r="BH237">
        <v>3.5400000000000005</v>
      </c>
      <c r="BI237">
        <v>15.16</v>
      </c>
      <c r="BJ237">
        <v>1.92</v>
      </c>
      <c r="BK237">
        <v>11</v>
      </c>
      <c r="BL237">
        <v>9.5</v>
      </c>
      <c r="BM237">
        <v>14</v>
      </c>
      <c r="BN237">
        <v>2.88</v>
      </c>
      <c r="BO237">
        <v>5</v>
      </c>
      <c r="BP237">
        <v>0.91999999999999993</v>
      </c>
      <c r="BQ237">
        <v>0.44000000000000022</v>
      </c>
      <c r="BR237">
        <v>26</v>
      </c>
      <c r="BS237">
        <v>22.25</v>
      </c>
      <c r="BT237">
        <v>18</v>
      </c>
      <c r="BU237">
        <v>-1.7460506268503522E-2</v>
      </c>
      <c r="BV237">
        <v>32</v>
      </c>
      <c r="BW237">
        <v>-4.6426843491096458E-2</v>
      </c>
      <c r="BX237">
        <v>16</v>
      </c>
      <c r="BY237">
        <v>10.98</v>
      </c>
      <c r="BZ237">
        <v>23</v>
      </c>
      <c r="CA237">
        <v>-4.5200000000000005</v>
      </c>
      <c r="CB237">
        <v>4.6399999999999988</v>
      </c>
      <c r="CC237">
        <v>6.7200000000000006</v>
      </c>
      <c r="CD237">
        <v>0</v>
      </c>
      <c r="CE237">
        <v>84.47999999999999</v>
      </c>
      <c r="CF237">
        <v>75.28</v>
      </c>
      <c r="CG237">
        <v>9.0799999999999983</v>
      </c>
      <c r="CH237">
        <v>2</v>
      </c>
      <c r="CI237">
        <v>-1.8800000000000003</v>
      </c>
      <c r="CJ237">
        <v>12</v>
      </c>
      <c r="CK237">
        <v>3.2407999999999983</v>
      </c>
      <c r="CL237">
        <v>3.0507999999999984</v>
      </c>
      <c r="CM237">
        <v>66.2</v>
      </c>
      <c r="CN237">
        <v>-3.2407999999999983</v>
      </c>
      <c r="CO237">
        <v>3.4024999999999994</v>
      </c>
      <c r="CP237">
        <v>12.367199999999999</v>
      </c>
      <c r="CQ237">
        <v>66.72</v>
      </c>
      <c r="CR237">
        <v>2.596000000000001</v>
      </c>
      <c r="CS237">
        <v>12.608000000000001</v>
      </c>
      <c r="CT237">
        <v>5.9600000000000009</v>
      </c>
      <c r="CU237">
        <v>0.32000000000000012</v>
      </c>
      <c r="CV237">
        <v>-2.9069750000000005</v>
      </c>
      <c r="CW237">
        <v>-1.690175</v>
      </c>
      <c r="CX237" t="s">
        <v>302</v>
      </c>
      <c r="CY237">
        <v>28</v>
      </c>
      <c r="CZ237">
        <v>-9.6712000000000025</v>
      </c>
      <c r="DA237">
        <v>20</v>
      </c>
      <c r="DB237">
        <v>21</v>
      </c>
      <c r="DC237">
        <v>26</v>
      </c>
      <c r="DD237">
        <v>-2.6399999999999997</v>
      </c>
      <c r="DE237">
        <v>16</v>
      </c>
      <c r="DF237">
        <v>13.920000000000002</v>
      </c>
      <c r="DG237">
        <v>0</v>
      </c>
      <c r="DH237">
        <v>19</v>
      </c>
      <c r="DI237">
        <v>17</v>
      </c>
      <c r="DJ237">
        <v>15</v>
      </c>
      <c r="DK237">
        <v>-1.9639999999999997</v>
      </c>
      <c r="DL237">
        <v>19</v>
      </c>
      <c r="DM237">
        <v>-9.3199999999999985</v>
      </c>
      <c r="DN237">
        <v>-0.20000000000000009</v>
      </c>
      <c r="DO237">
        <v>31</v>
      </c>
      <c r="DP237">
        <v>29</v>
      </c>
      <c r="DQ237">
        <v>30</v>
      </c>
      <c r="DR237">
        <v>-6.1070000000000011</v>
      </c>
      <c r="DS237">
        <v>28</v>
      </c>
      <c r="DT237">
        <v>-25.07</v>
      </c>
      <c r="DU237">
        <v>-1.3900000000000001</v>
      </c>
      <c r="DV237">
        <v>24</v>
      </c>
      <c r="DW237">
        <v>25</v>
      </c>
      <c r="DX237">
        <v>26</v>
      </c>
      <c r="DY237">
        <v>-5.3110000000000017</v>
      </c>
      <c r="DZ237">
        <v>24</v>
      </c>
      <c r="EA237">
        <v>-12.559999999999999</v>
      </c>
      <c r="EB237">
        <v>0.23000000000000007</v>
      </c>
      <c r="EC237">
        <v>23</v>
      </c>
      <c r="ED237">
        <v>21</v>
      </c>
      <c r="EE237">
        <v>25</v>
      </c>
      <c r="EF237">
        <v>-1.457000000000001</v>
      </c>
      <c r="EG237">
        <v>17</v>
      </c>
      <c r="EH237">
        <v>-0.2700000000000003</v>
      </c>
      <c r="EI237">
        <v>0.9</v>
      </c>
      <c r="EJ237">
        <v>22</v>
      </c>
      <c r="EK237">
        <v>23</v>
      </c>
      <c r="EL237">
        <v>24</v>
      </c>
      <c r="EM237">
        <v>-7.1759999999999993</v>
      </c>
      <c r="EN237">
        <v>22</v>
      </c>
      <c r="EO237">
        <v>-26.560000000000002</v>
      </c>
      <c r="EP237">
        <v>0.16000000000000014</v>
      </c>
      <c r="EQ237">
        <v>20</v>
      </c>
      <c r="ER237">
        <v>20</v>
      </c>
      <c r="ES237">
        <v>18</v>
      </c>
      <c r="ET237">
        <v>-3.3200000000000012</v>
      </c>
      <c r="EU237">
        <v>22</v>
      </c>
      <c r="EV237">
        <v>-16.252800000000001</v>
      </c>
      <c r="EW237">
        <v>-0.15999999999999998</v>
      </c>
      <c r="EX237">
        <v>24</v>
      </c>
      <c r="EY237">
        <v>23</v>
      </c>
      <c r="EZ237">
        <v>24</v>
      </c>
      <c r="FA237">
        <v>-2.5200000000000005</v>
      </c>
      <c r="FB237">
        <v>22</v>
      </c>
      <c r="FC237">
        <v>-0.56000000000000005</v>
      </c>
      <c r="FD237">
        <v>-4.4000000000000004</v>
      </c>
      <c r="FE237">
        <v>5</v>
      </c>
      <c r="FF237">
        <v>9.75</v>
      </c>
      <c r="FG237">
        <v>1</v>
      </c>
      <c r="FH237">
        <v>7.5295891862391495E-2</v>
      </c>
      <c r="FI237">
        <v>12</v>
      </c>
      <c r="FJ237">
        <v>4.1967991927981951E-3</v>
      </c>
      <c r="FK237">
        <v>23</v>
      </c>
      <c r="FL237">
        <v>-10.671999999999997</v>
      </c>
      <c r="FM237">
        <v>3</v>
      </c>
      <c r="FN237">
        <v>8.76</v>
      </c>
      <c r="FO237">
        <v>-0.59999999999999931</v>
      </c>
      <c r="FP237">
        <v>-3.0799999999999996</v>
      </c>
      <c r="FQ237">
        <v>-0.1999999999999999</v>
      </c>
      <c r="FR237">
        <v>-4.240000000000002</v>
      </c>
      <c r="FS237">
        <v>-11.6</v>
      </c>
      <c r="FT237">
        <v>-0.91999999999999993</v>
      </c>
      <c r="FU237">
        <v>-80.400000000000006</v>
      </c>
      <c r="FV237">
        <v>-72.359999999999985</v>
      </c>
      <c r="FW237">
        <v>1.2800000000000011</v>
      </c>
      <c r="FX237">
        <v>-1.8400000000000003</v>
      </c>
      <c r="FY237">
        <v>-7.4799999999999986</v>
      </c>
      <c r="FZ237">
        <v>27</v>
      </c>
      <c r="GA237">
        <v>-5.0672000000000033</v>
      </c>
      <c r="GB237">
        <v>-2.871240000000002</v>
      </c>
      <c r="GC237">
        <v>-73.639999999999986</v>
      </c>
      <c r="GD237">
        <v>5.0672000000000033</v>
      </c>
      <c r="GE237">
        <v>-4.1237750000000011</v>
      </c>
      <c r="GF237">
        <v>-12.875000000000004</v>
      </c>
      <c r="GG237">
        <v>-37.9</v>
      </c>
      <c r="GH237">
        <v>-4.6039999999999992</v>
      </c>
      <c r="GI237">
        <v>4.6000000000000032</v>
      </c>
      <c r="GJ237">
        <v>-0.4200000000000001</v>
      </c>
      <c r="GK237">
        <v>-0.20000000000000009</v>
      </c>
    </row>
    <row r="238" spans="1:193" x14ac:dyDescent="0.2">
      <c r="A238" s="39">
        <v>43793</v>
      </c>
      <c r="B238" t="s">
        <v>242</v>
      </c>
      <c r="C238" s="41" t="s">
        <v>278</v>
      </c>
      <c r="D238" t="s">
        <v>276</v>
      </c>
      <c r="E238">
        <v>3.7</v>
      </c>
      <c r="F238">
        <v>1.3</v>
      </c>
      <c r="G238">
        <v>1</v>
      </c>
      <c r="H238">
        <v>7.2</v>
      </c>
      <c r="I238">
        <v>3.5</v>
      </c>
      <c r="J238">
        <v>37</v>
      </c>
      <c r="K238" t="s">
        <v>110</v>
      </c>
      <c r="L238" s="1" t="s">
        <v>278</v>
      </c>
      <c r="M238">
        <v>31</v>
      </c>
      <c r="N238">
        <v>-6.805600000000001</v>
      </c>
      <c r="O238">
        <v>17</v>
      </c>
      <c r="P238">
        <v>17</v>
      </c>
      <c r="Q238">
        <v>24</v>
      </c>
      <c r="R238">
        <v>-4.7116000000000016</v>
      </c>
      <c r="S238">
        <v>10</v>
      </c>
      <c r="T238">
        <v>-3.5200000000000018</v>
      </c>
      <c r="U238">
        <v>-1.72</v>
      </c>
      <c r="V238">
        <v>18</v>
      </c>
      <c r="W238">
        <v>17.5</v>
      </c>
      <c r="X238">
        <v>22</v>
      </c>
      <c r="Y238">
        <v>0.2040000000000001</v>
      </c>
      <c r="Z238">
        <v>13</v>
      </c>
      <c r="AA238">
        <v>8.4400000000000013</v>
      </c>
      <c r="AB238">
        <v>-0.67999999999999983</v>
      </c>
      <c r="AC238">
        <v>11</v>
      </c>
      <c r="AD238">
        <v>12.5</v>
      </c>
      <c r="AE238">
        <v>11</v>
      </c>
      <c r="AF238">
        <v>-0.3667999999999999</v>
      </c>
      <c r="AG238">
        <v>14</v>
      </c>
      <c r="AH238">
        <v>0.41999999999999887</v>
      </c>
      <c r="AI238">
        <v>2.9899999999999998</v>
      </c>
      <c r="AJ238">
        <v>31</v>
      </c>
      <c r="AK238">
        <v>30.5</v>
      </c>
      <c r="AL238">
        <v>31</v>
      </c>
      <c r="AM238">
        <v>-6.3079999999999998</v>
      </c>
      <c r="AN238">
        <v>30</v>
      </c>
      <c r="AO238">
        <v>-21.999999999999996</v>
      </c>
      <c r="AP238">
        <v>-1.8399999999999999</v>
      </c>
      <c r="AQ238">
        <v>32</v>
      </c>
      <c r="AR238">
        <v>32</v>
      </c>
      <c r="AS238">
        <v>32</v>
      </c>
      <c r="AT238">
        <v>-4.6480000000000006</v>
      </c>
      <c r="AU238">
        <v>32</v>
      </c>
      <c r="AV238">
        <v>-17.96</v>
      </c>
      <c r="AW238">
        <v>-1.5999999999999999</v>
      </c>
      <c r="AX238">
        <v>31</v>
      </c>
      <c r="AY238">
        <v>31.5</v>
      </c>
      <c r="AZ238">
        <v>31</v>
      </c>
      <c r="BA238">
        <v>-9.9319999999999986</v>
      </c>
      <c r="BB238">
        <v>32</v>
      </c>
      <c r="BC238">
        <v>-41.320000000000007</v>
      </c>
      <c r="BD238">
        <v>-3.9199999999999995</v>
      </c>
      <c r="BE238">
        <v>9</v>
      </c>
      <c r="BF238">
        <v>8.5</v>
      </c>
      <c r="BG238">
        <v>9</v>
      </c>
      <c r="BH238">
        <v>1.923999999999999</v>
      </c>
      <c r="BI238">
        <v>10.280000000000003</v>
      </c>
      <c r="BJ238">
        <v>0.99999999999999967</v>
      </c>
      <c r="BK238">
        <v>10</v>
      </c>
      <c r="BL238">
        <v>9</v>
      </c>
      <c r="BM238">
        <v>6</v>
      </c>
      <c r="BN238">
        <v>-0.88000000000000012</v>
      </c>
      <c r="BO238">
        <v>12</v>
      </c>
      <c r="BP238">
        <v>-0.15999999999999992</v>
      </c>
      <c r="BQ238">
        <v>-0.56000000000000016</v>
      </c>
      <c r="BR238">
        <v>22</v>
      </c>
      <c r="BS238">
        <v>20.25</v>
      </c>
      <c r="BT238">
        <v>15</v>
      </c>
      <c r="BU238">
        <v>-1.8806458676438153E-3</v>
      </c>
      <c r="BV238">
        <v>19</v>
      </c>
      <c r="BW238">
        <v>2.9247117281389533E-2</v>
      </c>
      <c r="BX238">
        <v>28</v>
      </c>
      <c r="BY238">
        <v>10.407999999999999</v>
      </c>
      <c r="BZ238">
        <v>19</v>
      </c>
      <c r="CA238">
        <v>3.12</v>
      </c>
      <c r="CB238">
        <v>-2.6799999999999997</v>
      </c>
      <c r="CC238">
        <v>-4.76</v>
      </c>
      <c r="CD238">
        <v>-1.2</v>
      </c>
      <c r="CE238">
        <v>-53.440000000000012</v>
      </c>
      <c r="CF238">
        <v>-57.759999999999991</v>
      </c>
      <c r="CG238">
        <v>6.0799999999999983</v>
      </c>
      <c r="CH238">
        <v>0.48000000000000015</v>
      </c>
      <c r="CI238">
        <v>-2.2399999999999998</v>
      </c>
      <c r="CJ238">
        <v>20</v>
      </c>
      <c r="CK238">
        <v>-2.2979999999999996</v>
      </c>
      <c r="CL238">
        <v>-0.98707999999999885</v>
      </c>
      <c r="CM238">
        <v>-63.839999999999989</v>
      </c>
      <c r="CN238">
        <v>2.2979999999999992</v>
      </c>
      <c r="CO238">
        <v>-2.6989999999999998</v>
      </c>
      <c r="CP238">
        <v>-11.322800000000001</v>
      </c>
      <c r="CQ238">
        <v>-39.54</v>
      </c>
      <c r="CR238">
        <v>-4.5076000000000018</v>
      </c>
      <c r="CS238">
        <v>4.92</v>
      </c>
      <c r="CT238">
        <v>0.54999999999999971</v>
      </c>
      <c r="CU238">
        <v>-2.4</v>
      </c>
      <c r="CV238">
        <v>-0.37003750000000002</v>
      </c>
      <c r="CW238">
        <v>-0.71095000000000008</v>
      </c>
      <c r="CX238" t="s">
        <v>276</v>
      </c>
      <c r="CY238">
        <v>24</v>
      </c>
      <c r="CZ238">
        <v>-2.1671999999999989</v>
      </c>
      <c r="DA238">
        <v>10</v>
      </c>
      <c r="DB238">
        <v>10.5</v>
      </c>
      <c r="DC238">
        <v>8</v>
      </c>
      <c r="DD238">
        <v>3.0320000000000005</v>
      </c>
      <c r="DE238">
        <v>13</v>
      </c>
      <c r="DF238">
        <v>13.4</v>
      </c>
      <c r="DG238">
        <v>0.51999999999999991</v>
      </c>
      <c r="DH238">
        <v>3</v>
      </c>
      <c r="DI238">
        <v>6</v>
      </c>
      <c r="DJ238">
        <v>2</v>
      </c>
      <c r="DK238">
        <v>3.9320000000000013</v>
      </c>
      <c r="DL238">
        <v>10</v>
      </c>
      <c r="DM238">
        <v>5.9280000000000017</v>
      </c>
      <c r="DN238">
        <v>1.9199999999999995</v>
      </c>
      <c r="DO238">
        <v>17</v>
      </c>
      <c r="DP238">
        <v>19</v>
      </c>
      <c r="DQ238">
        <v>20</v>
      </c>
      <c r="DR238">
        <v>-0.55480000000000074</v>
      </c>
      <c r="DS238">
        <v>18</v>
      </c>
      <c r="DT238">
        <v>-0.9</v>
      </c>
      <c r="DU238">
        <v>3.6799999999999997</v>
      </c>
      <c r="DV238">
        <v>20</v>
      </c>
      <c r="DW238">
        <v>19</v>
      </c>
      <c r="DX238">
        <v>20</v>
      </c>
      <c r="DY238">
        <v>-0.37300000000000005</v>
      </c>
      <c r="DZ238">
        <v>18</v>
      </c>
      <c r="EA238">
        <v>-2.78</v>
      </c>
      <c r="EB238">
        <v>-0.7</v>
      </c>
      <c r="EC238">
        <v>8</v>
      </c>
      <c r="ED238">
        <v>21</v>
      </c>
      <c r="EE238">
        <v>11</v>
      </c>
      <c r="EF238">
        <v>2.1180000000000003</v>
      </c>
      <c r="EG238">
        <v>31</v>
      </c>
      <c r="EH238">
        <v>-3.5799999999999996</v>
      </c>
      <c r="EI238">
        <v>-0.91000000000000014</v>
      </c>
      <c r="EJ238">
        <v>20</v>
      </c>
      <c r="EK238">
        <v>19</v>
      </c>
      <c r="EL238">
        <v>19</v>
      </c>
      <c r="EM238">
        <v>-3.4320000000000008</v>
      </c>
      <c r="EN238">
        <v>19</v>
      </c>
      <c r="EO238">
        <v>-10.32</v>
      </c>
      <c r="EP238">
        <v>-1.7600000000000002</v>
      </c>
      <c r="EQ238">
        <v>32</v>
      </c>
      <c r="ER238">
        <v>32</v>
      </c>
      <c r="ES238">
        <v>32</v>
      </c>
      <c r="ET238">
        <v>-5.1000000000000014</v>
      </c>
      <c r="EU238">
        <v>32</v>
      </c>
      <c r="EV238">
        <v>-19.292799999999996</v>
      </c>
      <c r="EW238">
        <v>-2.04</v>
      </c>
      <c r="EX238">
        <v>32</v>
      </c>
      <c r="EY238">
        <v>32</v>
      </c>
      <c r="EZ238">
        <v>32</v>
      </c>
      <c r="FA238">
        <v>-1.1200000000000003</v>
      </c>
      <c r="FB238">
        <v>32</v>
      </c>
      <c r="FC238">
        <v>-0.52</v>
      </c>
      <c r="FD238">
        <v>-1.9200000000000004</v>
      </c>
      <c r="FE238">
        <v>7</v>
      </c>
      <c r="FF238">
        <v>12.25</v>
      </c>
      <c r="FG238">
        <v>24</v>
      </c>
      <c r="FH238">
        <v>-8.4803230554293622E-3</v>
      </c>
      <c r="FI238">
        <v>3</v>
      </c>
      <c r="FJ238">
        <v>8.8984380267632703E-3</v>
      </c>
      <c r="FK238">
        <v>17</v>
      </c>
      <c r="FL238">
        <v>-3.0439999999999983</v>
      </c>
      <c r="FM238">
        <v>5</v>
      </c>
      <c r="FN238">
        <v>-1.1999999999999997</v>
      </c>
      <c r="FO238">
        <v>-1.4799999999999991</v>
      </c>
      <c r="FP238">
        <v>-1.1199999999999988</v>
      </c>
      <c r="FQ238">
        <v>0.11999999999999993</v>
      </c>
      <c r="FR238">
        <v>-2.1200000000000019</v>
      </c>
      <c r="FS238">
        <v>-1.0799999999999996</v>
      </c>
      <c r="FT238">
        <v>0.76</v>
      </c>
      <c r="FU238">
        <v>2.8400000000000034</v>
      </c>
      <c r="FV238">
        <v>-13.800000000000006</v>
      </c>
      <c r="FW238">
        <v>16.600000000000001</v>
      </c>
      <c r="FX238">
        <v>1.6799999999999997</v>
      </c>
      <c r="FY238">
        <v>-1.64</v>
      </c>
      <c r="FZ238">
        <v>32</v>
      </c>
      <c r="GA238">
        <v>-9.1311999999999998</v>
      </c>
      <c r="GB238">
        <v>-4.6974000000000018</v>
      </c>
      <c r="GC238">
        <v>-30.400000000000006</v>
      </c>
      <c r="GD238">
        <v>9.1312000000000015</v>
      </c>
      <c r="GE238">
        <v>-2.9124999999999984E-2</v>
      </c>
      <c r="GF238">
        <v>1.1901999999999995</v>
      </c>
      <c r="GG238">
        <v>-7.26</v>
      </c>
      <c r="GH238">
        <v>6.9640000000000022</v>
      </c>
      <c r="GI238">
        <v>19.328000000000003</v>
      </c>
      <c r="GJ238">
        <v>2.9999999999999361E-2</v>
      </c>
      <c r="GK238">
        <v>2.4399999999999995</v>
      </c>
    </row>
    <row r="239" spans="1:193" x14ac:dyDescent="0.2">
      <c r="A239" s="39">
        <v>43793</v>
      </c>
      <c r="B239" s="22" t="s">
        <v>242</v>
      </c>
      <c r="C239" s="41" t="s">
        <v>299</v>
      </c>
      <c r="D239" s="22" t="s">
        <v>306</v>
      </c>
      <c r="E239">
        <v>10.1</v>
      </c>
      <c r="F239">
        <v>9.6</v>
      </c>
      <c r="G239">
        <v>5.0999999999999996</v>
      </c>
      <c r="H239">
        <v>12.1</v>
      </c>
      <c r="I239">
        <v>-4</v>
      </c>
      <c r="J239">
        <v>39</v>
      </c>
      <c r="K239" t="s">
        <v>110</v>
      </c>
      <c r="L239" s="1" t="s">
        <v>299</v>
      </c>
      <c r="M239">
        <v>2</v>
      </c>
      <c r="N239">
        <v>6.3903999999999996</v>
      </c>
      <c r="O239">
        <v>28</v>
      </c>
      <c r="P239">
        <v>26</v>
      </c>
      <c r="Q239">
        <v>31</v>
      </c>
      <c r="R239">
        <v>-6.56</v>
      </c>
      <c r="S239">
        <v>21</v>
      </c>
      <c r="T239">
        <v>-20.720000000000002</v>
      </c>
      <c r="U239">
        <v>0</v>
      </c>
      <c r="V239">
        <v>13</v>
      </c>
      <c r="W239">
        <v>13.5</v>
      </c>
      <c r="X239">
        <v>8</v>
      </c>
      <c r="Y239">
        <v>0.84800000000000009</v>
      </c>
      <c r="Z239">
        <v>19</v>
      </c>
      <c r="AA239">
        <v>-0.43999999999999845</v>
      </c>
      <c r="AB239">
        <v>0</v>
      </c>
      <c r="AC239">
        <v>5</v>
      </c>
      <c r="AD239">
        <v>5.5</v>
      </c>
      <c r="AE239">
        <v>8</v>
      </c>
      <c r="AF239">
        <v>3.7199999999999989</v>
      </c>
      <c r="AG239">
        <v>3</v>
      </c>
      <c r="AH239">
        <v>14.479999999999999</v>
      </c>
      <c r="AI239">
        <v>8.0000000000000251E-2</v>
      </c>
      <c r="AJ239">
        <v>3</v>
      </c>
      <c r="AK239">
        <v>3.5</v>
      </c>
      <c r="AL239">
        <v>2</v>
      </c>
      <c r="AM239">
        <v>7.6519999999999984</v>
      </c>
      <c r="AN239">
        <v>5</v>
      </c>
      <c r="AO239">
        <v>31.360000000000003</v>
      </c>
      <c r="AP239">
        <v>2.56</v>
      </c>
      <c r="AQ239">
        <v>10</v>
      </c>
      <c r="AR239">
        <v>10</v>
      </c>
      <c r="AS239">
        <v>10</v>
      </c>
      <c r="AT239">
        <v>2.8639999999999999</v>
      </c>
      <c r="AU239">
        <v>10</v>
      </c>
      <c r="AV239">
        <v>12.24</v>
      </c>
      <c r="AW239">
        <v>0.72000000000000008</v>
      </c>
      <c r="AX239">
        <v>9</v>
      </c>
      <c r="AY239">
        <v>10.5</v>
      </c>
      <c r="AZ239">
        <v>13</v>
      </c>
      <c r="BA239">
        <v>5.1479999999999997</v>
      </c>
      <c r="BB239">
        <v>8</v>
      </c>
      <c r="BC239">
        <v>36.68</v>
      </c>
      <c r="BD239">
        <v>3.3200000000000003</v>
      </c>
      <c r="BE239">
        <v>20</v>
      </c>
      <c r="BF239">
        <v>22</v>
      </c>
      <c r="BG239">
        <v>23</v>
      </c>
      <c r="BH239">
        <v>-4.1440000000000001</v>
      </c>
      <c r="BI239">
        <v>-5.2</v>
      </c>
      <c r="BJ239">
        <v>-1.04</v>
      </c>
      <c r="BK239">
        <v>23</v>
      </c>
      <c r="BL239">
        <v>22.5</v>
      </c>
      <c r="BM239">
        <v>20</v>
      </c>
      <c r="BN239">
        <v>-0.56000000000000016</v>
      </c>
      <c r="BO239">
        <v>25</v>
      </c>
      <c r="BP239">
        <v>-0.51999999999999991</v>
      </c>
      <c r="BQ239">
        <v>-3.04</v>
      </c>
      <c r="BR239">
        <v>5</v>
      </c>
      <c r="BS239">
        <v>9</v>
      </c>
      <c r="BT239">
        <v>6</v>
      </c>
      <c r="BU239">
        <v>4.0004721768602911E-2</v>
      </c>
      <c r="BV239">
        <v>12</v>
      </c>
      <c r="BW239">
        <v>1.7133805050002778E-2</v>
      </c>
      <c r="BX239">
        <v>9</v>
      </c>
      <c r="BY239">
        <v>3.1879999999999979</v>
      </c>
      <c r="BZ239">
        <v>9</v>
      </c>
      <c r="CA239">
        <v>2.04</v>
      </c>
      <c r="CB239">
        <v>1.9199999999999988</v>
      </c>
      <c r="CC239">
        <v>7.1054273576010023E-16</v>
      </c>
      <c r="CD239">
        <v>0.27999999999999997</v>
      </c>
      <c r="CE239">
        <v>45.36</v>
      </c>
      <c r="CF239">
        <v>59.360000000000014</v>
      </c>
      <c r="CG239">
        <v>-18.28</v>
      </c>
      <c r="CH239">
        <v>-2.2800000000000002</v>
      </c>
      <c r="CI239">
        <v>6.5600000000000023</v>
      </c>
      <c r="CJ239">
        <v>1</v>
      </c>
      <c r="CK239">
        <v>12.102399999999998</v>
      </c>
      <c r="CL239">
        <v>6.1524799999999997</v>
      </c>
      <c r="CM239">
        <v>77.640000000000015</v>
      </c>
      <c r="CN239">
        <v>-12.102399999999999</v>
      </c>
      <c r="CO239">
        <v>1.2762999999999995</v>
      </c>
      <c r="CP239">
        <v>14.235999999999997</v>
      </c>
      <c r="CQ239">
        <v>58.080000000000005</v>
      </c>
      <c r="CR239">
        <v>-5.7119999999999997</v>
      </c>
      <c r="CS239">
        <v>-21.16</v>
      </c>
      <c r="CT239">
        <v>2.3200000000000003</v>
      </c>
      <c r="CU239">
        <v>0</v>
      </c>
      <c r="CV239">
        <v>0.30522500000000019</v>
      </c>
      <c r="CW239">
        <v>2.4784999999999999</v>
      </c>
      <c r="CX239" t="s">
        <v>306</v>
      </c>
      <c r="CY239">
        <v>22</v>
      </c>
      <c r="CZ239">
        <v>-6.9887999999999977</v>
      </c>
      <c r="DA239">
        <v>11</v>
      </c>
      <c r="DB239">
        <v>11</v>
      </c>
      <c r="DC239">
        <v>16</v>
      </c>
      <c r="DD239">
        <v>1.3524000000000005</v>
      </c>
      <c r="DE239">
        <v>6</v>
      </c>
      <c r="DF239">
        <v>23.759999999999998</v>
      </c>
      <c r="DG239">
        <v>-1.2399999999999998</v>
      </c>
      <c r="DH239">
        <v>10</v>
      </c>
      <c r="DI239">
        <v>12.5</v>
      </c>
      <c r="DJ239">
        <v>16</v>
      </c>
      <c r="DK239">
        <v>-0.83199999999999963</v>
      </c>
      <c r="DL239">
        <v>9</v>
      </c>
      <c r="DM239">
        <v>5.08</v>
      </c>
      <c r="DN239">
        <v>-0.16000000000000009</v>
      </c>
      <c r="DO239">
        <v>13</v>
      </c>
      <c r="DP239">
        <v>12</v>
      </c>
      <c r="DQ239">
        <v>14</v>
      </c>
      <c r="DR239">
        <v>-1.835999999999999</v>
      </c>
      <c r="DS239">
        <v>10</v>
      </c>
      <c r="DT239">
        <v>11.160000000000002</v>
      </c>
      <c r="DU239">
        <v>-1.2000000000000004</v>
      </c>
      <c r="DV239">
        <v>26</v>
      </c>
      <c r="DW239">
        <v>26.5</v>
      </c>
      <c r="DX239">
        <v>23</v>
      </c>
      <c r="DY239">
        <v>-5.088000000000001</v>
      </c>
      <c r="DZ239">
        <v>30</v>
      </c>
      <c r="EA239">
        <v>-24.68</v>
      </c>
      <c r="EB239">
        <v>-1.92</v>
      </c>
      <c r="EC239">
        <v>32</v>
      </c>
      <c r="ED239">
        <v>15</v>
      </c>
      <c r="EE239">
        <v>15</v>
      </c>
      <c r="EF239">
        <v>-1.8280000000000001</v>
      </c>
      <c r="EG239">
        <v>15</v>
      </c>
      <c r="EH239">
        <v>-10.199999999999999</v>
      </c>
      <c r="EI239">
        <v>-0.44000000000000011</v>
      </c>
      <c r="EJ239">
        <v>7</v>
      </c>
      <c r="EK239">
        <v>7.5</v>
      </c>
      <c r="EL239">
        <v>7</v>
      </c>
      <c r="EM239">
        <v>-2.5999999999999996</v>
      </c>
      <c r="EN239">
        <v>8</v>
      </c>
      <c r="EO239">
        <v>-5.2000000000000028</v>
      </c>
      <c r="EP239">
        <v>-1.8400000000000003</v>
      </c>
      <c r="EQ239">
        <v>10</v>
      </c>
      <c r="ER239">
        <v>10.5</v>
      </c>
      <c r="ES239">
        <v>6</v>
      </c>
      <c r="ET239">
        <v>-1.3239999999999994</v>
      </c>
      <c r="EU239">
        <v>15</v>
      </c>
      <c r="EV239">
        <v>-5.08</v>
      </c>
      <c r="EW239">
        <v>-0.92000000000000015</v>
      </c>
      <c r="EX239">
        <v>12</v>
      </c>
      <c r="EY239">
        <v>12.5</v>
      </c>
      <c r="EZ239">
        <v>12</v>
      </c>
      <c r="FA239">
        <v>1.6000000000000003</v>
      </c>
      <c r="FB239">
        <v>13</v>
      </c>
      <c r="FC239">
        <v>0.96</v>
      </c>
      <c r="FD239">
        <v>2.04</v>
      </c>
      <c r="FE239">
        <v>3</v>
      </c>
      <c r="FF239">
        <v>8</v>
      </c>
      <c r="FG239">
        <v>13</v>
      </c>
      <c r="FH239">
        <v>9.2874305157077171E-3</v>
      </c>
      <c r="FI239">
        <v>2</v>
      </c>
      <c r="FJ239">
        <v>2.36597011466682E-2</v>
      </c>
      <c r="FK239">
        <v>9</v>
      </c>
      <c r="FL239">
        <v>-0.53599999999999992</v>
      </c>
      <c r="FM239">
        <v>8</v>
      </c>
      <c r="FN239">
        <v>2.96</v>
      </c>
      <c r="FO239">
        <v>-6.9600000000000009</v>
      </c>
      <c r="FP239">
        <v>6.68</v>
      </c>
      <c r="FQ239">
        <v>1.08</v>
      </c>
      <c r="FR239">
        <v>1.1199999999999974</v>
      </c>
      <c r="FS239">
        <v>-5</v>
      </c>
      <c r="FT239">
        <v>-1.56</v>
      </c>
      <c r="FU239">
        <v>-14.760000000000002</v>
      </c>
      <c r="FV239">
        <v>-44.11999999999999</v>
      </c>
      <c r="FW239">
        <v>29.079999999999995</v>
      </c>
      <c r="FX239">
        <v>-3.4</v>
      </c>
      <c r="FY239">
        <v>3.6799999999999997</v>
      </c>
      <c r="FZ239">
        <v>30</v>
      </c>
      <c r="GA239">
        <v>-7.509199999999999</v>
      </c>
      <c r="GB239">
        <v>-3.6731599999999993</v>
      </c>
      <c r="GC239">
        <v>-73.199999999999989</v>
      </c>
      <c r="GD239">
        <v>7.5091999999999981</v>
      </c>
      <c r="GE239">
        <v>-1.8680499999999995</v>
      </c>
      <c r="GF239">
        <v>-8.7519999999999989</v>
      </c>
      <c r="GG239">
        <v>-23.72</v>
      </c>
      <c r="GH239">
        <v>0.52040000000000086</v>
      </c>
      <c r="GI239">
        <v>28.839999999999996</v>
      </c>
      <c r="GJ239">
        <v>-4.4800000000000004</v>
      </c>
      <c r="GK239">
        <v>-1.4</v>
      </c>
    </row>
    <row r="240" spans="1:193" x14ac:dyDescent="0.2">
      <c r="A240" s="39">
        <v>43793</v>
      </c>
      <c r="B240" s="22" t="s">
        <v>242</v>
      </c>
      <c r="C240" s="41" t="s">
        <v>300</v>
      </c>
      <c r="D240" s="22" t="s">
        <v>256</v>
      </c>
      <c r="E240">
        <v>19.3</v>
      </c>
      <c r="F240">
        <v>3.9</v>
      </c>
      <c r="G240">
        <v>3.8</v>
      </c>
      <c r="H240">
        <f>2.8+1.7</f>
        <v>4.5</v>
      </c>
      <c r="I240">
        <v>3</v>
      </c>
      <c r="J240">
        <v>48</v>
      </c>
      <c r="L240" s="1" t="s">
        <v>300</v>
      </c>
      <c r="M240">
        <v>8</v>
      </c>
      <c r="N240">
        <v>3.6583999999999994</v>
      </c>
      <c r="O240">
        <v>22</v>
      </c>
      <c r="P240">
        <v>21.5</v>
      </c>
      <c r="Q240">
        <v>14</v>
      </c>
      <c r="R240">
        <v>0.23240000000000122</v>
      </c>
      <c r="S240">
        <v>29</v>
      </c>
      <c r="T240">
        <v>-20.68</v>
      </c>
      <c r="U240">
        <v>-0.39999999999999991</v>
      </c>
      <c r="V240">
        <v>2</v>
      </c>
      <c r="W240">
        <v>4</v>
      </c>
      <c r="X240">
        <v>4</v>
      </c>
      <c r="Y240">
        <v>5.056</v>
      </c>
      <c r="Z240">
        <v>4</v>
      </c>
      <c r="AA240">
        <v>10.239999999999998</v>
      </c>
      <c r="AB240">
        <v>1.5599999999999998</v>
      </c>
      <c r="AC240">
        <v>3</v>
      </c>
      <c r="AD240">
        <v>3.5</v>
      </c>
      <c r="AE240">
        <v>5</v>
      </c>
      <c r="AF240">
        <v>3.1480000000000006</v>
      </c>
      <c r="AG240">
        <v>2</v>
      </c>
      <c r="AH240">
        <v>15.280000000000001</v>
      </c>
      <c r="AI240">
        <v>0.52000000000000024</v>
      </c>
      <c r="AJ240">
        <v>16</v>
      </c>
      <c r="AK240">
        <v>17</v>
      </c>
      <c r="AL240">
        <v>17</v>
      </c>
      <c r="AM240">
        <v>-5.2480000000000011</v>
      </c>
      <c r="AN240">
        <v>17</v>
      </c>
      <c r="AO240">
        <v>-26.24</v>
      </c>
      <c r="AP240">
        <v>-1.1599999999999999</v>
      </c>
      <c r="AQ240">
        <v>20</v>
      </c>
      <c r="AR240">
        <v>19</v>
      </c>
      <c r="AS240">
        <v>18</v>
      </c>
      <c r="AT240">
        <v>0.40799999999999947</v>
      </c>
      <c r="AU240">
        <v>20</v>
      </c>
      <c r="AV240">
        <v>1.1200000000000003</v>
      </c>
      <c r="AW240">
        <v>-0.16000000000000006</v>
      </c>
      <c r="AX240">
        <v>18</v>
      </c>
      <c r="AY240">
        <v>17</v>
      </c>
      <c r="AZ240">
        <v>12</v>
      </c>
      <c r="BA240">
        <v>5.363999999999999</v>
      </c>
      <c r="BB240">
        <v>22</v>
      </c>
      <c r="BC240">
        <v>26.839999999999996</v>
      </c>
      <c r="BD240">
        <v>1.4</v>
      </c>
      <c r="BE240">
        <v>27</v>
      </c>
      <c r="BF240">
        <v>27</v>
      </c>
      <c r="BG240">
        <v>26</v>
      </c>
      <c r="BH240">
        <v>-2.3880000000000003</v>
      </c>
      <c r="BI240">
        <v>-7.08</v>
      </c>
      <c r="BJ240">
        <v>-1.9600000000000002</v>
      </c>
      <c r="BK240">
        <v>31</v>
      </c>
      <c r="BL240">
        <v>31</v>
      </c>
      <c r="BM240">
        <v>30</v>
      </c>
      <c r="BN240">
        <v>-1.72</v>
      </c>
      <c r="BO240">
        <v>32</v>
      </c>
      <c r="BP240">
        <v>-1.1599999999999999</v>
      </c>
      <c r="BQ240">
        <v>-3.84</v>
      </c>
      <c r="BR240">
        <v>16</v>
      </c>
      <c r="BS240">
        <v>14.5</v>
      </c>
      <c r="BT240">
        <v>17</v>
      </c>
      <c r="BU240">
        <v>-2.186606896517318E-2</v>
      </c>
      <c r="BV240">
        <v>14</v>
      </c>
      <c r="BW240">
        <v>-9.6942671285626964E-3</v>
      </c>
      <c r="BX240">
        <v>3</v>
      </c>
      <c r="BY240">
        <v>-3.3919999999999986</v>
      </c>
      <c r="BZ240">
        <v>24</v>
      </c>
      <c r="CA240">
        <v>-3.72</v>
      </c>
      <c r="CB240">
        <v>-3.2800000000000011</v>
      </c>
      <c r="CC240">
        <v>0.4799999999999997</v>
      </c>
      <c r="CD240">
        <v>-1.48</v>
      </c>
      <c r="CE240">
        <v>-13.920000000000005</v>
      </c>
      <c r="CF240">
        <v>10.160000000000007</v>
      </c>
      <c r="CG240">
        <v>-16.200000000000003</v>
      </c>
      <c r="CH240">
        <v>-0.11999999999999993</v>
      </c>
      <c r="CI240">
        <v>-7.76</v>
      </c>
      <c r="CJ240">
        <v>18</v>
      </c>
      <c r="CK240">
        <v>-1.6300000000000017</v>
      </c>
      <c r="CL240">
        <v>-2.7285200000000009</v>
      </c>
      <c r="CM240">
        <v>26.36000000000001</v>
      </c>
      <c r="CN240">
        <v>1.6300000000000017</v>
      </c>
      <c r="CO240">
        <v>0.39334999999999976</v>
      </c>
      <c r="CP240">
        <v>-1.6920000000000011</v>
      </c>
      <c r="CQ240">
        <v>-9.8399999999999963</v>
      </c>
      <c r="CR240">
        <v>5.2884000000000011</v>
      </c>
      <c r="CS240">
        <v>-10.440000000000001</v>
      </c>
      <c r="CT240">
        <v>-2.76</v>
      </c>
      <c r="CU240">
        <v>1.1599999999999999</v>
      </c>
      <c r="CV240">
        <v>-0.44383749999999977</v>
      </c>
      <c r="CW240">
        <v>1.1947750000000006</v>
      </c>
      <c r="CX240" t="s">
        <v>256</v>
      </c>
      <c r="CY240">
        <v>22</v>
      </c>
      <c r="CZ240">
        <v>-3.029599999999999</v>
      </c>
      <c r="DA240">
        <v>14</v>
      </c>
      <c r="DB240">
        <v>16</v>
      </c>
      <c r="DC240">
        <v>22</v>
      </c>
      <c r="DD240">
        <v>-3.0899999999999985</v>
      </c>
      <c r="DE240">
        <v>10</v>
      </c>
      <c r="DF240">
        <v>4.08</v>
      </c>
      <c r="DG240">
        <v>-0.83999999999999986</v>
      </c>
      <c r="DH240">
        <v>32</v>
      </c>
      <c r="DI240">
        <v>32</v>
      </c>
      <c r="DJ240">
        <v>32</v>
      </c>
      <c r="DK240">
        <v>-1.02</v>
      </c>
      <c r="DL240">
        <v>32</v>
      </c>
      <c r="DM240">
        <v>-4.92</v>
      </c>
      <c r="DN240">
        <v>0.82000000000000006</v>
      </c>
      <c r="DO240">
        <v>28</v>
      </c>
      <c r="DP240">
        <v>26.5</v>
      </c>
      <c r="DQ240">
        <v>23</v>
      </c>
      <c r="DR240">
        <v>-3.1240000000000001</v>
      </c>
      <c r="DS240">
        <v>30</v>
      </c>
      <c r="DT240">
        <v>-24.720000000000002</v>
      </c>
      <c r="DU240">
        <v>-0.28000000000000008</v>
      </c>
      <c r="DV240">
        <v>31</v>
      </c>
      <c r="DW240">
        <v>30.5</v>
      </c>
      <c r="DX240">
        <v>32</v>
      </c>
      <c r="DY240">
        <v>-4.6840000000000019</v>
      </c>
      <c r="DZ240">
        <v>29</v>
      </c>
      <c r="EA240">
        <v>-12.52</v>
      </c>
      <c r="EB240">
        <v>0.8</v>
      </c>
      <c r="EC240">
        <v>7</v>
      </c>
      <c r="ED240">
        <v>14</v>
      </c>
      <c r="EE240">
        <v>12</v>
      </c>
      <c r="EF240">
        <v>1.6520000000000006</v>
      </c>
      <c r="EG240">
        <v>16</v>
      </c>
      <c r="EH240">
        <v>3.2400000000000011</v>
      </c>
      <c r="EI240">
        <v>-0.44000000000000006</v>
      </c>
      <c r="EJ240">
        <v>27</v>
      </c>
      <c r="EK240">
        <v>27</v>
      </c>
      <c r="EL240">
        <v>26</v>
      </c>
      <c r="EM240">
        <v>-4.5479999999999992</v>
      </c>
      <c r="EN240">
        <v>28</v>
      </c>
      <c r="EO240">
        <v>-30.28</v>
      </c>
      <c r="EP240">
        <v>-1.8399999999999999</v>
      </c>
      <c r="EQ240">
        <v>22</v>
      </c>
      <c r="ER240">
        <v>23.5</v>
      </c>
      <c r="ES240">
        <v>19</v>
      </c>
      <c r="ET240">
        <v>-1.4839999999999995</v>
      </c>
      <c r="EU240">
        <v>28</v>
      </c>
      <c r="EV240">
        <v>-15.24</v>
      </c>
      <c r="EW240">
        <v>-0.44000000000000022</v>
      </c>
      <c r="EX240">
        <v>18</v>
      </c>
      <c r="EY240">
        <v>20</v>
      </c>
      <c r="EZ240">
        <v>22</v>
      </c>
      <c r="FA240">
        <v>-1.8799999999999997</v>
      </c>
      <c r="FB240">
        <v>18</v>
      </c>
      <c r="FC240">
        <v>-0.64000000000000012</v>
      </c>
      <c r="FD240">
        <v>-0.80000000000000016</v>
      </c>
      <c r="FE240">
        <v>13</v>
      </c>
      <c r="FF240">
        <v>14.75</v>
      </c>
      <c r="FG240">
        <v>23</v>
      </c>
      <c r="FH240">
        <v>-1.0224930424006162E-2</v>
      </c>
      <c r="FI240">
        <v>8</v>
      </c>
      <c r="FJ240">
        <v>3.6541286887413475E-2</v>
      </c>
      <c r="FK240">
        <v>24</v>
      </c>
      <c r="FL240">
        <v>3.0799999999999996</v>
      </c>
      <c r="FM240">
        <v>4</v>
      </c>
      <c r="FN240">
        <v>4.160000000000001</v>
      </c>
      <c r="FO240">
        <v>-0.52000000000000024</v>
      </c>
      <c r="FP240">
        <v>1.079999999999999</v>
      </c>
      <c r="FQ240">
        <v>0.52000000000000024</v>
      </c>
      <c r="FR240">
        <v>2.4</v>
      </c>
      <c r="FS240">
        <v>-4.16</v>
      </c>
      <c r="FT240">
        <v>1.44</v>
      </c>
      <c r="FU240">
        <v>-34.36</v>
      </c>
      <c r="FV240">
        <v>-53.440000000000012</v>
      </c>
      <c r="FW240">
        <v>7.1599999999999993</v>
      </c>
      <c r="FX240">
        <v>0.96000000000000052</v>
      </c>
      <c r="FY240">
        <v>10.96</v>
      </c>
      <c r="FZ240">
        <v>16</v>
      </c>
      <c r="GA240">
        <v>1.0803999999999996</v>
      </c>
      <c r="GB240">
        <v>-7.8920000000000989E-2</v>
      </c>
      <c r="GC240">
        <v>-60.600000000000009</v>
      </c>
      <c r="GD240">
        <v>-1.0803999999999996</v>
      </c>
      <c r="GE240">
        <v>-2.0824500000000001</v>
      </c>
      <c r="GF240">
        <v>-6.1560000000000006</v>
      </c>
      <c r="GG240">
        <v>-34</v>
      </c>
      <c r="GH240">
        <v>-4.1099999999999985</v>
      </c>
      <c r="GI240">
        <v>-0.83999999999999986</v>
      </c>
      <c r="GJ240">
        <v>-0.36000000000000026</v>
      </c>
      <c r="GK240">
        <v>-1.9999999999999796E-2</v>
      </c>
    </row>
    <row r="241" spans="1:193" x14ac:dyDescent="0.2">
      <c r="A241" s="39">
        <v>43793</v>
      </c>
      <c r="B241" s="22" t="s">
        <v>242</v>
      </c>
      <c r="C241" s="41" t="s">
        <v>311</v>
      </c>
      <c r="D241" s="22" t="s">
        <v>289</v>
      </c>
      <c r="E241">
        <v>27.4</v>
      </c>
      <c r="F241" s="14">
        <v>24</v>
      </c>
      <c r="G241">
        <v>1.6</v>
      </c>
      <c r="H241">
        <f>5.6+3.4</f>
        <v>9</v>
      </c>
      <c r="I241">
        <v>3.5</v>
      </c>
      <c r="J241">
        <v>46</v>
      </c>
      <c r="L241" s="4" t="s">
        <v>311</v>
      </c>
      <c r="M241" s="3">
        <v>13</v>
      </c>
      <c r="N241" s="3">
        <v>2.2936000000000001</v>
      </c>
      <c r="O241" s="3">
        <v>22</v>
      </c>
      <c r="P241" s="3">
        <v>21.5</v>
      </c>
      <c r="Q241" s="3">
        <v>30</v>
      </c>
      <c r="R241" s="3">
        <v>-4.1120000000000001</v>
      </c>
      <c r="S241" s="3">
        <v>13</v>
      </c>
      <c r="T241" s="3">
        <v>17.52</v>
      </c>
      <c r="U241" s="3">
        <v>-3.3600000000000003</v>
      </c>
      <c r="V241" s="3">
        <v>8</v>
      </c>
      <c r="W241" s="3">
        <v>9.5</v>
      </c>
      <c r="X241" s="3">
        <v>3</v>
      </c>
      <c r="Y241" s="3">
        <v>2.964</v>
      </c>
      <c r="Z241" s="3">
        <v>16</v>
      </c>
      <c r="AA241">
        <v>-0.28000000000000042</v>
      </c>
      <c r="AB241">
        <v>0.60000000000000009</v>
      </c>
      <c r="AC241">
        <v>2</v>
      </c>
      <c r="AD241">
        <v>2.5</v>
      </c>
      <c r="AE241">
        <v>1</v>
      </c>
      <c r="AF241">
        <v>9.3199999999999985</v>
      </c>
      <c r="AG241">
        <v>4</v>
      </c>
      <c r="AH241">
        <v>21.499999999999996</v>
      </c>
      <c r="AI241">
        <v>3.1700000000000004</v>
      </c>
      <c r="AJ241">
        <v>15</v>
      </c>
      <c r="AK241">
        <v>15</v>
      </c>
      <c r="AL241">
        <v>16</v>
      </c>
      <c r="AM241">
        <v>-0.57500000000000018</v>
      </c>
      <c r="AN241">
        <v>14</v>
      </c>
      <c r="AO241">
        <v>5.150000000000003</v>
      </c>
      <c r="AP241">
        <v>-0.39</v>
      </c>
      <c r="AQ241">
        <v>21</v>
      </c>
      <c r="AR241">
        <v>21</v>
      </c>
      <c r="AS241">
        <v>21</v>
      </c>
      <c r="AT241">
        <v>-0.19800000000000023</v>
      </c>
      <c r="AU241">
        <v>21</v>
      </c>
      <c r="AV241">
        <v>-6.6800000000000015</v>
      </c>
      <c r="AW241">
        <v>-1.27</v>
      </c>
      <c r="AX241">
        <v>17</v>
      </c>
      <c r="AY241">
        <v>16.5</v>
      </c>
      <c r="AZ241">
        <v>21</v>
      </c>
      <c r="BA241">
        <v>-1.5759999999999994</v>
      </c>
      <c r="BB241">
        <v>12</v>
      </c>
      <c r="BC241">
        <v>2.240000000000002</v>
      </c>
      <c r="BD241">
        <v>3.5527136788005011E-16</v>
      </c>
      <c r="BE241">
        <v>11</v>
      </c>
      <c r="BF241">
        <v>12</v>
      </c>
      <c r="BG241">
        <v>11</v>
      </c>
      <c r="BH241">
        <v>2.7720000000000002</v>
      </c>
      <c r="BI241">
        <v>10.52</v>
      </c>
      <c r="BJ241">
        <v>0.23999999999999977</v>
      </c>
      <c r="BK241">
        <v>22</v>
      </c>
      <c r="BL241">
        <v>20.5</v>
      </c>
      <c r="BM241">
        <v>22</v>
      </c>
      <c r="BN241">
        <v>0.76</v>
      </c>
      <c r="BO241">
        <v>19</v>
      </c>
      <c r="BP241">
        <v>0.24</v>
      </c>
      <c r="BQ241">
        <v>-2.44</v>
      </c>
      <c r="BR241">
        <v>20</v>
      </c>
      <c r="BS241">
        <v>17.5</v>
      </c>
      <c r="BT241">
        <v>1</v>
      </c>
      <c r="BU241">
        <v>-2.1989971385540262E-3</v>
      </c>
      <c r="BV241">
        <v>24</v>
      </c>
      <c r="BW241">
        <v>5.7623190563600574E-3</v>
      </c>
      <c r="BX241">
        <v>15</v>
      </c>
      <c r="BY241">
        <v>-5.452</v>
      </c>
      <c r="BZ241">
        <v>30</v>
      </c>
      <c r="CA241">
        <v>-2.4800000000000004</v>
      </c>
      <c r="CB241">
        <v>1</v>
      </c>
      <c r="CC241">
        <v>1.8400000000000003</v>
      </c>
      <c r="CD241">
        <v>-0.83999999999999986</v>
      </c>
      <c r="CE241">
        <v>47.319999999999993</v>
      </c>
      <c r="CF241">
        <v>20.840000000000003</v>
      </c>
      <c r="CG241">
        <v>16.359999999999996</v>
      </c>
      <c r="CH241">
        <v>-1.7600000000000002</v>
      </c>
      <c r="CI241">
        <v>11.879999999999999</v>
      </c>
      <c r="CJ241">
        <v>11</v>
      </c>
      <c r="CK241">
        <v>3.4415999999999998</v>
      </c>
      <c r="CL241">
        <v>3.2965200000000001</v>
      </c>
      <c r="CM241">
        <v>4.4800000000000075</v>
      </c>
      <c r="CN241">
        <v>-3.4416000000000002</v>
      </c>
      <c r="CO241">
        <v>1.6530749999999999</v>
      </c>
      <c r="CP241">
        <v>8.546999999999997</v>
      </c>
      <c r="CQ241">
        <v>19.97</v>
      </c>
      <c r="CR241">
        <v>-1.1480000000000001</v>
      </c>
      <c r="CS241">
        <v>17.239999999999998</v>
      </c>
      <c r="CT241">
        <v>1.75</v>
      </c>
      <c r="CU241">
        <v>-2.7600000000000002</v>
      </c>
      <c r="CV241">
        <v>0.32943750000000016</v>
      </c>
      <c r="CW241">
        <v>1.0983500000000004</v>
      </c>
      <c r="CX241" t="s">
        <v>289</v>
      </c>
      <c r="CY241">
        <v>25</v>
      </c>
      <c r="CZ241">
        <v>-1.4399999999999986</v>
      </c>
      <c r="DA241">
        <v>20</v>
      </c>
      <c r="DB241">
        <v>21</v>
      </c>
      <c r="DC241">
        <v>17</v>
      </c>
      <c r="DD241">
        <v>-0.76800000000000135</v>
      </c>
      <c r="DE241">
        <v>25</v>
      </c>
      <c r="DF241">
        <v>-21.000000000000004</v>
      </c>
      <c r="DG241">
        <v>1.7600000000000002</v>
      </c>
      <c r="DH241">
        <v>16</v>
      </c>
      <c r="DI241">
        <v>16.5</v>
      </c>
      <c r="DJ241">
        <v>26</v>
      </c>
      <c r="DK241">
        <v>-0.17199999999999971</v>
      </c>
      <c r="DL241">
        <v>7</v>
      </c>
      <c r="DM241">
        <v>13</v>
      </c>
      <c r="DN241">
        <v>-0.80000000000000016</v>
      </c>
      <c r="DO241">
        <v>24</v>
      </c>
      <c r="DP241">
        <v>20</v>
      </c>
      <c r="DQ241">
        <v>21</v>
      </c>
      <c r="DR241">
        <v>-3.7638000000000007</v>
      </c>
      <c r="DS241">
        <v>19</v>
      </c>
      <c r="DT241">
        <v>-7.1400000000000006</v>
      </c>
      <c r="DU241">
        <v>-2.62</v>
      </c>
      <c r="DV241">
        <v>5</v>
      </c>
      <c r="DW241">
        <v>5.5</v>
      </c>
      <c r="DX241">
        <v>7</v>
      </c>
      <c r="DY241">
        <v>3.6640000000000006</v>
      </c>
      <c r="DZ241">
        <v>4</v>
      </c>
      <c r="EA241">
        <v>15.560000000000002</v>
      </c>
      <c r="EB241">
        <v>0.96</v>
      </c>
      <c r="EC241">
        <v>29</v>
      </c>
      <c r="ED241">
        <v>26</v>
      </c>
      <c r="EE241">
        <v>24</v>
      </c>
      <c r="EF241">
        <v>-2.1639999999999997</v>
      </c>
      <c r="EG241">
        <v>28</v>
      </c>
      <c r="EH241">
        <v>-7.76</v>
      </c>
      <c r="EI241">
        <v>-0.47999999999999987</v>
      </c>
      <c r="EJ241">
        <v>17</v>
      </c>
      <c r="EK241">
        <v>16.5</v>
      </c>
      <c r="EL241">
        <v>15</v>
      </c>
      <c r="EM241">
        <v>-1.4679999999999995</v>
      </c>
      <c r="EN241">
        <v>18</v>
      </c>
      <c r="EO241">
        <v>-5.8800000000000008</v>
      </c>
      <c r="EP241">
        <v>-0.35999999999999976</v>
      </c>
      <c r="EQ241">
        <v>27</v>
      </c>
      <c r="ER241">
        <v>26</v>
      </c>
      <c r="ES241">
        <v>27</v>
      </c>
      <c r="ET241">
        <v>-0.51200000000000045</v>
      </c>
      <c r="EU241">
        <v>25</v>
      </c>
      <c r="EV241">
        <v>-2.8800000000000003</v>
      </c>
      <c r="EW241">
        <v>0.44000000000000006</v>
      </c>
      <c r="EX241">
        <v>5</v>
      </c>
      <c r="EY241">
        <v>4.5</v>
      </c>
      <c r="EZ241">
        <v>5</v>
      </c>
      <c r="FA241">
        <v>1.64</v>
      </c>
      <c r="FB241">
        <v>4</v>
      </c>
      <c r="FC241">
        <v>0.43999999999999995</v>
      </c>
      <c r="FD241">
        <v>1.72</v>
      </c>
      <c r="FE241">
        <v>28</v>
      </c>
      <c r="FF241">
        <v>23</v>
      </c>
      <c r="FG241">
        <v>27</v>
      </c>
      <c r="FH241">
        <v>-2.9282481809458784E-2</v>
      </c>
      <c r="FI241">
        <v>18</v>
      </c>
      <c r="FJ241">
        <v>-2.7927212841673876E-2</v>
      </c>
      <c r="FK241">
        <v>26</v>
      </c>
      <c r="FL241">
        <v>8.892000000000003</v>
      </c>
      <c r="FM241">
        <v>21</v>
      </c>
      <c r="FN241">
        <v>-1.6799999999999997</v>
      </c>
      <c r="FO241">
        <v>-4.000000000000057E-2</v>
      </c>
      <c r="FP241">
        <v>-0.4799999999999997</v>
      </c>
      <c r="FQ241">
        <v>-1.6</v>
      </c>
      <c r="FR241">
        <v>-3.8</v>
      </c>
      <c r="FS241">
        <v>-0.88000000000000045</v>
      </c>
      <c r="FT241">
        <v>0.2</v>
      </c>
      <c r="FU241">
        <v>-28.79999999999999</v>
      </c>
      <c r="FV241">
        <v>-8.8000000000000007</v>
      </c>
      <c r="FW241">
        <v>-10.639999999999997</v>
      </c>
      <c r="FX241">
        <v>-1.56</v>
      </c>
      <c r="FY241">
        <v>-7.8</v>
      </c>
      <c r="FZ241">
        <v>20</v>
      </c>
      <c r="GA241">
        <v>-0.49999999999999756</v>
      </c>
      <c r="GB241">
        <v>-0.37315999999999927</v>
      </c>
      <c r="GC241">
        <v>1.8399999999999963</v>
      </c>
      <c r="GD241">
        <v>0.49999999999999756</v>
      </c>
      <c r="GE241">
        <v>-0.43947500000000006</v>
      </c>
      <c r="GF241">
        <v>-2.2637999999999998</v>
      </c>
      <c r="GG241">
        <v>0.66000000000000192</v>
      </c>
      <c r="GH241">
        <v>-0.94000000000000106</v>
      </c>
      <c r="GI241">
        <v>-8.0000000000000036</v>
      </c>
      <c r="GJ241">
        <v>-1.7000000000000002</v>
      </c>
      <c r="GK241">
        <v>0.96000000000000008</v>
      </c>
    </row>
    <row r="242" spans="1:193" x14ac:dyDescent="0.2">
      <c r="A242" s="39">
        <v>43793</v>
      </c>
      <c r="B242" s="22" t="s">
        <v>242</v>
      </c>
      <c r="C242" s="41" t="s">
        <v>289</v>
      </c>
      <c r="D242" s="22" t="s">
        <v>311</v>
      </c>
      <c r="E242">
        <v>4.8</v>
      </c>
      <c r="F242">
        <v>2.2000000000000002</v>
      </c>
      <c r="G242">
        <v>0</v>
      </c>
      <c r="H242">
        <f>8.4+5.8</f>
        <v>14.2</v>
      </c>
      <c r="I242">
        <v>-3.5</v>
      </c>
      <c r="J242">
        <v>46</v>
      </c>
      <c r="L242" s="1" t="s">
        <v>289</v>
      </c>
      <c r="M242">
        <v>29</v>
      </c>
      <c r="N242">
        <v>-5.7368000000000006</v>
      </c>
      <c r="O242">
        <v>11</v>
      </c>
      <c r="P242">
        <v>11.5</v>
      </c>
      <c r="Q242">
        <v>19</v>
      </c>
      <c r="R242">
        <v>3.8959999999999999</v>
      </c>
      <c r="S242">
        <v>4</v>
      </c>
      <c r="T242">
        <v>31.920000000000005</v>
      </c>
      <c r="U242">
        <v>-1.7200000000000002</v>
      </c>
      <c r="V242">
        <v>23</v>
      </c>
      <c r="W242">
        <v>20.5</v>
      </c>
      <c r="X242">
        <v>18</v>
      </c>
      <c r="Y242">
        <v>1.4239999999999997</v>
      </c>
      <c r="Z242">
        <v>23</v>
      </c>
      <c r="AA242">
        <v>1.1600000000000008</v>
      </c>
      <c r="AB242">
        <v>1.36</v>
      </c>
      <c r="AC242">
        <v>18</v>
      </c>
      <c r="AD242">
        <v>18</v>
      </c>
      <c r="AE242">
        <v>21</v>
      </c>
      <c r="AF242">
        <v>-6.0499999999999989</v>
      </c>
      <c r="AG242">
        <v>15</v>
      </c>
      <c r="AH242">
        <v>-22.749999999999996</v>
      </c>
      <c r="AI242">
        <v>-1.0000000000000002</v>
      </c>
      <c r="AJ242">
        <v>18</v>
      </c>
      <c r="AK242">
        <v>18.5</v>
      </c>
      <c r="AL242">
        <v>14</v>
      </c>
      <c r="AM242">
        <v>-7.2650000000000006</v>
      </c>
      <c r="AN242">
        <v>23</v>
      </c>
      <c r="AO242">
        <v>-26.55</v>
      </c>
      <c r="AP242">
        <v>-3.2</v>
      </c>
      <c r="AQ242">
        <v>22</v>
      </c>
      <c r="AR242">
        <v>22</v>
      </c>
      <c r="AS242">
        <v>22</v>
      </c>
      <c r="AT242">
        <v>-1.865</v>
      </c>
      <c r="AU242">
        <v>22</v>
      </c>
      <c r="AV242">
        <v>-15.55</v>
      </c>
      <c r="AW242">
        <v>-0.5</v>
      </c>
      <c r="AX242">
        <v>12</v>
      </c>
      <c r="AY242">
        <v>12</v>
      </c>
      <c r="AZ242">
        <v>14</v>
      </c>
      <c r="BA242">
        <v>0.8519999999999992</v>
      </c>
      <c r="BB242">
        <v>10</v>
      </c>
      <c r="BC242">
        <v>0.1200000000000017</v>
      </c>
      <c r="BD242">
        <v>1.5599999999999998</v>
      </c>
      <c r="BE242">
        <v>7</v>
      </c>
      <c r="BF242">
        <v>6.5</v>
      </c>
      <c r="BG242">
        <v>8</v>
      </c>
      <c r="BH242">
        <v>2.7119999999999997</v>
      </c>
      <c r="BI242">
        <v>18.119999999999997</v>
      </c>
      <c r="BJ242">
        <v>2.3199999999999998</v>
      </c>
      <c r="BK242">
        <v>19</v>
      </c>
      <c r="BL242">
        <v>19.5</v>
      </c>
      <c r="BM242">
        <v>24</v>
      </c>
      <c r="BN242">
        <v>-0.2</v>
      </c>
      <c r="BO242">
        <v>15</v>
      </c>
      <c r="BP242">
        <v>0.16</v>
      </c>
      <c r="BQ242">
        <v>-1.6799999999999997</v>
      </c>
      <c r="BR242">
        <v>3</v>
      </c>
      <c r="BS242">
        <v>7.75</v>
      </c>
      <c r="BT242">
        <v>4</v>
      </c>
      <c r="BU242">
        <v>9.418761728330724E-2</v>
      </c>
      <c r="BV242">
        <v>8</v>
      </c>
      <c r="BW242">
        <v>2.2766077466829193E-2</v>
      </c>
      <c r="BX242">
        <v>13</v>
      </c>
      <c r="BY242">
        <v>1.283999999999996</v>
      </c>
      <c r="BZ242">
        <v>6</v>
      </c>
      <c r="CA242">
        <v>1.72</v>
      </c>
      <c r="CB242">
        <v>1.3599999999999994</v>
      </c>
      <c r="CC242">
        <v>-2.3200000000000012</v>
      </c>
      <c r="CD242">
        <v>-0.48000000000000009</v>
      </c>
      <c r="CE242">
        <v>-17.920000000000005</v>
      </c>
      <c r="CF242">
        <v>-54.120000000000005</v>
      </c>
      <c r="CG242">
        <v>34.68</v>
      </c>
      <c r="CH242">
        <v>5.7200000000000006</v>
      </c>
      <c r="CI242">
        <v>-4.2000000000000011</v>
      </c>
      <c r="CJ242">
        <v>31</v>
      </c>
      <c r="CK242">
        <v>-11.056799999999999</v>
      </c>
      <c r="CL242">
        <v>-6.3009599999999999</v>
      </c>
      <c r="CM242">
        <v>-88.800000000000011</v>
      </c>
      <c r="CN242">
        <v>11.056799999999999</v>
      </c>
      <c r="CO242">
        <v>-1.6355999999999999</v>
      </c>
      <c r="CP242">
        <v>-15.18</v>
      </c>
      <c r="CQ242">
        <v>-64.849999999999994</v>
      </c>
      <c r="CR242">
        <v>5.3199999999999994</v>
      </c>
      <c r="CS242">
        <v>33.080000000000005</v>
      </c>
      <c r="CT242">
        <v>-2.3800000000000003</v>
      </c>
      <c r="CU242">
        <v>-0.3600000000000001</v>
      </c>
      <c r="CV242">
        <v>0.32943750000000016</v>
      </c>
      <c r="CW242">
        <v>-0.43947500000000006</v>
      </c>
      <c r="CX242" t="s">
        <v>311</v>
      </c>
      <c r="CY242">
        <v>6</v>
      </c>
      <c r="CZ242">
        <v>4.3848000000000003</v>
      </c>
      <c r="DA242">
        <v>27</v>
      </c>
      <c r="DB242">
        <v>24</v>
      </c>
      <c r="DC242">
        <v>18</v>
      </c>
      <c r="DD242">
        <v>-2.6639999999999993</v>
      </c>
      <c r="DE242">
        <v>30</v>
      </c>
      <c r="DF242">
        <v>-30</v>
      </c>
      <c r="DG242">
        <v>0.88000000000000012</v>
      </c>
      <c r="DH242">
        <v>1</v>
      </c>
      <c r="DI242">
        <v>1</v>
      </c>
      <c r="DJ242">
        <v>1</v>
      </c>
      <c r="DK242">
        <v>2.46</v>
      </c>
      <c r="DL242">
        <v>1</v>
      </c>
      <c r="DM242">
        <v>15</v>
      </c>
      <c r="DN242">
        <v>-0.15999999999999998</v>
      </c>
      <c r="DO242">
        <v>15</v>
      </c>
      <c r="DP242">
        <v>11.5</v>
      </c>
      <c r="DQ242">
        <v>11</v>
      </c>
      <c r="DR242">
        <v>0.53900000000000003</v>
      </c>
      <c r="DS242">
        <v>12</v>
      </c>
      <c r="DT242">
        <v>0.75</v>
      </c>
      <c r="DU242">
        <v>1.0899999999999999</v>
      </c>
      <c r="DV242">
        <v>23</v>
      </c>
      <c r="DW242">
        <v>23</v>
      </c>
      <c r="DX242">
        <v>25</v>
      </c>
      <c r="DY242">
        <v>2.1260000000000003</v>
      </c>
      <c r="DZ242">
        <v>21</v>
      </c>
      <c r="EA242">
        <v>10.62</v>
      </c>
      <c r="EB242">
        <v>-0.19000000000000022</v>
      </c>
      <c r="EC242">
        <v>10</v>
      </c>
      <c r="ED242">
        <v>8.5</v>
      </c>
      <c r="EE242">
        <v>8</v>
      </c>
      <c r="EF242">
        <v>0.85699999999999998</v>
      </c>
      <c r="EG242">
        <v>9</v>
      </c>
      <c r="EH242">
        <v>7.0299999999999994</v>
      </c>
      <c r="EI242">
        <v>-0.66999999999999993</v>
      </c>
      <c r="EJ242">
        <v>15</v>
      </c>
      <c r="EK242">
        <v>15.5</v>
      </c>
      <c r="EL242">
        <v>18</v>
      </c>
      <c r="EM242">
        <v>1.2120000000000004</v>
      </c>
      <c r="EN242">
        <v>13</v>
      </c>
      <c r="EO242">
        <v>19.32</v>
      </c>
      <c r="EP242">
        <v>0.6</v>
      </c>
      <c r="EQ242">
        <v>14</v>
      </c>
      <c r="ER242">
        <v>14</v>
      </c>
      <c r="ES242">
        <v>14</v>
      </c>
      <c r="ET242">
        <v>2.444</v>
      </c>
      <c r="EU242">
        <v>14</v>
      </c>
      <c r="EV242">
        <v>9.0399999999999991</v>
      </c>
      <c r="EW242">
        <v>1.2799999999999998</v>
      </c>
      <c r="EX242">
        <v>22</v>
      </c>
      <c r="EY242">
        <v>21.5</v>
      </c>
      <c r="EZ242">
        <v>19</v>
      </c>
      <c r="FA242">
        <v>-1.36</v>
      </c>
      <c r="FB242">
        <v>24</v>
      </c>
      <c r="FC242">
        <v>-0.72000000000000008</v>
      </c>
      <c r="FD242">
        <v>-2.4800000000000004</v>
      </c>
      <c r="FE242">
        <v>27</v>
      </c>
      <c r="FF242">
        <v>22.75</v>
      </c>
      <c r="FG242">
        <v>31</v>
      </c>
      <c r="FH242">
        <v>-7.785657970867868E-2</v>
      </c>
      <c r="FI242">
        <v>30</v>
      </c>
      <c r="FJ242">
        <v>-3.5662405549610553E-2</v>
      </c>
      <c r="FK242">
        <v>2</v>
      </c>
      <c r="FL242">
        <v>-11.480000000000004</v>
      </c>
      <c r="FM242">
        <v>28</v>
      </c>
      <c r="FN242">
        <v>-2.44</v>
      </c>
      <c r="FO242">
        <v>2.7999999999999994</v>
      </c>
      <c r="FP242">
        <v>-2.0799999999999996</v>
      </c>
      <c r="FQ242">
        <v>-0.55999999999999983</v>
      </c>
      <c r="FR242">
        <v>-0.92000000000000171</v>
      </c>
      <c r="FS242">
        <v>0.83999999999999986</v>
      </c>
      <c r="FT242">
        <v>-1.7200000000000002</v>
      </c>
      <c r="FU242">
        <v>20.719999999999992</v>
      </c>
      <c r="FV242">
        <v>38.96</v>
      </c>
      <c r="FW242">
        <v>-12.039999999999997</v>
      </c>
      <c r="FX242">
        <v>-6.32</v>
      </c>
      <c r="FY242">
        <v>0.12000000000000099</v>
      </c>
      <c r="FZ242">
        <v>7</v>
      </c>
      <c r="GA242">
        <v>4.5888</v>
      </c>
      <c r="GB242">
        <v>2.1721599999999999</v>
      </c>
      <c r="GC242">
        <v>51</v>
      </c>
      <c r="GD242">
        <v>-4.5887999999999991</v>
      </c>
      <c r="GE242">
        <v>1.0983500000000004</v>
      </c>
      <c r="GF242">
        <v>3.5220000000000002</v>
      </c>
      <c r="GG242">
        <v>18.399999999999999</v>
      </c>
      <c r="GH242">
        <v>-0.20399999999999929</v>
      </c>
      <c r="GI242">
        <v>-15</v>
      </c>
      <c r="GJ242">
        <v>1.5099999999999996</v>
      </c>
      <c r="GK242">
        <v>0.7200000000000002</v>
      </c>
    </row>
    <row r="243" spans="1:193" x14ac:dyDescent="0.2">
      <c r="A243" s="39">
        <v>43793</v>
      </c>
      <c r="B243" s="22" t="s">
        <v>242</v>
      </c>
      <c r="C243" s="41" t="s">
        <v>297</v>
      </c>
      <c r="D243" s="22" t="s">
        <v>310</v>
      </c>
      <c r="E243">
        <v>10.8</v>
      </c>
      <c r="F243">
        <v>14.9</v>
      </c>
      <c r="G243">
        <v>8.9</v>
      </c>
      <c r="H243">
        <v>7.6</v>
      </c>
      <c r="I243">
        <v>4.5</v>
      </c>
      <c r="J243">
        <v>42</v>
      </c>
      <c r="K243" t="s">
        <v>110</v>
      </c>
      <c r="L243" s="1" t="s">
        <v>297</v>
      </c>
      <c r="M243">
        <v>20</v>
      </c>
      <c r="N243">
        <v>-1.968</v>
      </c>
      <c r="O243">
        <v>10</v>
      </c>
      <c r="P243">
        <v>9.5</v>
      </c>
      <c r="Q243">
        <v>3</v>
      </c>
      <c r="R243">
        <v>5.5759999999999987</v>
      </c>
      <c r="S243">
        <v>16</v>
      </c>
      <c r="T243">
        <v>14.440000000000001</v>
      </c>
      <c r="U243">
        <v>2.8</v>
      </c>
      <c r="V243">
        <v>28</v>
      </c>
      <c r="W243">
        <v>28.5</v>
      </c>
      <c r="X243">
        <v>26</v>
      </c>
      <c r="Y243">
        <v>-2.9359999999999999</v>
      </c>
      <c r="Z243">
        <v>31</v>
      </c>
      <c r="AA243">
        <v>-16.16</v>
      </c>
      <c r="AB243">
        <v>-0.39999999999999997</v>
      </c>
      <c r="AC243">
        <v>31</v>
      </c>
      <c r="AD243">
        <v>31.5</v>
      </c>
      <c r="AE243">
        <v>32</v>
      </c>
      <c r="AF243">
        <v>-3.9560000000000004</v>
      </c>
      <c r="AG243">
        <v>31</v>
      </c>
      <c r="AH243">
        <v>-25</v>
      </c>
      <c r="AI243">
        <v>0.36000000000000015</v>
      </c>
      <c r="AJ243">
        <v>7</v>
      </c>
      <c r="AK243">
        <v>8</v>
      </c>
      <c r="AL243">
        <v>4</v>
      </c>
      <c r="AM243">
        <v>4.1319999999999997</v>
      </c>
      <c r="AN243">
        <v>12</v>
      </c>
      <c r="AO243">
        <v>13.88</v>
      </c>
      <c r="AP243">
        <v>2.5200000000000005</v>
      </c>
      <c r="AQ243">
        <v>3</v>
      </c>
      <c r="AR243">
        <v>3</v>
      </c>
      <c r="AS243">
        <v>3</v>
      </c>
      <c r="AT243">
        <v>5.6960000000000006</v>
      </c>
      <c r="AU243">
        <v>3</v>
      </c>
      <c r="AV243">
        <v>31.479999999999997</v>
      </c>
      <c r="AW243">
        <v>3</v>
      </c>
      <c r="AX243">
        <v>13</v>
      </c>
      <c r="AY243">
        <v>12.5</v>
      </c>
      <c r="AZ243">
        <v>10</v>
      </c>
      <c r="BA243">
        <v>4.5839999999999996</v>
      </c>
      <c r="BB243">
        <v>15</v>
      </c>
      <c r="BC243">
        <v>7.8400000000000007</v>
      </c>
      <c r="BD243">
        <v>1.44</v>
      </c>
      <c r="BE243">
        <v>32</v>
      </c>
      <c r="BF243">
        <v>31</v>
      </c>
      <c r="BG243">
        <v>32</v>
      </c>
      <c r="BH243">
        <v>-7.1079999999999997</v>
      </c>
      <c r="BI243">
        <v>-28.76</v>
      </c>
      <c r="BJ243">
        <v>-2.8</v>
      </c>
      <c r="BK243">
        <v>27</v>
      </c>
      <c r="BL243">
        <v>27</v>
      </c>
      <c r="BM243">
        <v>27</v>
      </c>
      <c r="BN243">
        <v>-0.23999999999999985</v>
      </c>
      <c r="BO243">
        <v>27</v>
      </c>
      <c r="BP243">
        <v>0.20000000000000012</v>
      </c>
      <c r="BQ243">
        <v>0.28000000000000008</v>
      </c>
      <c r="BR243">
        <v>7</v>
      </c>
      <c r="BS243">
        <v>11.25</v>
      </c>
      <c r="BT243">
        <v>7</v>
      </c>
      <c r="BU243">
        <v>2.0571256805007598E-2</v>
      </c>
      <c r="BV243">
        <v>17</v>
      </c>
      <c r="BW243">
        <v>-1.9511614917143622E-3</v>
      </c>
      <c r="BX243">
        <v>18</v>
      </c>
      <c r="BY243">
        <v>-14.512</v>
      </c>
      <c r="BZ243">
        <v>3</v>
      </c>
      <c r="CA243">
        <v>1.52</v>
      </c>
      <c r="CB243">
        <v>5.8400000000000007</v>
      </c>
      <c r="CC243">
        <v>-4.24</v>
      </c>
      <c r="CD243">
        <v>0.12000000000000002</v>
      </c>
      <c r="CE243">
        <v>22.999999999999989</v>
      </c>
      <c r="CF243">
        <v>18.400000000000006</v>
      </c>
      <c r="CG243">
        <v>-7.4</v>
      </c>
      <c r="CH243">
        <v>4.3600000000000003</v>
      </c>
      <c r="CI243">
        <v>7.6399999999999988</v>
      </c>
      <c r="CJ243">
        <v>23</v>
      </c>
      <c r="CK243">
        <v>-4.6079999999999988</v>
      </c>
      <c r="CL243">
        <v>-1.9607999999999994</v>
      </c>
      <c r="CM243">
        <v>25.800000000000004</v>
      </c>
      <c r="CN243">
        <v>4.6079999999999988</v>
      </c>
      <c r="CO243">
        <v>-0.1005000000000001</v>
      </c>
      <c r="CP243">
        <v>5.8719999999999999</v>
      </c>
      <c r="CQ243">
        <v>20.36</v>
      </c>
      <c r="CR243">
        <v>2.6399999999999988</v>
      </c>
      <c r="CS243">
        <v>-1.7199999999999989</v>
      </c>
      <c r="CT243">
        <v>3.080000000000001</v>
      </c>
      <c r="CU243">
        <v>2.4</v>
      </c>
      <c r="CV243">
        <v>1.2358625000000001</v>
      </c>
      <c r="CW243">
        <v>0.83592499999999981</v>
      </c>
      <c r="CX243" t="s">
        <v>310</v>
      </c>
      <c r="CY243">
        <v>11</v>
      </c>
      <c r="CZ243">
        <v>4.0144000000000002</v>
      </c>
      <c r="DA243">
        <v>7</v>
      </c>
      <c r="DB243">
        <v>10</v>
      </c>
      <c r="DC243">
        <v>13</v>
      </c>
      <c r="DD243">
        <v>2.0840000000000005</v>
      </c>
      <c r="DE243">
        <v>7</v>
      </c>
      <c r="DF243">
        <v>6.6</v>
      </c>
      <c r="DG243">
        <v>0.28000000000000008</v>
      </c>
      <c r="DH243">
        <v>23</v>
      </c>
      <c r="DI243">
        <v>19.5</v>
      </c>
      <c r="DJ243">
        <v>22</v>
      </c>
      <c r="DK243">
        <v>0.35600000000000021</v>
      </c>
      <c r="DL243">
        <v>17</v>
      </c>
      <c r="DM243">
        <v>-3.9200000000000004</v>
      </c>
      <c r="DN243">
        <v>0.36</v>
      </c>
      <c r="DO243">
        <v>3</v>
      </c>
      <c r="DP243">
        <v>1.5</v>
      </c>
      <c r="DQ243">
        <v>2</v>
      </c>
      <c r="DR243">
        <v>6.3519999999999994</v>
      </c>
      <c r="DS243">
        <v>1</v>
      </c>
      <c r="DT243">
        <v>26.240000000000002</v>
      </c>
      <c r="DU243">
        <v>2.4799999999999995</v>
      </c>
      <c r="DV243">
        <v>11</v>
      </c>
      <c r="DW243">
        <v>13</v>
      </c>
      <c r="DX243">
        <v>14</v>
      </c>
      <c r="DY243">
        <v>-0.59599999999999975</v>
      </c>
      <c r="DZ243">
        <v>12</v>
      </c>
      <c r="EA243">
        <v>-3.5599999999999978</v>
      </c>
      <c r="EB243">
        <v>-0.84000000000000008</v>
      </c>
      <c r="EC243">
        <v>28</v>
      </c>
      <c r="ED243">
        <v>30</v>
      </c>
      <c r="EE243">
        <v>30</v>
      </c>
      <c r="EF243">
        <v>-1.6359999999999999</v>
      </c>
      <c r="EG243">
        <v>30</v>
      </c>
      <c r="EH243">
        <v>-9.08</v>
      </c>
      <c r="EI243">
        <v>1.52</v>
      </c>
      <c r="EJ243">
        <v>6</v>
      </c>
      <c r="EK243">
        <v>5.5</v>
      </c>
      <c r="EL243">
        <v>6</v>
      </c>
      <c r="EM243">
        <v>4.1080000000000005</v>
      </c>
      <c r="EN243">
        <v>5</v>
      </c>
      <c r="EO243">
        <v>30.28</v>
      </c>
      <c r="EP243">
        <v>2.2800000000000002</v>
      </c>
      <c r="EQ243">
        <v>6</v>
      </c>
      <c r="ER243">
        <v>8</v>
      </c>
      <c r="ES243">
        <v>7</v>
      </c>
      <c r="ET243">
        <v>1.0319999999999998</v>
      </c>
      <c r="EU243">
        <v>9</v>
      </c>
      <c r="EV243">
        <v>9.120000000000001</v>
      </c>
      <c r="EW243">
        <v>-0.52000000000000013</v>
      </c>
      <c r="EX243">
        <v>3</v>
      </c>
      <c r="EY243">
        <v>3.5</v>
      </c>
      <c r="EZ243">
        <v>6</v>
      </c>
      <c r="FA243">
        <v>1.48</v>
      </c>
      <c r="FB243">
        <v>1</v>
      </c>
      <c r="FC243">
        <v>0.43999999999999995</v>
      </c>
      <c r="FD243">
        <v>-1.4000000000000001</v>
      </c>
      <c r="FE243">
        <v>15</v>
      </c>
      <c r="FF243">
        <v>15.75</v>
      </c>
      <c r="FG243">
        <v>16</v>
      </c>
      <c r="FH243">
        <v>3.3336378702793143E-2</v>
      </c>
      <c r="FI243">
        <v>21</v>
      </c>
      <c r="FJ243">
        <v>-7.2293233789136064E-3</v>
      </c>
      <c r="FK243">
        <v>13</v>
      </c>
      <c r="FL243">
        <v>4.5279999999999987</v>
      </c>
      <c r="FM243">
        <v>13</v>
      </c>
      <c r="FN243">
        <v>-0.84000000000000008</v>
      </c>
      <c r="FO243">
        <v>2.9599999999999995</v>
      </c>
      <c r="FP243">
        <v>2.3599999999999994</v>
      </c>
      <c r="FQ243">
        <v>0.16000000000000009</v>
      </c>
      <c r="FR243">
        <v>5.6400000000000023</v>
      </c>
      <c r="FS243">
        <v>3.1199999999999997</v>
      </c>
      <c r="FT243">
        <v>-0.91999999999999993</v>
      </c>
      <c r="FU243">
        <v>29.640000000000008</v>
      </c>
      <c r="FV243">
        <v>33.76</v>
      </c>
      <c r="FW243">
        <v>-0.63999999999999768</v>
      </c>
      <c r="FX243">
        <v>-2.12</v>
      </c>
      <c r="FY243">
        <v>-1.36</v>
      </c>
      <c r="FZ243">
        <v>14</v>
      </c>
      <c r="GA243">
        <v>1.5743999999999994</v>
      </c>
      <c r="GB243">
        <v>0.61327999999999938</v>
      </c>
      <c r="GC243">
        <v>34.4</v>
      </c>
      <c r="GD243">
        <v>-1.5743999999999994</v>
      </c>
      <c r="GE243">
        <v>1.6358000000000001</v>
      </c>
      <c r="GF243">
        <v>4.1199999999999992</v>
      </c>
      <c r="GG243">
        <v>13.600000000000003</v>
      </c>
      <c r="GH243">
        <v>2.4400000000000008</v>
      </c>
      <c r="GI243">
        <v>2.6799999999999993</v>
      </c>
      <c r="GJ243">
        <v>2.6399999999999992</v>
      </c>
      <c r="GK243">
        <v>0.64000000000000012</v>
      </c>
    </row>
    <row r="244" spans="1:193" x14ac:dyDescent="0.2">
      <c r="A244" s="39">
        <v>43793</v>
      </c>
      <c r="B244" s="22" t="s">
        <v>242</v>
      </c>
      <c r="C244" s="41" t="s">
        <v>303</v>
      </c>
      <c r="D244" s="22" t="s">
        <v>298</v>
      </c>
      <c r="E244">
        <v>3.8</v>
      </c>
      <c r="F244">
        <v>6.1</v>
      </c>
      <c r="G244">
        <v>2.5</v>
      </c>
      <c r="H244">
        <v>8.4</v>
      </c>
      <c r="I244">
        <v>-3.5</v>
      </c>
      <c r="J244">
        <v>45</v>
      </c>
      <c r="L244" s="1" t="s">
        <v>303</v>
      </c>
      <c r="M244">
        <v>28</v>
      </c>
      <c r="N244">
        <v>-4.5152000000000001</v>
      </c>
      <c r="O244">
        <v>7</v>
      </c>
      <c r="P244">
        <v>7.5</v>
      </c>
      <c r="Q244">
        <v>12</v>
      </c>
      <c r="R244">
        <v>0.74000000000000088</v>
      </c>
      <c r="S244">
        <v>3</v>
      </c>
      <c r="T244">
        <v>18.360000000000003</v>
      </c>
      <c r="U244">
        <v>-0.27999999999999997</v>
      </c>
      <c r="V244">
        <v>22</v>
      </c>
      <c r="W244">
        <v>19.5</v>
      </c>
      <c r="X244">
        <v>17</v>
      </c>
      <c r="Y244">
        <v>-4.3999999999999595E-2</v>
      </c>
      <c r="Z244">
        <v>22</v>
      </c>
      <c r="AA244">
        <v>-12.352</v>
      </c>
      <c r="AB244">
        <v>1.4</v>
      </c>
      <c r="AC244">
        <v>30</v>
      </c>
      <c r="AD244">
        <v>30.5</v>
      </c>
      <c r="AE244">
        <v>31</v>
      </c>
      <c r="AF244">
        <v>-4.6840000000000002</v>
      </c>
      <c r="AG244">
        <v>30</v>
      </c>
      <c r="AH244">
        <v>-15.879999999999995</v>
      </c>
      <c r="AI244">
        <v>-2.4</v>
      </c>
      <c r="AJ244">
        <v>24</v>
      </c>
      <c r="AK244">
        <v>23</v>
      </c>
      <c r="AL244">
        <v>22</v>
      </c>
      <c r="AM244">
        <v>-0.21600000000000144</v>
      </c>
      <c r="AN244">
        <v>24</v>
      </c>
      <c r="AO244">
        <v>1.2799999999999998</v>
      </c>
      <c r="AP244">
        <v>-0.28000000000000008</v>
      </c>
      <c r="AQ244">
        <v>25</v>
      </c>
      <c r="AR244">
        <v>25</v>
      </c>
      <c r="AS244">
        <v>25</v>
      </c>
      <c r="AT244">
        <v>-2.456</v>
      </c>
      <c r="AU244">
        <v>25</v>
      </c>
      <c r="AV244">
        <v>-12.280000000000001</v>
      </c>
      <c r="AW244">
        <v>-0.48000000000000009</v>
      </c>
      <c r="AX244">
        <v>24</v>
      </c>
      <c r="AY244">
        <v>25</v>
      </c>
      <c r="AZ244">
        <v>27</v>
      </c>
      <c r="BA244">
        <v>-5.6320000000000006</v>
      </c>
      <c r="BB244">
        <v>23</v>
      </c>
      <c r="BC244">
        <v>-16.720000000000002</v>
      </c>
      <c r="BD244">
        <v>-1.0000000000000004</v>
      </c>
      <c r="BE244">
        <v>5</v>
      </c>
      <c r="BF244">
        <v>6</v>
      </c>
      <c r="BG244">
        <v>6</v>
      </c>
      <c r="BH244">
        <v>0.92399999999999949</v>
      </c>
      <c r="BI244">
        <v>-1.1600000000000008</v>
      </c>
      <c r="BJ244">
        <v>0.83999999999999986</v>
      </c>
      <c r="BK244">
        <v>19</v>
      </c>
      <c r="BL244">
        <v>19.5</v>
      </c>
      <c r="BM244">
        <v>26</v>
      </c>
      <c r="BN244">
        <v>-0.44000000000000022</v>
      </c>
      <c r="BO244">
        <v>13</v>
      </c>
      <c r="BP244">
        <v>7.9999999999999932E-2</v>
      </c>
      <c r="BQ244">
        <v>-0.83999999999999986</v>
      </c>
      <c r="BR244">
        <v>19</v>
      </c>
      <c r="BS244">
        <v>17.25</v>
      </c>
      <c r="BT244">
        <v>14</v>
      </c>
      <c r="BU244">
        <v>-4.4063008937547714E-2</v>
      </c>
      <c r="BV244">
        <v>21</v>
      </c>
      <c r="BW244">
        <v>-1.3655752066164151E-2</v>
      </c>
      <c r="BX244">
        <v>32</v>
      </c>
      <c r="BY244">
        <v>20.04</v>
      </c>
      <c r="BZ244">
        <v>2</v>
      </c>
      <c r="CA244">
        <v>0.47999999999999987</v>
      </c>
      <c r="CB244">
        <v>-2.72</v>
      </c>
      <c r="CC244">
        <v>-2.8800000000000003</v>
      </c>
      <c r="CD244">
        <v>-0.16000000000000017</v>
      </c>
      <c r="CE244">
        <v>-13.440000000000008</v>
      </c>
      <c r="CF244">
        <v>-9.6799999999999962</v>
      </c>
      <c r="CG244">
        <v>10.120000000000001</v>
      </c>
      <c r="CH244">
        <v>2.6799999999999997</v>
      </c>
      <c r="CI244">
        <v>-16.559999999999999</v>
      </c>
      <c r="CJ244">
        <v>26</v>
      </c>
      <c r="CK244">
        <v>-5.2112000000000016</v>
      </c>
      <c r="CL244">
        <v>-2.537440000000001</v>
      </c>
      <c r="CM244">
        <v>-19.799999999999997</v>
      </c>
      <c r="CN244">
        <v>5.2112000000000016</v>
      </c>
      <c r="CO244">
        <v>-1.3364</v>
      </c>
      <c r="CP244">
        <v>-7.3560000000000016</v>
      </c>
      <c r="CQ244">
        <v>-26.879999999999995</v>
      </c>
      <c r="CR244">
        <v>0.69600000000000128</v>
      </c>
      <c r="CS244">
        <v>6.0080000000000027</v>
      </c>
      <c r="CT244">
        <v>-2.3200000000000003</v>
      </c>
      <c r="CU244">
        <v>1.1199999999999999</v>
      </c>
      <c r="CV244">
        <v>0.91625000000000012</v>
      </c>
      <c r="CW244">
        <v>0.69310000000000005</v>
      </c>
      <c r="CX244" t="s">
        <v>298</v>
      </c>
      <c r="CY244">
        <v>9</v>
      </c>
      <c r="CZ244">
        <v>4.4552000000000005</v>
      </c>
      <c r="DA244">
        <v>32</v>
      </c>
      <c r="DB244">
        <v>30.5</v>
      </c>
      <c r="DC244">
        <v>30</v>
      </c>
      <c r="DD244">
        <v>-3.2399999999999993</v>
      </c>
      <c r="DE244">
        <v>31</v>
      </c>
      <c r="DF244">
        <v>-24.759999999999998</v>
      </c>
      <c r="DG244">
        <v>3.9999999999999994E-2</v>
      </c>
      <c r="DH244">
        <v>16</v>
      </c>
      <c r="DI244">
        <v>16.5</v>
      </c>
      <c r="DJ244">
        <v>18</v>
      </c>
      <c r="DK244">
        <v>-0.25599999999999995</v>
      </c>
      <c r="DL244">
        <v>15</v>
      </c>
      <c r="DM244">
        <v>5.3280000000000012</v>
      </c>
      <c r="DN244">
        <v>0.3199999999999999</v>
      </c>
      <c r="DO244">
        <v>7</v>
      </c>
      <c r="DP244">
        <v>10.5</v>
      </c>
      <c r="DQ244">
        <v>8</v>
      </c>
      <c r="DR244">
        <v>3.9959999999999996</v>
      </c>
      <c r="DS244">
        <v>13</v>
      </c>
      <c r="DT244">
        <v>6.4400000000000022</v>
      </c>
      <c r="DU244">
        <v>0.27999999999999969</v>
      </c>
      <c r="DV244">
        <v>5</v>
      </c>
      <c r="DW244">
        <v>5.5</v>
      </c>
      <c r="DX244">
        <v>5</v>
      </c>
      <c r="DY244">
        <v>5.4440000000000008</v>
      </c>
      <c r="DZ244">
        <v>6</v>
      </c>
      <c r="EA244">
        <v>19.639999999999997</v>
      </c>
      <c r="EB244">
        <v>1.2799999999999998</v>
      </c>
      <c r="EC244">
        <v>26</v>
      </c>
      <c r="ED244">
        <v>28.5</v>
      </c>
      <c r="EE244">
        <v>28</v>
      </c>
      <c r="EF244">
        <v>-0.90799999999999981</v>
      </c>
      <c r="EG244">
        <v>29</v>
      </c>
      <c r="EH244">
        <v>-12.919999999999998</v>
      </c>
      <c r="EI244">
        <v>-0.67999999999999994</v>
      </c>
      <c r="EJ244">
        <v>25</v>
      </c>
      <c r="EK244">
        <v>26</v>
      </c>
      <c r="EL244">
        <v>26</v>
      </c>
      <c r="EM244">
        <v>0.57200000000000029</v>
      </c>
      <c r="EN244">
        <v>26</v>
      </c>
      <c r="EO244">
        <v>-3.0799999999999996</v>
      </c>
      <c r="EP244">
        <v>-0.88000000000000012</v>
      </c>
      <c r="EQ244">
        <v>13</v>
      </c>
      <c r="ER244">
        <v>13.5</v>
      </c>
      <c r="ES244">
        <v>17</v>
      </c>
      <c r="ET244">
        <v>0.46400000000000008</v>
      </c>
      <c r="EU244">
        <v>10</v>
      </c>
      <c r="EV244">
        <v>9.7200000000000006</v>
      </c>
      <c r="EW244">
        <v>-0.27999999999999992</v>
      </c>
      <c r="EX244">
        <v>24</v>
      </c>
      <c r="EY244">
        <v>23</v>
      </c>
      <c r="EZ244">
        <v>28</v>
      </c>
      <c r="FA244">
        <v>-0.84000000000000019</v>
      </c>
      <c r="FB244">
        <v>18</v>
      </c>
      <c r="FC244">
        <v>-4.0000000000000036E-2</v>
      </c>
      <c r="FD244">
        <v>-1</v>
      </c>
      <c r="FE244">
        <v>23</v>
      </c>
      <c r="FF244">
        <v>20</v>
      </c>
      <c r="FG244">
        <v>32</v>
      </c>
      <c r="FH244">
        <v>-3.2843293009734646E-2</v>
      </c>
      <c r="FI244">
        <v>22</v>
      </c>
      <c r="FJ244">
        <v>2.1995378772974862E-4</v>
      </c>
      <c r="FK244">
        <v>11</v>
      </c>
      <c r="FL244">
        <v>4.8080000000000016</v>
      </c>
      <c r="FM244">
        <v>15</v>
      </c>
      <c r="FN244">
        <v>1.2</v>
      </c>
      <c r="FO244">
        <v>1.3199999999999996</v>
      </c>
      <c r="FP244">
        <v>-0.75999999999999945</v>
      </c>
      <c r="FQ244">
        <v>1.28</v>
      </c>
      <c r="FR244">
        <v>1.7599999999999993</v>
      </c>
      <c r="FS244">
        <v>3.3599999999999994</v>
      </c>
      <c r="FT244">
        <v>-1.0799999999999996</v>
      </c>
      <c r="FU244">
        <v>-12.559999999999997</v>
      </c>
      <c r="FV244">
        <v>15.360000000000003</v>
      </c>
      <c r="FW244">
        <v>-20</v>
      </c>
      <c r="FX244">
        <v>-4.4800000000000004</v>
      </c>
      <c r="FY244">
        <v>-3.44</v>
      </c>
      <c r="FZ244">
        <v>3</v>
      </c>
      <c r="GA244">
        <v>7.9512</v>
      </c>
      <c r="GB244">
        <v>4.4382399999999995</v>
      </c>
      <c r="GC244">
        <v>35.36</v>
      </c>
      <c r="GD244">
        <v>-7.9512</v>
      </c>
      <c r="GE244">
        <v>1.1394000000000002</v>
      </c>
      <c r="GF244">
        <v>8.5320000000000018</v>
      </c>
      <c r="GG244">
        <v>13.16</v>
      </c>
      <c r="GH244">
        <v>-3.4959999999999991</v>
      </c>
      <c r="GI244">
        <v>-19.431999999999995</v>
      </c>
      <c r="GJ244">
        <v>0.59999999999999976</v>
      </c>
      <c r="GK244">
        <v>0.35999999999999988</v>
      </c>
    </row>
    <row r="245" spans="1:193" x14ac:dyDescent="0.2">
      <c r="A245" s="39">
        <v>43793</v>
      </c>
      <c r="B245" s="22" t="s">
        <v>242</v>
      </c>
      <c r="C245" s="41" t="s">
        <v>304</v>
      </c>
      <c r="D245" s="22" t="s">
        <v>305</v>
      </c>
      <c r="E245" s="14">
        <v>9.5</v>
      </c>
      <c r="F245">
        <v>15.7</v>
      </c>
      <c r="G245">
        <v>5.3</v>
      </c>
      <c r="H245">
        <v>11.3</v>
      </c>
      <c r="I245">
        <v>3.5</v>
      </c>
      <c r="J245">
        <v>47</v>
      </c>
      <c r="L245" s="1" t="s">
        <v>304</v>
      </c>
      <c r="M245">
        <v>21</v>
      </c>
      <c r="N245">
        <v>-2.1367999999999987</v>
      </c>
      <c r="O245">
        <v>12</v>
      </c>
      <c r="P245">
        <v>14.5</v>
      </c>
      <c r="Q245">
        <v>15</v>
      </c>
      <c r="R245">
        <v>-1.5279999999999996</v>
      </c>
      <c r="S245">
        <v>14</v>
      </c>
      <c r="T245">
        <v>-10.679999999999998</v>
      </c>
      <c r="U245">
        <v>-0.72</v>
      </c>
      <c r="V245">
        <v>21</v>
      </c>
      <c r="W245">
        <v>19</v>
      </c>
      <c r="X245">
        <v>21</v>
      </c>
      <c r="Y245">
        <v>-0.46399999999999969</v>
      </c>
      <c r="Z245">
        <v>17</v>
      </c>
      <c r="AA245">
        <v>4.2000000000000011</v>
      </c>
      <c r="AB245">
        <v>-0.95999999999999974</v>
      </c>
      <c r="AC245">
        <v>12</v>
      </c>
      <c r="AD245">
        <v>13</v>
      </c>
      <c r="AE245">
        <v>13</v>
      </c>
      <c r="AF245">
        <v>-1.7719999999999998</v>
      </c>
      <c r="AG245">
        <v>13</v>
      </c>
      <c r="AH245">
        <v>-2.4</v>
      </c>
      <c r="AI245">
        <v>-1.3199999999999998</v>
      </c>
      <c r="AJ245">
        <v>4</v>
      </c>
      <c r="AK245">
        <v>4.5</v>
      </c>
      <c r="AL245">
        <v>7</v>
      </c>
      <c r="AM245">
        <v>0.66400000000000003</v>
      </c>
      <c r="AN245">
        <v>2</v>
      </c>
      <c r="AO245">
        <v>19.919999999999998</v>
      </c>
      <c r="AP245">
        <v>0.52000000000000013</v>
      </c>
      <c r="AQ245">
        <v>8</v>
      </c>
      <c r="AR245">
        <v>8.5</v>
      </c>
      <c r="AS245">
        <v>8</v>
      </c>
      <c r="AT245">
        <v>2.4240000000000004</v>
      </c>
      <c r="AU245">
        <v>9</v>
      </c>
      <c r="AV245">
        <v>13.319999999999999</v>
      </c>
      <c r="AW245">
        <v>1.48</v>
      </c>
      <c r="AX245">
        <v>5</v>
      </c>
      <c r="AY245">
        <v>5</v>
      </c>
      <c r="AZ245">
        <v>8</v>
      </c>
      <c r="BA245">
        <v>0.52000000000000068</v>
      </c>
      <c r="BB245">
        <v>2</v>
      </c>
      <c r="BC245">
        <v>15.999999999999996</v>
      </c>
      <c r="BD245">
        <v>-8.0000000000000071E-2</v>
      </c>
      <c r="BE245">
        <v>12</v>
      </c>
      <c r="BF245">
        <v>12.5</v>
      </c>
      <c r="BG245">
        <v>14</v>
      </c>
      <c r="BH245">
        <v>0.35999999999999943</v>
      </c>
      <c r="BI245">
        <v>3.9200000000000017</v>
      </c>
      <c r="BJ245">
        <v>1.7599999999999998</v>
      </c>
      <c r="BK245">
        <v>16</v>
      </c>
      <c r="BL245">
        <v>15.5</v>
      </c>
      <c r="BM245">
        <v>18</v>
      </c>
      <c r="BN245">
        <v>0.6399999999999999</v>
      </c>
      <c r="BO245">
        <v>13</v>
      </c>
      <c r="BP245">
        <v>7.9999999999999932E-2</v>
      </c>
      <c r="BQ245">
        <v>2.72</v>
      </c>
      <c r="BR245">
        <v>23</v>
      </c>
      <c r="BS245">
        <v>20.5</v>
      </c>
      <c r="BT245">
        <v>32</v>
      </c>
      <c r="BU245">
        <v>-0.11816326875052748</v>
      </c>
      <c r="BV245">
        <v>29</v>
      </c>
      <c r="BW245">
        <v>-3.2856510527490959E-2</v>
      </c>
      <c r="BX245">
        <v>8</v>
      </c>
      <c r="BY245">
        <v>-5.4240000000000039</v>
      </c>
      <c r="BZ245">
        <v>13</v>
      </c>
      <c r="CA245">
        <v>-1.4800000000000004</v>
      </c>
      <c r="CB245">
        <v>-2.5599999999999996</v>
      </c>
      <c r="CC245">
        <v>-0.95999999999999941</v>
      </c>
      <c r="CD245">
        <v>1.3599999999999999</v>
      </c>
      <c r="CE245">
        <v>-7.8799999999999955</v>
      </c>
      <c r="CF245">
        <v>17.28</v>
      </c>
      <c r="CG245">
        <v>-10.040000000000001</v>
      </c>
      <c r="CH245">
        <v>-2.6799999999999997</v>
      </c>
      <c r="CI245">
        <v>-12.440000000000001</v>
      </c>
      <c r="CJ245">
        <v>15</v>
      </c>
      <c r="CK245">
        <v>-0.14479999999999943</v>
      </c>
      <c r="CL245">
        <v>0.90383999999999998</v>
      </c>
      <c r="CM245">
        <v>27.32</v>
      </c>
      <c r="CN245">
        <v>0.14479999999999937</v>
      </c>
      <c r="CO245">
        <v>-0.22659999999999988</v>
      </c>
      <c r="CP245">
        <v>1.3160000000000007</v>
      </c>
      <c r="CQ245">
        <v>30.839999999999996</v>
      </c>
      <c r="CR245">
        <v>-1.9919999999999993</v>
      </c>
      <c r="CS245">
        <v>-6.4799999999999969</v>
      </c>
      <c r="CT245">
        <v>2.44</v>
      </c>
      <c r="CU245">
        <v>-1.6799999999999997</v>
      </c>
      <c r="CV245">
        <v>-0.99776249999999989</v>
      </c>
      <c r="CW245">
        <v>5.2774999999999905E-2</v>
      </c>
      <c r="CX245" t="s">
        <v>305</v>
      </c>
      <c r="CY245">
        <v>32</v>
      </c>
      <c r="CZ245">
        <v>-5.5743999999999998</v>
      </c>
      <c r="DA245">
        <v>4</v>
      </c>
      <c r="DB245">
        <v>5.5</v>
      </c>
      <c r="DC245">
        <v>6</v>
      </c>
      <c r="DD245">
        <v>-1.456</v>
      </c>
      <c r="DE245">
        <v>5</v>
      </c>
      <c r="DF245">
        <v>-9.64</v>
      </c>
      <c r="DG245">
        <v>0.8</v>
      </c>
      <c r="DH245">
        <v>27</v>
      </c>
      <c r="DI245">
        <v>24.5</v>
      </c>
      <c r="DJ245">
        <v>29</v>
      </c>
      <c r="DK245">
        <v>-2.0959999999999996</v>
      </c>
      <c r="DL245">
        <v>20</v>
      </c>
      <c r="DM245">
        <v>-1.6</v>
      </c>
      <c r="DN245">
        <v>-1.1599999999999999</v>
      </c>
      <c r="DO245">
        <v>20</v>
      </c>
      <c r="DP245">
        <v>25</v>
      </c>
      <c r="DQ245">
        <v>27</v>
      </c>
      <c r="DR245">
        <v>-2.6279999999999988</v>
      </c>
      <c r="DS245">
        <v>23</v>
      </c>
      <c r="DT245">
        <v>-7.2000000000000011</v>
      </c>
      <c r="DU245">
        <v>0.52000000000000024</v>
      </c>
      <c r="DV245">
        <v>16</v>
      </c>
      <c r="DW245">
        <v>16</v>
      </c>
      <c r="DX245">
        <v>12</v>
      </c>
      <c r="DY245">
        <v>0.5</v>
      </c>
      <c r="DZ245">
        <v>20</v>
      </c>
      <c r="EA245">
        <v>-0.51999999999999891</v>
      </c>
      <c r="EB245">
        <v>1.9199999999999995</v>
      </c>
      <c r="EC245">
        <v>22</v>
      </c>
      <c r="ED245">
        <v>29</v>
      </c>
      <c r="EE245">
        <v>31</v>
      </c>
      <c r="EF245">
        <v>-2.4679999999999991</v>
      </c>
      <c r="EG245">
        <v>27</v>
      </c>
      <c r="EH245">
        <v>-8.7199999999999989</v>
      </c>
      <c r="EI245">
        <v>-0.59999999999999987</v>
      </c>
      <c r="EJ245">
        <v>26</v>
      </c>
      <c r="EK245">
        <v>26.5</v>
      </c>
      <c r="EL245">
        <v>23</v>
      </c>
      <c r="EM245">
        <v>2.4519999999999991</v>
      </c>
      <c r="EN245">
        <v>30</v>
      </c>
      <c r="EO245">
        <v>-2.680000000000001</v>
      </c>
      <c r="EP245">
        <v>1.9600000000000002</v>
      </c>
      <c r="EQ245">
        <v>31</v>
      </c>
      <c r="ER245">
        <v>30.5</v>
      </c>
      <c r="ES245">
        <v>30</v>
      </c>
      <c r="ET245">
        <v>-1.7439999999999998</v>
      </c>
      <c r="EU245">
        <v>31</v>
      </c>
      <c r="EV245">
        <v>-7.8000000000000016</v>
      </c>
      <c r="EW245">
        <v>-0.11999999999999993</v>
      </c>
      <c r="EX245">
        <v>23</v>
      </c>
      <c r="EY245">
        <v>22.5</v>
      </c>
      <c r="EZ245">
        <v>27</v>
      </c>
      <c r="FA245">
        <v>-0.92000000000000015</v>
      </c>
      <c r="FB245">
        <v>18</v>
      </c>
      <c r="FC245">
        <v>0</v>
      </c>
      <c r="FD245">
        <v>-8.1999999999999993</v>
      </c>
      <c r="FE245">
        <v>5</v>
      </c>
      <c r="FF245">
        <v>9.75</v>
      </c>
      <c r="FG245">
        <v>15</v>
      </c>
      <c r="FH245">
        <v>3.8742054837296688E-2</v>
      </c>
      <c r="FI245">
        <v>8</v>
      </c>
      <c r="FJ245">
        <v>2.6151649183382116E-3</v>
      </c>
      <c r="FK245">
        <v>15</v>
      </c>
      <c r="FL245">
        <v>-8.5480000000000018</v>
      </c>
      <c r="FM245">
        <v>1</v>
      </c>
      <c r="FN245">
        <v>7.4800000000000013</v>
      </c>
      <c r="FO245">
        <v>1.5599999999999994</v>
      </c>
      <c r="FP245">
        <v>-2.88</v>
      </c>
      <c r="FQ245">
        <v>-0.48</v>
      </c>
      <c r="FR245">
        <v>-2.1200000000000019</v>
      </c>
      <c r="FS245">
        <v>-6.16</v>
      </c>
      <c r="FT245">
        <v>-1.28</v>
      </c>
      <c r="FU245">
        <v>-42.279999999999987</v>
      </c>
      <c r="FV245">
        <v>-26.560000000000002</v>
      </c>
      <c r="FW245">
        <v>-11.919999999999998</v>
      </c>
      <c r="FX245">
        <v>-0.96000000000000019</v>
      </c>
      <c r="FY245">
        <v>-2.84</v>
      </c>
      <c r="FZ245">
        <v>23</v>
      </c>
      <c r="GA245">
        <v>-2.0223999999999998</v>
      </c>
      <c r="GB245">
        <v>-0.60687999999999942</v>
      </c>
      <c r="GC245">
        <v>-14.640000000000004</v>
      </c>
      <c r="GD245">
        <v>2.0224000000000002</v>
      </c>
      <c r="GE245">
        <v>-2.0482999999999998</v>
      </c>
      <c r="GF245">
        <v>-4.5959999999999983</v>
      </c>
      <c r="GG245">
        <v>-16.439999999999998</v>
      </c>
      <c r="GH245">
        <v>-3.5519999999999996</v>
      </c>
      <c r="GI245">
        <v>-11.24</v>
      </c>
      <c r="GJ245">
        <v>1.7199999999999998</v>
      </c>
      <c r="GK245">
        <v>-0.35999999999999988</v>
      </c>
    </row>
    <row r="246" spans="1:193" x14ac:dyDescent="0.2">
      <c r="A246" s="39">
        <v>43793</v>
      </c>
      <c r="B246" s="22" t="s">
        <v>242</v>
      </c>
      <c r="C246" s="41" t="s">
        <v>293</v>
      </c>
      <c r="D246" s="22" t="s">
        <v>281</v>
      </c>
      <c r="E246">
        <v>15.1</v>
      </c>
      <c r="F246">
        <v>14.2</v>
      </c>
      <c r="G246">
        <v>9.6999999999999993</v>
      </c>
      <c r="H246">
        <v>11.8</v>
      </c>
      <c r="I246">
        <v>11</v>
      </c>
      <c r="J246">
        <v>45.5</v>
      </c>
      <c r="K246" s="20" t="s">
        <v>109</v>
      </c>
      <c r="L246" s="1" t="s">
        <v>293</v>
      </c>
      <c r="M246">
        <v>12</v>
      </c>
      <c r="N246">
        <v>2.3383999999999991</v>
      </c>
      <c r="O246">
        <v>31</v>
      </c>
      <c r="P246">
        <v>29</v>
      </c>
      <c r="Q246">
        <v>27</v>
      </c>
      <c r="R246">
        <v>-3.3720000000000012</v>
      </c>
      <c r="S246">
        <v>31</v>
      </c>
      <c r="T246">
        <v>-29.279999999999994</v>
      </c>
      <c r="U246">
        <v>0.55999999999999994</v>
      </c>
      <c r="V246">
        <v>26</v>
      </c>
      <c r="W246">
        <v>24.5</v>
      </c>
      <c r="X246">
        <v>23</v>
      </c>
      <c r="Y246">
        <v>-1.7159999999999997</v>
      </c>
      <c r="Z246">
        <v>26</v>
      </c>
      <c r="AA246">
        <v>-7.44</v>
      </c>
      <c r="AB246">
        <v>-0.51999999999999991</v>
      </c>
      <c r="AC246">
        <v>1</v>
      </c>
      <c r="AD246">
        <v>1.5</v>
      </c>
      <c r="AE246">
        <v>2</v>
      </c>
      <c r="AF246">
        <v>2.5620000000000003</v>
      </c>
      <c r="AG246">
        <v>1</v>
      </c>
      <c r="AH246">
        <v>16.660000000000004</v>
      </c>
      <c r="AI246">
        <v>0.55000000000000016</v>
      </c>
      <c r="AJ246">
        <v>18</v>
      </c>
      <c r="AK246">
        <v>18.5</v>
      </c>
      <c r="AL246">
        <v>18</v>
      </c>
      <c r="AM246">
        <v>-1.6079999999999999</v>
      </c>
      <c r="AN246">
        <v>19</v>
      </c>
      <c r="AO246">
        <v>-7.3199999999999985</v>
      </c>
      <c r="AP246">
        <v>-0.31999999999999995</v>
      </c>
      <c r="AQ246">
        <v>5</v>
      </c>
      <c r="AR246">
        <v>5.5</v>
      </c>
      <c r="AS246">
        <v>4</v>
      </c>
      <c r="AT246">
        <v>3.7479999999999998</v>
      </c>
      <c r="AU246">
        <v>7</v>
      </c>
      <c r="AV246">
        <v>5.4</v>
      </c>
      <c r="AW246">
        <v>0.43999999999999984</v>
      </c>
      <c r="AX246">
        <v>1</v>
      </c>
      <c r="AY246">
        <v>1</v>
      </c>
      <c r="AZ246">
        <v>1</v>
      </c>
      <c r="BA246">
        <v>5.5079999999999991</v>
      </c>
      <c r="BB246">
        <v>1</v>
      </c>
      <c r="BC246">
        <v>21.480000000000004</v>
      </c>
      <c r="BD246">
        <v>4.2799999999999994</v>
      </c>
      <c r="BE246">
        <v>10</v>
      </c>
      <c r="BF246">
        <v>11</v>
      </c>
      <c r="BG246">
        <v>12</v>
      </c>
      <c r="BH246">
        <v>-0.8360000000000003</v>
      </c>
      <c r="BI246">
        <v>-1.2400000000000007</v>
      </c>
      <c r="BJ246">
        <v>0.27999999999999992</v>
      </c>
      <c r="BK246">
        <v>13</v>
      </c>
      <c r="BL246">
        <v>12</v>
      </c>
      <c r="BM246">
        <v>3</v>
      </c>
      <c r="BN246">
        <v>0.12000000000000002</v>
      </c>
      <c r="BO246">
        <v>21</v>
      </c>
      <c r="BP246">
        <v>-0.55999999999999994</v>
      </c>
      <c r="BQ246">
        <v>-2.4</v>
      </c>
      <c r="BR246">
        <v>16</v>
      </c>
      <c r="BS246">
        <v>14.5</v>
      </c>
      <c r="BT246">
        <v>12</v>
      </c>
      <c r="BU246">
        <v>7.7048958308870985E-3</v>
      </c>
      <c r="BV246">
        <v>10</v>
      </c>
      <c r="BW246">
        <v>1.2999234356601951E-2</v>
      </c>
      <c r="BX246">
        <v>14</v>
      </c>
      <c r="BY246">
        <v>-2.5440000000000014</v>
      </c>
      <c r="BZ246">
        <v>22</v>
      </c>
      <c r="CA246">
        <v>-0.40000000000000019</v>
      </c>
      <c r="CB246">
        <v>1.4000000000000015</v>
      </c>
      <c r="CC246">
        <v>1.6</v>
      </c>
      <c r="CD246">
        <v>0.36</v>
      </c>
      <c r="CE246">
        <v>-13.960000000000003</v>
      </c>
      <c r="CF246">
        <v>15.960000000000003</v>
      </c>
      <c r="CG246">
        <v>-35.4</v>
      </c>
      <c r="CH246">
        <v>-4.0000000000000216E-2</v>
      </c>
      <c r="CI246">
        <v>5.5200000000000005</v>
      </c>
      <c r="CJ246">
        <v>4</v>
      </c>
      <c r="CK246">
        <v>7.4263999999999992</v>
      </c>
      <c r="CL246">
        <v>3.7848800000000002</v>
      </c>
      <c r="CM246">
        <v>51.36</v>
      </c>
      <c r="CN246">
        <v>-7.4264000000000001</v>
      </c>
      <c r="CO246">
        <v>0.15454999999999977</v>
      </c>
      <c r="CP246">
        <v>4.702</v>
      </c>
      <c r="CQ246">
        <v>14.740000000000006</v>
      </c>
      <c r="CR246">
        <v>-5.088000000000001</v>
      </c>
      <c r="CS246">
        <v>-36.719999999999992</v>
      </c>
      <c r="CT246">
        <v>0.95</v>
      </c>
      <c r="CU246">
        <v>4.0000000000000036E-2</v>
      </c>
      <c r="CV246">
        <v>1.2338500000000001</v>
      </c>
      <c r="CW246">
        <v>2.3661250000000003</v>
      </c>
      <c r="CX246" t="s">
        <v>281</v>
      </c>
      <c r="CY246">
        <v>11</v>
      </c>
      <c r="CZ246">
        <v>3.7456000000000005</v>
      </c>
      <c r="DA246">
        <v>19</v>
      </c>
      <c r="DB246">
        <v>20</v>
      </c>
      <c r="DC246">
        <v>20</v>
      </c>
      <c r="DD246">
        <v>-1.1880000000000002</v>
      </c>
      <c r="DE246">
        <v>20</v>
      </c>
      <c r="DF246">
        <v>-2.4800000000000026</v>
      </c>
      <c r="DG246">
        <v>-0.52</v>
      </c>
      <c r="DH246">
        <v>25</v>
      </c>
      <c r="DI246">
        <v>22.5</v>
      </c>
      <c r="DJ246">
        <v>19</v>
      </c>
      <c r="DK246">
        <v>-1.2959999999999996</v>
      </c>
      <c r="DL246">
        <v>26</v>
      </c>
      <c r="DM246">
        <v>-9.52</v>
      </c>
      <c r="DN246">
        <v>-0.36000000000000004</v>
      </c>
      <c r="DO246">
        <v>10</v>
      </c>
      <c r="DP246">
        <v>12</v>
      </c>
      <c r="DQ246">
        <v>13</v>
      </c>
      <c r="DR246">
        <v>1.839</v>
      </c>
      <c r="DS246">
        <v>11</v>
      </c>
      <c r="DT246">
        <v>1.1000000000000014</v>
      </c>
      <c r="DU246">
        <v>0</v>
      </c>
      <c r="DV246">
        <v>21</v>
      </c>
      <c r="DW246">
        <v>22</v>
      </c>
      <c r="DX246">
        <v>21</v>
      </c>
      <c r="DY246">
        <v>-2.5799999999999996</v>
      </c>
      <c r="DZ246">
        <v>23</v>
      </c>
      <c r="EA246">
        <v>-6.7600000000000007</v>
      </c>
      <c r="EB246">
        <v>-0.48000000000000009</v>
      </c>
      <c r="EC246">
        <v>21</v>
      </c>
      <c r="ED246">
        <v>19.5</v>
      </c>
      <c r="EE246">
        <v>19</v>
      </c>
      <c r="EF246">
        <v>-0.96</v>
      </c>
      <c r="EG246">
        <v>20</v>
      </c>
      <c r="EH246">
        <v>-0.19999999999999929</v>
      </c>
      <c r="EI246">
        <v>0.64000000000000012</v>
      </c>
      <c r="EJ246">
        <v>10</v>
      </c>
      <c r="EK246">
        <v>11.5</v>
      </c>
      <c r="EL246">
        <v>12</v>
      </c>
      <c r="EM246">
        <v>3.84</v>
      </c>
      <c r="EN246">
        <v>11</v>
      </c>
      <c r="EO246">
        <v>8.4</v>
      </c>
      <c r="EP246">
        <v>-0.44000000000000006</v>
      </c>
      <c r="EQ246">
        <v>4</v>
      </c>
      <c r="ER246">
        <v>4</v>
      </c>
      <c r="ES246">
        <v>5</v>
      </c>
      <c r="ET246">
        <v>3.411999999999999</v>
      </c>
      <c r="EU246">
        <v>3</v>
      </c>
      <c r="EV246">
        <v>19.52</v>
      </c>
      <c r="EW246">
        <v>-7.9999999999999891E-2</v>
      </c>
      <c r="EX246">
        <v>29</v>
      </c>
      <c r="EY246">
        <v>27</v>
      </c>
      <c r="EZ246">
        <v>30</v>
      </c>
      <c r="FA246">
        <v>-2.1599999999999997</v>
      </c>
      <c r="FB246">
        <v>24</v>
      </c>
      <c r="FC246">
        <v>-0.2</v>
      </c>
      <c r="FD246">
        <v>-3.2800000000000002</v>
      </c>
      <c r="FE246">
        <v>9</v>
      </c>
      <c r="FF246">
        <v>12.5</v>
      </c>
      <c r="FG246">
        <v>8</v>
      </c>
      <c r="FH246">
        <v>5.0962088850609377E-2</v>
      </c>
      <c r="FI246">
        <v>16</v>
      </c>
      <c r="FJ246">
        <v>4.5602738650104809E-3</v>
      </c>
      <c r="FK246">
        <v>7</v>
      </c>
      <c r="FL246">
        <v>-6.9880000000000022</v>
      </c>
      <c r="FM246">
        <v>19</v>
      </c>
      <c r="FN246">
        <v>-0.8</v>
      </c>
      <c r="FO246">
        <v>0.75999999999999945</v>
      </c>
      <c r="FP246">
        <v>-5.08</v>
      </c>
      <c r="FQ246">
        <v>8.0000000000000071E-2</v>
      </c>
      <c r="FR246">
        <v>-3.680000000000001</v>
      </c>
      <c r="FS246">
        <v>-0.12000000000000029</v>
      </c>
      <c r="FT246">
        <v>0.44000000000000011</v>
      </c>
      <c r="FU246">
        <v>3.280000000000018</v>
      </c>
      <c r="FV246">
        <v>13.439999999999998</v>
      </c>
      <c r="FW246">
        <v>-14.52</v>
      </c>
      <c r="FX246">
        <v>-1.6800000000000002</v>
      </c>
      <c r="FY246">
        <v>6.04</v>
      </c>
      <c r="FZ246">
        <v>5</v>
      </c>
      <c r="GA246">
        <v>6.2295999999999996</v>
      </c>
      <c r="GB246">
        <v>2.3333200000000001</v>
      </c>
      <c r="GC246">
        <v>27.959999999999997</v>
      </c>
      <c r="GD246">
        <v>-6.2296000000000005</v>
      </c>
      <c r="GE246">
        <v>0.10157500000000008</v>
      </c>
      <c r="GF246">
        <v>-1.7009999999999996</v>
      </c>
      <c r="GG246">
        <v>-5.8599999999999985</v>
      </c>
      <c r="GH246">
        <v>-2.484</v>
      </c>
      <c r="GI246">
        <v>-12.000000000000002</v>
      </c>
      <c r="GJ246">
        <v>8.000000000000014E-2</v>
      </c>
      <c r="GK246">
        <v>-0.88000000000000012</v>
      </c>
    </row>
    <row r="247" spans="1:193" x14ac:dyDescent="0.2">
      <c r="A247" s="39">
        <v>43793</v>
      </c>
      <c r="B247" s="22" t="s">
        <v>242</v>
      </c>
      <c r="C247" s="41" t="s">
        <v>302</v>
      </c>
      <c r="D247" s="22" t="s">
        <v>291</v>
      </c>
      <c r="E247">
        <v>17.3</v>
      </c>
      <c r="F247">
        <v>11.4</v>
      </c>
      <c r="G247">
        <v>8</v>
      </c>
      <c r="H247">
        <v>1.5</v>
      </c>
      <c r="I247">
        <v>-5.5</v>
      </c>
      <c r="J247">
        <v>44.5</v>
      </c>
      <c r="K247" t="s">
        <v>109</v>
      </c>
      <c r="L247" s="1" t="s">
        <v>302</v>
      </c>
      <c r="M247">
        <v>23</v>
      </c>
      <c r="N247">
        <v>-3.0671999999999997</v>
      </c>
      <c r="O247">
        <v>27</v>
      </c>
      <c r="P247">
        <v>25</v>
      </c>
      <c r="Q247">
        <v>32</v>
      </c>
      <c r="R247">
        <v>-2.9080000000000004</v>
      </c>
      <c r="S247">
        <v>18</v>
      </c>
      <c r="T247">
        <v>0.440000000000002</v>
      </c>
      <c r="U247">
        <v>-1.9600000000000002</v>
      </c>
      <c r="V247">
        <v>12</v>
      </c>
      <c r="W247">
        <v>11.5</v>
      </c>
      <c r="X247">
        <v>5</v>
      </c>
      <c r="Y247">
        <v>5.3879999999999999</v>
      </c>
      <c r="Z247">
        <v>18</v>
      </c>
      <c r="AA247">
        <v>-8.9600000000000009</v>
      </c>
      <c r="AB247">
        <v>3.4</v>
      </c>
      <c r="AC247">
        <v>4</v>
      </c>
      <c r="AD247">
        <v>4</v>
      </c>
      <c r="AE247">
        <v>3</v>
      </c>
      <c r="AF247">
        <v>4.581999999999999</v>
      </c>
      <c r="AG247">
        <v>5</v>
      </c>
      <c r="AH247">
        <v>9.98</v>
      </c>
      <c r="AI247">
        <v>3.1100000000000003</v>
      </c>
      <c r="AJ247">
        <v>14</v>
      </c>
      <c r="AK247">
        <v>14</v>
      </c>
      <c r="AL247">
        <v>15</v>
      </c>
      <c r="AM247">
        <v>0.60799999999999998</v>
      </c>
      <c r="AN247">
        <v>13</v>
      </c>
      <c r="AO247">
        <v>0.64000000000000057</v>
      </c>
      <c r="AP247">
        <v>1.0399999999999998</v>
      </c>
      <c r="AQ247">
        <v>16</v>
      </c>
      <c r="AR247">
        <v>16</v>
      </c>
      <c r="AS247">
        <v>13</v>
      </c>
      <c r="AT247">
        <v>2.3080000000000003</v>
      </c>
      <c r="AU247">
        <v>19</v>
      </c>
      <c r="AV247">
        <v>4.88</v>
      </c>
      <c r="AW247">
        <v>1.1199999999999999</v>
      </c>
      <c r="AX247">
        <v>4</v>
      </c>
      <c r="AY247">
        <v>4.5</v>
      </c>
      <c r="AZ247">
        <v>2</v>
      </c>
      <c r="BA247">
        <v>4.8519999999999994</v>
      </c>
      <c r="BB247">
        <v>7</v>
      </c>
      <c r="BC247">
        <v>11.32</v>
      </c>
      <c r="BD247">
        <v>4.8800000000000008</v>
      </c>
      <c r="BE247">
        <v>25</v>
      </c>
      <c r="BF247">
        <v>25.5</v>
      </c>
      <c r="BG247">
        <v>28</v>
      </c>
      <c r="BH247">
        <v>-4.2480000000000002</v>
      </c>
      <c r="BI247">
        <v>-14</v>
      </c>
      <c r="BJ247">
        <v>-1.8800000000000003</v>
      </c>
      <c r="BK247">
        <v>2</v>
      </c>
      <c r="BL247">
        <v>5</v>
      </c>
      <c r="BM247">
        <v>8</v>
      </c>
      <c r="BN247">
        <v>2.2399999999999998</v>
      </c>
      <c r="BO247">
        <v>2</v>
      </c>
      <c r="BP247">
        <v>0.87999999999999989</v>
      </c>
      <c r="BQ247">
        <v>8.76</v>
      </c>
      <c r="BR247">
        <v>27</v>
      </c>
      <c r="BS247">
        <v>23.25</v>
      </c>
      <c r="BT247">
        <v>23</v>
      </c>
      <c r="BU247">
        <v>-4.2842351852465529E-2</v>
      </c>
      <c r="BV247">
        <v>26</v>
      </c>
      <c r="BW247">
        <v>-4.349826192346886E-2</v>
      </c>
      <c r="BX247">
        <v>23</v>
      </c>
      <c r="BY247">
        <v>2.8159999999999967</v>
      </c>
      <c r="BZ247">
        <v>21</v>
      </c>
      <c r="CA247">
        <v>-4.4000000000000004</v>
      </c>
      <c r="CB247">
        <v>7.8800000000000008</v>
      </c>
      <c r="CC247">
        <v>2.3999999999999995</v>
      </c>
      <c r="CD247">
        <v>1.36</v>
      </c>
      <c r="CE247">
        <v>7.0799999999999956</v>
      </c>
      <c r="CF247">
        <v>22.6</v>
      </c>
      <c r="CG247">
        <v>1.4</v>
      </c>
      <c r="CH247">
        <v>2.4</v>
      </c>
      <c r="CI247">
        <v>-19.32</v>
      </c>
      <c r="CJ247">
        <v>27</v>
      </c>
      <c r="CK247">
        <v>-5.5471999999999992</v>
      </c>
      <c r="CL247">
        <v>-1.2034399999999998</v>
      </c>
      <c r="CM247">
        <v>21.200000000000003</v>
      </c>
      <c r="CN247">
        <v>5.5471999999999992</v>
      </c>
      <c r="CO247">
        <v>0.61284999999999967</v>
      </c>
      <c r="CP247">
        <v>7.4979999999999993</v>
      </c>
      <c r="CQ247">
        <v>15.5</v>
      </c>
      <c r="CR247">
        <v>2.4799999999999995</v>
      </c>
      <c r="CS247">
        <v>-8.52</v>
      </c>
      <c r="CT247">
        <v>3.39</v>
      </c>
      <c r="CU247">
        <v>1.4399999999999997</v>
      </c>
      <c r="CV247">
        <v>-2.9069750000000005</v>
      </c>
      <c r="CW247">
        <v>-4.1237750000000011</v>
      </c>
      <c r="CX247" t="s">
        <v>291</v>
      </c>
      <c r="CY247">
        <v>19</v>
      </c>
      <c r="CZ247">
        <v>-2.3407999999999984</v>
      </c>
      <c r="DA247">
        <v>6</v>
      </c>
      <c r="DB247">
        <v>8</v>
      </c>
      <c r="DC247">
        <v>4</v>
      </c>
      <c r="DD247">
        <v>0.84840000000000015</v>
      </c>
      <c r="DE247">
        <v>12</v>
      </c>
      <c r="DF247">
        <v>3.7200000000000015</v>
      </c>
      <c r="DG247">
        <v>-0.3999999999999998</v>
      </c>
      <c r="DH247">
        <v>22</v>
      </c>
      <c r="DI247">
        <v>19</v>
      </c>
      <c r="DJ247">
        <v>24</v>
      </c>
      <c r="DK247">
        <v>-1.9879999999999995</v>
      </c>
      <c r="DL247">
        <v>14</v>
      </c>
      <c r="DM247">
        <v>3.3200000000000003</v>
      </c>
      <c r="DN247">
        <v>0.2</v>
      </c>
      <c r="DO247">
        <v>26</v>
      </c>
      <c r="DP247">
        <v>29.5</v>
      </c>
      <c r="DQ247">
        <v>30</v>
      </c>
      <c r="DR247">
        <v>-5.6659999999999986</v>
      </c>
      <c r="DS247">
        <v>29</v>
      </c>
      <c r="DT247">
        <v>-16.100000000000001</v>
      </c>
      <c r="DU247">
        <v>-1.32</v>
      </c>
      <c r="DV247">
        <v>15</v>
      </c>
      <c r="DW247">
        <v>14</v>
      </c>
      <c r="DX247">
        <v>13</v>
      </c>
      <c r="DY247">
        <v>-2.4370000000000007</v>
      </c>
      <c r="DZ247">
        <v>15</v>
      </c>
      <c r="EA247">
        <v>-14.860000000000003</v>
      </c>
      <c r="EB247">
        <v>-1.6600000000000001</v>
      </c>
      <c r="EC247">
        <v>19</v>
      </c>
      <c r="ED247">
        <v>10.5</v>
      </c>
      <c r="EE247">
        <v>9</v>
      </c>
      <c r="EF247">
        <v>-0.19800000000000023</v>
      </c>
      <c r="EG247">
        <v>12</v>
      </c>
      <c r="EH247">
        <v>-2.9800000000000004</v>
      </c>
      <c r="EI247">
        <v>0.45</v>
      </c>
      <c r="EJ247">
        <v>8</v>
      </c>
      <c r="EK247">
        <v>8.5</v>
      </c>
      <c r="EL247">
        <v>10</v>
      </c>
      <c r="EM247">
        <v>1.0658141036401502E-15</v>
      </c>
      <c r="EN247">
        <v>7</v>
      </c>
      <c r="EO247">
        <v>4.7999999999999972</v>
      </c>
      <c r="EP247">
        <v>-0.68000000000000027</v>
      </c>
      <c r="EQ247">
        <v>27</v>
      </c>
      <c r="ER247">
        <v>26</v>
      </c>
      <c r="ES247">
        <v>22</v>
      </c>
      <c r="ET247">
        <v>-2.3400000000000016</v>
      </c>
      <c r="EU247">
        <v>30</v>
      </c>
      <c r="EV247">
        <v>-11.732799999999999</v>
      </c>
      <c r="EW247">
        <v>-1.1199999999999999</v>
      </c>
      <c r="EX247">
        <v>7</v>
      </c>
      <c r="EY247">
        <v>7</v>
      </c>
      <c r="EZ247">
        <v>10</v>
      </c>
      <c r="FA247">
        <v>0.6</v>
      </c>
      <c r="FB247">
        <v>4</v>
      </c>
      <c r="FC247">
        <v>0.40000000000000008</v>
      </c>
      <c r="FD247">
        <v>-4.5200000000000005</v>
      </c>
      <c r="FE247">
        <v>15</v>
      </c>
      <c r="FF247">
        <v>15.75</v>
      </c>
      <c r="FG247">
        <v>7</v>
      </c>
      <c r="FH247">
        <v>2.9796157057883299E-2</v>
      </c>
      <c r="FI247">
        <v>7</v>
      </c>
      <c r="FJ247">
        <v>1.0617288655289797E-4</v>
      </c>
      <c r="FK247">
        <v>28</v>
      </c>
      <c r="FL247">
        <v>6.5279999999999969</v>
      </c>
      <c r="FM247">
        <v>21</v>
      </c>
      <c r="FN247">
        <v>0.44000000000000022</v>
      </c>
      <c r="FO247">
        <v>-4.4400000000000004</v>
      </c>
      <c r="FP247">
        <v>0.56000000000000016</v>
      </c>
      <c r="FQ247">
        <v>0.8</v>
      </c>
      <c r="FR247">
        <v>-3.2800000000000038</v>
      </c>
      <c r="FS247">
        <v>-1.9199999999999995</v>
      </c>
      <c r="FT247">
        <v>-0.91999999999999993</v>
      </c>
      <c r="FU247">
        <v>-35.879999999999995</v>
      </c>
      <c r="FV247">
        <v>-47.92</v>
      </c>
      <c r="FW247">
        <v>4.24</v>
      </c>
      <c r="FX247">
        <v>-0.64000000000000012</v>
      </c>
      <c r="FY247">
        <v>8.4400000000000013</v>
      </c>
      <c r="FZ247">
        <v>21</v>
      </c>
      <c r="GA247">
        <v>-1.2011999999999992</v>
      </c>
      <c r="GB247">
        <v>-2.0265599999999999</v>
      </c>
      <c r="GC247">
        <v>-52.160000000000004</v>
      </c>
      <c r="GD247">
        <v>1.2011999999999992</v>
      </c>
      <c r="GE247">
        <v>-1.690175</v>
      </c>
      <c r="GF247">
        <v>-8.3010000000000002</v>
      </c>
      <c r="GG247">
        <v>-33.940000000000005</v>
      </c>
      <c r="GH247">
        <v>-1.1395999999999993</v>
      </c>
      <c r="GI247">
        <v>7.0400000000000018</v>
      </c>
      <c r="GJ247">
        <v>-3.6500000000000004</v>
      </c>
      <c r="GK247">
        <v>-0.19999999999999979</v>
      </c>
    </row>
    <row r="248" spans="1:193" x14ac:dyDescent="0.2">
      <c r="A248" s="39">
        <v>43793</v>
      </c>
      <c r="B248" s="22" t="s">
        <v>242</v>
      </c>
      <c r="C248" s="41" t="s">
        <v>307</v>
      </c>
      <c r="D248" s="22" t="s">
        <v>301</v>
      </c>
      <c r="E248">
        <v>29.1</v>
      </c>
      <c r="F248">
        <v>8.3000000000000007</v>
      </c>
      <c r="G248">
        <v>5.8</v>
      </c>
      <c r="H248">
        <v>24.1</v>
      </c>
      <c r="I248">
        <v>-10</v>
      </c>
      <c r="J248">
        <v>46</v>
      </c>
      <c r="L248" s="1" t="s">
        <v>307</v>
      </c>
      <c r="M248">
        <v>11</v>
      </c>
      <c r="N248">
        <v>3.0920000000000019</v>
      </c>
      <c r="O248">
        <v>8</v>
      </c>
      <c r="P248">
        <v>8.5</v>
      </c>
      <c r="Q248">
        <v>5</v>
      </c>
      <c r="R248">
        <v>9.2880000000000003</v>
      </c>
      <c r="S248">
        <v>12</v>
      </c>
      <c r="T248">
        <v>15.52</v>
      </c>
      <c r="U248">
        <v>4.76</v>
      </c>
      <c r="V248">
        <v>16</v>
      </c>
      <c r="W248">
        <v>15</v>
      </c>
      <c r="X248">
        <v>15</v>
      </c>
      <c r="Y248">
        <v>0.44000000000000006</v>
      </c>
      <c r="Z248">
        <v>15</v>
      </c>
      <c r="AA248">
        <v>5.3600000000000012</v>
      </c>
      <c r="AB248">
        <v>8.0000000000000029E-2</v>
      </c>
      <c r="AC248">
        <v>5</v>
      </c>
      <c r="AD248">
        <v>5.5</v>
      </c>
      <c r="AE248">
        <v>4</v>
      </c>
      <c r="AF248">
        <v>11.276</v>
      </c>
      <c r="AG248">
        <v>7</v>
      </c>
      <c r="AH248">
        <v>43.320000000000007</v>
      </c>
      <c r="AI248">
        <v>2.4</v>
      </c>
      <c r="AJ248">
        <v>32</v>
      </c>
      <c r="AK248">
        <v>32</v>
      </c>
      <c r="AL248">
        <v>32</v>
      </c>
      <c r="AM248">
        <v>-8.8079999999999981</v>
      </c>
      <c r="AN248">
        <v>32</v>
      </c>
      <c r="AO248">
        <v>-34.4</v>
      </c>
      <c r="AP248">
        <v>-3.1599999999999997</v>
      </c>
      <c r="AQ248">
        <v>29</v>
      </c>
      <c r="AR248">
        <v>29</v>
      </c>
      <c r="AS248">
        <v>28</v>
      </c>
      <c r="AT248">
        <v>-3.8920000000000003</v>
      </c>
      <c r="AU248">
        <v>30</v>
      </c>
      <c r="AV248">
        <v>-21.240000000000002</v>
      </c>
      <c r="AW248">
        <v>-0.68</v>
      </c>
      <c r="AX248">
        <v>28</v>
      </c>
      <c r="AY248">
        <v>28</v>
      </c>
      <c r="AZ248">
        <v>28</v>
      </c>
      <c r="BA248">
        <v>-4.3079999999999998</v>
      </c>
      <c r="BB248">
        <v>28</v>
      </c>
      <c r="BC248">
        <v>-29.080000000000002</v>
      </c>
      <c r="BD248">
        <v>-2.2400000000000002</v>
      </c>
      <c r="BE248">
        <v>4</v>
      </c>
      <c r="BF248">
        <v>4.5</v>
      </c>
      <c r="BG248">
        <v>5</v>
      </c>
      <c r="BH248">
        <v>2.14</v>
      </c>
      <c r="BI248">
        <v>11.8</v>
      </c>
      <c r="BJ248">
        <v>0.47999999999999987</v>
      </c>
      <c r="BK248">
        <v>4</v>
      </c>
      <c r="BL248">
        <v>7</v>
      </c>
      <c r="BM248">
        <v>4</v>
      </c>
      <c r="BN248">
        <v>1.7600000000000002</v>
      </c>
      <c r="BO248">
        <v>10</v>
      </c>
      <c r="BP248">
        <v>0.55999999999999994</v>
      </c>
      <c r="BQ248">
        <v>-0.96000000000000019</v>
      </c>
      <c r="BR248">
        <v>32</v>
      </c>
      <c r="BS248">
        <v>29.5</v>
      </c>
      <c r="BT248">
        <v>30</v>
      </c>
      <c r="BU248">
        <v>-5.6249299717306481E-2</v>
      </c>
      <c r="BV248">
        <v>28</v>
      </c>
      <c r="BW248">
        <v>-1.9710926131177375E-2</v>
      </c>
      <c r="BX248">
        <v>31</v>
      </c>
      <c r="BY248">
        <v>15.455999999999998</v>
      </c>
      <c r="BZ248">
        <v>29</v>
      </c>
      <c r="CA248">
        <v>-1.56</v>
      </c>
      <c r="CB248">
        <v>2.2000000000000002</v>
      </c>
      <c r="CC248">
        <v>2.4799999999999991</v>
      </c>
      <c r="CD248">
        <v>0.11999999999999993</v>
      </c>
      <c r="CE248">
        <v>38.280000000000008</v>
      </c>
      <c r="CF248">
        <v>23.600000000000005</v>
      </c>
      <c r="CG248">
        <v>22.4</v>
      </c>
      <c r="CH248">
        <v>-3.4</v>
      </c>
      <c r="CI248">
        <v>-4.32</v>
      </c>
      <c r="CJ248">
        <v>28</v>
      </c>
      <c r="CK248">
        <v>-6.6359999999999983</v>
      </c>
      <c r="CL248">
        <v>-4.1023999999999994</v>
      </c>
      <c r="CM248">
        <v>1.2000000000000064</v>
      </c>
      <c r="CN248">
        <v>6.6359999999999975</v>
      </c>
      <c r="CO248">
        <v>1.9120000000000006</v>
      </c>
      <c r="CP248">
        <v>-1.4239999999999986</v>
      </c>
      <c r="CQ248">
        <v>-12.319999999999993</v>
      </c>
      <c r="CR248">
        <v>9.7279999999999998</v>
      </c>
      <c r="CS248">
        <v>20.880000000000003</v>
      </c>
      <c r="CT248">
        <v>-0.96000000000000008</v>
      </c>
      <c r="CU248">
        <v>4.84</v>
      </c>
      <c r="CV248">
        <v>0.14551250000000024</v>
      </c>
      <c r="CW248">
        <v>-0.15247499999999986</v>
      </c>
      <c r="CX248" t="s">
        <v>301</v>
      </c>
      <c r="CY248">
        <v>14</v>
      </c>
      <c r="CZ248">
        <v>-2.3159999999999998</v>
      </c>
      <c r="DA248">
        <v>7</v>
      </c>
      <c r="DB248">
        <v>10</v>
      </c>
      <c r="DC248">
        <v>5</v>
      </c>
      <c r="DD248">
        <v>4.492</v>
      </c>
      <c r="DE248">
        <v>15</v>
      </c>
      <c r="DF248">
        <v>5.24</v>
      </c>
      <c r="DG248">
        <v>-0.96</v>
      </c>
      <c r="DH248">
        <v>2</v>
      </c>
      <c r="DI248">
        <v>3</v>
      </c>
      <c r="DJ248">
        <v>4</v>
      </c>
      <c r="DK248">
        <v>0.44800000000000023</v>
      </c>
      <c r="DL248">
        <v>2</v>
      </c>
      <c r="DM248">
        <v>12.720000000000002</v>
      </c>
      <c r="DN248">
        <v>-0.8</v>
      </c>
      <c r="DO248">
        <v>20</v>
      </c>
      <c r="DP248">
        <v>16.5</v>
      </c>
      <c r="DQ248">
        <v>16</v>
      </c>
      <c r="DR248">
        <v>-0.72399999999999953</v>
      </c>
      <c r="DS248">
        <v>17</v>
      </c>
      <c r="DT248">
        <v>-8.1599999999999966</v>
      </c>
      <c r="DU248">
        <v>-0.44000000000000006</v>
      </c>
      <c r="DV248">
        <v>7</v>
      </c>
      <c r="DW248">
        <v>6.5</v>
      </c>
      <c r="DX248">
        <v>8</v>
      </c>
      <c r="DY248">
        <v>4.1720000000000015</v>
      </c>
      <c r="DZ248">
        <v>5</v>
      </c>
      <c r="EA248">
        <v>16.759999999999998</v>
      </c>
      <c r="EB248">
        <v>0.35999999999999976</v>
      </c>
      <c r="EC248">
        <v>11</v>
      </c>
      <c r="ED248">
        <v>7.5</v>
      </c>
      <c r="EE248">
        <v>12</v>
      </c>
      <c r="EF248">
        <v>-0.16799999999999979</v>
      </c>
      <c r="EG248">
        <v>3</v>
      </c>
      <c r="EH248">
        <v>6.56</v>
      </c>
      <c r="EI248">
        <v>-8.0000000000000029E-2</v>
      </c>
      <c r="EJ248">
        <v>18</v>
      </c>
      <c r="EK248">
        <v>18</v>
      </c>
      <c r="EL248">
        <v>22</v>
      </c>
      <c r="EM248">
        <v>-3.9560000000000004</v>
      </c>
      <c r="EN248">
        <v>14</v>
      </c>
      <c r="EO248">
        <v>-7.56</v>
      </c>
      <c r="EP248">
        <v>-0.64000000000000024</v>
      </c>
      <c r="EQ248">
        <v>12</v>
      </c>
      <c r="ER248">
        <v>13</v>
      </c>
      <c r="ES248">
        <v>20</v>
      </c>
      <c r="ET248">
        <v>-2.3959999999999999</v>
      </c>
      <c r="EU248">
        <v>6</v>
      </c>
      <c r="EV248">
        <v>2.2000000000000002</v>
      </c>
      <c r="EW248">
        <v>-0.56000000000000016</v>
      </c>
      <c r="EX248">
        <v>10</v>
      </c>
      <c r="EY248">
        <v>11.5</v>
      </c>
      <c r="EZ248">
        <v>16</v>
      </c>
      <c r="FA248">
        <v>4.0000000000000036E-2</v>
      </c>
      <c r="FB248">
        <v>7</v>
      </c>
      <c r="FC248">
        <v>0.28000000000000003</v>
      </c>
      <c r="FD248">
        <v>4.3600000000000003</v>
      </c>
      <c r="FE248">
        <v>18</v>
      </c>
      <c r="FF248">
        <v>16.25</v>
      </c>
      <c r="FG248">
        <v>18</v>
      </c>
      <c r="FH248">
        <v>-3.5518719973755261E-2</v>
      </c>
      <c r="FI248">
        <v>16</v>
      </c>
      <c r="FJ248">
        <v>6.4750453779864135E-3</v>
      </c>
      <c r="FK248">
        <v>8</v>
      </c>
      <c r="FL248">
        <v>-0.38800000000000096</v>
      </c>
      <c r="FM248">
        <v>23</v>
      </c>
      <c r="FN248">
        <v>-1.5199999999999998</v>
      </c>
      <c r="FO248">
        <v>-3.2000000000000015</v>
      </c>
      <c r="FP248">
        <v>2.04</v>
      </c>
      <c r="FQ248">
        <v>-0.64</v>
      </c>
      <c r="FR248">
        <v>-1.6800000000000026</v>
      </c>
      <c r="FS248">
        <v>5.7200000000000006</v>
      </c>
      <c r="FT248">
        <v>-7.9999999999999988E-2</v>
      </c>
      <c r="FU248">
        <v>21.919999999999995</v>
      </c>
      <c r="FV248">
        <v>-5.3999999999999941</v>
      </c>
      <c r="FW248">
        <v>26.8</v>
      </c>
      <c r="FX248">
        <v>2.08</v>
      </c>
      <c r="FY248">
        <v>-1.5599999999999998</v>
      </c>
      <c r="FZ248">
        <v>29</v>
      </c>
      <c r="GA248">
        <v>-7.2560000000000002</v>
      </c>
      <c r="GB248">
        <v>-2.7563999999999997</v>
      </c>
      <c r="GC248">
        <v>-32.199999999999996</v>
      </c>
      <c r="GD248">
        <v>7.2560000000000002</v>
      </c>
      <c r="GE248">
        <v>0.44350000000000034</v>
      </c>
      <c r="GF248">
        <v>3.2800000000000025</v>
      </c>
      <c r="GG248">
        <v>15.16</v>
      </c>
      <c r="GH248">
        <v>4.9400000000000004</v>
      </c>
      <c r="GI248">
        <v>17.96</v>
      </c>
      <c r="GJ248">
        <v>-0.72000000000000042</v>
      </c>
      <c r="GK248">
        <v>-1.76</v>
      </c>
    </row>
    <row r="249" spans="1:193" x14ac:dyDescent="0.2">
      <c r="A249" s="39">
        <v>43793</v>
      </c>
      <c r="B249" s="22" t="s">
        <v>242</v>
      </c>
      <c r="C249" s="41" t="s">
        <v>296</v>
      </c>
      <c r="D249" s="22" t="s">
        <v>265</v>
      </c>
      <c r="E249">
        <v>8.6999999999999993</v>
      </c>
      <c r="F249">
        <v>12.3</v>
      </c>
      <c r="G249">
        <v>10.7</v>
      </c>
      <c r="H249">
        <v>14.7</v>
      </c>
      <c r="I249">
        <v>6</v>
      </c>
      <c r="J249">
        <v>41</v>
      </c>
      <c r="L249" s="1" t="s">
        <v>296</v>
      </c>
      <c r="M249">
        <v>15</v>
      </c>
      <c r="N249">
        <v>1.7352000000000001</v>
      </c>
      <c r="O249">
        <v>20</v>
      </c>
      <c r="P249">
        <v>21</v>
      </c>
      <c r="Q249">
        <v>16</v>
      </c>
      <c r="R249">
        <v>0.76800000000000002</v>
      </c>
      <c r="S249">
        <v>26</v>
      </c>
      <c r="T249">
        <v>-9.0400000000000009</v>
      </c>
      <c r="U249">
        <v>0.4</v>
      </c>
      <c r="V249">
        <v>31</v>
      </c>
      <c r="W249">
        <v>31</v>
      </c>
      <c r="X249">
        <v>32</v>
      </c>
      <c r="Y249">
        <v>-5.008</v>
      </c>
      <c r="Z249">
        <v>30</v>
      </c>
      <c r="AA249">
        <v>-16.472000000000001</v>
      </c>
      <c r="AB249">
        <v>-1.6800000000000002</v>
      </c>
      <c r="AC249">
        <v>14</v>
      </c>
      <c r="AD249">
        <v>15.5</v>
      </c>
      <c r="AE249">
        <v>10</v>
      </c>
      <c r="AF249">
        <v>1.1000000000000001</v>
      </c>
      <c r="AG249">
        <v>21</v>
      </c>
      <c r="AH249">
        <v>-2.2399999999999975</v>
      </c>
      <c r="AI249">
        <v>0.64</v>
      </c>
      <c r="AJ249">
        <v>13</v>
      </c>
      <c r="AK249">
        <v>13.5</v>
      </c>
      <c r="AL249">
        <v>5</v>
      </c>
      <c r="AM249">
        <v>2.9640000000000004</v>
      </c>
      <c r="AN249">
        <v>22</v>
      </c>
      <c r="AO249">
        <v>-7.1599999999999993</v>
      </c>
      <c r="AP249">
        <v>0.28000000000000008</v>
      </c>
      <c r="AQ249">
        <v>12</v>
      </c>
      <c r="AR249">
        <v>12.5</v>
      </c>
      <c r="AS249">
        <v>14</v>
      </c>
      <c r="AT249">
        <v>0.35999999999999976</v>
      </c>
      <c r="AU249">
        <v>11</v>
      </c>
      <c r="AV249">
        <v>6.32</v>
      </c>
      <c r="AW249">
        <v>1.04</v>
      </c>
      <c r="AX249">
        <v>22</v>
      </c>
      <c r="AY249">
        <v>21</v>
      </c>
      <c r="AZ249">
        <v>17</v>
      </c>
      <c r="BA249">
        <v>-2.4719999999999995</v>
      </c>
      <c r="BB249">
        <v>25</v>
      </c>
      <c r="BC249">
        <v>-30.720000000000006</v>
      </c>
      <c r="BD249">
        <v>-1.7200000000000002</v>
      </c>
      <c r="BE249">
        <v>19</v>
      </c>
      <c r="BF249">
        <v>19</v>
      </c>
      <c r="BG249">
        <v>18</v>
      </c>
      <c r="BH249">
        <v>0.34400000000000014</v>
      </c>
      <c r="BI249">
        <v>-5</v>
      </c>
      <c r="BJ249">
        <v>1.44</v>
      </c>
      <c r="BK249">
        <v>28</v>
      </c>
      <c r="BL249">
        <v>27.5</v>
      </c>
      <c r="BM249">
        <v>29</v>
      </c>
      <c r="BN249">
        <v>-2.4000000000000004</v>
      </c>
      <c r="BO249">
        <v>26</v>
      </c>
      <c r="BP249">
        <v>-0.36000000000000004</v>
      </c>
      <c r="BQ249">
        <v>-1.08</v>
      </c>
      <c r="BR249">
        <v>2</v>
      </c>
      <c r="BS249">
        <v>7.5</v>
      </c>
      <c r="BT249">
        <v>3</v>
      </c>
      <c r="BU249">
        <v>5.306971353389224E-2</v>
      </c>
      <c r="BV249">
        <v>16</v>
      </c>
      <c r="BW249">
        <v>3.1522032332894627E-2</v>
      </c>
      <c r="BX249">
        <v>10</v>
      </c>
      <c r="BY249">
        <v>1.1519999999999953</v>
      </c>
      <c r="BZ249">
        <v>1</v>
      </c>
      <c r="CA249">
        <v>5.84</v>
      </c>
      <c r="CB249">
        <v>0.7999999999999986</v>
      </c>
      <c r="CC249">
        <v>-1.4800000000000004</v>
      </c>
      <c r="CD249">
        <v>0.48000000000000009</v>
      </c>
      <c r="CE249">
        <v>-19.159999999999989</v>
      </c>
      <c r="CF249">
        <v>-10.719999999999999</v>
      </c>
      <c r="CG249">
        <v>-28.759999999999998</v>
      </c>
      <c r="CH249">
        <v>6</v>
      </c>
      <c r="CI249">
        <v>14.319999999999999</v>
      </c>
      <c r="CJ249">
        <v>6</v>
      </c>
      <c r="CK249">
        <v>5.9752000000000001</v>
      </c>
      <c r="CL249">
        <v>3.4206400000000001</v>
      </c>
      <c r="CM249">
        <v>18.04</v>
      </c>
      <c r="CN249">
        <v>-5.9752000000000001</v>
      </c>
      <c r="CO249">
        <v>-1.7099999999999949E-2</v>
      </c>
      <c r="CP249">
        <v>4.4239999999999995</v>
      </c>
      <c r="CQ249">
        <v>-3.0799999999999965</v>
      </c>
      <c r="CR249">
        <v>-4.24</v>
      </c>
      <c r="CS249">
        <v>-25.512</v>
      </c>
      <c r="CT249">
        <v>3.4000000000000004</v>
      </c>
      <c r="CU249">
        <v>-1.2800000000000002</v>
      </c>
      <c r="CV249">
        <v>-0.59687500000000004</v>
      </c>
      <c r="CW249">
        <v>0.30087499999999995</v>
      </c>
      <c r="CX249" t="s">
        <v>265</v>
      </c>
      <c r="CY249">
        <v>29</v>
      </c>
      <c r="CZ249">
        <v>-4.3360000000000003</v>
      </c>
      <c r="DA249">
        <v>12</v>
      </c>
      <c r="DB249">
        <v>11.5</v>
      </c>
      <c r="DC249">
        <v>15</v>
      </c>
      <c r="DD249">
        <v>0.77200000000000024</v>
      </c>
      <c r="DE249">
        <v>8</v>
      </c>
      <c r="DF249">
        <v>5.2800000000000011</v>
      </c>
      <c r="DG249">
        <v>0.32</v>
      </c>
      <c r="DH249">
        <v>14</v>
      </c>
      <c r="DI249">
        <v>15</v>
      </c>
      <c r="DJ249">
        <v>14</v>
      </c>
      <c r="DK249">
        <v>-1.4759999999999998</v>
      </c>
      <c r="DL249">
        <v>16</v>
      </c>
      <c r="DM249">
        <v>-5.2399999999999993</v>
      </c>
      <c r="DN249">
        <v>-0.8</v>
      </c>
      <c r="DO249">
        <v>25</v>
      </c>
      <c r="DP249">
        <v>20</v>
      </c>
      <c r="DQ249">
        <v>19</v>
      </c>
      <c r="DR249">
        <v>-3.153999999999999</v>
      </c>
      <c r="DS249">
        <v>21</v>
      </c>
      <c r="DT249">
        <v>-21.26</v>
      </c>
      <c r="DU249">
        <v>-0.12000000000000011</v>
      </c>
      <c r="DV249">
        <v>28</v>
      </c>
      <c r="DW249">
        <v>27</v>
      </c>
      <c r="DX249">
        <v>28</v>
      </c>
      <c r="DY249">
        <v>-2.705000000000001</v>
      </c>
      <c r="DZ249">
        <v>26</v>
      </c>
      <c r="EA249">
        <v>-6.0999999999999988</v>
      </c>
      <c r="EB249">
        <v>0.18000000000000008</v>
      </c>
      <c r="EC249">
        <v>20</v>
      </c>
      <c r="ED249">
        <v>19.5</v>
      </c>
      <c r="EE249">
        <v>20</v>
      </c>
      <c r="EF249">
        <v>-0.50199999999999967</v>
      </c>
      <c r="EG249">
        <v>19</v>
      </c>
      <c r="EH249">
        <v>-2.0200000000000005</v>
      </c>
      <c r="EI249">
        <v>0.6499999999999998</v>
      </c>
      <c r="EJ249">
        <v>21</v>
      </c>
      <c r="EK249">
        <v>21.5</v>
      </c>
      <c r="EL249">
        <v>20</v>
      </c>
      <c r="EM249">
        <v>-4.0359999999999996</v>
      </c>
      <c r="EN249">
        <v>23</v>
      </c>
      <c r="EO249">
        <v>-13.160000000000002</v>
      </c>
      <c r="EP249">
        <v>-0.6</v>
      </c>
      <c r="EQ249">
        <v>15</v>
      </c>
      <c r="ER249">
        <v>15</v>
      </c>
      <c r="ES249">
        <v>12</v>
      </c>
      <c r="ET249">
        <v>4.0000000000002698E-3</v>
      </c>
      <c r="EU249">
        <v>18</v>
      </c>
      <c r="EV249">
        <v>0.90720000000000167</v>
      </c>
      <c r="EW249">
        <v>-1.0799999999999998</v>
      </c>
      <c r="EX249">
        <v>15</v>
      </c>
      <c r="EY249">
        <v>13</v>
      </c>
      <c r="EZ249">
        <v>14</v>
      </c>
      <c r="FA249">
        <v>-0.56000000000000016</v>
      </c>
      <c r="FB249">
        <v>12</v>
      </c>
      <c r="FC249">
        <v>0.12000000000000006</v>
      </c>
      <c r="FD249">
        <v>0.6399999999999999</v>
      </c>
      <c r="FE249">
        <v>32</v>
      </c>
      <c r="FF249">
        <v>29.25</v>
      </c>
      <c r="FG249">
        <v>28</v>
      </c>
      <c r="FH249">
        <v>-3.9958220531938649E-2</v>
      </c>
      <c r="FI249">
        <v>29</v>
      </c>
      <c r="FJ249">
        <v>-3.4471054340991965E-2</v>
      </c>
      <c r="FK249">
        <v>29</v>
      </c>
      <c r="FL249">
        <v>7.5160000000000027</v>
      </c>
      <c r="FM249">
        <v>31</v>
      </c>
      <c r="FN249">
        <v>-4.4799999999999995</v>
      </c>
      <c r="FO249">
        <v>-1.8799999999999997</v>
      </c>
      <c r="FP249">
        <v>1.2</v>
      </c>
      <c r="FQ249">
        <v>-0.48</v>
      </c>
      <c r="FR249">
        <v>-2.9200000000000017</v>
      </c>
      <c r="FS249">
        <v>-2.16</v>
      </c>
      <c r="FT249">
        <v>-1.2</v>
      </c>
      <c r="FU249">
        <v>-53.399999999999991</v>
      </c>
      <c r="FV249">
        <v>-48.400000000000006</v>
      </c>
      <c r="FW249">
        <v>-0.31999999999999884</v>
      </c>
      <c r="FX249">
        <v>0.15999999999999978</v>
      </c>
      <c r="FY249">
        <v>-4.84</v>
      </c>
      <c r="FZ249">
        <v>24</v>
      </c>
      <c r="GA249">
        <v>-3.6320000000000006</v>
      </c>
      <c r="GB249">
        <v>-1.7866</v>
      </c>
      <c r="GC249">
        <v>-48.080000000000005</v>
      </c>
      <c r="GD249">
        <v>3.6320000000000006</v>
      </c>
      <c r="GE249">
        <v>-1.4946250000000001</v>
      </c>
      <c r="GF249">
        <v>-6.3609999999999998</v>
      </c>
      <c r="GG249">
        <v>-29.38</v>
      </c>
      <c r="GH249">
        <v>-0.70399999999999952</v>
      </c>
      <c r="GI249">
        <v>4.0000000000001812E-2</v>
      </c>
      <c r="GJ249">
        <v>-0.37000000000000011</v>
      </c>
      <c r="GK249">
        <v>-0.48000000000000004</v>
      </c>
    </row>
    <row r="250" spans="1:193" x14ac:dyDescent="0.2">
      <c r="A250" s="39">
        <v>43793</v>
      </c>
      <c r="B250" s="22" t="s">
        <v>242</v>
      </c>
      <c r="C250" s="41" t="s">
        <v>298</v>
      </c>
      <c r="D250" s="22" t="s">
        <v>303</v>
      </c>
      <c r="E250">
        <v>3.8</v>
      </c>
      <c r="F250">
        <v>18.600000000000001</v>
      </c>
      <c r="G250">
        <v>4.2</v>
      </c>
      <c r="H250">
        <v>10.3</v>
      </c>
      <c r="I250">
        <v>3.5</v>
      </c>
      <c r="J250">
        <v>45</v>
      </c>
      <c r="L250" s="1" t="s">
        <v>298</v>
      </c>
      <c r="M250">
        <v>14</v>
      </c>
      <c r="N250">
        <v>1.9135999999999993</v>
      </c>
      <c r="O250">
        <v>19</v>
      </c>
      <c r="P250">
        <v>20.5</v>
      </c>
      <c r="Q250">
        <v>13</v>
      </c>
      <c r="R250">
        <v>-2.1079999999999997</v>
      </c>
      <c r="S250">
        <v>28</v>
      </c>
      <c r="T250">
        <v>-39.720000000000006</v>
      </c>
      <c r="U250">
        <v>2.16</v>
      </c>
      <c r="V250">
        <v>24</v>
      </c>
      <c r="W250">
        <v>24</v>
      </c>
      <c r="X250">
        <v>27</v>
      </c>
      <c r="Y250">
        <v>-4.0880000000000001</v>
      </c>
      <c r="Z250">
        <v>21</v>
      </c>
      <c r="AA250">
        <v>-2.3599999999999994</v>
      </c>
      <c r="AB250">
        <v>-1.72</v>
      </c>
      <c r="AC250">
        <v>31</v>
      </c>
      <c r="AD250">
        <v>31</v>
      </c>
      <c r="AE250">
        <v>30</v>
      </c>
      <c r="AF250">
        <v>-3.4399999999999991</v>
      </c>
      <c r="AG250">
        <v>32</v>
      </c>
      <c r="AH250">
        <v>-20.94</v>
      </c>
      <c r="AI250">
        <v>-1.43</v>
      </c>
      <c r="AJ250">
        <v>21</v>
      </c>
      <c r="AK250">
        <v>20.5</v>
      </c>
      <c r="AL250">
        <v>21</v>
      </c>
      <c r="AM250">
        <v>-2.6390000000000002</v>
      </c>
      <c r="AN250">
        <v>20</v>
      </c>
      <c r="AO250">
        <v>-15.889999999999997</v>
      </c>
      <c r="AP250">
        <v>-1.1499999999999999</v>
      </c>
      <c r="AQ250">
        <v>6</v>
      </c>
      <c r="AR250">
        <v>6</v>
      </c>
      <c r="AS250">
        <v>7</v>
      </c>
      <c r="AT250">
        <v>2.6700000000000004</v>
      </c>
      <c r="AU250">
        <v>5</v>
      </c>
      <c r="AV250">
        <v>17.399999999999999</v>
      </c>
      <c r="AW250">
        <v>0.8500000000000002</v>
      </c>
      <c r="AX250">
        <v>24</v>
      </c>
      <c r="AY250">
        <v>25</v>
      </c>
      <c r="AZ250">
        <v>24</v>
      </c>
      <c r="BA250">
        <v>1.1319999999999992</v>
      </c>
      <c r="BB250">
        <v>26</v>
      </c>
      <c r="BC250">
        <v>-4.2799999999999994</v>
      </c>
      <c r="BD250">
        <v>-1.2799999999999998</v>
      </c>
      <c r="BE250">
        <v>14</v>
      </c>
      <c r="BF250">
        <v>13.5</v>
      </c>
      <c r="BG250">
        <v>13</v>
      </c>
      <c r="BH250">
        <v>5.2720000000000002</v>
      </c>
      <c r="BI250">
        <v>13.48</v>
      </c>
      <c r="BJ250">
        <v>-0.96000000000000019</v>
      </c>
      <c r="BK250">
        <v>14</v>
      </c>
      <c r="BL250">
        <v>13.5</v>
      </c>
      <c r="BM250">
        <v>19</v>
      </c>
      <c r="BN250">
        <v>-0.96000000000000019</v>
      </c>
      <c r="BO250">
        <v>8</v>
      </c>
      <c r="BP250">
        <v>-7.9999999999999932E-2</v>
      </c>
      <c r="BQ250">
        <v>1.2</v>
      </c>
      <c r="BR250">
        <v>8</v>
      </c>
      <c r="BS250">
        <v>12</v>
      </c>
      <c r="BT250">
        <v>2</v>
      </c>
      <c r="BU250">
        <v>8.7253799456939146E-2</v>
      </c>
      <c r="BV250">
        <v>17</v>
      </c>
      <c r="BW250">
        <v>1.3104699948087559E-2</v>
      </c>
      <c r="BX250">
        <v>12</v>
      </c>
      <c r="BY250">
        <v>-1.6319999999999992</v>
      </c>
      <c r="BZ250">
        <v>17</v>
      </c>
      <c r="CA250">
        <v>-1</v>
      </c>
      <c r="CB250">
        <v>-3.160000000000001</v>
      </c>
      <c r="CC250">
        <v>-0.4799999999999997</v>
      </c>
      <c r="CD250">
        <v>1.9999999999999996</v>
      </c>
      <c r="CE250">
        <v>-28.680000000000007</v>
      </c>
      <c r="CF250">
        <v>22.040000000000003</v>
      </c>
      <c r="CG250">
        <v>-39.320000000000007</v>
      </c>
      <c r="CH250">
        <v>-0.24000000000000005</v>
      </c>
      <c r="CI250">
        <v>-11.16</v>
      </c>
      <c r="CJ250">
        <v>3</v>
      </c>
      <c r="CK250">
        <v>8.1096000000000004</v>
      </c>
      <c r="CL250">
        <v>3.8533200000000001</v>
      </c>
      <c r="CM250">
        <v>61.360000000000014</v>
      </c>
      <c r="CN250">
        <v>-8.1095999999999986</v>
      </c>
      <c r="CO250">
        <v>-0.42242499999999994</v>
      </c>
      <c r="CP250">
        <v>-3.4089999999999985</v>
      </c>
      <c r="CQ250">
        <v>-19.43</v>
      </c>
      <c r="CR250">
        <v>-6.1959999999999997</v>
      </c>
      <c r="CS250">
        <v>-42.080000000000005</v>
      </c>
      <c r="CT250">
        <v>-2.6900000000000004</v>
      </c>
      <c r="CU250">
        <v>0.44000000000000017</v>
      </c>
      <c r="CV250">
        <v>0.91625000000000012</v>
      </c>
      <c r="CW250">
        <v>1.1394000000000002</v>
      </c>
      <c r="CX250" t="s">
        <v>303</v>
      </c>
      <c r="CY250">
        <v>13</v>
      </c>
      <c r="CZ250">
        <v>2.988799999999999</v>
      </c>
      <c r="DA250">
        <v>13</v>
      </c>
      <c r="DB250">
        <v>12</v>
      </c>
      <c r="DC250">
        <v>10</v>
      </c>
      <c r="DD250">
        <v>1.4</v>
      </c>
      <c r="DE250">
        <v>14</v>
      </c>
      <c r="DF250">
        <v>8.9599999999999973</v>
      </c>
      <c r="DG250">
        <v>-0.2</v>
      </c>
      <c r="DH250">
        <v>6</v>
      </c>
      <c r="DI250">
        <v>8.5</v>
      </c>
      <c r="DJ250">
        <v>6</v>
      </c>
      <c r="DK250">
        <v>1.9039999999999999</v>
      </c>
      <c r="DL250">
        <v>11</v>
      </c>
      <c r="DM250">
        <v>-2.6800000000000006</v>
      </c>
      <c r="DN250">
        <v>0.44000000000000006</v>
      </c>
      <c r="DO250">
        <v>18</v>
      </c>
      <c r="DP250">
        <v>25</v>
      </c>
      <c r="DQ250">
        <v>25</v>
      </c>
      <c r="DR250">
        <v>-1.255999999999998</v>
      </c>
      <c r="DS250">
        <v>25</v>
      </c>
      <c r="DT250">
        <v>-4.0400000000000009</v>
      </c>
      <c r="DU250">
        <v>-0.3999999999999998</v>
      </c>
      <c r="DV250">
        <v>9</v>
      </c>
      <c r="DW250">
        <v>10</v>
      </c>
      <c r="DX250">
        <v>11</v>
      </c>
      <c r="DY250">
        <v>2.6599999999999993</v>
      </c>
      <c r="DZ250">
        <v>9</v>
      </c>
      <c r="EA250">
        <v>8.9200000000000017</v>
      </c>
      <c r="EB250">
        <v>-0.24000000000000005</v>
      </c>
      <c r="EC250">
        <v>25</v>
      </c>
      <c r="ED250">
        <v>32</v>
      </c>
      <c r="EE250">
        <v>32</v>
      </c>
      <c r="EF250">
        <v>-2.9200000000000004</v>
      </c>
      <c r="EG250">
        <v>32</v>
      </c>
      <c r="EH250">
        <v>-12.719999999999999</v>
      </c>
      <c r="EI250">
        <v>-0.15999999999999998</v>
      </c>
      <c r="EJ250">
        <v>31</v>
      </c>
      <c r="EK250">
        <v>31</v>
      </c>
      <c r="EL250">
        <v>31</v>
      </c>
      <c r="EM250">
        <v>-5.1559999999999988</v>
      </c>
      <c r="EN250">
        <v>31</v>
      </c>
      <c r="EO250">
        <v>-41.160000000000004</v>
      </c>
      <c r="EP250">
        <v>-1.4</v>
      </c>
      <c r="EQ250">
        <v>22</v>
      </c>
      <c r="ER250">
        <v>23.5</v>
      </c>
      <c r="ES250">
        <v>26</v>
      </c>
      <c r="ET250">
        <v>1.088000000000001</v>
      </c>
      <c r="EU250">
        <v>21</v>
      </c>
      <c r="EV250">
        <v>-6.5200000000000005</v>
      </c>
      <c r="EW250">
        <v>2.04</v>
      </c>
      <c r="EX250">
        <v>27</v>
      </c>
      <c r="EY250">
        <v>25.5</v>
      </c>
      <c r="EZ250">
        <v>22</v>
      </c>
      <c r="FA250">
        <v>-0.32000000000000012</v>
      </c>
      <c r="FB250">
        <v>29</v>
      </c>
      <c r="FC250">
        <v>-0.28000000000000003</v>
      </c>
      <c r="FD250">
        <v>0.47999999999999987</v>
      </c>
      <c r="FE250">
        <v>10</v>
      </c>
      <c r="FF250">
        <v>13.25</v>
      </c>
      <c r="FG250">
        <v>12</v>
      </c>
      <c r="FH250">
        <v>-2.0831598760193314E-2</v>
      </c>
      <c r="FI250">
        <v>11</v>
      </c>
      <c r="FJ250">
        <v>4.8738232284445239E-3</v>
      </c>
      <c r="FK250">
        <v>12</v>
      </c>
      <c r="FL250">
        <v>-1.111999999999999</v>
      </c>
      <c r="FM250">
        <v>18</v>
      </c>
      <c r="FN250">
        <v>-0.83999999999999986</v>
      </c>
      <c r="FO250">
        <v>-8.000000000000114E-2</v>
      </c>
      <c r="FP250">
        <v>0.51999999999999957</v>
      </c>
      <c r="FQ250">
        <v>0.67999999999999994</v>
      </c>
      <c r="FR250">
        <v>1.2399999999999991</v>
      </c>
      <c r="FS250">
        <v>2.7999999999999994</v>
      </c>
      <c r="FT250">
        <v>0.48</v>
      </c>
      <c r="FU250">
        <v>26.360000000000014</v>
      </c>
      <c r="FV250">
        <v>5.7199999999999935</v>
      </c>
      <c r="FW250">
        <v>10.040000000000001</v>
      </c>
      <c r="FX250">
        <v>4.1599999999999993</v>
      </c>
      <c r="FY250">
        <v>6.44</v>
      </c>
      <c r="FZ250">
        <v>18</v>
      </c>
      <c r="GA250">
        <v>-0.31520000000000081</v>
      </c>
      <c r="GB250">
        <v>-1.1398399999999997</v>
      </c>
      <c r="GC250">
        <v>-4.3200000000000074</v>
      </c>
      <c r="GD250">
        <v>0.31520000000000081</v>
      </c>
      <c r="GE250">
        <v>0.69310000000000005</v>
      </c>
      <c r="GF250">
        <v>-1.5159999999999991</v>
      </c>
      <c r="GG250">
        <v>-7.8399999999999981</v>
      </c>
      <c r="GH250">
        <v>3.3039999999999998</v>
      </c>
      <c r="GI250">
        <v>6.2799999999999967</v>
      </c>
      <c r="GJ250">
        <v>1.2400000000000002</v>
      </c>
      <c r="GK250">
        <v>0.24000000000000005</v>
      </c>
    </row>
    <row r="251" spans="1:193" x14ac:dyDescent="0.2">
      <c r="A251" s="39">
        <v>43793</v>
      </c>
      <c r="B251" s="22" t="s">
        <v>242</v>
      </c>
      <c r="C251" s="41" t="s">
        <v>294</v>
      </c>
      <c r="D251" s="22" t="s">
        <v>308</v>
      </c>
      <c r="H251">
        <f>27.1+9.2</f>
        <v>36.299999999999997</v>
      </c>
      <c r="I251">
        <v>1</v>
      </c>
      <c r="J251">
        <v>45.5</v>
      </c>
      <c r="L251" s="1" t="s">
        <v>294</v>
      </c>
      <c r="M251">
        <v>19</v>
      </c>
      <c r="N251">
        <v>-1.7231999999999998</v>
      </c>
      <c r="O251">
        <v>16</v>
      </c>
      <c r="P251">
        <v>16.5</v>
      </c>
      <c r="Q251">
        <v>18</v>
      </c>
      <c r="R251">
        <v>-1.8679999999999992</v>
      </c>
      <c r="S251">
        <v>15</v>
      </c>
      <c r="T251">
        <v>-2.2400000000000007</v>
      </c>
      <c r="U251">
        <v>-0.56000000000000005</v>
      </c>
      <c r="V251">
        <v>9</v>
      </c>
      <c r="W251">
        <v>10.5</v>
      </c>
      <c r="X251">
        <v>16</v>
      </c>
      <c r="Y251">
        <v>2.1160000000000005</v>
      </c>
      <c r="Z251">
        <v>5</v>
      </c>
      <c r="AA251">
        <v>14.920000000000002</v>
      </c>
      <c r="AB251">
        <v>-0.39999999999999991</v>
      </c>
      <c r="AC251">
        <v>19</v>
      </c>
      <c r="AD251">
        <v>18.5</v>
      </c>
      <c r="AE251">
        <v>20</v>
      </c>
      <c r="AF251">
        <v>-1.4299999999999997</v>
      </c>
      <c r="AG251">
        <v>17</v>
      </c>
      <c r="AH251">
        <v>-2.4500000000000011</v>
      </c>
      <c r="AI251">
        <v>-1.0499999999999998</v>
      </c>
      <c r="AJ251">
        <v>30</v>
      </c>
      <c r="AK251">
        <v>30</v>
      </c>
      <c r="AL251">
        <v>29</v>
      </c>
      <c r="AM251">
        <v>-4.5249999999999995</v>
      </c>
      <c r="AN251">
        <v>31</v>
      </c>
      <c r="AO251">
        <v>-24.599999999999998</v>
      </c>
      <c r="AP251">
        <v>-0.39999999999999991</v>
      </c>
      <c r="AQ251">
        <v>23</v>
      </c>
      <c r="AR251">
        <v>23.5</v>
      </c>
      <c r="AS251">
        <v>24</v>
      </c>
      <c r="AT251">
        <v>-3.7249999999999996</v>
      </c>
      <c r="AU251">
        <v>23</v>
      </c>
      <c r="AV251">
        <v>-12.4</v>
      </c>
      <c r="AW251">
        <v>-2.35</v>
      </c>
      <c r="AX251">
        <v>20</v>
      </c>
      <c r="AY251">
        <v>20</v>
      </c>
      <c r="AZ251">
        <v>19</v>
      </c>
      <c r="BA251">
        <v>2.0399999999999996</v>
      </c>
      <c r="BB251">
        <v>21</v>
      </c>
      <c r="BC251">
        <v>6.4000000000000012</v>
      </c>
      <c r="BD251">
        <v>1.64</v>
      </c>
      <c r="BE251">
        <v>1</v>
      </c>
      <c r="BF251">
        <v>1</v>
      </c>
      <c r="BG251">
        <v>1</v>
      </c>
      <c r="BH251">
        <v>14.867999999999999</v>
      </c>
      <c r="BI251">
        <v>53.611199999999997</v>
      </c>
      <c r="BJ251">
        <v>6.8400000000000007</v>
      </c>
      <c r="BK251">
        <v>23</v>
      </c>
      <c r="BL251">
        <v>22.5</v>
      </c>
      <c r="BM251">
        <v>24</v>
      </c>
      <c r="BN251">
        <v>-1.44</v>
      </c>
      <c r="BO251">
        <v>21</v>
      </c>
      <c r="BP251">
        <v>-0.64</v>
      </c>
      <c r="BQ251">
        <v>0.36</v>
      </c>
      <c r="BR251">
        <v>6</v>
      </c>
      <c r="BS251">
        <v>10.25</v>
      </c>
      <c r="BT251">
        <v>16</v>
      </c>
      <c r="BU251">
        <v>2.5126511068092217E-2</v>
      </c>
      <c r="BV251">
        <v>4</v>
      </c>
      <c r="BW251">
        <v>2.1799801166937867E-2</v>
      </c>
      <c r="BX251">
        <v>6</v>
      </c>
      <c r="BY251">
        <v>-1.1079999999999983</v>
      </c>
      <c r="BZ251">
        <v>15</v>
      </c>
      <c r="CA251">
        <v>1.1999999999999997</v>
      </c>
      <c r="CB251">
        <v>5.4000000000000012</v>
      </c>
      <c r="CC251">
        <v>-0.4799999999999997</v>
      </c>
      <c r="CD251">
        <v>-1.4</v>
      </c>
      <c r="CE251">
        <v>18.880000000000006</v>
      </c>
      <c r="CF251">
        <v>1.5199999999999989</v>
      </c>
      <c r="CG251">
        <v>16.200000000000003</v>
      </c>
      <c r="CH251">
        <v>-0.76</v>
      </c>
      <c r="CI251">
        <v>1.9199999999999995</v>
      </c>
      <c r="CJ251">
        <v>19</v>
      </c>
      <c r="CK251">
        <v>-1.9712000000000012</v>
      </c>
      <c r="CL251">
        <v>0.56895999999999936</v>
      </c>
      <c r="CM251">
        <v>-14.680000000000003</v>
      </c>
      <c r="CN251">
        <v>1.9712000000000012</v>
      </c>
      <c r="CO251">
        <v>0.28410000000000019</v>
      </c>
      <c r="CP251">
        <v>-9.68</v>
      </c>
      <c r="CQ251">
        <v>-39.449999999999996</v>
      </c>
      <c r="CR251">
        <v>0.24800000000000133</v>
      </c>
      <c r="CS251">
        <v>12.680000000000001</v>
      </c>
      <c r="CT251">
        <v>3.0400000000000009</v>
      </c>
      <c r="CU251">
        <v>-0.96</v>
      </c>
      <c r="CV251">
        <v>-1.2387937500000001</v>
      </c>
      <c r="CW251">
        <v>-2.2325000000000004</v>
      </c>
      <c r="CX251" t="s">
        <v>308</v>
      </c>
      <c r="CY251">
        <v>17</v>
      </c>
      <c r="CZ251">
        <v>-1.2832000000000003</v>
      </c>
      <c r="DA251">
        <v>24</v>
      </c>
      <c r="DB251">
        <v>22</v>
      </c>
      <c r="DC251">
        <v>18</v>
      </c>
      <c r="DD251">
        <v>-0.84000000000000019</v>
      </c>
      <c r="DE251">
        <v>26</v>
      </c>
      <c r="DF251">
        <v>-0.71999999999999953</v>
      </c>
      <c r="DG251">
        <v>0.76</v>
      </c>
      <c r="DH251">
        <v>25</v>
      </c>
      <c r="DI251">
        <v>22.5</v>
      </c>
      <c r="DJ251">
        <v>16</v>
      </c>
      <c r="DK251">
        <v>-2.6239999999999988</v>
      </c>
      <c r="DL251">
        <v>29</v>
      </c>
      <c r="DM251">
        <v>-12.079999999999998</v>
      </c>
      <c r="DN251">
        <v>-0.88000000000000012</v>
      </c>
      <c r="DO251">
        <v>5</v>
      </c>
      <c r="DP251">
        <v>3.5</v>
      </c>
      <c r="DQ251">
        <v>3</v>
      </c>
      <c r="DR251">
        <v>4.8137499999999998</v>
      </c>
      <c r="DS251">
        <v>4</v>
      </c>
      <c r="DT251">
        <v>25.9375</v>
      </c>
      <c r="DU251">
        <v>-8.7500000000000133E-2</v>
      </c>
      <c r="DV251">
        <v>19</v>
      </c>
      <c r="DW251">
        <v>17.5</v>
      </c>
      <c r="DX251">
        <v>18</v>
      </c>
      <c r="DY251">
        <v>-2.6524999999999994</v>
      </c>
      <c r="DZ251">
        <v>17</v>
      </c>
      <c r="EA251">
        <v>-7.4749999999999996</v>
      </c>
      <c r="EB251">
        <v>-0.13749999999999996</v>
      </c>
      <c r="EC251">
        <v>13</v>
      </c>
      <c r="ED251">
        <v>13.5</v>
      </c>
      <c r="EE251">
        <v>6</v>
      </c>
      <c r="EF251">
        <v>1.6412499999999999</v>
      </c>
      <c r="EG251">
        <v>21</v>
      </c>
      <c r="EH251">
        <v>0.53750000000000053</v>
      </c>
      <c r="EI251">
        <v>2.0125000000000002</v>
      </c>
      <c r="EJ251">
        <v>18</v>
      </c>
      <c r="EK251">
        <v>18</v>
      </c>
      <c r="EL251">
        <v>16</v>
      </c>
      <c r="EM251">
        <v>-2.5699999999999994</v>
      </c>
      <c r="EN251">
        <v>20</v>
      </c>
      <c r="EO251">
        <v>-7.7000000000000064</v>
      </c>
      <c r="EP251">
        <v>2.35</v>
      </c>
      <c r="EQ251">
        <v>15</v>
      </c>
      <c r="ER251">
        <v>15</v>
      </c>
      <c r="ES251">
        <v>11</v>
      </c>
      <c r="ET251">
        <v>-1.6160000000000003</v>
      </c>
      <c r="EU251">
        <v>19</v>
      </c>
      <c r="EV251">
        <v>-9.3088000000000015</v>
      </c>
      <c r="EW251">
        <v>2</v>
      </c>
      <c r="EX251">
        <v>12</v>
      </c>
      <c r="EY251">
        <v>12.5</v>
      </c>
      <c r="EZ251">
        <v>17</v>
      </c>
      <c r="FA251">
        <v>0.6</v>
      </c>
      <c r="FB251">
        <v>8</v>
      </c>
      <c r="FC251">
        <v>0.91999999999999993</v>
      </c>
      <c r="FD251">
        <v>0.3599999999999996</v>
      </c>
      <c r="FE251">
        <v>21</v>
      </c>
      <c r="FF251">
        <v>17.25</v>
      </c>
      <c r="FG251">
        <v>30</v>
      </c>
      <c r="FH251">
        <v>-5.5260525059291778E-2</v>
      </c>
      <c r="FI251">
        <v>28</v>
      </c>
      <c r="FJ251">
        <v>-9.7358714629503067E-3</v>
      </c>
      <c r="FK251">
        <v>4</v>
      </c>
      <c r="FL251">
        <v>-11.404000000000003</v>
      </c>
      <c r="FM251">
        <v>7</v>
      </c>
      <c r="FN251">
        <v>2.8800000000000003</v>
      </c>
      <c r="FO251">
        <v>6.28</v>
      </c>
      <c r="FP251">
        <v>-2.0799999999999996</v>
      </c>
      <c r="FQ251">
        <v>-0.35999999999999976</v>
      </c>
      <c r="FR251">
        <v>3.6</v>
      </c>
      <c r="FS251">
        <v>-5.56</v>
      </c>
      <c r="FT251">
        <v>1.6800000000000002</v>
      </c>
      <c r="FU251">
        <v>9.4</v>
      </c>
      <c r="FV251">
        <v>24.159999999999997</v>
      </c>
      <c r="FW251">
        <v>-15.199999999999998</v>
      </c>
      <c r="FX251">
        <v>-0.95999999999999974</v>
      </c>
      <c r="FY251">
        <v>1.4000000000000021</v>
      </c>
      <c r="FZ251">
        <v>11</v>
      </c>
      <c r="GA251">
        <v>2.1807999999999987</v>
      </c>
      <c r="GB251">
        <v>1.9126599999999994</v>
      </c>
      <c r="GC251">
        <v>39.359999999999992</v>
      </c>
      <c r="GD251">
        <v>-2.1807999999999987</v>
      </c>
      <c r="GE251">
        <v>-0.24508749999999996</v>
      </c>
      <c r="GF251">
        <v>3.8025000000000002</v>
      </c>
      <c r="GG251">
        <v>19</v>
      </c>
      <c r="GH251">
        <v>-3.4639999999999991</v>
      </c>
      <c r="GI251">
        <v>-12.799999999999997</v>
      </c>
      <c r="GJ251">
        <v>3.7875000000000001</v>
      </c>
      <c r="GK251">
        <v>-0.12000000000000011</v>
      </c>
    </row>
    <row r="252" spans="1:193" x14ac:dyDescent="0.2">
      <c r="A252" s="39">
        <v>43793</v>
      </c>
      <c r="B252" s="22" t="s">
        <v>242</v>
      </c>
      <c r="C252" s="41" t="s">
        <v>309</v>
      </c>
      <c r="D252" s="22" t="s">
        <v>272</v>
      </c>
      <c r="E252">
        <v>18.8</v>
      </c>
      <c r="F252">
        <v>5.9</v>
      </c>
      <c r="G252">
        <v>4.5</v>
      </c>
      <c r="H252">
        <v>1.1000000000000001</v>
      </c>
      <c r="I252" s="8">
        <v>-5.5</v>
      </c>
      <c r="J252" s="8">
        <v>37.5</v>
      </c>
      <c r="L252" s="1" t="s">
        <v>309</v>
      </c>
      <c r="M252">
        <v>30</v>
      </c>
      <c r="N252">
        <v>-6.2511999999999999</v>
      </c>
      <c r="O252">
        <v>12</v>
      </c>
      <c r="P252">
        <v>14.5</v>
      </c>
      <c r="Q252">
        <v>9</v>
      </c>
      <c r="R252">
        <v>3.2320000000000007</v>
      </c>
      <c r="S252">
        <v>20</v>
      </c>
      <c r="T252">
        <v>-0.4</v>
      </c>
      <c r="U252">
        <v>2.9200000000000004</v>
      </c>
      <c r="V252">
        <v>9</v>
      </c>
      <c r="W252">
        <v>10.5</v>
      </c>
      <c r="X252">
        <v>11</v>
      </c>
      <c r="Y252">
        <v>-0.61199999999999988</v>
      </c>
      <c r="Z252">
        <v>10</v>
      </c>
      <c r="AA252">
        <v>-1.8800000000000003</v>
      </c>
      <c r="AB252">
        <v>0.16000000000000006</v>
      </c>
      <c r="AC252">
        <v>13</v>
      </c>
      <c r="AD252">
        <v>14.5</v>
      </c>
      <c r="AE252">
        <v>19</v>
      </c>
      <c r="AF252">
        <v>-3.2499999999999996</v>
      </c>
      <c r="AG252">
        <v>10</v>
      </c>
      <c r="AH252">
        <v>-2.0499999999999972</v>
      </c>
      <c r="AI252">
        <v>-1.1000000000000001</v>
      </c>
      <c r="AJ252">
        <v>17</v>
      </c>
      <c r="AK252">
        <v>17.5</v>
      </c>
      <c r="AL252">
        <v>19</v>
      </c>
      <c r="AM252">
        <v>0.82800000000000062</v>
      </c>
      <c r="AN252">
        <v>16</v>
      </c>
      <c r="AO252">
        <v>9.4400000000000013</v>
      </c>
      <c r="AP252">
        <v>-0.56000000000000016</v>
      </c>
      <c r="AQ252">
        <v>18</v>
      </c>
      <c r="AR252">
        <v>17.5</v>
      </c>
      <c r="AS252">
        <v>20</v>
      </c>
      <c r="AT252">
        <v>-0.98000000000000009</v>
      </c>
      <c r="AU252">
        <v>15</v>
      </c>
      <c r="AV252">
        <v>-0.80000000000000071</v>
      </c>
      <c r="AW252">
        <v>-0.31999999999999995</v>
      </c>
      <c r="AX252">
        <v>31</v>
      </c>
      <c r="AY252">
        <v>31.5</v>
      </c>
      <c r="AZ252">
        <v>32</v>
      </c>
      <c r="BA252">
        <v>-10.664000000000001</v>
      </c>
      <c r="BB252">
        <v>31</v>
      </c>
      <c r="BC252">
        <v>-45.84</v>
      </c>
      <c r="BD252">
        <v>-3.6399999999999997</v>
      </c>
      <c r="BE252">
        <v>28</v>
      </c>
      <c r="BF252">
        <v>27.5</v>
      </c>
      <c r="BG252">
        <v>24</v>
      </c>
      <c r="BH252">
        <v>-3.6560000000000001</v>
      </c>
      <c r="BI252">
        <v>-21.360000000000003</v>
      </c>
      <c r="BJ252">
        <v>-0.32000000000000028</v>
      </c>
      <c r="BK252">
        <v>3</v>
      </c>
      <c r="BL252">
        <v>5.5</v>
      </c>
      <c r="BM252">
        <v>5</v>
      </c>
      <c r="BN252">
        <v>1.0399999999999998</v>
      </c>
      <c r="BO252">
        <v>6</v>
      </c>
      <c r="BP252">
        <v>0.32</v>
      </c>
      <c r="BQ252">
        <v>4.68</v>
      </c>
      <c r="BR252">
        <v>12</v>
      </c>
      <c r="BS252">
        <v>13.25</v>
      </c>
      <c r="BT252">
        <v>9</v>
      </c>
      <c r="BU252">
        <v>4.3078346523261521E-2</v>
      </c>
      <c r="BV252">
        <v>20</v>
      </c>
      <c r="BW252">
        <v>6.6595496116580236E-3</v>
      </c>
      <c r="BX252">
        <v>19</v>
      </c>
      <c r="BY252">
        <v>-0.44000000000000056</v>
      </c>
      <c r="BZ252">
        <v>5</v>
      </c>
      <c r="CA252">
        <v>3.84</v>
      </c>
      <c r="CB252">
        <v>1.7200000000000031</v>
      </c>
      <c r="CC252">
        <v>-4.08</v>
      </c>
      <c r="CD252">
        <v>0.95999999999999974</v>
      </c>
      <c r="CE252">
        <v>-33.920000000000016</v>
      </c>
      <c r="CF252">
        <v>-24.240000000000002</v>
      </c>
      <c r="CG252">
        <v>4.7199999999999989</v>
      </c>
      <c r="CH252">
        <v>-1.8800000000000001</v>
      </c>
      <c r="CI252">
        <v>-12.52</v>
      </c>
      <c r="CJ252">
        <v>29</v>
      </c>
      <c r="CK252">
        <v>-8.8712</v>
      </c>
      <c r="CL252">
        <v>-3.9718400000000003</v>
      </c>
      <c r="CM252">
        <v>-28.96</v>
      </c>
      <c r="CN252">
        <v>8.8712000000000018</v>
      </c>
      <c r="CO252">
        <v>-1.2061499999999998</v>
      </c>
      <c r="CP252">
        <v>-3.4019999999999988</v>
      </c>
      <c r="CQ252">
        <v>6.5900000000000034</v>
      </c>
      <c r="CR252">
        <v>2.620000000000001</v>
      </c>
      <c r="CS252">
        <v>-2.2800000000000002</v>
      </c>
      <c r="CT252">
        <v>-2.3000000000000003</v>
      </c>
      <c r="CU252">
        <v>3.0800000000000005</v>
      </c>
      <c r="CV252">
        <v>-0.26821249999999991</v>
      </c>
      <c r="CW252">
        <v>-1.4892000000000001</v>
      </c>
      <c r="CX252" t="s">
        <v>272</v>
      </c>
      <c r="CY252">
        <v>10</v>
      </c>
      <c r="CZ252">
        <v>3.8152000000000017</v>
      </c>
      <c r="DA252">
        <v>25</v>
      </c>
      <c r="DB252">
        <v>23.5</v>
      </c>
      <c r="DC252">
        <v>29</v>
      </c>
      <c r="DD252">
        <v>-2.62</v>
      </c>
      <c r="DE252">
        <v>18</v>
      </c>
      <c r="DF252">
        <v>15.040000000000003</v>
      </c>
      <c r="DG252">
        <v>-2.6399999999999997</v>
      </c>
      <c r="DH252">
        <v>24</v>
      </c>
      <c r="DI252">
        <v>21.5</v>
      </c>
      <c r="DJ252">
        <v>19</v>
      </c>
      <c r="DK252">
        <v>-1.5879999999999996</v>
      </c>
      <c r="DL252">
        <v>24</v>
      </c>
      <c r="DM252">
        <v>-4.24</v>
      </c>
      <c r="DN252">
        <v>3.9999999999999994E-2</v>
      </c>
      <c r="DO252">
        <v>1</v>
      </c>
      <c r="DP252">
        <v>4</v>
      </c>
      <c r="DQ252">
        <v>5</v>
      </c>
      <c r="DR252">
        <v>9.02</v>
      </c>
      <c r="DS252">
        <v>3</v>
      </c>
      <c r="DT252">
        <v>55.010000000000005</v>
      </c>
      <c r="DU252">
        <v>0.46999999999999992</v>
      </c>
      <c r="DV252">
        <v>17</v>
      </c>
      <c r="DW252">
        <v>16.5</v>
      </c>
      <c r="DX252">
        <v>19</v>
      </c>
      <c r="DY252">
        <v>-4.7619999999999987</v>
      </c>
      <c r="DZ252">
        <v>14</v>
      </c>
      <c r="EA252">
        <v>-17.020000000000003</v>
      </c>
      <c r="EB252">
        <v>-1.6700000000000004</v>
      </c>
      <c r="EC252">
        <v>6</v>
      </c>
      <c r="ED252">
        <v>8</v>
      </c>
      <c r="EE252">
        <v>6</v>
      </c>
      <c r="EF252">
        <v>1.4490000000000003</v>
      </c>
      <c r="EG252">
        <v>10</v>
      </c>
      <c r="EH252">
        <v>10.190000000000001</v>
      </c>
      <c r="EI252">
        <v>0.13000000000000006</v>
      </c>
      <c r="EJ252">
        <v>2</v>
      </c>
      <c r="EK252">
        <v>3.5</v>
      </c>
      <c r="EL252">
        <v>5</v>
      </c>
      <c r="EM252">
        <v>6.6159999999999997</v>
      </c>
      <c r="EN252">
        <v>2</v>
      </c>
      <c r="EO252">
        <v>48.559999999999988</v>
      </c>
      <c r="EP252">
        <v>0.16000000000000031</v>
      </c>
      <c r="EQ252">
        <v>9</v>
      </c>
      <c r="ER252">
        <v>10</v>
      </c>
      <c r="ES252">
        <v>9</v>
      </c>
      <c r="ET252">
        <v>1.8279999999999994</v>
      </c>
      <c r="EU252">
        <v>11</v>
      </c>
      <c r="EV252">
        <v>5.3599999999999994</v>
      </c>
      <c r="EW252">
        <v>-0.96</v>
      </c>
      <c r="EX252">
        <v>20</v>
      </c>
      <c r="EY252">
        <v>21</v>
      </c>
      <c r="EZ252">
        <v>18</v>
      </c>
      <c r="FA252">
        <v>0.4799999999999997</v>
      </c>
      <c r="FB252">
        <v>24</v>
      </c>
      <c r="FC252">
        <v>-0.2</v>
      </c>
      <c r="FD252">
        <v>3.1999999999999997</v>
      </c>
      <c r="FE252">
        <v>22</v>
      </c>
      <c r="FF252">
        <v>18.25</v>
      </c>
      <c r="FG252">
        <v>13</v>
      </c>
      <c r="FH252">
        <v>2.6341911174199938E-2</v>
      </c>
      <c r="FI252">
        <v>15</v>
      </c>
      <c r="FJ252">
        <v>1.4162539802192661E-3</v>
      </c>
      <c r="FK252">
        <v>19</v>
      </c>
      <c r="FL252">
        <v>-4.1359999999999983</v>
      </c>
      <c r="FM252">
        <v>26</v>
      </c>
      <c r="FN252">
        <v>-3.5200000000000005</v>
      </c>
      <c r="FO252">
        <v>-4.6399999999999997</v>
      </c>
      <c r="FP252">
        <v>2.5200000000000005</v>
      </c>
      <c r="FQ252">
        <v>1.0400000000000003</v>
      </c>
      <c r="FR252">
        <v>-0.27999999999999831</v>
      </c>
      <c r="FS252">
        <v>2.2000000000000002</v>
      </c>
      <c r="FT252">
        <v>1.04</v>
      </c>
      <c r="FU252">
        <v>53.96</v>
      </c>
      <c r="FV252">
        <v>32.520000000000003</v>
      </c>
      <c r="FW252">
        <v>15.400000000000002</v>
      </c>
      <c r="FX252">
        <v>4.4399999999999995</v>
      </c>
      <c r="FY252">
        <v>1.6000000000000014</v>
      </c>
      <c r="FZ252">
        <v>2</v>
      </c>
      <c r="GA252">
        <v>8.023200000000001</v>
      </c>
      <c r="GB252">
        <v>4.3740400000000008</v>
      </c>
      <c r="GC252">
        <v>17.12</v>
      </c>
      <c r="GD252">
        <v>-8.0232000000000028</v>
      </c>
      <c r="GE252">
        <v>0.95277500000000026</v>
      </c>
      <c r="GF252">
        <v>5.7070000000000007</v>
      </c>
      <c r="GG252">
        <v>48.180000000000007</v>
      </c>
      <c r="GH252">
        <v>-4.2080000000000002</v>
      </c>
      <c r="GI252">
        <v>10.800000000000002</v>
      </c>
      <c r="GJ252">
        <v>-2.0300000000000002</v>
      </c>
      <c r="GK252">
        <v>-2.5999999999999996</v>
      </c>
    </row>
    <row r="253" spans="1:193" x14ac:dyDescent="0.2">
      <c r="A253" s="39">
        <v>43793</v>
      </c>
      <c r="B253" s="22" t="s">
        <v>242</v>
      </c>
      <c r="C253" s="40" t="s">
        <v>256</v>
      </c>
      <c r="D253" s="22" t="s">
        <v>300</v>
      </c>
      <c r="E253">
        <v>2.5</v>
      </c>
      <c r="F253">
        <v>13</v>
      </c>
      <c r="G253">
        <v>4.7</v>
      </c>
      <c r="H253">
        <v>27.9</v>
      </c>
      <c r="I253">
        <v>-3</v>
      </c>
      <c r="J253">
        <v>48</v>
      </c>
      <c r="L253" s="1" t="s">
        <v>256</v>
      </c>
      <c r="M253">
        <v>18</v>
      </c>
      <c r="N253">
        <v>-0.43199999999999933</v>
      </c>
      <c r="O253">
        <v>26</v>
      </c>
      <c r="P253">
        <v>24.5</v>
      </c>
      <c r="Q253">
        <v>25</v>
      </c>
      <c r="R253">
        <v>-1.6320000000000008</v>
      </c>
      <c r="S253">
        <v>24</v>
      </c>
      <c r="T253">
        <v>-15.120000000000001</v>
      </c>
      <c r="U253">
        <v>-1.3200000000000003</v>
      </c>
      <c r="V253">
        <v>5</v>
      </c>
      <c r="W253">
        <v>8</v>
      </c>
      <c r="X253">
        <v>9</v>
      </c>
      <c r="Y253">
        <v>1.8479999999999996</v>
      </c>
      <c r="Z253">
        <v>7</v>
      </c>
      <c r="AA253">
        <v>8.3899999999999988</v>
      </c>
      <c r="AB253">
        <v>0.92999999999999972</v>
      </c>
      <c r="AC253">
        <v>23</v>
      </c>
      <c r="AD253">
        <v>22</v>
      </c>
      <c r="AE253">
        <v>24</v>
      </c>
      <c r="AF253">
        <v>-1.4460000000000004</v>
      </c>
      <c r="AG253">
        <v>20</v>
      </c>
      <c r="AH253">
        <v>-11.189999999999998</v>
      </c>
      <c r="AI253">
        <v>-0.9800000000000002</v>
      </c>
      <c r="AJ253">
        <v>27</v>
      </c>
      <c r="AK253">
        <v>27</v>
      </c>
      <c r="AL253">
        <v>25</v>
      </c>
      <c r="AM253">
        <v>-0.89599999999999969</v>
      </c>
      <c r="AN253">
        <v>29</v>
      </c>
      <c r="AO253">
        <v>-18.5</v>
      </c>
      <c r="AP253">
        <v>-0.58000000000000007</v>
      </c>
      <c r="AQ253">
        <v>13</v>
      </c>
      <c r="AR253">
        <v>14.5</v>
      </c>
      <c r="AS253">
        <v>16</v>
      </c>
      <c r="AT253">
        <v>-1.1140000000000001</v>
      </c>
      <c r="AU253">
        <v>13</v>
      </c>
      <c r="AV253">
        <v>-5.6400000000000015</v>
      </c>
      <c r="AW253">
        <v>-0.93</v>
      </c>
      <c r="AX253">
        <v>19</v>
      </c>
      <c r="AY253">
        <v>19.5</v>
      </c>
      <c r="AZ253">
        <v>20</v>
      </c>
      <c r="BA253">
        <v>1.8319999999999994</v>
      </c>
      <c r="BB253">
        <v>19</v>
      </c>
      <c r="BC253">
        <v>0.71999999999999598</v>
      </c>
      <c r="BD253">
        <v>-1.1200000000000003</v>
      </c>
      <c r="BE253">
        <v>17</v>
      </c>
      <c r="BF253">
        <v>17.5</v>
      </c>
      <c r="BG253">
        <v>16</v>
      </c>
      <c r="BH253">
        <v>2.1159999999999988</v>
      </c>
      <c r="BI253">
        <v>6.8272000000000004</v>
      </c>
      <c r="BJ253">
        <v>-0.6</v>
      </c>
      <c r="BK253">
        <v>17</v>
      </c>
      <c r="BL253">
        <v>16</v>
      </c>
      <c r="BM253">
        <v>15</v>
      </c>
      <c r="BN253">
        <v>1.2399999999999998</v>
      </c>
      <c r="BO253">
        <v>17</v>
      </c>
      <c r="BP253">
        <v>-0.2</v>
      </c>
      <c r="BQ253">
        <v>3.9200000000000004</v>
      </c>
      <c r="BR253">
        <v>21</v>
      </c>
      <c r="BS253">
        <v>17.75</v>
      </c>
      <c r="BT253">
        <v>19</v>
      </c>
      <c r="BU253">
        <v>-4.4706725892800555E-3</v>
      </c>
      <c r="BV253">
        <v>3</v>
      </c>
      <c r="BW253">
        <v>1.9463622687077825E-2</v>
      </c>
      <c r="BX253">
        <v>29</v>
      </c>
      <c r="BY253">
        <v>2.4120000000000035</v>
      </c>
      <c r="BZ253">
        <v>20</v>
      </c>
      <c r="CA253">
        <v>-0.56000000000000028</v>
      </c>
      <c r="CB253">
        <v>-0.96000000000000085</v>
      </c>
      <c r="CC253">
        <v>6.4799999999999995</v>
      </c>
      <c r="CD253">
        <v>0.56000000000000005</v>
      </c>
      <c r="CE253">
        <v>-18</v>
      </c>
      <c r="CF253">
        <v>-19.599999999999987</v>
      </c>
      <c r="CG253">
        <v>9.9200000000000017</v>
      </c>
      <c r="CH253">
        <v>4.84</v>
      </c>
      <c r="CI253">
        <v>-13.16</v>
      </c>
      <c r="CJ253">
        <v>16</v>
      </c>
      <c r="CK253">
        <v>-0.64799999999999813</v>
      </c>
      <c r="CL253">
        <v>-0.46239999999999948</v>
      </c>
      <c r="CM253">
        <v>-29.519999999999989</v>
      </c>
      <c r="CN253">
        <v>0.64799999999999813</v>
      </c>
      <c r="CO253">
        <v>-3.9500000000000257E-2</v>
      </c>
      <c r="CP253">
        <v>-3.4560000000000004</v>
      </c>
      <c r="CQ253">
        <v>-35.33</v>
      </c>
      <c r="CR253">
        <v>0.21599999999999886</v>
      </c>
      <c r="CS253">
        <v>-6.7300000000000022</v>
      </c>
      <c r="CT253">
        <v>-3.0900000000000003</v>
      </c>
      <c r="CU253">
        <v>-0.39000000000000057</v>
      </c>
      <c r="CV253">
        <v>-0.44383749999999977</v>
      </c>
      <c r="CW253">
        <v>-2.0824500000000001</v>
      </c>
      <c r="CX253" t="s">
        <v>300</v>
      </c>
      <c r="CY253">
        <v>21</v>
      </c>
      <c r="CZ253">
        <v>0.33920000000000028</v>
      </c>
      <c r="DA253">
        <v>5</v>
      </c>
      <c r="DB253">
        <v>6</v>
      </c>
      <c r="DC253">
        <v>8</v>
      </c>
      <c r="DD253">
        <v>6.8000000000001753E-2</v>
      </c>
      <c r="DE253">
        <v>4</v>
      </c>
      <c r="DF253">
        <v>6.8400000000000007</v>
      </c>
      <c r="DG253">
        <v>0.24000000000000005</v>
      </c>
      <c r="DH253">
        <v>9</v>
      </c>
      <c r="DI253">
        <v>11.5</v>
      </c>
      <c r="DJ253">
        <v>19</v>
      </c>
      <c r="DK253">
        <v>-0.85600000000000009</v>
      </c>
      <c r="DL253">
        <v>4</v>
      </c>
      <c r="DM253">
        <v>11.92</v>
      </c>
      <c r="DN253">
        <v>-1.6</v>
      </c>
      <c r="DO253">
        <v>23</v>
      </c>
      <c r="DP253">
        <v>27.5</v>
      </c>
      <c r="DQ253">
        <v>29</v>
      </c>
      <c r="DR253">
        <v>-6.1649999999999991</v>
      </c>
      <c r="DS253">
        <v>26</v>
      </c>
      <c r="DT253">
        <v>-19.949999999999996</v>
      </c>
      <c r="DU253">
        <v>-2.8500000000000005</v>
      </c>
      <c r="DV253">
        <v>13</v>
      </c>
      <c r="DW253">
        <v>13.5</v>
      </c>
      <c r="DX253">
        <v>17</v>
      </c>
      <c r="DY253">
        <v>2.4150000000000005</v>
      </c>
      <c r="DZ253">
        <v>10</v>
      </c>
      <c r="EA253">
        <v>13.700000000000003</v>
      </c>
      <c r="EB253">
        <v>-0.10000000000000009</v>
      </c>
      <c r="EC253">
        <v>12</v>
      </c>
      <c r="ED253">
        <v>17</v>
      </c>
      <c r="EE253">
        <v>20</v>
      </c>
      <c r="EF253">
        <v>1.7850000000000001</v>
      </c>
      <c r="EG253">
        <v>14</v>
      </c>
      <c r="EH253">
        <v>8.9499999999999993</v>
      </c>
      <c r="EI253">
        <v>-0.8</v>
      </c>
      <c r="EJ253">
        <v>16</v>
      </c>
      <c r="EK253">
        <v>16</v>
      </c>
      <c r="EL253">
        <v>17</v>
      </c>
      <c r="EM253">
        <v>0.86799999999999999</v>
      </c>
      <c r="EN253">
        <v>15</v>
      </c>
      <c r="EO253">
        <v>-4.12</v>
      </c>
      <c r="EP253">
        <v>-2.3200000000000003</v>
      </c>
      <c r="EQ253">
        <v>1</v>
      </c>
      <c r="ER253">
        <v>1</v>
      </c>
      <c r="ES253">
        <v>1</v>
      </c>
      <c r="ET253">
        <v>10.692000000000002</v>
      </c>
      <c r="EU253">
        <v>1</v>
      </c>
      <c r="EV253">
        <v>46.72</v>
      </c>
      <c r="EW253">
        <v>2.2799999999999998</v>
      </c>
      <c r="EX253">
        <v>6</v>
      </c>
      <c r="EY253">
        <v>5</v>
      </c>
      <c r="EZ253">
        <v>2</v>
      </c>
      <c r="FA253">
        <v>1.28</v>
      </c>
      <c r="FB253">
        <v>8</v>
      </c>
      <c r="FC253">
        <v>0.19999999999999996</v>
      </c>
      <c r="FD253">
        <v>-3.72</v>
      </c>
      <c r="FE253">
        <v>29</v>
      </c>
      <c r="FF253">
        <v>24</v>
      </c>
      <c r="FG253">
        <v>17</v>
      </c>
      <c r="FH253">
        <v>-9.3242140906327937E-3</v>
      </c>
      <c r="FI253">
        <v>23</v>
      </c>
      <c r="FJ253">
        <v>-6.3022757928228408E-3</v>
      </c>
      <c r="FK253">
        <v>27</v>
      </c>
      <c r="FL253">
        <v>15.491999999999996</v>
      </c>
      <c r="FM253">
        <v>29</v>
      </c>
      <c r="FN253">
        <v>-3.84</v>
      </c>
      <c r="FO253">
        <v>-3.7600000000000007</v>
      </c>
      <c r="FP253">
        <v>1.2</v>
      </c>
      <c r="FQ253">
        <v>0.6399999999999999</v>
      </c>
      <c r="FR253">
        <v>-2.7999999999999985</v>
      </c>
      <c r="FS253">
        <v>2.2000000000000002</v>
      </c>
      <c r="FT253">
        <v>-1.2</v>
      </c>
      <c r="FU253">
        <v>41.760000000000005</v>
      </c>
      <c r="FV253">
        <v>23.080000000000002</v>
      </c>
      <c r="FW253">
        <v>24.880000000000003</v>
      </c>
      <c r="FX253">
        <v>-4.9599999999999991</v>
      </c>
      <c r="FY253">
        <v>-1.24</v>
      </c>
      <c r="FZ253">
        <v>15</v>
      </c>
      <c r="GA253">
        <v>1.1271999999999986</v>
      </c>
      <c r="GB253">
        <v>2.2072400000000001</v>
      </c>
      <c r="GC253">
        <v>-1.8000000000000007</v>
      </c>
      <c r="GD253">
        <v>-1.1271999999999986</v>
      </c>
      <c r="GE253">
        <v>1.1947750000000006</v>
      </c>
      <c r="GF253">
        <v>-1.9649999999999985</v>
      </c>
      <c r="GG253">
        <v>2.7000000000000064</v>
      </c>
      <c r="GH253">
        <v>-0.78799999999999837</v>
      </c>
      <c r="GI253">
        <v>18.760000000000002</v>
      </c>
      <c r="GJ253">
        <v>-1.4700000000000011</v>
      </c>
      <c r="GK253">
        <v>-1.36</v>
      </c>
    </row>
    <row r="254" spans="1:193" x14ac:dyDescent="0.2">
      <c r="A254" s="39">
        <v>43793</v>
      </c>
      <c r="B254" s="22" t="s">
        <v>242</v>
      </c>
      <c r="C254" s="41" t="s">
        <v>308</v>
      </c>
      <c r="D254" s="22" t="s">
        <v>294</v>
      </c>
      <c r="E254">
        <v>4.8</v>
      </c>
      <c r="F254">
        <v>6.5</v>
      </c>
      <c r="G254">
        <v>10.3</v>
      </c>
      <c r="H254">
        <v>4.2</v>
      </c>
      <c r="I254">
        <v>-1</v>
      </c>
      <c r="J254">
        <v>45.5</v>
      </c>
      <c r="L254" s="1" t="s">
        <v>308</v>
      </c>
      <c r="M254">
        <v>9</v>
      </c>
      <c r="N254">
        <v>3.6295999999999999</v>
      </c>
      <c r="O254">
        <v>3</v>
      </c>
      <c r="P254">
        <v>6</v>
      </c>
      <c r="Q254">
        <v>10</v>
      </c>
      <c r="R254">
        <v>-1.42</v>
      </c>
      <c r="S254">
        <v>2</v>
      </c>
      <c r="T254">
        <v>14.2</v>
      </c>
      <c r="U254">
        <v>-1.1999999999999997</v>
      </c>
      <c r="V254">
        <v>1</v>
      </c>
      <c r="W254">
        <v>1.5</v>
      </c>
      <c r="X254">
        <v>2</v>
      </c>
      <c r="Y254">
        <v>1.3279999999999998</v>
      </c>
      <c r="Z254">
        <v>1</v>
      </c>
      <c r="AA254">
        <v>20.240000000000002</v>
      </c>
      <c r="AB254">
        <v>-1.4800000000000002</v>
      </c>
      <c r="AC254">
        <v>19</v>
      </c>
      <c r="AD254">
        <v>18.5</v>
      </c>
      <c r="AE254">
        <v>15</v>
      </c>
      <c r="AF254">
        <v>3.2880000000000003</v>
      </c>
      <c r="AG254">
        <v>22</v>
      </c>
      <c r="AH254">
        <v>10.319999999999999</v>
      </c>
      <c r="AI254">
        <v>-1.1999999999999997</v>
      </c>
      <c r="AJ254">
        <v>12</v>
      </c>
      <c r="AK254">
        <v>11.5</v>
      </c>
      <c r="AL254">
        <v>12</v>
      </c>
      <c r="AM254">
        <v>1.4520000000000006</v>
      </c>
      <c r="AN254">
        <v>11</v>
      </c>
      <c r="AO254">
        <v>5.3200000000000021</v>
      </c>
      <c r="AP254">
        <v>0.72000000000000008</v>
      </c>
      <c r="AQ254">
        <v>17</v>
      </c>
      <c r="AR254">
        <v>17</v>
      </c>
      <c r="AS254">
        <v>17</v>
      </c>
      <c r="AT254">
        <v>3.6000000000000122E-2</v>
      </c>
      <c r="AU254">
        <v>17</v>
      </c>
      <c r="AV254">
        <v>3.7200000000000011</v>
      </c>
      <c r="AW254">
        <v>0.1999999999999999</v>
      </c>
      <c r="AX254">
        <v>24</v>
      </c>
      <c r="AY254">
        <v>25</v>
      </c>
      <c r="AZ254">
        <v>26</v>
      </c>
      <c r="BA254">
        <v>2.2480000000000016</v>
      </c>
      <c r="BB254">
        <v>24</v>
      </c>
      <c r="BC254">
        <v>15.280000000000001</v>
      </c>
      <c r="BD254">
        <v>-0.31999999999999995</v>
      </c>
      <c r="BE254">
        <v>12</v>
      </c>
      <c r="BF254">
        <v>12.5</v>
      </c>
      <c r="BG254">
        <v>10</v>
      </c>
      <c r="BH254">
        <v>2.4239999999999986</v>
      </c>
      <c r="BI254">
        <v>0.24000000000000127</v>
      </c>
      <c r="BJ254">
        <v>1.0399999999999998</v>
      </c>
      <c r="BK254">
        <v>8</v>
      </c>
      <c r="BL254">
        <v>8.5</v>
      </c>
      <c r="BM254">
        <v>9</v>
      </c>
      <c r="BN254">
        <v>1.48</v>
      </c>
      <c r="BO254">
        <v>8</v>
      </c>
      <c r="BP254">
        <v>0.6399999999999999</v>
      </c>
      <c r="BQ254">
        <v>2.8800000000000003</v>
      </c>
      <c r="BR254">
        <v>12</v>
      </c>
      <c r="BS254">
        <v>13.25</v>
      </c>
      <c r="BT254">
        <v>11</v>
      </c>
      <c r="BU254">
        <v>7.0645504554450039E-2</v>
      </c>
      <c r="BV254">
        <v>5</v>
      </c>
      <c r="BW254">
        <v>1.2576434122401553E-2</v>
      </c>
      <c r="BX254">
        <v>21</v>
      </c>
      <c r="BY254">
        <v>5.4839999999999973</v>
      </c>
      <c r="BZ254">
        <v>16</v>
      </c>
      <c r="CA254">
        <v>0.3599999999999996</v>
      </c>
      <c r="CB254">
        <v>1.0000000000000013</v>
      </c>
      <c r="CC254">
        <v>4.4000000000000004</v>
      </c>
      <c r="CD254">
        <v>0.20000000000000009</v>
      </c>
      <c r="CE254">
        <v>49.240000000000009</v>
      </c>
      <c r="CF254">
        <v>16.119999999999997</v>
      </c>
      <c r="CG254">
        <v>29.279999999999994</v>
      </c>
      <c r="CH254">
        <v>-1.7600000000000002</v>
      </c>
      <c r="CI254">
        <v>5.6</v>
      </c>
      <c r="CJ254">
        <v>10</v>
      </c>
      <c r="CK254">
        <v>3.7216</v>
      </c>
      <c r="CL254">
        <v>2.2119200000000001</v>
      </c>
      <c r="CM254">
        <v>-13.159999999999997</v>
      </c>
      <c r="CN254">
        <v>-3.7216</v>
      </c>
      <c r="CO254">
        <v>1.5271999999999997</v>
      </c>
      <c r="CP254">
        <v>4.7760000000000016</v>
      </c>
      <c r="CQ254">
        <v>19.360000000000003</v>
      </c>
      <c r="CR254">
        <v>-9.2000000000000082E-2</v>
      </c>
      <c r="CS254">
        <v>34.44</v>
      </c>
      <c r="CT254">
        <v>0.76</v>
      </c>
      <c r="CU254">
        <v>-2.6799999999999997</v>
      </c>
      <c r="CV254">
        <v>-1.2387937500000001</v>
      </c>
      <c r="CW254">
        <v>-0.24508749999999996</v>
      </c>
      <c r="CX254" t="s">
        <v>294</v>
      </c>
      <c r="CY254">
        <v>30</v>
      </c>
      <c r="CZ254">
        <v>-5.4080000000000004</v>
      </c>
      <c r="DA254">
        <v>18</v>
      </c>
      <c r="DB254">
        <v>19.5</v>
      </c>
      <c r="DC254">
        <v>7</v>
      </c>
      <c r="DD254">
        <v>2.6760000000000002</v>
      </c>
      <c r="DE254">
        <v>32</v>
      </c>
      <c r="DF254">
        <v>-21.4</v>
      </c>
      <c r="DG254">
        <v>1.8399999999999999</v>
      </c>
      <c r="DH254">
        <v>5</v>
      </c>
      <c r="DI254">
        <v>8</v>
      </c>
      <c r="DJ254">
        <v>13</v>
      </c>
      <c r="DK254">
        <v>0.65199999999999947</v>
      </c>
      <c r="DL254">
        <v>3</v>
      </c>
      <c r="DM254">
        <v>19.399999999999999</v>
      </c>
      <c r="DN254">
        <v>-0.11999999999999993</v>
      </c>
      <c r="DO254">
        <v>30</v>
      </c>
      <c r="DP254">
        <v>24</v>
      </c>
      <c r="DQ254">
        <v>24</v>
      </c>
      <c r="DR254">
        <v>-6.1159999999999997</v>
      </c>
      <c r="DS254">
        <v>24</v>
      </c>
      <c r="DT254">
        <v>-20.240000000000002</v>
      </c>
      <c r="DU254">
        <v>-2.4</v>
      </c>
      <c r="DV254">
        <v>31</v>
      </c>
      <c r="DW254">
        <v>30.5</v>
      </c>
      <c r="DX254">
        <v>30</v>
      </c>
      <c r="DY254">
        <v>-5.1920000000000002</v>
      </c>
      <c r="DZ254">
        <v>31</v>
      </c>
      <c r="EA254">
        <v>-20.96</v>
      </c>
      <c r="EB254">
        <v>-2.3199999999999994</v>
      </c>
      <c r="EC254">
        <v>29</v>
      </c>
      <c r="ED254">
        <v>20</v>
      </c>
      <c r="EE254">
        <v>18</v>
      </c>
      <c r="EF254">
        <v>-1.6400000000000006</v>
      </c>
      <c r="EG254">
        <v>22</v>
      </c>
      <c r="EH254">
        <v>-14.24</v>
      </c>
      <c r="EI254">
        <v>-1.9199999999999995</v>
      </c>
      <c r="EJ254">
        <v>32</v>
      </c>
      <c r="EK254">
        <v>32</v>
      </c>
      <c r="EL254">
        <v>32</v>
      </c>
      <c r="EM254">
        <v>-12.484</v>
      </c>
      <c r="EN254">
        <v>32</v>
      </c>
      <c r="EO254">
        <v>-52.04</v>
      </c>
      <c r="EP254">
        <v>-4.5600000000000005</v>
      </c>
      <c r="EQ254">
        <v>8</v>
      </c>
      <c r="ER254">
        <v>8.5</v>
      </c>
      <c r="ES254">
        <v>12</v>
      </c>
      <c r="ET254">
        <v>-1.3119999999999998</v>
      </c>
      <c r="EU254">
        <v>5</v>
      </c>
      <c r="EV254">
        <v>-3.12</v>
      </c>
      <c r="EW254">
        <v>-0.72</v>
      </c>
      <c r="EX254">
        <v>31</v>
      </c>
      <c r="EY254">
        <v>28.5</v>
      </c>
      <c r="EZ254">
        <v>26</v>
      </c>
      <c r="FA254">
        <v>-1.52</v>
      </c>
      <c r="FB254">
        <v>31</v>
      </c>
      <c r="FC254">
        <v>-0.8</v>
      </c>
      <c r="FD254">
        <v>1.1999999999999997</v>
      </c>
      <c r="FE254">
        <v>4</v>
      </c>
      <c r="FF254">
        <v>8.75</v>
      </c>
      <c r="FG254">
        <v>3</v>
      </c>
      <c r="FH254">
        <v>9.0966006250782164E-3</v>
      </c>
      <c r="FI254">
        <v>4</v>
      </c>
      <c r="FJ254">
        <v>4.3996835817979113E-2</v>
      </c>
      <c r="FK254">
        <v>14</v>
      </c>
      <c r="FL254">
        <v>1.8279999999999987</v>
      </c>
      <c r="FM254">
        <v>14</v>
      </c>
      <c r="FN254">
        <v>0.36</v>
      </c>
      <c r="FO254">
        <v>-4.4400000000000004</v>
      </c>
      <c r="FP254">
        <v>-3.44</v>
      </c>
      <c r="FQ254">
        <v>0.12000000000000011</v>
      </c>
      <c r="FR254">
        <v>-6.7200000000000015</v>
      </c>
      <c r="FS254">
        <v>-2.16</v>
      </c>
      <c r="FT254">
        <v>-1</v>
      </c>
      <c r="FU254">
        <v>-47.91999999999998</v>
      </c>
      <c r="FV254">
        <v>-52.319999999999993</v>
      </c>
      <c r="FW254">
        <v>-1.7599999999999993</v>
      </c>
      <c r="FX254">
        <v>2.56</v>
      </c>
      <c r="FY254">
        <v>3.6</v>
      </c>
      <c r="FZ254">
        <v>31</v>
      </c>
      <c r="GA254">
        <v>-8.7359999999999989</v>
      </c>
      <c r="GB254">
        <v>-5.5975999999999999</v>
      </c>
      <c r="GC254">
        <v>-50.559999999999995</v>
      </c>
      <c r="GD254">
        <v>8.7360000000000007</v>
      </c>
      <c r="GE254">
        <v>-2.2325000000000004</v>
      </c>
      <c r="GF254">
        <v>-12.948</v>
      </c>
      <c r="GG254">
        <v>-55.440000000000005</v>
      </c>
      <c r="GH254">
        <v>3.3279999999999994</v>
      </c>
      <c r="GI254">
        <v>-2</v>
      </c>
      <c r="GJ254">
        <v>-7.3599999999999985</v>
      </c>
      <c r="GK254">
        <v>1.72</v>
      </c>
    </row>
    <row r="255" spans="1:193" x14ac:dyDescent="0.2">
      <c r="A255" s="39">
        <v>43793</v>
      </c>
      <c r="B255" s="22" t="s">
        <v>242</v>
      </c>
      <c r="C255" s="41" t="s">
        <v>284</v>
      </c>
      <c r="D255" s="22" t="s">
        <v>295</v>
      </c>
      <c r="E255">
        <v>9</v>
      </c>
      <c r="F255">
        <v>40.4</v>
      </c>
      <c r="G255">
        <v>5.4</v>
      </c>
      <c r="H255">
        <v>2</v>
      </c>
      <c r="I255">
        <v>3.5</v>
      </c>
      <c r="J255">
        <v>51.5</v>
      </c>
      <c r="K255" s="20" t="s">
        <v>109</v>
      </c>
      <c r="L255" s="1" t="s">
        <v>284</v>
      </c>
      <c r="M255">
        <v>10</v>
      </c>
      <c r="N255">
        <v>3.256800000000001</v>
      </c>
      <c r="O255">
        <v>24</v>
      </c>
      <c r="P255">
        <v>22.5</v>
      </c>
      <c r="Q255">
        <v>20</v>
      </c>
      <c r="R255">
        <v>-3.1680000000000001</v>
      </c>
      <c r="S255">
        <v>25</v>
      </c>
      <c r="T255">
        <v>-4.0100000000000025</v>
      </c>
      <c r="U255">
        <v>-1.07</v>
      </c>
      <c r="V255">
        <v>20</v>
      </c>
      <c r="W255">
        <v>18.5</v>
      </c>
      <c r="X255">
        <v>12</v>
      </c>
      <c r="Y255">
        <v>1.2689999999999999</v>
      </c>
      <c r="Z255">
        <v>25</v>
      </c>
      <c r="AA255">
        <v>-8.11</v>
      </c>
      <c r="AB255">
        <v>-0.39999999999999991</v>
      </c>
      <c r="AC255">
        <v>24</v>
      </c>
      <c r="AD255">
        <v>22.5</v>
      </c>
      <c r="AE255">
        <v>26</v>
      </c>
      <c r="AF255">
        <v>2.7020000000000004</v>
      </c>
      <c r="AG255">
        <v>19</v>
      </c>
      <c r="AH255">
        <v>18.399999999999999</v>
      </c>
      <c r="AI255">
        <v>-1.6099999999999999</v>
      </c>
      <c r="AJ255">
        <v>2</v>
      </c>
      <c r="AK255">
        <v>3</v>
      </c>
      <c r="AL255">
        <v>3</v>
      </c>
      <c r="AM255">
        <v>5.2369999999999992</v>
      </c>
      <c r="AN255">
        <v>3</v>
      </c>
      <c r="AO255">
        <v>28.589999999999996</v>
      </c>
      <c r="AP255">
        <v>2.44</v>
      </c>
      <c r="AQ255">
        <v>4</v>
      </c>
      <c r="AR255">
        <v>4.5</v>
      </c>
      <c r="AS255">
        <v>5</v>
      </c>
      <c r="AT255">
        <v>1.6099999999999994</v>
      </c>
      <c r="AU255">
        <v>4</v>
      </c>
      <c r="AV255">
        <v>9.7600000000000016</v>
      </c>
      <c r="AW255">
        <v>0.51</v>
      </c>
      <c r="AX255">
        <v>6</v>
      </c>
      <c r="AY255">
        <v>5.5</v>
      </c>
      <c r="AZ255">
        <v>6</v>
      </c>
      <c r="BA255">
        <v>5.363999999999999</v>
      </c>
      <c r="BB255">
        <v>5</v>
      </c>
      <c r="BC255">
        <v>29.24</v>
      </c>
      <c r="BD255">
        <v>-0.4</v>
      </c>
      <c r="BE255">
        <v>20</v>
      </c>
      <c r="BF255">
        <v>22</v>
      </c>
      <c r="BG255">
        <v>22</v>
      </c>
      <c r="BH255">
        <v>-4.0919999999999996</v>
      </c>
      <c r="BI255">
        <v>-16.4528</v>
      </c>
      <c r="BJ255">
        <v>-1</v>
      </c>
      <c r="BK255">
        <v>18</v>
      </c>
      <c r="BL255">
        <v>17.5</v>
      </c>
      <c r="BM255">
        <v>16</v>
      </c>
      <c r="BN255">
        <v>0.20000000000000034</v>
      </c>
      <c r="BO255">
        <v>19</v>
      </c>
      <c r="BP255">
        <v>-0.11999999999999997</v>
      </c>
      <c r="BQ255">
        <v>-2.0799999999999996</v>
      </c>
      <c r="BR255">
        <v>14</v>
      </c>
      <c r="BS255">
        <v>14</v>
      </c>
      <c r="BT255">
        <v>29</v>
      </c>
      <c r="BU255">
        <v>-6.0806275305828536E-2</v>
      </c>
      <c r="BV255">
        <v>22</v>
      </c>
      <c r="BW255">
        <v>-1.3566257086646855E-2</v>
      </c>
      <c r="BX255">
        <v>1</v>
      </c>
      <c r="BY255">
        <v>-26.155999999999999</v>
      </c>
      <c r="BZ255">
        <v>4</v>
      </c>
      <c r="CA255">
        <v>1.2</v>
      </c>
      <c r="CB255">
        <v>2.5600000000000009</v>
      </c>
      <c r="CC255">
        <v>5.44</v>
      </c>
      <c r="CD255">
        <v>-0.83999999999999986</v>
      </c>
      <c r="CE255">
        <v>34.120000000000005</v>
      </c>
      <c r="CF255">
        <v>32.120000000000012</v>
      </c>
      <c r="CG255">
        <v>-10.039999999999996</v>
      </c>
      <c r="CH255">
        <v>-3.4799999999999995</v>
      </c>
      <c r="CI255">
        <v>15.52</v>
      </c>
      <c r="CJ255">
        <v>8</v>
      </c>
      <c r="CK255">
        <v>5.155800000000001</v>
      </c>
      <c r="CL255">
        <v>2.6922600000000005</v>
      </c>
      <c r="CM255">
        <v>42.160000000000011</v>
      </c>
      <c r="CN255">
        <v>-5.155800000000001</v>
      </c>
      <c r="CO255">
        <v>0.87685000000000013</v>
      </c>
      <c r="CP255">
        <v>9.5489999999999995</v>
      </c>
      <c r="CQ255">
        <v>56.75</v>
      </c>
      <c r="CR255">
        <v>-1.8990000000000002</v>
      </c>
      <c r="CS255">
        <v>-12.120000000000001</v>
      </c>
      <c r="CT255">
        <v>0.34000000000000008</v>
      </c>
      <c r="CU255">
        <v>-1.47</v>
      </c>
      <c r="CV255">
        <v>0.74778750000000005</v>
      </c>
      <c r="CW255">
        <v>2.0112749999999999</v>
      </c>
      <c r="CX255" t="s">
        <v>295</v>
      </c>
      <c r="CY255">
        <v>27</v>
      </c>
      <c r="CZ255">
        <v>-0.20560000000000045</v>
      </c>
      <c r="DA255">
        <v>30</v>
      </c>
      <c r="DB255">
        <v>28</v>
      </c>
      <c r="DC255">
        <v>28</v>
      </c>
      <c r="DD255">
        <v>-1.3599999999999994</v>
      </c>
      <c r="DE255">
        <v>28</v>
      </c>
      <c r="DF255">
        <v>-15.760000000000002</v>
      </c>
      <c r="DG255">
        <v>0.43999999999999995</v>
      </c>
      <c r="DH255">
        <v>28</v>
      </c>
      <c r="DI255">
        <v>25.5</v>
      </c>
      <c r="DJ255">
        <v>30</v>
      </c>
      <c r="DK255">
        <v>-0.87199999999999955</v>
      </c>
      <c r="DL255">
        <v>21</v>
      </c>
      <c r="DM255">
        <v>4.84</v>
      </c>
      <c r="DN255">
        <v>0.23999999999999994</v>
      </c>
      <c r="DO255">
        <v>22</v>
      </c>
      <c r="DP255">
        <v>18.5</v>
      </c>
      <c r="DQ255">
        <v>21</v>
      </c>
      <c r="DR255">
        <v>-3.3520000000000003</v>
      </c>
      <c r="DS255">
        <v>16</v>
      </c>
      <c r="DT255">
        <v>-6.76</v>
      </c>
      <c r="DU255">
        <v>1.2399999999999998</v>
      </c>
      <c r="DV255">
        <v>9</v>
      </c>
      <c r="DW255">
        <v>10</v>
      </c>
      <c r="DX255">
        <v>9</v>
      </c>
      <c r="DY255">
        <v>3.472</v>
      </c>
      <c r="DZ255">
        <v>11</v>
      </c>
      <c r="EA255">
        <v>8.0000000000000036</v>
      </c>
      <c r="EB255">
        <v>-0.96</v>
      </c>
      <c r="EC255">
        <v>17</v>
      </c>
      <c r="ED255">
        <v>26.5</v>
      </c>
      <c r="EE255">
        <v>29</v>
      </c>
      <c r="EF255">
        <v>-0.75599999999999956</v>
      </c>
      <c r="EG255">
        <v>24</v>
      </c>
      <c r="EH255">
        <v>1.320000000000001</v>
      </c>
      <c r="EI255">
        <v>-0.32000000000000012</v>
      </c>
      <c r="EJ255">
        <v>10</v>
      </c>
      <c r="EK255">
        <v>11.5</v>
      </c>
      <c r="EL255">
        <v>14</v>
      </c>
      <c r="EM255">
        <v>-0.87600000000000122</v>
      </c>
      <c r="EN255">
        <v>9</v>
      </c>
      <c r="EO255">
        <v>2.4399999999999991</v>
      </c>
      <c r="EP255">
        <v>-0.31999999999999956</v>
      </c>
      <c r="EQ255">
        <v>29</v>
      </c>
      <c r="ER255">
        <v>26.5</v>
      </c>
      <c r="ES255">
        <v>30</v>
      </c>
      <c r="ET255">
        <v>-1.8119999999999994</v>
      </c>
      <c r="EU255">
        <v>23</v>
      </c>
      <c r="EV255">
        <v>-3.3200000000000003</v>
      </c>
      <c r="EW255">
        <v>-0.51999999999999991</v>
      </c>
      <c r="EX255">
        <v>17</v>
      </c>
      <c r="EY255">
        <v>14.5</v>
      </c>
      <c r="EZ255">
        <v>14</v>
      </c>
      <c r="FA255">
        <v>0.76</v>
      </c>
      <c r="FB255">
        <v>15</v>
      </c>
      <c r="FC255">
        <v>-8.8817841970012528E-17</v>
      </c>
      <c r="FD255">
        <v>2.2799999999999998</v>
      </c>
      <c r="FE255">
        <v>19</v>
      </c>
      <c r="FF255">
        <v>16.5</v>
      </c>
      <c r="FG255">
        <v>10</v>
      </c>
      <c r="FH255">
        <v>-5.5156896629458604E-3</v>
      </c>
      <c r="FI255">
        <v>20</v>
      </c>
      <c r="FJ255">
        <v>-2.1165712766719829E-3</v>
      </c>
      <c r="FK255">
        <v>25</v>
      </c>
      <c r="FL255">
        <v>4.0639999999999974</v>
      </c>
      <c r="FM255">
        <v>11</v>
      </c>
      <c r="FN255">
        <v>-0.88000000000000012</v>
      </c>
      <c r="FO255">
        <v>-1.4</v>
      </c>
      <c r="FP255">
        <v>7.999999999999971E-2</v>
      </c>
      <c r="FQ255">
        <v>0.6</v>
      </c>
      <c r="FR255">
        <v>-0.84000000000000052</v>
      </c>
      <c r="FS255">
        <v>-3.1599999999999993</v>
      </c>
      <c r="FT255">
        <v>1.1599999999999997</v>
      </c>
      <c r="FU255">
        <v>-3.8399999999999865</v>
      </c>
      <c r="FV255">
        <v>2.560000000000008</v>
      </c>
      <c r="FW255">
        <v>-4.2399999999999975</v>
      </c>
      <c r="FX255">
        <v>-0.72</v>
      </c>
      <c r="FY255">
        <v>-1.4399999999999997</v>
      </c>
      <c r="FZ255">
        <v>13</v>
      </c>
      <c r="GA255">
        <v>2.0263999999999984</v>
      </c>
      <c r="GB255">
        <v>0.58527999999999947</v>
      </c>
      <c r="GC255">
        <v>6.800000000000006</v>
      </c>
      <c r="GD255">
        <v>-2.0263999999999984</v>
      </c>
      <c r="GE255">
        <v>-0.51569999999999994</v>
      </c>
      <c r="GF255">
        <v>-0.6359999999999999</v>
      </c>
      <c r="GG255">
        <v>2.5600000000000049</v>
      </c>
      <c r="GH255">
        <v>-2.2319999999999989</v>
      </c>
      <c r="GI255">
        <v>-10.920000000000002</v>
      </c>
      <c r="GJ255">
        <v>-0.56000000000000028</v>
      </c>
      <c r="GK255">
        <v>0.67999999999999994</v>
      </c>
    </row>
    <row r="256" spans="1:193" x14ac:dyDescent="0.2">
      <c r="A256" s="39">
        <v>43793</v>
      </c>
      <c r="B256" s="22" t="s">
        <v>242</v>
      </c>
      <c r="C256" s="41" t="s">
        <v>310</v>
      </c>
      <c r="D256" s="22" t="s">
        <v>297</v>
      </c>
      <c r="E256">
        <v>26.5</v>
      </c>
      <c r="F256">
        <v>4.9000000000000004</v>
      </c>
      <c r="G256" s="14">
        <v>5</v>
      </c>
      <c r="H256">
        <v>3.4</v>
      </c>
      <c r="I256">
        <v>-4.5</v>
      </c>
      <c r="J256">
        <v>42</v>
      </c>
      <c r="K256" t="s">
        <v>110</v>
      </c>
      <c r="L256" s="1" t="s">
        <v>310</v>
      </c>
      <c r="M256">
        <v>5</v>
      </c>
      <c r="N256">
        <v>4.8360000000000003</v>
      </c>
      <c r="O256">
        <v>1</v>
      </c>
      <c r="P256">
        <v>1.5</v>
      </c>
      <c r="Q256">
        <v>2</v>
      </c>
      <c r="R256">
        <v>4.5444000000000013</v>
      </c>
      <c r="S256">
        <v>1</v>
      </c>
      <c r="T256">
        <v>34.6</v>
      </c>
      <c r="U256">
        <v>-2.04</v>
      </c>
      <c r="V256">
        <v>29</v>
      </c>
      <c r="W256">
        <v>29</v>
      </c>
      <c r="X256">
        <v>29</v>
      </c>
      <c r="Y256">
        <v>-5.1440000000000001</v>
      </c>
      <c r="Z256">
        <v>29</v>
      </c>
      <c r="AA256">
        <v>-8.8800000000000008</v>
      </c>
      <c r="AB256">
        <v>-1.1199999999999999</v>
      </c>
      <c r="AC256">
        <v>28</v>
      </c>
      <c r="AD256">
        <v>27.5</v>
      </c>
      <c r="AE256">
        <v>28</v>
      </c>
      <c r="AF256">
        <v>-2.1880000000000002</v>
      </c>
      <c r="AG256">
        <v>27</v>
      </c>
      <c r="AH256">
        <v>-4.259999999999998</v>
      </c>
      <c r="AI256">
        <v>-2.5100000000000002</v>
      </c>
      <c r="AJ256">
        <v>28</v>
      </c>
      <c r="AK256">
        <v>27.5</v>
      </c>
      <c r="AL256">
        <v>28</v>
      </c>
      <c r="AM256">
        <v>-2.6229999999999998</v>
      </c>
      <c r="AN256">
        <v>27</v>
      </c>
      <c r="AO256">
        <v>-12.169999999999998</v>
      </c>
      <c r="AP256">
        <v>-0.99</v>
      </c>
      <c r="AQ256">
        <v>15</v>
      </c>
      <c r="AR256">
        <v>15</v>
      </c>
      <c r="AS256">
        <v>12</v>
      </c>
      <c r="AT256">
        <v>0.67800000000000016</v>
      </c>
      <c r="AU256">
        <v>18</v>
      </c>
      <c r="AV256">
        <v>-1.1200000000000003</v>
      </c>
      <c r="AW256">
        <v>-0.83000000000000007</v>
      </c>
      <c r="AX256">
        <v>20</v>
      </c>
      <c r="AY256">
        <v>20</v>
      </c>
      <c r="AZ256">
        <v>22</v>
      </c>
      <c r="BA256">
        <v>-2.1880000000000011</v>
      </c>
      <c r="BB256">
        <v>18</v>
      </c>
      <c r="BC256">
        <v>-2.6799999999999984</v>
      </c>
      <c r="BD256">
        <v>-1.2</v>
      </c>
      <c r="BE256">
        <v>14</v>
      </c>
      <c r="BF256">
        <v>13.5</v>
      </c>
      <c r="BG256">
        <v>15</v>
      </c>
      <c r="BH256">
        <v>1.7280000000000009</v>
      </c>
      <c r="BI256">
        <v>13.88</v>
      </c>
      <c r="BJ256">
        <v>0.67999999999999972</v>
      </c>
      <c r="BK256">
        <v>29</v>
      </c>
      <c r="BL256">
        <v>29</v>
      </c>
      <c r="BM256">
        <v>28</v>
      </c>
      <c r="BN256">
        <v>-1.6</v>
      </c>
      <c r="BO256">
        <v>30</v>
      </c>
      <c r="BP256">
        <v>-0.68</v>
      </c>
      <c r="BQ256">
        <v>-0.84000000000000008</v>
      </c>
      <c r="BR256">
        <v>25</v>
      </c>
      <c r="BS256">
        <v>21</v>
      </c>
      <c r="BT256">
        <v>27</v>
      </c>
      <c r="BU256">
        <v>-4.7442358356770145E-2</v>
      </c>
      <c r="BV256">
        <v>2</v>
      </c>
      <c r="BW256">
        <v>8.6001709139156574E-3</v>
      </c>
      <c r="BX256">
        <v>30</v>
      </c>
      <c r="BY256">
        <v>6.94</v>
      </c>
      <c r="BZ256">
        <v>25</v>
      </c>
      <c r="CA256">
        <v>-1.4000000000000001</v>
      </c>
      <c r="CB256">
        <v>-5.5200000000000005</v>
      </c>
      <c r="CC256">
        <v>4.5199999999999987</v>
      </c>
      <c r="CD256">
        <v>0.27999999999999992</v>
      </c>
      <c r="CE256">
        <v>27.839999999999996</v>
      </c>
      <c r="CF256">
        <v>2.8</v>
      </c>
      <c r="CG256">
        <v>20.96</v>
      </c>
      <c r="CH256">
        <v>-4.4400000000000004</v>
      </c>
      <c r="CI256">
        <v>8.52</v>
      </c>
      <c r="CJ256">
        <v>7</v>
      </c>
      <c r="CK256">
        <v>5.4355999999999991</v>
      </c>
      <c r="CL256">
        <v>0.7859999999999997</v>
      </c>
      <c r="CM256">
        <v>-18.16</v>
      </c>
      <c r="CN256">
        <v>-5.4355999999999991</v>
      </c>
      <c r="CO256">
        <v>2.8925000000000312E-2</v>
      </c>
      <c r="CP256">
        <v>-4.133</v>
      </c>
      <c r="CQ256">
        <v>-17.549999999999997</v>
      </c>
      <c r="CR256">
        <v>-0.5995999999999988</v>
      </c>
      <c r="CS256">
        <v>25.72</v>
      </c>
      <c r="CT256">
        <v>-3.6500000000000004</v>
      </c>
      <c r="CU256">
        <v>-3.16</v>
      </c>
      <c r="CV256">
        <v>1.2358625000000001</v>
      </c>
      <c r="CW256">
        <v>1.6358000000000001</v>
      </c>
      <c r="CX256" t="s">
        <v>297</v>
      </c>
      <c r="CY256">
        <v>20</v>
      </c>
      <c r="CZ256">
        <v>2.5383999999999984</v>
      </c>
      <c r="DA256">
        <v>1</v>
      </c>
      <c r="DB256">
        <v>1.5</v>
      </c>
      <c r="DC256">
        <v>2</v>
      </c>
      <c r="DD256">
        <v>4.1119999999999992</v>
      </c>
      <c r="DE256">
        <v>1</v>
      </c>
      <c r="DF256">
        <v>28.559999999999995</v>
      </c>
      <c r="DG256">
        <v>-0.32</v>
      </c>
      <c r="DH256">
        <v>13</v>
      </c>
      <c r="DI256">
        <v>14.5</v>
      </c>
      <c r="DJ256">
        <v>11</v>
      </c>
      <c r="DK256">
        <v>2.4560000000000004</v>
      </c>
      <c r="DL256">
        <v>18</v>
      </c>
      <c r="DM256">
        <v>-5.84</v>
      </c>
      <c r="DN256">
        <v>0.47999999999999987</v>
      </c>
      <c r="DO256">
        <v>12</v>
      </c>
      <c r="DP256">
        <v>13</v>
      </c>
      <c r="DQ256">
        <v>11</v>
      </c>
      <c r="DR256">
        <v>-4.999999999999849E-2</v>
      </c>
      <c r="DS256">
        <v>15</v>
      </c>
      <c r="DT256">
        <v>0.94999999999999929</v>
      </c>
      <c r="DU256">
        <v>0.85000000000000009</v>
      </c>
      <c r="DV256">
        <v>26</v>
      </c>
      <c r="DW256">
        <v>26.5</v>
      </c>
      <c r="DX256">
        <v>28</v>
      </c>
      <c r="DY256">
        <v>-1.59</v>
      </c>
      <c r="DZ256">
        <v>25</v>
      </c>
      <c r="EA256">
        <v>-1</v>
      </c>
      <c r="EB256">
        <v>-0.70000000000000018</v>
      </c>
      <c r="EC256">
        <v>1</v>
      </c>
      <c r="ED256">
        <v>5</v>
      </c>
      <c r="EE256">
        <v>5</v>
      </c>
      <c r="EF256">
        <v>2.8850000000000007</v>
      </c>
      <c r="EG256">
        <v>5</v>
      </c>
      <c r="EH256">
        <v>17.45</v>
      </c>
      <c r="EI256">
        <v>1.1500000000000001</v>
      </c>
      <c r="EJ256">
        <v>27</v>
      </c>
      <c r="EK256">
        <v>27</v>
      </c>
      <c r="EL256">
        <v>29</v>
      </c>
      <c r="EM256">
        <v>-1.4119999999999997</v>
      </c>
      <c r="EN256">
        <v>25</v>
      </c>
      <c r="EO256">
        <v>1.8800000000000012</v>
      </c>
      <c r="EP256">
        <v>-1.36</v>
      </c>
      <c r="EQ256">
        <v>26</v>
      </c>
      <c r="ER256">
        <v>25.5</v>
      </c>
      <c r="ES256">
        <v>22</v>
      </c>
      <c r="ET256">
        <v>-2.7439999999999998</v>
      </c>
      <c r="EU256">
        <v>29</v>
      </c>
      <c r="EV256">
        <v>-21.68</v>
      </c>
      <c r="EW256">
        <v>-2.9200000000000004</v>
      </c>
      <c r="EX256">
        <v>26</v>
      </c>
      <c r="EY256">
        <v>25</v>
      </c>
      <c r="EZ256">
        <v>21</v>
      </c>
      <c r="FA256">
        <v>-0.92000000000000015</v>
      </c>
      <c r="FB256">
        <v>29</v>
      </c>
      <c r="FC256">
        <v>-0.8</v>
      </c>
      <c r="FD256">
        <v>1.52</v>
      </c>
      <c r="FE256">
        <v>20</v>
      </c>
      <c r="FF256">
        <v>16.75</v>
      </c>
      <c r="FG256">
        <v>21</v>
      </c>
      <c r="FH256">
        <v>-1.890884134935435E-2</v>
      </c>
      <c r="FI256">
        <v>5</v>
      </c>
      <c r="FJ256">
        <v>-1.6915865415002133E-3</v>
      </c>
      <c r="FK256">
        <v>32</v>
      </c>
      <c r="FL256">
        <v>5.7720000000000011</v>
      </c>
      <c r="FM256">
        <v>9</v>
      </c>
      <c r="FN256">
        <v>0.28000000000000008</v>
      </c>
      <c r="FO256">
        <v>-2.7200000000000011</v>
      </c>
      <c r="FP256">
        <v>-1.2800000000000005</v>
      </c>
      <c r="FQ256">
        <v>0.8</v>
      </c>
      <c r="FR256">
        <v>-2.5200000000000018</v>
      </c>
      <c r="FS256">
        <v>5.3599999999999994</v>
      </c>
      <c r="FT256">
        <v>-1</v>
      </c>
      <c r="FU256">
        <v>15.320000000000004</v>
      </c>
      <c r="FV256">
        <v>-13.039999999999997</v>
      </c>
      <c r="FW256">
        <v>20.68</v>
      </c>
      <c r="FX256">
        <v>3.16</v>
      </c>
      <c r="FY256">
        <v>4.5200000000000005</v>
      </c>
      <c r="FZ256">
        <v>25</v>
      </c>
      <c r="GA256">
        <v>-4.0296000000000012</v>
      </c>
      <c r="GB256">
        <v>-3.0761199999999995</v>
      </c>
      <c r="GC256">
        <v>-33.72</v>
      </c>
      <c r="GD256">
        <v>4.0296000000000012</v>
      </c>
      <c r="GE256">
        <v>0.83592499999999981</v>
      </c>
      <c r="GF256">
        <v>1.2450000000000021</v>
      </c>
      <c r="GG256">
        <v>17.399999999999999</v>
      </c>
      <c r="GH256">
        <v>6.5679999999999996</v>
      </c>
      <c r="GI256">
        <v>22.719999999999995</v>
      </c>
      <c r="GJ256">
        <v>-1.6200000000000003</v>
      </c>
      <c r="GK256">
        <v>0.15999999999999986</v>
      </c>
    </row>
    <row r="257" spans="1:193" x14ac:dyDescent="0.2">
      <c r="A257" s="39">
        <v>43793</v>
      </c>
      <c r="B257" s="22" t="s">
        <v>242</v>
      </c>
      <c r="C257" s="41" t="s">
        <v>306</v>
      </c>
      <c r="D257" s="22" t="s">
        <v>299</v>
      </c>
      <c r="E257">
        <v>12.2</v>
      </c>
      <c r="F257">
        <v>7.3</v>
      </c>
      <c r="G257">
        <v>1.6</v>
      </c>
      <c r="H257">
        <v>1.4</v>
      </c>
      <c r="I257">
        <v>4</v>
      </c>
      <c r="J257">
        <v>39</v>
      </c>
      <c r="K257" t="s">
        <v>110</v>
      </c>
      <c r="L257" s="1" t="s">
        <v>306</v>
      </c>
      <c r="M257">
        <v>32</v>
      </c>
      <c r="N257">
        <v>-10.224800000000002</v>
      </c>
      <c r="O257">
        <v>9</v>
      </c>
      <c r="P257">
        <v>9</v>
      </c>
      <c r="Q257">
        <v>11</v>
      </c>
      <c r="R257">
        <v>-3.9200000000000008</v>
      </c>
      <c r="S257">
        <v>7</v>
      </c>
      <c r="T257">
        <v>-2.9600000000000022</v>
      </c>
      <c r="U257">
        <v>-1.8800000000000001</v>
      </c>
      <c r="V257">
        <v>19</v>
      </c>
      <c r="W257">
        <v>18</v>
      </c>
      <c r="X257">
        <v>25</v>
      </c>
      <c r="Y257">
        <v>-1.56</v>
      </c>
      <c r="Z257">
        <v>11</v>
      </c>
      <c r="AA257">
        <v>-1.3120000000000001</v>
      </c>
      <c r="AB257">
        <v>-0.67999999999999994</v>
      </c>
      <c r="AC257">
        <v>29</v>
      </c>
      <c r="AD257">
        <v>29</v>
      </c>
      <c r="AE257">
        <v>29</v>
      </c>
      <c r="AF257">
        <v>-5.9568000000000003</v>
      </c>
      <c r="AG257">
        <v>29</v>
      </c>
      <c r="AH257">
        <v>-18.28</v>
      </c>
      <c r="AI257">
        <v>-2.6399999999999997</v>
      </c>
      <c r="AJ257">
        <v>28</v>
      </c>
      <c r="AK257">
        <v>27.5</v>
      </c>
      <c r="AL257">
        <v>30</v>
      </c>
      <c r="AM257">
        <v>-6.7720000000000011</v>
      </c>
      <c r="AN257">
        <v>25</v>
      </c>
      <c r="AO257">
        <v>-16.319999999999997</v>
      </c>
      <c r="AP257">
        <v>-2.6799999999999997</v>
      </c>
      <c r="AQ257">
        <v>30</v>
      </c>
      <c r="AR257">
        <v>29.5</v>
      </c>
      <c r="AS257">
        <v>31</v>
      </c>
      <c r="AT257">
        <v>-5.2880000000000003</v>
      </c>
      <c r="AU257">
        <v>28</v>
      </c>
      <c r="AV257">
        <v>-20.04</v>
      </c>
      <c r="AW257">
        <v>-0.88000000000000012</v>
      </c>
      <c r="AX257">
        <v>30</v>
      </c>
      <c r="AY257">
        <v>30</v>
      </c>
      <c r="AZ257">
        <v>30</v>
      </c>
      <c r="BA257">
        <v>-9.1760000000000002</v>
      </c>
      <c r="BB257">
        <v>30</v>
      </c>
      <c r="BC257">
        <v>-34.96</v>
      </c>
      <c r="BD257">
        <v>-3.0800000000000005</v>
      </c>
      <c r="BE257">
        <v>31</v>
      </c>
      <c r="BF257">
        <v>30</v>
      </c>
      <c r="BG257">
        <v>31</v>
      </c>
      <c r="BH257">
        <v>-4.3719999999999999</v>
      </c>
      <c r="BI257">
        <v>-21</v>
      </c>
      <c r="BJ257">
        <v>-2.88</v>
      </c>
      <c r="BK257">
        <v>1</v>
      </c>
      <c r="BL257">
        <v>1</v>
      </c>
      <c r="BM257">
        <v>1</v>
      </c>
      <c r="BN257">
        <v>0.5199999999999998</v>
      </c>
      <c r="BO257">
        <v>1</v>
      </c>
      <c r="BP257">
        <v>0.83999999999999986</v>
      </c>
      <c r="BQ257">
        <v>2.96</v>
      </c>
      <c r="BR257">
        <v>1</v>
      </c>
      <c r="BS257">
        <v>5.25</v>
      </c>
      <c r="BT257">
        <v>9</v>
      </c>
      <c r="BU257">
        <v>-2.1725943196123587E-2</v>
      </c>
      <c r="BV257">
        <v>1</v>
      </c>
      <c r="BW257">
        <v>5.0374250467202217E-2</v>
      </c>
      <c r="BX257">
        <v>2</v>
      </c>
      <c r="BY257">
        <v>-5.6</v>
      </c>
      <c r="BZ257">
        <v>9</v>
      </c>
      <c r="CA257">
        <v>2.04</v>
      </c>
      <c r="CB257">
        <v>-12.360000000000001</v>
      </c>
      <c r="CC257">
        <v>-10.64</v>
      </c>
      <c r="CD257">
        <v>0.39999999999999986</v>
      </c>
      <c r="CE257">
        <v>-97.11999999999999</v>
      </c>
      <c r="CF257">
        <v>-85.44</v>
      </c>
      <c r="CG257">
        <v>-1.8</v>
      </c>
      <c r="CH257">
        <v>-3.9200000000000004</v>
      </c>
      <c r="CI257">
        <v>-5.96</v>
      </c>
      <c r="CJ257">
        <v>24</v>
      </c>
      <c r="CK257">
        <v>-4.7448000000000015</v>
      </c>
      <c r="CL257">
        <v>-3.7827200000000012</v>
      </c>
      <c r="CM257">
        <v>-83.64</v>
      </c>
      <c r="CN257">
        <v>4.7448000000000015</v>
      </c>
      <c r="CO257">
        <v>-4.6967000000000008</v>
      </c>
      <c r="CP257">
        <v>-18.016800000000003</v>
      </c>
      <c r="CQ257">
        <v>-54.639999999999993</v>
      </c>
      <c r="CR257">
        <v>-5.48</v>
      </c>
      <c r="CS257">
        <v>-4.272000000000002</v>
      </c>
      <c r="CT257">
        <v>-9.0799999999999983</v>
      </c>
      <c r="CU257">
        <v>-2.56</v>
      </c>
      <c r="CV257">
        <v>0.30522500000000019</v>
      </c>
      <c r="CW257">
        <v>-1.8680499999999995</v>
      </c>
      <c r="CX257" t="s">
        <v>299</v>
      </c>
      <c r="CY257">
        <v>3</v>
      </c>
      <c r="CZ257">
        <v>5.96</v>
      </c>
      <c r="DA257">
        <v>14</v>
      </c>
      <c r="DB257">
        <v>16</v>
      </c>
      <c r="DC257">
        <v>14</v>
      </c>
      <c r="DD257">
        <v>2.680000000000001</v>
      </c>
      <c r="DE257">
        <v>18</v>
      </c>
      <c r="DF257">
        <v>-3.1599999999999993</v>
      </c>
      <c r="DG257">
        <v>-1.56</v>
      </c>
      <c r="DH257">
        <v>11</v>
      </c>
      <c r="DI257">
        <v>14</v>
      </c>
      <c r="DJ257">
        <v>3</v>
      </c>
      <c r="DK257">
        <v>4.6719999999999997</v>
      </c>
      <c r="DL257">
        <v>25</v>
      </c>
      <c r="DM257">
        <v>-1.9119999999999997</v>
      </c>
      <c r="DN257">
        <v>0.12</v>
      </c>
      <c r="DO257">
        <v>10</v>
      </c>
      <c r="DP257">
        <v>9.5</v>
      </c>
      <c r="DQ257">
        <v>10</v>
      </c>
      <c r="DR257">
        <v>-0.50000000000000022</v>
      </c>
      <c r="DS257">
        <v>9</v>
      </c>
      <c r="DT257">
        <v>6.5200000000000005</v>
      </c>
      <c r="DU257">
        <v>1.7199999999999995</v>
      </c>
      <c r="DV257">
        <v>3</v>
      </c>
      <c r="DW257">
        <v>3.5</v>
      </c>
      <c r="DX257">
        <v>4</v>
      </c>
      <c r="DY257">
        <v>4.2439999999999998</v>
      </c>
      <c r="DZ257">
        <v>3</v>
      </c>
      <c r="EA257">
        <v>11.400000000000002</v>
      </c>
      <c r="EB257">
        <v>1.04</v>
      </c>
      <c r="EC257">
        <v>15</v>
      </c>
      <c r="ED257">
        <v>3.5</v>
      </c>
      <c r="EE257">
        <v>3</v>
      </c>
      <c r="EF257">
        <v>0.98799999999999932</v>
      </c>
      <c r="EG257">
        <v>4</v>
      </c>
      <c r="EH257">
        <v>3.3999999999999986</v>
      </c>
      <c r="EI257">
        <v>-0.47999999999999987</v>
      </c>
      <c r="EJ257">
        <v>2</v>
      </c>
      <c r="EK257">
        <v>3.5</v>
      </c>
      <c r="EL257">
        <v>3</v>
      </c>
      <c r="EM257">
        <v>8.9280000000000008</v>
      </c>
      <c r="EN257">
        <v>4</v>
      </c>
      <c r="EO257">
        <v>32.480000000000004</v>
      </c>
      <c r="EP257">
        <v>1.64</v>
      </c>
      <c r="EQ257">
        <v>11</v>
      </c>
      <c r="ER257">
        <v>12.5</v>
      </c>
      <c r="ES257">
        <v>8</v>
      </c>
      <c r="ET257">
        <v>1.6240000000000001</v>
      </c>
      <c r="EU257">
        <v>17</v>
      </c>
      <c r="EV257">
        <v>2.7199999999999998</v>
      </c>
      <c r="EW257">
        <v>-0.6399999999999999</v>
      </c>
      <c r="EX257">
        <v>12</v>
      </c>
      <c r="EY257">
        <v>12.5</v>
      </c>
      <c r="EZ257">
        <v>7</v>
      </c>
      <c r="FA257">
        <v>0.15999999999999978</v>
      </c>
      <c r="FB257">
        <v>18</v>
      </c>
      <c r="FC257">
        <v>-0.52</v>
      </c>
      <c r="FD257">
        <v>2.04</v>
      </c>
      <c r="FE257">
        <v>24</v>
      </c>
      <c r="FF257">
        <v>21</v>
      </c>
      <c r="FG257">
        <v>26</v>
      </c>
      <c r="FH257">
        <v>6.3497627772653217E-3</v>
      </c>
      <c r="FI257">
        <v>23</v>
      </c>
      <c r="FJ257">
        <v>-5.7256306569020031E-3</v>
      </c>
      <c r="FK257">
        <v>5</v>
      </c>
      <c r="FL257">
        <v>-9.4</v>
      </c>
      <c r="FM257">
        <v>30</v>
      </c>
      <c r="FN257">
        <v>-3.04</v>
      </c>
      <c r="FO257">
        <v>1.1600000000000001</v>
      </c>
      <c r="FP257">
        <v>0.84000000000000052</v>
      </c>
      <c r="FQ257">
        <v>0.56000000000000016</v>
      </c>
      <c r="FR257">
        <v>2.6</v>
      </c>
      <c r="FS257">
        <v>6.6</v>
      </c>
      <c r="FT257">
        <v>0.27999999999999992</v>
      </c>
      <c r="FU257">
        <v>46.680000000000014</v>
      </c>
      <c r="FV257">
        <v>45.760000000000005</v>
      </c>
      <c r="FW257">
        <v>-0.95999999999999941</v>
      </c>
      <c r="FX257">
        <v>1.8800000000000003</v>
      </c>
      <c r="FY257">
        <v>0</v>
      </c>
      <c r="FZ257">
        <v>22</v>
      </c>
      <c r="GA257">
        <v>-1.3920000000000008</v>
      </c>
      <c r="GB257">
        <v>-1.2128000000000001</v>
      </c>
      <c r="GC257">
        <v>46.720000000000006</v>
      </c>
      <c r="GD257">
        <v>1.3920000000000003</v>
      </c>
      <c r="GE257">
        <v>2.4784999999999999</v>
      </c>
      <c r="GF257">
        <v>4.7319999999999993</v>
      </c>
      <c r="GG257">
        <v>21.32</v>
      </c>
      <c r="GH257">
        <v>7.3520000000000003</v>
      </c>
      <c r="GI257">
        <v>-5.0719999999999992</v>
      </c>
      <c r="GJ257">
        <v>1.64</v>
      </c>
      <c r="GK257">
        <v>-1.44</v>
      </c>
    </row>
    <row r="258" spans="1:193" x14ac:dyDescent="0.2">
      <c r="A258" s="39">
        <v>43800</v>
      </c>
      <c r="B258" s="22" t="s">
        <v>241</v>
      </c>
      <c r="C258" s="41" t="s">
        <v>285</v>
      </c>
      <c r="D258" s="22" t="s">
        <v>304</v>
      </c>
      <c r="E258">
        <v>11.6</v>
      </c>
      <c r="F258">
        <v>5.3</v>
      </c>
      <c r="G258">
        <v>6.6</v>
      </c>
      <c r="H258">
        <v>4.9000000000000004</v>
      </c>
      <c r="I258">
        <v>2.5</v>
      </c>
      <c r="J258">
        <v>47</v>
      </c>
      <c r="K258" t="s">
        <v>109</v>
      </c>
      <c r="L258" s="1" t="s">
        <v>285</v>
      </c>
      <c r="M258">
        <v>15</v>
      </c>
      <c r="N258">
        <v>0.40399999999999958</v>
      </c>
      <c r="O258">
        <v>24</v>
      </c>
      <c r="P258">
        <v>22.5</v>
      </c>
      <c r="Q258">
        <v>22</v>
      </c>
      <c r="R258">
        <v>-2.1389999999999998</v>
      </c>
      <c r="S258">
        <v>23</v>
      </c>
      <c r="T258">
        <v>-10.379999999999999</v>
      </c>
      <c r="U258">
        <v>-0.1</v>
      </c>
      <c r="V258">
        <v>29</v>
      </c>
      <c r="W258">
        <v>29</v>
      </c>
      <c r="X258">
        <v>30</v>
      </c>
      <c r="Y258">
        <v>-3.8789999999999991</v>
      </c>
      <c r="Z258">
        <v>28</v>
      </c>
      <c r="AA258">
        <v>-12.459999999999999</v>
      </c>
      <c r="AB258">
        <v>-1.23</v>
      </c>
      <c r="AC258">
        <v>27</v>
      </c>
      <c r="AD258">
        <v>26.5</v>
      </c>
      <c r="AE258">
        <v>27</v>
      </c>
      <c r="AF258">
        <v>-3.2159999999999989</v>
      </c>
      <c r="AG258">
        <v>26</v>
      </c>
      <c r="AH258">
        <v>-11.48</v>
      </c>
      <c r="AI258">
        <v>-1.6</v>
      </c>
      <c r="AJ258">
        <v>7</v>
      </c>
      <c r="AK258">
        <v>8</v>
      </c>
      <c r="AL258">
        <v>6</v>
      </c>
      <c r="AM258">
        <v>3.0919999999999996</v>
      </c>
      <c r="AN258">
        <v>10</v>
      </c>
      <c r="AO258">
        <v>11.24</v>
      </c>
      <c r="AP258">
        <v>1.0399999999999998</v>
      </c>
      <c r="AQ258">
        <v>11</v>
      </c>
      <c r="AR258">
        <v>10.5</v>
      </c>
      <c r="AS258">
        <v>9</v>
      </c>
      <c r="AT258">
        <v>1.7440000000000004</v>
      </c>
      <c r="AU258">
        <v>12</v>
      </c>
      <c r="AV258">
        <v>6.7200000000000006</v>
      </c>
      <c r="AW258">
        <v>-0.32000000000000012</v>
      </c>
      <c r="AX258">
        <v>16</v>
      </c>
      <c r="AY258">
        <v>16</v>
      </c>
      <c r="AZ258">
        <v>18</v>
      </c>
      <c r="BA258">
        <v>-0.34399999999999975</v>
      </c>
      <c r="BB258">
        <v>14</v>
      </c>
      <c r="BC258">
        <v>5.3599999999999994</v>
      </c>
      <c r="BD258">
        <v>-0.1600000000000005</v>
      </c>
      <c r="BE258">
        <v>24</v>
      </c>
      <c r="BF258">
        <v>23.5</v>
      </c>
      <c r="BG258">
        <v>29</v>
      </c>
      <c r="BH258">
        <v>-4.5959999999999992</v>
      </c>
      <c r="BI258">
        <v>-5.8799999999999981</v>
      </c>
      <c r="BJ258">
        <v>-3.1199999999999997</v>
      </c>
      <c r="BK258">
        <v>21</v>
      </c>
      <c r="BL258">
        <v>20</v>
      </c>
      <c r="BM258">
        <v>17</v>
      </c>
      <c r="BN258">
        <v>0.12000000000000029</v>
      </c>
      <c r="BO258">
        <v>23</v>
      </c>
      <c r="BP258">
        <v>-0.1999999999999999</v>
      </c>
      <c r="BQ258">
        <v>-3.2</v>
      </c>
      <c r="BR258">
        <v>9</v>
      </c>
      <c r="BS258">
        <v>12.25</v>
      </c>
      <c r="BT258">
        <v>20</v>
      </c>
      <c r="BU258">
        <v>-2.177415583147101E-2</v>
      </c>
      <c r="BV258">
        <v>7</v>
      </c>
      <c r="BW258">
        <v>1.3498950159567712E-2</v>
      </c>
      <c r="BX258">
        <v>4</v>
      </c>
      <c r="BY258">
        <v>-8.6639999999999961</v>
      </c>
      <c r="BZ258">
        <v>18</v>
      </c>
      <c r="CA258">
        <v>-0.23999999999999985</v>
      </c>
      <c r="CB258">
        <v>-9.16</v>
      </c>
      <c r="CC258">
        <v>-1.4</v>
      </c>
      <c r="CD258">
        <v>-1.1199999999999999</v>
      </c>
      <c r="CE258">
        <v>-25.679999999999986</v>
      </c>
      <c r="CF258">
        <v>-4.9600000000000026</v>
      </c>
      <c r="CG258">
        <v>-22.279999999999998</v>
      </c>
      <c r="CH258">
        <v>-1.5599999999999998</v>
      </c>
      <c r="CI258">
        <v>3.1199999999999997</v>
      </c>
      <c r="CJ258">
        <v>6</v>
      </c>
      <c r="CK258">
        <v>6.4219999999999988</v>
      </c>
      <c r="CL258">
        <v>2.4945999999999997</v>
      </c>
      <c r="CM258">
        <v>17.319999999999993</v>
      </c>
      <c r="CN258">
        <v>-6.4219999999999988</v>
      </c>
      <c r="CO258">
        <v>-1.0587499999999994</v>
      </c>
      <c r="CP258">
        <v>1.6200000000000012</v>
      </c>
      <c r="CQ258">
        <v>6.48</v>
      </c>
      <c r="CR258">
        <v>-6.0179999999999989</v>
      </c>
      <c r="CS258">
        <v>-22.839999999999996</v>
      </c>
      <c r="CT258">
        <v>-4</v>
      </c>
      <c r="CU258">
        <v>-1.33</v>
      </c>
      <c r="CV258">
        <v>1.6747624999999999</v>
      </c>
      <c r="CW258">
        <v>3.2849999999999997</v>
      </c>
      <c r="CX258" t="s">
        <v>304</v>
      </c>
      <c r="CY258">
        <v>16</v>
      </c>
      <c r="CZ258">
        <v>0.45520000000000138</v>
      </c>
      <c r="DA258">
        <v>17</v>
      </c>
      <c r="DB258">
        <v>18</v>
      </c>
      <c r="DC258">
        <v>20</v>
      </c>
      <c r="DD258">
        <v>-1.7640000000000007</v>
      </c>
      <c r="DE258">
        <v>16</v>
      </c>
      <c r="DF258">
        <v>-7.3500000000000014</v>
      </c>
      <c r="DG258">
        <v>0.69000000000000006</v>
      </c>
      <c r="DH258">
        <v>4</v>
      </c>
      <c r="DI258">
        <v>6.5</v>
      </c>
      <c r="DJ258">
        <v>7</v>
      </c>
      <c r="DK258">
        <v>1.4819999999999995</v>
      </c>
      <c r="DL258">
        <v>6</v>
      </c>
      <c r="DM258">
        <v>6.55</v>
      </c>
      <c r="DN258">
        <v>-7.0000000000000062E-2</v>
      </c>
      <c r="DO258">
        <v>19</v>
      </c>
      <c r="DP258">
        <v>19.5</v>
      </c>
      <c r="DQ258">
        <v>17</v>
      </c>
      <c r="DR258">
        <v>-0.75700000000000001</v>
      </c>
      <c r="DS258">
        <v>22</v>
      </c>
      <c r="DT258">
        <v>-12.299999999999999</v>
      </c>
      <c r="DU258">
        <v>0.75</v>
      </c>
      <c r="DV258">
        <v>11</v>
      </c>
      <c r="DW258">
        <v>13</v>
      </c>
      <c r="DX258">
        <v>10</v>
      </c>
      <c r="DY258">
        <v>2.1599999999999993</v>
      </c>
      <c r="DZ258">
        <v>16</v>
      </c>
      <c r="EA258">
        <v>1.0799999999999983</v>
      </c>
      <c r="EB258">
        <v>2.3199999999999998</v>
      </c>
      <c r="EC258">
        <v>2</v>
      </c>
      <c r="ED258">
        <v>2</v>
      </c>
      <c r="EE258">
        <v>2</v>
      </c>
      <c r="EF258">
        <v>4.3559999999999999</v>
      </c>
      <c r="EG258">
        <v>2</v>
      </c>
      <c r="EH258">
        <v>27.839999999999996</v>
      </c>
      <c r="EI258">
        <v>2.9200000000000004</v>
      </c>
      <c r="EJ258">
        <v>14</v>
      </c>
      <c r="EK258">
        <v>14</v>
      </c>
      <c r="EL258">
        <v>11</v>
      </c>
      <c r="EM258">
        <v>3.8200000000000003</v>
      </c>
      <c r="EN258">
        <v>17</v>
      </c>
      <c r="EO258">
        <v>0.20000000000000143</v>
      </c>
      <c r="EP258">
        <v>1.92</v>
      </c>
      <c r="EQ258">
        <v>25</v>
      </c>
      <c r="ER258">
        <v>24.5</v>
      </c>
      <c r="ES258">
        <v>29</v>
      </c>
      <c r="ET258">
        <v>-2.6160000000000005</v>
      </c>
      <c r="EU258">
        <v>20</v>
      </c>
      <c r="EV258">
        <v>-2.080000000000001</v>
      </c>
      <c r="EW258">
        <v>0.24000000000000005</v>
      </c>
      <c r="EX258">
        <v>28</v>
      </c>
      <c r="EY258">
        <v>26.5</v>
      </c>
      <c r="EZ258">
        <v>29</v>
      </c>
      <c r="FA258">
        <v>-2.8</v>
      </c>
      <c r="FB258">
        <v>24</v>
      </c>
      <c r="FC258">
        <v>-0.6</v>
      </c>
      <c r="FD258">
        <v>0.23999999999999985</v>
      </c>
      <c r="FE258">
        <v>14</v>
      </c>
      <c r="FF258">
        <v>15</v>
      </c>
      <c r="FG258">
        <v>22</v>
      </c>
      <c r="FH258">
        <v>-1.692048736449216E-2</v>
      </c>
      <c r="FI258">
        <v>10</v>
      </c>
      <c r="FJ258">
        <v>9.979740436211651E-3</v>
      </c>
      <c r="FK258">
        <v>22</v>
      </c>
      <c r="FL258">
        <v>2.5599999999999965</v>
      </c>
      <c r="FM258">
        <v>6</v>
      </c>
      <c r="FN258">
        <v>2.9599999999999995</v>
      </c>
      <c r="FO258">
        <v>6.92</v>
      </c>
      <c r="FP258">
        <v>3.2800000000000011</v>
      </c>
      <c r="FQ258">
        <v>-1.56</v>
      </c>
      <c r="FR258">
        <v>9.8000000000000007</v>
      </c>
      <c r="FS258">
        <v>-3.5600000000000009</v>
      </c>
      <c r="FT258">
        <v>-0.08</v>
      </c>
      <c r="FU258">
        <v>14.439999999999987</v>
      </c>
      <c r="FV258">
        <v>16.920000000000005</v>
      </c>
      <c r="FW258">
        <v>3.9199999999999959</v>
      </c>
      <c r="FX258">
        <v>-1.9600000000000002</v>
      </c>
      <c r="FY258">
        <v>-4.4399999999999995</v>
      </c>
      <c r="FZ258">
        <v>14</v>
      </c>
      <c r="GA258">
        <v>0.73720000000000252</v>
      </c>
      <c r="GB258">
        <v>0.8606400000000004</v>
      </c>
      <c r="GC258">
        <v>13.000000000000009</v>
      </c>
      <c r="GD258">
        <v>-0.73720000000000252</v>
      </c>
      <c r="GE258">
        <v>6.4524999999999944E-2</v>
      </c>
      <c r="GF258">
        <v>5.7589999999999986</v>
      </c>
      <c r="GG258">
        <v>16.619999999999997</v>
      </c>
      <c r="GH258">
        <v>-0.28200000000000114</v>
      </c>
      <c r="GI258">
        <v>-0.8000000000000016</v>
      </c>
      <c r="GJ258">
        <v>6.23</v>
      </c>
      <c r="GK258">
        <v>0.62</v>
      </c>
    </row>
    <row r="259" spans="1:193" x14ac:dyDescent="0.2">
      <c r="A259" s="39">
        <v>43800</v>
      </c>
      <c r="B259" s="22" t="s">
        <v>241</v>
      </c>
      <c r="C259" s="41" t="s">
        <v>295</v>
      </c>
      <c r="D259" s="22" t="s">
        <v>307</v>
      </c>
      <c r="E259">
        <v>17.100000000000001</v>
      </c>
      <c r="F259">
        <v>16.2</v>
      </c>
      <c r="G259">
        <v>11.7</v>
      </c>
      <c r="H259">
        <v>14.1</v>
      </c>
      <c r="I259">
        <v>7</v>
      </c>
      <c r="J259">
        <v>48</v>
      </c>
      <c r="L259" s="1" t="s">
        <v>295</v>
      </c>
      <c r="M259">
        <v>22</v>
      </c>
      <c r="N259">
        <v>-0.94799999999999862</v>
      </c>
      <c r="O259">
        <v>29</v>
      </c>
      <c r="P259">
        <v>28</v>
      </c>
      <c r="Q259">
        <v>29</v>
      </c>
      <c r="R259">
        <v>-5.806</v>
      </c>
      <c r="S259">
        <v>27</v>
      </c>
      <c r="T259">
        <v>-16.2</v>
      </c>
      <c r="U259">
        <v>-0.83999999999999986</v>
      </c>
      <c r="V259">
        <v>11</v>
      </c>
      <c r="W259">
        <v>11</v>
      </c>
      <c r="X259">
        <v>10</v>
      </c>
      <c r="Y259">
        <v>1.5620000000000003</v>
      </c>
      <c r="Z259">
        <v>12</v>
      </c>
      <c r="AA259">
        <v>2.2800000000000002</v>
      </c>
      <c r="AB259">
        <v>0.3</v>
      </c>
      <c r="AC259">
        <v>15</v>
      </c>
      <c r="AD259">
        <v>16</v>
      </c>
      <c r="AE259">
        <v>23</v>
      </c>
      <c r="AF259">
        <v>-1.7739999999999998</v>
      </c>
      <c r="AG259">
        <v>9</v>
      </c>
      <c r="AH259">
        <v>10.190000000000001</v>
      </c>
      <c r="AI259">
        <v>0.94000000000000017</v>
      </c>
      <c r="AJ259">
        <v>6</v>
      </c>
      <c r="AK259">
        <v>7</v>
      </c>
      <c r="AL259">
        <v>8</v>
      </c>
      <c r="AM259">
        <v>2.8730000000000016</v>
      </c>
      <c r="AN259">
        <v>6</v>
      </c>
      <c r="AO259">
        <v>17.45</v>
      </c>
      <c r="AP259">
        <v>1.5399999999999998</v>
      </c>
      <c r="AQ259">
        <v>6</v>
      </c>
      <c r="AR259">
        <v>6</v>
      </c>
      <c r="AS259">
        <v>6</v>
      </c>
      <c r="AT259">
        <v>3.0870000000000006</v>
      </c>
      <c r="AU259">
        <v>6</v>
      </c>
      <c r="AV259">
        <v>12.67</v>
      </c>
      <c r="AW259">
        <v>2.44</v>
      </c>
      <c r="AX259">
        <v>7</v>
      </c>
      <c r="AY259">
        <v>6.5</v>
      </c>
      <c r="AZ259">
        <v>7</v>
      </c>
      <c r="BA259">
        <v>3.919999999999999</v>
      </c>
      <c r="BB259">
        <v>6</v>
      </c>
      <c r="BC259">
        <v>25.599999999999998</v>
      </c>
      <c r="BD259">
        <v>1.2799999999999998</v>
      </c>
      <c r="BE259">
        <v>16</v>
      </c>
      <c r="BF259">
        <v>17</v>
      </c>
      <c r="BG259">
        <v>17</v>
      </c>
      <c r="BH259">
        <v>-0.85600000000000098</v>
      </c>
      <c r="BI259">
        <v>-5.2927999999999997</v>
      </c>
      <c r="BJ259">
        <v>-2.3999999999999995</v>
      </c>
      <c r="BK259">
        <v>4</v>
      </c>
      <c r="BL259">
        <v>7</v>
      </c>
      <c r="BM259">
        <v>10</v>
      </c>
      <c r="BN259">
        <v>1.3600000000000005</v>
      </c>
      <c r="BO259">
        <v>4</v>
      </c>
      <c r="BP259">
        <v>0.92000000000000015</v>
      </c>
      <c r="BQ259">
        <v>2</v>
      </c>
      <c r="BR259">
        <v>14</v>
      </c>
      <c r="BS259">
        <v>14</v>
      </c>
      <c r="BT259">
        <v>7</v>
      </c>
      <c r="BU259">
        <v>4.5047186471160516E-2</v>
      </c>
      <c r="BV259">
        <v>9</v>
      </c>
      <c r="BW259">
        <v>8.0550794135657092E-3</v>
      </c>
      <c r="BX259">
        <v>26</v>
      </c>
      <c r="BY259">
        <v>6.4720000000000013</v>
      </c>
      <c r="BZ259">
        <v>14</v>
      </c>
      <c r="CA259">
        <v>0.35999999999999976</v>
      </c>
      <c r="CB259">
        <v>7.240000000000002</v>
      </c>
      <c r="CC259">
        <v>-1.4799999999999998</v>
      </c>
      <c r="CD259">
        <v>0.27999999999999992</v>
      </c>
      <c r="CE259">
        <v>24.360000000000014</v>
      </c>
      <c r="CF259">
        <v>39.399999999999991</v>
      </c>
      <c r="CG259">
        <v>-7.2799999999999958</v>
      </c>
      <c r="CH259">
        <v>-3</v>
      </c>
      <c r="CI259">
        <v>-4.76</v>
      </c>
      <c r="CJ259">
        <v>10</v>
      </c>
      <c r="CK259">
        <v>3.2960000000000012</v>
      </c>
      <c r="CL259">
        <v>2.5984000000000003</v>
      </c>
      <c r="CM259">
        <v>46.679999999999986</v>
      </c>
      <c r="CN259">
        <v>-3.2960000000000012</v>
      </c>
      <c r="CO259">
        <v>-6.2749999999999528E-2</v>
      </c>
      <c r="CP259">
        <v>4.1860000000000026</v>
      </c>
      <c r="CQ259">
        <v>40.31</v>
      </c>
      <c r="CR259">
        <v>-4.2439999999999998</v>
      </c>
      <c r="CS259">
        <v>-13.919999999999998</v>
      </c>
      <c r="CT259">
        <v>2.5200000000000005</v>
      </c>
      <c r="CU259">
        <v>-0.53999999999999981</v>
      </c>
      <c r="CV259">
        <v>-1.396075</v>
      </c>
      <c r="CW259">
        <v>-2.1448999999999998</v>
      </c>
      <c r="CX259" t="s">
        <v>307</v>
      </c>
      <c r="CY259">
        <v>18</v>
      </c>
      <c r="CZ259">
        <v>-1.1999999999999993</v>
      </c>
      <c r="DA259">
        <v>29</v>
      </c>
      <c r="DB259">
        <v>27.5</v>
      </c>
      <c r="DC259">
        <v>26</v>
      </c>
      <c r="DD259">
        <v>-2.5949999999999998</v>
      </c>
      <c r="DE259">
        <v>29</v>
      </c>
      <c r="DF259">
        <v>-10.500000000000002</v>
      </c>
      <c r="DG259">
        <v>0.29999999999999993</v>
      </c>
      <c r="DH259">
        <v>7</v>
      </c>
      <c r="DI259">
        <v>10</v>
      </c>
      <c r="DJ259">
        <v>8</v>
      </c>
      <c r="DK259">
        <v>1.3050000000000002</v>
      </c>
      <c r="DL259">
        <v>12</v>
      </c>
      <c r="DM259">
        <v>3.0499999999999989</v>
      </c>
      <c r="DN259">
        <v>0.3</v>
      </c>
      <c r="DO259">
        <v>15</v>
      </c>
      <c r="DP259">
        <v>19</v>
      </c>
      <c r="DQ259">
        <v>18</v>
      </c>
      <c r="DR259">
        <v>-1.2599999999999996</v>
      </c>
      <c r="DS259">
        <v>20</v>
      </c>
      <c r="DT259">
        <v>-10.320000000000002</v>
      </c>
      <c r="DU259">
        <v>-0.79999999999999982</v>
      </c>
      <c r="DV259">
        <v>29</v>
      </c>
      <c r="DW259">
        <v>29.5</v>
      </c>
      <c r="DX259">
        <v>27</v>
      </c>
      <c r="DY259">
        <v>-4.0320000000000009</v>
      </c>
      <c r="DZ259">
        <v>32</v>
      </c>
      <c r="EA259">
        <v>-23.36</v>
      </c>
      <c r="EB259">
        <v>-1.0399999999999998</v>
      </c>
      <c r="EC259">
        <v>27</v>
      </c>
      <c r="ED259">
        <v>25</v>
      </c>
      <c r="EE259">
        <v>25</v>
      </c>
      <c r="EF259">
        <v>-1.7880000000000003</v>
      </c>
      <c r="EG259">
        <v>25</v>
      </c>
      <c r="EH259">
        <v>-8.8800000000000008</v>
      </c>
      <c r="EI259">
        <v>-4.0000000000000036E-2</v>
      </c>
      <c r="EJ259">
        <v>24</v>
      </c>
      <c r="EK259">
        <v>23.5</v>
      </c>
      <c r="EL259">
        <v>20</v>
      </c>
      <c r="EM259">
        <v>-2.8279999999999998</v>
      </c>
      <c r="EN259">
        <v>27</v>
      </c>
      <c r="EO259">
        <v>-21.080000000000002</v>
      </c>
      <c r="EP259">
        <v>0.91999999999999993</v>
      </c>
      <c r="EQ259">
        <v>3</v>
      </c>
      <c r="ER259">
        <v>3.5</v>
      </c>
      <c r="ES259">
        <v>3</v>
      </c>
      <c r="ET259">
        <v>3.2720000000000007</v>
      </c>
      <c r="EU259">
        <v>4</v>
      </c>
      <c r="EV259">
        <v>10.72</v>
      </c>
      <c r="EW259">
        <v>2.04</v>
      </c>
      <c r="EX259">
        <v>8</v>
      </c>
      <c r="EY259">
        <v>8.5</v>
      </c>
      <c r="EZ259">
        <v>9</v>
      </c>
      <c r="FA259">
        <v>1.1199999999999999</v>
      </c>
      <c r="FB259">
        <v>8</v>
      </c>
      <c r="FC259">
        <v>0.36</v>
      </c>
      <c r="FD259">
        <v>-4.0399999999999991</v>
      </c>
      <c r="FE259">
        <v>17</v>
      </c>
      <c r="FF259">
        <v>16</v>
      </c>
      <c r="FG259">
        <v>6</v>
      </c>
      <c r="FH259">
        <v>3.6511983425626324E-2</v>
      </c>
      <c r="FI259">
        <v>18</v>
      </c>
      <c r="FJ259">
        <v>-1.5946944742100927E-3</v>
      </c>
      <c r="FK259">
        <v>21</v>
      </c>
      <c r="FL259">
        <v>1.4599999999999995</v>
      </c>
      <c r="FM259">
        <v>19</v>
      </c>
      <c r="FN259">
        <v>-0.35999999999999976</v>
      </c>
      <c r="FO259">
        <v>0.16000000000000086</v>
      </c>
      <c r="FP259">
        <v>-1.5599999999999998</v>
      </c>
      <c r="FQ259">
        <v>-0.92000000000000015</v>
      </c>
      <c r="FR259">
        <v>-1.6400000000000019</v>
      </c>
      <c r="FS259">
        <v>-1.6800000000000004</v>
      </c>
      <c r="FT259">
        <v>-1.1199999999999999</v>
      </c>
      <c r="FU259">
        <v>-40</v>
      </c>
      <c r="FV259">
        <v>-33.999999999999993</v>
      </c>
      <c r="FW259">
        <v>-15.84</v>
      </c>
      <c r="FX259">
        <v>11.52</v>
      </c>
      <c r="FY259">
        <v>-1.6799999999999997</v>
      </c>
      <c r="FZ259">
        <v>17</v>
      </c>
      <c r="GA259">
        <v>9.0000000000000302E-2</v>
      </c>
      <c r="GB259">
        <v>-0.35660000000000047</v>
      </c>
      <c r="GC259">
        <v>-18.159999999999993</v>
      </c>
      <c r="GD259">
        <v>-9.0000000000000302E-2</v>
      </c>
      <c r="GE259">
        <v>-0.64724999999999999</v>
      </c>
      <c r="GF259">
        <v>-7.080000000000001</v>
      </c>
      <c r="GG259">
        <v>-42.56</v>
      </c>
      <c r="GH259">
        <v>-1.2899999999999996</v>
      </c>
      <c r="GI259">
        <v>-7.4500000000000028</v>
      </c>
      <c r="GJ259">
        <v>0.16000000000000036</v>
      </c>
      <c r="GK259">
        <v>0.59999999999999987</v>
      </c>
    </row>
    <row r="260" spans="1:193" x14ac:dyDescent="0.2">
      <c r="A260" s="39">
        <v>43800</v>
      </c>
      <c r="B260" s="22" t="s">
        <v>241</v>
      </c>
      <c r="C260" s="41" t="s">
        <v>305</v>
      </c>
      <c r="D260" s="22" t="s">
        <v>256</v>
      </c>
      <c r="E260">
        <v>1.1000000000000001</v>
      </c>
      <c r="F260">
        <v>2.2000000000000002</v>
      </c>
      <c r="G260">
        <v>1.5</v>
      </c>
      <c r="H260">
        <f>14+5.1+1.4</f>
        <v>20.5</v>
      </c>
      <c r="I260">
        <v>-5.5</v>
      </c>
      <c r="J260">
        <v>45</v>
      </c>
      <c r="K260" t="s">
        <v>110</v>
      </c>
      <c r="L260" s="1" t="s">
        <v>305</v>
      </c>
      <c r="M260">
        <v>1</v>
      </c>
      <c r="N260">
        <v>11.3224</v>
      </c>
      <c r="O260">
        <v>4</v>
      </c>
      <c r="P260">
        <v>6.5</v>
      </c>
      <c r="Q260">
        <v>4</v>
      </c>
      <c r="R260">
        <v>4.0120000000000005</v>
      </c>
      <c r="S260">
        <v>9</v>
      </c>
      <c r="T260">
        <v>7.76</v>
      </c>
      <c r="U260">
        <v>-1.1599999999999997</v>
      </c>
      <c r="V260">
        <v>5</v>
      </c>
      <c r="W260">
        <v>8</v>
      </c>
      <c r="X260">
        <v>14</v>
      </c>
      <c r="Y260">
        <v>0.50800000000000023</v>
      </c>
      <c r="Z260">
        <v>2</v>
      </c>
      <c r="AA260">
        <v>19.080000000000002</v>
      </c>
      <c r="AB260">
        <v>-2.4</v>
      </c>
      <c r="AC260">
        <v>26</v>
      </c>
      <c r="AD260">
        <v>25</v>
      </c>
      <c r="AE260">
        <v>22</v>
      </c>
      <c r="AF260">
        <v>-1.4016000000000002</v>
      </c>
      <c r="AG260">
        <v>28</v>
      </c>
      <c r="AH260">
        <v>-14.36</v>
      </c>
      <c r="AI260">
        <v>-2.2800000000000002</v>
      </c>
      <c r="AJ260">
        <v>25</v>
      </c>
      <c r="AK260">
        <v>26</v>
      </c>
      <c r="AL260">
        <v>24</v>
      </c>
      <c r="AM260">
        <v>-3.3639999999999999</v>
      </c>
      <c r="AN260">
        <v>28</v>
      </c>
      <c r="AO260">
        <v>-27.72</v>
      </c>
      <c r="AP260">
        <v>-3.4400000000000004</v>
      </c>
      <c r="AQ260">
        <v>31</v>
      </c>
      <c r="AR260">
        <v>30</v>
      </c>
      <c r="AS260">
        <v>29</v>
      </c>
      <c r="AT260">
        <v>-3.4840000000000004</v>
      </c>
      <c r="AU260">
        <v>31</v>
      </c>
      <c r="AV260">
        <v>-20.84</v>
      </c>
      <c r="AW260">
        <v>-2.52</v>
      </c>
      <c r="AX260">
        <v>10</v>
      </c>
      <c r="AY260">
        <v>11</v>
      </c>
      <c r="AZ260">
        <v>5</v>
      </c>
      <c r="BA260">
        <v>4.5519999999999987</v>
      </c>
      <c r="BB260">
        <v>17</v>
      </c>
      <c r="BC260">
        <v>1.5199999999999989</v>
      </c>
      <c r="BD260">
        <v>-0.64000000000000024</v>
      </c>
      <c r="BE260">
        <v>2</v>
      </c>
      <c r="BF260">
        <v>2</v>
      </c>
      <c r="BG260">
        <v>2</v>
      </c>
      <c r="BH260">
        <v>10.336</v>
      </c>
      <c r="BI260">
        <v>40.56</v>
      </c>
      <c r="BJ260">
        <v>2.96</v>
      </c>
      <c r="BK260">
        <v>8</v>
      </c>
      <c r="BL260">
        <v>8.5</v>
      </c>
      <c r="BM260">
        <v>2</v>
      </c>
      <c r="BN260">
        <v>2.6</v>
      </c>
      <c r="BO260">
        <v>15</v>
      </c>
      <c r="BP260">
        <v>4.0000000000000036E-2</v>
      </c>
      <c r="BQ260">
        <v>6.7200000000000006</v>
      </c>
      <c r="BR260">
        <v>31</v>
      </c>
      <c r="BS260">
        <v>29.25</v>
      </c>
      <c r="BT260">
        <v>27</v>
      </c>
      <c r="BU260">
        <v>-6.8006433271882355E-2</v>
      </c>
      <c r="BV260">
        <v>31</v>
      </c>
      <c r="BW260">
        <v>-3.1046593028629343E-2</v>
      </c>
      <c r="BX260">
        <v>27</v>
      </c>
      <c r="BY260">
        <v>8.7000000000000046</v>
      </c>
      <c r="BZ260">
        <v>32</v>
      </c>
      <c r="CA260">
        <v>-7.4</v>
      </c>
      <c r="CB260">
        <v>-2.0400000000000018</v>
      </c>
      <c r="CC260">
        <v>15.120000000000001</v>
      </c>
      <c r="CD260">
        <v>2.8</v>
      </c>
      <c r="CE260">
        <v>50.44</v>
      </c>
      <c r="CF260">
        <v>-34.4</v>
      </c>
      <c r="CG260">
        <v>33</v>
      </c>
      <c r="CH260">
        <v>-1.3199999999999998</v>
      </c>
      <c r="CI260">
        <v>53.160000000000004</v>
      </c>
      <c r="CJ260">
        <v>5</v>
      </c>
      <c r="CK260">
        <v>6.8023999999999996</v>
      </c>
      <c r="CL260">
        <v>0.42175999999999947</v>
      </c>
      <c r="CM260">
        <v>-67.400000000000006</v>
      </c>
      <c r="CN260">
        <v>-6.8023999999999996</v>
      </c>
      <c r="CO260">
        <v>2.5661000000000005</v>
      </c>
      <c r="CP260">
        <v>-8.2496000000000009</v>
      </c>
      <c r="CQ260">
        <v>-62.92</v>
      </c>
      <c r="CR260">
        <v>4.5200000000000005</v>
      </c>
      <c r="CS260">
        <v>26.840000000000003</v>
      </c>
      <c r="CT260">
        <v>-5.28</v>
      </c>
      <c r="CU260">
        <v>-3.5599999999999996</v>
      </c>
      <c r="CV260">
        <v>-2.0896000000000003</v>
      </c>
      <c r="CW260">
        <v>-2.2250000000000005</v>
      </c>
      <c r="CX260" t="s">
        <v>256</v>
      </c>
      <c r="CY260">
        <v>22</v>
      </c>
      <c r="CZ260">
        <v>-1.7615999999999978</v>
      </c>
      <c r="DA260">
        <v>14</v>
      </c>
      <c r="DB260">
        <v>16</v>
      </c>
      <c r="DC260">
        <v>22</v>
      </c>
      <c r="DD260">
        <v>-1.2200000000000002</v>
      </c>
      <c r="DE260">
        <v>10</v>
      </c>
      <c r="DF260">
        <v>7.2999999999999972</v>
      </c>
      <c r="DG260">
        <v>-0.38</v>
      </c>
      <c r="DH260">
        <v>32</v>
      </c>
      <c r="DI260">
        <v>32</v>
      </c>
      <c r="DJ260">
        <v>32</v>
      </c>
      <c r="DK260">
        <v>-3.3439999999999999</v>
      </c>
      <c r="DL260">
        <v>32</v>
      </c>
      <c r="DM260">
        <v>-16.380000000000003</v>
      </c>
      <c r="DN260">
        <v>0.29999999999999993</v>
      </c>
      <c r="DO260">
        <v>28</v>
      </c>
      <c r="DP260">
        <v>26.5</v>
      </c>
      <c r="DQ260">
        <v>23</v>
      </c>
      <c r="DR260">
        <v>-2.6520000000000001</v>
      </c>
      <c r="DS260">
        <v>30</v>
      </c>
      <c r="DT260">
        <v>-19</v>
      </c>
      <c r="DU260">
        <v>-0.79999999999999982</v>
      </c>
      <c r="DV260">
        <v>31</v>
      </c>
      <c r="DW260">
        <v>30.5</v>
      </c>
      <c r="DX260">
        <v>32</v>
      </c>
      <c r="DY260">
        <v>-5.6720000000000006</v>
      </c>
      <c r="DZ260">
        <v>29</v>
      </c>
      <c r="EA260">
        <v>-18</v>
      </c>
      <c r="EB260">
        <v>-0.16000000000000023</v>
      </c>
      <c r="EC260">
        <v>7</v>
      </c>
      <c r="ED260">
        <v>14</v>
      </c>
      <c r="EE260">
        <v>12</v>
      </c>
      <c r="EF260">
        <v>0.64399999999999991</v>
      </c>
      <c r="EG260">
        <v>16</v>
      </c>
      <c r="EH260">
        <v>0.35999999999999943</v>
      </c>
      <c r="EI260">
        <v>-0.72</v>
      </c>
      <c r="EJ260">
        <v>27</v>
      </c>
      <c r="EK260">
        <v>27</v>
      </c>
      <c r="EL260">
        <v>26</v>
      </c>
      <c r="EM260">
        <v>-4.7639999999999985</v>
      </c>
      <c r="EN260">
        <v>28</v>
      </c>
      <c r="EO260">
        <v>-24.84</v>
      </c>
      <c r="EP260">
        <v>-0.72000000000000031</v>
      </c>
      <c r="EQ260">
        <v>22</v>
      </c>
      <c r="ER260">
        <v>23.5</v>
      </c>
      <c r="ES260">
        <v>19</v>
      </c>
      <c r="ET260">
        <v>-0.66800000000000048</v>
      </c>
      <c r="EU260">
        <v>28</v>
      </c>
      <c r="EV260">
        <v>-10.680000000000003</v>
      </c>
      <c r="EW260">
        <v>0.92000000000000015</v>
      </c>
      <c r="EX260">
        <v>18</v>
      </c>
      <c r="EY260">
        <v>20</v>
      </c>
      <c r="EZ260">
        <v>22</v>
      </c>
      <c r="FA260">
        <v>-0.96000000000000052</v>
      </c>
      <c r="FB260">
        <v>18</v>
      </c>
      <c r="FC260">
        <v>-0.16</v>
      </c>
      <c r="FD260">
        <v>-1.3199999999999998</v>
      </c>
      <c r="FE260">
        <v>13</v>
      </c>
      <c r="FF260">
        <v>14.75</v>
      </c>
      <c r="FG260">
        <v>23</v>
      </c>
      <c r="FH260">
        <v>-2.1686095960207569E-2</v>
      </c>
      <c r="FI260">
        <v>8</v>
      </c>
      <c r="FJ260">
        <v>1.7815116394958905E-2</v>
      </c>
      <c r="FK260">
        <v>24</v>
      </c>
      <c r="FL260">
        <v>6.4040000000000017</v>
      </c>
      <c r="FM260">
        <v>4</v>
      </c>
      <c r="FN260">
        <v>3.6</v>
      </c>
      <c r="FO260">
        <v>-0.7999999999999986</v>
      </c>
      <c r="FP260">
        <v>0.84000000000000052</v>
      </c>
      <c r="FQ260">
        <v>2.0799999999999996</v>
      </c>
      <c r="FR260">
        <v>2.8400000000000007</v>
      </c>
      <c r="FS260">
        <v>-4.3600000000000012</v>
      </c>
      <c r="FT260">
        <v>0.27999999999999992</v>
      </c>
      <c r="FU260">
        <v>-37.720000000000006</v>
      </c>
      <c r="FV260">
        <v>-48.399999999999991</v>
      </c>
      <c r="FW260">
        <v>-7.6800000000000015</v>
      </c>
      <c r="FX260">
        <v>2.88</v>
      </c>
      <c r="FY260">
        <v>15.48</v>
      </c>
      <c r="FZ260">
        <v>10</v>
      </c>
      <c r="GA260">
        <v>2.8024000000000022</v>
      </c>
      <c r="GB260">
        <v>0.26007999999999987</v>
      </c>
      <c r="GC260">
        <v>-40.719999999999992</v>
      </c>
      <c r="GD260">
        <v>-2.8024000000000022</v>
      </c>
      <c r="GE260">
        <v>-1.9542000000000002</v>
      </c>
      <c r="GF260">
        <v>-7.6800000000000015</v>
      </c>
      <c r="GG260">
        <v>-36.64</v>
      </c>
      <c r="GH260">
        <v>-4.5640000000000001</v>
      </c>
      <c r="GI260">
        <v>-9.0800000000000054</v>
      </c>
      <c r="GJ260">
        <v>-0.76</v>
      </c>
      <c r="GK260">
        <v>-8.0000000000000071E-2</v>
      </c>
    </row>
    <row r="261" spans="1:193" x14ac:dyDescent="0.2">
      <c r="A261" s="39">
        <v>43800</v>
      </c>
      <c r="B261" s="22" t="s">
        <v>241</v>
      </c>
      <c r="C261" s="41" t="s">
        <v>276</v>
      </c>
      <c r="D261" s="22" t="s">
        <v>291</v>
      </c>
      <c r="E261">
        <v>10.72</v>
      </c>
      <c r="F261">
        <v>26</v>
      </c>
      <c r="G261">
        <v>6.4</v>
      </c>
      <c r="H261">
        <v>4.7</v>
      </c>
      <c r="I261">
        <v>6.5</v>
      </c>
      <c r="J261">
        <v>46.5</v>
      </c>
      <c r="L261" s="1" t="s">
        <v>276</v>
      </c>
      <c r="M261">
        <v>4</v>
      </c>
      <c r="N261">
        <v>4.6040000000000019</v>
      </c>
      <c r="O261">
        <v>15</v>
      </c>
      <c r="P261">
        <v>16</v>
      </c>
      <c r="Q261">
        <v>21</v>
      </c>
      <c r="R261">
        <v>-1.1639999999999997</v>
      </c>
      <c r="S261">
        <v>11</v>
      </c>
      <c r="T261">
        <v>6.44</v>
      </c>
      <c r="U261">
        <v>-0.23999999999999994</v>
      </c>
      <c r="V261">
        <v>15</v>
      </c>
      <c r="W261">
        <v>14.5</v>
      </c>
      <c r="X261">
        <v>20</v>
      </c>
      <c r="Y261">
        <v>-1.2599999999999998</v>
      </c>
      <c r="Z261">
        <v>9</v>
      </c>
      <c r="AA261">
        <v>4.84</v>
      </c>
      <c r="AB261">
        <v>-1.1599999999999999</v>
      </c>
      <c r="AC261">
        <v>21</v>
      </c>
      <c r="AD261">
        <v>19.5</v>
      </c>
      <c r="AE261">
        <v>14</v>
      </c>
      <c r="AF261">
        <v>0.30320000000000108</v>
      </c>
      <c r="AG261">
        <v>25</v>
      </c>
      <c r="AH261">
        <v>-6.19</v>
      </c>
      <c r="AI261">
        <v>0.21999999999999992</v>
      </c>
      <c r="AJ261">
        <v>9</v>
      </c>
      <c r="AK261">
        <v>8.5</v>
      </c>
      <c r="AL261">
        <v>9</v>
      </c>
      <c r="AM261">
        <v>3.2000000000000015</v>
      </c>
      <c r="AN261">
        <v>8</v>
      </c>
      <c r="AO261">
        <v>15.319999999999999</v>
      </c>
      <c r="AP261">
        <v>-0.4</v>
      </c>
      <c r="AQ261">
        <v>13</v>
      </c>
      <c r="AR261">
        <v>14.5</v>
      </c>
      <c r="AS261">
        <v>15</v>
      </c>
      <c r="AT261">
        <v>0.58399999999999985</v>
      </c>
      <c r="AU261">
        <v>14</v>
      </c>
      <c r="AV261">
        <v>2.0799999999999996</v>
      </c>
      <c r="AW261">
        <v>0.32</v>
      </c>
      <c r="AX261">
        <v>23</v>
      </c>
      <c r="AY261">
        <v>22.5</v>
      </c>
      <c r="AZ261">
        <v>25</v>
      </c>
      <c r="BA261">
        <v>-2.3840000000000017</v>
      </c>
      <c r="BB261">
        <v>20</v>
      </c>
      <c r="BC261">
        <v>-3.8400000000000021</v>
      </c>
      <c r="BD261">
        <v>-1.0800000000000003</v>
      </c>
      <c r="BE261">
        <v>29</v>
      </c>
      <c r="BF261">
        <v>28.5</v>
      </c>
      <c r="BG261">
        <v>30</v>
      </c>
      <c r="BH261">
        <v>-5.6440000000000001</v>
      </c>
      <c r="BI261">
        <v>-19.560000000000002</v>
      </c>
      <c r="BJ261">
        <v>-2.84</v>
      </c>
      <c r="BK261">
        <v>25</v>
      </c>
      <c r="BL261">
        <v>23</v>
      </c>
      <c r="BM261">
        <v>23</v>
      </c>
      <c r="BN261">
        <v>-0.27999999999999992</v>
      </c>
      <c r="BO261">
        <v>23</v>
      </c>
      <c r="BP261">
        <v>-0.16000000000000006</v>
      </c>
      <c r="BQ261">
        <v>3.3200000000000003</v>
      </c>
      <c r="BR261">
        <v>24</v>
      </c>
      <c r="BS261">
        <v>20.75</v>
      </c>
      <c r="BT261">
        <v>25</v>
      </c>
      <c r="BU261">
        <v>-5.4412894026133182E-2</v>
      </c>
      <c r="BV261">
        <v>25</v>
      </c>
      <c r="BW261">
        <v>-1.9035363887131694E-2</v>
      </c>
      <c r="BX261">
        <v>5</v>
      </c>
      <c r="BY261">
        <v>-8.275999999999998</v>
      </c>
      <c r="BZ261">
        <v>28</v>
      </c>
      <c r="CA261">
        <v>-3.8</v>
      </c>
      <c r="CB261">
        <v>1.6400000000000035</v>
      </c>
      <c r="CC261">
        <v>2.0800000000000005</v>
      </c>
      <c r="CD261">
        <v>0.24000000000000005</v>
      </c>
      <c r="CE261">
        <v>11.04000000000001</v>
      </c>
      <c r="CF261">
        <v>-19.999999999999993</v>
      </c>
      <c r="CG261">
        <v>8.8800000000000043</v>
      </c>
      <c r="CH261">
        <v>4.08</v>
      </c>
      <c r="CI261">
        <v>18.079999999999998</v>
      </c>
      <c r="CJ261">
        <v>4</v>
      </c>
      <c r="CK261">
        <v>7.0280000000000014</v>
      </c>
      <c r="CL261">
        <v>1.8214400000000004</v>
      </c>
      <c r="CM261">
        <v>-28.879999999999995</v>
      </c>
      <c r="CN261">
        <v>-7.0280000000000014</v>
      </c>
      <c r="CO261">
        <v>4.2900000000000535E-2</v>
      </c>
      <c r="CP261">
        <v>4.0872000000000028</v>
      </c>
      <c r="CQ261">
        <v>11.209999999999999</v>
      </c>
      <c r="CR261">
        <v>-2.4239999999999995</v>
      </c>
      <c r="CS261">
        <v>11.280000000000001</v>
      </c>
      <c r="CT261">
        <v>-2.7</v>
      </c>
      <c r="CU261">
        <v>-1.4</v>
      </c>
      <c r="CV261">
        <v>-0.97487499999999994</v>
      </c>
      <c r="CW261">
        <v>-1.3582000000000001</v>
      </c>
      <c r="CX261" t="s">
        <v>291</v>
      </c>
      <c r="CY261">
        <v>19</v>
      </c>
      <c r="CZ261">
        <v>-1.3959999999999979</v>
      </c>
      <c r="DA261">
        <v>6</v>
      </c>
      <c r="DB261">
        <v>8</v>
      </c>
      <c r="DC261">
        <v>4</v>
      </c>
      <c r="DD261">
        <v>3.8804000000000003</v>
      </c>
      <c r="DE261">
        <v>12</v>
      </c>
      <c r="DF261">
        <v>5.8799999999999981</v>
      </c>
      <c r="DG261">
        <v>-8.0000000000000071E-2</v>
      </c>
      <c r="DH261">
        <v>22</v>
      </c>
      <c r="DI261">
        <v>19</v>
      </c>
      <c r="DJ261">
        <v>24</v>
      </c>
      <c r="DK261">
        <v>-1.8479999999999994</v>
      </c>
      <c r="DL261">
        <v>14</v>
      </c>
      <c r="DM261">
        <v>0.32000000000000145</v>
      </c>
      <c r="DN261">
        <v>-0.4</v>
      </c>
      <c r="DO261">
        <v>26</v>
      </c>
      <c r="DP261">
        <v>29.5</v>
      </c>
      <c r="DQ261">
        <v>30</v>
      </c>
      <c r="DR261">
        <v>-6.1727999999999996</v>
      </c>
      <c r="DS261">
        <v>29</v>
      </c>
      <c r="DT261">
        <v>-24.360000000000003</v>
      </c>
      <c r="DU261">
        <v>-1.3199999999999998</v>
      </c>
      <c r="DV261">
        <v>15</v>
      </c>
      <c r="DW261">
        <v>14</v>
      </c>
      <c r="DX261">
        <v>13</v>
      </c>
      <c r="DY261">
        <v>0.50399999999999956</v>
      </c>
      <c r="DZ261">
        <v>15</v>
      </c>
      <c r="EA261">
        <v>-2.0000000000000044</v>
      </c>
      <c r="EB261">
        <v>-1.0399999999999998</v>
      </c>
      <c r="EC261">
        <v>19</v>
      </c>
      <c r="ED261">
        <v>10.5</v>
      </c>
      <c r="EE261">
        <v>9</v>
      </c>
      <c r="EF261">
        <v>0.67999999999999994</v>
      </c>
      <c r="EG261">
        <v>12</v>
      </c>
      <c r="EH261">
        <v>2.4799999999999991</v>
      </c>
      <c r="EI261">
        <v>-0.11999999999999993</v>
      </c>
      <c r="EJ261">
        <v>8</v>
      </c>
      <c r="EK261">
        <v>8.5</v>
      </c>
      <c r="EL261">
        <v>10</v>
      </c>
      <c r="EM261">
        <v>3.1600000000000024</v>
      </c>
      <c r="EN261">
        <v>7</v>
      </c>
      <c r="EO261">
        <v>18.8</v>
      </c>
      <c r="EP261">
        <v>0.64</v>
      </c>
      <c r="EQ261">
        <v>27</v>
      </c>
      <c r="ER261">
        <v>26</v>
      </c>
      <c r="ES261">
        <v>22</v>
      </c>
      <c r="ET261">
        <v>-1.3400000000000005</v>
      </c>
      <c r="EU261">
        <v>30</v>
      </c>
      <c r="EV261">
        <v>-14.52</v>
      </c>
      <c r="EW261">
        <v>-0.19999999999999965</v>
      </c>
      <c r="EX261">
        <v>7</v>
      </c>
      <c r="EY261">
        <v>7</v>
      </c>
      <c r="EZ261">
        <v>10</v>
      </c>
      <c r="FA261">
        <v>0.96000000000000019</v>
      </c>
      <c r="FB261">
        <v>4</v>
      </c>
      <c r="FC261">
        <v>0.6</v>
      </c>
      <c r="FD261">
        <v>-1.64</v>
      </c>
      <c r="FE261">
        <v>15</v>
      </c>
      <c r="FF261">
        <v>15.75</v>
      </c>
      <c r="FG261">
        <v>7</v>
      </c>
      <c r="FH261">
        <v>3.4832802812091015E-2</v>
      </c>
      <c r="FI261">
        <v>7</v>
      </c>
      <c r="FJ261">
        <v>1.9370085594713704E-2</v>
      </c>
      <c r="FK261">
        <v>28</v>
      </c>
      <c r="FL261">
        <v>9.8560000000000034</v>
      </c>
      <c r="FM261">
        <v>21</v>
      </c>
      <c r="FN261">
        <v>-0.48000000000000009</v>
      </c>
      <c r="FO261">
        <v>-4.1599999999999993</v>
      </c>
      <c r="FP261">
        <v>0.6399999999999999</v>
      </c>
      <c r="FQ261">
        <v>1.56</v>
      </c>
      <c r="FR261">
        <v>-1.1200000000000003</v>
      </c>
      <c r="FS261">
        <v>1.0399999999999998</v>
      </c>
      <c r="FT261">
        <v>-0.6399999999999999</v>
      </c>
      <c r="FU261">
        <v>-28.24</v>
      </c>
      <c r="FV261">
        <v>-39.799999999999997</v>
      </c>
      <c r="FW261">
        <v>0.52000000000000313</v>
      </c>
      <c r="FX261">
        <v>-0.31999999999999995</v>
      </c>
      <c r="FY261">
        <v>11.36</v>
      </c>
      <c r="FZ261">
        <v>23</v>
      </c>
      <c r="GA261">
        <v>-3.4283999999999986</v>
      </c>
      <c r="GB261">
        <v>-2.5611600000000001</v>
      </c>
      <c r="GC261">
        <v>-40.32</v>
      </c>
      <c r="GD261">
        <v>3.428399999999999</v>
      </c>
      <c r="GE261">
        <v>-0.5915499999999998</v>
      </c>
      <c r="GF261">
        <v>-4.9888000000000003</v>
      </c>
      <c r="GG261">
        <v>-23.880000000000006</v>
      </c>
      <c r="GH261">
        <v>2.0324000000000009</v>
      </c>
      <c r="GI261">
        <v>6.1999999999999993</v>
      </c>
      <c r="GJ261">
        <v>-2.6799999999999993</v>
      </c>
      <c r="GK261">
        <v>-0.48000000000000009</v>
      </c>
    </row>
    <row r="262" spans="1:193" x14ac:dyDescent="0.2">
      <c r="A262" s="39">
        <v>43800</v>
      </c>
      <c r="B262" s="22" t="s">
        <v>241</v>
      </c>
      <c r="C262" s="41" t="s">
        <v>301</v>
      </c>
      <c r="D262" s="22" t="s">
        <v>306</v>
      </c>
      <c r="E262">
        <v>19.2</v>
      </c>
      <c r="F262">
        <v>16.5</v>
      </c>
      <c r="G262">
        <v>6.4</v>
      </c>
      <c r="H262">
        <f>6.4+5.2</f>
        <v>11.600000000000001</v>
      </c>
      <c r="I262">
        <v>10.5</v>
      </c>
      <c r="J262">
        <v>38.5</v>
      </c>
      <c r="K262" t="s">
        <v>110</v>
      </c>
      <c r="L262" s="1" t="s">
        <v>301</v>
      </c>
      <c r="M262">
        <v>13</v>
      </c>
      <c r="N262">
        <v>0.72400000000000164</v>
      </c>
      <c r="O262">
        <v>2</v>
      </c>
      <c r="P262">
        <v>3</v>
      </c>
      <c r="Q262">
        <v>1</v>
      </c>
      <c r="R262">
        <v>12.876999999999999</v>
      </c>
      <c r="S262">
        <v>5</v>
      </c>
      <c r="T262">
        <v>21.740000000000002</v>
      </c>
      <c r="U262">
        <v>3.4200000000000004</v>
      </c>
      <c r="V262">
        <v>32</v>
      </c>
      <c r="W262">
        <v>31.5</v>
      </c>
      <c r="X262">
        <v>31</v>
      </c>
      <c r="Y262">
        <v>-4.1349999999999998</v>
      </c>
      <c r="Z262">
        <v>32</v>
      </c>
      <c r="AA262">
        <v>-19.5</v>
      </c>
      <c r="AB262">
        <v>-0.63</v>
      </c>
      <c r="AC262">
        <v>7</v>
      </c>
      <c r="AD262">
        <v>6.5</v>
      </c>
      <c r="AE262">
        <v>7</v>
      </c>
      <c r="AF262">
        <v>5.1250000000000009</v>
      </c>
      <c r="AG262">
        <v>6</v>
      </c>
      <c r="AH262">
        <v>17.100000000000001</v>
      </c>
      <c r="AI262">
        <v>2.65</v>
      </c>
      <c r="AJ262">
        <v>21</v>
      </c>
      <c r="AK262">
        <v>20.5</v>
      </c>
      <c r="AL262">
        <v>20</v>
      </c>
      <c r="AM262">
        <v>-0.64900000000000024</v>
      </c>
      <c r="AN262">
        <v>21</v>
      </c>
      <c r="AO262">
        <v>-8.59</v>
      </c>
      <c r="AP262">
        <v>0.6</v>
      </c>
      <c r="AQ262">
        <v>23</v>
      </c>
      <c r="AR262">
        <v>23.5</v>
      </c>
      <c r="AS262">
        <v>23</v>
      </c>
      <c r="AT262">
        <v>-2.1259999999999999</v>
      </c>
      <c r="AU262">
        <v>24</v>
      </c>
      <c r="AV262">
        <v>-9.48</v>
      </c>
      <c r="AW262">
        <v>-1.02</v>
      </c>
      <c r="AX262">
        <v>24</v>
      </c>
      <c r="AY262">
        <v>25</v>
      </c>
      <c r="AZ262">
        <v>23</v>
      </c>
      <c r="BA262">
        <v>-1.9880000000000013</v>
      </c>
      <c r="BB262">
        <v>27</v>
      </c>
      <c r="BC262">
        <v>-23.48</v>
      </c>
      <c r="BD262">
        <v>0.9199999999999996</v>
      </c>
      <c r="BE262">
        <v>20</v>
      </c>
      <c r="BF262">
        <v>22</v>
      </c>
      <c r="BG262">
        <v>20</v>
      </c>
      <c r="BH262">
        <v>-2.0000000000000004</v>
      </c>
      <c r="BI262">
        <v>-6.4</v>
      </c>
      <c r="BJ262">
        <v>-2.64</v>
      </c>
      <c r="BK262">
        <v>32</v>
      </c>
      <c r="BL262">
        <v>31.5</v>
      </c>
      <c r="BM262">
        <v>32</v>
      </c>
      <c r="BN262">
        <v>-3.6799999999999997</v>
      </c>
      <c r="BO262">
        <v>31</v>
      </c>
      <c r="BP262">
        <v>-1.1599999999999999</v>
      </c>
      <c r="BQ262">
        <v>-1.4799999999999995</v>
      </c>
      <c r="BR262">
        <v>4</v>
      </c>
      <c r="BS262">
        <v>8.5</v>
      </c>
      <c r="BT262">
        <v>4</v>
      </c>
      <c r="BU262">
        <v>6.6097753161763223E-2</v>
      </c>
      <c r="BV262">
        <v>6</v>
      </c>
      <c r="BW262">
        <v>1.8820344205210567E-2</v>
      </c>
      <c r="BX262">
        <v>17</v>
      </c>
      <c r="BY262">
        <v>-0.15999999999999942</v>
      </c>
      <c r="BZ262">
        <v>7</v>
      </c>
      <c r="CA262">
        <v>2.6399999999999997</v>
      </c>
      <c r="CB262">
        <v>4.1200000000000019</v>
      </c>
      <c r="CC262">
        <v>-1.64</v>
      </c>
      <c r="CD262">
        <v>-0.27999999999999997</v>
      </c>
      <c r="CE262">
        <v>7.4800000000000066</v>
      </c>
      <c r="CF262">
        <v>9.7999999999999936</v>
      </c>
      <c r="CG262">
        <v>-2.3200000000000016</v>
      </c>
      <c r="CH262">
        <v>5.08</v>
      </c>
      <c r="CI262">
        <v>-5.08</v>
      </c>
      <c r="CJ262">
        <v>29</v>
      </c>
      <c r="CK262">
        <v>-8.0179999999999971</v>
      </c>
      <c r="CL262">
        <v>-4.1561999999999992</v>
      </c>
      <c r="CM262">
        <v>12.119999999999996</v>
      </c>
      <c r="CN262">
        <v>8.0179999999999971</v>
      </c>
      <c r="CO262">
        <v>0.76700000000000013</v>
      </c>
      <c r="CP262">
        <v>2.350000000000001</v>
      </c>
      <c r="CQ262">
        <v>-0.96999999999999886</v>
      </c>
      <c r="CR262">
        <v>8.7419999999999991</v>
      </c>
      <c r="CS262">
        <v>2.240000000000002</v>
      </c>
      <c r="CT262">
        <v>-0.41000000000000014</v>
      </c>
      <c r="CU262">
        <v>2.7900000000000005</v>
      </c>
      <c r="CV262">
        <v>0.41262500000000041</v>
      </c>
      <c r="CW262">
        <v>1.1956000000000002</v>
      </c>
      <c r="CX262" t="s">
        <v>306</v>
      </c>
      <c r="CY262">
        <v>22</v>
      </c>
      <c r="CZ262">
        <v>-1.7583999999999982</v>
      </c>
      <c r="DA262">
        <v>11</v>
      </c>
      <c r="DB262">
        <v>11</v>
      </c>
      <c r="DC262">
        <v>16</v>
      </c>
      <c r="DD262">
        <v>0.37240000000000145</v>
      </c>
      <c r="DE262">
        <v>6</v>
      </c>
      <c r="DF262">
        <v>11.799999999999997</v>
      </c>
      <c r="DG262">
        <v>-0.16000000000000006</v>
      </c>
      <c r="DH262">
        <v>10</v>
      </c>
      <c r="DI262">
        <v>12.5</v>
      </c>
      <c r="DJ262">
        <v>16</v>
      </c>
      <c r="DK262">
        <v>-0.64800000000000002</v>
      </c>
      <c r="DL262">
        <v>9</v>
      </c>
      <c r="DM262">
        <v>6.88</v>
      </c>
      <c r="DN262">
        <v>-0.47999999999999987</v>
      </c>
      <c r="DO262">
        <v>13</v>
      </c>
      <c r="DP262">
        <v>12</v>
      </c>
      <c r="DQ262">
        <v>14</v>
      </c>
      <c r="DR262">
        <v>-0.22879999999999967</v>
      </c>
      <c r="DS262">
        <v>10</v>
      </c>
      <c r="DT262">
        <v>9.5599999999999969</v>
      </c>
      <c r="DU262">
        <v>-0.28000000000000008</v>
      </c>
      <c r="DV262">
        <v>26</v>
      </c>
      <c r="DW262">
        <v>26.5</v>
      </c>
      <c r="DX262">
        <v>23</v>
      </c>
      <c r="DY262">
        <v>-2.9279999999999999</v>
      </c>
      <c r="DZ262">
        <v>30</v>
      </c>
      <c r="EA262">
        <v>-19.840000000000003</v>
      </c>
      <c r="EB262">
        <v>-0.8</v>
      </c>
      <c r="EC262">
        <v>32</v>
      </c>
      <c r="ED262">
        <v>15</v>
      </c>
      <c r="EE262">
        <v>15</v>
      </c>
      <c r="EF262">
        <v>0.21600000000000028</v>
      </c>
      <c r="EG262">
        <v>15</v>
      </c>
      <c r="EH262">
        <v>0.23999999999999969</v>
      </c>
      <c r="EI262">
        <v>-0.27999999999999992</v>
      </c>
      <c r="EJ262">
        <v>7</v>
      </c>
      <c r="EK262">
        <v>7.5</v>
      </c>
      <c r="EL262">
        <v>7</v>
      </c>
      <c r="EM262">
        <v>4.5000000000000009</v>
      </c>
      <c r="EN262">
        <v>8</v>
      </c>
      <c r="EO262">
        <v>17.399999999999999</v>
      </c>
      <c r="EP262">
        <v>4.0000000000000036E-2</v>
      </c>
      <c r="EQ262">
        <v>10</v>
      </c>
      <c r="ER262">
        <v>10.5</v>
      </c>
      <c r="ES262">
        <v>6</v>
      </c>
      <c r="ET262">
        <v>1.4520000000000004</v>
      </c>
      <c r="EU262">
        <v>15</v>
      </c>
      <c r="EV262">
        <v>0.27999999999999903</v>
      </c>
      <c r="EW262">
        <v>-1.7599999999999998</v>
      </c>
      <c r="EX262">
        <v>12</v>
      </c>
      <c r="EY262">
        <v>12.5</v>
      </c>
      <c r="EZ262">
        <v>12</v>
      </c>
      <c r="FA262">
        <v>0.56000000000000016</v>
      </c>
      <c r="FB262">
        <v>13</v>
      </c>
      <c r="FC262">
        <v>7.9999999999999988E-2</v>
      </c>
      <c r="FD262">
        <v>1.7200000000000002</v>
      </c>
      <c r="FE262">
        <v>3</v>
      </c>
      <c r="FF262">
        <v>8</v>
      </c>
      <c r="FG262">
        <v>13</v>
      </c>
      <c r="FH262">
        <v>2.5075482480320988E-3</v>
      </c>
      <c r="FI262">
        <v>2</v>
      </c>
      <c r="FJ262">
        <v>3.5944845989316673E-2</v>
      </c>
      <c r="FK262">
        <v>9</v>
      </c>
      <c r="FL262">
        <v>-3.8039999999999976</v>
      </c>
      <c r="FM262">
        <v>8</v>
      </c>
      <c r="FN262">
        <v>2.52</v>
      </c>
      <c r="FO262">
        <v>-4.1599999999999993</v>
      </c>
      <c r="FP262">
        <v>4.16</v>
      </c>
      <c r="FQ262">
        <v>1.1200000000000001</v>
      </c>
      <c r="FR262">
        <v>1.8800000000000026</v>
      </c>
      <c r="FS262">
        <v>0.6</v>
      </c>
      <c r="FT262">
        <v>-1</v>
      </c>
      <c r="FU262">
        <v>-0.11999999999999318</v>
      </c>
      <c r="FV262">
        <v>-16.359999999999996</v>
      </c>
      <c r="FW262">
        <v>19.880000000000003</v>
      </c>
      <c r="FX262">
        <v>-5.6</v>
      </c>
      <c r="FY262">
        <v>1.9599999999999997</v>
      </c>
      <c r="FZ262">
        <v>22</v>
      </c>
      <c r="GA262">
        <v>-1.4827999999999997</v>
      </c>
      <c r="GB262">
        <v>-0.51164000000000021</v>
      </c>
      <c r="GC262">
        <v>-36.239999999999995</v>
      </c>
      <c r="GD262">
        <v>1.4827999999999997</v>
      </c>
      <c r="GE262">
        <v>-0.3703499999999994</v>
      </c>
      <c r="GF262">
        <v>-2.9407999999999994</v>
      </c>
      <c r="GG262">
        <v>-10.040000000000006</v>
      </c>
      <c r="GH262">
        <v>-0.27559999999999857</v>
      </c>
      <c r="GI262">
        <v>18.679999999999996</v>
      </c>
      <c r="GJ262">
        <v>-3.1199999999999997</v>
      </c>
      <c r="GK262">
        <v>-0.6399999999999999</v>
      </c>
    </row>
    <row r="263" spans="1:193" x14ac:dyDescent="0.2">
      <c r="A263" s="39">
        <v>43800</v>
      </c>
      <c r="B263" s="22" t="s">
        <v>241</v>
      </c>
      <c r="C263" s="41" t="s">
        <v>265</v>
      </c>
      <c r="D263" s="22" t="s">
        <v>299</v>
      </c>
      <c r="E263">
        <v>22.6</v>
      </c>
      <c r="F263">
        <v>26</v>
      </c>
      <c r="G263">
        <v>10.6</v>
      </c>
      <c r="H263">
        <v>8.8000000000000007</v>
      </c>
      <c r="I263">
        <v>-5.5</v>
      </c>
      <c r="J263">
        <v>37.5</v>
      </c>
      <c r="L263" s="1" t="s">
        <v>265</v>
      </c>
      <c r="M263">
        <v>23</v>
      </c>
      <c r="N263">
        <v>-3.1352000000000002</v>
      </c>
      <c r="O263">
        <v>20</v>
      </c>
      <c r="P263">
        <v>21</v>
      </c>
      <c r="Q263">
        <v>23</v>
      </c>
      <c r="R263">
        <v>-2.2600000000000002</v>
      </c>
      <c r="S263">
        <v>19</v>
      </c>
      <c r="T263">
        <v>-5.7200000000000033</v>
      </c>
      <c r="U263">
        <v>-0.15999999999999986</v>
      </c>
      <c r="V263">
        <v>13</v>
      </c>
      <c r="W263">
        <v>13.5</v>
      </c>
      <c r="X263">
        <v>7</v>
      </c>
      <c r="Y263">
        <v>1.9359999999999999</v>
      </c>
      <c r="Z263">
        <v>20</v>
      </c>
      <c r="AA263">
        <v>-4.8239999999999998</v>
      </c>
      <c r="AB263">
        <v>1.9600000000000002</v>
      </c>
      <c r="AC263">
        <v>16</v>
      </c>
      <c r="AD263">
        <v>17</v>
      </c>
      <c r="AE263">
        <v>16</v>
      </c>
      <c r="AF263">
        <v>-0.63999999999999846</v>
      </c>
      <c r="AG263">
        <v>18</v>
      </c>
      <c r="AH263">
        <v>-2.0399999999999991</v>
      </c>
      <c r="AI263">
        <v>0.36000000000000015</v>
      </c>
      <c r="AJ263">
        <v>11</v>
      </c>
      <c r="AK263">
        <v>11</v>
      </c>
      <c r="AL263">
        <v>13</v>
      </c>
      <c r="AM263">
        <v>0.88400000000000034</v>
      </c>
      <c r="AN263">
        <v>9</v>
      </c>
      <c r="AO263">
        <v>12.520000000000001</v>
      </c>
      <c r="AP263">
        <v>1.4799999999999998</v>
      </c>
      <c r="AQ263">
        <v>26</v>
      </c>
      <c r="AR263">
        <v>26</v>
      </c>
      <c r="AS263">
        <v>26</v>
      </c>
      <c r="AT263">
        <v>-2.8920000000000003</v>
      </c>
      <c r="AU263">
        <v>26</v>
      </c>
      <c r="AV263">
        <v>-12.68</v>
      </c>
      <c r="AW263">
        <v>0.11999999999999993</v>
      </c>
      <c r="AX263">
        <v>8</v>
      </c>
      <c r="AY263">
        <v>9</v>
      </c>
      <c r="AZ263">
        <v>9</v>
      </c>
      <c r="BA263">
        <v>3.1559999999999997</v>
      </c>
      <c r="BB263">
        <v>9</v>
      </c>
      <c r="BC263">
        <v>13.959999999999999</v>
      </c>
      <c r="BD263">
        <v>2.3599999999999994</v>
      </c>
      <c r="BE263">
        <v>29</v>
      </c>
      <c r="BF263">
        <v>28.5</v>
      </c>
      <c r="BG263">
        <v>25</v>
      </c>
      <c r="BH263">
        <v>-4.4320000000000004</v>
      </c>
      <c r="BI263">
        <v>-25.119999999999997</v>
      </c>
      <c r="BJ263">
        <v>-2.0799999999999996</v>
      </c>
      <c r="BK263">
        <v>30</v>
      </c>
      <c r="BL263">
        <v>29.5</v>
      </c>
      <c r="BM263">
        <v>31</v>
      </c>
      <c r="BN263">
        <v>-3.504</v>
      </c>
      <c r="BO263">
        <v>28</v>
      </c>
      <c r="BP263">
        <v>-0.64</v>
      </c>
      <c r="BQ263">
        <v>-3.88</v>
      </c>
      <c r="BR263">
        <v>18</v>
      </c>
      <c r="BS263">
        <v>15.5</v>
      </c>
      <c r="BT263">
        <v>20</v>
      </c>
      <c r="BU263">
        <v>-2.2299210040452978E-2</v>
      </c>
      <c r="BV263">
        <v>11</v>
      </c>
      <c r="BW263">
        <v>5.0643597799620767E-3</v>
      </c>
      <c r="BX263">
        <v>20</v>
      </c>
      <c r="BY263">
        <v>0.92399999999999805</v>
      </c>
      <c r="BZ263">
        <v>11</v>
      </c>
      <c r="CA263">
        <v>0.75999999999999979</v>
      </c>
      <c r="CB263">
        <v>-3.4800000000000013</v>
      </c>
      <c r="CC263">
        <v>-5.2799999999999994</v>
      </c>
      <c r="CD263">
        <v>-1.6800000000000002</v>
      </c>
      <c r="CE263">
        <v>-57.959999999999994</v>
      </c>
      <c r="CF263">
        <v>-32.04</v>
      </c>
      <c r="CG263">
        <v>-15.640000000000004</v>
      </c>
      <c r="CH263">
        <v>-4.5200000000000005</v>
      </c>
      <c r="CI263">
        <v>-5.76</v>
      </c>
      <c r="CJ263">
        <v>19</v>
      </c>
      <c r="CK263">
        <v>-2.8111999999999999</v>
      </c>
      <c r="CL263">
        <v>-1.8810399999999998</v>
      </c>
      <c r="CM263">
        <v>-16.399999999999995</v>
      </c>
      <c r="CN263">
        <v>2.8111999999999999</v>
      </c>
      <c r="CO263">
        <v>-1.7554000000000001</v>
      </c>
      <c r="CP263">
        <v>-2.6479999999999984</v>
      </c>
      <c r="CQ263">
        <v>-2.1999999999999975</v>
      </c>
      <c r="CR263">
        <v>-0.32400000000000029</v>
      </c>
      <c r="CS263">
        <v>-10.544000000000004</v>
      </c>
      <c r="CT263">
        <v>-0.11999999999999988</v>
      </c>
      <c r="CU263">
        <v>1.8000000000000003</v>
      </c>
      <c r="CV263">
        <v>0.6042500000000004</v>
      </c>
      <c r="CW263">
        <v>-1.3204000000000002</v>
      </c>
      <c r="CX263" t="s">
        <v>299</v>
      </c>
      <c r="CY263">
        <v>3</v>
      </c>
      <c r="CZ263">
        <v>5.4072000000000013</v>
      </c>
      <c r="DA263">
        <v>14</v>
      </c>
      <c r="DB263">
        <v>16</v>
      </c>
      <c r="DC263">
        <v>14</v>
      </c>
      <c r="DD263">
        <v>0.90400000000000136</v>
      </c>
      <c r="DE263">
        <v>18</v>
      </c>
      <c r="DF263">
        <v>-0.55999999999999939</v>
      </c>
      <c r="DG263">
        <v>-1.1599999999999999</v>
      </c>
      <c r="DH263">
        <v>11</v>
      </c>
      <c r="DI263">
        <v>14</v>
      </c>
      <c r="DJ263">
        <v>3</v>
      </c>
      <c r="DK263">
        <v>3.0839999999999996</v>
      </c>
      <c r="DL263">
        <v>25</v>
      </c>
      <c r="DM263">
        <v>-6.0319999999999991</v>
      </c>
      <c r="DN263">
        <v>-7.9999999999999988E-2</v>
      </c>
      <c r="DO263">
        <v>10</v>
      </c>
      <c r="DP263">
        <v>9.5</v>
      </c>
      <c r="DQ263">
        <v>10</v>
      </c>
      <c r="DR263">
        <v>1.092000000000001</v>
      </c>
      <c r="DS263">
        <v>9</v>
      </c>
      <c r="DT263">
        <v>9.7200000000000024</v>
      </c>
      <c r="DU263">
        <v>1.7599999999999998</v>
      </c>
      <c r="DV263">
        <v>3</v>
      </c>
      <c r="DW263">
        <v>3.5</v>
      </c>
      <c r="DX263">
        <v>4</v>
      </c>
      <c r="DY263">
        <v>5.7119999999999997</v>
      </c>
      <c r="DZ263">
        <v>3</v>
      </c>
      <c r="EA263">
        <v>22.08</v>
      </c>
      <c r="EB263">
        <v>1.64</v>
      </c>
      <c r="EC263">
        <v>15</v>
      </c>
      <c r="ED263">
        <v>3.5</v>
      </c>
      <c r="EE263">
        <v>3</v>
      </c>
      <c r="EF263">
        <v>1.94</v>
      </c>
      <c r="EG263">
        <v>4</v>
      </c>
      <c r="EH263">
        <v>9.7200000000000006</v>
      </c>
      <c r="EI263">
        <v>4.0000000000000126E-2</v>
      </c>
      <c r="EJ263">
        <v>2</v>
      </c>
      <c r="EK263">
        <v>3.5</v>
      </c>
      <c r="EL263">
        <v>3</v>
      </c>
      <c r="EM263">
        <v>6.4399999999999995</v>
      </c>
      <c r="EN263">
        <v>4</v>
      </c>
      <c r="EO263">
        <v>31.6</v>
      </c>
      <c r="EP263">
        <v>1.6800000000000002</v>
      </c>
      <c r="EQ263">
        <v>11</v>
      </c>
      <c r="ER263">
        <v>12.5</v>
      </c>
      <c r="ES263">
        <v>8</v>
      </c>
      <c r="ET263">
        <v>0.65200000000000025</v>
      </c>
      <c r="EU263">
        <v>17</v>
      </c>
      <c r="EV263">
        <v>-1.0800000000000005</v>
      </c>
      <c r="EW263">
        <v>-1.4400000000000002</v>
      </c>
      <c r="EX263">
        <v>12</v>
      </c>
      <c r="EY263">
        <v>12.5</v>
      </c>
      <c r="EZ263">
        <v>7</v>
      </c>
      <c r="FA263">
        <v>1.4400000000000002</v>
      </c>
      <c r="FB263">
        <v>18</v>
      </c>
      <c r="FC263">
        <v>-0.2</v>
      </c>
      <c r="FD263">
        <v>1.9600000000000004</v>
      </c>
      <c r="FE263">
        <v>24</v>
      </c>
      <c r="FF263">
        <v>21</v>
      </c>
      <c r="FG263">
        <v>26</v>
      </c>
      <c r="FH263">
        <v>-3.1228005055085616E-2</v>
      </c>
      <c r="FI263">
        <v>23</v>
      </c>
      <c r="FJ263">
        <v>-6.8051663324504878E-3</v>
      </c>
      <c r="FK263">
        <v>5</v>
      </c>
      <c r="FL263">
        <v>-7.0330000000000013</v>
      </c>
      <c r="FM263">
        <v>30</v>
      </c>
      <c r="FN263">
        <v>-4.0400000000000009</v>
      </c>
      <c r="FO263">
        <v>-3.9999999999999147E-2</v>
      </c>
      <c r="FP263">
        <v>1.2800000000000005</v>
      </c>
      <c r="FQ263">
        <v>0.40000000000000008</v>
      </c>
      <c r="FR263">
        <v>1.7599999999999993</v>
      </c>
      <c r="FS263">
        <v>6.8</v>
      </c>
      <c r="FT263">
        <v>0.55999999999999983</v>
      </c>
      <c r="FU263">
        <v>49.919999999999995</v>
      </c>
      <c r="FV263">
        <v>44.56</v>
      </c>
      <c r="FW263">
        <v>-1.2400000000000007</v>
      </c>
      <c r="FX263">
        <v>4.4799999999999995</v>
      </c>
      <c r="FY263">
        <v>2.12</v>
      </c>
      <c r="FZ263">
        <v>13</v>
      </c>
      <c r="GA263">
        <v>1.4192</v>
      </c>
      <c r="GB263">
        <v>0.96664000000000017</v>
      </c>
      <c r="GC263">
        <v>45.800000000000004</v>
      </c>
      <c r="GD263">
        <v>-1.4192000000000005</v>
      </c>
      <c r="GE263">
        <v>2.528900000000001</v>
      </c>
      <c r="GF263">
        <v>8.7439999999999998</v>
      </c>
      <c r="GG263">
        <v>41.52</v>
      </c>
      <c r="GH263">
        <v>3.9880000000000009</v>
      </c>
      <c r="GI263">
        <v>-6.5919999999999987</v>
      </c>
      <c r="GJ263">
        <v>1.9999999999999993</v>
      </c>
      <c r="GK263">
        <v>-1.24</v>
      </c>
    </row>
    <row r="264" spans="1:193" x14ac:dyDescent="0.2">
      <c r="A264" s="39">
        <v>43800</v>
      </c>
      <c r="B264" s="22" t="s">
        <v>241</v>
      </c>
      <c r="C264" s="17" t="s">
        <v>272</v>
      </c>
      <c r="D264" s="22" t="s">
        <v>298</v>
      </c>
      <c r="E264">
        <v>16.899999999999999</v>
      </c>
      <c r="F264">
        <v>10.6</v>
      </c>
      <c r="G264">
        <v>4.0999999999999996</v>
      </c>
      <c r="H264">
        <v>12.3</v>
      </c>
      <c r="I264">
        <v>2.5</v>
      </c>
      <c r="J264">
        <v>43</v>
      </c>
      <c r="K264" t="s">
        <v>109</v>
      </c>
      <c r="L264" s="1" t="s">
        <v>272</v>
      </c>
      <c r="M264">
        <v>27</v>
      </c>
      <c r="N264">
        <v>-3.5823999999999989</v>
      </c>
      <c r="O264">
        <v>29</v>
      </c>
      <c r="P264">
        <v>28</v>
      </c>
      <c r="Q264">
        <v>26</v>
      </c>
      <c r="R264">
        <v>3.944</v>
      </c>
      <c r="S264">
        <v>30</v>
      </c>
      <c r="T264">
        <v>20.28</v>
      </c>
      <c r="U264">
        <v>-7.9999999999999988E-2</v>
      </c>
      <c r="V264">
        <v>24</v>
      </c>
      <c r="W264">
        <v>24</v>
      </c>
      <c r="X264">
        <v>24</v>
      </c>
      <c r="Y264">
        <v>-2.7600000000000002</v>
      </c>
      <c r="Z264">
        <v>24</v>
      </c>
      <c r="AA264">
        <v>-5.1199999999999992</v>
      </c>
      <c r="AB264">
        <v>-0.23999999999999994</v>
      </c>
      <c r="AC264">
        <v>22</v>
      </c>
      <c r="AD264">
        <v>20</v>
      </c>
      <c r="AE264">
        <v>17</v>
      </c>
      <c r="AF264">
        <v>0.72800000000000042</v>
      </c>
      <c r="AG264">
        <v>23</v>
      </c>
      <c r="AH264">
        <v>2.4</v>
      </c>
      <c r="AI264">
        <v>0.19999999999999982</v>
      </c>
      <c r="AJ264">
        <v>20</v>
      </c>
      <c r="AK264">
        <v>19</v>
      </c>
      <c r="AL264">
        <v>23</v>
      </c>
      <c r="AM264">
        <v>-5.4040000000000017</v>
      </c>
      <c r="AN264">
        <v>15</v>
      </c>
      <c r="AO264">
        <v>-11.759999999999996</v>
      </c>
      <c r="AP264">
        <v>-0.44000000000000022</v>
      </c>
      <c r="AQ264">
        <v>2</v>
      </c>
      <c r="AR264">
        <v>2</v>
      </c>
      <c r="AS264">
        <v>2</v>
      </c>
      <c r="AT264">
        <v>0.21599999999999966</v>
      </c>
      <c r="AU264">
        <v>2</v>
      </c>
      <c r="AV264">
        <v>5.7200000000000006</v>
      </c>
      <c r="AW264">
        <v>0.96</v>
      </c>
      <c r="AX264">
        <v>14</v>
      </c>
      <c r="AY264">
        <v>14.5</v>
      </c>
      <c r="AZ264">
        <v>16</v>
      </c>
      <c r="BA264">
        <v>-0.23200000000000146</v>
      </c>
      <c r="BB264">
        <v>13</v>
      </c>
      <c r="BC264">
        <v>15.280000000000001</v>
      </c>
      <c r="BD264">
        <v>0.72</v>
      </c>
      <c r="BE264">
        <v>17</v>
      </c>
      <c r="BF264">
        <v>17.5</v>
      </c>
      <c r="BG264">
        <v>19</v>
      </c>
      <c r="BH264">
        <v>-0.96000000000000063</v>
      </c>
      <c r="BI264">
        <v>-3.6400000000000006</v>
      </c>
      <c r="BJ264">
        <v>0.43999999999999984</v>
      </c>
      <c r="BK264">
        <v>12</v>
      </c>
      <c r="BL264">
        <v>11.5</v>
      </c>
      <c r="BM264">
        <v>12</v>
      </c>
      <c r="BN264">
        <v>0.72</v>
      </c>
      <c r="BO264">
        <v>11</v>
      </c>
      <c r="BP264">
        <v>0.19999999999999996</v>
      </c>
      <c r="BQ264">
        <v>-2</v>
      </c>
      <c r="BR264">
        <v>10</v>
      </c>
      <c r="BS264">
        <v>12.75</v>
      </c>
      <c r="BT264">
        <v>13</v>
      </c>
      <c r="BU264">
        <v>2.0638211933368188E-2</v>
      </c>
      <c r="BV264">
        <v>15</v>
      </c>
      <c r="BW264">
        <v>1.9499198044581416E-3</v>
      </c>
      <c r="BX264">
        <v>11</v>
      </c>
      <c r="BY264">
        <v>-3.3760000000000021</v>
      </c>
      <c r="BZ264">
        <v>12</v>
      </c>
      <c r="CA264">
        <v>0.6</v>
      </c>
      <c r="CB264">
        <v>1.3999999999999986</v>
      </c>
      <c r="CC264">
        <v>-4.2</v>
      </c>
      <c r="CD264">
        <v>-1.0399999999999998</v>
      </c>
      <c r="CE264">
        <v>-1.7599999999999909</v>
      </c>
      <c r="CF264">
        <v>-15.119999999999994</v>
      </c>
      <c r="CG264">
        <v>9.52</v>
      </c>
      <c r="CH264">
        <v>1.0799999999999998</v>
      </c>
      <c r="CI264">
        <v>2.7599999999999993</v>
      </c>
      <c r="CJ264">
        <v>23</v>
      </c>
      <c r="CK264">
        <v>-4.7663999999999991</v>
      </c>
      <c r="CL264">
        <v>-2.3924799999999999</v>
      </c>
      <c r="CM264">
        <v>-24.639999999999993</v>
      </c>
      <c r="CN264">
        <v>4.7663999999999991</v>
      </c>
      <c r="CO264">
        <v>-0.88730000000000031</v>
      </c>
      <c r="CP264">
        <v>-4.4600000000000017</v>
      </c>
      <c r="CQ264">
        <v>-3.6399999999999952</v>
      </c>
      <c r="CR264">
        <v>1.1839999999999997</v>
      </c>
      <c r="CS264">
        <v>15.160000000000002</v>
      </c>
      <c r="CT264">
        <v>1.1599999999999993</v>
      </c>
      <c r="CU264">
        <v>-0.31999999999999995</v>
      </c>
      <c r="CV264">
        <v>0.39348749999999988</v>
      </c>
      <c r="CW264">
        <v>0.45437500000000003</v>
      </c>
      <c r="CX264" t="s">
        <v>298</v>
      </c>
      <c r="CY264">
        <v>9</v>
      </c>
      <c r="CZ264">
        <v>3.1048000000000004</v>
      </c>
      <c r="DA264">
        <v>32</v>
      </c>
      <c r="DB264">
        <v>30.5</v>
      </c>
      <c r="DC264">
        <v>30</v>
      </c>
      <c r="DD264">
        <v>-4.4359999999999999</v>
      </c>
      <c r="DE264">
        <v>31</v>
      </c>
      <c r="DF264">
        <v>-34.720000000000006</v>
      </c>
      <c r="DG264">
        <v>0.1999999999999999</v>
      </c>
      <c r="DH264">
        <v>16</v>
      </c>
      <c r="DI264">
        <v>16.5</v>
      </c>
      <c r="DJ264">
        <v>18</v>
      </c>
      <c r="DK264">
        <v>-0.74800000000000022</v>
      </c>
      <c r="DL264">
        <v>15</v>
      </c>
      <c r="DM264">
        <v>-1.2720000000000007</v>
      </c>
      <c r="DN264">
        <v>0.64</v>
      </c>
      <c r="DO264">
        <v>7</v>
      </c>
      <c r="DP264">
        <v>10.5</v>
      </c>
      <c r="DQ264">
        <v>8</v>
      </c>
      <c r="DR264">
        <v>2.819999999999999</v>
      </c>
      <c r="DS264">
        <v>13</v>
      </c>
      <c r="DT264">
        <v>2.6400000000000006</v>
      </c>
      <c r="DU264">
        <v>8.0000000000000071E-2</v>
      </c>
      <c r="DV264">
        <v>5</v>
      </c>
      <c r="DW264">
        <v>5.5</v>
      </c>
      <c r="DX264">
        <v>5</v>
      </c>
      <c r="DY264">
        <v>5.1760000000000002</v>
      </c>
      <c r="DZ264">
        <v>6</v>
      </c>
      <c r="EA264">
        <v>20.239999999999998</v>
      </c>
      <c r="EB264">
        <v>1.48</v>
      </c>
      <c r="EC264">
        <v>26</v>
      </c>
      <c r="ED264">
        <v>28.5</v>
      </c>
      <c r="EE264">
        <v>28</v>
      </c>
      <c r="EF264">
        <v>-0.91600000000000004</v>
      </c>
      <c r="EG264">
        <v>29</v>
      </c>
      <c r="EH264">
        <v>-8.6</v>
      </c>
      <c r="EI264">
        <v>-0.64</v>
      </c>
      <c r="EJ264">
        <v>25</v>
      </c>
      <c r="EK264">
        <v>26</v>
      </c>
      <c r="EL264">
        <v>26</v>
      </c>
      <c r="EM264">
        <v>-4.1199999999999992</v>
      </c>
      <c r="EN264">
        <v>26</v>
      </c>
      <c r="EO264">
        <v>-17.600000000000001</v>
      </c>
      <c r="EP264">
        <v>-0.4799999999999997</v>
      </c>
      <c r="EQ264">
        <v>13</v>
      </c>
      <c r="ER264">
        <v>13.5</v>
      </c>
      <c r="ES264">
        <v>17</v>
      </c>
      <c r="ET264">
        <v>-0.23600000000000029</v>
      </c>
      <c r="EU264">
        <v>10</v>
      </c>
      <c r="EV264">
        <v>4.3200000000000021</v>
      </c>
      <c r="EW264">
        <v>-0.4</v>
      </c>
      <c r="EX264">
        <v>24</v>
      </c>
      <c r="EY264">
        <v>23</v>
      </c>
      <c r="EZ264">
        <v>28</v>
      </c>
      <c r="FA264">
        <v>-2.1040000000000001</v>
      </c>
      <c r="FB264">
        <v>18</v>
      </c>
      <c r="FC264">
        <v>-0.20000000000000004</v>
      </c>
      <c r="FD264">
        <v>-0.2</v>
      </c>
      <c r="FE264">
        <v>23</v>
      </c>
      <c r="FF264">
        <v>20</v>
      </c>
      <c r="FG264">
        <v>32</v>
      </c>
      <c r="FH264">
        <v>-9.9181619144643671E-2</v>
      </c>
      <c r="FI264">
        <v>22</v>
      </c>
      <c r="FJ264">
        <v>-5.60884888565136E-3</v>
      </c>
      <c r="FK264">
        <v>11</v>
      </c>
      <c r="FL264">
        <v>-2.961000000000003</v>
      </c>
      <c r="FM264">
        <v>15</v>
      </c>
      <c r="FN264">
        <v>0.31999999999999995</v>
      </c>
      <c r="FO264">
        <v>2.4</v>
      </c>
      <c r="FP264">
        <v>-2.3600000000000003</v>
      </c>
      <c r="FQ264">
        <v>0.76</v>
      </c>
      <c r="FR264">
        <v>0.32000000000000028</v>
      </c>
      <c r="FS264">
        <v>0.99999999999999967</v>
      </c>
      <c r="FT264">
        <v>-0.19999999999999996</v>
      </c>
      <c r="FU264">
        <v>-33.559999999999988</v>
      </c>
      <c r="FV264">
        <v>14.8</v>
      </c>
      <c r="FW264">
        <v>-36.44</v>
      </c>
      <c r="FX264">
        <v>-5.44</v>
      </c>
      <c r="FY264">
        <v>-6.4799999999999995</v>
      </c>
      <c r="FZ264">
        <v>3</v>
      </c>
      <c r="GA264">
        <v>8.2888000000000019</v>
      </c>
      <c r="GB264">
        <v>4.5817600000000001</v>
      </c>
      <c r="GC264">
        <v>51.239999999999995</v>
      </c>
      <c r="GD264">
        <v>-8.2888000000000002</v>
      </c>
      <c r="GE264">
        <v>0.33259999999999978</v>
      </c>
      <c r="GF264">
        <v>7.0799999999999983</v>
      </c>
      <c r="GG264">
        <v>14.28</v>
      </c>
      <c r="GH264">
        <v>-5.1840000000000002</v>
      </c>
      <c r="GI264">
        <v>-35.992000000000004</v>
      </c>
      <c r="GJ264">
        <v>0.52</v>
      </c>
      <c r="GK264">
        <v>0.83999999999999986</v>
      </c>
    </row>
    <row r="265" spans="1:193" x14ac:dyDescent="0.2">
      <c r="A265" s="39">
        <v>43800</v>
      </c>
      <c r="B265" s="22" t="s">
        <v>241</v>
      </c>
      <c r="C265" s="41" t="s">
        <v>281</v>
      </c>
      <c r="D265" s="22" t="s">
        <v>309</v>
      </c>
      <c r="E265">
        <v>5.9</v>
      </c>
      <c r="F265">
        <v>13.6</v>
      </c>
      <c r="G265">
        <v>0</v>
      </c>
      <c r="H265">
        <v>8.1</v>
      </c>
      <c r="I265">
        <v>-1</v>
      </c>
      <c r="J265">
        <v>40</v>
      </c>
      <c r="L265" s="1" t="s">
        <v>281</v>
      </c>
      <c r="M265">
        <v>11</v>
      </c>
      <c r="N265">
        <v>2.1839999999999993</v>
      </c>
      <c r="O265">
        <v>5</v>
      </c>
      <c r="P265">
        <v>7</v>
      </c>
      <c r="Q265">
        <v>8</v>
      </c>
      <c r="R265">
        <v>2.4600000000000004</v>
      </c>
      <c r="S265">
        <v>6</v>
      </c>
      <c r="T265">
        <v>10.639999999999997</v>
      </c>
      <c r="U265">
        <v>0.20000000000000009</v>
      </c>
      <c r="V265">
        <v>4</v>
      </c>
      <c r="W265">
        <v>6</v>
      </c>
      <c r="X265">
        <v>6</v>
      </c>
      <c r="Y265">
        <v>4.7359999999999998</v>
      </c>
      <c r="Z265">
        <v>6</v>
      </c>
      <c r="AA265">
        <v>9.5599999999999987</v>
      </c>
      <c r="AB265">
        <v>2.08</v>
      </c>
      <c r="AC265">
        <v>25</v>
      </c>
      <c r="AD265">
        <v>24.5</v>
      </c>
      <c r="AE265">
        <v>25</v>
      </c>
      <c r="AF265">
        <v>-2.8239999999999998</v>
      </c>
      <c r="AG265">
        <v>24</v>
      </c>
      <c r="AH265">
        <v>-4.2800000000000011</v>
      </c>
      <c r="AI265">
        <v>-0.28000000000000008</v>
      </c>
      <c r="AJ265">
        <v>1</v>
      </c>
      <c r="AK265">
        <v>2.5</v>
      </c>
      <c r="AL265">
        <v>1</v>
      </c>
      <c r="AM265">
        <v>9.6920000000000002</v>
      </c>
      <c r="AN265">
        <v>4</v>
      </c>
      <c r="AO265">
        <v>27.48</v>
      </c>
      <c r="AP265">
        <v>3.7599999999999993</v>
      </c>
      <c r="AQ265">
        <v>18</v>
      </c>
      <c r="AR265">
        <v>17.5</v>
      </c>
      <c r="AS265">
        <v>19</v>
      </c>
      <c r="AT265">
        <v>-0.97600000000000053</v>
      </c>
      <c r="AU265">
        <v>16</v>
      </c>
      <c r="AV265">
        <v>-0.6</v>
      </c>
      <c r="AW265">
        <v>-0.72</v>
      </c>
      <c r="AX265">
        <v>15</v>
      </c>
      <c r="AY265">
        <v>15.5</v>
      </c>
      <c r="AZ265">
        <v>15</v>
      </c>
      <c r="BA265">
        <v>-0.12000000000000063</v>
      </c>
      <c r="BB265">
        <v>16</v>
      </c>
      <c r="BC265">
        <v>-1.2000000000000015</v>
      </c>
      <c r="BD265">
        <v>0.35999999999999976</v>
      </c>
      <c r="BE265">
        <v>23</v>
      </c>
      <c r="BF265">
        <v>23</v>
      </c>
      <c r="BG265">
        <v>21</v>
      </c>
      <c r="BH265">
        <v>-4.6520000000000001</v>
      </c>
      <c r="BI265">
        <v>-15.719999999999999</v>
      </c>
      <c r="BJ265">
        <v>-2.9200000000000004</v>
      </c>
      <c r="BK265">
        <v>4</v>
      </c>
      <c r="BL265">
        <v>7</v>
      </c>
      <c r="BM265">
        <v>7</v>
      </c>
      <c r="BN265">
        <v>1.64</v>
      </c>
      <c r="BO265">
        <v>7</v>
      </c>
      <c r="BP265">
        <v>0.39999999999999991</v>
      </c>
      <c r="BQ265">
        <v>-0.35999999999999976</v>
      </c>
      <c r="BR265">
        <v>30</v>
      </c>
      <c r="BS265">
        <v>29</v>
      </c>
      <c r="BT265">
        <v>31</v>
      </c>
      <c r="BU265">
        <v>-8.0699115689901915E-2</v>
      </c>
      <c r="BV265">
        <v>30</v>
      </c>
      <c r="BW265">
        <v>-2.7808466700446888E-2</v>
      </c>
      <c r="BX265">
        <v>24</v>
      </c>
      <c r="BY265">
        <v>3.3559999999999945</v>
      </c>
      <c r="BZ265">
        <v>31</v>
      </c>
      <c r="CA265">
        <v>-5.4399999999999995</v>
      </c>
      <c r="CB265">
        <v>3.88</v>
      </c>
      <c r="CC265">
        <v>5.2</v>
      </c>
      <c r="CD265">
        <v>-1.2400000000000002</v>
      </c>
      <c r="CE265">
        <v>22.04</v>
      </c>
      <c r="CF265">
        <v>11.600000000000005</v>
      </c>
      <c r="CG265">
        <v>19.360000000000003</v>
      </c>
      <c r="CH265">
        <v>-4.32</v>
      </c>
      <c r="CI265">
        <v>-4.5999999999999996</v>
      </c>
      <c r="CJ265">
        <v>24</v>
      </c>
      <c r="CK265">
        <v>-5.0120000000000005</v>
      </c>
      <c r="CL265">
        <v>-2.9132000000000002</v>
      </c>
      <c r="CM265">
        <v>-7.759999999999998</v>
      </c>
      <c r="CN265">
        <v>5.0120000000000005</v>
      </c>
      <c r="CO265">
        <v>1.5324999999999998</v>
      </c>
      <c r="CP265">
        <v>5.8919999999999995</v>
      </c>
      <c r="CQ265">
        <v>22.599999999999998</v>
      </c>
      <c r="CR265">
        <v>7.1959999999999997</v>
      </c>
      <c r="CS265">
        <v>20.199999999999996</v>
      </c>
      <c r="CT265">
        <v>-0.16000000000000147</v>
      </c>
      <c r="CU265">
        <v>2.2800000000000002</v>
      </c>
      <c r="CV265">
        <v>-1.1652281250000001</v>
      </c>
      <c r="CW265">
        <v>-0.47775624999999999</v>
      </c>
      <c r="CX265" t="s">
        <v>309</v>
      </c>
      <c r="CY265">
        <v>31</v>
      </c>
      <c r="CZ265">
        <v>-2.0456000000000008</v>
      </c>
      <c r="DA265">
        <v>22</v>
      </c>
      <c r="DB265">
        <v>21.5</v>
      </c>
      <c r="DC265">
        <v>32</v>
      </c>
      <c r="DD265">
        <v>-6.7640000000000002</v>
      </c>
      <c r="DE265">
        <v>11</v>
      </c>
      <c r="DF265">
        <v>-5.8000000000000025</v>
      </c>
      <c r="DG265">
        <v>-1.1599999999999999</v>
      </c>
      <c r="DH265">
        <v>16</v>
      </c>
      <c r="DI265">
        <v>16.5</v>
      </c>
      <c r="DJ265">
        <v>12</v>
      </c>
      <c r="DK265">
        <v>-0.20800000000000035</v>
      </c>
      <c r="DL265">
        <v>21</v>
      </c>
      <c r="DM265">
        <v>-7.080000000000001</v>
      </c>
      <c r="DN265">
        <v>0.27999999999999992</v>
      </c>
      <c r="DO265">
        <v>26</v>
      </c>
      <c r="DP265">
        <v>29.5</v>
      </c>
      <c r="DQ265">
        <v>28</v>
      </c>
      <c r="DR265">
        <v>-1.0519999999999996</v>
      </c>
      <c r="DS265">
        <v>31</v>
      </c>
      <c r="DT265">
        <v>-8.3999999999999968</v>
      </c>
      <c r="DU265">
        <v>-0.64</v>
      </c>
      <c r="DV265">
        <v>29</v>
      </c>
      <c r="DW265">
        <v>29.5</v>
      </c>
      <c r="DX265">
        <v>31</v>
      </c>
      <c r="DY265">
        <v>-3.419999999999999</v>
      </c>
      <c r="DZ265">
        <v>28</v>
      </c>
      <c r="EA265">
        <v>-12.879999999999999</v>
      </c>
      <c r="EB265">
        <v>-0.96000000000000019</v>
      </c>
      <c r="EC265">
        <v>5</v>
      </c>
      <c r="ED265">
        <v>25</v>
      </c>
      <c r="EE265">
        <v>27</v>
      </c>
      <c r="EF265">
        <v>0.64800000000000002</v>
      </c>
      <c r="EG265">
        <v>23</v>
      </c>
      <c r="EH265">
        <v>5.6</v>
      </c>
      <c r="EI265">
        <v>1.1600000000000001</v>
      </c>
      <c r="EJ265">
        <v>27</v>
      </c>
      <c r="EK265">
        <v>27</v>
      </c>
      <c r="EL265">
        <v>30</v>
      </c>
      <c r="EM265">
        <v>-1.6080000000000012</v>
      </c>
      <c r="EN265">
        <v>24</v>
      </c>
      <c r="EO265">
        <v>-8.4799999999999986</v>
      </c>
      <c r="EP265">
        <v>-0.84000000000000019</v>
      </c>
      <c r="EQ265">
        <v>24</v>
      </c>
      <c r="ER265">
        <v>24</v>
      </c>
      <c r="ES265">
        <v>24</v>
      </c>
      <c r="ET265">
        <v>0.61999999999999889</v>
      </c>
      <c r="EU265">
        <v>24</v>
      </c>
      <c r="EV265">
        <v>-2.6</v>
      </c>
      <c r="EW265">
        <v>1.7763568394002506E-16</v>
      </c>
      <c r="EX265">
        <v>30</v>
      </c>
      <c r="EY265">
        <v>27.5</v>
      </c>
      <c r="EZ265">
        <v>31</v>
      </c>
      <c r="FA265">
        <v>-2.6</v>
      </c>
      <c r="FB265">
        <v>24</v>
      </c>
      <c r="FC265">
        <v>-0.36</v>
      </c>
      <c r="FD265">
        <v>3.04</v>
      </c>
      <c r="FE265">
        <v>1</v>
      </c>
      <c r="FF265">
        <v>5.25</v>
      </c>
      <c r="FG265">
        <v>2</v>
      </c>
      <c r="FH265">
        <v>0.14617023681082211</v>
      </c>
      <c r="FI265">
        <v>1</v>
      </c>
      <c r="FJ265">
        <v>4.1530291182080327E-2</v>
      </c>
      <c r="FK265">
        <v>16</v>
      </c>
      <c r="FL265">
        <v>-0.84000000000000341</v>
      </c>
      <c r="FM265">
        <v>2</v>
      </c>
      <c r="FN265">
        <v>5.88</v>
      </c>
      <c r="FO265">
        <v>-1.8800000000000003</v>
      </c>
      <c r="FP265">
        <v>-1.2000000000000006</v>
      </c>
      <c r="FQ265">
        <v>-0.36000000000000004</v>
      </c>
      <c r="FR265">
        <v>-1.9200000000000004</v>
      </c>
      <c r="FS265">
        <v>-5.28</v>
      </c>
      <c r="FT265">
        <v>1.4</v>
      </c>
      <c r="FU265">
        <v>-42.279999999999987</v>
      </c>
      <c r="FV265">
        <v>-27.959999999999997</v>
      </c>
      <c r="FW265">
        <v>-14.680000000000001</v>
      </c>
      <c r="FX265">
        <v>2.92</v>
      </c>
      <c r="FY265">
        <v>-2.5599999999999996</v>
      </c>
      <c r="FZ265">
        <v>6</v>
      </c>
      <c r="GA265">
        <v>4.9263999999999992</v>
      </c>
      <c r="GB265">
        <v>2.43608</v>
      </c>
      <c r="GC265">
        <v>-13.279999999999996</v>
      </c>
      <c r="GD265">
        <v>-4.9263999999999992</v>
      </c>
      <c r="GE265">
        <v>-1.8527</v>
      </c>
      <c r="GF265">
        <v>-3.8239999999999985</v>
      </c>
      <c r="GG265">
        <v>-15.679999999999994</v>
      </c>
      <c r="GH265">
        <v>-6.9720000000000004</v>
      </c>
      <c r="GI265">
        <v>-12.880000000000003</v>
      </c>
      <c r="GJ265">
        <v>-0.43999999999999978</v>
      </c>
      <c r="GK265">
        <v>-0.88</v>
      </c>
    </row>
    <row r="266" spans="1:193" x14ac:dyDescent="0.2">
      <c r="A266" s="39">
        <v>43800</v>
      </c>
      <c r="B266" s="22" t="s">
        <v>241</v>
      </c>
      <c r="C266" s="41" t="s">
        <v>291</v>
      </c>
      <c r="D266" s="22" t="s">
        <v>276</v>
      </c>
      <c r="E266">
        <v>16.5</v>
      </c>
      <c r="F266">
        <v>9.3000000000000007</v>
      </c>
      <c r="G266">
        <v>8.5</v>
      </c>
      <c r="H266">
        <f>18.2+2.9</f>
        <v>21.099999999999998</v>
      </c>
      <c r="I266">
        <v>-6.5</v>
      </c>
      <c r="J266">
        <v>46.5</v>
      </c>
      <c r="L266" s="1" t="s">
        <v>291</v>
      </c>
      <c r="M266">
        <v>2</v>
      </c>
      <c r="N266">
        <v>5.5495999999999999</v>
      </c>
      <c r="O266">
        <v>5</v>
      </c>
      <c r="P266">
        <v>7</v>
      </c>
      <c r="Q266">
        <v>6</v>
      </c>
      <c r="R266">
        <v>3.0639999999999996</v>
      </c>
      <c r="S266">
        <v>8</v>
      </c>
      <c r="T266">
        <v>8.3999999999999968</v>
      </c>
      <c r="U266">
        <v>1.08</v>
      </c>
      <c r="V266">
        <v>27</v>
      </c>
      <c r="W266">
        <v>27.5</v>
      </c>
      <c r="X266">
        <v>28</v>
      </c>
      <c r="Y266">
        <v>-2.6319999999999997</v>
      </c>
      <c r="Z266">
        <v>27</v>
      </c>
      <c r="AA266">
        <v>-8.1120000000000001</v>
      </c>
      <c r="AB266">
        <v>-0.72000000000000008</v>
      </c>
      <c r="AC266">
        <v>10</v>
      </c>
      <c r="AD266">
        <v>12</v>
      </c>
      <c r="AE266">
        <v>12</v>
      </c>
      <c r="AF266">
        <v>-0.15039999999999978</v>
      </c>
      <c r="AG266">
        <v>12</v>
      </c>
      <c r="AH266">
        <v>-1.0399999999999978</v>
      </c>
      <c r="AI266">
        <v>-0.4799999999999997</v>
      </c>
      <c r="AJ266">
        <v>10</v>
      </c>
      <c r="AK266">
        <v>9</v>
      </c>
      <c r="AL266">
        <v>11</v>
      </c>
      <c r="AM266">
        <v>2.3920000000000012</v>
      </c>
      <c r="AN266">
        <v>7</v>
      </c>
      <c r="AO266">
        <v>13.88</v>
      </c>
      <c r="AP266">
        <v>1.52</v>
      </c>
      <c r="AQ266">
        <v>1</v>
      </c>
      <c r="AR266">
        <v>1</v>
      </c>
      <c r="AS266">
        <v>1</v>
      </c>
      <c r="AT266">
        <v>8.3680000000000003</v>
      </c>
      <c r="AU266">
        <v>1</v>
      </c>
      <c r="AV266">
        <v>39.28</v>
      </c>
      <c r="AW266">
        <v>2.9199999999999995</v>
      </c>
      <c r="AX266">
        <v>2</v>
      </c>
      <c r="AY266">
        <v>3.5</v>
      </c>
      <c r="AZ266">
        <v>3</v>
      </c>
      <c r="BA266">
        <v>6.4719999999999986</v>
      </c>
      <c r="BB266">
        <v>4</v>
      </c>
      <c r="BC266">
        <v>30.319999999999993</v>
      </c>
      <c r="BD266">
        <v>2.96</v>
      </c>
      <c r="BE266">
        <v>8</v>
      </c>
      <c r="BF266">
        <v>7</v>
      </c>
      <c r="BG266">
        <v>7</v>
      </c>
      <c r="BH266">
        <v>4.0759999999999987</v>
      </c>
      <c r="BI266">
        <v>17.72</v>
      </c>
      <c r="BJ266">
        <v>3.2399999999999998</v>
      </c>
      <c r="BK266">
        <v>11</v>
      </c>
      <c r="BL266">
        <v>9.5</v>
      </c>
      <c r="BM266">
        <v>14</v>
      </c>
      <c r="BN266">
        <v>-7.999999999999971E-2</v>
      </c>
      <c r="BO266">
        <v>5</v>
      </c>
      <c r="BP266">
        <v>0.67999999999999994</v>
      </c>
      <c r="BQ266">
        <v>-0.56000000000000016</v>
      </c>
      <c r="BR266">
        <v>26</v>
      </c>
      <c r="BS266">
        <v>22.25</v>
      </c>
      <c r="BT266">
        <v>18</v>
      </c>
      <c r="BU266">
        <v>-5.7842792611446535E-3</v>
      </c>
      <c r="BV266">
        <v>32</v>
      </c>
      <c r="BW266">
        <v>-4.7789913210744134E-2</v>
      </c>
      <c r="BX266">
        <v>16</v>
      </c>
      <c r="BY266">
        <v>-0.3</v>
      </c>
      <c r="BZ266">
        <v>23</v>
      </c>
      <c r="CA266">
        <v>-1.64</v>
      </c>
      <c r="CB266">
        <v>5.68</v>
      </c>
      <c r="CC266">
        <v>2.4</v>
      </c>
      <c r="CD266">
        <v>-0.27999999999999992</v>
      </c>
      <c r="CE266">
        <v>74</v>
      </c>
      <c r="CF266">
        <v>83.919999999999987</v>
      </c>
      <c r="CG266">
        <v>-8.4000000000000021</v>
      </c>
      <c r="CH266">
        <v>-1</v>
      </c>
      <c r="CI266">
        <v>-0.52000000000000046</v>
      </c>
      <c r="CJ266">
        <v>8</v>
      </c>
      <c r="CK266">
        <v>5.1175999999999995</v>
      </c>
      <c r="CL266">
        <v>3.8310399999999998</v>
      </c>
      <c r="CM266">
        <v>92.32</v>
      </c>
      <c r="CN266">
        <v>-5.1175999999999995</v>
      </c>
      <c r="CO266">
        <v>2.5734000000000004</v>
      </c>
      <c r="CP266">
        <v>10.609600000000002</v>
      </c>
      <c r="CQ266">
        <v>52.120000000000005</v>
      </c>
      <c r="CR266">
        <v>0.43199999999999994</v>
      </c>
      <c r="CS266">
        <v>0.2879999999999967</v>
      </c>
      <c r="CT266">
        <v>7.1999999999999993</v>
      </c>
      <c r="CU266">
        <v>0.36</v>
      </c>
      <c r="CV266">
        <v>-0.97487499999999994</v>
      </c>
      <c r="CW266">
        <v>-0.5915499999999998</v>
      </c>
      <c r="CX266" t="s">
        <v>276</v>
      </c>
      <c r="CY266">
        <v>24</v>
      </c>
      <c r="CZ266">
        <v>-2.7328000000000001</v>
      </c>
      <c r="DA266">
        <v>10</v>
      </c>
      <c r="DB266">
        <v>10.5</v>
      </c>
      <c r="DC266">
        <v>8</v>
      </c>
      <c r="DD266">
        <v>1.3680000000000008</v>
      </c>
      <c r="DE266">
        <v>13</v>
      </c>
      <c r="DF266">
        <v>7.3600000000000021</v>
      </c>
      <c r="DG266">
        <v>1.72</v>
      </c>
      <c r="DH266">
        <v>3</v>
      </c>
      <c r="DI266">
        <v>6</v>
      </c>
      <c r="DJ266">
        <v>2</v>
      </c>
      <c r="DK266">
        <v>-0.32399999999999968</v>
      </c>
      <c r="DL266">
        <v>10</v>
      </c>
      <c r="DM266">
        <v>-6.6719999999999997</v>
      </c>
      <c r="DN266">
        <v>1.4</v>
      </c>
      <c r="DO266">
        <v>17</v>
      </c>
      <c r="DP266">
        <v>19</v>
      </c>
      <c r="DQ266">
        <v>20</v>
      </c>
      <c r="DR266">
        <v>-2.1768000000000005</v>
      </c>
      <c r="DS266">
        <v>18</v>
      </c>
      <c r="DT266">
        <v>-4.919999999999999</v>
      </c>
      <c r="DU266">
        <v>4.3600000000000012</v>
      </c>
      <c r="DV266">
        <v>20</v>
      </c>
      <c r="DW266">
        <v>19</v>
      </c>
      <c r="DX266">
        <v>20</v>
      </c>
      <c r="DY266">
        <v>-1.6199999999999997</v>
      </c>
      <c r="DZ266">
        <v>18</v>
      </c>
      <c r="EA266">
        <v>-1.9600000000000009</v>
      </c>
      <c r="EB266">
        <v>-0.56000000000000016</v>
      </c>
      <c r="EC266">
        <v>8</v>
      </c>
      <c r="ED266">
        <v>21</v>
      </c>
      <c r="EE266">
        <v>11</v>
      </c>
      <c r="EF266">
        <v>0.95999999999999974</v>
      </c>
      <c r="EG266">
        <v>31</v>
      </c>
      <c r="EH266">
        <v>-14.560000000000002</v>
      </c>
      <c r="EI266">
        <v>-1.8399999999999999</v>
      </c>
      <c r="EJ266">
        <v>20</v>
      </c>
      <c r="EK266">
        <v>19</v>
      </c>
      <c r="EL266">
        <v>19</v>
      </c>
      <c r="EM266">
        <v>-0.48400000000000054</v>
      </c>
      <c r="EN266">
        <v>19</v>
      </c>
      <c r="EO266">
        <v>3.9600000000000009</v>
      </c>
      <c r="EP266">
        <v>-0.88000000000000012</v>
      </c>
      <c r="EQ266">
        <v>32</v>
      </c>
      <c r="ER266">
        <v>32</v>
      </c>
      <c r="ES266">
        <v>32</v>
      </c>
      <c r="ET266">
        <v>-2.3560000000000008</v>
      </c>
      <c r="EU266">
        <v>32</v>
      </c>
      <c r="EV266">
        <v>-15.040000000000003</v>
      </c>
      <c r="EW266">
        <v>-1.28</v>
      </c>
      <c r="EX266">
        <v>32</v>
      </c>
      <c r="EY266">
        <v>32</v>
      </c>
      <c r="EZ266">
        <v>32</v>
      </c>
      <c r="FA266">
        <v>-3.9839999999999995</v>
      </c>
      <c r="FB266">
        <v>32</v>
      </c>
      <c r="FC266">
        <v>-0.84000000000000008</v>
      </c>
      <c r="FD266">
        <v>-3.8</v>
      </c>
      <c r="FE266">
        <v>7</v>
      </c>
      <c r="FF266">
        <v>12.25</v>
      </c>
      <c r="FG266">
        <v>24</v>
      </c>
      <c r="FH266">
        <v>-2.2562964494103211E-2</v>
      </c>
      <c r="FI266">
        <v>3</v>
      </c>
      <c r="FJ266">
        <v>2.7509753021974403E-2</v>
      </c>
      <c r="FK266">
        <v>17</v>
      </c>
      <c r="FL266">
        <v>-0.3209999999999994</v>
      </c>
      <c r="FM266">
        <v>5</v>
      </c>
      <c r="FN266">
        <v>3.3200000000000003</v>
      </c>
      <c r="FO266">
        <v>1.5200000000000009</v>
      </c>
      <c r="FP266">
        <v>-3.8400000000000007</v>
      </c>
      <c r="FQ266">
        <v>-0.48</v>
      </c>
      <c r="FR266">
        <v>-1.9600000000000022</v>
      </c>
      <c r="FS266">
        <v>-8.4400000000000013</v>
      </c>
      <c r="FT266">
        <v>0.48000000000000009</v>
      </c>
      <c r="FU266">
        <v>-16.95999999999999</v>
      </c>
      <c r="FV266">
        <v>-7.6400000000000032</v>
      </c>
      <c r="FW266">
        <v>-6.9999999999999973</v>
      </c>
      <c r="FX266">
        <v>-0.96000000000000019</v>
      </c>
      <c r="FY266">
        <v>-1.36</v>
      </c>
      <c r="FZ266">
        <v>24</v>
      </c>
      <c r="GA266">
        <v>-3.7768000000000015</v>
      </c>
      <c r="GB266">
        <v>-2.107120000000001</v>
      </c>
      <c r="GC266">
        <v>-0.6400000000000059</v>
      </c>
      <c r="GD266">
        <v>3.7768000000000015</v>
      </c>
      <c r="GE266">
        <v>-1.3582000000000001</v>
      </c>
      <c r="GF266">
        <v>-2.8368000000000002</v>
      </c>
      <c r="GG266">
        <v>-21.44</v>
      </c>
      <c r="GH266">
        <v>1.0440000000000011</v>
      </c>
      <c r="GI266">
        <v>0.68800000000000239</v>
      </c>
      <c r="GJ266">
        <v>0.68000000000000127</v>
      </c>
      <c r="GK266">
        <v>3.12</v>
      </c>
    </row>
    <row r="267" spans="1:193" x14ac:dyDescent="0.2">
      <c r="A267" s="39">
        <v>43800</v>
      </c>
      <c r="B267" t="s">
        <v>241</v>
      </c>
      <c r="C267" s="41" t="s">
        <v>278</v>
      </c>
      <c r="D267" t="s">
        <v>287</v>
      </c>
      <c r="E267">
        <v>23.4</v>
      </c>
      <c r="F267">
        <v>3.2</v>
      </c>
      <c r="G267">
        <v>0</v>
      </c>
      <c r="H267">
        <v>8.1</v>
      </c>
      <c r="I267">
        <v>4.5</v>
      </c>
      <c r="J267">
        <v>39</v>
      </c>
      <c r="K267" t="s">
        <v>110</v>
      </c>
      <c r="L267" s="1" t="s">
        <v>278</v>
      </c>
      <c r="M267">
        <v>28</v>
      </c>
      <c r="N267">
        <v>-4.2231999999999994</v>
      </c>
      <c r="O267">
        <v>17</v>
      </c>
      <c r="P267">
        <v>17</v>
      </c>
      <c r="Q267">
        <v>24</v>
      </c>
      <c r="R267">
        <v>-3.5440000000000014</v>
      </c>
      <c r="S267">
        <v>10</v>
      </c>
      <c r="T267">
        <v>1.0399999999999991</v>
      </c>
      <c r="U267">
        <v>-1.48</v>
      </c>
      <c r="V267">
        <v>18</v>
      </c>
      <c r="W267">
        <v>17.5</v>
      </c>
      <c r="X267">
        <v>22</v>
      </c>
      <c r="Y267">
        <v>-0.48400000000000015</v>
      </c>
      <c r="Z267">
        <v>13</v>
      </c>
      <c r="AA267">
        <v>5.72</v>
      </c>
      <c r="AB267">
        <v>-0.55999999999999994</v>
      </c>
      <c r="AC267">
        <v>11</v>
      </c>
      <c r="AD267">
        <v>12.5</v>
      </c>
      <c r="AE267">
        <v>11</v>
      </c>
      <c r="AF267">
        <v>0.99919999999999864</v>
      </c>
      <c r="AG267">
        <v>14</v>
      </c>
      <c r="AH267">
        <v>-4.1899999999999995</v>
      </c>
      <c r="AI267">
        <v>2.54</v>
      </c>
      <c r="AJ267">
        <v>31</v>
      </c>
      <c r="AK267">
        <v>30.5</v>
      </c>
      <c r="AL267">
        <v>31</v>
      </c>
      <c r="AM267">
        <v>-6.2799999999999994</v>
      </c>
      <c r="AN267">
        <v>30</v>
      </c>
      <c r="AO267">
        <v>-30.32</v>
      </c>
      <c r="AP267">
        <v>-2.2399999999999998</v>
      </c>
      <c r="AQ267">
        <v>32</v>
      </c>
      <c r="AR267">
        <v>32</v>
      </c>
      <c r="AS267">
        <v>32</v>
      </c>
      <c r="AT267">
        <v>-5.2080000000000002</v>
      </c>
      <c r="AU267">
        <v>32</v>
      </c>
      <c r="AV267">
        <v>-18.759999999999998</v>
      </c>
      <c r="AW267">
        <v>-2.1199999999999997</v>
      </c>
      <c r="AX267">
        <v>31</v>
      </c>
      <c r="AY267">
        <v>31.5</v>
      </c>
      <c r="AZ267">
        <v>31</v>
      </c>
      <c r="BA267">
        <v>-10.308000000000002</v>
      </c>
      <c r="BB267">
        <v>32</v>
      </c>
      <c r="BC267">
        <v>-49.08</v>
      </c>
      <c r="BD267">
        <v>-4.6399999999999997</v>
      </c>
      <c r="BE267">
        <v>9</v>
      </c>
      <c r="BF267">
        <v>8.5</v>
      </c>
      <c r="BG267">
        <v>9</v>
      </c>
      <c r="BH267">
        <v>3.5640000000000001</v>
      </c>
      <c r="BI267">
        <v>16.759999999999998</v>
      </c>
      <c r="BJ267">
        <v>2.1599999999999993</v>
      </c>
      <c r="BK267">
        <v>10</v>
      </c>
      <c r="BL267">
        <v>9</v>
      </c>
      <c r="BM267">
        <v>6</v>
      </c>
      <c r="BN267">
        <v>1.2400000000000002</v>
      </c>
      <c r="BO267">
        <v>12</v>
      </c>
      <c r="BP267">
        <v>-8.8817841970012528E-17</v>
      </c>
      <c r="BQ267">
        <v>-8.0000000000000071E-2</v>
      </c>
      <c r="BR267">
        <v>22</v>
      </c>
      <c r="BS267">
        <v>20.25</v>
      </c>
      <c r="BT267">
        <v>15</v>
      </c>
      <c r="BU267">
        <v>1.4336063030227154E-2</v>
      </c>
      <c r="BV267">
        <v>19</v>
      </c>
      <c r="BW267">
        <v>-2.0121090931856933E-3</v>
      </c>
      <c r="BX267">
        <v>28</v>
      </c>
      <c r="BY267">
        <v>9.620000000000001</v>
      </c>
      <c r="BZ267">
        <v>19</v>
      </c>
      <c r="CA267">
        <v>-1</v>
      </c>
      <c r="CB267">
        <v>-3.839999999999999</v>
      </c>
      <c r="CC267">
        <v>-0.88000000000000045</v>
      </c>
      <c r="CD267">
        <v>-1.2</v>
      </c>
      <c r="CE267">
        <v>-53.239999999999995</v>
      </c>
      <c r="CF267">
        <v>-61.4</v>
      </c>
      <c r="CG267">
        <v>7.8799999999999981</v>
      </c>
      <c r="CH267">
        <v>0.43999999999999995</v>
      </c>
      <c r="CI267">
        <v>-0.1600000000000005</v>
      </c>
      <c r="CJ267">
        <v>16</v>
      </c>
      <c r="CK267">
        <v>-0.19519999999999788</v>
      </c>
      <c r="CL267">
        <v>-0.21559999999999935</v>
      </c>
      <c r="CM267">
        <v>-69.28</v>
      </c>
      <c r="CN267">
        <v>0.19519999999999804</v>
      </c>
      <c r="CO267">
        <v>-1.7420000000000002</v>
      </c>
      <c r="CP267">
        <v>-10.488800000000001</v>
      </c>
      <c r="CQ267">
        <v>-53.269999999999996</v>
      </c>
      <c r="CR267">
        <v>-4.0280000000000014</v>
      </c>
      <c r="CS267">
        <v>6.7599999999999989</v>
      </c>
      <c r="CT267">
        <v>0.33999999999999986</v>
      </c>
      <c r="CU267">
        <v>-2.04</v>
      </c>
      <c r="CV267">
        <v>-0.50552499999999989</v>
      </c>
      <c r="CW267">
        <v>1.5500000000004677E-3</v>
      </c>
      <c r="CX267" t="s">
        <v>287</v>
      </c>
      <c r="CY267">
        <v>26</v>
      </c>
      <c r="CZ267">
        <v>-3.2359999999999998</v>
      </c>
      <c r="DA267">
        <v>7</v>
      </c>
      <c r="DB267">
        <v>10</v>
      </c>
      <c r="DC267">
        <v>11</v>
      </c>
      <c r="DD267">
        <v>0.93599999999999994</v>
      </c>
      <c r="DE267">
        <v>9</v>
      </c>
      <c r="DF267">
        <v>3.4400000000000004</v>
      </c>
      <c r="DG267">
        <v>1.48</v>
      </c>
      <c r="DH267">
        <v>21</v>
      </c>
      <c r="DI267">
        <v>18.5</v>
      </c>
      <c r="DJ267">
        <v>9</v>
      </c>
      <c r="DK267">
        <v>1.0879999999999992</v>
      </c>
      <c r="DL267">
        <v>28</v>
      </c>
      <c r="DM267">
        <v>-8.4400000000000013</v>
      </c>
      <c r="DN267">
        <v>0.72</v>
      </c>
      <c r="DO267">
        <v>28</v>
      </c>
      <c r="DP267">
        <v>26.5</v>
      </c>
      <c r="DQ267">
        <v>26</v>
      </c>
      <c r="DR267">
        <v>-2.9328000000000003</v>
      </c>
      <c r="DS267">
        <v>27</v>
      </c>
      <c r="DT267">
        <v>-16.519999999999996</v>
      </c>
      <c r="DU267">
        <v>-2.2800000000000002</v>
      </c>
      <c r="DV267">
        <v>21</v>
      </c>
      <c r="DW267">
        <v>22</v>
      </c>
      <c r="DX267">
        <v>22</v>
      </c>
      <c r="DY267">
        <v>-2.5880000000000005</v>
      </c>
      <c r="DZ267">
        <v>22</v>
      </c>
      <c r="EA267">
        <v>-7.2800000000000011</v>
      </c>
      <c r="EB267">
        <v>-1.64</v>
      </c>
      <c r="EC267">
        <v>18</v>
      </c>
      <c r="ED267">
        <v>20.5</v>
      </c>
      <c r="EE267">
        <v>23</v>
      </c>
      <c r="EF267">
        <v>-0.6399999999999999</v>
      </c>
      <c r="EG267">
        <v>18</v>
      </c>
      <c r="EH267">
        <v>0.59999999999999931</v>
      </c>
      <c r="EI267">
        <v>-0.27999999999999992</v>
      </c>
      <c r="EJ267">
        <v>22</v>
      </c>
      <c r="EK267">
        <v>23</v>
      </c>
      <c r="EL267">
        <v>25</v>
      </c>
      <c r="EM267">
        <v>-4.5920000000000005</v>
      </c>
      <c r="EN267">
        <v>21</v>
      </c>
      <c r="EO267">
        <v>-10.320000000000002</v>
      </c>
      <c r="EP267">
        <v>-0.24000000000000021</v>
      </c>
      <c r="EQ267">
        <v>30</v>
      </c>
      <c r="ER267">
        <v>27.5</v>
      </c>
      <c r="ES267">
        <v>28</v>
      </c>
      <c r="ET267">
        <v>-2.8880000000000008</v>
      </c>
      <c r="EU267">
        <v>27</v>
      </c>
      <c r="EV267">
        <v>-9.7600000000000016</v>
      </c>
      <c r="EW267">
        <v>8.8817841970012528E-17</v>
      </c>
      <c r="EX267">
        <v>3</v>
      </c>
      <c r="EY267">
        <v>3.5</v>
      </c>
      <c r="EZ267">
        <v>4</v>
      </c>
      <c r="FA267">
        <v>2.16</v>
      </c>
      <c r="FB267">
        <v>3</v>
      </c>
      <c r="FC267">
        <v>0.87999999999999989</v>
      </c>
      <c r="FD267">
        <v>1.9600000000000002</v>
      </c>
      <c r="FE267">
        <v>25</v>
      </c>
      <c r="FF267">
        <v>21.5</v>
      </c>
      <c r="FG267">
        <v>20</v>
      </c>
      <c r="FH267">
        <v>-1.3252650849309756E-2</v>
      </c>
      <c r="FI267">
        <v>25</v>
      </c>
      <c r="FJ267">
        <v>-1.1462043950596811E-2</v>
      </c>
      <c r="FK267">
        <v>18</v>
      </c>
      <c r="FL267">
        <v>0.65600000000000025</v>
      </c>
      <c r="FM267">
        <v>23</v>
      </c>
      <c r="FN267">
        <v>-1.4800000000000002</v>
      </c>
      <c r="FO267">
        <v>-0.51999999999999957</v>
      </c>
      <c r="FP267">
        <v>0.48000000000000043</v>
      </c>
      <c r="FQ267">
        <v>4.0000000000000036E-2</v>
      </c>
      <c r="FR267">
        <v>-1</v>
      </c>
      <c r="FS267">
        <v>-1.0800000000000005</v>
      </c>
      <c r="FT267">
        <v>0.83999999999999986</v>
      </c>
      <c r="FU267">
        <v>-31.800000000000011</v>
      </c>
      <c r="FV267">
        <v>-30.799999999999994</v>
      </c>
      <c r="FW267">
        <v>-4.8000000000000025</v>
      </c>
      <c r="FX267">
        <v>-3</v>
      </c>
      <c r="FY267">
        <v>6.8</v>
      </c>
      <c r="FZ267">
        <v>28</v>
      </c>
      <c r="GA267">
        <v>-5.2599999999999989</v>
      </c>
      <c r="GB267">
        <v>-3.4689599999999996</v>
      </c>
      <c r="GC267">
        <v>-25.999999999999993</v>
      </c>
      <c r="GD267">
        <v>5.2599999999999989</v>
      </c>
      <c r="GE267">
        <v>-1.0126000000000002</v>
      </c>
      <c r="GF267">
        <v>-6.1608000000000009</v>
      </c>
      <c r="GG267">
        <v>-23.2</v>
      </c>
      <c r="GH267">
        <v>2.0239999999999991</v>
      </c>
      <c r="GI267">
        <v>-5.0000000000000009</v>
      </c>
      <c r="GJ267">
        <v>-4.2</v>
      </c>
      <c r="GK267">
        <v>2.2000000000000002</v>
      </c>
    </row>
    <row r="268" spans="1:193" x14ac:dyDescent="0.2">
      <c r="A268" s="39">
        <v>43800</v>
      </c>
      <c r="B268" s="22" t="s">
        <v>241</v>
      </c>
      <c r="C268" s="41" t="s">
        <v>299</v>
      </c>
      <c r="D268" s="22" t="s">
        <v>265</v>
      </c>
      <c r="E268">
        <v>28.8</v>
      </c>
      <c r="F268">
        <v>13</v>
      </c>
      <c r="G268">
        <v>6.2</v>
      </c>
      <c r="H268">
        <v>7.8</v>
      </c>
      <c r="I268">
        <v>5.5</v>
      </c>
      <c r="J268">
        <v>37.5</v>
      </c>
      <c r="L268" s="1" t="s">
        <v>299</v>
      </c>
      <c r="M268">
        <v>5</v>
      </c>
      <c r="N268">
        <v>4.3392000000000008</v>
      </c>
      <c r="O268">
        <v>28</v>
      </c>
      <c r="P268">
        <v>26</v>
      </c>
      <c r="Q268">
        <v>31</v>
      </c>
      <c r="R268">
        <v>-6.0200000000000005</v>
      </c>
      <c r="S268">
        <v>21</v>
      </c>
      <c r="T268">
        <v>-8.52</v>
      </c>
      <c r="U268">
        <v>-1.1999999999999997</v>
      </c>
      <c r="V268">
        <v>13</v>
      </c>
      <c r="W268">
        <v>13.5</v>
      </c>
      <c r="X268">
        <v>8</v>
      </c>
      <c r="Y268">
        <v>1.6920000000000002</v>
      </c>
      <c r="Z268">
        <v>19</v>
      </c>
      <c r="AA268">
        <v>-4.76</v>
      </c>
      <c r="AB268">
        <v>1.1199999999999999</v>
      </c>
      <c r="AC268">
        <v>5</v>
      </c>
      <c r="AD268">
        <v>5.5</v>
      </c>
      <c r="AE268">
        <v>8</v>
      </c>
      <c r="AF268">
        <v>3.6472000000000002</v>
      </c>
      <c r="AG268">
        <v>3</v>
      </c>
      <c r="AH268">
        <v>24</v>
      </c>
      <c r="AI268">
        <v>-0.3999999999999998</v>
      </c>
      <c r="AJ268">
        <v>3</v>
      </c>
      <c r="AK268">
        <v>3.5</v>
      </c>
      <c r="AL268">
        <v>2</v>
      </c>
      <c r="AM268">
        <v>5.5279999999999987</v>
      </c>
      <c r="AN268">
        <v>5</v>
      </c>
      <c r="AO268">
        <v>18.72</v>
      </c>
      <c r="AP268">
        <v>1.7600000000000002</v>
      </c>
      <c r="AQ268">
        <v>10</v>
      </c>
      <c r="AR268">
        <v>10</v>
      </c>
      <c r="AS268">
        <v>10</v>
      </c>
      <c r="AT268">
        <v>1.6839999999999999</v>
      </c>
      <c r="AU268">
        <v>10</v>
      </c>
      <c r="AV268">
        <v>8.8000000000000007</v>
      </c>
      <c r="AW268">
        <v>1.52</v>
      </c>
      <c r="AX268">
        <v>9</v>
      </c>
      <c r="AY268">
        <v>10.5</v>
      </c>
      <c r="AZ268">
        <v>13</v>
      </c>
      <c r="BA268">
        <v>1.7399999999999995</v>
      </c>
      <c r="BB268">
        <v>8</v>
      </c>
      <c r="BC268">
        <v>17.399999999999999</v>
      </c>
      <c r="BD268">
        <v>3.28</v>
      </c>
      <c r="BE268">
        <v>20</v>
      </c>
      <c r="BF268">
        <v>22</v>
      </c>
      <c r="BG268">
        <v>23</v>
      </c>
      <c r="BH268">
        <v>-3.7320000000000015</v>
      </c>
      <c r="BI268">
        <v>-7.6400000000000006</v>
      </c>
      <c r="BJ268">
        <v>0.15999999999999961</v>
      </c>
      <c r="BK268">
        <v>23</v>
      </c>
      <c r="BL268">
        <v>22.5</v>
      </c>
      <c r="BM268">
        <v>20</v>
      </c>
      <c r="BN268">
        <v>-7.999999999999971E-2</v>
      </c>
      <c r="BO268">
        <v>25</v>
      </c>
      <c r="BP268">
        <v>-0.24000000000000005</v>
      </c>
      <c r="BQ268">
        <v>-4.0400000000000009</v>
      </c>
      <c r="BR268">
        <v>5</v>
      </c>
      <c r="BS268">
        <v>9</v>
      </c>
      <c r="BT268">
        <v>6</v>
      </c>
      <c r="BU268">
        <v>4.9772128845381715E-2</v>
      </c>
      <c r="BV268">
        <v>12</v>
      </c>
      <c r="BW268">
        <v>4.2962658538756885E-3</v>
      </c>
      <c r="BX268">
        <v>9</v>
      </c>
      <c r="BY268">
        <v>-4.0719999999999956</v>
      </c>
      <c r="BZ268">
        <v>9</v>
      </c>
      <c r="CA268">
        <v>1.72</v>
      </c>
      <c r="CB268">
        <v>1.5200000000000018</v>
      </c>
      <c r="CC268">
        <v>-0.6399999999999999</v>
      </c>
      <c r="CD268">
        <v>-0.55999999999999994</v>
      </c>
      <c r="CE268">
        <v>40.839999999999996</v>
      </c>
      <c r="CF268">
        <v>45.280000000000008</v>
      </c>
      <c r="CG268">
        <v>-9.1599999999999966</v>
      </c>
      <c r="CH268">
        <v>-3.2</v>
      </c>
      <c r="CI268">
        <v>7.92</v>
      </c>
      <c r="CJ268">
        <v>3</v>
      </c>
      <c r="CK268">
        <v>8.6672000000000011</v>
      </c>
      <c r="CL268">
        <v>4.4572799999999999</v>
      </c>
      <c r="CM268">
        <v>54.440000000000005</v>
      </c>
      <c r="CN268">
        <v>-8.6672000000000011</v>
      </c>
      <c r="CO268">
        <v>0.88229999999999964</v>
      </c>
      <c r="CP268">
        <v>10.859199999999998</v>
      </c>
      <c r="CQ268">
        <v>51.519999999999996</v>
      </c>
      <c r="CR268">
        <v>-4.3280000000000003</v>
      </c>
      <c r="CS268">
        <v>-13.28</v>
      </c>
      <c r="CT268">
        <v>3.04</v>
      </c>
      <c r="CU268">
        <v>-7.9999999999999849E-2</v>
      </c>
      <c r="CV268">
        <v>0.6042500000000004</v>
      </c>
      <c r="CW268">
        <v>2.528900000000001</v>
      </c>
      <c r="CX268" t="s">
        <v>265</v>
      </c>
      <c r="CY268">
        <v>29</v>
      </c>
      <c r="CZ268">
        <v>-4.5671999999999997</v>
      </c>
      <c r="DA268">
        <v>12</v>
      </c>
      <c r="DB268">
        <v>11.5</v>
      </c>
      <c r="DC268">
        <v>15</v>
      </c>
      <c r="DD268">
        <v>0.74399999999999944</v>
      </c>
      <c r="DE268">
        <v>8</v>
      </c>
      <c r="DF268">
        <v>10.199999999999998</v>
      </c>
      <c r="DG268">
        <v>-0.12000000000000011</v>
      </c>
      <c r="DH268">
        <v>14</v>
      </c>
      <c r="DI268">
        <v>15</v>
      </c>
      <c r="DJ268">
        <v>14</v>
      </c>
      <c r="DK268">
        <v>-9.9999999999999825E-2</v>
      </c>
      <c r="DL268">
        <v>16</v>
      </c>
      <c r="DM268">
        <v>-0.64000000000000024</v>
      </c>
      <c r="DN268">
        <v>-0.19999999999999996</v>
      </c>
      <c r="DO268">
        <v>25</v>
      </c>
      <c r="DP268">
        <v>20</v>
      </c>
      <c r="DQ268">
        <v>19</v>
      </c>
      <c r="DR268">
        <v>-1.9530000000000001</v>
      </c>
      <c r="DS268">
        <v>21</v>
      </c>
      <c r="DT268">
        <v>-10.93</v>
      </c>
      <c r="DU268">
        <v>-0.66999999999999971</v>
      </c>
      <c r="DV268">
        <v>28</v>
      </c>
      <c r="DW268">
        <v>27</v>
      </c>
      <c r="DX268">
        <v>28</v>
      </c>
      <c r="DY268">
        <v>-4.3120000000000012</v>
      </c>
      <c r="DZ268">
        <v>26</v>
      </c>
      <c r="EA268">
        <v>-13.550000000000002</v>
      </c>
      <c r="EB268">
        <v>-0.99999999999999967</v>
      </c>
      <c r="EC268">
        <v>20</v>
      </c>
      <c r="ED268">
        <v>19.5</v>
      </c>
      <c r="EE268">
        <v>20</v>
      </c>
      <c r="EF268">
        <v>-0.71100000000000019</v>
      </c>
      <c r="EG268">
        <v>19</v>
      </c>
      <c r="EH268">
        <v>-1.8100000000000009</v>
      </c>
      <c r="EI268">
        <v>1.04</v>
      </c>
      <c r="EJ268">
        <v>21</v>
      </c>
      <c r="EK268">
        <v>21.5</v>
      </c>
      <c r="EL268">
        <v>20</v>
      </c>
      <c r="EM268">
        <v>-2.7960000000000007</v>
      </c>
      <c r="EN268">
        <v>23</v>
      </c>
      <c r="EO268">
        <v>-16.759999999999998</v>
      </c>
      <c r="EP268">
        <v>-0.16000000000000014</v>
      </c>
      <c r="EQ268">
        <v>15</v>
      </c>
      <c r="ER268">
        <v>15</v>
      </c>
      <c r="ES268">
        <v>12</v>
      </c>
      <c r="ET268">
        <v>0.21600000000000144</v>
      </c>
      <c r="EU268">
        <v>18</v>
      </c>
      <c r="EV268">
        <v>-2.1727999999999996</v>
      </c>
      <c r="EW268">
        <v>-0.4799999999999997</v>
      </c>
      <c r="EX268">
        <v>15</v>
      </c>
      <c r="EY268">
        <v>13</v>
      </c>
      <c r="EZ268">
        <v>14</v>
      </c>
      <c r="FA268">
        <v>0.11999999999999975</v>
      </c>
      <c r="FB268">
        <v>12</v>
      </c>
      <c r="FC268">
        <v>0.19999999999999996</v>
      </c>
      <c r="FD268">
        <v>0.75999999999999979</v>
      </c>
      <c r="FE268">
        <v>32</v>
      </c>
      <c r="FF268">
        <v>29.25</v>
      </c>
      <c r="FG268">
        <v>28</v>
      </c>
      <c r="FH268">
        <v>-5.2416238103274768E-2</v>
      </c>
      <c r="FI268">
        <v>29</v>
      </c>
      <c r="FJ268">
        <v>-2.4252332160678798E-2</v>
      </c>
      <c r="FK268">
        <v>29</v>
      </c>
      <c r="FL268">
        <v>10.120000000000001</v>
      </c>
      <c r="FM268">
        <v>31</v>
      </c>
      <c r="FN268">
        <v>-4.12</v>
      </c>
      <c r="FO268">
        <v>-1.759999999999998</v>
      </c>
      <c r="FP268">
        <v>4.4000000000000004</v>
      </c>
      <c r="FQ268">
        <v>-0.96</v>
      </c>
      <c r="FR268">
        <v>0.440000000000002</v>
      </c>
      <c r="FS268">
        <v>-2.3200000000000003</v>
      </c>
      <c r="FT268">
        <v>-0.64</v>
      </c>
      <c r="FU268">
        <v>-38.519999999999996</v>
      </c>
      <c r="FV268">
        <v>-41.399999999999991</v>
      </c>
      <c r="FW268">
        <v>9.56</v>
      </c>
      <c r="FX268">
        <v>1.1199999999999997</v>
      </c>
      <c r="FY268">
        <v>-7.8</v>
      </c>
      <c r="FZ268">
        <v>27</v>
      </c>
      <c r="GA268">
        <v>-5.2111999999999998</v>
      </c>
      <c r="GB268">
        <v>-2.5874399999999995</v>
      </c>
      <c r="GC268">
        <v>-50.959999999999994</v>
      </c>
      <c r="GD268">
        <v>5.2111999999999989</v>
      </c>
      <c r="GE268">
        <v>-1.3204000000000002</v>
      </c>
      <c r="GF268">
        <v>-6.9760000000000018</v>
      </c>
      <c r="GG268">
        <v>-26.290000000000006</v>
      </c>
      <c r="GH268">
        <v>0.64399999999999957</v>
      </c>
      <c r="GI268">
        <v>9.5599999999999969</v>
      </c>
      <c r="GJ268">
        <v>-1.1099999999999992</v>
      </c>
      <c r="GK268">
        <v>-0.32000000000000006</v>
      </c>
    </row>
    <row r="269" spans="1:193" x14ac:dyDescent="0.2">
      <c r="A269" s="39">
        <v>43800</v>
      </c>
      <c r="B269" s="22" t="s">
        <v>241</v>
      </c>
      <c r="C269" s="41" t="s">
        <v>300</v>
      </c>
      <c r="D269" s="22" t="s">
        <v>296</v>
      </c>
      <c r="E269">
        <v>24.4</v>
      </c>
      <c r="F269">
        <v>22.3</v>
      </c>
      <c r="G269">
        <v>4</v>
      </c>
      <c r="H269">
        <v>9.6999999999999993</v>
      </c>
      <c r="I269">
        <v>-6.5</v>
      </c>
      <c r="J269">
        <v>43.5</v>
      </c>
      <c r="L269" s="1" t="s">
        <v>300</v>
      </c>
      <c r="M269">
        <v>21</v>
      </c>
      <c r="N269">
        <v>-0.92639999999999922</v>
      </c>
      <c r="O269">
        <v>22</v>
      </c>
      <c r="P269">
        <v>21.5</v>
      </c>
      <c r="Q269">
        <v>14</v>
      </c>
      <c r="R269">
        <v>8.8400000000000742E-2</v>
      </c>
      <c r="S269">
        <v>29</v>
      </c>
      <c r="T269">
        <v>-22.479999999999997</v>
      </c>
      <c r="U269">
        <v>-7.9999999999999988E-2</v>
      </c>
      <c r="V269">
        <v>2</v>
      </c>
      <c r="W269">
        <v>4</v>
      </c>
      <c r="X269">
        <v>4</v>
      </c>
      <c r="Y269">
        <v>4.9959999999999996</v>
      </c>
      <c r="Z269">
        <v>4</v>
      </c>
      <c r="AA269">
        <v>13.2</v>
      </c>
      <c r="AB269">
        <v>1.4</v>
      </c>
      <c r="AC269">
        <v>3</v>
      </c>
      <c r="AD269">
        <v>3.5</v>
      </c>
      <c r="AE269">
        <v>5</v>
      </c>
      <c r="AF269">
        <v>2.3040000000000007</v>
      </c>
      <c r="AG269">
        <v>2</v>
      </c>
      <c r="AH269">
        <v>0.67999999999999972</v>
      </c>
      <c r="AI269">
        <v>2.4800000000000004</v>
      </c>
      <c r="AJ269">
        <v>16</v>
      </c>
      <c r="AK269">
        <v>17</v>
      </c>
      <c r="AL269">
        <v>17</v>
      </c>
      <c r="AM269">
        <v>-0.95600000000000007</v>
      </c>
      <c r="AN269">
        <v>17</v>
      </c>
      <c r="AO269">
        <v>-7.1599999999999993</v>
      </c>
      <c r="AP269">
        <v>-0.95999999999999974</v>
      </c>
      <c r="AQ269">
        <v>20</v>
      </c>
      <c r="AR269">
        <v>19</v>
      </c>
      <c r="AS269">
        <v>18</v>
      </c>
      <c r="AT269">
        <v>-0.97999999999999976</v>
      </c>
      <c r="AU269">
        <v>20</v>
      </c>
      <c r="AV269">
        <v>-6.76</v>
      </c>
      <c r="AW269">
        <v>-0.23999999999999985</v>
      </c>
      <c r="AX269">
        <v>18</v>
      </c>
      <c r="AY269">
        <v>17</v>
      </c>
      <c r="AZ269">
        <v>12</v>
      </c>
      <c r="BA269">
        <v>2.2479999999999984</v>
      </c>
      <c r="BB269">
        <v>22</v>
      </c>
      <c r="BC269">
        <v>-4.3199999999999985</v>
      </c>
      <c r="BD269">
        <v>0.23999999999999985</v>
      </c>
      <c r="BE269">
        <v>27</v>
      </c>
      <c r="BF269">
        <v>27</v>
      </c>
      <c r="BG269">
        <v>26</v>
      </c>
      <c r="BH269">
        <v>-4.4359999999999999</v>
      </c>
      <c r="BI269">
        <v>-18.600000000000001</v>
      </c>
      <c r="BJ269">
        <v>-2.2000000000000002</v>
      </c>
      <c r="BK269">
        <v>31</v>
      </c>
      <c r="BL269">
        <v>31</v>
      </c>
      <c r="BM269">
        <v>30</v>
      </c>
      <c r="BN269">
        <v>-2.6799999999999997</v>
      </c>
      <c r="BO269">
        <v>32</v>
      </c>
      <c r="BP269">
        <v>-1.3599999999999999</v>
      </c>
      <c r="BQ269">
        <v>-3.8400000000000007</v>
      </c>
      <c r="BR269">
        <v>16</v>
      </c>
      <c r="BS269">
        <v>14.5</v>
      </c>
      <c r="BT269">
        <v>17</v>
      </c>
      <c r="BU269">
        <v>-4.3262657141531881E-3</v>
      </c>
      <c r="BV269">
        <v>14</v>
      </c>
      <c r="BW269">
        <v>3.1396143023708382E-3</v>
      </c>
      <c r="BX269">
        <v>3</v>
      </c>
      <c r="BY269">
        <v>-13.435999999999998</v>
      </c>
      <c r="BZ269">
        <v>24</v>
      </c>
      <c r="CA269">
        <v>-1.8399999999999999</v>
      </c>
      <c r="CB269">
        <v>-1.4799999999999982</v>
      </c>
      <c r="CC269">
        <v>-2.0800000000000005</v>
      </c>
      <c r="CD269">
        <v>-1.9600000000000002</v>
      </c>
      <c r="CE269">
        <v>-35.479999999999983</v>
      </c>
      <c r="CF269">
        <v>-18.160000000000004</v>
      </c>
      <c r="CG269">
        <v>-11.959999999999999</v>
      </c>
      <c r="CH269">
        <v>2.2800000000000002</v>
      </c>
      <c r="CI269">
        <v>-7.6400000000000006</v>
      </c>
      <c r="CJ269">
        <v>27</v>
      </c>
      <c r="CK269">
        <v>-6.0107999999999997</v>
      </c>
      <c r="CL269">
        <v>-3.54108</v>
      </c>
      <c r="CM269">
        <v>-6.2000000000000046</v>
      </c>
      <c r="CN269">
        <v>6.0107999999999997</v>
      </c>
      <c r="CO269">
        <v>-0.32374999999999976</v>
      </c>
      <c r="CP269">
        <v>0.36800000000000099</v>
      </c>
      <c r="CQ269">
        <v>-13.239999999999998</v>
      </c>
      <c r="CR269">
        <v>5.0844000000000005</v>
      </c>
      <c r="CS269">
        <v>-9.2799999999999976</v>
      </c>
      <c r="CT269">
        <v>-0.91999999999999926</v>
      </c>
      <c r="CU269">
        <v>1.3199999999999998</v>
      </c>
      <c r="CV269">
        <v>0.60505000000000009</v>
      </c>
      <c r="CW269">
        <v>-0.13850000000000007</v>
      </c>
      <c r="CX269" t="s">
        <v>296</v>
      </c>
      <c r="CY269">
        <v>5</v>
      </c>
      <c r="CZ269">
        <v>3.5568000000000013</v>
      </c>
      <c r="DA269">
        <v>31</v>
      </c>
      <c r="DB269">
        <v>29</v>
      </c>
      <c r="DC269">
        <v>31</v>
      </c>
      <c r="DD269">
        <v>-3.9879999999999987</v>
      </c>
      <c r="DE269">
        <v>27</v>
      </c>
      <c r="DF269">
        <v>-8.5200000000000014</v>
      </c>
      <c r="DG269">
        <v>-0.2</v>
      </c>
      <c r="DH269">
        <v>15</v>
      </c>
      <c r="DI269">
        <v>16</v>
      </c>
      <c r="DJ269">
        <v>24</v>
      </c>
      <c r="DK269">
        <v>-1.7800000000000005</v>
      </c>
      <c r="DL269">
        <v>8</v>
      </c>
      <c r="DM269">
        <v>6.919999999999999</v>
      </c>
      <c r="DN269">
        <v>3.9999999999999945E-2</v>
      </c>
      <c r="DO269">
        <v>4</v>
      </c>
      <c r="DP269">
        <v>4.5</v>
      </c>
      <c r="DQ269">
        <v>4</v>
      </c>
      <c r="DR269">
        <v>9.2919999999999998</v>
      </c>
      <c r="DS269">
        <v>5</v>
      </c>
      <c r="DT269">
        <v>29.96</v>
      </c>
      <c r="DU269">
        <v>0.27999999999999992</v>
      </c>
      <c r="DV269">
        <v>13</v>
      </c>
      <c r="DW269">
        <v>13.5</v>
      </c>
      <c r="DX269">
        <v>14</v>
      </c>
      <c r="DY269">
        <v>0.17599999999999943</v>
      </c>
      <c r="DZ269">
        <v>13</v>
      </c>
      <c r="EA269">
        <v>3.1599999999999979</v>
      </c>
      <c r="EB269">
        <v>-1</v>
      </c>
      <c r="EC269">
        <v>24</v>
      </c>
      <c r="ED269">
        <v>13.5</v>
      </c>
      <c r="EE269">
        <v>16</v>
      </c>
      <c r="EF269">
        <v>0.25200000000000011</v>
      </c>
      <c r="EG269">
        <v>11</v>
      </c>
      <c r="EH269">
        <v>2.9599999999999982</v>
      </c>
      <c r="EI269">
        <v>-7.9999999999999891E-2</v>
      </c>
      <c r="EJ269">
        <v>2</v>
      </c>
      <c r="EK269">
        <v>3.5</v>
      </c>
      <c r="EL269">
        <v>4</v>
      </c>
      <c r="EM269">
        <v>5.2119999999999989</v>
      </c>
      <c r="EN269">
        <v>3</v>
      </c>
      <c r="EO269">
        <v>33.72</v>
      </c>
      <c r="EP269">
        <v>-1.4000000000000004</v>
      </c>
      <c r="EQ269">
        <v>17</v>
      </c>
      <c r="ER269">
        <v>15.5</v>
      </c>
      <c r="ES269">
        <v>15</v>
      </c>
      <c r="ET269">
        <v>-0.15999999999999961</v>
      </c>
      <c r="EU269">
        <v>16</v>
      </c>
      <c r="EV269">
        <v>0.159999999999998</v>
      </c>
      <c r="EW269">
        <v>-1.1199999999999999</v>
      </c>
      <c r="EX269">
        <v>2</v>
      </c>
      <c r="EY269">
        <v>3</v>
      </c>
      <c r="EZ269">
        <v>2</v>
      </c>
      <c r="FA269">
        <v>3.4400000000000004</v>
      </c>
      <c r="FB269">
        <v>4</v>
      </c>
      <c r="FC269">
        <v>0.6</v>
      </c>
      <c r="FD269">
        <v>5.92</v>
      </c>
      <c r="FE269">
        <v>29</v>
      </c>
      <c r="FF269">
        <v>24</v>
      </c>
      <c r="FG269">
        <v>11</v>
      </c>
      <c r="FH269">
        <v>4.8248048271195441E-3</v>
      </c>
      <c r="FI269">
        <v>27</v>
      </c>
      <c r="FJ269">
        <v>-1.8441992382289586E-2</v>
      </c>
      <c r="FK269">
        <v>31</v>
      </c>
      <c r="FL269">
        <v>13.284000000000002</v>
      </c>
      <c r="FM269">
        <v>27</v>
      </c>
      <c r="FN269">
        <v>-2.3199999999999994</v>
      </c>
      <c r="FO269">
        <v>-2.0399999999999991</v>
      </c>
      <c r="FP269">
        <v>1.8000000000000007</v>
      </c>
      <c r="FQ269">
        <v>0.56000000000000016</v>
      </c>
      <c r="FR269">
        <v>-0.51999999999999891</v>
      </c>
      <c r="FS269">
        <v>5.6</v>
      </c>
      <c r="FT269">
        <v>3.28</v>
      </c>
      <c r="FU269">
        <v>4.1599999999999913</v>
      </c>
      <c r="FV269">
        <v>8.1200000000000099</v>
      </c>
      <c r="FW269">
        <v>-3.1599999999999993</v>
      </c>
      <c r="FX269">
        <v>-0.84000000000000008</v>
      </c>
      <c r="FY269">
        <v>3.9999999999999147E-2</v>
      </c>
      <c r="FZ269">
        <v>2</v>
      </c>
      <c r="GA269">
        <v>9.3248000000000015</v>
      </c>
      <c r="GB269">
        <v>5.5073600000000003</v>
      </c>
      <c r="GC269">
        <v>11.280000000000008</v>
      </c>
      <c r="GD269">
        <v>-9.3247999999999998</v>
      </c>
      <c r="GE269">
        <v>1.3486000000000002</v>
      </c>
      <c r="GF269">
        <v>9.7200000000000006</v>
      </c>
      <c r="GG269">
        <v>36.08</v>
      </c>
      <c r="GH269">
        <v>-5.7679999999999989</v>
      </c>
      <c r="GI269">
        <v>-1.6000000000000023</v>
      </c>
      <c r="GJ269">
        <v>-1.92</v>
      </c>
      <c r="GK269">
        <v>-0.16000000000000006</v>
      </c>
    </row>
    <row r="270" spans="1:193" x14ac:dyDescent="0.2">
      <c r="A270" s="39">
        <v>43800</v>
      </c>
      <c r="B270" s="22" t="s">
        <v>241</v>
      </c>
      <c r="C270" s="41" t="s">
        <v>311</v>
      </c>
      <c r="D270" s="22" t="s">
        <v>302</v>
      </c>
      <c r="E270">
        <v>15.64</v>
      </c>
      <c r="F270">
        <v>15.1</v>
      </c>
      <c r="G270">
        <v>1.8</v>
      </c>
      <c r="H270">
        <f>10.3+2.9</f>
        <v>13.200000000000001</v>
      </c>
      <c r="I270">
        <v>3.5</v>
      </c>
      <c r="J270">
        <v>47</v>
      </c>
      <c r="L270" s="4" t="s">
        <v>311</v>
      </c>
      <c r="M270" s="3">
        <v>6</v>
      </c>
      <c r="N270" s="3">
        <v>3.8351999999999995</v>
      </c>
      <c r="O270" s="3">
        <v>22</v>
      </c>
      <c r="P270" s="3">
        <v>21.5</v>
      </c>
      <c r="Q270" s="3">
        <v>30</v>
      </c>
      <c r="R270" s="3">
        <v>-5.9960000000000004</v>
      </c>
      <c r="S270" s="3">
        <v>13</v>
      </c>
      <c r="T270" s="3">
        <v>0.91999999999999882</v>
      </c>
      <c r="U270" s="3">
        <v>-2.3199999999999998</v>
      </c>
      <c r="V270" s="3">
        <v>8</v>
      </c>
      <c r="W270" s="3">
        <v>9.5</v>
      </c>
      <c r="X270" s="3">
        <v>3</v>
      </c>
      <c r="Y270" s="3">
        <v>5.4239999999999995</v>
      </c>
      <c r="Z270" s="3">
        <v>16</v>
      </c>
      <c r="AA270">
        <v>1.2</v>
      </c>
      <c r="AB270">
        <v>1.8399999999999999</v>
      </c>
      <c r="AC270">
        <v>2</v>
      </c>
      <c r="AD270">
        <v>2.5</v>
      </c>
      <c r="AE270">
        <v>1</v>
      </c>
      <c r="AF270">
        <v>8.5723999999999982</v>
      </c>
      <c r="AG270">
        <v>4</v>
      </c>
      <c r="AH270">
        <v>22.48</v>
      </c>
      <c r="AI270">
        <v>3</v>
      </c>
      <c r="AJ270">
        <v>15</v>
      </c>
      <c r="AK270">
        <v>15</v>
      </c>
      <c r="AL270">
        <v>16</v>
      </c>
      <c r="AM270">
        <v>0.44999999999999807</v>
      </c>
      <c r="AN270">
        <v>14</v>
      </c>
      <c r="AO270">
        <v>4.7</v>
      </c>
      <c r="AP270">
        <v>9.9999999999999638E-3</v>
      </c>
      <c r="AQ270">
        <v>21</v>
      </c>
      <c r="AR270">
        <v>21</v>
      </c>
      <c r="AS270">
        <v>21</v>
      </c>
      <c r="AT270">
        <v>-1.6620000000000004</v>
      </c>
      <c r="AU270">
        <v>21</v>
      </c>
      <c r="AV270">
        <v>-6.3800000000000008</v>
      </c>
      <c r="AW270">
        <v>-1.1100000000000001</v>
      </c>
      <c r="AX270">
        <v>17</v>
      </c>
      <c r="AY270">
        <v>16.5</v>
      </c>
      <c r="AZ270">
        <v>21</v>
      </c>
      <c r="BA270">
        <v>-0.94799999999999862</v>
      </c>
      <c r="BB270">
        <v>12</v>
      </c>
      <c r="BC270">
        <v>9.3199999999999985</v>
      </c>
      <c r="BD270">
        <v>-0.48000000000000009</v>
      </c>
      <c r="BE270">
        <v>11</v>
      </c>
      <c r="BF270">
        <v>12</v>
      </c>
      <c r="BG270">
        <v>11</v>
      </c>
      <c r="BH270">
        <v>2.468</v>
      </c>
      <c r="BI270">
        <v>2.96</v>
      </c>
      <c r="BJ270">
        <v>-1.7763568394002506E-16</v>
      </c>
      <c r="BK270">
        <v>22</v>
      </c>
      <c r="BL270">
        <v>20.5</v>
      </c>
      <c r="BM270">
        <v>22</v>
      </c>
      <c r="BN270">
        <v>-0.31999999999999995</v>
      </c>
      <c r="BO270">
        <v>19</v>
      </c>
      <c r="BP270">
        <v>-8.0000000000000113E-2</v>
      </c>
      <c r="BQ270">
        <v>-3.6</v>
      </c>
      <c r="BR270">
        <v>20</v>
      </c>
      <c r="BS270">
        <v>17.5</v>
      </c>
      <c r="BT270">
        <v>1</v>
      </c>
      <c r="BU270">
        <v>9.7473807654720274E-2</v>
      </c>
      <c r="BV270">
        <v>24</v>
      </c>
      <c r="BW270">
        <v>-1.8166648276536801E-2</v>
      </c>
      <c r="BX270">
        <v>15</v>
      </c>
      <c r="BY270">
        <v>-0.50799999999999979</v>
      </c>
      <c r="BZ270">
        <v>30</v>
      </c>
      <c r="CA270">
        <v>-4</v>
      </c>
      <c r="CB270">
        <v>0.48000000000000115</v>
      </c>
      <c r="CC270">
        <v>1.4400000000000002</v>
      </c>
      <c r="CD270">
        <v>-1.6799999999999997</v>
      </c>
      <c r="CE270">
        <v>20.919999999999995</v>
      </c>
      <c r="CF270">
        <v>17.68</v>
      </c>
      <c r="CG270">
        <v>0.75999999999999657</v>
      </c>
      <c r="CH270">
        <v>-3.16</v>
      </c>
      <c r="CI270">
        <v>5.6400000000000006</v>
      </c>
      <c r="CJ270">
        <v>9</v>
      </c>
      <c r="CK270">
        <v>4.4071999999999996</v>
      </c>
      <c r="CL270">
        <v>3.0187199999999996</v>
      </c>
      <c r="CM270">
        <v>16.920000000000002</v>
      </c>
      <c r="CN270">
        <v>-4.4072000000000005</v>
      </c>
      <c r="CO270">
        <v>1.596449999999999</v>
      </c>
      <c r="CP270">
        <v>7.3603999999999949</v>
      </c>
      <c r="CQ270">
        <v>20.799999999999997</v>
      </c>
      <c r="CR270">
        <v>-0.57200000000000095</v>
      </c>
      <c r="CS270">
        <v>2.1199999999999988</v>
      </c>
      <c r="CT270">
        <v>1.8999999999999995</v>
      </c>
      <c r="CU270">
        <v>-0.48</v>
      </c>
      <c r="CV270">
        <v>-1.03685</v>
      </c>
      <c r="CW270">
        <v>0.48669999999999985</v>
      </c>
      <c r="CX270" t="s">
        <v>302</v>
      </c>
      <c r="CY270">
        <v>28</v>
      </c>
      <c r="CZ270">
        <v>-4.2055999999999996</v>
      </c>
      <c r="DA270">
        <v>20</v>
      </c>
      <c r="DB270">
        <v>21</v>
      </c>
      <c r="DC270">
        <v>26</v>
      </c>
      <c r="DD270">
        <v>-2.6079999999999997</v>
      </c>
      <c r="DE270">
        <v>16</v>
      </c>
      <c r="DF270">
        <v>-0.44000000000000339</v>
      </c>
      <c r="DG270">
        <v>-4.0000000000000036E-2</v>
      </c>
      <c r="DH270">
        <v>19</v>
      </c>
      <c r="DI270">
        <v>17</v>
      </c>
      <c r="DJ270">
        <v>15</v>
      </c>
      <c r="DK270">
        <v>-0.22800000000000048</v>
      </c>
      <c r="DL270">
        <v>19</v>
      </c>
      <c r="DM270">
        <v>-4.0400000000000009</v>
      </c>
      <c r="DN270">
        <v>0.2</v>
      </c>
      <c r="DO270">
        <v>31</v>
      </c>
      <c r="DP270">
        <v>29</v>
      </c>
      <c r="DQ270">
        <v>30</v>
      </c>
      <c r="DR270">
        <v>-6.1945999999999994</v>
      </c>
      <c r="DS270">
        <v>28</v>
      </c>
      <c r="DT270">
        <v>-23.29</v>
      </c>
      <c r="DU270">
        <v>-2.23</v>
      </c>
      <c r="DV270">
        <v>24</v>
      </c>
      <c r="DW270">
        <v>25</v>
      </c>
      <c r="DX270">
        <v>26</v>
      </c>
      <c r="DY270">
        <v>-3.6920000000000002</v>
      </c>
      <c r="DZ270">
        <v>24</v>
      </c>
      <c r="EA270">
        <v>-9.6699999999999982</v>
      </c>
      <c r="EB270">
        <v>-1.2000000000000004</v>
      </c>
      <c r="EC270">
        <v>23</v>
      </c>
      <c r="ED270">
        <v>21</v>
      </c>
      <c r="EE270">
        <v>25</v>
      </c>
      <c r="EF270">
        <v>-1.8470000000000002</v>
      </c>
      <c r="EG270">
        <v>17</v>
      </c>
      <c r="EH270">
        <v>-0.77000000000000168</v>
      </c>
      <c r="EI270">
        <v>3.9999999999999945E-2</v>
      </c>
      <c r="EJ270">
        <v>22</v>
      </c>
      <c r="EK270">
        <v>23</v>
      </c>
      <c r="EL270">
        <v>24</v>
      </c>
      <c r="EM270">
        <v>-4.4160000000000004</v>
      </c>
      <c r="EN270">
        <v>22</v>
      </c>
      <c r="EO270">
        <v>-11.359999999999996</v>
      </c>
      <c r="EP270">
        <v>0</v>
      </c>
      <c r="EQ270">
        <v>20</v>
      </c>
      <c r="ER270">
        <v>20</v>
      </c>
      <c r="ES270">
        <v>18</v>
      </c>
      <c r="ET270">
        <v>-0.58799999999999919</v>
      </c>
      <c r="EU270">
        <v>22</v>
      </c>
      <c r="EV270">
        <v>-6.6528000000000009</v>
      </c>
      <c r="EW270">
        <v>-0.6000000000000002</v>
      </c>
      <c r="EX270">
        <v>24</v>
      </c>
      <c r="EY270">
        <v>23</v>
      </c>
      <c r="EZ270">
        <v>24</v>
      </c>
      <c r="FA270">
        <v>-1.1199999999999999</v>
      </c>
      <c r="FB270">
        <v>22</v>
      </c>
      <c r="FC270">
        <v>-0.48</v>
      </c>
      <c r="FD270">
        <v>-1.52</v>
      </c>
      <c r="FE270">
        <v>5</v>
      </c>
      <c r="FF270">
        <v>9.75</v>
      </c>
      <c r="FG270">
        <v>1</v>
      </c>
      <c r="FH270">
        <v>0.17537797312214998</v>
      </c>
      <c r="FI270">
        <v>12</v>
      </c>
      <c r="FJ270">
        <v>6.0378223884453687E-3</v>
      </c>
      <c r="FK270">
        <v>23</v>
      </c>
      <c r="FL270">
        <v>2.8119999999999976</v>
      </c>
      <c r="FM270">
        <v>3</v>
      </c>
      <c r="FN270">
        <v>4.5600000000000005</v>
      </c>
      <c r="FO270">
        <v>-3.6799999999999984</v>
      </c>
      <c r="FP270">
        <v>-1.8799999999999997</v>
      </c>
      <c r="FQ270">
        <v>-0.28000000000000008</v>
      </c>
      <c r="FR270">
        <v>-5.4400000000000031</v>
      </c>
      <c r="FS270">
        <v>-5.6800000000000015</v>
      </c>
      <c r="FT270">
        <v>0.27999999999999997</v>
      </c>
      <c r="FU270">
        <v>-59.52</v>
      </c>
      <c r="FV270">
        <v>-45.399999999999991</v>
      </c>
      <c r="FW270">
        <v>-5.3200000000000021</v>
      </c>
      <c r="FX270">
        <v>-0.59999999999999987</v>
      </c>
      <c r="FY270">
        <v>-8.1999999999999993</v>
      </c>
      <c r="FZ270">
        <v>21</v>
      </c>
      <c r="GA270">
        <v>-1.3695999999999995</v>
      </c>
      <c r="GB270">
        <v>-1.8874399999999993</v>
      </c>
      <c r="GC270">
        <v>-40.079999999999991</v>
      </c>
      <c r="GD270">
        <v>1.3695999999999993</v>
      </c>
      <c r="GE270">
        <v>-2.5604</v>
      </c>
      <c r="GF270">
        <v>-11.733599999999999</v>
      </c>
      <c r="GG270">
        <v>-33.729999999999997</v>
      </c>
      <c r="GH270">
        <v>-2.8360000000000003</v>
      </c>
      <c r="GI270">
        <v>-4.480000000000004</v>
      </c>
      <c r="GJ270">
        <v>-3.9900000000000007</v>
      </c>
      <c r="GK270">
        <v>0.15999999999999998</v>
      </c>
    </row>
    <row r="271" spans="1:193" x14ac:dyDescent="0.2">
      <c r="A271" s="39">
        <v>43800</v>
      </c>
      <c r="B271" s="22" t="s">
        <v>241</v>
      </c>
      <c r="C271" s="41" t="s">
        <v>289</v>
      </c>
      <c r="D271" s="22" t="s">
        <v>310</v>
      </c>
      <c r="E271" s="3">
        <v>20.9</v>
      </c>
      <c r="F271" s="3">
        <v>9.5</v>
      </c>
      <c r="G271" s="3">
        <v>2.2999999999999998</v>
      </c>
      <c r="H271">
        <f>19.3+4.1</f>
        <v>23.4</v>
      </c>
      <c r="I271">
        <v>1</v>
      </c>
      <c r="J271">
        <v>41.5</v>
      </c>
      <c r="L271" s="4" t="s">
        <v>289</v>
      </c>
      <c r="M271" s="3">
        <v>29</v>
      </c>
      <c r="N271" s="3">
        <v>-4.7607999999999988</v>
      </c>
      <c r="O271" s="3">
        <v>11</v>
      </c>
      <c r="P271" s="3">
        <v>11.5</v>
      </c>
      <c r="Q271" s="3">
        <v>19</v>
      </c>
      <c r="R271" s="3">
        <v>2.7999999999999404E-2</v>
      </c>
      <c r="S271" s="3">
        <v>4</v>
      </c>
      <c r="T271" s="3">
        <v>18.080000000000002</v>
      </c>
      <c r="U271" s="3">
        <v>-1.7600000000000002</v>
      </c>
      <c r="V271" s="3">
        <v>23</v>
      </c>
      <c r="W271" s="3">
        <v>20.5</v>
      </c>
      <c r="X271" s="3">
        <v>18</v>
      </c>
      <c r="Y271" s="3">
        <v>1.4719999999999998</v>
      </c>
      <c r="Z271" s="3">
        <v>23</v>
      </c>
      <c r="AA271">
        <v>-0.36000000000000049</v>
      </c>
      <c r="AB271">
        <v>0.91999999999999971</v>
      </c>
      <c r="AC271">
        <v>18</v>
      </c>
      <c r="AD271">
        <v>18</v>
      </c>
      <c r="AE271">
        <v>21</v>
      </c>
      <c r="AF271">
        <v>-6.2399999999999984</v>
      </c>
      <c r="AG271">
        <v>15</v>
      </c>
      <c r="AH271">
        <v>-26.866666666666671</v>
      </c>
      <c r="AI271">
        <v>-2.0000000000000004</v>
      </c>
      <c r="AJ271">
        <v>18</v>
      </c>
      <c r="AK271">
        <v>18.5</v>
      </c>
      <c r="AL271">
        <v>14</v>
      </c>
      <c r="AM271">
        <v>-4.1399999999999997</v>
      </c>
      <c r="AN271">
        <v>23</v>
      </c>
      <c r="AO271">
        <v>-18.600000000000001</v>
      </c>
      <c r="AP271">
        <v>-2.6666666666666665</v>
      </c>
      <c r="AQ271">
        <v>22</v>
      </c>
      <c r="AR271">
        <v>22</v>
      </c>
      <c r="AS271">
        <v>22</v>
      </c>
      <c r="AT271">
        <v>-1.333333333333333</v>
      </c>
      <c r="AU271">
        <v>22</v>
      </c>
      <c r="AV271">
        <v>-13.333333333333334</v>
      </c>
      <c r="AW271">
        <v>-0.53333333333333321</v>
      </c>
      <c r="AX271">
        <v>12</v>
      </c>
      <c r="AY271">
        <v>12</v>
      </c>
      <c r="AZ271">
        <v>14</v>
      </c>
      <c r="BA271">
        <v>1.448</v>
      </c>
      <c r="BB271">
        <v>10</v>
      </c>
      <c r="BC271">
        <v>1.2799999999999983</v>
      </c>
      <c r="BD271">
        <v>1.8799999999999997</v>
      </c>
      <c r="BE271">
        <v>7</v>
      </c>
      <c r="BF271">
        <v>6.5</v>
      </c>
      <c r="BG271">
        <v>8</v>
      </c>
      <c r="BH271">
        <v>4.2039999999999988</v>
      </c>
      <c r="BI271">
        <v>17.84</v>
      </c>
      <c r="BJ271">
        <v>3.0799999999999996</v>
      </c>
      <c r="BK271">
        <v>19</v>
      </c>
      <c r="BL271">
        <v>19.5</v>
      </c>
      <c r="BM271">
        <v>24</v>
      </c>
      <c r="BN271">
        <v>-2.2400000000000002</v>
      </c>
      <c r="BO271">
        <v>15</v>
      </c>
      <c r="BP271">
        <v>-0.16000000000000006</v>
      </c>
      <c r="BQ271">
        <v>-0.4799999999999997</v>
      </c>
      <c r="BR271">
        <v>3</v>
      </c>
      <c r="BS271">
        <v>7.75</v>
      </c>
      <c r="BT271">
        <v>4</v>
      </c>
      <c r="BU271">
        <v>6.635663515963923E-2</v>
      </c>
      <c r="BV271">
        <v>8</v>
      </c>
      <c r="BW271">
        <v>8.7917790673854163E-3</v>
      </c>
      <c r="BX271">
        <v>13</v>
      </c>
      <c r="BY271">
        <v>-2.0400000000000063</v>
      </c>
      <c r="BZ271">
        <v>6</v>
      </c>
      <c r="CA271">
        <v>2.8</v>
      </c>
      <c r="CB271">
        <v>0.11999999999999886</v>
      </c>
      <c r="CC271">
        <v>-2.6799999999999988</v>
      </c>
      <c r="CD271">
        <v>-0.4</v>
      </c>
      <c r="CE271">
        <v>-24.880000000000006</v>
      </c>
      <c r="CF271">
        <v>-48.919999999999995</v>
      </c>
      <c r="CG271">
        <v>26.879999999999995</v>
      </c>
      <c r="CH271">
        <v>5.6800000000000006</v>
      </c>
      <c r="CI271">
        <v>-8.5200000000000014</v>
      </c>
      <c r="CJ271">
        <v>28</v>
      </c>
      <c r="CK271">
        <v>-6.2607999999999979</v>
      </c>
      <c r="CL271">
        <v>-3.2040266666666661</v>
      </c>
      <c r="CM271">
        <v>-75.799999999999983</v>
      </c>
      <c r="CN271">
        <v>6.2607999999999979</v>
      </c>
      <c r="CO271">
        <v>-1.6262666666666665</v>
      </c>
      <c r="CP271">
        <v>-11.713333333333331</v>
      </c>
      <c r="CQ271">
        <v>-58.800000000000004</v>
      </c>
      <c r="CR271">
        <v>1.4999999999999991</v>
      </c>
      <c r="CS271">
        <v>17.720000000000002</v>
      </c>
      <c r="CT271">
        <v>-2.1200000000000006</v>
      </c>
      <c r="CU271">
        <v>-0.84000000000000052</v>
      </c>
      <c r="CV271">
        <v>0.32849999999999985</v>
      </c>
      <c r="CW271">
        <v>-0.96802500000000025</v>
      </c>
      <c r="CX271" t="s">
        <v>310</v>
      </c>
      <c r="CY271">
        <v>11</v>
      </c>
      <c r="CZ271">
        <v>2.6912000000000003</v>
      </c>
      <c r="DA271">
        <v>7</v>
      </c>
      <c r="DB271">
        <v>10</v>
      </c>
      <c r="DC271">
        <v>13</v>
      </c>
      <c r="DD271">
        <v>0.73600000000000099</v>
      </c>
      <c r="DE271">
        <v>7</v>
      </c>
      <c r="DF271">
        <v>3.9999999999999987</v>
      </c>
      <c r="DG271">
        <v>-0.23999999999999994</v>
      </c>
      <c r="DH271">
        <v>23</v>
      </c>
      <c r="DI271">
        <v>19.5</v>
      </c>
      <c r="DJ271">
        <v>22</v>
      </c>
      <c r="DK271">
        <v>-1.296</v>
      </c>
      <c r="DL271">
        <v>17</v>
      </c>
      <c r="DM271">
        <v>-1</v>
      </c>
      <c r="DN271">
        <v>-4.0000000000000036E-2</v>
      </c>
      <c r="DO271">
        <v>3</v>
      </c>
      <c r="DP271">
        <v>1.5</v>
      </c>
      <c r="DQ271">
        <v>2</v>
      </c>
      <c r="DR271">
        <v>11.09</v>
      </c>
      <c r="DS271">
        <v>1</v>
      </c>
      <c r="DT271">
        <v>41.85</v>
      </c>
      <c r="DU271">
        <v>2.7</v>
      </c>
      <c r="DV271">
        <v>11</v>
      </c>
      <c r="DW271">
        <v>13</v>
      </c>
      <c r="DX271">
        <v>14</v>
      </c>
      <c r="DY271">
        <v>-0.49500000000000055</v>
      </c>
      <c r="DZ271">
        <v>12</v>
      </c>
      <c r="EA271">
        <v>1.4500000000000011</v>
      </c>
      <c r="EB271">
        <v>-1.2499999999999998</v>
      </c>
      <c r="EC271">
        <v>28</v>
      </c>
      <c r="ED271">
        <v>30</v>
      </c>
      <c r="EE271">
        <v>30</v>
      </c>
      <c r="EF271">
        <v>-2.4500000000000006</v>
      </c>
      <c r="EG271">
        <v>30</v>
      </c>
      <c r="EH271">
        <v>-13.950000000000001</v>
      </c>
      <c r="EI271">
        <v>2.3999999999999995</v>
      </c>
      <c r="EJ271">
        <v>6</v>
      </c>
      <c r="EK271">
        <v>5.5</v>
      </c>
      <c r="EL271">
        <v>6</v>
      </c>
      <c r="EM271">
        <v>4.6680000000000001</v>
      </c>
      <c r="EN271">
        <v>5</v>
      </c>
      <c r="EO271">
        <v>33.480000000000004</v>
      </c>
      <c r="EP271">
        <v>2.3199999999999998</v>
      </c>
      <c r="EQ271">
        <v>6</v>
      </c>
      <c r="ER271">
        <v>8</v>
      </c>
      <c r="ES271">
        <v>7</v>
      </c>
      <c r="ET271">
        <v>0.92399999999999971</v>
      </c>
      <c r="EU271">
        <v>9</v>
      </c>
      <c r="EV271">
        <v>4.839999999999999</v>
      </c>
      <c r="EW271">
        <v>-0.11999999999999993</v>
      </c>
      <c r="EX271">
        <v>3</v>
      </c>
      <c r="EY271">
        <v>3.5</v>
      </c>
      <c r="EZ271">
        <v>6</v>
      </c>
      <c r="FA271">
        <v>1.8</v>
      </c>
      <c r="FB271">
        <v>1</v>
      </c>
      <c r="FC271">
        <v>1.28</v>
      </c>
      <c r="FD271">
        <v>-1.1999999999999997</v>
      </c>
      <c r="FE271">
        <v>15</v>
      </c>
      <c r="FF271">
        <v>15.75</v>
      </c>
      <c r="FG271">
        <v>16</v>
      </c>
      <c r="FH271">
        <v>-5.0599095405159059E-3</v>
      </c>
      <c r="FI271">
        <v>21</v>
      </c>
      <c r="FJ271">
        <v>-4.9110954486394796E-3</v>
      </c>
      <c r="FK271">
        <v>13</v>
      </c>
      <c r="FL271">
        <v>-2.0120000000000005</v>
      </c>
      <c r="FM271">
        <v>13</v>
      </c>
      <c r="FN271">
        <v>0.52000000000000024</v>
      </c>
      <c r="FO271">
        <v>3.8400000000000012</v>
      </c>
      <c r="FP271">
        <v>2.6799999999999997</v>
      </c>
      <c r="FQ271">
        <v>0.12000000000000002</v>
      </c>
      <c r="FR271">
        <v>6.7200000000000006</v>
      </c>
      <c r="FS271">
        <v>2.2800000000000002</v>
      </c>
      <c r="FT271">
        <v>-0.91999999999999993</v>
      </c>
      <c r="FU271">
        <v>46.440000000000012</v>
      </c>
      <c r="FV271">
        <v>43.879999999999995</v>
      </c>
      <c r="FW271">
        <v>6.5200000000000005</v>
      </c>
      <c r="FX271">
        <v>-1.8399999999999999</v>
      </c>
      <c r="FY271">
        <v>-2.1199999999999997</v>
      </c>
      <c r="FZ271">
        <v>9</v>
      </c>
      <c r="GA271">
        <v>3.251199999999999</v>
      </c>
      <c r="GB271">
        <v>2.632039999999999</v>
      </c>
      <c r="GC271">
        <v>37.359999999999992</v>
      </c>
      <c r="GD271">
        <v>-3.2511999999999994</v>
      </c>
      <c r="GE271">
        <v>1.6250249999999999</v>
      </c>
      <c r="GF271">
        <v>8.1449999999999978</v>
      </c>
      <c r="GG271">
        <v>29.35</v>
      </c>
      <c r="GH271">
        <v>-0.55999999999999905</v>
      </c>
      <c r="GI271">
        <v>2.9999999999999987</v>
      </c>
      <c r="GJ271">
        <v>3.7299999999999995</v>
      </c>
      <c r="GK271">
        <v>-0.27999999999999997</v>
      </c>
    </row>
    <row r="272" spans="1:193" x14ac:dyDescent="0.2">
      <c r="A272" s="39">
        <v>43800</v>
      </c>
      <c r="B272" s="22" t="s">
        <v>241</v>
      </c>
      <c r="C272" s="41" t="s">
        <v>297</v>
      </c>
      <c r="D272" s="22" t="s">
        <v>284</v>
      </c>
      <c r="E272">
        <v>6.7</v>
      </c>
      <c r="F272">
        <v>19</v>
      </c>
      <c r="G272">
        <v>9.6999999999999993</v>
      </c>
      <c r="H272">
        <v>1.6</v>
      </c>
      <c r="I272">
        <v>3</v>
      </c>
      <c r="J272">
        <v>46.5</v>
      </c>
      <c r="K272" t="s">
        <v>109</v>
      </c>
      <c r="L272" s="1" t="s">
        <v>297</v>
      </c>
      <c r="M272">
        <v>24</v>
      </c>
      <c r="N272">
        <v>-3.1927999999999992</v>
      </c>
      <c r="O272">
        <v>10</v>
      </c>
      <c r="P272">
        <v>9.5</v>
      </c>
      <c r="Q272">
        <v>3</v>
      </c>
      <c r="R272">
        <v>4.8839999999999995</v>
      </c>
      <c r="S272">
        <v>16</v>
      </c>
      <c r="T272">
        <v>4.000000000000057E-2</v>
      </c>
      <c r="U272">
        <v>4.04</v>
      </c>
      <c r="V272">
        <v>28</v>
      </c>
      <c r="W272">
        <v>28.5</v>
      </c>
      <c r="X272">
        <v>26</v>
      </c>
      <c r="Y272">
        <v>-2.1759999999999997</v>
      </c>
      <c r="Z272">
        <v>31</v>
      </c>
      <c r="AA272">
        <v>-17.919999999999998</v>
      </c>
      <c r="AB272">
        <v>-0.76000000000000012</v>
      </c>
      <c r="AC272">
        <v>31</v>
      </c>
      <c r="AD272">
        <v>31.5</v>
      </c>
      <c r="AE272">
        <v>32</v>
      </c>
      <c r="AF272">
        <v>-7.3710000000000004</v>
      </c>
      <c r="AG272">
        <v>31</v>
      </c>
      <c r="AH272">
        <v>-32.9</v>
      </c>
      <c r="AI272">
        <v>-0.99000000000000021</v>
      </c>
      <c r="AJ272">
        <v>7</v>
      </c>
      <c r="AK272">
        <v>8</v>
      </c>
      <c r="AL272">
        <v>4</v>
      </c>
      <c r="AM272">
        <v>3.819</v>
      </c>
      <c r="AN272">
        <v>12</v>
      </c>
      <c r="AO272">
        <v>9.370000000000001</v>
      </c>
      <c r="AP272">
        <v>2.3600000000000003</v>
      </c>
      <c r="AQ272">
        <v>3</v>
      </c>
      <c r="AR272">
        <v>3</v>
      </c>
      <c r="AS272">
        <v>3</v>
      </c>
      <c r="AT272">
        <v>4.7460000000000004</v>
      </c>
      <c r="AU272">
        <v>3</v>
      </c>
      <c r="AV272">
        <v>25.240000000000002</v>
      </c>
      <c r="AW272">
        <v>1.9</v>
      </c>
      <c r="AX272">
        <v>13</v>
      </c>
      <c r="AY272">
        <v>12.5</v>
      </c>
      <c r="AZ272">
        <v>10</v>
      </c>
      <c r="BA272">
        <v>3.1400000000000015</v>
      </c>
      <c r="BB272">
        <v>15</v>
      </c>
      <c r="BC272">
        <v>4.9999999999999973</v>
      </c>
      <c r="BD272">
        <v>8.0000000000000071E-2</v>
      </c>
      <c r="BE272">
        <v>32</v>
      </c>
      <c r="BF272">
        <v>31</v>
      </c>
      <c r="BG272">
        <v>32</v>
      </c>
      <c r="BH272">
        <v>-5.9600000000000009</v>
      </c>
      <c r="BI272">
        <v>-23.2</v>
      </c>
      <c r="BJ272">
        <v>-2.04</v>
      </c>
      <c r="BK272">
        <v>27</v>
      </c>
      <c r="BL272">
        <v>27</v>
      </c>
      <c r="BM272">
        <v>27</v>
      </c>
      <c r="BN272">
        <v>-1.6799999999999997</v>
      </c>
      <c r="BO272">
        <v>27</v>
      </c>
      <c r="BP272">
        <v>-0.6</v>
      </c>
      <c r="BQ272">
        <v>-0.88000000000000045</v>
      </c>
      <c r="BR272">
        <v>7</v>
      </c>
      <c r="BS272">
        <v>11.25</v>
      </c>
      <c r="BT272">
        <v>7</v>
      </c>
      <c r="BU272">
        <v>4.4517621140186495E-2</v>
      </c>
      <c r="BV272">
        <v>17</v>
      </c>
      <c r="BW272">
        <v>-1.197444969262277E-3</v>
      </c>
      <c r="BX272">
        <v>18</v>
      </c>
      <c r="BY272">
        <v>3.9999999999992038E-3</v>
      </c>
      <c r="BZ272">
        <v>3</v>
      </c>
      <c r="CA272">
        <v>3.6800000000000006</v>
      </c>
      <c r="CB272">
        <v>1.5599999999999981</v>
      </c>
      <c r="CC272">
        <v>-6.3599999999999985</v>
      </c>
      <c r="CD272">
        <v>-0.99999999999999978</v>
      </c>
      <c r="CE272">
        <v>-9.1999999999999993</v>
      </c>
      <c r="CF272">
        <v>11.680000000000007</v>
      </c>
      <c r="CG272">
        <v>-22.920000000000005</v>
      </c>
      <c r="CH272">
        <v>-1.36</v>
      </c>
      <c r="CI272">
        <v>3.4000000000000008</v>
      </c>
      <c r="CJ272">
        <v>26</v>
      </c>
      <c r="CK272">
        <v>-5.9007999999999985</v>
      </c>
      <c r="CL272">
        <v>-2.9457599999999999</v>
      </c>
      <c r="CM272">
        <v>34.600000000000009</v>
      </c>
      <c r="CN272">
        <v>5.9007999999999985</v>
      </c>
      <c r="CO272">
        <v>-0.86635000000000006</v>
      </c>
      <c r="CP272">
        <v>1.194</v>
      </c>
      <c r="CQ272">
        <v>1.7100000000000044</v>
      </c>
      <c r="CR272">
        <v>2.7079999999999997</v>
      </c>
      <c r="CS272">
        <v>-17.88</v>
      </c>
      <c r="CT272">
        <v>1.23</v>
      </c>
      <c r="CU272">
        <v>3.28</v>
      </c>
      <c r="CV272">
        <v>0.9220624999999999</v>
      </c>
      <c r="CW272">
        <v>9.0774999999999689E-2</v>
      </c>
      <c r="CX272" t="s">
        <v>284</v>
      </c>
      <c r="CY272">
        <v>4</v>
      </c>
      <c r="CZ272">
        <v>3.6528000000000005</v>
      </c>
      <c r="DA272">
        <v>25</v>
      </c>
      <c r="DB272">
        <v>23.5</v>
      </c>
      <c r="DC272">
        <v>24</v>
      </c>
      <c r="DD272">
        <v>-1.2920000000000005</v>
      </c>
      <c r="DE272">
        <v>23</v>
      </c>
      <c r="DF272">
        <v>-4.7500000000000018</v>
      </c>
      <c r="DG272">
        <v>9.9999999999998753E-3</v>
      </c>
      <c r="DH272">
        <v>31</v>
      </c>
      <c r="DI272">
        <v>31</v>
      </c>
      <c r="DJ272">
        <v>31</v>
      </c>
      <c r="DK272">
        <v>-3.2459999999999996</v>
      </c>
      <c r="DL272">
        <v>31</v>
      </c>
      <c r="DM272">
        <v>-12.21</v>
      </c>
      <c r="DN272">
        <v>0.45</v>
      </c>
      <c r="DO272">
        <v>9</v>
      </c>
      <c r="DP272">
        <v>6</v>
      </c>
      <c r="DQ272">
        <v>6</v>
      </c>
      <c r="DR272">
        <v>5.5120000000000005</v>
      </c>
      <c r="DS272">
        <v>6</v>
      </c>
      <c r="DT272">
        <v>19.919999999999998</v>
      </c>
      <c r="DU272">
        <v>2.12</v>
      </c>
      <c r="DV272">
        <v>1</v>
      </c>
      <c r="DW272">
        <v>1.5</v>
      </c>
      <c r="DX272">
        <v>1</v>
      </c>
      <c r="DY272">
        <v>9.4160000000000004</v>
      </c>
      <c r="DZ272">
        <v>2</v>
      </c>
      <c r="EA272">
        <v>26.120000000000005</v>
      </c>
      <c r="EB272">
        <v>1.7600000000000002</v>
      </c>
      <c r="EC272">
        <v>8</v>
      </c>
      <c r="ED272">
        <v>12.5</v>
      </c>
      <c r="EE272">
        <v>17</v>
      </c>
      <c r="EF272">
        <v>-7.2000000000000244E-2</v>
      </c>
      <c r="EG272">
        <v>8</v>
      </c>
      <c r="EH272">
        <v>5.9599999999999991</v>
      </c>
      <c r="EI272">
        <v>3.9999999999999945E-2</v>
      </c>
      <c r="EJ272">
        <v>2</v>
      </c>
      <c r="EK272">
        <v>3.5</v>
      </c>
      <c r="EL272">
        <v>1</v>
      </c>
      <c r="EM272">
        <v>9.92</v>
      </c>
      <c r="EN272">
        <v>6</v>
      </c>
      <c r="EO272">
        <v>25.2</v>
      </c>
      <c r="EP272">
        <v>3.3200000000000003</v>
      </c>
      <c r="EQ272">
        <v>21</v>
      </c>
      <c r="ER272">
        <v>20.5</v>
      </c>
      <c r="ES272">
        <v>15</v>
      </c>
      <c r="ET272">
        <v>-0.184</v>
      </c>
      <c r="EU272">
        <v>26</v>
      </c>
      <c r="EV272">
        <v>-8.6400000000000023</v>
      </c>
      <c r="EW272">
        <v>-4.160000000000001</v>
      </c>
      <c r="EX272">
        <v>16</v>
      </c>
      <c r="EY272">
        <v>14</v>
      </c>
      <c r="EZ272">
        <v>13</v>
      </c>
      <c r="FA272">
        <v>0.23999999999999985</v>
      </c>
      <c r="FB272">
        <v>15</v>
      </c>
      <c r="FC272">
        <v>3.9999999999999945E-2</v>
      </c>
      <c r="FD272">
        <v>0.28000000000000008</v>
      </c>
      <c r="FE272">
        <v>10</v>
      </c>
      <c r="FF272">
        <v>13.25</v>
      </c>
      <c r="FG272">
        <v>9</v>
      </c>
      <c r="FH272">
        <v>2.7111846225719161E-2</v>
      </c>
      <c r="FI272">
        <v>26</v>
      </c>
      <c r="FJ272">
        <v>-1.2543018236525103E-2</v>
      </c>
      <c r="FK272">
        <v>6</v>
      </c>
      <c r="FL272">
        <v>-5.3680000000000039</v>
      </c>
      <c r="FM272">
        <v>12</v>
      </c>
      <c r="FN272">
        <v>0.76000000000000012</v>
      </c>
      <c r="FO272">
        <v>5.3600000000000012</v>
      </c>
      <c r="FP272">
        <v>-1.7599999999999998</v>
      </c>
      <c r="FQ272">
        <v>-1.1600000000000001</v>
      </c>
      <c r="FR272">
        <v>3</v>
      </c>
      <c r="FS272">
        <v>3.56</v>
      </c>
      <c r="FT272">
        <v>0.55999999999999983</v>
      </c>
      <c r="FU272">
        <v>11.880000000000006</v>
      </c>
      <c r="FV272">
        <v>30.520000000000003</v>
      </c>
      <c r="FW272">
        <v>-17.72</v>
      </c>
      <c r="FX272">
        <v>1.6</v>
      </c>
      <c r="FY272">
        <v>-2.52</v>
      </c>
      <c r="FZ272">
        <v>4</v>
      </c>
      <c r="GA272">
        <v>8.1907999999999994</v>
      </c>
      <c r="GB272">
        <v>5.9339600000000008</v>
      </c>
      <c r="GC272">
        <v>48.24</v>
      </c>
      <c r="GD272">
        <v>-8.1908000000000012</v>
      </c>
      <c r="GE272">
        <v>1.7533500000000002</v>
      </c>
      <c r="GF272">
        <v>14.856</v>
      </c>
      <c r="GG272">
        <v>52.000000000000007</v>
      </c>
      <c r="GH272">
        <v>-4.5380000000000003</v>
      </c>
      <c r="GI272">
        <v>-16.96</v>
      </c>
      <c r="GJ272">
        <v>-0.24000000000000066</v>
      </c>
      <c r="GK272">
        <v>0.45999999999999991</v>
      </c>
    </row>
    <row r="273" spans="1:193" x14ac:dyDescent="0.2">
      <c r="A273" s="39">
        <v>43800</v>
      </c>
      <c r="B273" s="22" t="s">
        <v>241</v>
      </c>
      <c r="C273" s="41" t="s">
        <v>288</v>
      </c>
      <c r="D273" s="22" t="s">
        <v>303</v>
      </c>
      <c r="E273">
        <v>10.1</v>
      </c>
      <c r="F273">
        <v>0</v>
      </c>
      <c r="G273">
        <v>0.9</v>
      </c>
      <c r="H273">
        <v>14</v>
      </c>
      <c r="I273">
        <v>-11.5</v>
      </c>
      <c r="J273">
        <v>49.5</v>
      </c>
      <c r="L273" s="1" t="s">
        <v>288</v>
      </c>
      <c r="M273">
        <v>9</v>
      </c>
      <c r="N273">
        <v>3.1288000000000014</v>
      </c>
      <c r="O273">
        <v>32</v>
      </c>
      <c r="P273">
        <v>30</v>
      </c>
      <c r="Q273">
        <v>28</v>
      </c>
      <c r="R273">
        <v>-1.6279999999999997</v>
      </c>
      <c r="S273">
        <v>32</v>
      </c>
      <c r="T273">
        <v>-13.440000000000001</v>
      </c>
      <c r="U273">
        <v>0</v>
      </c>
      <c r="V273">
        <v>17</v>
      </c>
      <c r="W273">
        <v>16.5</v>
      </c>
      <c r="X273">
        <v>19</v>
      </c>
      <c r="Y273">
        <v>-0.53599999999999981</v>
      </c>
      <c r="Z273">
        <v>14</v>
      </c>
      <c r="AA273">
        <v>4.0799999999999992</v>
      </c>
      <c r="AB273">
        <v>-1.2</v>
      </c>
      <c r="AC273">
        <v>8</v>
      </c>
      <c r="AD273">
        <v>7</v>
      </c>
      <c r="AE273">
        <v>6</v>
      </c>
      <c r="AF273">
        <v>2.4641999999999991</v>
      </c>
      <c r="AG273">
        <v>8</v>
      </c>
      <c r="AH273">
        <v>17.100000000000001</v>
      </c>
      <c r="AI273">
        <v>1.5299999999999998</v>
      </c>
      <c r="AJ273">
        <v>26</v>
      </c>
      <c r="AK273">
        <v>26.5</v>
      </c>
      <c r="AL273">
        <v>27</v>
      </c>
      <c r="AM273">
        <v>-3.7570000000000006</v>
      </c>
      <c r="AN273">
        <v>26</v>
      </c>
      <c r="AO273">
        <v>-19.589999999999996</v>
      </c>
      <c r="AP273">
        <v>-0.64</v>
      </c>
      <c r="AQ273">
        <v>9</v>
      </c>
      <c r="AR273">
        <v>9.5</v>
      </c>
      <c r="AS273">
        <v>11</v>
      </c>
      <c r="AT273">
        <v>0.62999999999999967</v>
      </c>
      <c r="AU273">
        <v>8</v>
      </c>
      <c r="AV273">
        <v>-2.04</v>
      </c>
      <c r="AW273">
        <v>-0.7</v>
      </c>
      <c r="AX273">
        <v>2</v>
      </c>
      <c r="AY273">
        <v>3.5</v>
      </c>
      <c r="AZ273">
        <v>4</v>
      </c>
      <c r="BA273">
        <v>6.6400000000000006</v>
      </c>
      <c r="BB273">
        <v>3</v>
      </c>
      <c r="BC273">
        <v>32.4</v>
      </c>
      <c r="BD273">
        <v>1.08</v>
      </c>
      <c r="BE273">
        <v>3</v>
      </c>
      <c r="BF273">
        <v>3.5</v>
      </c>
      <c r="BG273">
        <v>4</v>
      </c>
      <c r="BH273">
        <v>5.355999999999999</v>
      </c>
      <c r="BI273">
        <v>21.68</v>
      </c>
      <c r="BJ273">
        <v>1.3599999999999999</v>
      </c>
      <c r="BK273">
        <v>15</v>
      </c>
      <c r="BL273">
        <v>14.5</v>
      </c>
      <c r="BM273">
        <v>12</v>
      </c>
      <c r="BN273">
        <v>1.8400000000000003</v>
      </c>
      <c r="BO273">
        <v>17</v>
      </c>
      <c r="BP273">
        <v>-4.0000000000000126E-2</v>
      </c>
      <c r="BQ273">
        <v>1.8</v>
      </c>
      <c r="BR273">
        <v>29</v>
      </c>
      <c r="BS273">
        <v>25</v>
      </c>
      <c r="BT273">
        <v>26</v>
      </c>
      <c r="BU273">
        <v>-6.4993978365306654E-2</v>
      </c>
      <c r="BV273">
        <v>23</v>
      </c>
      <c r="BW273">
        <v>-1.3590842354220475E-2</v>
      </c>
      <c r="BX273">
        <v>25</v>
      </c>
      <c r="BY273">
        <v>6.2239999999999993</v>
      </c>
      <c r="BZ273">
        <v>26</v>
      </c>
      <c r="CA273">
        <v>-1.9599999999999997</v>
      </c>
      <c r="CB273">
        <v>-1.0400000000000005</v>
      </c>
      <c r="CC273">
        <v>5.08</v>
      </c>
      <c r="CD273">
        <v>0.56000000000000005</v>
      </c>
      <c r="CE273">
        <v>10.080000000000007</v>
      </c>
      <c r="CF273">
        <v>12.4</v>
      </c>
      <c r="CG273">
        <v>-10.960000000000003</v>
      </c>
      <c r="CH273">
        <v>3.72</v>
      </c>
      <c r="CI273">
        <v>4.919999999999999</v>
      </c>
      <c r="CJ273">
        <v>7</v>
      </c>
      <c r="CK273">
        <v>5.2928000000000006</v>
      </c>
      <c r="CL273">
        <v>2.6463999999999994</v>
      </c>
      <c r="CM273">
        <v>23.360000000000003</v>
      </c>
      <c r="CN273">
        <v>-5.2928000000000015</v>
      </c>
      <c r="CO273">
        <v>0.93724999999999992</v>
      </c>
      <c r="CP273">
        <v>-0.66280000000000183</v>
      </c>
      <c r="CQ273">
        <v>-4.5299999999999949</v>
      </c>
      <c r="CR273">
        <v>-2.1639999999999997</v>
      </c>
      <c r="CS273">
        <v>-9.360000000000003</v>
      </c>
      <c r="CT273">
        <v>1.5499999999999998</v>
      </c>
      <c r="CU273">
        <v>-1.2</v>
      </c>
      <c r="CV273">
        <v>9.1500000000000137E-2</v>
      </c>
      <c r="CW273">
        <v>0.58230000000000026</v>
      </c>
      <c r="CX273" t="s">
        <v>303</v>
      </c>
      <c r="CY273">
        <v>13</v>
      </c>
      <c r="CZ273">
        <v>2.1455999999999991</v>
      </c>
      <c r="DA273">
        <v>13</v>
      </c>
      <c r="DB273">
        <v>12</v>
      </c>
      <c r="DC273">
        <v>10</v>
      </c>
      <c r="DD273">
        <v>0.25600000000000128</v>
      </c>
      <c r="DE273">
        <v>14</v>
      </c>
      <c r="DF273">
        <v>-7.5200000000000014</v>
      </c>
      <c r="DG273">
        <v>-0.44000000000000006</v>
      </c>
      <c r="DH273">
        <v>6</v>
      </c>
      <c r="DI273">
        <v>8.5</v>
      </c>
      <c r="DJ273">
        <v>6</v>
      </c>
      <c r="DK273">
        <v>2.1519999999999992</v>
      </c>
      <c r="DL273">
        <v>11</v>
      </c>
      <c r="DM273">
        <v>5.36</v>
      </c>
      <c r="DN273">
        <v>-0.28000000000000008</v>
      </c>
      <c r="DO273">
        <v>18</v>
      </c>
      <c r="DP273">
        <v>25</v>
      </c>
      <c r="DQ273">
        <v>25</v>
      </c>
      <c r="DR273">
        <v>-3.7760000000000007</v>
      </c>
      <c r="DS273">
        <v>25</v>
      </c>
      <c r="DT273">
        <v>-16.720000000000002</v>
      </c>
      <c r="DU273">
        <v>-0.72</v>
      </c>
      <c r="DV273">
        <v>9</v>
      </c>
      <c r="DW273">
        <v>10</v>
      </c>
      <c r="DX273">
        <v>11</v>
      </c>
      <c r="DY273">
        <v>1.7720000000000007</v>
      </c>
      <c r="DZ273">
        <v>9</v>
      </c>
      <c r="EA273">
        <v>8.0400000000000009</v>
      </c>
      <c r="EB273">
        <v>-0.55999999999999994</v>
      </c>
      <c r="EC273">
        <v>25</v>
      </c>
      <c r="ED273">
        <v>32</v>
      </c>
      <c r="EE273">
        <v>32</v>
      </c>
      <c r="EF273">
        <v>-2.7079999999999997</v>
      </c>
      <c r="EG273">
        <v>32</v>
      </c>
      <c r="EH273">
        <v>-15.239999999999998</v>
      </c>
      <c r="EI273">
        <v>-0.6399999999999999</v>
      </c>
      <c r="EJ273">
        <v>31</v>
      </c>
      <c r="EK273">
        <v>31</v>
      </c>
      <c r="EL273">
        <v>31</v>
      </c>
      <c r="EM273">
        <v>-5.4760000000000009</v>
      </c>
      <c r="EN273">
        <v>31</v>
      </c>
      <c r="EO273">
        <v>-38.36</v>
      </c>
      <c r="EP273">
        <v>-1.8000000000000003</v>
      </c>
      <c r="EQ273">
        <v>22</v>
      </c>
      <c r="ER273">
        <v>23.5</v>
      </c>
      <c r="ES273">
        <v>26</v>
      </c>
      <c r="ET273">
        <v>-1.796</v>
      </c>
      <c r="EU273">
        <v>21</v>
      </c>
      <c r="EV273">
        <v>-5.0000000000000018</v>
      </c>
      <c r="EW273">
        <v>0.56000000000000028</v>
      </c>
      <c r="EX273">
        <v>27</v>
      </c>
      <c r="EY273">
        <v>25.5</v>
      </c>
      <c r="EZ273">
        <v>22</v>
      </c>
      <c r="FA273">
        <v>-1.2399999999999998</v>
      </c>
      <c r="FB273">
        <v>29</v>
      </c>
      <c r="FC273">
        <v>-0.76</v>
      </c>
      <c r="FD273">
        <v>3.9600000000000009</v>
      </c>
      <c r="FE273">
        <v>10</v>
      </c>
      <c r="FF273">
        <v>13.25</v>
      </c>
      <c r="FG273">
        <v>12</v>
      </c>
      <c r="FH273">
        <v>3.7147401616125842E-3</v>
      </c>
      <c r="FI273">
        <v>11</v>
      </c>
      <c r="FJ273">
        <v>6.6932740277190301E-3</v>
      </c>
      <c r="FK273">
        <v>12</v>
      </c>
      <c r="FL273">
        <v>-2.0840000000000019</v>
      </c>
      <c r="FM273">
        <v>18</v>
      </c>
      <c r="FN273">
        <v>-0.28000000000000008</v>
      </c>
      <c r="FO273">
        <v>-3.28</v>
      </c>
      <c r="FP273">
        <v>0.12000000000000029</v>
      </c>
      <c r="FQ273">
        <v>7.9999999999999891E-2</v>
      </c>
      <c r="FR273">
        <v>-2.7199999999999975</v>
      </c>
      <c r="FS273">
        <v>2.96</v>
      </c>
      <c r="FT273">
        <v>1.7999999999999996</v>
      </c>
      <c r="FU273">
        <v>-0.72000000000000453</v>
      </c>
      <c r="FV273">
        <v>-13.159999999999991</v>
      </c>
      <c r="FW273">
        <v>2.9200000000000017</v>
      </c>
      <c r="FX273">
        <v>4.5200000000000005</v>
      </c>
      <c r="FY273">
        <v>5.0000000000000009</v>
      </c>
      <c r="FZ273">
        <v>18</v>
      </c>
      <c r="GA273">
        <v>-0.26240000000000152</v>
      </c>
      <c r="GB273">
        <v>-2.0764800000000001</v>
      </c>
      <c r="GC273">
        <v>-16.079999999999991</v>
      </c>
      <c r="GD273">
        <v>0.2624000000000013</v>
      </c>
      <c r="GE273">
        <v>-0.39929999999999999</v>
      </c>
      <c r="GF273">
        <v>-4.7119999999999997</v>
      </c>
      <c r="GG273">
        <v>-23.92</v>
      </c>
      <c r="GH273">
        <v>2.4080000000000004</v>
      </c>
      <c r="GI273">
        <v>-2.160000000000001</v>
      </c>
      <c r="GJ273">
        <v>-1.3599999999999994</v>
      </c>
      <c r="GK273">
        <v>-0.7200000000000002</v>
      </c>
    </row>
    <row r="274" spans="1:193" x14ac:dyDescent="0.2">
      <c r="A274" s="39">
        <v>43800</v>
      </c>
      <c r="B274" s="22" t="s">
        <v>241</v>
      </c>
      <c r="C274" s="41" t="s">
        <v>303</v>
      </c>
      <c r="D274" s="22" t="s">
        <v>288</v>
      </c>
      <c r="E274">
        <v>1.9</v>
      </c>
      <c r="F274">
        <v>3.4</v>
      </c>
      <c r="G274">
        <v>2.1</v>
      </c>
      <c r="H274">
        <f>20+9+2.5</f>
        <v>31.5</v>
      </c>
      <c r="I274">
        <v>11.5</v>
      </c>
      <c r="J274">
        <v>49.5</v>
      </c>
      <c r="L274" s="1" t="s">
        <v>303</v>
      </c>
      <c r="M274">
        <v>30</v>
      </c>
      <c r="N274">
        <v>-4.8327999999999989</v>
      </c>
      <c r="O274">
        <v>7</v>
      </c>
      <c r="P274">
        <v>7.5</v>
      </c>
      <c r="Q274">
        <v>12</v>
      </c>
      <c r="R274">
        <v>0.97240000000000038</v>
      </c>
      <c r="S274">
        <v>3</v>
      </c>
      <c r="T274">
        <v>24.160000000000004</v>
      </c>
      <c r="U274">
        <v>-0.96000000000000019</v>
      </c>
      <c r="V274">
        <v>22</v>
      </c>
      <c r="W274">
        <v>19.5</v>
      </c>
      <c r="X274">
        <v>17</v>
      </c>
      <c r="Y274">
        <v>-0.52799999999999991</v>
      </c>
      <c r="Z274">
        <v>22</v>
      </c>
      <c r="AA274">
        <v>-8.3520000000000003</v>
      </c>
      <c r="AB274">
        <v>0.6399999999999999</v>
      </c>
      <c r="AC274">
        <v>30</v>
      </c>
      <c r="AD274">
        <v>30.5</v>
      </c>
      <c r="AE274">
        <v>31</v>
      </c>
      <c r="AF274">
        <v>-6.5039999999999996</v>
      </c>
      <c r="AG274">
        <v>30</v>
      </c>
      <c r="AH274">
        <v>-22.559999999999995</v>
      </c>
      <c r="AI274">
        <v>-2.3200000000000003</v>
      </c>
      <c r="AJ274">
        <v>24</v>
      </c>
      <c r="AK274">
        <v>23</v>
      </c>
      <c r="AL274">
        <v>22</v>
      </c>
      <c r="AM274">
        <v>-1.9680000000000006</v>
      </c>
      <c r="AN274">
        <v>24</v>
      </c>
      <c r="AO274">
        <v>-12.719999999999999</v>
      </c>
      <c r="AP274">
        <v>-0.6399999999999999</v>
      </c>
      <c r="AQ274">
        <v>25</v>
      </c>
      <c r="AR274">
        <v>25</v>
      </c>
      <c r="AS274">
        <v>25</v>
      </c>
      <c r="AT274">
        <v>-2.008</v>
      </c>
      <c r="AU274">
        <v>25</v>
      </c>
      <c r="AV274">
        <v>-10.199999999999999</v>
      </c>
      <c r="AW274">
        <v>-0.44000000000000006</v>
      </c>
      <c r="AX274">
        <v>24</v>
      </c>
      <c r="AY274">
        <v>25</v>
      </c>
      <c r="AZ274">
        <v>27</v>
      </c>
      <c r="BA274">
        <v>-3.9840000000000018</v>
      </c>
      <c r="BB274">
        <v>23</v>
      </c>
      <c r="BC274">
        <v>-9.4400000000000013</v>
      </c>
      <c r="BD274">
        <v>-1.5199999999999996</v>
      </c>
      <c r="BE274">
        <v>5</v>
      </c>
      <c r="BF274">
        <v>6</v>
      </c>
      <c r="BG274">
        <v>6</v>
      </c>
      <c r="BH274">
        <v>4.2479999999999993</v>
      </c>
      <c r="BI274">
        <v>19.279999999999998</v>
      </c>
      <c r="BJ274">
        <v>0.75999999999999968</v>
      </c>
      <c r="BK274">
        <v>19</v>
      </c>
      <c r="BL274">
        <v>19.5</v>
      </c>
      <c r="BM274">
        <v>26</v>
      </c>
      <c r="BN274">
        <v>-1.2799999999999998</v>
      </c>
      <c r="BO274">
        <v>13</v>
      </c>
      <c r="BP274">
        <v>0.15999999999999998</v>
      </c>
      <c r="BQ274">
        <v>-0.36000000000000015</v>
      </c>
      <c r="BR274">
        <v>19</v>
      </c>
      <c r="BS274">
        <v>17.25</v>
      </c>
      <c r="BT274">
        <v>14</v>
      </c>
      <c r="BU274">
        <v>1.6683900279687879E-2</v>
      </c>
      <c r="BV274">
        <v>21</v>
      </c>
      <c r="BW274">
        <v>-9.2494740612268679E-3</v>
      </c>
      <c r="BX274">
        <v>32</v>
      </c>
      <c r="BY274">
        <v>23.04</v>
      </c>
      <c r="BZ274">
        <v>2</v>
      </c>
      <c r="CA274">
        <v>3.9600000000000009</v>
      </c>
      <c r="CB274">
        <v>-0.4799999999999997</v>
      </c>
      <c r="CC274">
        <v>-4.76</v>
      </c>
      <c r="CD274">
        <v>-0.16000000000000006</v>
      </c>
      <c r="CE274">
        <v>-1.9199999999999933</v>
      </c>
      <c r="CF274">
        <v>-13.52</v>
      </c>
      <c r="CG274">
        <v>17.559999999999999</v>
      </c>
      <c r="CH274">
        <v>3.6399999999999997</v>
      </c>
      <c r="CI274">
        <v>-9.6</v>
      </c>
      <c r="CJ274">
        <v>25</v>
      </c>
      <c r="CK274">
        <v>-5.2771999999999997</v>
      </c>
      <c r="CL274">
        <v>-2.4351600000000002</v>
      </c>
      <c r="CM274">
        <v>-31.08</v>
      </c>
      <c r="CN274">
        <v>5.2771999999999997</v>
      </c>
      <c r="CO274">
        <v>-1.4875499999999997</v>
      </c>
      <c r="CP274">
        <v>-10.48</v>
      </c>
      <c r="CQ274">
        <v>-45.47999999999999</v>
      </c>
      <c r="CR274">
        <v>0.44440000000000046</v>
      </c>
      <c r="CS274">
        <v>15.808000000000003</v>
      </c>
      <c r="CT274">
        <v>-2.64</v>
      </c>
      <c r="CU274">
        <v>-0.32000000000000028</v>
      </c>
      <c r="CV274">
        <v>9.1500000000000137E-2</v>
      </c>
      <c r="CW274">
        <v>-0.39929999999999999</v>
      </c>
      <c r="CX274" t="s">
        <v>288</v>
      </c>
      <c r="CY274">
        <v>7</v>
      </c>
      <c r="CZ274">
        <v>2.3560000000000021</v>
      </c>
      <c r="DA274">
        <v>3</v>
      </c>
      <c r="DB274">
        <v>3</v>
      </c>
      <c r="DC274">
        <v>3</v>
      </c>
      <c r="DD274">
        <v>4.7824000000000009</v>
      </c>
      <c r="DE274">
        <v>3</v>
      </c>
      <c r="DF274">
        <v>18.639999999999997</v>
      </c>
      <c r="DG274">
        <v>0.96</v>
      </c>
      <c r="DH274">
        <v>20</v>
      </c>
      <c r="DI274">
        <v>17.5</v>
      </c>
      <c r="DJ274">
        <v>5</v>
      </c>
      <c r="DK274">
        <v>2.2799999999999998</v>
      </c>
      <c r="DL274">
        <v>30</v>
      </c>
      <c r="DM274">
        <v>-11.24</v>
      </c>
      <c r="DN274">
        <v>0.76</v>
      </c>
      <c r="DO274">
        <v>32</v>
      </c>
      <c r="DP274">
        <v>32</v>
      </c>
      <c r="DQ274">
        <v>32</v>
      </c>
      <c r="DR274">
        <v>-6.1599999999999993</v>
      </c>
      <c r="DS274">
        <v>32</v>
      </c>
      <c r="DT274">
        <v>-31.360000000000003</v>
      </c>
      <c r="DU274">
        <v>-1.44</v>
      </c>
      <c r="DV274">
        <v>24</v>
      </c>
      <c r="DW274">
        <v>25</v>
      </c>
      <c r="DX274">
        <v>23</v>
      </c>
      <c r="DY274">
        <v>-2.6679999999999993</v>
      </c>
      <c r="DZ274">
        <v>27</v>
      </c>
      <c r="EA274">
        <v>-12.36</v>
      </c>
      <c r="EB274">
        <v>-0.96000000000000019</v>
      </c>
      <c r="EC274">
        <v>13</v>
      </c>
      <c r="ED274">
        <v>12.5</v>
      </c>
      <c r="EE274">
        <v>12</v>
      </c>
      <c r="EF274">
        <v>0.58399999999999985</v>
      </c>
      <c r="EG274">
        <v>13</v>
      </c>
      <c r="EH274">
        <v>1.6</v>
      </c>
      <c r="EI274">
        <v>-0.15999999999999998</v>
      </c>
      <c r="EJ274">
        <v>12</v>
      </c>
      <c r="EK274">
        <v>12</v>
      </c>
      <c r="EL274">
        <v>8</v>
      </c>
      <c r="EM274">
        <v>3.3480000000000003</v>
      </c>
      <c r="EN274">
        <v>16</v>
      </c>
      <c r="EO274">
        <v>-0.11999999999999886</v>
      </c>
      <c r="EP274">
        <v>0.43999999999999984</v>
      </c>
      <c r="EQ274">
        <v>2</v>
      </c>
      <c r="ER274">
        <v>2</v>
      </c>
      <c r="ES274">
        <v>2</v>
      </c>
      <c r="ET274">
        <v>4.6839999999999993</v>
      </c>
      <c r="EU274">
        <v>2</v>
      </c>
      <c r="EV274">
        <v>18.399999999999999</v>
      </c>
      <c r="EW274">
        <v>2.5200000000000005</v>
      </c>
      <c r="EX274">
        <v>20</v>
      </c>
      <c r="EY274">
        <v>21</v>
      </c>
      <c r="EZ274">
        <v>25</v>
      </c>
      <c r="FA274">
        <v>-1.1999999999999997</v>
      </c>
      <c r="FB274">
        <v>17</v>
      </c>
      <c r="FC274">
        <v>-0.12000000000000002</v>
      </c>
      <c r="FD274">
        <v>-1.9599999999999997</v>
      </c>
      <c r="FE274">
        <v>2</v>
      </c>
      <c r="FF274">
        <v>7.25</v>
      </c>
      <c r="FG274">
        <v>4</v>
      </c>
      <c r="FH274">
        <v>6.7932592092711505E-2</v>
      </c>
      <c r="FI274">
        <v>13</v>
      </c>
      <c r="FJ274">
        <v>4.3741768634998068E-3</v>
      </c>
      <c r="FK274">
        <v>3</v>
      </c>
      <c r="FL274">
        <v>-12.372</v>
      </c>
      <c r="FM274">
        <v>9</v>
      </c>
      <c r="FN274">
        <v>1.8</v>
      </c>
      <c r="FO274">
        <v>2.7600000000000016</v>
      </c>
      <c r="FP274">
        <v>-1.44</v>
      </c>
      <c r="FQ274">
        <v>0.23999999999999991</v>
      </c>
      <c r="FR274">
        <v>1.6</v>
      </c>
      <c r="FS274">
        <v>-0.44000000000000056</v>
      </c>
      <c r="FT274">
        <v>0.28000000000000008</v>
      </c>
      <c r="FU274">
        <v>28.839999999999996</v>
      </c>
      <c r="FV274">
        <v>15.600000000000005</v>
      </c>
      <c r="FW274">
        <v>8.6</v>
      </c>
      <c r="FX274">
        <v>-1.8800000000000001</v>
      </c>
      <c r="FY274">
        <v>6.5199999999999987</v>
      </c>
      <c r="FZ274">
        <v>26</v>
      </c>
      <c r="GA274">
        <v>-4.7063999999999986</v>
      </c>
      <c r="GB274">
        <v>-3.7719999999999994</v>
      </c>
      <c r="GC274">
        <v>7.0000000000000053</v>
      </c>
      <c r="GD274">
        <v>4.7063999999999986</v>
      </c>
      <c r="GE274">
        <v>0.58230000000000026</v>
      </c>
      <c r="GF274">
        <v>-8.2439999999999998</v>
      </c>
      <c r="GG274">
        <v>-42.12</v>
      </c>
      <c r="GH274">
        <v>7.0624000000000002</v>
      </c>
      <c r="GI274">
        <v>7.3999999999999968</v>
      </c>
      <c r="GJ274">
        <v>-4.0000000000000036E-2</v>
      </c>
      <c r="GK274">
        <v>1.72</v>
      </c>
    </row>
    <row r="275" spans="1:193" x14ac:dyDescent="0.2">
      <c r="A275" s="39">
        <v>43800</v>
      </c>
      <c r="B275" s="22" t="s">
        <v>241</v>
      </c>
      <c r="C275" s="41" t="s">
        <v>287</v>
      </c>
      <c r="D275" s="22" t="s">
        <v>278</v>
      </c>
      <c r="E275">
        <v>18.8</v>
      </c>
      <c r="F275">
        <v>19.7</v>
      </c>
      <c r="G275">
        <v>1.8</v>
      </c>
      <c r="H275">
        <v>3</v>
      </c>
      <c r="I275">
        <v>-4.5</v>
      </c>
      <c r="J275">
        <v>39</v>
      </c>
      <c r="K275" t="s">
        <v>110</v>
      </c>
      <c r="L275" s="1" t="s">
        <v>287</v>
      </c>
      <c r="M275">
        <v>26</v>
      </c>
      <c r="N275">
        <v>-3.528</v>
      </c>
      <c r="O275">
        <v>17</v>
      </c>
      <c r="P275">
        <v>17</v>
      </c>
      <c r="Q275">
        <v>17</v>
      </c>
      <c r="R275">
        <v>3.6400000000000786E-2</v>
      </c>
      <c r="S275">
        <v>17</v>
      </c>
      <c r="T275">
        <v>2.9999999999999987</v>
      </c>
      <c r="U275">
        <v>-0.56000000000000005</v>
      </c>
      <c r="V275">
        <v>3</v>
      </c>
      <c r="W275">
        <v>4.5</v>
      </c>
      <c r="X275">
        <v>1</v>
      </c>
      <c r="Y275">
        <v>7.1079999999999997</v>
      </c>
      <c r="Z275">
        <v>8</v>
      </c>
      <c r="AA275">
        <v>5.5600000000000014</v>
      </c>
      <c r="AB275">
        <v>2.84</v>
      </c>
      <c r="AC275">
        <v>9</v>
      </c>
      <c r="AD275">
        <v>10</v>
      </c>
      <c r="AE275">
        <v>9</v>
      </c>
      <c r="AF275">
        <v>3.3800000000000012</v>
      </c>
      <c r="AG275">
        <v>11</v>
      </c>
      <c r="AH275">
        <v>7.5600000000000023</v>
      </c>
      <c r="AI275">
        <v>2.44</v>
      </c>
      <c r="AJ275">
        <v>5</v>
      </c>
      <c r="AK275">
        <v>5.5</v>
      </c>
      <c r="AL275">
        <v>10</v>
      </c>
      <c r="AM275">
        <v>1.5839999999999992</v>
      </c>
      <c r="AN275">
        <v>1</v>
      </c>
      <c r="AO275">
        <v>33.760000000000005</v>
      </c>
      <c r="AP275">
        <v>-0.91999999999999993</v>
      </c>
      <c r="AQ275">
        <v>28</v>
      </c>
      <c r="AR275">
        <v>28.5</v>
      </c>
      <c r="AS275">
        <v>30</v>
      </c>
      <c r="AT275">
        <v>-3.8879999999999995</v>
      </c>
      <c r="AU275">
        <v>27</v>
      </c>
      <c r="AV275">
        <v>-18.839999999999996</v>
      </c>
      <c r="AW275">
        <v>-1.52</v>
      </c>
      <c r="AX275">
        <v>10</v>
      </c>
      <c r="AY275">
        <v>11</v>
      </c>
      <c r="AZ275">
        <v>11</v>
      </c>
      <c r="BA275">
        <v>2.2839999999999998</v>
      </c>
      <c r="BB275">
        <v>11</v>
      </c>
      <c r="BC275">
        <v>9.6399999999999988</v>
      </c>
      <c r="BD275">
        <v>0.68</v>
      </c>
      <c r="BE275">
        <v>26</v>
      </c>
      <c r="BF275">
        <v>26.5</v>
      </c>
      <c r="BG275">
        <v>27</v>
      </c>
      <c r="BH275">
        <v>-3.2680000000000016</v>
      </c>
      <c r="BI275">
        <v>-11.48</v>
      </c>
      <c r="BJ275">
        <v>-0.6000000000000002</v>
      </c>
      <c r="BK275">
        <v>4</v>
      </c>
      <c r="BL275">
        <v>7</v>
      </c>
      <c r="BM275">
        <v>11</v>
      </c>
      <c r="BN275">
        <v>1.3599999999999999</v>
      </c>
      <c r="BO275">
        <v>3</v>
      </c>
      <c r="BP275">
        <v>0.91999999999999993</v>
      </c>
      <c r="BQ275">
        <v>-1.4800000000000002</v>
      </c>
      <c r="BR275">
        <v>10</v>
      </c>
      <c r="BS275">
        <v>12.75</v>
      </c>
      <c r="BT275">
        <v>24</v>
      </c>
      <c r="BU275">
        <v>-3.6876266192844724E-2</v>
      </c>
      <c r="BV275">
        <v>12</v>
      </c>
      <c r="BW275">
        <v>4.4126193681262001E-3</v>
      </c>
      <c r="BX275">
        <v>7</v>
      </c>
      <c r="BY275">
        <v>-5.3840000000000003</v>
      </c>
      <c r="BZ275">
        <v>8</v>
      </c>
      <c r="CA275">
        <v>2.0400000000000005</v>
      </c>
      <c r="CB275">
        <v>-0.95999999999999941</v>
      </c>
      <c r="CC275">
        <v>-0.43999999999999984</v>
      </c>
      <c r="CD275">
        <v>-0.83999999999999986</v>
      </c>
      <c r="CE275">
        <v>6.3200000000000047</v>
      </c>
      <c r="CF275">
        <v>15.400000000000006</v>
      </c>
      <c r="CG275">
        <v>4.8000000000000025</v>
      </c>
      <c r="CH275">
        <v>0.52000000000000013</v>
      </c>
      <c r="CI275">
        <v>-14.4</v>
      </c>
      <c r="CJ275">
        <v>32</v>
      </c>
      <c r="CK275">
        <v>-10.6724</v>
      </c>
      <c r="CL275">
        <v>-4.7162000000000006</v>
      </c>
      <c r="CM275">
        <v>10.600000000000003</v>
      </c>
      <c r="CN275">
        <v>10.6724</v>
      </c>
      <c r="CO275">
        <v>0.34804999999999992</v>
      </c>
      <c r="CP275">
        <v>1.076000000000001</v>
      </c>
      <c r="CQ275">
        <v>22.480000000000011</v>
      </c>
      <c r="CR275">
        <v>7.1444000000000001</v>
      </c>
      <c r="CS275">
        <v>8.56</v>
      </c>
      <c r="CT275">
        <v>-0.6000000000000002</v>
      </c>
      <c r="CU275">
        <v>2.2799999999999998</v>
      </c>
      <c r="CV275">
        <v>-0.50552499999999989</v>
      </c>
      <c r="CW275">
        <v>-1.0126000000000002</v>
      </c>
      <c r="CX275" t="s">
        <v>278</v>
      </c>
      <c r="CY275">
        <v>15</v>
      </c>
      <c r="CZ275">
        <v>2.4800000000001533E-2</v>
      </c>
      <c r="DA275">
        <v>28</v>
      </c>
      <c r="DB275">
        <v>24.5</v>
      </c>
      <c r="DC275">
        <v>25</v>
      </c>
      <c r="DD275">
        <v>-2.2475999999999994</v>
      </c>
      <c r="DE275">
        <v>24</v>
      </c>
      <c r="DF275">
        <v>-6.8800000000000043</v>
      </c>
      <c r="DG275">
        <v>-4.0000000000000077E-2</v>
      </c>
      <c r="DH275">
        <v>28</v>
      </c>
      <c r="DI275">
        <v>25.5</v>
      </c>
      <c r="DJ275">
        <v>28</v>
      </c>
      <c r="DK275">
        <v>-2.1920000000000006</v>
      </c>
      <c r="DL275">
        <v>23</v>
      </c>
      <c r="DM275">
        <v>-5.68</v>
      </c>
      <c r="DN275">
        <v>-1.2</v>
      </c>
      <c r="DO275">
        <v>14</v>
      </c>
      <c r="DP275">
        <v>8.5</v>
      </c>
      <c r="DQ275">
        <v>9</v>
      </c>
      <c r="DR275">
        <v>1.7872000000000003</v>
      </c>
      <c r="DS275">
        <v>8</v>
      </c>
      <c r="DT275">
        <v>10.999999999999998</v>
      </c>
      <c r="DU275">
        <v>-2.2399999999999998</v>
      </c>
      <c r="DV275">
        <v>17</v>
      </c>
      <c r="DW275">
        <v>16.5</v>
      </c>
      <c r="DX275">
        <v>14</v>
      </c>
      <c r="DY275">
        <v>0.24000000000000093</v>
      </c>
      <c r="DZ275">
        <v>19</v>
      </c>
      <c r="EA275">
        <v>-4.839999999999999</v>
      </c>
      <c r="EB275">
        <v>2.04</v>
      </c>
      <c r="EC275">
        <v>15</v>
      </c>
      <c r="ED275">
        <v>7.5</v>
      </c>
      <c r="EE275">
        <v>9</v>
      </c>
      <c r="EF275">
        <v>0.52800000000000014</v>
      </c>
      <c r="EG275">
        <v>6</v>
      </c>
      <c r="EH275">
        <v>7.2800000000000011</v>
      </c>
      <c r="EI275">
        <v>-0.1999999999999999</v>
      </c>
      <c r="EJ275">
        <v>30</v>
      </c>
      <c r="EK275">
        <v>28.5</v>
      </c>
      <c r="EL275">
        <v>28</v>
      </c>
      <c r="EM275">
        <v>-5.3280000000000012</v>
      </c>
      <c r="EN275">
        <v>29</v>
      </c>
      <c r="EO275">
        <v>-28.079999999999995</v>
      </c>
      <c r="EP275">
        <v>-2.5200000000000005</v>
      </c>
      <c r="EQ275">
        <v>6</v>
      </c>
      <c r="ER275">
        <v>8</v>
      </c>
      <c r="ES275">
        <v>9</v>
      </c>
      <c r="ET275">
        <v>0.31199999999999972</v>
      </c>
      <c r="EU275">
        <v>7</v>
      </c>
      <c r="EV275">
        <v>5.5199999999999978</v>
      </c>
      <c r="EW275">
        <v>-0.31999999999999973</v>
      </c>
      <c r="EX275">
        <v>9</v>
      </c>
      <c r="EY275">
        <v>9.5</v>
      </c>
      <c r="EZ275">
        <v>8</v>
      </c>
      <c r="FA275">
        <v>1.5600000000000003</v>
      </c>
      <c r="FB275">
        <v>11</v>
      </c>
      <c r="FC275">
        <v>0.31999999999999995</v>
      </c>
      <c r="FD275">
        <v>-1</v>
      </c>
      <c r="FE275">
        <v>12</v>
      </c>
      <c r="FF275">
        <v>14.5</v>
      </c>
      <c r="FG275">
        <v>25</v>
      </c>
      <c r="FH275">
        <v>-2.5615673163275166E-2</v>
      </c>
      <c r="FI275">
        <v>6</v>
      </c>
      <c r="FJ275">
        <v>2.0068736684871667E-2</v>
      </c>
      <c r="FK275">
        <v>10</v>
      </c>
      <c r="FL275">
        <v>-3.0720000000000001</v>
      </c>
      <c r="FM275">
        <v>17</v>
      </c>
      <c r="FN275">
        <v>-8.0000000000000071E-2</v>
      </c>
      <c r="FO275">
        <v>-1.5999999999999992</v>
      </c>
      <c r="FP275">
        <v>0.19999999999999929</v>
      </c>
      <c r="FQ275">
        <v>1.04</v>
      </c>
      <c r="FR275">
        <v>0.27999999999999969</v>
      </c>
      <c r="FS275">
        <v>-2.2800000000000002</v>
      </c>
      <c r="FT275">
        <v>-0.43999999999999995</v>
      </c>
      <c r="FU275">
        <v>4.5200000000000049</v>
      </c>
      <c r="FV275">
        <v>9.1199999999999992</v>
      </c>
      <c r="FW275">
        <v>-13.199999999999998</v>
      </c>
      <c r="FX275">
        <v>-2.9200000000000004</v>
      </c>
      <c r="FY275">
        <v>11.52</v>
      </c>
      <c r="FZ275">
        <v>7</v>
      </c>
      <c r="GA275">
        <v>4.4644000000000013</v>
      </c>
      <c r="GB275">
        <v>2.7982000000000005</v>
      </c>
      <c r="GC275">
        <v>22.319999999999997</v>
      </c>
      <c r="GD275">
        <v>-4.4644000000000021</v>
      </c>
      <c r="GE275">
        <v>1.5500000000004677E-3</v>
      </c>
      <c r="GF275">
        <v>2.5552000000000015</v>
      </c>
      <c r="GG275">
        <v>13.440000000000001</v>
      </c>
      <c r="GH275">
        <v>-4.4396000000000004</v>
      </c>
      <c r="GI275">
        <v>-12.560000000000004</v>
      </c>
      <c r="GJ275">
        <v>-0.71999999999999931</v>
      </c>
      <c r="GK275">
        <v>-1.24</v>
      </c>
    </row>
    <row r="276" spans="1:193" x14ac:dyDescent="0.2">
      <c r="A276" s="39">
        <v>43800</v>
      </c>
      <c r="B276" s="22" t="s">
        <v>241</v>
      </c>
      <c r="C276" s="41" t="s">
        <v>304</v>
      </c>
      <c r="D276" s="22" t="s">
        <v>285</v>
      </c>
      <c r="E276" s="14">
        <v>18.5</v>
      </c>
      <c r="F276">
        <v>33.200000000000003</v>
      </c>
      <c r="G276">
        <v>7.9</v>
      </c>
      <c r="H276">
        <v>26.7</v>
      </c>
      <c r="I276">
        <v>-2.5</v>
      </c>
      <c r="J276">
        <v>47</v>
      </c>
      <c r="K276" t="s">
        <v>109</v>
      </c>
      <c r="L276" s="1" t="s">
        <v>304</v>
      </c>
      <c r="M276">
        <v>25</v>
      </c>
      <c r="N276">
        <v>-3.3136000000000001</v>
      </c>
      <c r="O276">
        <v>12</v>
      </c>
      <c r="P276">
        <v>14.5</v>
      </c>
      <c r="Q276">
        <v>15</v>
      </c>
      <c r="R276">
        <v>-0.19199999999999964</v>
      </c>
      <c r="S276">
        <v>14</v>
      </c>
      <c r="T276">
        <v>-1.8800000000000012</v>
      </c>
      <c r="U276">
        <v>-0.39999999999999991</v>
      </c>
      <c r="V276">
        <v>21</v>
      </c>
      <c r="W276">
        <v>19</v>
      </c>
      <c r="X276">
        <v>21</v>
      </c>
      <c r="Y276">
        <v>-1.5640000000000001</v>
      </c>
      <c r="Z276">
        <v>17</v>
      </c>
      <c r="AA276">
        <v>0.87999999999999967</v>
      </c>
      <c r="AB276">
        <v>-1.2</v>
      </c>
      <c r="AC276">
        <v>12</v>
      </c>
      <c r="AD276">
        <v>13</v>
      </c>
      <c r="AE276">
        <v>13</v>
      </c>
      <c r="AF276">
        <v>-0.88799999999999957</v>
      </c>
      <c r="AG276">
        <v>13</v>
      </c>
      <c r="AH276">
        <v>-0.35999999999999943</v>
      </c>
      <c r="AI276">
        <v>-1.1599999999999999</v>
      </c>
      <c r="AJ276">
        <v>4</v>
      </c>
      <c r="AK276">
        <v>4.5</v>
      </c>
      <c r="AL276">
        <v>7</v>
      </c>
      <c r="AM276">
        <v>2.88</v>
      </c>
      <c r="AN276">
        <v>2</v>
      </c>
      <c r="AO276">
        <v>33.04</v>
      </c>
      <c r="AP276">
        <v>2</v>
      </c>
      <c r="AQ276">
        <v>8</v>
      </c>
      <c r="AR276">
        <v>8.5</v>
      </c>
      <c r="AS276">
        <v>8</v>
      </c>
      <c r="AT276">
        <v>1.8559999999999999</v>
      </c>
      <c r="AU276">
        <v>9</v>
      </c>
      <c r="AV276">
        <v>9.120000000000001</v>
      </c>
      <c r="AW276">
        <v>0.95999999999999974</v>
      </c>
      <c r="AX276">
        <v>5</v>
      </c>
      <c r="AY276">
        <v>5</v>
      </c>
      <c r="AZ276">
        <v>8</v>
      </c>
      <c r="BA276">
        <v>3.3360000000000012</v>
      </c>
      <c r="BB276">
        <v>2</v>
      </c>
      <c r="BC276">
        <v>34.56</v>
      </c>
      <c r="BD276">
        <v>-8.0000000000000071E-2</v>
      </c>
      <c r="BE276">
        <v>12</v>
      </c>
      <c r="BF276">
        <v>12.5</v>
      </c>
      <c r="BG276">
        <v>14</v>
      </c>
      <c r="BH276">
        <v>0.40399999999999991</v>
      </c>
      <c r="BI276">
        <v>8.639999999999997</v>
      </c>
      <c r="BJ276">
        <v>0.59999999999999964</v>
      </c>
      <c r="BK276">
        <v>16</v>
      </c>
      <c r="BL276">
        <v>15.5</v>
      </c>
      <c r="BM276">
        <v>18</v>
      </c>
      <c r="BN276">
        <v>0</v>
      </c>
      <c r="BO276">
        <v>13</v>
      </c>
      <c r="BP276">
        <v>7.9999999999999988E-2</v>
      </c>
      <c r="BQ276">
        <v>2.8400000000000007</v>
      </c>
      <c r="BR276">
        <v>23</v>
      </c>
      <c r="BS276">
        <v>20.5</v>
      </c>
      <c r="BT276">
        <v>32</v>
      </c>
      <c r="BU276">
        <v>-8.5004429442833082E-2</v>
      </c>
      <c r="BV276">
        <v>29</v>
      </c>
      <c r="BW276">
        <v>-2.7434284153857937E-2</v>
      </c>
      <c r="BX276">
        <v>8</v>
      </c>
      <c r="BY276">
        <v>-4.4800000000000013</v>
      </c>
      <c r="BZ276">
        <v>13</v>
      </c>
      <c r="CA276">
        <v>0.44000000000000006</v>
      </c>
      <c r="CB276">
        <v>-3.3599999999999994</v>
      </c>
      <c r="CC276">
        <v>-1.3199999999999998</v>
      </c>
      <c r="CD276">
        <v>1.64</v>
      </c>
      <c r="CE276">
        <v>14.119999999999994</v>
      </c>
      <c r="CF276">
        <v>30.440000000000005</v>
      </c>
      <c r="CG276">
        <v>-2.8799999999999981</v>
      </c>
      <c r="CH276">
        <v>-2.52</v>
      </c>
      <c r="CI276">
        <v>-10.920000000000002</v>
      </c>
      <c r="CJ276">
        <v>17</v>
      </c>
      <c r="CK276">
        <v>-1.5576000000000003</v>
      </c>
      <c r="CL276">
        <v>1.0656799999999997</v>
      </c>
      <c r="CM276">
        <v>33.32</v>
      </c>
      <c r="CN276">
        <v>1.5576000000000003</v>
      </c>
      <c r="CO276">
        <v>-0.10219999999999996</v>
      </c>
      <c r="CP276">
        <v>3.8480000000000003</v>
      </c>
      <c r="CQ276">
        <v>41.8</v>
      </c>
      <c r="CR276">
        <v>-1.7559999999999998</v>
      </c>
      <c r="CS276">
        <v>-1.0000000000000016</v>
      </c>
      <c r="CT276">
        <v>2.3999999999999995</v>
      </c>
      <c r="CU276">
        <v>-1.5999999999999999</v>
      </c>
      <c r="CV276">
        <v>1.6747624999999999</v>
      </c>
      <c r="CW276">
        <v>6.4524999999999944E-2</v>
      </c>
      <c r="CX276" t="s">
        <v>285</v>
      </c>
      <c r="CY276">
        <v>1</v>
      </c>
      <c r="CZ276">
        <v>10.772000000000002</v>
      </c>
      <c r="DA276">
        <v>16</v>
      </c>
      <c r="DB276">
        <v>16.5</v>
      </c>
      <c r="DC276">
        <v>12</v>
      </c>
      <c r="DD276">
        <v>1.4520000000000006</v>
      </c>
      <c r="DE276">
        <v>21</v>
      </c>
      <c r="DF276">
        <v>-3.12</v>
      </c>
      <c r="DG276">
        <v>1.0399999999999998</v>
      </c>
      <c r="DH276">
        <v>11</v>
      </c>
      <c r="DI276">
        <v>14</v>
      </c>
      <c r="DJ276">
        <v>23</v>
      </c>
      <c r="DK276">
        <v>-1.3479999999999992</v>
      </c>
      <c r="DL276">
        <v>5</v>
      </c>
      <c r="DM276">
        <v>7.7199999999999989</v>
      </c>
      <c r="DN276">
        <v>-4.0000000000000077E-2</v>
      </c>
      <c r="DO276">
        <v>8</v>
      </c>
      <c r="DP276">
        <v>7</v>
      </c>
      <c r="DQ276">
        <v>7</v>
      </c>
      <c r="DR276">
        <v>4.9679999999999982</v>
      </c>
      <c r="DS276">
        <v>7</v>
      </c>
      <c r="DT276">
        <v>12.320000000000002</v>
      </c>
      <c r="DU276">
        <v>0.76</v>
      </c>
      <c r="DV276">
        <v>1</v>
      </c>
      <c r="DW276">
        <v>1.5</v>
      </c>
      <c r="DX276">
        <v>2</v>
      </c>
      <c r="DY276">
        <v>7.1239999999999997</v>
      </c>
      <c r="DZ276">
        <v>1</v>
      </c>
      <c r="EA276">
        <v>29.6</v>
      </c>
      <c r="EB276">
        <v>2.4400000000000004</v>
      </c>
      <c r="EC276">
        <v>4</v>
      </c>
      <c r="ED276">
        <v>5.5</v>
      </c>
      <c r="EE276">
        <v>4</v>
      </c>
      <c r="EF276">
        <v>1.1159999999999999</v>
      </c>
      <c r="EG276">
        <v>7</v>
      </c>
      <c r="EH276">
        <v>6.2800000000000011</v>
      </c>
      <c r="EI276">
        <v>-1.08</v>
      </c>
      <c r="EJ276">
        <v>1</v>
      </c>
      <c r="EK276">
        <v>1.5</v>
      </c>
      <c r="EL276">
        <v>2</v>
      </c>
      <c r="EM276">
        <v>8.36</v>
      </c>
      <c r="EN276">
        <v>1</v>
      </c>
      <c r="EO276">
        <v>41.599999999999994</v>
      </c>
      <c r="EP276">
        <v>3.12</v>
      </c>
      <c r="EQ276">
        <v>5</v>
      </c>
      <c r="ER276">
        <v>6</v>
      </c>
      <c r="ES276">
        <v>4</v>
      </c>
      <c r="ET276">
        <v>2.9959999999999996</v>
      </c>
      <c r="EU276">
        <v>8</v>
      </c>
      <c r="EV276">
        <v>3.72</v>
      </c>
      <c r="EW276">
        <v>-3.16</v>
      </c>
      <c r="EX276">
        <v>19</v>
      </c>
      <c r="EY276">
        <v>20.5</v>
      </c>
      <c r="EZ276">
        <v>19</v>
      </c>
      <c r="FA276">
        <v>-0.8</v>
      </c>
      <c r="FB276">
        <v>22</v>
      </c>
      <c r="FC276">
        <v>-0.48000000000000009</v>
      </c>
      <c r="FD276">
        <v>0.36000000000000015</v>
      </c>
      <c r="FE276">
        <v>26</v>
      </c>
      <c r="FF276">
        <v>22</v>
      </c>
      <c r="FG276">
        <v>5</v>
      </c>
      <c r="FH276">
        <v>5.741172916876254E-2</v>
      </c>
      <c r="FI276">
        <v>31</v>
      </c>
      <c r="FJ276">
        <v>-2.5969953460242889E-2</v>
      </c>
      <c r="FK276">
        <v>20</v>
      </c>
      <c r="FL276">
        <v>1.1240000000000065</v>
      </c>
      <c r="FM276">
        <v>32</v>
      </c>
      <c r="FN276">
        <v>-4.4799999999999995</v>
      </c>
      <c r="FO276">
        <v>6.4800000000000022</v>
      </c>
      <c r="FP276">
        <v>2.0799999999999996</v>
      </c>
      <c r="FQ276">
        <v>-0.40000000000000008</v>
      </c>
      <c r="FR276">
        <v>6.8</v>
      </c>
      <c r="FS276">
        <v>6.16</v>
      </c>
      <c r="FT276">
        <v>0.20000000000000009</v>
      </c>
      <c r="FU276">
        <v>81.160000000000011</v>
      </c>
      <c r="FV276">
        <v>83.880000000000024</v>
      </c>
      <c r="FW276">
        <v>1.4400000000000006</v>
      </c>
      <c r="FX276">
        <v>-3.28</v>
      </c>
      <c r="FY276">
        <v>-0.88000000000000012</v>
      </c>
      <c r="FZ276">
        <v>1</v>
      </c>
      <c r="GA276">
        <v>10.668000000000001</v>
      </c>
      <c r="GB276">
        <v>5.3431999999999995</v>
      </c>
      <c r="GC276">
        <v>82.440000000000026</v>
      </c>
      <c r="GD276">
        <v>-10.668000000000001</v>
      </c>
      <c r="GE276">
        <v>3.2849999999999997</v>
      </c>
      <c r="GF276">
        <v>13.207999999999998</v>
      </c>
      <c r="GG276">
        <v>48.2</v>
      </c>
      <c r="GH276">
        <v>0.10400000000000142</v>
      </c>
      <c r="GI276">
        <v>4.5999999999999988</v>
      </c>
      <c r="GJ276">
        <v>-1.04</v>
      </c>
      <c r="GK276">
        <v>0.99999999999999978</v>
      </c>
    </row>
    <row r="277" spans="1:193" x14ac:dyDescent="0.2">
      <c r="A277" s="39">
        <v>43800</v>
      </c>
      <c r="B277" s="22" t="s">
        <v>241</v>
      </c>
      <c r="C277" s="41" t="s">
        <v>293</v>
      </c>
      <c r="D277" s="22" t="s">
        <v>294</v>
      </c>
      <c r="E277">
        <v>37.9</v>
      </c>
      <c r="F277">
        <v>11.3</v>
      </c>
      <c r="G277">
        <v>6.3</v>
      </c>
      <c r="H277">
        <f>18.9+3.3</f>
        <v>22.2</v>
      </c>
      <c r="I277">
        <v>10.5</v>
      </c>
      <c r="J277">
        <v>45</v>
      </c>
      <c r="L277" s="1" t="s">
        <v>293</v>
      </c>
      <c r="M277">
        <v>3</v>
      </c>
      <c r="N277">
        <v>5.5136000000000003</v>
      </c>
      <c r="O277">
        <v>31</v>
      </c>
      <c r="P277">
        <v>29</v>
      </c>
      <c r="Q277">
        <v>27</v>
      </c>
      <c r="R277">
        <v>-3.4920000000000018</v>
      </c>
      <c r="S277">
        <v>31</v>
      </c>
      <c r="T277">
        <v>-26.360000000000003</v>
      </c>
      <c r="U277">
        <v>-0.27999999999999997</v>
      </c>
      <c r="V277">
        <v>26</v>
      </c>
      <c r="W277">
        <v>24.5</v>
      </c>
      <c r="X277">
        <v>23</v>
      </c>
      <c r="Y277">
        <v>-0.85200000000000009</v>
      </c>
      <c r="Z277">
        <v>26</v>
      </c>
      <c r="AA277">
        <v>-8.7199999999999989</v>
      </c>
      <c r="AB277">
        <v>-0.31999999999999995</v>
      </c>
      <c r="AC277">
        <v>1</v>
      </c>
      <c r="AD277">
        <v>1.5</v>
      </c>
      <c r="AE277">
        <v>2</v>
      </c>
      <c r="AF277">
        <v>8.2680000000000007</v>
      </c>
      <c r="AG277">
        <v>1</v>
      </c>
      <c r="AH277">
        <v>38.17</v>
      </c>
      <c r="AI277">
        <v>1.5</v>
      </c>
      <c r="AJ277">
        <v>18</v>
      </c>
      <c r="AK277">
        <v>18.5</v>
      </c>
      <c r="AL277">
        <v>18</v>
      </c>
      <c r="AM277">
        <v>-0.66000000000000048</v>
      </c>
      <c r="AN277">
        <v>19</v>
      </c>
      <c r="AO277">
        <v>-9.3599999999999977</v>
      </c>
      <c r="AP277">
        <v>-0.64</v>
      </c>
      <c r="AQ277">
        <v>5</v>
      </c>
      <c r="AR277">
        <v>5.5</v>
      </c>
      <c r="AS277">
        <v>4</v>
      </c>
      <c r="AT277">
        <v>3.2519999999999998</v>
      </c>
      <c r="AU277">
        <v>7</v>
      </c>
      <c r="AV277">
        <v>10.84</v>
      </c>
      <c r="AW277">
        <v>1.44</v>
      </c>
      <c r="AX277">
        <v>1</v>
      </c>
      <c r="AY277">
        <v>1</v>
      </c>
      <c r="AZ277">
        <v>1</v>
      </c>
      <c r="BA277">
        <v>10.512</v>
      </c>
      <c r="BB277">
        <v>1</v>
      </c>
      <c r="BC277">
        <v>35.92</v>
      </c>
      <c r="BD277">
        <v>5.3600000000000012</v>
      </c>
      <c r="BE277">
        <v>10</v>
      </c>
      <c r="BF277">
        <v>11</v>
      </c>
      <c r="BG277">
        <v>12</v>
      </c>
      <c r="BH277">
        <v>2.7</v>
      </c>
      <c r="BI277">
        <v>12.6</v>
      </c>
      <c r="BJ277">
        <v>1.64</v>
      </c>
      <c r="BK277">
        <v>13</v>
      </c>
      <c r="BL277">
        <v>12</v>
      </c>
      <c r="BM277">
        <v>3</v>
      </c>
      <c r="BN277">
        <v>2.2159999999999997</v>
      </c>
      <c r="BO277">
        <v>21</v>
      </c>
      <c r="BP277">
        <v>-0.24000000000000007</v>
      </c>
      <c r="BQ277">
        <v>-1.8399999999999999</v>
      </c>
      <c r="BR277">
        <v>16</v>
      </c>
      <c r="BS277">
        <v>14.5</v>
      </c>
      <c r="BT277">
        <v>12</v>
      </c>
      <c r="BU277">
        <v>2.6271949346686814E-2</v>
      </c>
      <c r="BV277">
        <v>10</v>
      </c>
      <c r="BW277">
        <v>5.5679443149534626E-3</v>
      </c>
      <c r="BX277">
        <v>14</v>
      </c>
      <c r="BY277">
        <v>-1.231999999999998</v>
      </c>
      <c r="BZ277">
        <v>22</v>
      </c>
      <c r="CA277">
        <v>-1.56</v>
      </c>
      <c r="CB277">
        <v>4.1599999999999993</v>
      </c>
      <c r="CC277">
        <v>5.64</v>
      </c>
      <c r="CD277">
        <v>0.72</v>
      </c>
      <c r="CE277">
        <v>21</v>
      </c>
      <c r="CF277">
        <v>45.440000000000005</v>
      </c>
      <c r="CG277">
        <v>-32.32</v>
      </c>
      <c r="CH277">
        <v>5.2</v>
      </c>
      <c r="CI277">
        <v>2.6799999999999997</v>
      </c>
      <c r="CJ277">
        <v>1</v>
      </c>
      <c r="CK277">
        <v>9.8576000000000015</v>
      </c>
      <c r="CL277">
        <v>5.9867200000000009</v>
      </c>
      <c r="CM277">
        <v>77.760000000000005</v>
      </c>
      <c r="CN277">
        <v>-9.8576000000000015</v>
      </c>
      <c r="CO277">
        <v>2.1181999999999999</v>
      </c>
      <c r="CP277">
        <v>10.86</v>
      </c>
      <c r="CQ277">
        <v>39.650000000000006</v>
      </c>
      <c r="CR277">
        <v>-4.3440000000000021</v>
      </c>
      <c r="CS277">
        <v>-35.08</v>
      </c>
      <c r="CT277">
        <v>3.9399999999999995</v>
      </c>
      <c r="CU277">
        <v>-0.59999999999999987</v>
      </c>
      <c r="CV277">
        <v>0.35110000000000019</v>
      </c>
      <c r="CW277">
        <v>2.2844000000000002</v>
      </c>
      <c r="CX277" t="s">
        <v>294</v>
      </c>
      <c r="CY277">
        <v>30</v>
      </c>
      <c r="CZ277">
        <v>-4.9687999999999981</v>
      </c>
      <c r="DA277">
        <v>18</v>
      </c>
      <c r="DB277">
        <v>19.5</v>
      </c>
      <c r="DC277">
        <v>7</v>
      </c>
      <c r="DD277">
        <v>2.3880000000000008</v>
      </c>
      <c r="DE277">
        <v>32</v>
      </c>
      <c r="DF277">
        <v>-30.4</v>
      </c>
      <c r="DG277">
        <v>1.72</v>
      </c>
      <c r="DH277">
        <v>5</v>
      </c>
      <c r="DI277">
        <v>8</v>
      </c>
      <c r="DJ277">
        <v>13</v>
      </c>
      <c r="DK277">
        <v>1.9999999999999751E-2</v>
      </c>
      <c r="DL277">
        <v>3</v>
      </c>
      <c r="DM277">
        <v>14.080000000000002</v>
      </c>
      <c r="DN277">
        <v>-0.32000000000000006</v>
      </c>
      <c r="DO277">
        <v>30</v>
      </c>
      <c r="DP277">
        <v>24</v>
      </c>
      <c r="DQ277">
        <v>24</v>
      </c>
      <c r="DR277">
        <v>-3.8808000000000007</v>
      </c>
      <c r="DS277">
        <v>24</v>
      </c>
      <c r="DT277">
        <v>-15.6</v>
      </c>
      <c r="DU277">
        <v>-1.8</v>
      </c>
      <c r="DV277">
        <v>31</v>
      </c>
      <c r="DW277">
        <v>30.5</v>
      </c>
      <c r="DX277">
        <v>30</v>
      </c>
      <c r="DY277">
        <v>-4.6319999999999997</v>
      </c>
      <c r="DZ277">
        <v>31</v>
      </c>
      <c r="EA277">
        <v>-22.720000000000002</v>
      </c>
      <c r="EB277">
        <v>-2.12</v>
      </c>
      <c r="EC277">
        <v>29</v>
      </c>
      <c r="ED277">
        <v>20</v>
      </c>
      <c r="EE277">
        <v>18</v>
      </c>
      <c r="EF277">
        <v>-0.35599999999999976</v>
      </c>
      <c r="EG277">
        <v>22</v>
      </c>
      <c r="EH277">
        <v>-4.5599999999999996</v>
      </c>
      <c r="EI277">
        <v>-1.2</v>
      </c>
      <c r="EJ277">
        <v>32</v>
      </c>
      <c r="EK277">
        <v>32</v>
      </c>
      <c r="EL277">
        <v>32</v>
      </c>
      <c r="EM277">
        <v>-8.6120000000000001</v>
      </c>
      <c r="EN277">
        <v>32</v>
      </c>
      <c r="EO277">
        <v>-43.72</v>
      </c>
      <c r="EP277">
        <v>-2.6399999999999997</v>
      </c>
      <c r="EQ277">
        <v>8</v>
      </c>
      <c r="ER277">
        <v>8.5</v>
      </c>
      <c r="ES277">
        <v>12</v>
      </c>
      <c r="ET277">
        <v>0.15599999999999969</v>
      </c>
      <c r="EU277">
        <v>5</v>
      </c>
      <c r="EV277">
        <v>7.56</v>
      </c>
      <c r="EW277">
        <v>0.88000000000000012</v>
      </c>
      <c r="EX277">
        <v>31</v>
      </c>
      <c r="EY277">
        <v>28.5</v>
      </c>
      <c r="EZ277">
        <v>26</v>
      </c>
      <c r="FA277">
        <v>-1.3840000000000003</v>
      </c>
      <c r="FB277">
        <v>31</v>
      </c>
      <c r="FC277">
        <v>-0.76</v>
      </c>
      <c r="FD277">
        <v>1.7763568394002506E-16</v>
      </c>
      <c r="FE277">
        <v>4</v>
      </c>
      <c r="FF277">
        <v>8.75</v>
      </c>
      <c r="FG277">
        <v>3</v>
      </c>
      <c r="FH277">
        <v>6.8284932758726116E-2</v>
      </c>
      <c r="FI277">
        <v>4</v>
      </c>
      <c r="FJ277">
        <v>2.3489460581433919E-2</v>
      </c>
      <c r="FK277">
        <v>14</v>
      </c>
      <c r="FL277">
        <v>-1.6559999999999959</v>
      </c>
      <c r="FM277">
        <v>14</v>
      </c>
      <c r="FN277">
        <v>0.4</v>
      </c>
      <c r="FO277">
        <v>-1.6400000000000006</v>
      </c>
      <c r="FP277">
        <v>-5.3599999999999994</v>
      </c>
      <c r="FQ277">
        <v>-0.48000000000000009</v>
      </c>
      <c r="FR277">
        <v>-6.68</v>
      </c>
      <c r="FS277">
        <v>-2.4799999999999995</v>
      </c>
      <c r="FT277">
        <v>-1</v>
      </c>
      <c r="FU277">
        <v>-43.56</v>
      </c>
      <c r="FV277">
        <v>-28.119999999999997</v>
      </c>
      <c r="FW277">
        <v>-18.32</v>
      </c>
      <c r="FX277">
        <v>5.0400000000000009</v>
      </c>
      <c r="FY277">
        <v>-2.16</v>
      </c>
      <c r="FZ277">
        <v>31</v>
      </c>
      <c r="GA277">
        <v>-7.3767999999999985</v>
      </c>
      <c r="GB277">
        <v>-3.9403200000000003</v>
      </c>
      <c r="GC277">
        <v>-9.7999999999999972</v>
      </c>
      <c r="GD277">
        <v>7.3767999999999985</v>
      </c>
      <c r="GE277">
        <v>-1.5821999999999998</v>
      </c>
      <c r="GF277">
        <v>-8.8688000000000002</v>
      </c>
      <c r="GG277">
        <v>-42.88</v>
      </c>
      <c r="GH277">
        <v>2.4080000000000004</v>
      </c>
      <c r="GI277">
        <v>-16.319999999999997</v>
      </c>
      <c r="GJ277">
        <v>-4.24</v>
      </c>
      <c r="GK277">
        <v>1.4</v>
      </c>
    </row>
    <row r="278" spans="1:193" x14ac:dyDescent="0.2">
      <c r="A278" s="39">
        <v>43800</v>
      </c>
      <c r="B278" s="22" t="s">
        <v>241</v>
      </c>
      <c r="C278" s="41" t="s">
        <v>312</v>
      </c>
      <c r="D278" s="22" t="s">
        <v>308</v>
      </c>
      <c r="E278" s="3">
        <v>9.1999999999999993</v>
      </c>
      <c r="F278">
        <v>12.8</v>
      </c>
      <c r="G278">
        <v>1.1000000000000001</v>
      </c>
      <c r="H278">
        <f>15+2.8+1.6</f>
        <v>19.400000000000002</v>
      </c>
      <c r="I278">
        <v>2.5</v>
      </c>
      <c r="J278">
        <v>48</v>
      </c>
      <c r="L278" s="1" t="s">
        <v>312</v>
      </c>
      <c r="M278">
        <v>16</v>
      </c>
      <c r="N278">
        <v>0.23520000000000074</v>
      </c>
      <c r="O278">
        <v>12</v>
      </c>
      <c r="P278">
        <v>14.5</v>
      </c>
      <c r="Q278">
        <v>7</v>
      </c>
      <c r="R278">
        <v>3.3664000000000001</v>
      </c>
      <c r="S278">
        <v>22</v>
      </c>
      <c r="T278">
        <v>-9.0399999999999974</v>
      </c>
      <c r="U278">
        <v>1.8399999999999999</v>
      </c>
      <c r="V278">
        <v>5</v>
      </c>
      <c r="W278">
        <v>8</v>
      </c>
      <c r="X278">
        <v>13</v>
      </c>
      <c r="Y278">
        <v>0.59200000000000019</v>
      </c>
      <c r="Z278">
        <v>3</v>
      </c>
      <c r="AA278">
        <v>15</v>
      </c>
      <c r="AB278">
        <v>0.43999999999999984</v>
      </c>
      <c r="AC278">
        <v>16</v>
      </c>
      <c r="AD278">
        <v>17</v>
      </c>
      <c r="AE278">
        <v>18</v>
      </c>
      <c r="AF278">
        <v>-0.79080000000000017</v>
      </c>
      <c r="AG278">
        <v>16</v>
      </c>
      <c r="AH278">
        <v>-1.4099999999999995</v>
      </c>
      <c r="AI278">
        <v>-0.65999999999999992</v>
      </c>
      <c r="AJ278">
        <v>23</v>
      </c>
      <c r="AK278">
        <v>22</v>
      </c>
      <c r="AL278">
        <v>26</v>
      </c>
      <c r="AM278">
        <v>-3.4790000000000001</v>
      </c>
      <c r="AN278">
        <v>18</v>
      </c>
      <c r="AO278">
        <v>-6.1099999999999994</v>
      </c>
      <c r="AP278">
        <v>-1.3</v>
      </c>
      <c r="AQ278">
        <v>27</v>
      </c>
      <c r="AR278">
        <v>28</v>
      </c>
      <c r="AS278">
        <v>27</v>
      </c>
      <c r="AT278">
        <v>-3.141</v>
      </c>
      <c r="AU278">
        <v>29</v>
      </c>
      <c r="AV278">
        <v>-19.330000000000002</v>
      </c>
      <c r="AW278">
        <v>-2.04</v>
      </c>
      <c r="AX278">
        <v>29</v>
      </c>
      <c r="AY278">
        <v>29</v>
      </c>
      <c r="AZ278">
        <v>29</v>
      </c>
      <c r="BA278">
        <v>-7.3960000000000008</v>
      </c>
      <c r="BB278">
        <v>29</v>
      </c>
      <c r="BC278">
        <v>-32.36</v>
      </c>
      <c r="BD278">
        <v>-4.2</v>
      </c>
      <c r="BE278">
        <v>5</v>
      </c>
      <c r="BF278">
        <v>6</v>
      </c>
      <c r="BG278">
        <v>3</v>
      </c>
      <c r="BH278">
        <v>7.0280000000000005</v>
      </c>
      <c r="BI278">
        <v>12.027200000000001</v>
      </c>
      <c r="BJ278">
        <v>2.44</v>
      </c>
      <c r="BK278">
        <v>26</v>
      </c>
      <c r="BL278">
        <v>25</v>
      </c>
      <c r="BM278">
        <v>21</v>
      </c>
      <c r="BN278">
        <v>-0.11999999999999958</v>
      </c>
      <c r="BO278">
        <v>29</v>
      </c>
      <c r="BP278">
        <v>-0.68</v>
      </c>
      <c r="BQ278">
        <v>0.24000000000000021</v>
      </c>
      <c r="BR278">
        <v>28</v>
      </c>
      <c r="BS278">
        <v>24.5</v>
      </c>
      <c r="BT278">
        <v>22</v>
      </c>
      <c r="BU278">
        <v>-2.3518700930387999E-2</v>
      </c>
      <c r="BV278">
        <v>27</v>
      </c>
      <c r="BW278">
        <v>-2.2740671519998597E-2</v>
      </c>
      <c r="BX278">
        <v>22</v>
      </c>
      <c r="BY278">
        <v>1.656000000000003</v>
      </c>
      <c r="BZ278">
        <v>27</v>
      </c>
      <c r="CA278">
        <v>-3.72</v>
      </c>
      <c r="CB278">
        <v>-3.1599999999999966</v>
      </c>
      <c r="CC278">
        <v>2.7600000000000002</v>
      </c>
      <c r="CD278">
        <v>0.56000000000000005</v>
      </c>
      <c r="CE278">
        <v>-4.0399999999999974</v>
      </c>
      <c r="CF278">
        <v>8.6800000000000015</v>
      </c>
      <c r="CG278">
        <v>-1.1199999999999961</v>
      </c>
      <c r="CH278">
        <v>4.7200000000000006</v>
      </c>
      <c r="CI278">
        <v>-16.32</v>
      </c>
      <c r="CJ278">
        <v>20</v>
      </c>
      <c r="CK278">
        <v>-3.7231999999999994</v>
      </c>
      <c r="CL278">
        <v>-2.0087199999999998</v>
      </c>
      <c r="CM278">
        <v>9.7999999999999972</v>
      </c>
      <c r="CN278">
        <v>3.7231999999999994</v>
      </c>
      <c r="CO278">
        <v>0.4613500000000002</v>
      </c>
      <c r="CP278">
        <v>-7.4108000000000001</v>
      </c>
      <c r="CQ278">
        <v>-26.85</v>
      </c>
      <c r="CR278">
        <v>3.9584000000000001</v>
      </c>
      <c r="CS278">
        <v>5.9600000000000026</v>
      </c>
      <c r="CT278">
        <v>-1.56</v>
      </c>
      <c r="CU278">
        <v>2.2799999999999998</v>
      </c>
      <c r="CV278">
        <v>0.98753750000000018</v>
      </c>
      <c r="CW278">
        <v>1.0906000000000002</v>
      </c>
      <c r="CX278" t="s">
        <v>308</v>
      </c>
      <c r="CY278">
        <v>17</v>
      </c>
      <c r="CZ278">
        <v>-0.96160000000000034</v>
      </c>
      <c r="DA278">
        <v>24</v>
      </c>
      <c r="DB278">
        <v>22</v>
      </c>
      <c r="DC278">
        <v>18</v>
      </c>
      <c r="DD278">
        <v>-0.75560000000000083</v>
      </c>
      <c r="DE278">
        <v>26</v>
      </c>
      <c r="DF278">
        <v>-7.4000000000000012</v>
      </c>
      <c r="DG278">
        <v>0.48</v>
      </c>
      <c r="DH278">
        <v>25</v>
      </c>
      <c r="DI278">
        <v>22.5</v>
      </c>
      <c r="DJ278">
        <v>16</v>
      </c>
      <c r="DK278">
        <v>-0.59599999999999942</v>
      </c>
      <c r="DL278">
        <v>29</v>
      </c>
      <c r="DM278">
        <v>-9.68</v>
      </c>
      <c r="DN278">
        <v>-0.24</v>
      </c>
      <c r="DO278">
        <v>5</v>
      </c>
      <c r="DP278">
        <v>3.5</v>
      </c>
      <c r="DQ278">
        <v>3</v>
      </c>
      <c r="DR278">
        <v>8.82</v>
      </c>
      <c r="DS278">
        <v>4</v>
      </c>
      <c r="DT278">
        <v>33.700000000000003</v>
      </c>
      <c r="DU278">
        <v>1.75</v>
      </c>
      <c r="DV278">
        <v>19</v>
      </c>
      <c r="DW278">
        <v>17.5</v>
      </c>
      <c r="DX278">
        <v>18</v>
      </c>
      <c r="DY278">
        <v>-0.29000000000000048</v>
      </c>
      <c r="DZ278">
        <v>17</v>
      </c>
      <c r="EA278">
        <v>-2.2999999999999989</v>
      </c>
      <c r="EB278">
        <v>-0.14999999999999991</v>
      </c>
      <c r="EC278">
        <v>13</v>
      </c>
      <c r="ED278">
        <v>13.5</v>
      </c>
      <c r="EE278">
        <v>6</v>
      </c>
      <c r="EF278">
        <v>0.87500000000000022</v>
      </c>
      <c r="EG278">
        <v>21</v>
      </c>
      <c r="EH278">
        <v>-4.3</v>
      </c>
      <c r="EI278">
        <v>2.0499999999999998</v>
      </c>
      <c r="EJ278">
        <v>18</v>
      </c>
      <c r="EK278">
        <v>18</v>
      </c>
      <c r="EL278">
        <v>16</v>
      </c>
      <c r="EM278">
        <v>-0.3149999999999995</v>
      </c>
      <c r="EN278">
        <v>20</v>
      </c>
      <c r="EO278">
        <v>-7.1500000000000021</v>
      </c>
      <c r="EP278">
        <v>2.3000000000000003</v>
      </c>
      <c r="EQ278">
        <v>15</v>
      </c>
      <c r="ER278">
        <v>15</v>
      </c>
      <c r="ES278">
        <v>11</v>
      </c>
      <c r="ET278">
        <v>0.26400000000000184</v>
      </c>
      <c r="EU278">
        <v>19</v>
      </c>
      <c r="EV278">
        <v>-3.0288000000000013</v>
      </c>
      <c r="EW278">
        <v>1.8800000000000001</v>
      </c>
      <c r="EX278">
        <v>12</v>
      </c>
      <c r="EY278">
        <v>12.5</v>
      </c>
      <c r="EZ278">
        <v>17</v>
      </c>
      <c r="FA278">
        <v>-0.28000000000000008</v>
      </c>
      <c r="FB278">
        <v>8</v>
      </c>
      <c r="FC278">
        <v>0.36</v>
      </c>
      <c r="FD278">
        <v>-3.9999999999999501E-2</v>
      </c>
      <c r="FE278">
        <v>21</v>
      </c>
      <c r="FF278">
        <v>17.25</v>
      </c>
      <c r="FG278">
        <v>30</v>
      </c>
      <c r="FH278">
        <v>-6.6113792660117549E-2</v>
      </c>
      <c r="FI278">
        <v>28</v>
      </c>
      <c r="FJ278">
        <v>-2.0125681400008821E-2</v>
      </c>
      <c r="FK278">
        <v>4</v>
      </c>
      <c r="FL278">
        <v>-7.7720000000000002</v>
      </c>
      <c r="FM278">
        <v>7</v>
      </c>
      <c r="FN278">
        <v>2.88</v>
      </c>
      <c r="FO278">
        <v>6.6400000000000023</v>
      </c>
      <c r="FP278">
        <v>-3.4799999999999995</v>
      </c>
      <c r="FQ278">
        <v>-0.88000000000000012</v>
      </c>
      <c r="FR278">
        <v>1.5999999999999985</v>
      </c>
      <c r="FS278">
        <v>-2.120000000000001</v>
      </c>
      <c r="FT278">
        <v>1.1200000000000003</v>
      </c>
      <c r="FU278">
        <v>17.04</v>
      </c>
      <c r="FV278">
        <v>31.160000000000014</v>
      </c>
      <c r="FW278">
        <v>-12.64</v>
      </c>
      <c r="FX278">
        <v>3.04</v>
      </c>
      <c r="FY278">
        <v>-4.5200000000000005</v>
      </c>
      <c r="FZ278">
        <v>16</v>
      </c>
      <c r="GA278">
        <v>0.3899999999999999</v>
      </c>
      <c r="GB278">
        <v>2.4172799999999999</v>
      </c>
      <c r="GC278">
        <v>43.800000000000011</v>
      </c>
      <c r="GD278">
        <v>-0.39</v>
      </c>
      <c r="GE278">
        <v>0.88447500000000012</v>
      </c>
      <c r="GF278">
        <v>9.4049999999999994</v>
      </c>
      <c r="GG278">
        <v>27.100000000000005</v>
      </c>
      <c r="GH278">
        <v>-1.3516000000000004</v>
      </c>
      <c r="GI278">
        <v>-17.080000000000002</v>
      </c>
      <c r="GJ278">
        <v>5.53</v>
      </c>
      <c r="GK278">
        <v>0.24</v>
      </c>
    </row>
    <row r="279" spans="1:193" x14ac:dyDescent="0.2">
      <c r="A279" s="39">
        <v>43800</v>
      </c>
      <c r="B279" s="22" t="s">
        <v>241</v>
      </c>
      <c r="C279" s="41" t="s">
        <v>302</v>
      </c>
      <c r="D279" s="22" t="s">
        <v>311</v>
      </c>
      <c r="E279">
        <v>24.9</v>
      </c>
      <c r="F279">
        <v>7.6</v>
      </c>
      <c r="G279">
        <v>4.4000000000000004</v>
      </c>
      <c r="H279">
        <v>6.7</v>
      </c>
      <c r="I279">
        <v>-3.5</v>
      </c>
      <c r="J279">
        <v>47</v>
      </c>
      <c r="L279" s="1" t="s">
        <v>302</v>
      </c>
      <c r="M279">
        <v>19</v>
      </c>
      <c r="N279">
        <v>-0.70799999999999907</v>
      </c>
      <c r="O279">
        <v>27</v>
      </c>
      <c r="P279">
        <v>25</v>
      </c>
      <c r="Q279">
        <v>32</v>
      </c>
      <c r="R279">
        <v>-8.1280000000000019</v>
      </c>
      <c r="S279">
        <v>18</v>
      </c>
      <c r="T279">
        <v>-3.6</v>
      </c>
      <c r="U279">
        <v>-2.12</v>
      </c>
      <c r="V279">
        <v>12</v>
      </c>
      <c r="W279">
        <v>11.5</v>
      </c>
      <c r="X279">
        <v>5</v>
      </c>
      <c r="Y279">
        <v>4.3</v>
      </c>
      <c r="Z279">
        <v>18</v>
      </c>
      <c r="AA279">
        <v>-0.6399999999999999</v>
      </c>
      <c r="AB279">
        <v>3.7199999999999998</v>
      </c>
      <c r="AC279">
        <v>4</v>
      </c>
      <c r="AD279">
        <v>4</v>
      </c>
      <c r="AE279">
        <v>3</v>
      </c>
      <c r="AF279">
        <v>7.2912000000000008</v>
      </c>
      <c r="AG279">
        <v>5</v>
      </c>
      <c r="AH279">
        <v>21.810000000000002</v>
      </c>
      <c r="AI279">
        <v>3.2599999999999993</v>
      </c>
      <c r="AJ279">
        <v>14</v>
      </c>
      <c r="AK279">
        <v>14</v>
      </c>
      <c r="AL279">
        <v>15</v>
      </c>
      <c r="AM279">
        <v>0.46000000000000013</v>
      </c>
      <c r="AN279">
        <v>13</v>
      </c>
      <c r="AO279">
        <v>5.88</v>
      </c>
      <c r="AP279">
        <v>2.3600000000000003</v>
      </c>
      <c r="AQ279">
        <v>16</v>
      </c>
      <c r="AR279">
        <v>16</v>
      </c>
      <c r="AS279">
        <v>13</v>
      </c>
      <c r="AT279">
        <v>0.94400000000000028</v>
      </c>
      <c r="AU279">
        <v>19</v>
      </c>
      <c r="AV279">
        <v>-5.2</v>
      </c>
      <c r="AW279">
        <v>1.32</v>
      </c>
      <c r="AX279">
        <v>4</v>
      </c>
      <c r="AY279">
        <v>4.5</v>
      </c>
      <c r="AZ279">
        <v>2</v>
      </c>
      <c r="BA279">
        <v>6.0119999999999996</v>
      </c>
      <c r="BB279">
        <v>7</v>
      </c>
      <c r="BC279">
        <v>18.52</v>
      </c>
      <c r="BD279">
        <v>3.7199999999999998</v>
      </c>
      <c r="BE279">
        <v>25</v>
      </c>
      <c r="BF279">
        <v>25.5</v>
      </c>
      <c r="BG279">
        <v>28</v>
      </c>
      <c r="BH279">
        <v>-4.5879999999999992</v>
      </c>
      <c r="BI279">
        <v>-10.320000000000002</v>
      </c>
      <c r="BJ279">
        <v>-3</v>
      </c>
      <c r="BK279">
        <v>2</v>
      </c>
      <c r="BL279">
        <v>5</v>
      </c>
      <c r="BM279">
        <v>8</v>
      </c>
      <c r="BN279">
        <v>1.5760000000000001</v>
      </c>
      <c r="BO279">
        <v>2</v>
      </c>
      <c r="BP279">
        <v>1.1199999999999999</v>
      </c>
      <c r="BQ279">
        <v>4.5600000000000005</v>
      </c>
      <c r="BR279">
        <v>27</v>
      </c>
      <c r="BS279">
        <v>23.25</v>
      </c>
      <c r="BT279">
        <v>23</v>
      </c>
      <c r="BU279">
        <v>-2.5821579633769087E-2</v>
      </c>
      <c r="BV279">
        <v>26</v>
      </c>
      <c r="BW279">
        <v>-2.1226091553984167E-2</v>
      </c>
      <c r="BX279">
        <v>23</v>
      </c>
      <c r="BY279">
        <v>2.4160000000000026</v>
      </c>
      <c r="BZ279">
        <v>21</v>
      </c>
      <c r="CA279">
        <v>-1.52</v>
      </c>
      <c r="CB279">
        <v>8.4</v>
      </c>
      <c r="CC279">
        <v>-0.35999999999999976</v>
      </c>
      <c r="CD279">
        <v>1.3199999999999998</v>
      </c>
      <c r="CE279">
        <v>14.840000000000009</v>
      </c>
      <c r="CF279">
        <v>34.200000000000003</v>
      </c>
      <c r="CG279">
        <v>4.5999999999999996</v>
      </c>
      <c r="CH279">
        <v>-5</v>
      </c>
      <c r="CI279">
        <v>-18.959999999999997</v>
      </c>
      <c r="CJ279">
        <v>11</v>
      </c>
      <c r="CK279">
        <v>3.1200000000000028</v>
      </c>
      <c r="CL279">
        <v>2.5938400000000015</v>
      </c>
      <c r="CM279">
        <v>29.6</v>
      </c>
      <c r="CN279">
        <v>-3.1200000000000028</v>
      </c>
      <c r="CO279">
        <v>0.14340000000000014</v>
      </c>
      <c r="CP279">
        <v>8.6952000000000016</v>
      </c>
      <c r="CQ279">
        <v>22.490000000000002</v>
      </c>
      <c r="CR279">
        <v>-3.8280000000000021</v>
      </c>
      <c r="CS279">
        <v>-4.24</v>
      </c>
      <c r="CT279">
        <v>3.9399999999999995</v>
      </c>
      <c r="CU279">
        <v>1.5999999999999996</v>
      </c>
      <c r="CV279">
        <v>-1.03685</v>
      </c>
      <c r="CW279">
        <v>-2.5604</v>
      </c>
      <c r="CX279" t="s">
        <v>311</v>
      </c>
      <c r="CY279">
        <v>6</v>
      </c>
      <c r="CZ279">
        <v>3.7656000000000001</v>
      </c>
      <c r="DA279">
        <v>27</v>
      </c>
      <c r="DB279">
        <v>24</v>
      </c>
      <c r="DC279">
        <v>18</v>
      </c>
      <c r="DD279">
        <v>-0.49600000000000044</v>
      </c>
      <c r="DE279">
        <v>30</v>
      </c>
      <c r="DF279">
        <v>-13.120000000000001</v>
      </c>
      <c r="DG279">
        <v>-3.9999999999999945E-2</v>
      </c>
      <c r="DH279">
        <v>1</v>
      </c>
      <c r="DI279">
        <v>1</v>
      </c>
      <c r="DJ279">
        <v>1</v>
      </c>
      <c r="DK279">
        <v>3.8519999999999994</v>
      </c>
      <c r="DL279">
        <v>1</v>
      </c>
      <c r="DM279">
        <v>28.68</v>
      </c>
      <c r="DN279">
        <v>1.2399999999999998</v>
      </c>
      <c r="DO279">
        <v>15</v>
      </c>
      <c r="DP279">
        <v>11.5</v>
      </c>
      <c r="DQ279">
        <v>11</v>
      </c>
      <c r="DR279">
        <v>0.24000000000000021</v>
      </c>
      <c r="DS279">
        <v>12</v>
      </c>
      <c r="DT279">
        <v>3.2400000000000007</v>
      </c>
      <c r="DU279">
        <v>0.32000000000000012</v>
      </c>
      <c r="DV279">
        <v>23</v>
      </c>
      <c r="DW279">
        <v>23</v>
      </c>
      <c r="DX279">
        <v>25</v>
      </c>
      <c r="DY279">
        <v>-3.2719999999999998</v>
      </c>
      <c r="DZ279">
        <v>21</v>
      </c>
      <c r="EA279">
        <v>-4.8799999999999981</v>
      </c>
      <c r="EB279">
        <v>-1.4</v>
      </c>
      <c r="EC279">
        <v>10</v>
      </c>
      <c r="ED279">
        <v>8.5</v>
      </c>
      <c r="EE279">
        <v>8</v>
      </c>
      <c r="EF279">
        <v>0.59599999999999986</v>
      </c>
      <c r="EG279">
        <v>9</v>
      </c>
      <c r="EH279">
        <v>5.1999999999999984</v>
      </c>
      <c r="EI279">
        <v>-0.31999999999999995</v>
      </c>
      <c r="EJ279">
        <v>15</v>
      </c>
      <c r="EK279">
        <v>15.5</v>
      </c>
      <c r="EL279">
        <v>18</v>
      </c>
      <c r="EM279">
        <v>-1.4959999999999987</v>
      </c>
      <c r="EN279">
        <v>13</v>
      </c>
      <c r="EO279">
        <v>7.0400000000000009</v>
      </c>
      <c r="EP279">
        <v>-0.23999999999999985</v>
      </c>
      <c r="EQ279">
        <v>14</v>
      </c>
      <c r="ER279">
        <v>14</v>
      </c>
      <c r="ES279">
        <v>14</v>
      </c>
      <c r="ET279">
        <v>-0.27200000000000008</v>
      </c>
      <c r="EU279">
        <v>14</v>
      </c>
      <c r="EV279">
        <v>1.8799999999999968</v>
      </c>
      <c r="EW279">
        <v>0.6399999999999999</v>
      </c>
      <c r="EX279">
        <v>22</v>
      </c>
      <c r="EY279">
        <v>21.5</v>
      </c>
      <c r="EZ279">
        <v>19</v>
      </c>
      <c r="FA279">
        <v>-0.52000000000000013</v>
      </c>
      <c r="FB279">
        <v>24</v>
      </c>
      <c r="FC279">
        <v>-0.55999999999999994</v>
      </c>
      <c r="FD279">
        <v>-3.3200000000000003</v>
      </c>
      <c r="FE279">
        <v>27</v>
      </c>
      <c r="FF279">
        <v>22.75</v>
      </c>
      <c r="FG279">
        <v>31</v>
      </c>
      <c r="FH279">
        <v>-9.4418545042288998E-2</v>
      </c>
      <c r="FI279">
        <v>30</v>
      </c>
      <c r="FJ279">
        <v>-2.5076412149959905E-2</v>
      </c>
      <c r="FK279">
        <v>2</v>
      </c>
      <c r="FL279">
        <v>-17.844000000000001</v>
      </c>
      <c r="FM279">
        <v>28</v>
      </c>
      <c r="FN279">
        <v>-3.6</v>
      </c>
      <c r="FO279">
        <v>0.56000000000000016</v>
      </c>
      <c r="FP279">
        <v>0.87999999999999967</v>
      </c>
      <c r="FQ279">
        <v>-0.39999999999999997</v>
      </c>
      <c r="FR279">
        <v>0.39999999999999858</v>
      </c>
      <c r="FS279">
        <v>0.6399999999999999</v>
      </c>
      <c r="FT279">
        <v>-1.48</v>
      </c>
      <c r="FU279">
        <v>44.44</v>
      </c>
      <c r="FV279">
        <v>24.280000000000008</v>
      </c>
      <c r="FW279">
        <v>17.279999999999998</v>
      </c>
      <c r="FX279">
        <v>-4.4399999999999995</v>
      </c>
      <c r="FY279">
        <v>7.32</v>
      </c>
      <c r="FZ279">
        <v>15</v>
      </c>
      <c r="GA279">
        <v>0.40960000000000107</v>
      </c>
      <c r="GB279">
        <v>-1.4664799999999993</v>
      </c>
      <c r="GC279">
        <v>7.0000000000000107</v>
      </c>
      <c r="GD279">
        <v>-0.40960000000000107</v>
      </c>
      <c r="GE279">
        <v>0.48669999999999985</v>
      </c>
      <c r="GF279">
        <v>-2.4359999999999999</v>
      </c>
      <c r="GG279">
        <v>3.5600000000000009</v>
      </c>
      <c r="GH279">
        <v>3.355999999999999</v>
      </c>
      <c r="GI279">
        <v>15.559999999999999</v>
      </c>
      <c r="GJ279">
        <v>-0.76</v>
      </c>
      <c r="GK279">
        <v>1.1999999999999997</v>
      </c>
    </row>
    <row r="280" spans="1:193" x14ac:dyDescent="0.2">
      <c r="A280" s="39">
        <v>43800</v>
      </c>
      <c r="B280" s="22" t="s">
        <v>241</v>
      </c>
      <c r="C280" s="41" t="s">
        <v>307</v>
      </c>
      <c r="D280" s="22" t="s">
        <v>295</v>
      </c>
      <c r="E280">
        <v>10.8</v>
      </c>
      <c r="F280">
        <v>3.4</v>
      </c>
      <c r="G280">
        <v>0</v>
      </c>
      <c r="H280">
        <v>12.7</v>
      </c>
      <c r="I280">
        <v>-7</v>
      </c>
      <c r="J280">
        <v>48</v>
      </c>
      <c r="L280" s="1" t="s">
        <v>307</v>
      </c>
      <c r="M280">
        <v>18</v>
      </c>
      <c r="N280">
        <v>-0.66319999999999912</v>
      </c>
      <c r="O280">
        <v>8</v>
      </c>
      <c r="P280">
        <v>8.5</v>
      </c>
      <c r="Q280">
        <v>5</v>
      </c>
      <c r="R280">
        <v>3.7560000000000002</v>
      </c>
      <c r="S280">
        <v>12</v>
      </c>
      <c r="T280">
        <v>3.0799999999999996</v>
      </c>
      <c r="U280">
        <v>3.88</v>
      </c>
      <c r="V280">
        <v>16</v>
      </c>
      <c r="W280">
        <v>15</v>
      </c>
      <c r="X280">
        <v>15</v>
      </c>
      <c r="Y280">
        <v>0.34000000000000014</v>
      </c>
      <c r="Z280">
        <v>15</v>
      </c>
      <c r="AA280">
        <v>1.6</v>
      </c>
      <c r="AB280">
        <v>-0.43999999999999995</v>
      </c>
      <c r="AC280">
        <v>5</v>
      </c>
      <c r="AD280">
        <v>5.5</v>
      </c>
      <c r="AE280">
        <v>4</v>
      </c>
      <c r="AF280">
        <v>7.0439999999999996</v>
      </c>
      <c r="AG280">
        <v>7</v>
      </c>
      <c r="AH280">
        <v>17.32</v>
      </c>
      <c r="AI280">
        <v>1.6000000000000003</v>
      </c>
      <c r="AJ280">
        <v>32</v>
      </c>
      <c r="AK280">
        <v>32</v>
      </c>
      <c r="AL280">
        <v>32</v>
      </c>
      <c r="AM280">
        <v>-11.111999999999998</v>
      </c>
      <c r="AN280">
        <v>32</v>
      </c>
      <c r="AO280">
        <v>-47.040000000000006</v>
      </c>
      <c r="AP280">
        <v>-4</v>
      </c>
      <c r="AQ280">
        <v>29</v>
      </c>
      <c r="AR280">
        <v>29</v>
      </c>
      <c r="AS280">
        <v>28</v>
      </c>
      <c r="AT280">
        <v>-3.3759999999999999</v>
      </c>
      <c r="AU280">
        <v>30</v>
      </c>
      <c r="AV280">
        <v>-20.6</v>
      </c>
      <c r="AW280">
        <v>-0.6</v>
      </c>
      <c r="AX280">
        <v>28</v>
      </c>
      <c r="AY280">
        <v>28</v>
      </c>
      <c r="AZ280">
        <v>28</v>
      </c>
      <c r="BA280">
        <v>-4.5120000000000005</v>
      </c>
      <c r="BB280">
        <v>28</v>
      </c>
      <c r="BC280">
        <v>-25.52</v>
      </c>
      <c r="BD280">
        <v>-1.8800000000000001</v>
      </c>
      <c r="BE280">
        <v>4</v>
      </c>
      <c r="BF280">
        <v>4.5</v>
      </c>
      <c r="BG280">
        <v>5</v>
      </c>
      <c r="BH280">
        <v>4.2880000000000011</v>
      </c>
      <c r="BI280">
        <v>25.68</v>
      </c>
      <c r="BJ280">
        <v>11.84</v>
      </c>
      <c r="BK280">
        <v>4</v>
      </c>
      <c r="BL280">
        <v>7</v>
      </c>
      <c r="BM280">
        <v>4</v>
      </c>
      <c r="BN280">
        <v>2.3200000000000003</v>
      </c>
      <c r="BO280">
        <v>10</v>
      </c>
      <c r="BP280">
        <v>0.36</v>
      </c>
      <c r="BQ280">
        <v>0.20000000000000034</v>
      </c>
      <c r="BR280">
        <v>32</v>
      </c>
      <c r="BS280">
        <v>29.5</v>
      </c>
      <c r="BT280">
        <v>30</v>
      </c>
      <c r="BU280">
        <v>-7.926933932533814E-2</v>
      </c>
      <c r="BV280">
        <v>28</v>
      </c>
      <c r="BW280">
        <v>-2.5315156705118559E-2</v>
      </c>
      <c r="BX280">
        <v>31</v>
      </c>
      <c r="BY280">
        <v>16.747999999999994</v>
      </c>
      <c r="BZ280">
        <v>29</v>
      </c>
      <c r="CA280">
        <v>-3.919999999999999</v>
      </c>
      <c r="CB280">
        <v>-2.1199999999999974</v>
      </c>
      <c r="CC280">
        <v>1.2399999999999998</v>
      </c>
      <c r="CD280">
        <v>-0.27999999999999997</v>
      </c>
      <c r="CE280">
        <v>-12.439999999999987</v>
      </c>
      <c r="CF280">
        <v>-12.400000000000011</v>
      </c>
      <c r="CG280">
        <v>6.8800000000000008</v>
      </c>
      <c r="CH280">
        <v>-1.56</v>
      </c>
      <c r="CI280">
        <v>-5.3599999999999994</v>
      </c>
      <c r="CJ280">
        <v>22</v>
      </c>
      <c r="CK280">
        <v>-4.759199999999999</v>
      </c>
      <c r="CL280">
        <v>-2.8118399999999992</v>
      </c>
      <c r="CM280">
        <v>-19.280000000000012</v>
      </c>
      <c r="CN280">
        <v>4.759199999999999</v>
      </c>
      <c r="CO280">
        <v>0.32460000000000055</v>
      </c>
      <c r="CP280">
        <v>-7.4439999999999991</v>
      </c>
      <c r="CQ280">
        <v>-50.320000000000007</v>
      </c>
      <c r="CR280">
        <v>4.0960000000000001</v>
      </c>
      <c r="CS280">
        <v>4.68</v>
      </c>
      <c r="CT280">
        <v>8.84</v>
      </c>
      <c r="CU280">
        <v>3.44</v>
      </c>
      <c r="CV280">
        <v>-1.396075</v>
      </c>
      <c r="CW280">
        <v>-0.64724999999999999</v>
      </c>
      <c r="CX280" t="s">
        <v>295</v>
      </c>
      <c r="CY280">
        <v>27</v>
      </c>
      <c r="CZ280">
        <v>-3.9112</v>
      </c>
      <c r="DA280">
        <v>30</v>
      </c>
      <c r="DB280">
        <v>28</v>
      </c>
      <c r="DC280">
        <v>28</v>
      </c>
      <c r="DD280">
        <v>-2.9359999999999991</v>
      </c>
      <c r="DE280">
        <v>28</v>
      </c>
      <c r="DF280">
        <v>-9.9200000000000035</v>
      </c>
      <c r="DG280">
        <v>0.27999999999999969</v>
      </c>
      <c r="DH280">
        <v>28</v>
      </c>
      <c r="DI280">
        <v>25.5</v>
      </c>
      <c r="DJ280">
        <v>30</v>
      </c>
      <c r="DK280">
        <v>-2.6679999999999993</v>
      </c>
      <c r="DL280">
        <v>21</v>
      </c>
      <c r="DM280">
        <v>-4.160000000000001</v>
      </c>
      <c r="DN280">
        <v>0.16000000000000006</v>
      </c>
      <c r="DO280">
        <v>22</v>
      </c>
      <c r="DP280">
        <v>18.5</v>
      </c>
      <c r="DQ280">
        <v>21</v>
      </c>
      <c r="DR280">
        <v>-3.624000000000001</v>
      </c>
      <c r="DS280">
        <v>16</v>
      </c>
      <c r="DT280">
        <v>-3.8400000000000034</v>
      </c>
      <c r="DU280">
        <v>0.64</v>
      </c>
      <c r="DV280">
        <v>9</v>
      </c>
      <c r="DW280">
        <v>10</v>
      </c>
      <c r="DX280">
        <v>9</v>
      </c>
      <c r="DY280">
        <v>2.3519999999999999</v>
      </c>
      <c r="DZ280">
        <v>11</v>
      </c>
      <c r="EA280">
        <v>4.919999999999999</v>
      </c>
      <c r="EB280">
        <v>-0.64</v>
      </c>
      <c r="EC280">
        <v>17</v>
      </c>
      <c r="ED280">
        <v>26.5</v>
      </c>
      <c r="EE280">
        <v>29</v>
      </c>
      <c r="EF280">
        <v>-2.3840000000000003</v>
      </c>
      <c r="EG280">
        <v>24</v>
      </c>
      <c r="EH280">
        <v>-8.36</v>
      </c>
      <c r="EI280">
        <v>-0.91999999999999971</v>
      </c>
      <c r="EJ280">
        <v>10</v>
      </c>
      <c r="EK280">
        <v>11.5</v>
      </c>
      <c r="EL280">
        <v>14</v>
      </c>
      <c r="EM280">
        <v>0.53200000000000036</v>
      </c>
      <c r="EN280">
        <v>9</v>
      </c>
      <c r="EO280">
        <v>12.519999999999998</v>
      </c>
      <c r="EP280">
        <v>-0.91999999999999993</v>
      </c>
      <c r="EQ280">
        <v>29</v>
      </c>
      <c r="ER280">
        <v>26.5</v>
      </c>
      <c r="ES280">
        <v>30</v>
      </c>
      <c r="ET280">
        <v>-4.1080000000000005</v>
      </c>
      <c r="EU280">
        <v>23</v>
      </c>
      <c r="EV280">
        <v>-7.4800000000000013</v>
      </c>
      <c r="EW280">
        <v>8.120000000000001</v>
      </c>
      <c r="EX280">
        <v>17</v>
      </c>
      <c r="EY280">
        <v>14.5</v>
      </c>
      <c r="EZ280">
        <v>14</v>
      </c>
      <c r="FA280">
        <v>0.12000000000000029</v>
      </c>
      <c r="FB280">
        <v>15</v>
      </c>
      <c r="FC280">
        <v>0</v>
      </c>
      <c r="FD280">
        <v>0.35999999999999976</v>
      </c>
      <c r="FE280">
        <v>19</v>
      </c>
      <c r="FF280">
        <v>16.5</v>
      </c>
      <c r="FG280">
        <v>10</v>
      </c>
      <c r="FH280">
        <v>1.3493023923273211E-2</v>
      </c>
      <c r="FI280">
        <v>20</v>
      </c>
      <c r="FJ280">
        <v>-4.012887209230198E-3</v>
      </c>
      <c r="FK280">
        <v>25</v>
      </c>
      <c r="FL280">
        <v>7.0879999999999965</v>
      </c>
      <c r="FM280">
        <v>11</v>
      </c>
      <c r="FN280">
        <v>1.3200000000000003</v>
      </c>
      <c r="FO280">
        <v>-3.0799999999999983</v>
      </c>
      <c r="FP280">
        <v>-2.6399999999999992</v>
      </c>
      <c r="FQ280">
        <v>0.55999999999999994</v>
      </c>
      <c r="FR280">
        <v>-5.5199999999999987</v>
      </c>
      <c r="FS280">
        <v>-6.6799999999999979</v>
      </c>
      <c r="FT280">
        <v>8.8817841970012528E-17</v>
      </c>
      <c r="FU280">
        <v>-28.399999999999977</v>
      </c>
      <c r="FV280">
        <v>-19.080000000000002</v>
      </c>
      <c r="FW280">
        <v>-11.559999999999997</v>
      </c>
      <c r="FX280">
        <v>-1.48</v>
      </c>
      <c r="FY280">
        <v>3.719999999999998</v>
      </c>
      <c r="FZ280">
        <v>12</v>
      </c>
      <c r="GA280">
        <v>1.6927999999999983</v>
      </c>
      <c r="GB280">
        <v>0.46695999999999893</v>
      </c>
      <c r="GC280">
        <v>-7.5200000000000049</v>
      </c>
      <c r="GD280">
        <v>-1.6927999999999983</v>
      </c>
      <c r="GE280">
        <v>-2.1448999999999998</v>
      </c>
      <c r="GF280">
        <v>-3.6560000000000015</v>
      </c>
      <c r="GG280">
        <v>-7.2800000000000038</v>
      </c>
      <c r="GH280">
        <v>-5.6039999999999983</v>
      </c>
      <c r="GI280">
        <v>-14.080000000000005</v>
      </c>
      <c r="GJ280">
        <v>7.2000000000000011</v>
      </c>
      <c r="GK280">
        <v>0.43999999999999972</v>
      </c>
    </row>
    <row r="281" spans="1:193" x14ac:dyDescent="0.2">
      <c r="A281" s="39">
        <v>43800</v>
      </c>
      <c r="B281" s="22" t="s">
        <v>241</v>
      </c>
      <c r="C281" s="41" t="s">
        <v>296</v>
      </c>
      <c r="D281" s="22" t="s">
        <v>300</v>
      </c>
      <c r="E281">
        <v>13</v>
      </c>
      <c r="F281">
        <v>10.4</v>
      </c>
      <c r="G281">
        <v>5.3</v>
      </c>
      <c r="H281">
        <v>13</v>
      </c>
      <c r="I281">
        <v>6.5</v>
      </c>
      <c r="J281">
        <v>43.5</v>
      </c>
      <c r="L281" s="1" t="s">
        <v>296</v>
      </c>
      <c r="M281">
        <v>8</v>
      </c>
      <c r="N281">
        <v>3.5287999999999995</v>
      </c>
      <c r="O281">
        <v>20</v>
      </c>
      <c r="P281">
        <v>21</v>
      </c>
      <c r="Q281">
        <v>16</v>
      </c>
      <c r="R281">
        <v>0.13599999999999959</v>
      </c>
      <c r="S281">
        <v>26</v>
      </c>
      <c r="T281">
        <v>-12.760000000000002</v>
      </c>
      <c r="U281">
        <v>1.1600000000000001</v>
      </c>
      <c r="V281">
        <v>31</v>
      </c>
      <c r="W281">
        <v>31</v>
      </c>
      <c r="X281">
        <v>32</v>
      </c>
      <c r="Y281">
        <v>-5.516</v>
      </c>
      <c r="Z281">
        <v>30</v>
      </c>
      <c r="AA281">
        <v>-16.591999999999999</v>
      </c>
      <c r="AB281">
        <v>-1.8800000000000001</v>
      </c>
      <c r="AC281">
        <v>14</v>
      </c>
      <c r="AD281">
        <v>15.5</v>
      </c>
      <c r="AE281">
        <v>10</v>
      </c>
      <c r="AF281">
        <v>1.9352</v>
      </c>
      <c r="AG281">
        <v>21</v>
      </c>
      <c r="AH281">
        <v>-4.4799999999999995</v>
      </c>
      <c r="AI281">
        <v>0.6</v>
      </c>
      <c r="AJ281">
        <v>13</v>
      </c>
      <c r="AK281">
        <v>13.5</v>
      </c>
      <c r="AL281">
        <v>5</v>
      </c>
      <c r="AM281">
        <v>3.2600000000000007</v>
      </c>
      <c r="AN281">
        <v>22</v>
      </c>
      <c r="AO281">
        <v>-9.7199999999999989</v>
      </c>
      <c r="AP281">
        <v>0.60000000000000031</v>
      </c>
      <c r="AQ281">
        <v>12</v>
      </c>
      <c r="AR281">
        <v>12.5</v>
      </c>
      <c r="AS281">
        <v>14</v>
      </c>
      <c r="AT281">
        <v>0.26799999999999924</v>
      </c>
      <c r="AU281">
        <v>11</v>
      </c>
      <c r="AV281">
        <v>7.2000000000000011</v>
      </c>
      <c r="AW281">
        <v>0.72</v>
      </c>
      <c r="AX281">
        <v>22</v>
      </c>
      <c r="AY281">
        <v>21</v>
      </c>
      <c r="AZ281">
        <v>17</v>
      </c>
      <c r="BA281">
        <v>-0.17600000000000088</v>
      </c>
      <c r="BB281">
        <v>25</v>
      </c>
      <c r="BC281">
        <v>-20.560000000000002</v>
      </c>
      <c r="BD281">
        <v>-2.12</v>
      </c>
      <c r="BE281">
        <v>19</v>
      </c>
      <c r="BF281">
        <v>19</v>
      </c>
      <c r="BG281">
        <v>18</v>
      </c>
      <c r="BH281">
        <v>0.3439999999999987</v>
      </c>
      <c r="BI281">
        <v>-2.2000000000000015</v>
      </c>
      <c r="BJ281">
        <v>1.48</v>
      </c>
      <c r="BK281">
        <v>28</v>
      </c>
      <c r="BL281">
        <v>27.5</v>
      </c>
      <c r="BM281">
        <v>29</v>
      </c>
      <c r="BN281">
        <v>-2.4799999999999995</v>
      </c>
      <c r="BO281">
        <v>26</v>
      </c>
      <c r="BP281">
        <v>-0.56000000000000016</v>
      </c>
      <c r="BQ281">
        <v>-2.3999999999999995</v>
      </c>
      <c r="BR281">
        <v>2</v>
      </c>
      <c r="BS281">
        <v>7.5</v>
      </c>
      <c r="BT281">
        <v>3</v>
      </c>
      <c r="BU281">
        <v>7.720312519554437E-2</v>
      </c>
      <c r="BV281">
        <v>16</v>
      </c>
      <c r="BW281">
        <v>1.4705007259229116E-3</v>
      </c>
      <c r="BX281">
        <v>10</v>
      </c>
      <c r="BY281">
        <v>-3.5840000000000032</v>
      </c>
      <c r="BZ281">
        <v>1</v>
      </c>
      <c r="CA281">
        <v>6.0000000000000009</v>
      </c>
      <c r="CB281">
        <v>1.2000000000000015</v>
      </c>
      <c r="CC281">
        <v>-1.4799999999999991</v>
      </c>
      <c r="CD281">
        <v>-0.44000000000000006</v>
      </c>
      <c r="CE281">
        <v>-16.04</v>
      </c>
      <c r="CF281">
        <v>0.72000000000000453</v>
      </c>
      <c r="CG281">
        <v>-33.04</v>
      </c>
      <c r="CH281">
        <v>5.08</v>
      </c>
      <c r="CI281">
        <v>11.2</v>
      </c>
      <c r="CJ281">
        <v>2</v>
      </c>
      <c r="CK281">
        <v>8.9087999999999994</v>
      </c>
      <c r="CL281">
        <v>4.5571999999999999</v>
      </c>
      <c r="CM281">
        <v>33.760000000000005</v>
      </c>
      <c r="CN281">
        <v>-8.9087999999999994</v>
      </c>
      <c r="CO281">
        <v>0.18449999999999978</v>
      </c>
      <c r="CP281">
        <v>5.4631999999999996</v>
      </c>
      <c r="CQ281">
        <v>-6.9999999999999982</v>
      </c>
      <c r="CR281">
        <v>-5.3800000000000008</v>
      </c>
      <c r="CS281">
        <v>-29.352</v>
      </c>
      <c r="CT281">
        <v>3.4000000000000004</v>
      </c>
      <c r="CU281">
        <v>-0.72</v>
      </c>
      <c r="CV281">
        <v>0.60505000000000009</v>
      </c>
      <c r="CW281">
        <v>1.3486000000000002</v>
      </c>
      <c r="CX281" t="s">
        <v>300</v>
      </c>
      <c r="CY281">
        <v>21</v>
      </c>
      <c r="CZ281">
        <v>-3.7079999999999997</v>
      </c>
      <c r="DA281">
        <v>5</v>
      </c>
      <c r="DB281">
        <v>6</v>
      </c>
      <c r="DC281">
        <v>8</v>
      </c>
      <c r="DD281">
        <v>0.12800000000000153</v>
      </c>
      <c r="DE281">
        <v>4</v>
      </c>
      <c r="DF281">
        <v>6.1199999999999974</v>
      </c>
      <c r="DG281">
        <v>0.35999999999999988</v>
      </c>
      <c r="DH281">
        <v>9</v>
      </c>
      <c r="DI281">
        <v>11.5</v>
      </c>
      <c r="DJ281">
        <v>19</v>
      </c>
      <c r="DK281">
        <v>0.84800000000000009</v>
      </c>
      <c r="DL281">
        <v>4</v>
      </c>
      <c r="DM281">
        <v>12.559999999999999</v>
      </c>
      <c r="DN281">
        <v>-0.52000000000000013</v>
      </c>
      <c r="DO281">
        <v>23</v>
      </c>
      <c r="DP281">
        <v>27.5</v>
      </c>
      <c r="DQ281">
        <v>29</v>
      </c>
      <c r="DR281">
        <v>-5.6480000000000006</v>
      </c>
      <c r="DS281">
        <v>26</v>
      </c>
      <c r="DT281">
        <v>-20.68</v>
      </c>
      <c r="DU281">
        <v>-2.7199999999999998</v>
      </c>
      <c r="DV281">
        <v>13</v>
      </c>
      <c r="DW281">
        <v>13.5</v>
      </c>
      <c r="DX281">
        <v>17</v>
      </c>
      <c r="DY281">
        <v>0.17199999999999954</v>
      </c>
      <c r="DZ281">
        <v>10</v>
      </c>
      <c r="EA281">
        <v>6.2000000000000011</v>
      </c>
      <c r="EB281">
        <v>0.27999999999999992</v>
      </c>
      <c r="EC281">
        <v>12</v>
      </c>
      <c r="ED281">
        <v>17</v>
      </c>
      <c r="EE281">
        <v>20</v>
      </c>
      <c r="EF281">
        <v>1.032</v>
      </c>
      <c r="EG281">
        <v>14</v>
      </c>
      <c r="EH281">
        <v>7.5199999999999987</v>
      </c>
      <c r="EI281">
        <v>-0.91999999999999993</v>
      </c>
      <c r="EJ281">
        <v>16</v>
      </c>
      <c r="EK281">
        <v>16</v>
      </c>
      <c r="EL281">
        <v>17</v>
      </c>
      <c r="EM281">
        <v>-2.4599999999999995</v>
      </c>
      <c r="EN281">
        <v>15</v>
      </c>
      <c r="EO281">
        <v>1.8000000000000014</v>
      </c>
      <c r="EP281">
        <v>-2.44</v>
      </c>
      <c r="EQ281">
        <v>1</v>
      </c>
      <c r="ER281">
        <v>1</v>
      </c>
      <c r="ES281">
        <v>1</v>
      </c>
      <c r="ET281">
        <v>3.9879999999999995</v>
      </c>
      <c r="EU281">
        <v>1</v>
      </c>
      <c r="EV281">
        <v>30.639999999999997</v>
      </c>
      <c r="EW281">
        <v>0.72000000000000031</v>
      </c>
      <c r="EX281">
        <v>6</v>
      </c>
      <c r="EY281">
        <v>5</v>
      </c>
      <c r="EZ281">
        <v>2</v>
      </c>
      <c r="FA281">
        <v>2.08</v>
      </c>
      <c r="FB281">
        <v>8</v>
      </c>
      <c r="FC281">
        <v>0.48</v>
      </c>
      <c r="FD281">
        <v>-1.8399999999999999</v>
      </c>
      <c r="FE281">
        <v>29</v>
      </c>
      <c r="FF281">
        <v>24</v>
      </c>
      <c r="FG281">
        <v>17</v>
      </c>
      <c r="FH281">
        <v>-7.5143537273633931E-3</v>
      </c>
      <c r="FI281">
        <v>23</v>
      </c>
      <c r="FJ281">
        <v>-6.6855087310842415E-3</v>
      </c>
      <c r="FK281">
        <v>27</v>
      </c>
      <c r="FL281">
        <v>8.7959999999999994</v>
      </c>
      <c r="FM281">
        <v>29</v>
      </c>
      <c r="FN281">
        <v>-3.8400000000000007</v>
      </c>
      <c r="FO281">
        <v>-4.0799999999999983</v>
      </c>
      <c r="FP281">
        <v>1.4399999999999991</v>
      </c>
      <c r="FQ281">
        <v>0.55999999999999994</v>
      </c>
      <c r="FR281">
        <v>-3.3200000000000003</v>
      </c>
      <c r="FS281">
        <v>0.3999999999999993</v>
      </c>
      <c r="FT281">
        <v>-0.83999999999999986</v>
      </c>
      <c r="FU281">
        <v>16.760000000000002</v>
      </c>
      <c r="FV281">
        <v>4.2</v>
      </c>
      <c r="FW281">
        <v>23.96</v>
      </c>
      <c r="FX281">
        <v>-5.08</v>
      </c>
      <c r="FY281">
        <v>-6.3199999999999994</v>
      </c>
      <c r="FZ281">
        <v>25</v>
      </c>
      <c r="GA281">
        <v>-4.6840000000000011</v>
      </c>
      <c r="GB281">
        <v>-1.3208000000000011</v>
      </c>
      <c r="GC281">
        <v>-19.760000000000002</v>
      </c>
      <c r="GD281">
        <v>4.6840000000000011</v>
      </c>
      <c r="GE281">
        <v>-0.13850000000000007</v>
      </c>
      <c r="GF281">
        <v>-4.4440000000000008</v>
      </c>
      <c r="GG281">
        <v>-6.96</v>
      </c>
      <c r="GH281">
        <v>0.97600000000000164</v>
      </c>
      <c r="GI281">
        <v>18.679999999999996</v>
      </c>
      <c r="GJ281">
        <v>-2.6399999999999997</v>
      </c>
      <c r="GK281">
        <v>-0.16000000000000025</v>
      </c>
    </row>
    <row r="282" spans="1:193" x14ac:dyDescent="0.2">
      <c r="A282" s="39">
        <v>43800</v>
      </c>
      <c r="B282" s="22" t="s">
        <v>241</v>
      </c>
      <c r="C282" s="41" t="s">
        <v>298</v>
      </c>
      <c r="D282" s="22" t="s">
        <v>272</v>
      </c>
      <c r="E282">
        <v>2.8</v>
      </c>
      <c r="F282">
        <v>20.100000000000001</v>
      </c>
      <c r="G282">
        <v>5.3</v>
      </c>
      <c r="H282">
        <v>9.9</v>
      </c>
      <c r="I282">
        <v>-2.5</v>
      </c>
      <c r="J282">
        <v>43</v>
      </c>
      <c r="K282" t="s">
        <v>109</v>
      </c>
      <c r="L282" s="1" t="s">
        <v>298</v>
      </c>
      <c r="M282">
        <v>17</v>
      </c>
      <c r="N282">
        <v>-0.66319999999999835</v>
      </c>
      <c r="O282">
        <v>19</v>
      </c>
      <c r="P282">
        <v>20.5</v>
      </c>
      <c r="Q282">
        <v>13</v>
      </c>
      <c r="R282">
        <v>1.4280000000000004</v>
      </c>
      <c r="S282">
        <v>28</v>
      </c>
      <c r="T282">
        <v>-17.52</v>
      </c>
      <c r="U282">
        <v>1.52</v>
      </c>
      <c r="V282">
        <v>24</v>
      </c>
      <c r="W282">
        <v>24</v>
      </c>
      <c r="X282">
        <v>27</v>
      </c>
      <c r="Y282">
        <v>-2.944</v>
      </c>
      <c r="Z282">
        <v>21</v>
      </c>
      <c r="AA282">
        <v>-5.4799999999999995</v>
      </c>
      <c r="AB282">
        <v>-1</v>
      </c>
      <c r="AC282">
        <v>31</v>
      </c>
      <c r="AD282">
        <v>31</v>
      </c>
      <c r="AE282">
        <v>30</v>
      </c>
      <c r="AF282">
        <v>-5.4759999999999982</v>
      </c>
      <c r="AG282">
        <v>32</v>
      </c>
      <c r="AH282">
        <v>-32.08</v>
      </c>
      <c r="AI282">
        <v>-0.91999999999999993</v>
      </c>
      <c r="AJ282">
        <v>21</v>
      </c>
      <c r="AK282">
        <v>20.5</v>
      </c>
      <c r="AL282">
        <v>21</v>
      </c>
      <c r="AM282">
        <v>-1.0200000000000002</v>
      </c>
      <c r="AN282">
        <v>20</v>
      </c>
      <c r="AO282">
        <v>-5.839999999999999</v>
      </c>
      <c r="AP282">
        <v>-0.56000000000000016</v>
      </c>
      <c r="AQ282">
        <v>6</v>
      </c>
      <c r="AR282">
        <v>6</v>
      </c>
      <c r="AS282">
        <v>7</v>
      </c>
      <c r="AT282">
        <v>2.008</v>
      </c>
      <c r="AU282">
        <v>5</v>
      </c>
      <c r="AV282">
        <v>14.800000000000002</v>
      </c>
      <c r="AW282">
        <v>1.4</v>
      </c>
      <c r="AX282">
        <v>24</v>
      </c>
      <c r="AY282">
        <v>25</v>
      </c>
      <c r="AZ282">
        <v>24</v>
      </c>
      <c r="BA282">
        <v>-2.0000000000000009</v>
      </c>
      <c r="BB282">
        <v>26</v>
      </c>
      <c r="BC282">
        <v>-20</v>
      </c>
      <c r="BD282">
        <v>-0.11999999999999993</v>
      </c>
      <c r="BE282">
        <v>14</v>
      </c>
      <c r="BF282">
        <v>13.5</v>
      </c>
      <c r="BG282">
        <v>13</v>
      </c>
      <c r="BH282">
        <v>1.08</v>
      </c>
      <c r="BI282">
        <v>-0.32000000000000028</v>
      </c>
      <c r="BJ282">
        <v>-1.0000000000000002</v>
      </c>
      <c r="BK282">
        <v>14</v>
      </c>
      <c r="BL282">
        <v>13.5</v>
      </c>
      <c r="BM282">
        <v>19</v>
      </c>
      <c r="BN282">
        <v>0.24000000000000005</v>
      </c>
      <c r="BO282">
        <v>8</v>
      </c>
      <c r="BP282">
        <v>0.48</v>
      </c>
      <c r="BQ282">
        <v>0.31999999999999995</v>
      </c>
      <c r="BR282">
        <v>8</v>
      </c>
      <c r="BS282">
        <v>12</v>
      </c>
      <c r="BT282">
        <v>2</v>
      </c>
      <c r="BU282">
        <v>7.7811455412185065E-2</v>
      </c>
      <c r="BV282">
        <v>17</v>
      </c>
      <c r="BW282">
        <v>-1.4097456669437819E-3</v>
      </c>
      <c r="BX282">
        <v>12</v>
      </c>
      <c r="BY282">
        <v>-3.0959999999999979</v>
      </c>
      <c r="BZ282">
        <v>17</v>
      </c>
      <c r="CA282">
        <v>-0.2</v>
      </c>
      <c r="CB282">
        <v>-0.11999999999999886</v>
      </c>
      <c r="CC282">
        <v>-1.9200000000000004</v>
      </c>
      <c r="CD282">
        <v>1.1600000000000001</v>
      </c>
      <c r="CE282">
        <v>-21.679999999999996</v>
      </c>
      <c r="CF282">
        <v>7.5200000000000049</v>
      </c>
      <c r="CG282">
        <v>-20.64</v>
      </c>
      <c r="CH282">
        <v>-1.6800000000000002</v>
      </c>
      <c r="CI282">
        <v>-6.8799999999999981</v>
      </c>
      <c r="CJ282">
        <v>15</v>
      </c>
      <c r="CK282">
        <v>0.85280000000000111</v>
      </c>
      <c r="CL282">
        <v>-5.6239999999999513E-2</v>
      </c>
      <c r="CM282">
        <v>28.160000000000004</v>
      </c>
      <c r="CN282">
        <v>-0.85280000000000122</v>
      </c>
      <c r="CO282">
        <v>-0.66839999999999955</v>
      </c>
      <c r="CP282">
        <v>-4.4879999999999987</v>
      </c>
      <c r="CQ282">
        <v>-23.11999999999999</v>
      </c>
      <c r="CR282">
        <v>-1.5159999999999996</v>
      </c>
      <c r="CS282">
        <v>-23</v>
      </c>
      <c r="CT282">
        <v>-1.0800000000000003</v>
      </c>
      <c r="CU282">
        <v>0.52</v>
      </c>
      <c r="CV282">
        <v>0.39348749999999988</v>
      </c>
      <c r="CW282">
        <v>0.33259999999999978</v>
      </c>
      <c r="CX282" t="s">
        <v>272</v>
      </c>
      <c r="CY282">
        <v>10</v>
      </c>
      <c r="CZ282">
        <v>1.9240000000000019</v>
      </c>
      <c r="DA282">
        <v>25</v>
      </c>
      <c r="DB282">
        <v>23.5</v>
      </c>
      <c r="DC282">
        <v>29</v>
      </c>
      <c r="DD282">
        <v>-3.4480000000000004</v>
      </c>
      <c r="DE282">
        <v>18</v>
      </c>
      <c r="DF282">
        <v>-0.60000000000000286</v>
      </c>
      <c r="DG282">
        <v>-1.52</v>
      </c>
      <c r="DH282">
        <v>24</v>
      </c>
      <c r="DI282">
        <v>21.5</v>
      </c>
      <c r="DJ282">
        <v>19</v>
      </c>
      <c r="DK282">
        <v>-1.1080000000000005</v>
      </c>
      <c r="DL282">
        <v>24</v>
      </c>
      <c r="DM282">
        <v>-5.4800000000000022</v>
      </c>
      <c r="DN282">
        <v>0.32</v>
      </c>
      <c r="DO282">
        <v>1</v>
      </c>
      <c r="DP282">
        <v>4</v>
      </c>
      <c r="DQ282">
        <v>5</v>
      </c>
      <c r="DR282">
        <v>6.2349999999999994</v>
      </c>
      <c r="DS282">
        <v>3</v>
      </c>
      <c r="DT282">
        <v>40.9</v>
      </c>
      <c r="DU282">
        <v>1.23</v>
      </c>
      <c r="DV282">
        <v>17</v>
      </c>
      <c r="DW282">
        <v>16.5</v>
      </c>
      <c r="DX282">
        <v>19</v>
      </c>
      <c r="DY282">
        <v>-0.85600000000000021</v>
      </c>
      <c r="DZ282">
        <v>14</v>
      </c>
      <c r="EA282">
        <v>-0.28000000000000114</v>
      </c>
      <c r="EB282">
        <v>-8.0000000000000071E-2</v>
      </c>
      <c r="EC282">
        <v>6</v>
      </c>
      <c r="ED282">
        <v>8</v>
      </c>
      <c r="EE282">
        <v>6</v>
      </c>
      <c r="EF282">
        <v>0.90400000000000014</v>
      </c>
      <c r="EG282">
        <v>10</v>
      </c>
      <c r="EH282">
        <v>3.4400000000000004</v>
      </c>
      <c r="EI282">
        <v>0.16000000000000006</v>
      </c>
      <c r="EJ282">
        <v>2</v>
      </c>
      <c r="EK282">
        <v>3.5</v>
      </c>
      <c r="EL282">
        <v>5</v>
      </c>
      <c r="EM282">
        <v>4.9520000000000026</v>
      </c>
      <c r="EN282">
        <v>2</v>
      </c>
      <c r="EO282">
        <v>39.119999999999997</v>
      </c>
      <c r="EP282">
        <v>1.1600000000000001</v>
      </c>
      <c r="EQ282">
        <v>9</v>
      </c>
      <c r="ER282">
        <v>10</v>
      </c>
      <c r="ES282">
        <v>9</v>
      </c>
      <c r="ET282">
        <v>0.42399999999999982</v>
      </c>
      <c r="EU282">
        <v>11</v>
      </c>
      <c r="EV282">
        <v>1.4799999999999982</v>
      </c>
      <c r="EW282">
        <v>-7.9999999999999891E-2</v>
      </c>
      <c r="EX282">
        <v>20</v>
      </c>
      <c r="EY282">
        <v>21</v>
      </c>
      <c r="EZ282">
        <v>18</v>
      </c>
      <c r="FA282">
        <v>-0.43999999999999984</v>
      </c>
      <c r="FB282">
        <v>24</v>
      </c>
      <c r="FC282">
        <v>-0.6</v>
      </c>
      <c r="FD282">
        <v>0.6</v>
      </c>
      <c r="FE282">
        <v>22</v>
      </c>
      <c r="FF282">
        <v>18.25</v>
      </c>
      <c r="FG282">
        <v>13</v>
      </c>
      <c r="FH282">
        <v>2.5442784003915529E-3</v>
      </c>
      <c r="FI282">
        <v>15</v>
      </c>
      <c r="FJ282">
        <v>1.551280699644038E-3</v>
      </c>
      <c r="FK282">
        <v>19</v>
      </c>
      <c r="FL282">
        <v>0.95999999999999375</v>
      </c>
      <c r="FM282">
        <v>26</v>
      </c>
      <c r="FN282">
        <v>-2</v>
      </c>
      <c r="FO282">
        <v>0</v>
      </c>
      <c r="FP282">
        <v>-1.2799999999999998</v>
      </c>
      <c r="FQ282">
        <v>-0.23999999999999994</v>
      </c>
      <c r="FR282">
        <v>-0.8</v>
      </c>
      <c r="FS282">
        <v>-1.1600000000000006</v>
      </c>
      <c r="FT282">
        <v>-0.15999999999999998</v>
      </c>
      <c r="FU282">
        <v>26.439999999999998</v>
      </c>
      <c r="FV282">
        <v>31.52000000000001</v>
      </c>
      <c r="FW282">
        <v>-1.4400000000000035</v>
      </c>
      <c r="FX282">
        <v>-1.48</v>
      </c>
      <c r="FY282">
        <v>-2.1599999999999988</v>
      </c>
      <c r="FZ282">
        <v>5</v>
      </c>
      <c r="GA282">
        <v>6.4800000000000031</v>
      </c>
      <c r="GB282">
        <v>4.0042000000000009</v>
      </c>
      <c r="GC282">
        <v>32.960000000000015</v>
      </c>
      <c r="GD282">
        <v>-6.4800000000000031</v>
      </c>
      <c r="GE282">
        <v>0.45437500000000003</v>
      </c>
      <c r="GF282">
        <v>6.2829999999999995</v>
      </c>
      <c r="GG282">
        <v>44.059999999999995</v>
      </c>
      <c r="GH282">
        <v>-4.5560000000000009</v>
      </c>
      <c r="GI282">
        <v>-6.0800000000000054</v>
      </c>
      <c r="GJ282">
        <v>1.2300000000000002</v>
      </c>
      <c r="GK282">
        <v>-1.2</v>
      </c>
    </row>
    <row r="283" spans="1:193" x14ac:dyDescent="0.2">
      <c r="A283" s="39">
        <v>43800</v>
      </c>
      <c r="B283" s="22" t="s">
        <v>241</v>
      </c>
      <c r="C283" s="41" t="s">
        <v>294</v>
      </c>
      <c r="D283" s="22" t="s">
        <v>293</v>
      </c>
      <c r="E283">
        <v>31.7</v>
      </c>
      <c r="F283">
        <v>9.1</v>
      </c>
      <c r="G283">
        <v>8.5</v>
      </c>
      <c r="H283">
        <v>18</v>
      </c>
      <c r="I283">
        <v>-10.5</v>
      </c>
      <c r="J283">
        <v>45</v>
      </c>
      <c r="L283" s="1" t="s">
        <v>294</v>
      </c>
      <c r="M283">
        <v>20</v>
      </c>
      <c r="N283">
        <v>-0.91520000000000012</v>
      </c>
      <c r="O283">
        <v>16</v>
      </c>
      <c r="P283">
        <v>16.5</v>
      </c>
      <c r="Q283">
        <v>18</v>
      </c>
      <c r="R283">
        <v>0.27599999999999997</v>
      </c>
      <c r="S283">
        <v>15</v>
      </c>
      <c r="T283">
        <v>2.5199999999999974</v>
      </c>
      <c r="U283">
        <v>-0.35999999999999988</v>
      </c>
      <c r="V283">
        <v>9</v>
      </c>
      <c r="W283">
        <v>10.5</v>
      </c>
      <c r="X283">
        <v>16</v>
      </c>
      <c r="Y283">
        <v>0.8600000000000001</v>
      </c>
      <c r="Z283">
        <v>5</v>
      </c>
      <c r="AA283">
        <v>14.919999999999998</v>
      </c>
      <c r="AB283">
        <v>-1.2799999999999998</v>
      </c>
      <c r="AC283">
        <v>19</v>
      </c>
      <c r="AD283">
        <v>18.5</v>
      </c>
      <c r="AE283">
        <v>20</v>
      </c>
      <c r="AF283">
        <v>-1.1999999999999122E-2</v>
      </c>
      <c r="AG283">
        <v>17</v>
      </c>
      <c r="AH283">
        <v>3.5500000000000007</v>
      </c>
      <c r="AI283">
        <v>0.54999999999999982</v>
      </c>
      <c r="AJ283">
        <v>30</v>
      </c>
      <c r="AK283">
        <v>30</v>
      </c>
      <c r="AL283">
        <v>29</v>
      </c>
      <c r="AM283">
        <v>-5.26</v>
      </c>
      <c r="AN283">
        <v>31</v>
      </c>
      <c r="AO283">
        <v>-30.1</v>
      </c>
      <c r="AP283">
        <v>-0.14999999999999991</v>
      </c>
      <c r="AQ283">
        <v>23</v>
      </c>
      <c r="AR283">
        <v>23.5</v>
      </c>
      <c r="AS283">
        <v>24</v>
      </c>
      <c r="AT283">
        <v>-1.8900000000000003</v>
      </c>
      <c r="AU283">
        <v>23</v>
      </c>
      <c r="AV283">
        <v>-8.0500000000000007</v>
      </c>
      <c r="AW283">
        <v>-2.1</v>
      </c>
      <c r="AX283">
        <v>20</v>
      </c>
      <c r="AY283">
        <v>20</v>
      </c>
      <c r="AZ283">
        <v>19</v>
      </c>
      <c r="BA283">
        <v>-0.35600000000000132</v>
      </c>
      <c r="BB283">
        <v>21</v>
      </c>
      <c r="BC283">
        <v>-5.5600000000000023</v>
      </c>
      <c r="BD283">
        <v>1</v>
      </c>
      <c r="BE283">
        <v>1</v>
      </c>
      <c r="BF283">
        <v>1</v>
      </c>
      <c r="BG283">
        <v>1</v>
      </c>
      <c r="BH283">
        <v>13.012</v>
      </c>
      <c r="BI283">
        <v>47.051200000000001</v>
      </c>
      <c r="BJ283">
        <v>7.0399999999999991</v>
      </c>
      <c r="BK283">
        <v>23</v>
      </c>
      <c r="BL283">
        <v>22.5</v>
      </c>
      <c r="BM283">
        <v>24</v>
      </c>
      <c r="BN283">
        <v>-0.47999999999999987</v>
      </c>
      <c r="BO283">
        <v>21</v>
      </c>
      <c r="BP283">
        <v>-0.20000000000000009</v>
      </c>
      <c r="BQ283">
        <v>0.4</v>
      </c>
      <c r="BR283">
        <v>6</v>
      </c>
      <c r="BS283">
        <v>10.25</v>
      </c>
      <c r="BT283">
        <v>16</v>
      </c>
      <c r="BU283">
        <v>9.6250397225153828E-3</v>
      </c>
      <c r="BV283">
        <v>4</v>
      </c>
      <c r="BW283">
        <v>2.1977118153226109E-2</v>
      </c>
      <c r="BX283">
        <v>6</v>
      </c>
      <c r="BY283">
        <v>-6.044000000000004</v>
      </c>
      <c r="BZ283">
        <v>15</v>
      </c>
      <c r="CA283">
        <v>8.0000000000000251E-2</v>
      </c>
      <c r="CB283">
        <v>5.8000000000000016</v>
      </c>
      <c r="CC283">
        <v>1.2</v>
      </c>
      <c r="CD283">
        <v>-1.2</v>
      </c>
      <c r="CE283">
        <v>12.999999999999989</v>
      </c>
      <c r="CF283">
        <v>-9.8799999999999955</v>
      </c>
      <c r="CG283">
        <v>17.360000000000003</v>
      </c>
      <c r="CH283">
        <v>-1.3199999999999998</v>
      </c>
      <c r="CI283">
        <v>6.8400000000000007</v>
      </c>
      <c r="CJ283">
        <v>18</v>
      </c>
      <c r="CK283">
        <v>-2.0512000000000001</v>
      </c>
      <c r="CL283">
        <v>0.41896000000000011</v>
      </c>
      <c r="CM283">
        <v>-27.24</v>
      </c>
      <c r="CN283">
        <v>2.0512000000000001</v>
      </c>
      <c r="CO283">
        <v>0.69885000000000019</v>
      </c>
      <c r="CP283">
        <v>-7.161999999999999</v>
      </c>
      <c r="CQ283">
        <v>-34.6</v>
      </c>
      <c r="CR283">
        <v>1.1360000000000001</v>
      </c>
      <c r="CS283">
        <v>17.439999999999994</v>
      </c>
      <c r="CT283">
        <v>5.339999999999999</v>
      </c>
      <c r="CU283">
        <v>-1.6399999999999997</v>
      </c>
      <c r="CV283">
        <v>0.35110000000000019</v>
      </c>
      <c r="CW283">
        <v>-1.5821999999999998</v>
      </c>
      <c r="CX283" t="s">
        <v>293</v>
      </c>
      <c r="CY283">
        <v>2</v>
      </c>
      <c r="CZ283">
        <v>3.3720000000000012</v>
      </c>
      <c r="DA283">
        <v>1</v>
      </c>
      <c r="DB283">
        <v>1.5</v>
      </c>
      <c r="DC283">
        <v>1</v>
      </c>
      <c r="DD283">
        <v>2.0519999999999996</v>
      </c>
      <c r="DE283">
        <v>2</v>
      </c>
      <c r="DF283">
        <v>3.7599999999999967</v>
      </c>
      <c r="DG283">
        <v>0.72</v>
      </c>
      <c r="DH283">
        <v>30</v>
      </c>
      <c r="DI283">
        <v>27</v>
      </c>
      <c r="DJ283">
        <v>27</v>
      </c>
      <c r="DK283">
        <v>-1.3280000000000001</v>
      </c>
      <c r="DL283">
        <v>27</v>
      </c>
      <c r="DM283">
        <v>-4.3600000000000003</v>
      </c>
      <c r="DN283">
        <v>-8.0000000000000029E-2</v>
      </c>
      <c r="DO283">
        <v>2</v>
      </c>
      <c r="DP283">
        <v>1.5</v>
      </c>
      <c r="DQ283">
        <v>1</v>
      </c>
      <c r="DR283">
        <v>9.8941999999999997</v>
      </c>
      <c r="DS283">
        <v>2</v>
      </c>
      <c r="DT283">
        <v>32.19</v>
      </c>
      <c r="DU283">
        <v>2.7299999999999995</v>
      </c>
      <c r="DV283">
        <v>8</v>
      </c>
      <c r="DW283">
        <v>7</v>
      </c>
      <c r="DX283">
        <v>6</v>
      </c>
      <c r="DY283">
        <v>1.1239999999999997</v>
      </c>
      <c r="DZ283">
        <v>8</v>
      </c>
      <c r="EA283">
        <v>8.370000000000001</v>
      </c>
      <c r="EB283">
        <v>-8.0000000000000071E-2</v>
      </c>
      <c r="EC283">
        <v>29</v>
      </c>
      <c r="ED283">
        <v>24</v>
      </c>
      <c r="EE283">
        <v>22</v>
      </c>
      <c r="EF283">
        <v>-0.73899999999999966</v>
      </c>
      <c r="EG283">
        <v>26</v>
      </c>
      <c r="EH283">
        <v>-8.09</v>
      </c>
      <c r="EI283">
        <v>0.16000000000000006</v>
      </c>
      <c r="EJ283">
        <v>9</v>
      </c>
      <c r="EK283">
        <v>9</v>
      </c>
      <c r="EL283">
        <v>8</v>
      </c>
      <c r="EM283">
        <v>0.12399999999999914</v>
      </c>
      <c r="EN283">
        <v>10</v>
      </c>
      <c r="EO283">
        <v>0.43999999999999917</v>
      </c>
      <c r="EP283">
        <v>0.27999999999999992</v>
      </c>
      <c r="EQ283">
        <v>19</v>
      </c>
      <c r="ER283">
        <v>18.5</v>
      </c>
      <c r="ES283">
        <v>25</v>
      </c>
      <c r="ET283">
        <v>-0.17999999999999935</v>
      </c>
      <c r="EU283">
        <v>12</v>
      </c>
      <c r="EV283">
        <v>5.1471999999999989</v>
      </c>
      <c r="EW283">
        <v>1.04</v>
      </c>
      <c r="EX283">
        <v>1</v>
      </c>
      <c r="EY283">
        <v>1.5</v>
      </c>
      <c r="EZ283">
        <v>1</v>
      </c>
      <c r="FA283">
        <v>4.08</v>
      </c>
      <c r="FB283">
        <v>2</v>
      </c>
      <c r="FC283">
        <v>0.91999999999999993</v>
      </c>
      <c r="FD283">
        <v>-1.56</v>
      </c>
      <c r="FE283">
        <v>31</v>
      </c>
      <c r="FF283">
        <v>29</v>
      </c>
      <c r="FG283">
        <v>29</v>
      </c>
      <c r="FH283">
        <v>-6.3585029344177035E-2</v>
      </c>
      <c r="FI283">
        <v>32</v>
      </c>
      <c r="FJ283">
        <v>-3.1586937526708284E-2</v>
      </c>
      <c r="FK283">
        <v>30</v>
      </c>
      <c r="FL283">
        <v>10.563999999999998</v>
      </c>
      <c r="FM283">
        <v>25</v>
      </c>
      <c r="FN283">
        <v>-1.8399999999999999</v>
      </c>
      <c r="FO283">
        <v>4.1199999999999992</v>
      </c>
      <c r="FP283">
        <v>-1.4</v>
      </c>
      <c r="FQ283">
        <v>-1.1199999999999999</v>
      </c>
      <c r="FR283">
        <v>0</v>
      </c>
      <c r="FS283">
        <v>5.4799999999999986</v>
      </c>
      <c r="FT283">
        <v>-0.4</v>
      </c>
      <c r="FU283">
        <v>29.080000000000005</v>
      </c>
      <c r="FV283">
        <v>36.200000000000003</v>
      </c>
      <c r="FW283">
        <v>-1.7599999999999993</v>
      </c>
      <c r="FX283">
        <v>-1.3199999999999998</v>
      </c>
      <c r="FY283">
        <v>-4.0400000000000009</v>
      </c>
      <c r="FZ283">
        <v>11</v>
      </c>
      <c r="GA283">
        <v>2.6480000000000015</v>
      </c>
      <c r="GB283">
        <v>2.3322400000000005</v>
      </c>
      <c r="GC283">
        <v>37.96</v>
      </c>
      <c r="GD283">
        <v>-2.6480000000000015</v>
      </c>
      <c r="GE283">
        <v>2.2844000000000002</v>
      </c>
      <c r="GF283">
        <v>10.279200000000001</v>
      </c>
      <c r="GG283">
        <v>32.47</v>
      </c>
      <c r="GH283">
        <v>0.72399999999999953</v>
      </c>
      <c r="GI283">
        <v>-0.60000000000000364</v>
      </c>
      <c r="GJ283">
        <v>3.8499999999999996</v>
      </c>
      <c r="GK283">
        <v>0.6399999999999999</v>
      </c>
    </row>
    <row r="284" spans="1:193" x14ac:dyDescent="0.2">
      <c r="A284" s="39">
        <v>43800</v>
      </c>
      <c r="B284" s="22" t="s">
        <v>241</v>
      </c>
      <c r="C284" s="41" t="s">
        <v>309</v>
      </c>
      <c r="D284" s="22" t="s">
        <v>281</v>
      </c>
      <c r="E284">
        <v>24.1</v>
      </c>
      <c r="F284">
        <v>4.0999999999999996</v>
      </c>
      <c r="G284">
        <v>3.8</v>
      </c>
      <c r="H284">
        <v>6.8</v>
      </c>
      <c r="I284">
        <v>1</v>
      </c>
      <c r="J284">
        <v>40</v>
      </c>
      <c r="L284" s="1" t="s">
        <v>309</v>
      </c>
      <c r="M284">
        <v>31</v>
      </c>
      <c r="N284">
        <v>-6.5783999999999994</v>
      </c>
      <c r="O284">
        <v>12</v>
      </c>
      <c r="P284">
        <v>14.5</v>
      </c>
      <c r="Q284">
        <v>9</v>
      </c>
      <c r="R284">
        <v>1.3679999999999997</v>
      </c>
      <c r="S284">
        <v>20</v>
      </c>
      <c r="T284">
        <v>-7.6800000000000015</v>
      </c>
      <c r="U284">
        <v>2.2399999999999998</v>
      </c>
      <c r="V284">
        <v>9</v>
      </c>
      <c r="W284">
        <v>10.5</v>
      </c>
      <c r="X284">
        <v>11</v>
      </c>
      <c r="Y284">
        <v>1.1599999999999999</v>
      </c>
      <c r="Z284">
        <v>10</v>
      </c>
      <c r="AA284">
        <v>4.96</v>
      </c>
      <c r="AB284">
        <v>0.51999999999999991</v>
      </c>
      <c r="AC284">
        <v>13</v>
      </c>
      <c r="AD284">
        <v>14.5</v>
      </c>
      <c r="AE284">
        <v>19</v>
      </c>
      <c r="AF284">
        <v>-0.94499999999999984</v>
      </c>
      <c r="AG284">
        <v>10</v>
      </c>
      <c r="AH284">
        <v>8.5625000000000018</v>
      </c>
      <c r="AI284">
        <v>-1.925</v>
      </c>
      <c r="AJ284">
        <v>17</v>
      </c>
      <c r="AK284">
        <v>17.5</v>
      </c>
      <c r="AL284">
        <v>19</v>
      </c>
      <c r="AM284">
        <v>-0.79600000000000048</v>
      </c>
      <c r="AN284">
        <v>16</v>
      </c>
      <c r="AO284">
        <v>0.9600000000000023</v>
      </c>
      <c r="AP284">
        <v>-0.9600000000000003</v>
      </c>
      <c r="AQ284">
        <v>18</v>
      </c>
      <c r="AR284">
        <v>17.5</v>
      </c>
      <c r="AS284">
        <v>20</v>
      </c>
      <c r="AT284">
        <v>-1.212</v>
      </c>
      <c r="AU284">
        <v>15</v>
      </c>
      <c r="AV284">
        <v>0.6399999999999999</v>
      </c>
      <c r="AW284">
        <v>-1.08</v>
      </c>
      <c r="AX284">
        <v>31</v>
      </c>
      <c r="AY284">
        <v>31.5</v>
      </c>
      <c r="AZ284">
        <v>32</v>
      </c>
      <c r="BA284">
        <v>-10.824000000000002</v>
      </c>
      <c r="BB284">
        <v>31</v>
      </c>
      <c r="BC284">
        <v>-41.84</v>
      </c>
      <c r="BD284">
        <v>-3.84</v>
      </c>
      <c r="BE284">
        <v>28</v>
      </c>
      <c r="BF284">
        <v>27.5</v>
      </c>
      <c r="BG284">
        <v>24</v>
      </c>
      <c r="BH284">
        <v>-3.8319999999999999</v>
      </c>
      <c r="BI284">
        <v>-23.919999999999998</v>
      </c>
      <c r="BJ284">
        <v>-0.55999999999999983</v>
      </c>
      <c r="BK284">
        <v>3</v>
      </c>
      <c r="BL284">
        <v>5.5</v>
      </c>
      <c r="BM284">
        <v>5</v>
      </c>
      <c r="BN284">
        <v>2.2399999999999998</v>
      </c>
      <c r="BO284">
        <v>6</v>
      </c>
      <c r="BP284">
        <v>0.72</v>
      </c>
      <c r="BQ284">
        <v>5.88</v>
      </c>
      <c r="BR284">
        <v>12</v>
      </c>
      <c r="BS284">
        <v>13.25</v>
      </c>
      <c r="BT284">
        <v>9</v>
      </c>
      <c r="BU284">
        <v>3.7675928640916991E-2</v>
      </c>
      <c r="BV284">
        <v>20</v>
      </c>
      <c r="BW284">
        <v>-6.4737062702296191E-3</v>
      </c>
      <c r="BX284">
        <v>19</v>
      </c>
      <c r="BY284">
        <v>0.58800000000000385</v>
      </c>
      <c r="BZ284">
        <v>5</v>
      </c>
      <c r="CA284">
        <v>3.04</v>
      </c>
      <c r="CB284">
        <v>1.5599999999999994</v>
      </c>
      <c r="CC284">
        <v>-3.4800000000000004</v>
      </c>
      <c r="CD284">
        <v>1.24</v>
      </c>
      <c r="CE284">
        <v>-27.320000000000004</v>
      </c>
      <c r="CF284">
        <v>-19.719999999999992</v>
      </c>
      <c r="CG284">
        <v>4.0799999999999983</v>
      </c>
      <c r="CH284">
        <v>1.56</v>
      </c>
      <c r="CI284">
        <v>-13.24</v>
      </c>
      <c r="CJ284">
        <v>31</v>
      </c>
      <c r="CK284">
        <v>-9.1063999999999989</v>
      </c>
      <c r="CL284">
        <v>-3.9366799999999995</v>
      </c>
      <c r="CM284">
        <v>-23.79999999999999</v>
      </c>
      <c r="CN284">
        <v>9.1063999999999989</v>
      </c>
      <c r="CO284">
        <v>-1.074425</v>
      </c>
      <c r="CP284">
        <v>-2.9530000000000003</v>
      </c>
      <c r="CQ284">
        <v>10.162500000000005</v>
      </c>
      <c r="CR284">
        <v>2.5279999999999996</v>
      </c>
      <c r="CS284">
        <v>-2.7200000000000015</v>
      </c>
      <c r="CT284">
        <v>-4.5250000000000004</v>
      </c>
      <c r="CU284">
        <v>2.76</v>
      </c>
      <c r="CV284">
        <v>-1.1652281250000001</v>
      </c>
      <c r="CW284">
        <v>-1.8527</v>
      </c>
      <c r="CX284" t="s">
        <v>281</v>
      </c>
      <c r="CY284">
        <v>11</v>
      </c>
      <c r="CZ284">
        <v>1.7832000000000015</v>
      </c>
      <c r="DA284">
        <v>19</v>
      </c>
      <c r="DB284">
        <v>20</v>
      </c>
      <c r="DC284">
        <v>20</v>
      </c>
      <c r="DD284">
        <v>-1.0080000000000013</v>
      </c>
      <c r="DE284">
        <v>20</v>
      </c>
      <c r="DF284">
        <v>-2.2000000000000002</v>
      </c>
      <c r="DG284">
        <v>-1.04</v>
      </c>
      <c r="DH284">
        <v>25</v>
      </c>
      <c r="DI284">
        <v>22.5</v>
      </c>
      <c r="DJ284">
        <v>19</v>
      </c>
      <c r="DK284">
        <v>-1.0840000000000001</v>
      </c>
      <c r="DL284">
        <v>26</v>
      </c>
      <c r="DM284">
        <v>-6.12</v>
      </c>
      <c r="DN284">
        <v>-0.28000000000000014</v>
      </c>
      <c r="DO284">
        <v>10</v>
      </c>
      <c r="DP284">
        <v>12</v>
      </c>
      <c r="DQ284">
        <v>13</v>
      </c>
      <c r="DR284">
        <v>0.18674999999999908</v>
      </c>
      <c r="DS284">
        <v>11</v>
      </c>
      <c r="DT284">
        <v>3.4250000000000007</v>
      </c>
      <c r="DU284">
        <v>-6.25E-2</v>
      </c>
      <c r="DV284">
        <v>21</v>
      </c>
      <c r="DW284">
        <v>22</v>
      </c>
      <c r="DX284">
        <v>21</v>
      </c>
      <c r="DY284">
        <v>-2.3559999999999999</v>
      </c>
      <c r="DZ284">
        <v>23</v>
      </c>
      <c r="EA284">
        <v>-9.5200000000000014</v>
      </c>
      <c r="EB284">
        <v>4.0000000000000036E-2</v>
      </c>
      <c r="EC284">
        <v>21</v>
      </c>
      <c r="ED284">
        <v>19.5</v>
      </c>
      <c r="EE284">
        <v>19</v>
      </c>
      <c r="EF284">
        <v>-0.58800000000000008</v>
      </c>
      <c r="EG284">
        <v>20</v>
      </c>
      <c r="EH284">
        <v>-2.4</v>
      </c>
      <c r="EI284">
        <v>0.44000000000000006</v>
      </c>
      <c r="EJ284">
        <v>10</v>
      </c>
      <c r="EK284">
        <v>11.5</v>
      </c>
      <c r="EL284">
        <v>12</v>
      </c>
      <c r="EM284">
        <v>1.5719999999999998</v>
      </c>
      <c r="EN284">
        <v>11</v>
      </c>
      <c r="EO284">
        <v>6.919999999999999</v>
      </c>
      <c r="EP284">
        <v>-0.12000000000000011</v>
      </c>
      <c r="EQ284">
        <v>4</v>
      </c>
      <c r="ER284">
        <v>4</v>
      </c>
      <c r="ES284">
        <v>5</v>
      </c>
      <c r="ET284">
        <v>2.8280000000000003</v>
      </c>
      <c r="EU284">
        <v>3</v>
      </c>
      <c r="EV284">
        <v>17.36</v>
      </c>
      <c r="EW284">
        <v>-0.19999999999999982</v>
      </c>
      <c r="EX284">
        <v>29</v>
      </c>
      <c r="EY284">
        <v>27</v>
      </c>
      <c r="EZ284">
        <v>30</v>
      </c>
      <c r="FA284">
        <v>-3.5839999999999996</v>
      </c>
      <c r="FB284">
        <v>24</v>
      </c>
      <c r="FC284">
        <v>-0.64000000000000012</v>
      </c>
      <c r="FD284">
        <v>-5.4399999999999995</v>
      </c>
      <c r="FE284">
        <v>9</v>
      </c>
      <c r="FF284">
        <v>12.5</v>
      </c>
      <c r="FG284">
        <v>8</v>
      </c>
      <c r="FH284">
        <v>3.1966416667051599E-2</v>
      </c>
      <c r="FI284">
        <v>16</v>
      </c>
      <c r="FJ284">
        <v>4.1445162678672569E-4</v>
      </c>
      <c r="FK284">
        <v>7</v>
      </c>
      <c r="FL284">
        <v>-4.6960000000000033</v>
      </c>
      <c r="FM284">
        <v>19</v>
      </c>
      <c r="FN284">
        <v>-0.35999999999999976</v>
      </c>
      <c r="FO284">
        <v>0.6399999999999999</v>
      </c>
      <c r="FP284">
        <v>-5.4399999999999995</v>
      </c>
      <c r="FQ284">
        <v>0.20000000000000009</v>
      </c>
      <c r="FR284">
        <v>-4.2799999999999994</v>
      </c>
      <c r="FS284">
        <v>-0.8</v>
      </c>
      <c r="FT284">
        <v>-1.1599999999999997</v>
      </c>
      <c r="FU284">
        <v>0.31999999999999318</v>
      </c>
      <c r="FV284">
        <v>4.4799999999999951</v>
      </c>
      <c r="FW284">
        <v>-9.5599999999999987</v>
      </c>
      <c r="FX284">
        <v>0.28000000000000008</v>
      </c>
      <c r="FY284">
        <v>5.12</v>
      </c>
      <c r="FZ284">
        <v>8</v>
      </c>
      <c r="GA284">
        <v>3.8752000000000026</v>
      </c>
      <c r="GB284">
        <v>1.4167900000000009</v>
      </c>
      <c r="GC284">
        <v>14.039999999999994</v>
      </c>
      <c r="GD284">
        <v>-3.8752000000000031</v>
      </c>
      <c r="GE284">
        <v>-0.47775624999999999</v>
      </c>
      <c r="GF284">
        <v>-2.7572500000000009</v>
      </c>
      <c r="GG284">
        <v>-8.495000000000001</v>
      </c>
      <c r="GH284">
        <v>-2.0920000000000014</v>
      </c>
      <c r="GI284">
        <v>-8.32</v>
      </c>
      <c r="GJ284">
        <v>0.21750000000000028</v>
      </c>
      <c r="GK284">
        <v>-1.3200000000000003</v>
      </c>
    </row>
    <row r="285" spans="1:193" x14ac:dyDescent="0.2">
      <c r="A285" s="39">
        <v>43800</v>
      </c>
      <c r="B285" s="22" t="s">
        <v>241</v>
      </c>
      <c r="C285" s="40" t="s">
        <v>256</v>
      </c>
      <c r="D285" s="22" t="s">
        <v>305</v>
      </c>
      <c r="E285">
        <v>8.1</v>
      </c>
      <c r="F285">
        <v>14.1</v>
      </c>
      <c r="G285">
        <v>7.2</v>
      </c>
      <c r="H285">
        <v>3.4</v>
      </c>
      <c r="I285">
        <v>5.5</v>
      </c>
      <c r="J285">
        <v>45</v>
      </c>
      <c r="K285" t="s">
        <v>110</v>
      </c>
      <c r="L285" s="1" t="s">
        <v>256</v>
      </c>
      <c r="M285">
        <v>14</v>
      </c>
      <c r="N285">
        <v>0.4431999999999981</v>
      </c>
      <c r="O285">
        <v>26</v>
      </c>
      <c r="P285">
        <v>24.5</v>
      </c>
      <c r="Q285">
        <v>25</v>
      </c>
      <c r="R285">
        <v>-2.7960000000000003</v>
      </c>
      <c r="S285">
        <v>24</v>
      </c>
      <c r="T285">
        <v>-7.2399999999999993</v>
      </c>
      <c r="U285">
        <v>-1.0399999999999998</v>
      </c>
      <c r="V285">
        <v>5</v>
      </c>
      <c r="W285">
        <v>8</v>
      </c>
      <c r="X285">
        <v>9</v>
      </c>
      <c r="Y285">
        <v>1.5399999999999996</v>
      </c>
      <c r="Z285">
        <v>7</v>
      </c>
      <c r="AA285">
        <v>6.0399999999999991</v>
      </c>
      <c r="AB285">
        <v>0.76</v>
      </c>
      <c r="AC285">
        <v>23</v>
      </c>
      <c r="AD285">
        <v>22</v>
      </c>
      <c r="AE285">
        <v>24</v>
      </c>
      <c r="AF285">
        <v>-2.2220000000000018</v>
      </c>
      <c r="AG285">
        <v>20</v>
      </c>
      <c r="AH285">
        <v>-4.089999999999999</v>
      </c>
      <c r="AI285">
        <v>-1.1400000000000006</v>
      </c>
      <c r="AJ285">
        <v>27</v>
      </c>
      <c r="AK285">
        <v>27</v>
      </c>
      <c r="AL285">
        <v>25</v>
      </c>
      <c r="AM285">
        <v>-3.2549999999999999</v>
      </c>
      <c r="AN285">
        <v>29</v>
      </c>
      <c r="AO285">
        <v>-27.27</v>
      </c>
      <c r="AP285">
        <v>-2.1799999999999997</v>
      </c>
      <c r="AQ285">
        <v>13</v>
      </c>
      <c r="AR285">
        <v>14.5</v>
      </c>
      <c r="AS285">
        <v>16</v>
      </c>
      <c r="AT285">
        <v>-0.25300000000000011</v>
      </c>
      <c r="AU285">
        <v>13</v>
      </c>
      <c r="AV285">
        <v>0.87000000000000033</v>
      </c>
      <c r="AW285">
        <v>-0.96000000000000019</v>
      </c>
      <c r="AX285">
        <v>19</v>
      </c>
      <c r="AY285">
        <v>19.5</v>
      </c>
      <c r="AZ285">
        <v>20</v>
      </c>
      <c r="BA285">
        <v>-0.95599999999999774</v>
      </c>
      <c r="BB285">
        <v>19</v>
      </c>
      <c r="BC285">
        <v>-3.5600000000000009</v>
      </c>
      <c r="BD285">
        <v>-2.3200000000000003</v>
      </c>
      <c r="BE285">
        <v>17</v>
      </c>
      <c r="BF285">
        <v>17.5</v>
      </c>
      <c r="BG285">
        <v>16</v>
      </c>
      <c r="BH285">
        <v>0.58399999999999896</v>
      </c>
      <c r="BI285">
        <v>-2.0127999999999999</v>
      </c>
      <c r="BJ285">
        <v>-1.0000000000000002</v>
      </c>
      <c r="BK285">
        <v>17</v>
      </c>
      <c r="BL285">
        <v>16</v>
      </c>
      <c r="BM285">
        <v>15</v>
      </c>
      <c r="BN285">
        <v>0.48000000000000026</v>
      </c>
      <c r="BO285">
        <v>17</v>
      </c>
      <c r="BP285">
        <v>-4.0000000000000077E-2</v>
      </c>
      <c r="BQ285">
        <v>3.3600000000000008</v>
      </c>
      <c r="BR285">
        <v>21</v>
      </c>
      <c r="BS285">
        <v>17.75</v>
      </c>
      <c r="BT285">
        <v>19</v>
      </c>
      <c r="BU285">
        <v>-1.1491454585293404E-2</v>
      </c>
      <c r="BV285">
        <v>3</v>
      </c>
      <c r="BW285">
        <v>2.4590179160782849E-2</v>
      </c>
      <c r="BX285">
        <v>29</v>
      </c>
      <c r="BY285">
        <v>11.867999999999995</v>
      </c>
      <c r="BZ285">
        <v>20</v>
      </c>
      <c r="CA285">
        <v>-1.08</v>
      </c>
      <c r="CB285">
        <v>-3.519999999999996</v>
      </c>
      <c r="CC285">
        <v>1.920000000000001</v>
      </c>
      <c r="CD285">
        <v>1.1200000000000001</v>
      </c>
      <c r="CE285">
        <v>-24.360000000000003</v>
      </c>
      <c r="CF285">
        <v>-25.159999999999997</v>
      </c>
      <c r="CG285">
        <v>3.0400000000000036</v>
      </c>
      <c r="CH285">
        <v>1.2000000000000002</v>
      </c>
      <c r="CI285">
        <v>-3.44</v>
      </c>
      <c r="CJ285">
        <v>13</v>
      </c>
      <c r="CK285">
        <v>1.6991999999999989</v>
      </c>
      <c r="CL285">
        <v>-0.31256000000000073</v>
      </c>
      <c r="CM285">
        <v>-28.2</v>
      </c>
      <c r="CN285">
        <v>-1.6991999999999987</v>
      </c>
      <c r="CO285">
        <v>-0.68485000000000062</v>
      </c>
      <c r="CP285">
        <v>-5.7300000000000022</v>
      </c>
      <c r="CQ285">
        <v>-30.49</v>
      </c>
      <c r="CR285">
        <v>-1.2560000000000007</v>
      </c>
      <c r="CS285">
        <v>-1.2000000000000002</v>
      </c>
      <c r="CT285">
        <v>-5.28</v>
      </c>
      <c r="CU285">
        <v>-0.2799999999999998</v>
      </c>
      <c r="CV285">
        <v>-2.0896000000000003</v>
      </c>
      <c r="CW285">
        <v>-1.9542000000000002</v>
      </c>
      <c r="CX285" t="s">
        <v>305</v>
      </c>
      <c r="CY285">
        <v>32</v>
      </c>
      <c r="CZ285">
        <v>-7.5903999999999998</v>
      </c>
      <c r="DA285">
        <v>4</v>
      </c>
      <c r="DB285">
        <v>5.5</v>
      </c>
      <c r="DC285">
        <v>6</v>
      </c>
      <c r="DD285">
        <v>2.0920000000000001</v>
      </c>
      <c r="DE285">
        <v>5</v>
      </c>
      <c r="DF285">
        <v>7.8399999999999981</v>
      </c>
      <c r="DG285">
        <v>8.0000000000000043E-2</v>
      </c>
      <c r="DH285">
        <v>27</v>
      </c>
      <c r="DI285">
        <v>24.5</v>
      </c>
      <c r="DJ285">
        <v>29</v>
      </c>
      <c r="DK285">
        <v>-2.6440000000000001</v>
      </c>
      <c r="DL285">
        <v>20</v>
      </c>
      <c r="DM285">
        <v>-5.04</v>
      </c>
      <c r="DN285">
        <v>-1.64</v>
      </c>
      <c r="DO285">
        <v>20</v>
      </c>
      <c r="DP285">
        <v>25</v>
      </c>
      <c r="DQ285">
        <v>27</v>
      </c>
      <c r="DR285">
        <v>-4.6816000000000013</v>
      </c>
      <c r="DS285">
        <v>23</v>
      </c>
      <c r="DT285">
        <v>-14.119999999999996</v>
      </c>
      <c r="DU285">
        <v>0.76</v>
      </c>
      <c r="DV285">
        <v>16</v>
      </c>
      <c r="DW285">
        <v>16</v>
      </c>
      <c r="DX285">
        <v>12</v>
      </c>
      <c r="DY285">
        <v>1.5159999999999998</v>
      </c>
      <c r="DZ285">
        <v>20</v>
      </c>
      <c r="EA285">
        <v>-1.2799999999999998</v>
      </c>
      <c r="EB285">
        <v>0.84000000000000008</v>
      </c>
      <c r="EC285">
        <v>22</v>
      </c>
      <c r="ED285">
        <v>29</v>
      </c>
      <c r="EE285">
        <v>31</v>
      </c>
      <c r="EF285">
        <v>-1.3160000000000003</v>
      </c>
      <c r="EG285">
        <v>27</v>
      </c>
      <c r="EH285">
        <v>-4.8</v>
      </c>
      <c r="EI285">
        <v>-0.2</v>
      </c>
      <c r="EJ285">
        <v>26</v>
      </c>
      <c r="EK285">
        <v>26.5</v>
      </c>
      <c r="EL285">
        <v>23</v>
      </c>
      <c r="EM285">
        <v>-3.5759999999999992</v>
      </c>
      <c r="EN285">
        <v>30</v>
      </c>
      <c r="EO285">
        <v>-37.36</v>
      </c>
      <c r="EP285">
        <v>8.0000000000000071E-2</v>
      </c>
      <c r="EQ285">
        <v>31</v>
      </c>
      <c r="ER285">
        <v>30.5</v>
      </c>
      <c r="ES285">
        <v>30</v>
      </c>
      <c r="ET285">
        <v>-3.8959999999999999</v>
      </c>
      <c r="EU285">
        <v>31</v>
      </c>
      <c r="EV285">
        <v>-17.240000000000002</v>
      </c>
      <c r="EW285">
        <v>-0.76</v>
      </c>
      <c r="EX285">
        <v>23</v>
      </c>
      <c r="EY285">
        <v>22.5</v>
      </c>
      <c r="EZ285">
        <v>27</v>
      </c>
      <c r="FA285">
        <v>-1.2800000000000002</v>
      </c>
      <c r="FB285">
        <v>18</v>
      </c>
      <c r="FC285">
        <v>-0.2</v>
      </c>
      <c r="FD285">
        <v>-7.4</v>
      </c>
      <c r="FE285">
        <v>5</v>
      </c>
      <c r="FF285">
        <v>9.75</v>
      </c>
      <c r="FG285">
        <v>15</v>
      </c>
      <c r="FH285">
        <v>-7.4433024707271089E-4</v>
      </c>
      <c r="FI285">
        <v>8</v>
      </c>
      <c r="FJ285">
        <v>1.8019051186429734E-2</v>
      </c>
      <c r="FK285">
        <v>15</v>
      </c>
      <c r="FL285">
        <v>-1.1039999999999979</v>
      </c>
      <c r="FM285">
        <v>1</v>
      </c>
      <c r="FN285">
        <v>6.7200000000000006</v>
      </c>
      <c r="FO285">
        <v>-2.4799999999999995</v>
      </c>
      <c r="FP285">
        <v>-2.2800000000000002</v>
      </c>
      <c r="FQ285">
        <v>-0.20000000000000012</v>
      </c>
      <c r="FR285">
        <v>-4.5200000000000005</v>
      </c>
      <c r="FS285">
        <v>-6.5200000000000005</v>
      </c>
      <c r="FT285">
        <v>-1.56</v>
      </c>
      <c r="FU285">
        <v>-48.64</v>
      </c>
      <c r="FV285">
        <v>-53.879999999999981</v>
      </c>
      <c r="FW285">
        <v>1.319999999999999</v>
      </c>
      <c r="FX285">
        <v>4.2799999999999994</v>
      </c>
      <c r="FY285">
        <v>-0.36000000000000038</v>
      </c>
      <c r="FZ285">
        <v>30</v>
      </c>
      <c r="GA285">
        <v>-7.0383999999999993</v>
      </c>
      <c r="GB285">
        <v>-2.9176000000000011</v>
      </c>
      <c r="GC285">
        <v>-55.199999999999982</v>
      </c>
      <c r="GD285">
        <v>7.0383999999999993</v>
      </c>
      <c r="GE285">
        <v>-2.2250000000000005</v>
      </c>
      <c r="GF285">
        <v>-4.481600000000002</v>
      </c>
      <c r="GG285">
        <v>-20.199999999999996</v>
      </c>
      <c r="GH285">
        <v>-0.55200000000000005</v>
      </c>
      <c r="GI285">
        <v>2.799999999999998</v>
      </c>
      <c r="GJ285">
        <v>0.64000000000000012</v>
      </c>
      <c r="GK285">
        <v>-1.5599999999999998</v>
      </c>
    </row>
    <row r="286" spans="1:193" x14ac:dyDescent="0.2">
      <c r="A286" s="39">
        <v>43800</v>
      </c>
      <c r="B286" s="22" t="s">
        <v>241</v>
      </c>
      <c r="C286" s="41" t="s">
        <v>308</v>
      </c>
      <c r="D286" s="22" t="s">
        <v>312</v>
      </c>
      <c r="E286">
        <v>0</v>
      </c>
      <c r="F286">
        <v>12.5</v>
      </c>
      <c r="G286">
        <v>14.5</v>
      </c>
      <c r="H286">
        <v>10.4</v>
      </c>
      <c r="I286">
        <v>-2.5</v>
      </c>
      <c r="J286">
        <v>48</v>
      </c>
      <c r="L286" s="1" t="s">
        <v>308</v>
      </c>
      <c r="M286">
        <v>10</v>
      </c>
      <c r="N286">
        <v>2.5223999999999993</v>
      </c>
      <c r="O286">
        <v>3</v>
      </c>
      <c r="P286">
        <v>6</v>
      </c>
      <c r="Q286">
        <v>10</v>
      </c>
      <c r="R286">
        <v>0.77999999999999969</v>
      </c>
      <c r="S286">
        <v>2</v>
      </c>
      <c r="T286">
        <v>23.52</v>
      </c>
      <c r="U286">
        <v>-2.16</v>
      </c>
      <c r="V286">
        <v>1</v>
      </c>
      <c r="W286">
        <v>1.5</v>
      </c>
      <c r="X286">
        <v>2</v>
      </c>
      <c r="Y286">
        <v>5.9999999999999991</v>
      </c>
      <c r="Z286">
        <v>1</v>
      </c>
      <c r="AA286">
        <v>31.880000000000003</v>
      </c>
      <c r="AB286">
        <v>-0.47999999999999987</v>
      </c>
      <c r="AC286">
        <v>19</v>
      </c>
      <c r="AD286">
        <v>18.5</v>
      </c>
      <c r="AE286">
        <v>15</v>
      </c>
      <c r="AF286">
        <v>-1.5807999999999993</v>
      </c>
      <c r="AG286">
        <v>22</v>
      </c>
      <c r="AH286">
        <v>-8.4400000000000013</v>
      </c>
      <c r="AI286">
        <v>-1.5599999999999998</v>
      </c>
      <c r="AJ286">
        <v>12</v>
      </c>
      <c r="AK286">
        <v>11.5</v>
      </c>
      <c r="AL286">
        <v>12</v>
      </c>
      <c r="AM286">
        <v>2.3600000000000008</v>
      </c>
      <c r="AN286">
        <v>11</v>
      </c>
      <c r="AO286">
        <v>10.6</v>
      </c>
      <c r="AP286">
        <v>0.88000000000000012</v>
      </c>
      <c r="AQ286">
        <v>17</v>
      </c>
      <c r="AR286">
        <v>17</v>
      </c>
      <c r="AS286">
        <v>17</v>
      </c>
      <c r="AT286">
        <v>0.82400000000000018</v>
      </c>
      <c r="AU286">
        <v>17</v>
      </c>
      <c r="AV286">
        <v>3.56</v>
      </c>
      <c r="AW286">
        <v>0.16000000000000006</v>
      </c>
      <c r="AX286">
        <v>24</v>
      </c>
      <c r="AY286">
        <v>25</v>
      </c>
      <c r="AZ286">
        <v>26</v>
      </c>
      <c r="BA286">
        <v>-2.4359999999999999</v>
      </c>
      <c r="BB286">
        <v>24</v>
      </c>
      <c r="BC286">
        <v>-7.5599999999999969</v>
      </c>
      <c r="BD286">
        <v>-1.2400000000000002</v>
      </c>
      <c r="BE286">
        <v>12</v>
      </c>
      <c r="BF286">
        <v>12.5</v>
      </c>
      <c r="BG286">
        <v>10</v>
      </c>
      <c r="BH286">
        <v>2.992</v>
      </c>
      <c r="BI286">
        <v>-0.35999999999999943</v>
      </c>
      <c r="BJ286">
        <v>-2.72</v>
      </c>
      <c r="BK286">
        <v>8</v>
      </c>
      <c r="BL286">
        <v>8.5</v>
      </c>
      <c r="BM286">
        <v>9</v>
      </c>
      <c r="BN286">
        <v>1.0960000000000001</v>
      </c>
      <c r="BO286">
        <v>8</v>
      </c>
      <c r="BP286">
        <v>0.31999999999999995</v>
      </c>
      <c r="BQ286">
        <v>3.56</v>
      </c>
      <c r="BR286">
        <v>12</v>
      </c>
      <c r="BS286">
        <v>13.25</v>
      </c>
      <c r="BT286">
        <v>11</v>
      </c>
      <c r="BU286">
        <v>2.9340344583819178E-2</v>
      </c>
      <c r="BV286">
        <v>5</v>
      </c>
      <c r="BW286">
        <v>2.1107189561680405E-2</v>
      </c>
      <c r="BX286">
        <v>21</v>
      </c>
      <c r="BY286">
        <v>1.4039999999999992</v>
      </c>
      <c r="BZ286">
        <v>16</v>
      </c>
      <c r="CA286">
        <v>-3.9999999999999501E-2</v>
      </c>
      <c r="CB286">
        <v>3.12</v>
      </c>
      <c r="CC286">
        <v>6.76</v>
      </c>
      <c r="CD286">
        <v>0.55999999999999983</v>
      </c>
      <c r="CE286">
        <v>60.08000000000002</v>
      </c>
      <c r="CF286">
        <v>4.6399999999999917</v>
      </c>
      <c r="CG286">
        <v>57.919999999999995</v>
      </c>
      <c r="CH286">
        <v>-1.8</v>
      </c>
      <c r="CI286">
        <v>-0.67999999999999972</v>
      </c>
      <c r="CJ286">
        <v>21</v>
      </c>
      <c r="CK286">
        <v>-4.2576000000000001</v>
      </c>
      <c r="CL286">
        <v>-1.9664799999999991</v>
      </c>
      <c r="CM286">
        <v>-53.28</v>
      </c>
      <c r="CN286">
        <v>4.2575999999999992</v>
      </c>
      <c r="CO286">
        <v>1.8742000000000001</v>
      </c>
      <c r="CP286">
        <v>1.6032000000000015</v>
      </c>
      <c r="CQ286">
        <v>5.7199999999999989</v>
      </c>
      <c r="CR286">
        <v>6.7799999999999985</v>
      </c>
      <c r="CS286">
        <v>55.400000000000006</v>
      </c>
      <c r="CT286">
        <v>-3.2399999999999998</v>
      </c>
      <c r="CU286">
        <v>-2.64</v>
      </c>
      <c r="CV286">
        <v>0.98753750000000018</v>
      </c>
      <c r="CW286">
        <v>0.88447500000000012</v>
      </c>
      <c r="CX286" t="s">
        <v>312</v>
      </c>
      <c r="CY286">
        <v>7</v>
      </c>
      <c r="CZ286">
        <v>-0.8344000000000007</v>
      </c>
      <c r="DA286">
        <v>22</v>
      </c>
      <c r="DB286">
        <v>21.5</v>
      </c>
      <c r="DC286">
        <v>22</v>
      </c>
      <c r="DD286">
        <v>-2.3999999999998779E-2</v>
      </c>
      <c r="DE286">
        <v>21</v>
      </c>
      <c r="DF286">
        <v>12.280000000000001</v>
      </c>
      <c r="DG286">
        <v>-0.76</v>
      </c>
      <c r="DH286">
        <v>8</v>
      </c>
      <c r="DI286">
        <v>11</v>
      </c>
      <c r="DJ286">
        <v>9</v>
      </c>
      <c r="DK286">
        <v>-3.6000000000000122E-2</v>
      </c>
      <c r="DL286">
        <v>13</v>
      </c>
      <c r="DM286">
        <v>-3.9120000000000004</v>
      </c>
      <c r="DN286">
        <v>4.0000000000000036E-2</v>
      </c>
      <c r="DO286">
        <v>6</v>
      </c>
      <c r="DP286">
        <v>14.5</v>
      </c>
      <c r="DQ286">
        <v>15</v>
      </c>
      <c r="DR286">
        <v>4.3712000000000009</v>
      </c>
      <c r="DS286">
        <v>14</v>
      </c>
      <c r="DT286">
        <v>21</v>
      </c>
      <c r="DU286">
        <v>-0.36000000000000015</v>
      </c>
      <c r="DV286">
        <v>4</v>
      </c>
      <c r="DW286">
        <v>5</v>
      </c>
      <c r="DX286">
        <v>3</v>
      </c>
      <c r="DY286">
        <v>2.2200000000000006</v>
      </c>
      <c r="DZ286">
        <v>7</v>
      </c>
      <c r="EA286">
        <v>16.68</v>
      </c>
      <c r="EB286">
        <v>1.8</v>
      </c>
      <c r="EC286">
        <v>3</v>
      </c>
      <c r="ED286">
        <v>1</v>
      </c>
      <c r="EE286">
        <v>1</v>
      </c>
      <c r="EF286">
        <v>2.1840000000000002</v>
      </c>
      <c r="EG286">
        <v>1</v>
      </c>
      <c r="EH286">
        <v>9.16</v>
      </c>
      <c r="EI286">
        <v>0.27999999999999997</v>
      </c>
      <c r="EJ286">
        <v>13</v>
      </c>
      <c r="EK286">
        <v>12.5</v>
      </c>
      <c r="EL286">
        <v>13</v>
      </c>
      <c r="EM286">
        <v>-2.6360000000000015</v>
      </c>
      <c r="EN286">
        <v>12</v>
      </c>
      <c r="EO286">
        <v>-11.959999999999999</v>
      </c>
      <c r="EP286">
        <v>0.23999999999999985</v>
      </c>
      <c r="EQ286">
        <v>18</v>
      </c>
      <c r="ER286">
        <v>16</v>
      </c>
      <c r="ES286">
        <v>20</v>
      </c>
      <c r="ET286">
        <v>-1.4759999999999998</v>
      </c>
      <c r="EU286">
        <v>12</v>
      </c>
      <c r="EV286">
        <v>-1.6400000000000006</v>
      </c>
      <c r="EW286">
        <v>1.4000000000000001</v>
      </c>
      <c r="EX286">
        <v>11</v>
      </c>
      <c r="EY286">
        <v>12</v>
      </c>
      <c r="EZ286">
        <v>11</v>
      </c>
      <c r="FA286">
        <v>2.3199999999999998</v>
      </c>
      <c r="FB286">
        <v>13</v>
      </c>
      <c r="FC286">
        <v>0.55999999999999994</v>
      </c>
      <c r="FD286">
        <v>-3.72</v>
      </c>
      <c r="FE286">
        <v>7</v>
      </c>
      <c r="FF286">
        <v>12.25</v>
      </c>
      <c r="FG286">
        <v>19</v>
      </c>
      <c r="FH286">
        <v>-1.1548375348583096E-2</v>
      </c>
      <c r="FI286">
        <v>13</v>
      </c>
      <c r="FJ286">
        <v>3.7729236709435178E-3</v>
      </c>
      <c r="FK286">
        <v>1</v>
      </c>
      <c r="FL286">
        <v>-20.317</v>
      </c>
      <c r="FM286">
        <v>16</v>
      </c>
      <c r="FN286">
        <v>0.24000000000000021</v>
      </c>
      <c r="FO286">
        <v>1.6000000000000008</v>
      </c>
      <c r="FP286">
        <v>1.8799999999999997</v>
      </c>
      <c r="FQ286">
        <v>-1.44</v>
      </c>
      <c r="FR286">
        <v>2.919999999999999</v>
      </c>
      <c r="FS286">
        <v>1.4400000000000006</v>
      </c>
      <c r="FT286">
        <v>-1.1199999999999999</v>
      </c>
      <c r="FU286">
        <v>32.120000000000005</v>
      </c>
      <c r="FV286">
        <v>27.919999999999998</v>
      </c>
      <c r="FW286">
        <v>11.240000000000004</v>
      </c>
      <c r="FX286">
        <v>1.4</v>
      </c>
      <c r="FY286">
        <v>-8.44</v>
      </c>
      <c r="FZ286">
        <v>20</v>
      </c>
      <c r="GA286">
        <v>-0.77440000000000175</v>
      </c>
      <c r="GB286">
        <v>1.3229599999999997</v>
      </c>
      <c r="GC286">
        <v>16.679999999999993</v>
      </c>
      <c r="GD286">
        <v>0.77440000000000175</v>
      </c>
      <c r="GE286">
        <v>1.0906000000000002</v>
      </c>
      <c r="GF286">
        <v>8.7752000000000017</v>
      </c>
      <c r="GG286">
        <v>46.84</v>
      </c>
      <c r="GH286">
        <v>-5.9999999999998901E-2</v>
      </c>
      <c r="GI286">
        <v>8.3680000000000003</v>
      </c>
      <c r="GJ286">
        <v>3.12</v>
      </c>
      <c r="GK286">
        <v>-0.72</v>
      </c>
    </row>
    <row r="287" spans="1:193" x14ac:dyDescent="0.2">
      <c r="A287" s="39">
        <v>43800</v>
      </c>
      <c r="B287" s="22" t="s">
        <v>241</v>
      </c>
      <c r="C287" s="41" t="s">
        <v>284</v>
      </c>
      <c r="D287" s="22" t="s">
        <v>297</v>
      </c>
      <c r="E287">
        <v>9.3000000000000007</v>
      </c>
      <c r="F287">
        <v>9</v>
      </c>
      <c r="G287">
        <v>13.7</v>
      </c>
      <c r="H287">
        <v>12.6</v>
      </c>
      <c r="I287">
        <v>-3</v>
      </c>
      <c r="J287">
        <v>46.5</v>
      </c>
      <c r="K287" t="s">
        <v>109</v>
      </c>
      <c r="L287" s="1" t="s">
        <v>284</v>
      </c>
      <c r="M287">
        <v>12</v>
      </c>
      <c r="N287">
        <v>1.2327999999999999</v>
      </c>
      <c r="O287">
        <v>24</v>
      </c>
      <c r="P287">
        <v>22.5</v>
      </c>
      <c r="Q287">
        <v>20</v>
      </c>
      <c r="R287">
        <v>-1.7069999999999994</v>
      </c>
      <c r="S287">
        <v>25</v>
      </c>
      <c r="T287">
        <v>-14.460000000000003</v>
      </c>
      <c r="U287">
        <v>-1.4599999999999997</v>
      </c>
      <c r="V287">
        <v>20</v>
      </c>
      <c r="W287">
        <v>18.5</v>
      </c>
      <c r="X287">
        <v>12</v>
      </c>
      <c r="Y287">
        <v>0.60899999999999965</v>
      </c>
      <c r="Z287">
        <v>25</v>
      </c>
      <c r="AA287">
        <v>-10.940000000000001</v>
      </c>
      <c r="AB287">
        <v>-0.63000000000000012</v>
      </c>
      <c r="AC287">
        <v>24</v>
      </c>
      <c r="AD287">
        <v>22.5</v>
      </c>
      <c r="AE287">
        <v>26</v>
      </c>
      <c r="AF287">
        <v>-3.0439999999999996</v>
      </c>
      <c r="AG287">
        <v>19</v>
      </c>
      <c r="AH287">
        <v>-2.1299999999999981</v>
      </c>
      <c r="AI287">
        <v>-1.1000000000000001</v>
      </c>
      <c r="AJ287">
        <v>2</v>
      </c>
      <c r="AK287">
        <v>3</v>
      </c>
      <c r="AL287">
        <v>3</v>
      </c>
      <c r="AM287">
        <v>4.4550000000000001</v>
      </c>
      <c r="AN287">
        <v>3</v>
      </c>
      <c r="AO287">
        <v>27.47</v>
      </c>
      <c r="AP287">
        <v>1.8700000000000003</v>
      </c>
      <c r="AQ287">
        <v>4</v>
      </c>
      <c r="AR287">
        <v>4.5</v>
      </c>
      <c r="AS287">
        <v>5</v>
      </c>
      <c r="AT287">
        <v>3.3329999999999997</v>
      </c>
      <c r="AU287">
        <v>4</v>
      </c>
      <c r="AV287">
        <v>21.609999999999996</v>
      </c>
      <c r="AW287">
        <v>0.92999999999999994</v>
      </c>
      <c r="AX287">
        <v>6</v>
      </c>
      <c r="AY287">
        <v>5.5</v>
      </c>
      <c r="AZ287">
        <v>6</v>
      </c>
      <c r="BA287">
        <v>4.26</v>
      </c>
      <c r="BB287">
        <v>5</v>
      </c>
      <c r="BC287">
        <v>26.2</v>
      </c>
      <c r="BD287">
        <v>-0.24000000000000021</v>
      </c>
      <c r="BE287">
        <v>20</v>
      </c>
      <c r="BF287">
        <v>22</v>
      </c>
      <c r="BG287">
        <v>22</v>
      </c>
      <c r="BH287">
        <v>-3.6960000000000002</v>
      </c>
      <c r="BI287">
        <v>-9.8927999999999994</v>
      </c>
      <c r="BJ287">
        <v>-3.4400000000000004</v>
      </c>
      <c r="BK287">
        <v>18</v>
      </c>
      <c r="BL287">
        <v>17.5</v>
      </c>
      <c r="BM287">
        <v>16</v>
      </c>
      <c r="BN287">
        <v>0.28000000000000025</v>
      </c>
      <c r="BO287">
        <v>19</v>
      </c>
      <c r="BP287">
        <v>-8.0000000000000071E-2</v>
      </c>
      <c r="BQ287">
        <v>0.64000000000000024</v>
      </c>
      <c r="BR287">
        <v>14</v>
      </c>
      <c r="BS287">
        <v>14</v>
      </c>
      <c r="BT287">
        <v>29</v>
      </c>
      <c r="BU287">
        <v>-6.9563665252126955E-2</v>
      </c>
      <c r="BV287">
        <v>22</v>
      </c>
      <c r="BW287">
        <v>-9.6128771024582057E-3</v>
      </c>
      <c r="BX287">
        <v>1</v>
      </c>
      <c r="BY287">
        <v>-29.584000000000003</v>
      </c>
      <c r="BZ287">
        <v>4</v>
      </c>
      <c r="CA287">
        <v>3.1200000000000006</v>
      </c>
      <c r="CB287">
        <v>3.2400000000000033</v>
      </c>
      <c r="CC287">
        <v>3.5200000000000005</v>
      </c>
      <c r="CD287">
        <v>1.1199999999999997</v>
      </c>
      <c r="CE287">
        <v>16.399999999999999</v>
      </c>
      <c r="CF287">
        <v>32.399999999999991</v>
      </c>
      <c r="CG287">
        <v>-22.96</v>
      </c>
      <c r="CH287">
        <v>-4.92</v>
      </c>
      <c r="CI287">
        <v>11.879999999999999</v>
      </c>
      <c r="CJ287">
        <v>12</v>
      </c>
      <c r="CK287">
        <v>2.3307999999999995</v>
      </c>
      <c r="CL287">
        <v>1.0051600000000001</v>
      </c>
      <c r="CM287">
        <v>55.359999999999992</v>
      </c>
      <c r="CN287">
        <v>-2.3308</v>
      </c>
      <c r="CO287">
        <v>0.18285000000000001</v>
      </c>
      <c r="CP287">
        <v>4.7439999999999998</v>
      </c>
      <c r="CQ287">
        <v>46.949999999999996</v>
      </c>
      <c r="CR287">
        <v>-1.0979999999999999</v>
      </c>
      <c r="CS287">
        <v>-25.400000000000006</v>
      </c>
      <c r="CT287">
        <v>-1.7400000000000002</v>
      </c>
      <c r="CU287">
        <v>-2.09</v>
      </c>
      <c r="CV287">
        <v>0.9220624999999999</v>
      </c>
      <c r="CW287">
        <v>1.7533500000000002</v>
      </c>
      <c r="CX287" t="s">
        <v>297</v>
      </c>
      <c r="CY287">
        <v>20</v>
      </c>
      <c r="CZ287">
        <v>-0.99280000000000013</v>
      </c>
      <c r="DA287">
        <v>1</v>
      </c>
      <c r="DB287">
        <v>1.5</v>
      </c>
      <c r="DC287">
        <v>2</v>
      </c>
      <c r="DD287">
        <v>5.9879999999999978</v>
      </c>
      <c r="DE287">
        <v>1</v>
      </c>
      <c r="DF287">
        <v>41.239999999999995</v>
      </c>
      <c r="DG287">
        <v>-1.04</v>
      </c>
      <c r="DH287">
        <v>13</v>
      </c>
      <c r="DI287">
        <v>14.5</v>
      </c>
      <c r="DJ287">
        <v>11</v>
      </c>
      <c r="DK287">
        <v>0.81600000000000039</v>
      </c>
      <c r="DL287">
        <v>18</v>
      </c>
      <c r="DM287">
        <v>-3.84</v>
      </c>
      <c r="DN287">
        <v>-0.11999999999999993</v>
      </c>
      <c r="DO287">
        <v>12</v>
      </c>
      <c r="DP287">
        <v>13</v>
      </c>
      <c r="DQ287">
        <v>11</v>
      </c>
      <c r="DR287">
        <v>0.26299999999999901</v>
      </c>
      <c r="DS287">
        <v>15</v>
      </c>
      <c r="DT287">
        <v>-2.5</v>
      </c>
      <c r="DU287">
        <v>0.44999999999999996</v>
      </c>
      <c r="DV287">
        <v>26</v>
      </c>
      <c r="DW287">
        <v>26.5</v>
      </c>
      <c r="DX287">
        <v>28</v>
      </c>
      <c r="DY287">
        <v>-4.3000000000000007</v>
      </c>
      <c r="DZ287">
        <v>25</v>
      </c>
      <c r="EA287">
        <v>-12.6</v>
      </c>
      <c r="EB287">
        <v>-0.89999999999999991</v>
      </c>
      <c r="EC287">
        <v>1</v>
      </c>
      <c r="ED287">
        <v>5</v>
      </c>
      <c r="EE287">
        <v>5</v>
      </c>
      <c r="EF287">
        <v>0.95999999999999974</v>
      </c>
      <c r="EG287">
        <v>5</v>
      </c>
      <c r="EH287">
        <v>9.6000000000000014</v>
      </c>
      <c r="EI287">
        <v>9.9999999999999978E-2</v>
      </c>
      <c r="EJ287">
        <v>27</v>
      </c>
      <c r="EK287">
        <v>27</v>
      </c>
      <c r="EL287">
        <v>29</v>
      </c>
      <c r="EM287">
        <v>-5.492</v>
      </c>
      <c r="EN287">
        <v>25</v>
      </c>
      <c r="EO287">
        <v>-16.520000000000003</v>
      </c>
      <c r="EP287">
        <v>-2.96</v>
      </c>
      <c r="EQ287">
        <v>26</v>
      </c>
      <c r="ER287">
        <v>25.5</v>
      </c>
      <c r="ES287">
        <v>22</v>
      </c>
      <c r="ET287">
        <v>-1.4079999999999995</v>
      </c>
      <c r="EU287">
        <v>29</v>
      </c>
      <c r="EV287">
        <v>-10.720000000000002</v>
      </c>
      <c r="EW287">
        <v>-2.7600000000000002</v>
      </c>
      <c r="EX287">
        <v>26</v>
      </c>
      <c r="EY287">
        <v>25</v>
      </c>
      <c r="EZ287">
        <v>21</v>
      </c>
      <c r="FA287">
        <v>-0.59999999999999987</v>
      </c>
      <c r="FB287">
        <v>29</v>
      </c>
      <c r="FC287">
        <v>-0.68</v>
      </c>
      <c r="FD287">
        <v>3.6800000000000006</v>
      </c>
      <c r="FE287">
        <v>20</v>
      </c>
      <c r="FF287">
        <v>16.75</v>
      </c>
      <c r="FG287">
        <v>21</v>
      </c>
      <c r="FH287">
        <v>-1.6407304147473073E-2</v>
      </c>
      <c r="FI287">
        <v>5</v>
      </c>
      <c r="FJ287">
        <v>2.1520678244637874E-2</v>
      </c>
      <c r="FK287">
        <v>32</v>
      </c>
      <c r="FL287">
        <v>13.908000000000001</v>
      </c>
      <c r="FM287">
        <v>9</v>
      </c>
      <c r="FN287">
        <v>1.8399999999999999</v>
      </c>
      <c r="FO287">
        <v>-6.2799999999999994</v>
      </c>
      <c r="FP287">
        <v>0.92000000000000026</v>
      </c>
      <c r="FQ287">
        <v>1.1199999999999999</v>
      </c>
      <c r="FR287">
        <v>-3</v>
      </c>
      <c r="FS287">
        <v>3.16</v>
      </c>
      <c r="FT287">
        <v>-0.43999999999999995</v>
      </c>
      <c r="FU287">
        <v>8.9600000000000133</v>
      </c>
      <c r="FV287">
        <v>-32.319999999999986</v>
      </c>
      <c r="FW287">
        <v>32.679999999999993</v>
      </c>
      <c r="FX287">
        <v>4.88</v>
      </c>
      <c r="FY287">
        <v>3.72</v>
      </c>
      <c r="FZ287">
        <v>32</v>
      </c>
      <c r="GA287">
        <v>-7.7967999999999984</v>
      </c>
      <c r="GB287">
        <v>-4.49756</v>
      </c>
      <c r="GC287">
        <v>-64.999999999999972</v>
      </c>
      <c r="GD287">
        <v>7.7967999999999984</v>
      </c>
      <c r="GE287">
        <v>9.0774999999999689E-2</v>
      </c>
      <c r="GF287">
        <v>-3.0770000000000017</v>
      </c>
      <c r="GG287">
        <v>-5.4999999999999982</v>
      </c>
      <c r="GH287">
        <v>6.8039999999999985</v>
      </c>
      <c r="GI287">
        <v>37.399999999999991</v>
      </c>
      <c r="GJ287">
        <v>-3.1100000000000003</v>
      </c>
      <c r="GK287">
        <v>-1.1599999999999999</v>
      </c>
    </row>
    <row r="288" spans="1:193" x14ac:dyDescent="0.2">
      <c r="A288" s="39">
        <v>43800</v>
      </c>
      <c r="B288" s="22" t="s">
        <v>241</v>
      </c>
      <c r="C288" s="41" t="s">
        <v>310</v>
      </c>
      <c r="D288" s="22" t="s">
        <v>289</v>
      </c>
      <c r="E288">
        <v>7.5</v>
      </c>
      <c r="F288">
        <v>3.3</v>
      </c>
      <c r="G288">
        <v>8.3000000000000007</v>
      </c>
      <c r="H288">
        <v>7.2</v>
      </c>
      <c r="I288">
        <v>-1</v>
      </c>
      <c r="J288">
        <v>41.5</v>
      </c>
      <c r="L288" s="1" t="s">
        <v>310</v>
      </c>
      <c r="M288">
        <v>7</v>
      </c>
      <c r="N288">
        <v>3.7800000000000002</v>
      </c>
      <c r="O288">
        <v>1</v>
      </c>
      <c r="P288">
        <v>1.5</v>
      </c>
      <c r="Q288">
        <v>2</v>
      </c>
      <c r="R288">
        <v>6.0444000000000004</v>
      </c>
      <c r="S288">
        <v>1</v>
      </c>
      <c r="T288">
        <v>45.040000000000006</v>
      </c>
      <c r="U288">
        <v>-2.16</v>
      </c>
      <c r="V288">
        <v>29</v>
      </c>
      <c r="W288">
        <v>29</v>
      </c>
      <c r="X288">
        <v>29</v>
      </c>
      <c r="Y288">
        <v>-3.7640000000000007</v>
      </c>
      <c r="Z288">
        <v>29</v>
      </c>
      <c r="AA288">
        <v>-12.919999999999998</v>
      </c>
      <c r="AB288">
        <v>-0.44000000000000022</v>
      </c>
      <c r="AC288">
        <v>28</v>
      </c>
      <c r="AD288">
        <v>27.5</v>
      </c>
      <c r="AE288">
        <v>28</v>
      </c>
      <c r="AF288">
        <v>-4.1779999999999999</v>
      </c>
      <c r="AG288">
        <v>27</v>
      </c>
      <c r="AH288">
        <v>-11.720000000000002</v>
      </c>
      <c r="AI288">
        <v>-2.6799999999999997</v>
      </c>
      <c r="AJ288">
        <v>28</v>
      </c>
      <c r="AK288">
        <v>27.5</v>
      </c>
      <c r="AL288">
        <v>28</v>
      </c>
      <c r="AM288">
        <v>-5.6820000000000004</v>
      </c>
      <c r="AN288">
        <v>27</v>
      </c>
      <c r="AO288">
        <v>-26.5</v>
      </c>
      <c r="AP288">
        <v>-2.8299999999999996</v>
      </c>
      <c r="AQ288">
        <v>15</v>
      </c>
      <c r="AR288">
        <v>15</v>
      </c>
      <c r="AS288">
        <v>12</v>
      </c>
      <c r="AT288">
        <v>1.1300000000000003</v>
      </c>
      <c r="AU288">
        <v>18</v>
      </c>
      <c r="AV288">
        <v>-5.0199999999999987</v>
      </c>
      <c r="AW288">
        <v>-0.86999999999999988</v>
      </c>
      <c r="AX288">
        <v>20</v>
      </c>
      <c r="AY288">
        <v>20</v>
      </c>
      <c r="AZ288">
        <v>22</v>
      </c>
      <c r="BA288">
        <v>-1.0160000000000005</v>
      </c>
      <c r="BB288">
        <v>18</v>
      </c>
      <c r="BC288">
        <v>-0.55999999999999939</v>
      </c>
      <c r="BD288">
        <v>-0.4</v>
      </c>
      <c r="BE288">
        <v>14</v>
      </c>
      <c r="BF288">
        <v>13.5</v>
      </c>
      <c r="BG288">
        <v>15</v>
      </c>
      <c r="BH288">
        <v>0.82000000000000095</v>
      </c>
      <c r="BI288">
        <v>4</v>
      </c>
      <c r="BJ288">
        <v>0.99999999999999978</v>
      </c>
      <c r="BK288">
        <v>29</v>
      </c>
      <c r="BL288">
        <v>29</v>
      </c>
      <c r="BM288">
        <v>28</v>
      </c>
      <c r="BN288">
        <v>-1.7999999999999996</v>
      </c>
      <c r="BO288">
        <v>30</v>
      </c>
      <c r="BP288">
        <v>-0.83999999999999986</v>
      </c>
      <c r="BQ288">
        <v>1.2000000000000004</v>
      </c>
      <c r="BR288">
        <v>25</v>
      </c>
      <c r="BS288">
        <v>21</v>
      </c>
      <c r="BT288">
        <v>27</v>
      </c>
      <c r="BU288">
        <v>-6.7819928718210409E-2</v>
      </c>
      <c r="BV288">
        <v>2</v>
      </c>
      <c r="BW288">
        <v>3.6456782648287153E-2</v>
      </c>
      <c r="BX288">
        <v>30</v>
      </c>
      <c r="BY288">
        <v>12.879999999999999</v>
      </c>
      <c r="BZ288">
        <v>25</v>
      </c>
      <c r="CA288">
        <v>-1.8799999999999997</v>
      </c>
      <c r="CB288">
        <v>-5.759999999999998</v>
      </c>
      <c r="CC288">
        <v>6.0000000000000009</v>
      </c>
      <c r="CD288">
        <v>1.1199999999999999</v>
      </c>
      <c r="CE288">
        <v>11.639999999999997</v>
      </c>
      <c r="CF288">
        <v>-24.4</v>
      </c>
      <c r="CG288">
        <v>29.839999999999996</v>
      </c>
      <c r="CH288">
        <v>-2.92</v>
      </c>
      <c r="CI288">
        <v>9.1199999999999992</v>
      </c>
      <c r="CJ288">
        <v>14</v>
      </c>
      <c r="CK288">
        <v>1.4996000000000005</v>
      </c>
      <c r="CL288">
        <v>-1.9661999999999995</v>
      </c>
      <c r="CM288">
        <v>-54.239999999999995</v>
      </c>
      <c r="CN288">
        <v>-1.4996000000000005</v>
      </c>
      <c r="CO288">
        <v>-0.45619999999999988</v>
      </c>
      <c r="CP288">
        <v>-8.7299999999999986</v>
      </c>
      <c r="CQ288">
        <v>-43.239999999999995</v>
      </c>
      <c r="CR288">
        <v>2.2803999999999998</v>
      </c>
      <c r="CS288">
        <v>32.120000000000005</v>
      </c>
      <c r="CT288">
        <v>-5.38</v>
      </c>
      <c r="CU288">
        <v>-2.6000000000000005</v>
      </c>
      <c r="CV288">
        <v>0.32849999999999985</v>
      </c>
      <c r="CW288">
        <v>1.6250249999999999</v>
      </c>
      <c r="CX288" t="s">
        <v>289</v>
      </c>
      <c r="CY288">
        <v>25</v>
      </c>
      <c r="CZ288">
        <v>-3.1295999999999995</v>
      </c>
      <c r="DA288">
        <v>20</v>
      </c>
      <c r="DB288">
        <v>21</v>
      </c>
      <c r="DC288">
        <v>17</v>
      </c>
      <c r="DD288">
        <v>-0.74800000000000078</v>
      </c>
      <c r="DE288">
        <v>25</v>
      </c>
      <c r="DF288">
        <v>-7</v>
      </c>
      <c r="DG288">
        <v>1.1600000000000001</v>
      </c>
      <c r="DH288">
        <v>16</v>
      </c>
      <c r="DI288">
        <v>16.5</v>
      </c>
      <c r="DJ288">
        <v>26</v>
      </c>
      <c r="DK288">
        <v>-1.8800000000000003</v>
      </c>
      <c r="DL288">
        <v>7</v>
      </c>
      <c r="DM288">
        <v>7.2799999999999994</v>
      </c>
      <c r="DN288">
        <v>-1.1199999999999999</v>
      </c>
      <c r="DO288">
        <v>24</v>
      </c>
      <c r="DP288">
        <v>20</v>
      </c>
      <c r="DQ288">
        <v>21</v>
      </c>
      <c r="DR288">
        <v>-3.6306000000000012</v>
      </c>
      <c r="DS288">
        <v>19</v>
      </c>
      <c r="DT288">
        <v>-10.260000000000002</v>
      </c>
      <c r="DU288">
        <v>-1.21</v>
      </c>
      <c r="DV288">
        <v>5</v>
      </c>
      <c r="DW288">
        <v>5.5</v>
      </c>
      <c r="DX288">
        <v>7</v>
      </c>
      <c r="DY288">
        <v>3.4319999999999995</v>
      </c>
      <c r="DZ288">
        <v>4</v>
      </c>
      <c r="EA288">
        <v>21.559999999999995</v>
      </c>
      <c r="EB288">
        <v>1.28</v>
      </c>
      <c r="EC288">
        <v>29</v>
      </c>
      <c r="ED288">
        <v>26</v>
      </c>
      <c r="EE288">
        <v>24</v>
      </c>
      <c r="EF288">
        <v>-1.6920000000000002</v>
      </c>
      <c r="EG288">
        <v>28</v>
      </c>
      <c r="EH288">
        <v>-12.4</v>
      </c>
      <c r="EI288">
        <v>-0.36000000000000004</v>
      </c>
      <c r="EJ288">
        <v>17</v>
      </c>
      <c r="EK288">
        <v>16.5</v>
      </c>
      <c r="EL288">
        <v>15</v>
      </c>
      <c r="EM288">
        <v>-0.10399999999999884</v>
      </c>
      <c r="EN288">
        <v>18</v>
      </c>
      <c r="EO288">
        <v>-5.4399999999999995</v>
      </c>
      <c r="EP288">
        <v>-0.68</v>
      </c>
      <c r="EQ288">
        <v>27</v>
      </c>
      <c r="ER288">
        <v>26</v>
      </c>
      <c r="ES288">
        <v>27</v>
      </c>
      <c r="ET288">
        <v>-2.0720000000000001</v>
      </c>
      <c r="EU288">
        <v>25</v>
      </c>
      <c r="EV288">
        <v>-8.44</v>
      </c>
      <c r="EW288">
        <v>-0.28000000000000008</v>
      </c>
      <c r="EX288">
        <v>5</v>
      </c>
      <c r="EY288">
        <v>4.5</v>
      </c>
      <c r="EZ288">
        <v>5</v>
      </c>
      <c r="FA288">
        <v>1.9759999999999998</v>
      </c>
      <c r="FB288">
        <v>4</v>
      </c>
      <c r="FC288">
        <v>0.6</v>
      </c>
      <c r="FD288">
        <v>3.4799999999999995</v>
      </c>
      <c r="FE288">
        <v>28</v>
      </c>
      <c r="FF288">
        <v>23</v>
      </c>
      <c r="FG288">
        <v>27</v>
      </c>
      <c r="FH288">
        <v>-4.606336331833797E-2</v>
      </c>
      <c r="FI288">
        <v>18</v>
      </c>
      <c r="FJ288">
        <v>-1.5322623700895488E-3</v>
      </c>
      <c r="FK288">
        <v>26</v>
      </c>
      <c r="FL288">
        <v>7.1839999999999957</v>
      </c>
      <c r="FM288">
        <v>21</v>
      </c>
      <c r="FN288">
        <v>-0.4799999999999997</v>
      </c>
      <c r="FO288">
        <v>-0.87999999999999901</v>
      </c>
      <c r="FP288">
        <v>0.16000000000000014</v>
      </c>
      <c r="FQ288">
        <v>-1.24</v>
      </c>
      <c r="FR288">
        <v>-3.12</v>
      </c>
      <c r="FS288">
        <v>-2.4400000000000004</v>
      </c>
      <c r="FT288">
        <v>1.32</v>
      </c>
      <c r="FU288">
        <v>-32.839999999999996</v>
      </c>
      <c r="FV288">
        <v>-18.839999999999996</v>
      </c>
      <c r="FW288">
        <v>-3.6399999999999992</v>
      </c>
      <c r="FX288">
        <v>-2.3200000000000003</v>
      </c>
      <c r="FY288">
        <v>-8.0399999999999991</v>
      </c>
      <c r="FZ288">
        <v>19</v>
      </c>
      <c r="GA288">
        <v>-0.50159999999999849</v>
      </c>
      <c r="GB288">
        <v>-0.10443999999999987</v>
      </c>
      <c r="GC288">
        <v>-15.199999999999998</v>
      </c>
      <c r="GD288">
        <v>0.50159999999999849</v>
      </c>
      <c r="GE288">
        <v>-0.96802500000000025</v>
      </c>
      <c r="GF288">
        <v>-1.8906000000000018</v>
      </c>
      <c r="GG288">
        <v>-1.1000000000000068</v>
      </c>
      <c r="GH288">
        <v>-2.628000000000001</v>
      </c>
      <c r="GI288">
        <v>0.27999999999999936</v>
      </c>
      <c r="GJ288">
        <v>-0.57000000000000006</v>
      </c>
      <c r="GK288">
        <v>4.0000000000000258E-2</v>
      </c>
    </row>
    <row r="289" spans="1:193" x14ac:dyDescent="0.2">
      <c r="A289" s="39">
        <v>43800</v>
      </c>
      <c r="B289" s="22" t="s">
        <v>241</v>
      </c>
      <c r="C289" s="41" t="s">
        <v>306</v>
      </c>
      <c r="D289" s="22" t="s">
        <v>301</v>
      </c>
      <c r="E289">
        <v>2.8</v>
      </c>
      <c r="F289">
        <v>8.1</v>
      </c>
      <c r="G289">
        <v>5.9</v>
      </c>
      <c r="H289">
        <v>5.6</v>
      </c>
      <c r="I289">
        <v>-10.5</v>
      </c>
      <c r="J289">
        <v>38.5</v>
      </c>
      <c r="K289" t="s">
        <v>110</v>
      </c>
      <c r="L289" s="1" t="s">
        <v>306</v>
      </c>
      <c r="M289">
        <v>32</v>
      </c>
      <c r="N289">
        <v>-9.2279999999999998</v>
      </c>
      <c r="O289">
        <v>9</v>
      </c>
      <c r="P289">
        <v>9</v>
      </c>
      <c r="Q289">
        <v>11</v>
      </c>
      <c r="R289">
        <v>0.61599999999999899</v>
      </c>
      <c r="S289">
        <v>7</v>
      </c>
      <c r="T289">
        <v>8.5599999999999987</v>
      </c>
      <c r="U289">
        <v>-1.44</v>
      </c>
      <c r="V289">
        <v>19</v>
      </c>
      <c r="W289">
        <v>18</v>
      </c>
      <c r="X289">
        <v>25</v>
      </c>
      <c r="Y289">
        <v>-0.85999999999999965</v>
      </c>
      <c r="Z289">
        <v>11</v>
      </c>
      <c r="AA289">
        <v>6.3679999999999994</v>
      </c>
      <c r="AB289">
        <v>-0.8</v>
      </c>
      <c r="AC289">
        <v>29</v>
      </c>
      <c r="AD289">
        <v>29</v>
      </c>
      <c r="AE289">
        <v>29</v>
      </c>
      <c r="AF289">
        <v>-6.9287999999999998</v>
      </c>
      <c r="AG289">
        <v>29</v>
      </c>
      <c r="AH289">
        <v>-25.479999999999997</v>
      </c>
      <c r="AI289">
        <v>-2.6399999999999997</v>
      </c>
      <c r="AJ289">
        <v>28</v>
      </c>
      <c r="AK289">
        <v>27.5</v>
      </c>
      <c r="AL289">
        <v>30</v>
      </c>
      <c r="AM289">
        <v>-5.9359999999999991</v>
      </c>
      <c r="AN289">
        <v>25</v>
      </c>
      <c r="AO289">
        <v>-21.4</v>
      </c>
      <c r="AP289">
        <v>-2.0799999999999996</v>
      </c>
      <c r="AQ289">
        <v>30</v>
      </c>
      <c r="AR289">
        <v>29.5</v>
      </c>
      <c r="AS289">
        <v>31</v>
      </c>
      <c r="AT289">
        <v>-3.8320000000000007</v>
      </c>
      <c r="AU289">
        <v>28</v>
      </c>
      <c r="AV289">
        <v>-15.120000000000001</v>
      </c>
      <c r="AW289">
        <v>-0.4</v>
      </c>
      <c r="AX289">
        <v>30</v>
      </c>
      <c r="AY289">
        <v>30</v>
      </c>
      <c r="AZ289">
        <v>30</v>
      </c>
      <c r="BA289">
        <v>-8.2119999999999997</v>
      </c>
      <c r="BB289">
        <v>30</v>
      </c>
      <c r="BC289">
        <v>-38.92</v>
      </c>
      <c r="BD289">
        <v>-3.1599999999999997</v>
      </c>
      <c r="BE289">
        <v>31</v>
      </c>
      <c r="BF289">
        <v>30</v>
      </c>
      <c r="BG289">
        <v>31</v>
      </c>
      <c r="BH289">
        <v>-4.8880000000000008</v>
      </c>
      <c r="BI289">
        <v>-22.880000000000003</v>
      </c>
      <c r="BJ289">
        <v>-2.5200000000000005</v>
      </c>
      <c r="BK289">
        <v>1</v>
      </c>
      <c r="BL289">
        <v>1</v>
      </c>
      <c r="BM289">
        <v>1</v>
      </c>
      <c r="BN289">
        <v>2.2399999999999998</v>
      </c>
      <c r="BO289">
        <v>1</v>
      </c>
      <c r="BP289">
        <v>0.96</v>
      </c>
      <c r="BQ289">
        <v>2.4400000000000004</v>
      </c>
      <c r="BR289">
        <v>1</v>
      </c>
      <c r="BS289">
        <v>5.25</v>
      </c>
      <c r="BT289">
        <v>9</v>
      </c>
      <c r="BU289">
        <v>3.7777355512700325E-2</v>
      </c>
      <c r="BV289">
        <v>1</v>
      </c>
      <c r="BW289">
        <v>5.145945063823508E-2</v>
      </c>
      <c r="BX289">
        <v>2</v>
      </c>
      <c r="BY289">
        <v>-15.596000000000004</v>
      </c>
      <c r="BZ289">
        <v>9</v>
      </c>
      <c r="CA289">
        <v>1.7200000000000002</v>
      </c>
      <c r="CB289">
        <v>-7.92</v>
      </c>
      <c r="CC289">
        <v>-6</v>
      </c>
      <c r="CD289">
        <v>0.39999999999999991</v>
      </c>
      <c r="CE289">
        <v>-71.399999999999991</v>
      </c>
      <c r="CF289">
        <v>-90.320000000000007</v>
      </c>
      <c r="CG289">
        <v>19.64</v>
      </c>
      <c r="CH289">
        <v>-2.16</v>
      </c>
      <c r="CI289">
        <v>1.4399999999999997</v>
      </c>
      <c r="CJ289">
        <v>30</v>
      </c>
      <c r="CK289">
        <v>-8.984</v>
      </c>
      <c r="CL289">
        <v>-6.040560000000001</v>
      </c>
      <c r="CM289">
        <v>-109.96000000000001</v>
      </c>
      <c r="CN289">
        <v>8.9839999999999982</v>
      </c>
      <c r="CO289">
        <v>-3.6021000000000005</v>
      </c>
      <c r="CP289">
        <v>-16.6968</v>
      </c>
      <c r="CQ289">
        <v>-62</v>
      </c>
      <c r="CR289">
        <v>-0.24400000000000066</v>
      </c>
      <c r="CS289">
        <v>14.927999999999997</v>
      </c>
      <c r="CT289">
        <v>-7.64</v>
      </c>
      <c r="CU289">
        <v>-2.2400000000000002</v>
      </c>
      <c r="CV289">
        <v>0.41262500000000041</v>
      </c>
      <c r="CW289">
        <v>-0.3703499999999994</v>
      </c>
      <c r="CX289" t="s">
        <v>301</v>
      </c>
      <c r="CY289">
        <v>14</v>
      </c>
      <c r="CZ289">
        <v>0.26880000000000132</v>
      </c>
      <c r="DA289">
        <v>7</v>
      </c>
      <c r="DB289">
        <v>10</v>
      </c>
      <c r="DC289">
        <v>5</v>
      </c>
      <c r="DD289">
        <v>3.1919999999999988</v>
      </c>
      <c r="DE289">
        <v>15</v>
      </c>
      <c r="DF289">
        <v>4.2799999999999985</v>
      </c>
      <c r="DG289">
        <v>-0.88000000000000012</v>
      </c>
      <c r="DH289">
        <v>2</v>
      </c>
      <c r="DI289">
        <v>3</v>
      </c>
      <c r="DJ289">
        <v>4</v>
      </c>
      <c r="DK289">
        <v>2.6160000000000005</v>
      </c>
      <c r="DL289">
        <v>2</v>
      </c>
      <c r="DM289">
        <v>25.968</v>
      </c>
      <c r="DN289">
        <v>-0.64</v>
      </c>
      <c r="DO289">
        <v>20</v>
      </c>
      <c r="DP289">
        <v>16.5</v>
      </c>
      <c r="DQ289">
        <v>16</v>
      </c>
      <c r="DR289">
        <v>0.25600000000000078</v>
      </c>
      <c r="DS289">
        <v>17</v>
      </c>
      <c r="DT289">
        <v>2.7999999999999985</v>
      </c>
      <c r="DU289">
        <v>-0.55999999999999994</v>
      </c>
      <c r="DV289">
        <v>7</v>
      </c>
      <c r="DW289">
        <v>6.5</v>
      </c>
      <c r="DX289">
        <v>8</v>
      </c>
      <c r="DY289">
        <v>3.5080000000000005</v>
      </c>
      <c r="DZ289">
        <v>5</v>
      </c>
      <c r="EA289">
        <v>20.840000000000003</v>
      </c>
      <c r="EB289">
        <v>1.08</v>
      </c>
      <c r="EC289">
        <v>11</v>
      </c>
      <c r="ED289">
        <v>7.5</v>
      </c>
      <c r="EE289">
        <v>12</v>
      </c>
      <c r="EF289">
        <v>0.67200000000000004</v>
      </c>
      <c r="EG289">
        <v>3</v>
      </c>
      <c r="EH289">
        <v>12.559999999999999</v>
      </c>
      <c r="EI289">
        <v>0.2</v>
      </c>
      <c r="EJ289">
        <v>18</v>
      </c>
      <c r="EK289">
        <v>18</v>
      </c>
      <c r="EL289">
        <v>22</v>
      </c>
      <c r="EM289">
        <v>-3.580000000000001</v>
      </c>
      <c r="EN289">
        <v>14</v>
      </c>
      <c r="EO289">
        <v>3</v>
      </c>
      <c r="EP289">
        <v>-0.76000000000000012</v>
      </c>
      <c r="EQ289">
        <v>12</v>
      </c>
      <c r="ER289">
        <v>13</v>
      </c>
      <c r="ES289">
        <v>20</v>
      </c>
      <c r="ET289">
        <v>-0.98799999999999977</v>
      </c>
      <c r="EU289">
        <v>6</v>
      </c>
      <c r="EV289">
        <v>5.88</v>
      </c>
      <c r="EW289">
        <v>-3.6799999999999997</v>
      </c>
      <c r="EX289">
        <v>10</v>
      </c>
      <c r="EY289">
        <v>11.5</v>
      </c>
      <c r="EZ289">
        <v>16</v>
      </c>
      <c r="FA289">
        <v>3.9999999999999855E-2</v>
      </c>
      <c r="FB289">
        <v>7</v>
      </c>
      <c r="FC289">
        <v>0.51999999999999991</v>
      </c>
      <c r="FD289">
        <v>2.6399999999999997</v>
      </c>
      <c r="FE289">
        <v>18</v>
      </c>
      <c r="FF289">
        <v>16.25</v>
      </c>
      <c r="FG289">
        <v>18</v>
      </c>
      <c r="FH289">
        <v>-1.0518956577681638E-2</v>
      </c>
      <c r="FI289">
        <v>16</v>
      </c>
      <c r="FJ289">
        <v>2.2970746642336364E-4</v>
      </c>
      <c r="FK289">
        <v>8</v>
      </c>
      <c r="FL289">
        <v>-4.6490000000000009</v>
      </c>
      <c r="FM289">
        <v>23</v>
      </c>
      <c r="FN289">
        <v>-1.4799999999999995</v>
      </c>
      <c r="FO289">
        <v>-1.2799999999999989</v>
      </c>
      <c r="FP289">
        <v>1.5200000000000002</v>
      </c>
      <c r="FQ289">
        <v>-0.48000000000000009</v>
      </c>
      <c r="FR289">
        <v>-0.48000000000000115</v>
      </c>
      <c r="FS289">
        <v>5.16</v>
      </c>
      <c r="FT289">
        <v>0</v>
      </c>
      <c r="FU289">
        <v>51.92</v>
      </c>
      <c r="FV289">
        <v>25.600000000000005</v>
      </c>
      <c r="FW289">
        <v>32.040000000000006</v>
      </c>
      <c r="FX289">
        <v>-2.6399999999999997</v>
      </c>
      <c r="FY289">
        <v>-3.0799999999999996</v>
      </c>
      <c r="FZ289">
        <v>29</v>
      </c>
      <c r="GA289">
        <v>-5.5391999999999975</v>
      </c>
      <c r="GB289">
        <v>-2.1606399999999994</v>
      </c>
      <c r="GC289">
        <v>-6.4400000000000013</v>
      </c>
      <c r="GD289">
        <v>5.5391999999999983</v>
      </c>
      <c r="GE289">
        <v>1.1956000000000002</v>
      </c>
      <c r="GF289">
        <v>4.4360000000000008</v>
      </c>
      <c r="GG289">
        <v>36.200000000000003</v>
      </c>
      <c r="GH289">
        <v>5.8079999999999998</v>
      </c>
      <c r="GI289">
        <v>30.247999999999998</v>
      </c>
      <c r="GJ289">
        <v>-2.9599999999999995</v>
      </c>
      <c r="GK289">
        <v>-1.52</v>
      </c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53CD0-180C-FA48-BD57-0632099F6180}">
  <dimension ref="A1:CF289"/>
  <sheetViews>
    <sheetView workbookViewId="0">
      <selection activeCell="A2" sqref="A2:CF289"/>
    </sheetView>
  </sheetViews>
  <sheetFormatPr baseColWidth="10" defaultRowHeight="16" x14ac:dyDescent="0.2"/>
  <cols>
    <col min="3" max="3" width="19" style="41" bestFit="1" customWidth="1"/>
    <col min="4" max="4" width="19" bestFit="1" customWidth="1"/>
    <col min="11" max="11" width="11.6640625" bestFit="1" customWidth="1"/>
    <col min="12" max="12" width="19" bestFit="1" customWidth="1"/>
    <col min="17" max="17" width="15" bestFit="1" customWidth="1"/>
    <col min="18" max="20" width="15" customWidth="1"/>
    <col min="24" max="24" width="17" bestFit="1" customWidth="1"/>
    <col min="25" max="25" width="17.33203125" bestFit="1" customWidth="1"/>
    <col min="26" max="26" width="16.5" bestFit="1" customWidth="1"/>
    <col min="27" max="27" width="12.83203125" bestFit="1" customWidth="1"/>
    <col min="28" max="28" width="14.6640625" bestFit="1" customWidth="1"/>
    <col min="29" max="29" width="12.83203125" bestFit="1" customWidth="1"/>
    <col min="30" max="30" width="16.5" bestFit="1" customWidth="1"/>
    <col min="31" max="31" width="13.5" bestFit="1" customWidth="1"/>
    <col min="32" max="32" width="15.6640625" bestFit="1" customWidth="1"/>
    <col min="34" max="34" width="12.83203125" bestFit="1" customWidth="1"/>
    <col min="37" max="37" width="12.83203125" bestFit="1" customWidth="1"/>
    <col min="40" max="40" width="15.33203125" bestFit="1" customWidth="1"/>
    <col min="41" max="41" width="14.83203125" bestFit="1" customWidth="1"/>
    <col min="45" max="45" width="17.6640625" bestFit="1" customWidth="1"/>
    <col min="46" max="46" width="12.83203125" bestFit="1" customWidth="1"/>
    <col min="48" max="48" width="14.83203125" bestFit="1" customWidth="1"/>
    <col min="54" max="54" width="13.33203125" bestFit="1" customWidth="1"/>
    <col min="55" max="55" width="15" bestFit="1" customWidth="1"/>
    <col min="56" max="58" width="15" customWidth="1"/>
  </cols>
  <sheetData>
    <row r="1" spans="1:84" x14ac:dyDescent="0.2">
      <c r="A1" t="s">
        <v>226</v>
      </c>
      <c r="B1" t="s">
        <v>255</v>
      </c>
      <c r="C1" t="s">
        <v>254</v>
      </c>
      <c r="D1" t="s">
        <v>227</v>
      </c>
      <c r="E1" t="s">
        <v>191</v>
      </c>
      <c r="F1" t="s">
        <v>192</v>
      </c>
      <c r="G1" t="s">
        <v>395</v>
      </c>
      <c r="H1" t="s">
        <v>193</v>
      </c>
      <c r="I1" t="s">
        <v>9</v>
      </c>
      <c r="J1" t="s">
        <v>13</v>
      </c>
      <c r="K1" t="s">
        <v>108</v>
      </c>
      <c r="L1" t="s">
        <v>254</v>
      </c>
      <c r="M1" t="s">
        <v>736</v>
      </c>
      <c r="N1" t="s">
        <v>873</v>
      </c>
      <c r="O1" t="s">
        <v>874</v>
      </c>
      <c r="P1" t="s">
        <v>875</v>
      </c>
      <c r="Q1" t="s">
        <v>876</v>
      </c>
      <c r="R1" t="s">
        <v>894</v>
      </c>
      <c r="S1" t="s">
        <v>895</v>
      </c>
      <c r="T1" t="s">
        <v>896</v>
      </c>
      <c r="U1" t="s">
        <v>863</v>
      </c>
      <c r="V1" t="s">
        <v>864</v>
      </c>
      <c r="W1" t="s">
        <v>865</v>
      </c>
      <c r="X1" t="s">
        <v>867</v>
      </c>
      <c r="Y1" t="s">
        <v>868</v>
      </c>
      <c r="Z1" t="s">
        <v>869</v>
      </c>
      <c r="AA1" t="s">
        <v>870</v>
      </c>
      <c r="AB1" t="s">
        <v>871</v>
      </c>
      <c r="AC1" t="s">
        <v>234</v>
      </c>
      <c r="AD1" t="s">
        <v>872</v>
      </c>
      <c r="AE1" t="s">
        <v>880</v>
      </c>
      <c r="AF1" t="s">
        <v>881</v>
      </c>
      <c r="AG1" t="s">
        <v>866</v>
      </c>
      <c r="AH1" t="s">
        <v>877</v>
      </c>
      <c r="AI1" t="s">
        <v>882</v>
      </c>
      <c r="AJ1" t="s">
        <v>883</v>
      </c>
      <c r="AK1" t="s">
        <v>884</v>
      </c>
      <c r="AL1" t="s">
        <v>885</v>
      </c>
      <c r="AM1" t="s">
        <v>886</v>
      </c>
      <c r="AN1" t="s">
        <v>887</v>
      </c>
      <c r="AO1" t="s">
        <v>888</v>
      </c>
      <c r="AP1" t="s">
        <v>889</v>
      </c>
      <c r="AQ1" t="s">
        <v>890</v>
      </c>
      <c r="AR1" t="s">
        <v>878</v>
      </c>
      <c r="AS1" t="s">
        <v>891</v>
      </c>
      <c r="AT1" t="s">
        <v>892</v>
      </c>
      <c r="AU1" t="s">
        <v>893</v>
      </c>
      <c r="AV1" t="s">
        <v>788</v>
      </c>
      <c r="AW1" t="s">
        <v>897</v>
      </c>
      <c r="AX1" s="1" t="s">
        <v>227</v>
      </c>
      <c r="AY1" t="s">
        <v>844</v>
      </c>
      <c r="AZ1" t="s">
        <v>228</v>
      </c>
      <c r="BA1" t="s">
        <v>784</v>
      </c>
      <c r="BB1" t="s">
        <v>785</v>
      </c>
      <c r="BC1" t="s">
        <v>787</v>
      </c>
      <c r="BD1" t="s">
        <v>898</v>
      </c>
      <c r="BE1" t="s">
        <v>899</v>
      </c>
      <c r="BF1" t="s">
        <v>900</v>
      </c>
      <c r="BG1" t="s">
        <v>861</v>
      </c>
      <c r="BH1" t="s">
        <v>767</v>
      </c>
      <c r="BI1" t="s">
        <v>232</v>
      </c>
      <c r="BJ1" t="s">
        <v>811</v>
      </c>
      <c r="BK1" t="s">
        <v>812</v>
      </c>
      <c r="BL1" t="s">
        <v>772</v>
      </c>
      <c r="BM1" t="s">
        <v>233</v>
      </c>
      <c r="BN1" t="s">
        <v>773</v>
      </c>
      <c r="BO1" t="s">
        <v>234</v>
      </c>
      <c r="BP1" t="s">
        <v>774</v>
      </c>
      <c r="BQ1" t="s">
        <v>403</v>
      </c>
      <c r="BR1" t="s">
        <v>775</v>
      </c>
      <c r="BS1" t="s">
        <v>404</v>
      </c>
      <c r="BT1" t="s">
        <v>408</v>
      </c>
      <c r="BU1" t="s">
        <v>409</v>
      </c>
      <c r="BV1" t="s">
        <v>410</v>
      </c>
      <c r="BW1" t="s">
        <v>411</v>
      </c>
      <c r="BX1" t="s">
        <v>412</v>
      </c>
      <c r="BY1" t="s">
        <v>413</v>
      </c>
      <c r="BZ1" t="s">
        <v>414</v>
      </c>
      <c r="CA1" t="s">
        <v>415</v>
      </c>
      <c r="CB1" t="s">
        <v>776</v>
      </c>
      <c r="CC1" t="s">
        <v>777</v>
      </c>
      <c r="CD1" t="s">
        <v>862</v>
      </c>
      <c r="CE1" t="s">
        <v>814</v>
      </c>
      <c r="CF1" t="s">
        <v>789</v>
      </c>
    </row>
    <row r="2" spans="1:84" x14ac:dyDescent="0.2">
      <c r="A2" s="39">
        <v>43737</v>
      </c>
      <c r="B2" s="26" t="s">
        <v>417</v>
      </c>
      <c r="C2" s="41" t="s">
        <v>285</v>
      </c>
      <c r="D2" s="26" t="s">
        <v>308</v>
      </c>
      <c r="E2">
        <v>9.6999999999999993</v>
      </c>
      <c r="F2">
        <v>8.3000000000000007</v>
      </c>
      <c r="G2" s="14">
        <v>3.9</v>
      </c>
      <c r="H2" s="14">
        <v>4.4000000000000004</v>
      </c>
      <c r="I2">
        <v>5.5</v>
      </c>
      <c r="J2">
        <v>49</v>
      </c>
      <c r="K2" t="s">
        <v>109</v>
      </c>
      <c r="L2" s="1" t="s">
        <v>285</v>
      </c>
      <c r="M2">
        <v>14</v>
      </c>
      <c r="N2">
        <v>3.3666666666666671</v>
      </c>
      <c r="O2">
        <v>-2.822222222222222</v>
      </c>
      <c r="P2">
        <v>-30.333333333333336</v>
      </c>
      <c r="Q2">
        <v>1.7777777777777777</v>
      </c>
      <c r="R2">
        <v>2.3666666666666676</v>
      </c>
      <c r="S2">
        <v>1.6666666666666679</v>
      </c>
      <c r="T2">
        <v>2.3333333333333335</v>
      </c>
      <c r="U2">
        <v>21</v>
      </c>
      <c r="V2">
        <v>20</v>
      </c>
      <c r="W2">
        <v>-1</v>
      </c>
      <c r="X2">
        <v>9</v>
      </c>
      <c r="Y2">
        <v>12.25</v>
      </c>
      <c r="Z2">
        <v>20</v>
      </c>
      <c r="AA2">
        <v>-5.1070390420544141E-2</v>
      </c>
      <c r="AB2">
        <v>7</v>
      </c>
      <c r="AC2">
        <v>2.9384362811953973E-2</v>
      </c>
      <c r="AD2">
        <v>4</v>
      </c>
      <c r="AE2">
        <v>-3.6111111111111072</v>
      </c>
      <c r="AF2">
        <v>18</v>
      </c>
      <c r="AG2">
        <v>0.33333333333333331</v>
      </c>
      <c r="AH2">
        <v>5</v>
      </c>
      <c r="AI2">
        <v>0.1111111111111119</v>
      </c>
      <c r="AJ2">
        <v>0</v>
      </c>
      <c r="AK2">
        <v>-3.555555555555562</v>
      </c>
      <c r="AL2">
        <v>16.666666666666668</v>
      </c>
      <c r="AM2">
        <v>-31.444444444444446</v>
      </c>
      <c r="AN2">
        <v>0</v>
      </c>
      <c r="AO2">
        <v>11.222222222222223</v>
      </c>
      <c r="AP2">
        <v>5</v>
      </c>
      <c r="AQ2">
        <v>6.1888888888888891</v>
      </c>
      <c r="AR2">
        <v>2.5577777777777779</v>
      </c>
      <c r="AS2">
        <v>48.111111111111114</v>
      </c>
      <c r="AT2">
        <v>-6.1888888888888891</v>
      </c>
      <c r="AU2">
        <v>0.55833333333333357</v>
      </c>
      <c r="AV2">
        <v>1.2626388888888886</v>
      </c>
      <c r="AW2">
        <v>1.5663888888888884</v>
      </c>
      <c r="AX2" t="s">
        <v>308</v>
      </c>
      <c r="AY2">
        <v>17</v>
      </c>
      <c r="AZ2">
        <v>1.4155555555555548</v>
      </c>
      <c r="BA2">
        <v>4.0444444444444443</v>
      </c>
      <c r="BB2">
        <v>-5.1111111111111089</v>
      </c>
      <c r="BC2">
        <v>0.44444444444444453</v>
      </c>
      <c r="BD2">
        <v>3.3222222222222211</v>
      </c>
      <c r="BE2">
        <v>-11</v>
      </c>
      <c r="BF2">
        <v>-0.11111111111111049</v>
      </c>
      <c r="BG2">
        <v>12</v>
      </c>
      <c r="BH2">
        <v>12.5</v>
      </c>
      <c r="BI2">
        <v>3.1111111111111112</v>
      </c>
      <c r="BJ2">
        <v>21</v>
      </c>
      <c r="BK2">
        <v>17.25</v>
      </c>
      <c r="BL2">
        <v>30</v>
      </c>
      <c r="BM2">
        <v>3.4214371210566773E-2</v>
      </c>
      <c r="BN2">
        <v>28</v>
      </c>
      <c r="BO2">
        <v>-1.0483201266009351E-2</v>
      </c>
      <c r="BP2">
        <v>4</v>
      </c>
      <c r="BQ2">
        <v>10.688888888888885</v>
      </c>
      <c r="BR2">
        <v>7</v>
      </c>
      <c r="BS2">
        <v>-1.2222222222222223</v>
      </c>
      <c r="BT2">
        <v>-1.5555555555555571</v>
      </c>
      <c r="BU2">
        <v>3.7777777777777786</v>
      </c>
      <c r="BV2">
        <v>3.1111111111111107</v>
      </c>
      <c r="BW2">
        <v>-2.3333333333333335</v>
      </c>
      <c r="BX2">
        <v>-2.1111111111111143</v>
      </c>
      <c r="BY2">
        <v>-0.3333333333333357</v>
      </c>
      <c r="BZ2">
        <v>-1</v>
      </c>
      <c r="CA2">
        <v>1.1111111111111114</v>
      </c>
      <c r="CB2">
        <v>20</v>
      </c>
      <c r="CC2">
        <v>-2.6288888888888895</v>
      </c>
      <c r="CD2">
        <v>-1.0746666666666669</v>
      </c>
      <c r="CE2">
        <v>-1.7777777777777786</v>
      </c>
      <c r="CF2">
        <v>0.95888888888888868</v>
      </c>
    </row>
    <row r="3" spans="1:84" x14ac:dyDescent="0.2">
      <c r="A3" s="39">
        <v>43737</v>
      </c>
      <c r="B3" s="26" t="s">
        <v>417</v>
      </c>
      <c r="C3" s="41" t="s">
        <v>295</v>
      </c>
      <c r="D3" s="27" t="s">
        <v>310</v>
      </c>
      <c r="E3">
        <v>9.3000000000000007</v>
      </c>
      <c r="F3">
        <v>6.2</v>
      </c>
      <c r="G3" s="14">
        <v>18.100000000000001</v>
      </c>
      <c r="H3" s="14">
        <v>25</v>
      </c>
      <c r="I3">
        <v>-3.5</v>
      </c>
      <c r="J3">
        <v>46</v>
      </c>
      <c r="L3" s="1" t="s">
        <v>295</v>
      </c>
      <c r="M3">
        <v>20</v>
      </c>
      <c r="N3">
        <v>3.8422222222222224</v>
      </c>
      <c r="O3">
        <v>-8.0222222222222221</v>
      </c>
      <c r="P3">
        <v>-6.4444444444444446</v>
      </c>
      <c r="Q3">
        <v>-1.2777777777777781</v>
      </c>
      <c r="R3">
        <v>14.733333333333333</v>
      </c>
      <c r="S3">
        <v>45.55555555555555</v>
      </c>
      <c r="T3">
        <v>4.5555555555555554</v>
      </c>
      <c r="U3">
        <v>4</v>
      </c>
      <c r="V3">
        <v>7</v>
      </c>
      <c r="W3">
        <v>-1.3333333333333333</v>
      </c>
      <c r="X3">
        <v>14</v>
      </c>
      <c r="Y3">
        <v>14</v>
      </c>
      <c r="Z3">
        <v>7</v>
      </c>
      <c r="AA3">
        <v>-3.2837872775953271E-2</v>
      </c>
      <c r="AB3">
        <v>9</v>
      </c>
      <c r="AC3">
        <v>-2.2233183636692411E-2</v>
      </c>
      <c r="AD3">
        <v>26</v>
      </c>
      <c r="AE3">
        <v>-3.0555555555555522</v>
      </c>
      <c r="AF3">
        <v>14</v>
      </c>
      <c r="AG3">
        <v>2.4444444444444446</v>
      </c>
      <c r="AH3">
        <v>0.44444444444444287</v>
      </c>
      <c r="AI3">
        <v>-1.0000000000000007</v>
      </c>
      <c r="AJ3">
        <v>-0.77777777777777779</v>
      </c>
      <c r="AK3">
        <v>21.000000000000018</v>
      </c>
      <c r="AL3">
        <v>37.44444444444445</v>
      </c>
      <c r="AM3">
        <v>-18.111111111111111</v>
      </c>
      <c r="AN3">
        <v>-0.66666666666666663</v>
      </c>
      <c r="AO3">
        <v>2.3333333333333335</v>
      </c>
      <c r="AP3">
        <v>1</v>
      </c>
      <c r="AQ3">
        <v>11.864444444444445</v>
      </c>
      <c r="AR3">
        <v>7.7262222222222228</v>
      </c>
      <c r="AS3">
        <v>55.555555555555557</v>
      </c>
      <c r="AT3">
        <v>-11.864444444444445</v>
      </c>
      <c r="AU3">
        <v>1.1802777777777778</v>
      </c>
      <c r="AV3">
        <v>-0.95666666666666678</v>
      </c>
      <c r="AW3">
        <v>-0.26166666666666699</v>
      </c>
      <c r="AX3" t="s">
        <v>310</v>
      </c>
      <c r="AY3">
        <v>11</v>
      </c>
      <c r="AZ3">
        <v>-2.0355555555555553</v>
      </c>
      <c r="BA3">
        <v>-3.9000000000000004</v>
      </c>
      <c r="BB3">
        <v>-15.555555555555557</v>
      </c>
      <c r="BC3">
        <v>-0.11111111111111122</v>
      </c>
      <c r="BD3">
        <v>-4.3888888888888893</v>
      </c>
      <c r="BE3">
        <v>-37.222222222222221</v>
      </c>
      <c r="BF3">
        <v>2.7777777777777777</v>
      </c>
      <c r="BG3">
        <v>3</v>
      </c>
      <c r="BH3">
        <v>3.5</v>
      </c>
      <c r="BI3">
        <v>0.55555555555555569</v>
      </c>
      <c r="BJ3">
        <v>15</v>
      </c>
      <c r="BK3">
        <v>15.75</v>
      </c>
      <c r="BL3">
        <v>16</v>
      </c>
      <c r="BM3">
        <v>-7.6362473526896207E-2</v>
      </c>
      <c r="BN3">
        <v>21</v>
      </c>
      <c r="BO3">
        <v>-3.0467477427901742E-3</v>
      </c>
      <c r="BP3">
        <v>13</v>
      </c>
      <c r="BQ3">
        <v>2.9888888888888943</v>
      </c>
      <c r="BR3">
        <v>13</v>
      </c>
      <c r="BS3">
        <v>3.5555555555555558</v>
      </c>
      <c r="BT3">
        <v>0.22222222222222379</v>
      </c>
      <c r="BU3">
        <v>-2.3333333333333321</v>
      </c>
      <c r="BV3">
        <v>0</v>
      </c>
      <c r="BW3">
        <v>-25.555555555555543</v>
      </c>
      <c r="BX3">
        <v>-34.777777777777771</v>
      </c>
      <c r="BY3">
        <v>5.7777777777777812</v>
      </c>
      <c r="BZ3">
        <v>2.1111111111111107</v>
      </c>
      <c r="CA3">
        <v>1.3333333333333333</v>
      </c>
      <c r="CB3">
        <v>11</v>
      </c>
      <c r="CC3">
        <v>1.8644444444444452</v>
      </c>
      <c r="CD3">
        <v>0.66511111111111121</v>
      </c>
      <c r="CE3">
        <v>-40.55555555555555</v>
      </c>
      <c r="CF3">
        <v>-1.6516666666666666</v>
      </c>
    </row>
    <row r="4" spans="1:84" x14ac:dyDescent="0.2">
      <c r="A4" s="39">
        <v>43737</v>
      </c>
      <c r="B4" s="26" t="s">
        <v>417</v>
      </c>
      <c r="C4" s="41" t="s">
        <v>305</v>
      </c>
      <c r="D4" s="27" t="s">
        <v>281</v>
      </c>
      <c r="E4">
        <v>6.2</v>
      </c>
      <c r="F4">
        <v>14.1</v>
      </c>
      <c r="G4" s="14">
        <v>7.6</v>
      </c>
      <c r="H4" s="14">
        <f>13.1+5.9+1.9</f>
        <v>20.9</v>
      </c>
      <c r="I4">
        <v>-7.5</v>
      </c>
      <c r="J4">
        <v>47</v>
      </c>
      <c r="K4" t="s">
        <v>110</v>
      </c>
      <c r="L4" s="1" t="s">
        <v>305</v>
      </c>
      <c r="M4">
        <v>1</v>
      </c>
      <c r="N4">
        <v>5.797777777777779</v>
      </c>
      <c r="O4">
        <v>4.4555555555555557</v>
      </c>
      <c r="P4">
        <v>1.6666666666666661</v>
      </c>
      <c r="Q4">
        <v>-1.2222222222222223</v>
      </c>
      <c r="R4">
        <v>2.5111111111111093</v>
      </c>
      <c r="S4">
        <v>21.666666666666668</v>
      </c>
      <c r="T4">
        <v>1.3333333333333339</v>
      </c>
      <c r="U4">
        <v>8</v>
      </c>
      <c r="V4">
        <v>8.5</v>
      </c>
      <c r="W4">
        <v>-3.7777777777777781</v>
      </c>
      <c r="X4">
        <v>31</v>
      </c>
      <c r="Y4">
        <v>29.25</v>
      </c>
      <c r="Z4">
        <v>27</v>
      </c>
      <c r="AA4">
        <v>-1.2336664744011017E-2</v>
      </c>
      <c r="AB4">
        <v>31</v>
      </c>
      <c r="AC4">
        <v>-4.3416705918081777E-3</v>
      </c>
      <c r="AD4">
        <v>27</v>
      </c>
      <c r="AE4">
        <v>6.5999999999999988</v>
      </c>
      <c r="AF4">
        <v>32</v>
      </c>
      <c r="AG4">
        <v>-2.8888888888888888</v>
      </c>
      <c r="AH4">
        <v>7.2222222222222259</v>
      </c>
      <c r="AI4">
        <v>6.5555555555555571</v>
      </c>
      <c r="AJ4">
        <v>-1.5555555555555556</v>
      </c>
      <c r="AK4">
        <v>38.666666666666664</v>
      </c>
      <c r="AL4">
        <v>2.444444444444438</v>
      </c>
      <c r="AM4">
        <v>4.5555555555555527</v>
      </c>
      <c r="AN4">
        <v>-2.6666666666666665</v>
      </c>
      <c r="AO4">
        <v>34.333333333333336</v>
      </c>
      <c r="AP4">
        <v>15</v>
      </c>
      <c r="AQ4">
        <v>1.3422222222222231</v>
      </c>
      <c r="AR4">
        <v>-0.56600000000000006</v>
      </c>
      <c r="AS4">
        <v>-2.1111111111111147</v>
      </c>
      <c r="AT4">
        <v>-1.3422222222222233</v>
      </c>
      <c r="AU4">
        <v>1.7483333333333331</v>
      </c>
      <c r="AV4">
        <v>0.66152777777777805</v>
      </c>
      <c r="AW4">
        <v>-0.30194444444444396</v>
      </c>
      <c r="AX4" t="s">
        <v>281</v>
      </c>
      <c r="AY4">
        <v>11</v>
      </c>
      <c r="AZ4">
        <v>2.2888888888888892</v>
      </c>
      <c r="BA4">
        <v>1.788888888888887</v>
      </c>
      <c r="BB4">
        <v>-3.2222222222222268</v>
      </c>
      <c r="BC4">
        <v>1.6666666666666665</v>
      </c>
      <c r="BD4">
        <v>6.5888888888888903</v>
      </c>
      <c r="BE4">
        <v>16.555555555555554</v>
      </c>
      <c r="BF4">
        <v>-2.666666666666667</v>
      </c>
      <c r="BG4">
        <v>29</v>
      </c>
      <c r="BH4">
        <v>27</v>
      </c>
      <c r="BI4">
        <v>1.555555555555556</v>
      </c>
      <c r="BJ4">
        <v>9</v>
      </c>
      <c r="BK4">
        <v>12.5</v>
      </c>
      <c r="BL4">
        <v>8</v>
      </c>
      <c r="BM4">
        <v>-8.2226814052850927E-3</v>
      </c>
      <c r="BN4">
        <v>16</v>
      </c>
      <c r="BO4">
        <v>-8.3821000018702001E-3</v>
      </c>
      <c r="BP4">
        <v>7</v>
      </c>
      <c r="BQ4">
        <v>5.6666666666666643</v>
      </c>
      <c r="BR4">
        <v>19</v>
      </c>
      <c r="BS4">
        <v>-0.66666666666666696</v>
      </c>
      <c r="BT4">
        <v>-2.1111111111111143</v>
      </c>
      <c r="BU4">
        <v>1.4444444444444435</v>
      </c>
      <c r="BV4">
        <v>-0.55555555555555569</v>
      </c>
      <c r="BW4">
        <v>28.111111111111114</v>
      </c>
      <c r="BX4">
        <v>26.222222222222218</v>
      </c>
      <c r="BY4">
        <v>-3.2222222222222192</v>
      </c>
      <c r="BZ4">
        <v>3.7777777777777772</v>
      </c>
      <c r="CA4">
        <v>1.3333333333333333</v>
      </c>
      <c r="CB4">
        <v>13</v>
      </c>
      <c r="CC4">
        <v>0.50000000000000222</v>
      </c>
      <c r="CD4">
        <v>0.88111111111111251</v>
      </c>
      <c r="CE4">
        <v>29.444444444444436</v>
      </c>
      <c r="CF4">
        <v>1.625</v>
      </c>
    </row>
    <row r="5" spans="1:84" x14ac:dyDescent="0.2">
      <c r="A5" s="39">
        <v>43737</v>
      </c>
      <c r="B5" s="26" t="s">
        <v>417</v>
      </c>
      <c r="C5" s="41" t="s">
        <v>276</v>
      </c>
      <c r="D5" s="27" t="s">
        <v>302</v>
      </c>
      <c r="E5">
        <v>11.9</v>
      </c>
      <c r="F5">
        <v>14.5</v>
      </c>
      <c r="G5" s="14">
        <v>2.4</v>
      </c>
      <c r="H5" s="14">
        <v>8.8000000000000007</v>
      </c>
      <c r="I5">
        <v>7</v>
      </c>
      <c r="J5">
        <v>41.5</v>
      </c>
      <c r="L5" s="1" t="s">
        <v>276</v>
      </c>
      <c r="M5">
        <v>5</v>
      </c>
      <c r="N5">
        <v>-2.7688888888888896</v>
      </c>
      <c r="O5">
        <v>-2.5666666666666647</v>
      </c>
      <c r="P5">
        <v>4.5555555555555571</v>
      </c>
      <c r="Q5">
        <v>-0.77777777777777768</v>
      </c>
      <c r="R5">
        <v>-7.1888888888888882</v>
      </c>
      <c r="S5">
        <v>-31.999999999999996</v>
      </c>
      <c r="T5">
        <v>1</v>
      </c>
      <c r="U5">
        <v>25</v>
      </c>
      <c r="V5">
        <v>23</v>
      </c>
      <c r="W5">
        <v>-0.33333333333333365</v>
      </c>
      <c r="X5">
        <v>24</v>
      </c>
      <c r="Y5">
        <v>20.75</v>
      </c>
      <c r="Z5">
        <v>25</v>
      </c>
      <c r="AA5">
        <v>6.1993532630206571E-2</v>
      </c>
      <c r="AB5">
        <v>25</v>
      </c>
      <c r="AC5">
        <v>-8.6372878861758432E-3</v>
      </c>
      <c r="AD5">
        <v>5</v>
      </c>
      <c r="AE5">
        <v>14.066666666666668</v>
      </c>
      <c r="AF5">
        <v>28</v>
      </c>
      <c r="AG5">
        <v>2.3333333333333335</v>
      </c>
      <c r="AH5">
        <v>2.4444444444444451</v>
      </c>
      <c r="AI5">
        <v>-5.4444444444444438</v>
      </c>
      <c r="AJ5">
        <v>0</v>
      </c>
      <c r="AK5">
        <v>-26</v>
      </c>
      <c r="AL5">
        <v>-47.000000000000007</v>
      </c>
      <c r="AM5">
        <v>0.55555555555555713</v>
      </c>
      <c r="AN5">
        <v>0.44444444444444436</v>
      </c>
      <c r="AO5">
        <v>19.999999999999996</v>
      </c>
      <c r="AP5">
        <v>18</v>
      </c>
      <c r="AQ5">
        <v>-0.20222222222222519</v>
      </c>
      <c r="AR5">
        <v>-0.70822222222222297</v>
      </c>
      <c r="AS5">
        <v>-47.555555555555564</v>
      </c>
      <c r="AT5">
        <v>0.20222222222222497</v>
      </c>
      <c r="AU5">
        <v>-1.8155555555555551</v>
      </c>
      <c r="AV5">
        <v>-1.9338194444444445</v>
      </c>
      <c r="AW5">
        <v>-1.7031944444444447</v>
      </c>
      <c r="AX5" t="s">
        <v>302</v>
      </c>
      <c r="AY5">
        <v>28</v>
      </c>
      <c r="AZ5">
        <v>-4.2155555555555564</v>
      </c>
      <c r="BA5">
        <v>-3.833333333333333</v>
      </c>
      <c r="BB5">
        <v>-16.444444444444446</v>
      </c>
      <c r="BC5">
        <v>-0.11111111111111105</v>
      </c>
      <c r="BD5">
        <v>-6.6</v>
      </c>
      <c r="BE5">
        <v>-20.55555555555555</v>
      </c>
      <c r="BF5">
        <v>-0.44444444444444486</v>
      </c>
      <c r="BG5">
        <v>24</v>
      </c>
      <c r="BH5">
        <v>23</v>
      </c>
      <c r="BI5">
        <v>-0.22222222222222202</v>
      </c>
      <c r="BJ5">
        <v>5</v>
      </c>
      <c r="BK5">
        <v>9.75</v>
      </c>
      <c r="BL5">
        <v>1</v>
      </c>
      <c r="BM5">
        <v>-1.829281353090877E-2</v>
      </c>
      <c r="BN5">
        <v>12</v>
      </c>
      <c r="BO5">
        <v>2.9238302237289068E-2</v>
      </c>
      <c r="BP5">
        <v>23</v>
      </c>
      <c r="BQ5">
        <v>-4.4111111111111088</v>
      </c>
      <c r="BR5">
        <v>3</v>
      </c>
      <c r="BS5">
        <v>6.4444444444444438</v>
      </c>
      <c r="BT5">
        <v>-0.44444444444444525</v>
      </c>
      <c r="BU5">
        <v>-7.333333333333333</v>
      </c>
      <c r="BV5">
        <v>2.1111111111111112</v>
      </c>
      <c r="BW5">
        <v>-25.555555555555543</v>
      </c>
      <c r="BX5">
        <v>-4</v>
      </c>
      <c r="BY5">
        <v>-16.111111111111111</v>
      </c>
      <c r="BZ5">
        <v>-3.5555555555555554</v>
      </c>
      <c r="CA5">
        <v>-1.8888888888888886</v>
      </c>
      <c r="CB5">
        <v>15</v>
      </c>
      <c r="CC5">
        <v>-0.38222222222222335</v>
      </c>
      <c r="CD5">
        <v>-0.24644444444444469</v>
      </c>
      <c r="CE5">
        <v>12.111111111111111</v>
      </c>
      <c r="CF5">
        <v>-2.1644444444444444</v>
      </c>
    </row>
    <row r="6" spans="1:84" x14ac:dyDescent="0.2">
      <c r="A6" s="39">
        <v>43737</v>
      </c>
      <c r="B6" s="26" t="s">
        <v>417</v>
      </c>
      <c r="C6" s="41" t="s">
        <v>301</v>
      </c>
      <c r="D6" s="27" t="s">
        <v>311</v>
      </c>
      <c r="E6">
        <v>7.4</v>
      </c>
      <c r="F6">
        <v>6.3</v>
      </c>
      <c r="G6">
        <v>10.9</v>
      </c>
      <c r="H6" s="14">
        <v>2.5</v>
      </c>
      <c r="I6">
        <v>5.5</v>
      </c>
      <c r="J6">
        <v>47.5</v>
      </c>
      <c r="K6" t="s">
        <v>109</v>
      </c>
      <c r="L6" s="1" t="s">
        <v>301</v>
      </c>
      <c r="M6">
        <v>13</v>
      </c>
      <c r="N6">
        <v>-4.6666666666666652</v>
      </c>
      <c r="O6">
        <v>12.977777777777778</v>
      </c>
      <c r="P6">
        <v>28.444444444444443</v>
      </c>
      <c r="Q6">
        <v>2.7777777777777781</v>
      </c>
      <c r="R6">
        <v>-1.4999999999999996</v>
      </c>
      <c r="S6">
        <v>5.444444444444442</v>
      </c>
      <c r="T6">
        <v>1.0000000000000002</v>
      </c>
      <c r="U6">
        <v>32</v>
      </c>
      <c r="V6">
        <v>31.5</v>
      </c>
      <c r="W6">
        <v>-1.4444444444444446</v>
      </c>
      <c r="X6">
        <v>4</v>
      </c>
      <c r="Y6">
        <v>8.5</v>
      </c>
      <c r="Z6">
        <v>4</v>
      </c>
      <c r="AA6">
        <v>-3.4218211211845373E-2</v>
      </c>
      <c r="AB6">
        <v>6</v>
      </c>
      <c r="AC6">
        <v>-3.6591025562411083E-3</v>
      </c>
      <c r="AD6">
        <v>17</v>
      </c>
      <c r="AE6">
        <v>-5.6888888888888927</v>
      </c>
      <c r="AF6">
        <v>7</v>
      </c>
      <c r="AG6">
        <v>-1.1111111111111107</v>
      </c>
      <c r="AH6">
        <v>2.3684757858670005E-15</v>
      </c>
      <c r="AI6">
        <v>3.6666666666666679</v>
      </c>
      <c r="AJ6">
        <v>-1.1111111111111109</v>
      </c>
      <c r="AK6">
        <v>19</v>
      </c>
      <c r="AL6">
        <v>12.111111111111114</v>
      </c>
      <c r="AM6">
        <v>26.333333333333332</v>
      </c>
      <c r="AN6">
        <v>0.33333333333333331</v>
      </c>
      <c r="AO6">
        <v>-19.777777777777775</v>
      </c>
      <c r="AP6">
        <v>32</v>
      </c>
      <c r="AQ6">
        <v>-17.644444444444446</v>
      </c>
      <c r="AR6">
        <v>-7.7222222222222214</v>
      </c>
      <c r="AS6">
        <v>-14.222222222222218</v>
      </c>
      <c r="AT6">
        <v>17.644444444444442</v>
      </c>
      <c r="AU6">
        <v>1.0041666666666667</v>
      </c>
      <c r="AV6">
        <v>7.4861111111111489E-2</v>
      </c>
      <c r="AW6">
        <v>-1.0888888888888884</v>
      </c>
      <c r="AX6" t="s">
        <v>311</v>
      </c>
      <c r="AY6">
        <v>6</v>
      </c>
      <c r="AZ6">
        <v>2.2866666666666675</v>
      </c>
      <c r="BA6">
        <v>-1.3000000000000007</v>
      </c>
      <c r="BB6">
        <v>-0.44444444444444298</v>
      </c>
      <c r="BC6">
        <v>1.1111111111111109</v>
      </c>
      <c r="BD6">
        <v>6.9222222222222234</v>
      </c>
      <c r="BE6">
        <v>28.000000000000004</v>
      </c>
      <c r="BF6">
        <v>3.4444444444444446</v>
      </c>
      <c r="BG6">
        <v>22</v>
      </c>
      <c r="BH6">
        <v>21.5</v>
      </c>
      <c r="BI6">
        <v>-0.22222222222222202</v>
      </c>
      <c r="BJ6">
        <v>27</v>
      </c>
      <c r="BK6">
        <v>22.75</v>
      </c>
      <c r="BL6">
        <v>31</v>
      </c>
      <c r="BM6">
        <v>2.4838427582504263E-2</v>
      </c>
      <c r="BN6">
        <v>30</v>
      </c>
      <c r="BO6">
        <v>2.3582286807539501E-2</v>
      </c>
      <c r="BP6">
        <v>2</v>
      </c>
      <c r="BQ6">
        <v>-11.211111111111114</v>
      </c>
      <c r="BR6">
        <v>28</v>
      </c>
      <c r="BS6">
        <v>0.88888888888888895</v>
      </c>
      <c r="BT6">
        <v>6.2222222222222214</v>
      </c>
      <c r="BU6">
        <v>1.1111111111111118</v>
      </c>
      <c r="BV6">
        <v>-1.5555555555555556</v>
      </c>
      <c r="BW6">
        <v>35.222222222222229</v>
      </c>
      <c r="BX6">
        <v>26.888888888888886</v>
      </c>
      <c r="BY6">
        <v>-0.7777777777777809</v>
      </c>
      <c r="BZ6">
        <v>0</v>
      </c>
      <c r="CA6">
        <v>9.1111111111111107</v>
      </c>
      <c r="CB6">
        <v>10</v>
      </c>
      <c r="CC6">
        <v>3.5866666666666682</v>
      </c>
      <c r="CD6">
        <v>2.4917777777777785</v>
      </c>
      <c r="CE6">
        <v>27.666666666666668</v>
      </c>
      <c r="CF6">
        <v>1.2386111111111113</v>
      </c>
    </row>
    <row r="7" spans="1:84" x14ac:dyDescent="0.2">
      <c r="A7" s="39">
        <v>43737</v>
      </c>
      <c r="B7" s="26" t="s">
        <v>417</v>
      </c>
      <c r="C7" s="41" t="s">
        <v>265</v>
      </c>
      <c r="D7" s="27" t="s">
        <v>312</v>
      </c>
      <c r="E7">
        <v>14.7</v>
      </c>
      <c r="F7">
        <v>9.6</v>
      </c>
      <c r="G7">
        <v>3.1</v>
      </c>
      <c r="H7" s="14">
        <f>3.6+3.3+1.7</f>
        <v>8.6</v>
      </c>
      <c r="I7">
        <v>1</v>
      </c>
      <c r="J7">
        <v>38</v>
      </c>
      <c r="K7" t="s">
        <v>110</v>
      </c>
      <c r="L7" s="1" t="s">
        <v>265</v>
      </c>
      <c r="M7">
        <v>26</v>
      </c>
      <c r="N7">
        <v>-3.66</v>
      </c>
      <c r="O7">
        <v>-6.8333333333333339</v>
      </c>
      <c r="P7">
        <v>-40.888888888888886</v>
      </c>
      <c r="Q7">
        <v>3</v>
      </c>
      <c r="R7">
        <v>-7.7444444444444462</v>
      </c>
      <c r="S7">
        <v>-41.111111111111114</v>
      </c>
      <c r="T7">
        <v>-1.4444444444444451</v>
      </c>
      <c r="U7">
        <v>30</v>
      </c>
      <c r="V7">
        <v>29.5</v>
      </c>
      <c r="W7">
        <v>5</v>
      </c>
      <c r="X7">
        <v>18</v>
      </c>
      <c r="Y7">
        <v>15.5</v>
      </c>
      <c r="Z7">
        <v>20</v>
      </c>
      <c r="AA7">
        <v>-3.5161517787359708E-2</v>
      </c>
      <c r="AB7">
        <v>11</v>
      </c>
      <c r="AC7">
        <v>1.2802051563860939E-2</v>
      </c>
      <c r="AD7">
        <v>20</v>
      </c>
      <c r="AE7">
        <v>-19.499999999999996</v>
      </c>
      <c r="AF7">
        <v>11</v>
      </c>
      <c r="AG7">
        <v>1.4444444444444444</v>
      </c>
      <c r="AH7">
        <v>-1.8888888888888904</v>
      </c>
      <c r="AI7">
        <v>-6.666666666666667</v>
      </c>
      <c r="AJ7">
        <v>1.5555555555555554</v>
      </c>
      <c r="AK7">
        <v>-71.222222222222229</v>
      </c>
      <c r="AL7">
        <v>-40.111111111111107</v>
      </c>
      <c r="AM7">
        <v>-42</v>
      </c>
      <c r="AN7">
        <v>17</v>
      </c>
      <c r="AO7">
        <v>-6.1111111111111107</v>
      </c>
      <c r="AP7">
        <v>12</v>
      </c>
      <c r="AQ7">
        <v>3.1733333333333333</v>
      </c>
      <c r="AR7">
        <v>1.1357777777777778</v>
      </c>
      <c r="AS7">
        <v>1.8888888888888928</v>
      </c>
      <c r="AT7">
        <v>-3.1733333333333338</v>
      </c>
      <c r="AU7">
        <v>-2.1130555555555559</v>
      </c>
      <c r="AV7">
        <v>-0.35375000000000001</v>
      </c>
      <c r="AW7">
        <v>-0.77333333333333287</v>
      </c>
      <c r="AX7" t="s">
        <v>312</v>
      </c>
      <c r="AY7">
        <v>7</v>
      </c>
      <c r="AZ7">
        <v>0.79333333333333178</v>
      </c>
      <c r="BA7">
        <v>2.4333333333333336</v>
      </c>
      <c r="BB7">
        <v>6.3333333333333339</v>
      </c>
      <c r="BC7">
        <v>2</v>
      </c>
      <c r="BD7">
        <v>0.52222222222222037</v>
      </c>
      <c r="BE7">
        <v>-7.6666666666666625</v>
      </c>
      <c r="BF7">
        <v>0.66666666666666696</v>
      </c>
      <c r="BG7">
        <v>11</v>
      </c>
      <c r="BH7">
        <v>12</v>
      </c>
      <c r="BI7">
        <v>-2.5555555555555554</v>
      </c>
      <c r="BJ7">
        <v>7</v>
      </c>
      <c r="BK7">
        <v>12.25</v>
      </c>
      <c r="BL7">
        <v>19</v>
      </c>
      <c r="BM7">
        <v>6.3690128019434092E-2</v>
      </c>
      <c r="BN7">
        <v>13</v>
      </c>
      <c r="BO7">
        <v>2.684466941912882E-2</v>
      </c>
      <c r="BP7">
        <v>1</v>
      </c>
      <c r="BQ7">
        <v>-8.9222222222222189</v>
      </c>
      <c r="BR7">
        <v>16</v>
      </c>
      <c r="BS7">
        <v>3.2222222222222219</v>
      </c>
      <c r="BT7">
        <v>5.5555555555555545</v>
      </c>
      <c r="BU7">
        <v>-2.7777777777777772</v>
      </c>
      <c r="BV7">
        <v>0</v>
      </c>
      <c r="BW7">
        <v>11.111111111111105</v>
      </c>
      <c r="BX7">
        <v>-0.99999999999999056</v>
      </c>
      <c r="BY7">
        <v>9.3333333333333339</v>
      </c>
      <c r="BZ7">
        <v>1.1111111111111109</v>
      </c>
      <c r="CA7">
        <v>1.6666666666666667</v>
      </c>
      <c r="CB7">
        <v>19</v>
      </c>
      <c r="CC7">
        <v>-1.6400000000000017</v>
      </c>
      <c r="CD7">
        <v>-0.95355555555555627</v>
      </c>
      <c r="CE7">
        <v>-10.333333333333325</v>
      </c>
      <c r="CF7">
        <v>6.5833333333332911E-2</v>
      </c>
    </row>
    <row r="8" spans="1:84" x14ac:dyDescent="0.2">
      <c r="A8" s="39">
        <v>43737</v>
      </c>
      <c r="B8" s="26" t="s">
        <v>417</v>
      </c>
      <c r="C8" s="17" t="s">
        <v>272</v>
      </c>
      <c r="D8" s="27" t="s">
        <v>309</v>
      </c>
      <c r="E8">
        <v>6.3</v>
      </c>
      <c r="F8">
        <v>6.6</v>
      </c>
      <c r="G8">
        <v>4</v>
      </c>
      <c r="H8" s="14">
        <v>4.7</v>
      </c>
      <c r="I8">
        <v>3.5</v>
      </c>
      <c r="J8">
        <v>45.5</v>
      </c>
      <c r="L8" s="1" t="s">
        <v>272</v>
      </c>
      <c r="M8">
        <v>24</v>
      </c>
      <c r="N8">
        <v>5.3466666666666667</v>
      </c>
      <c r="O8">
        <v>-5.4111111111111114</v>
      </c>
      <c r="P8">
        <v>-23</v>
      </c>
      <c r="Q8">
        <v>-0.66666666666666696</v>
      </c>
      <c r="R8">
        <v>15.233333333333336</v>
      </c>
      <c r="S8">
        <v>90.333333333333343</v>
      </c>
      <c r="T8">
        <v>5.5555555555555554</v>
      </c>
      <c r="U8">
        <v>12</v>
      </c>
      <c r="V8">
        <v>11.5</v>
      </c>
      <c r="W8">
        <v>-5.1111111111111116</v>
      </c>
      <c r="X8">
        <v>10</v>
      </c>
      <c r="Y8">
        <v>12.75</v>
      </c>
      <c r="Z8">
        <v>13</v>
      </c>
      <c r="AA8">
        <v>-3.4031099041706794E-3</v>
      </c>
      <c r="AB8">
        <v>15</v>
      </c>
      <c r="AC8">
        <v>1.6852793720378963E-2</v>
      </c>
      <c r="AD8">
        <v>11</v>
      </c>
      <c r="AE8">
        <v>18.400000000000002</v>
      </c>
      <c r="AF8">
        <v>12</v>
      </c>
      <c r="AG8">
        <v>0.55555555555555569</v>
      </c>
      <c r="AH8">
        <v>4.1111111111111116</v>
      </c>
      <c r="AI8">
        <v>1.3333333333333333</v>
      </c>
      <c r="AJ8">
        <v>-3.3333333333333335</v>
      </c>
      <c r="AK8">
        <v>53.888888888888893</v>
      </c>
      <c r="AL8">
        <v>88.777777777777771</v>
      </c>
      <c r="AM8">
        <v>-25.888888888888886</v>
      </c>
      <c r="AN8">
        <v>-3.6666666666666665</v>
      </c>
      <c r="AO8">
        <v>-5.333333333333333</v>
      </c>
      <c r="AP8">
        <v>2</v>
      </c>
      <c r="AQ8">
        <v>10.757777777777777</v>
      </c>
      <c r="AR8">
        <v>6.8215555555555563</v>
      </c>
      <c r="AS8">
        <v>114.66666666666666</v>
      </c>
      <c r="AT8">
        <v>-10.757777777777779</v>
      </c>
      <c r="AU8">
        <v>2.0350000000000006</v>
      </c>
      <c r="AV8">
        <v>0.19138888888888889</v>
      </c>
      <c r="AW8">
        <v>0.13861111111111113</v>
      </c>
      <c r="AX8" t="s">
        <v>309</v>
      </c>
      <c r="AY8">
        <v>31</v>
      </c>
      <c r="AZ8">
        <v>-0.55333333333333401</v>
      </c>
      <c r="BA8">
        <v>-4.1444444444444439</v>
      </c>
      <c r="BB8">
        <v>4.3333333333333357</v>
      </c>
      <c r="BC8">
        <v>-0.44444444444444442</v>
      </c>
      <c r="BD8">
        <v>5.5400000000000009</v>
      </c>
      <c r="BE8">
        <v>13.888888888888889</v>
      </c>
      <c r="BF8">
        <v>0.66666666666666696</v>
      </c>
      <c r="BG8">
        <v>30</v>
      </c>
      <c r="BH8">
        <v>27.5</v>
      </c>
      <c r="BI8">
        <v>-6.2222222222222214</v>
      </c>
      <c r="BJ8">
        <v>1</v>
      </c>
      <c r="BK8">
        <v>5.25</v>
      </c>
      <c r="BL8">
        <v>2</v>
      </c>
      <c r="BM8">
        <v>4.4741636543804586E-2</v>
      </c>
      <c r="BN8">
        <v>1</v>
      </c>
      <c r="BO8">
        <v>4.5260496480008724E-3</v>
      </c>
      <c r="BP8">
        <v>16</v>
      </c>
      <c r="BQ8">
        <v>3.2333333333333392</v>
      </c>
      <c r="BR8">
        <v>2</v>
      </c>
      <c r="BS8">
        <v>-1.4444444444444444</v>
      </c>
      <c r="BT8">
        <v>3.6666666666666665</v>
      </c>
      <c r="BU8">
        <v>0.55555555555555591</v>
      </c>
      <c r="BV8">
        <v>-3.1111111111111112</v>
      </c>
      <c r="BW8">
        <v>30.666666666666668</v>
      </c>
      <c r="BX8">
        <v>20.777777777777782</v>
      </c>
      <c r="BY8">
        <v>14.333333333333334</v>
      </c>
      <c r="BZ8">
        <v>-2.7777777777777781</v>
      </c>
      <c r="CA8">
        <v>-1.6666666666666667</v>
      </c>
      <c r="CB8">
        <v>9</v>
      </c>
      <c r="CC8">
        <v>3.5911111111111103</v>
      </c>
      <c r="CD8">
        <v>3.0695555555555551</v>
      </c>
      <c r="CE8">
        <v>6.4444444444444482</v>
      </c>
      <c r="CF8">
        <v>0.24416666666666662</v>
      </c>
    </row>
    <row r="9" spans="1:84" x14ac:dyDescent="0.2">
      <c r="A9" s="39">
        <v>43737</v>
      </c>
      <c r="B9" s="26" t="s">
        <v>417</v>
      </c>
      <c r="C9" s="41" t="s">
        <v>281</v>
      </c>
      <c r="D9" s="27" t="s">
        <v>305</v>
      </c>
      <c r="E9">
        <v>4</v>
      </c>
      <c r="F9">
        <v>27.7</v>
      </c>
      <c r="G9">
        <v>2</v>
      </c>
      <c r="H9" s="14">
        <v>20</v>
      </c>
      <c r="I9">
        <v>7.5</v>
      </c>
      <c r="J9">
        <v>47</v>
      </c>
      <c r="K9" t="s">
        <v>110</v>
      </c>
      <c r="L9" s="1" t="s">
        <v>281</v>
      </c>
      <c r="M9">
        <v>10</v>
      </c>
      <c r="N9">
        <v>-1.4822222222222219</v>
      </c>
      <c r="O9">
        <v>-0.11111111111111013</v>
      </c>
      <c r="P9">
        <v>3.8888888888888884</v>
      </c>
      <c r="Q9">
        <v>0</v>
      </c>
      <c r="R9">
        <v>0.21111111111110975</v>
      </c>
      <c r="S9">
        <v>21.55555555555555</v>
      </c>
      <c r="T9">
        <v>-1.5555555555555551</v>
      </c>
      <c r="U9">
        <v>4</v>
      </c>
      <c r="V9">
        <v>7</v>
      </c>
      <c r="W9">
        <v>-0.66666666666666696</v>
      </c>
      <c r="X9">
        <v>30</v>
      </c>
      <c r="Y9">
        <v>29</v>
      </c>
      <c r="Z9">
        <v>31</v>
      </c>
      <c r="AA9">
        <v>7.7855185749922604E-2</v>
      </c>
      <c r="AB9">
        <v>30</v>
      </c>
      <c r="AC9">
        <v>4.0026932132195291E-2</v>
      </c>
      <c r="AD9">
        <v>24</v>
      </c>
      <c r="AE9">
        <v>-11.766666666666667</v>
      </c>
      <c r="AF9">
        <v>31</v>
      </c>
      <c r="AG9">
        <v>1.555555555555556</v>
      </c>
      <c r="AH9">
        <v>-0.22222222222222379</v>
      </c>
      <c r="AI9">
        <v>-2.6666666666666656</v>
      </c>
      <c r="AJ9">
        <v>0</v>
      </c>
      <c r="AK9">
        <v>16.111111111111104</v>
      </c>
      <c r="AL9">
        <v>27.111111111111104</v>
      </c>
      <c r="AM9">
        <v>-2</v>
      </c>
      <c r="AN9">
        <v>0.44444444444444436</v>
      </c>
      <c r="AO9">
        <v>-9.4444444444444446</v>
      </c>
      <c r="AP9">
        <v>20</v>
      </c>
      <c r="AQ9">
        <v>-1.3711111111111118</v>
      </c>
      <c r="AR9">
        <v>-0.19866666666666738</v>
      </c>
      <c r="AS9">
        <v>29.111111111111104</v>
      </c>
      <c r="AT9">
        <v>1.3711111111111118</v>
      </c>
      <c r="AU9">
        <v>-0.24222222222222228</v>
      </c>
      <c r="AV9">
        <v>0.66152777777777805</v>
      </c>
      <c r="AW9">
        <v>1.625</v>
      </c>
      <c r="AX9" t="s">
        <v>305</v>
      </c>
      <c r="AY9">
        <v>32</v>
      </c>
      <c r="AZ9">
        <v>-0.3377777777777749</v>
      </c>
      <c r="BA9">
        <v>-0.4777777777777763</v>
      </c>
      <c r="BB9">
        <v>-7.8888888888888893</v>
      </c>
      <c r="BC9">
        <v>-2.5555555555555558</v>
      </c>
      <c r="BD9">
        <v>-1.6</v>
      </c>
      <c r="BE9">
        <v>13.333333333333337</v>
      </c>
      <c r="BF9">
        <v>-2.1111111111111107</v>
      </c>
      <c r="BG9">
        <v>23</v>
      </c>
      <c r="BH9">
        <v>22.5</v>
      </c>
      <c r="BI9">
        <v>-2.8888888888888888</v>
      </c>
      <c r="BJ9">
        <v>5</v>
      </c>
      <c r="BK9">
        <v>9.75</v>
      </c>
      <c r="BL9">
        <v>15</v>
      </c>
      <c r="BM9">
        <v>4.9308211162426514E-2</v>
      </c>
      <c r="BN9">
        <v>8</v>
      </c>
      <c r="BO9">
        <v>-1.5181852963881526E-2</v>
      </c>
      <c r="BP9">
        <v>15</v>
      </c>
      <c r="BQ9">
        <v>6.6555555555555559</v>
      </c>
      <c r="BR9">
        <v>1</v>
      </c>
      <c r="BS9">
        <v>-3.7777777777777781</v>
      </c>
      <c r="BT9">
        <v>-9.1111111111111125</v>
      </c>
      <c r="BU9">
        <v>-0.11111111111110983</v>
      </c>
      <c r="BV9">
        <v>0</v>
      </c>
      <c r="BW9">
        <v>-2.3333333333333237</v>
      </c>
      <c r="BX9">
        <v>12.111111111111114</v>
      </c>
      <c r="BY9">
        <v>-7.666666666666667</v>
      </c>
      <c r="BZ9">
        <v>-0.11111111111111109</v>
      </c>
      <c r="CA9">
        <v>-6.666666666666667</v>
      </c>
      <c r="CB9">
        <v>14</v>
      </c>
      <c r="CC9">
        <v>0.14000000000000146</v>
      </c>
      <c r="CD9">
        <v>-0.14866666666666678</v>
      </c>
      <c r="CE9">
        <v>19.777777777777782</v>
      </c>
      <c r="CF9">
        <v>-0.30194444444444396</v>
      </c>
    </row>
    <row r="10" spans="1:84" x14ac:dyDescent="0.2">
      <c r="A10" s="39">
        <v>43737</v>
      </c>
      <c r="B10" s="26" t="s">
        <v>417</v>
      </c>
      <c r="C10" s="41" t="s">
        <v>291</v>
      </c>
      <c r="D10" s="27" t="s">
        <v>307</v>
      </c>
      <c r="E10">
        <v>9.8000000000000007</v>
      </c>
      <c r="F10">
        <v>0</v>
      </c>
      <c r="G10" s="14">
        <v>4.3</v>
      </c>
      <c r="H10" s="14">
        <v>15.9</v>
      </c>
      <c r="I10">
        <v>-2.5</v>
      </c>
      <c r="J10">
        <v>47</v>
      </c>
      <c r="L10" s="1" t="s">
        <v>291</v>
      </c>
      <c r="M10">
        <v>3</v>
      </c>
      <c r="N10">
        <v>0.96666666666666379</v>
      </c>
      <c r="O10">
        <v>4.0000000000000009</v>
      </c>
      <c r="P10">
        <v>25.333333333333329</v>
      </c>
      <c r="Q10">
        <v>0.11111111111111116</v>
      </c>
      <c r="R10">
        <v>4.8777777777777738</v>
      </c>
      <c r="S10">
        <v>19.888888888888886</v>
      </c>
      <c r="T10">
        <v>1.5555555555555549</v>
      </c>
      <c r="U10">
        <v>11</v>
      </c>
      <c r="V10">
        <v>9.5</v>
      </c>
      <c r="W10">
        <v>-5.3333333333333348</v>
      </c>
      <c r="X10">
        <v>26</v>
      </c>
      <c r="Y10">
        <v>22.25</v>
      </c>
      <c r="Z10">
        <v>18</v>
      </c>
      <c r="AA10">
        <v>-7.1518775401973614E-2</v>
      </c>
      <c r="AB10">
        <v>32</v>
      </c>
      <c r="AC10">
        <v>-3.021483217005555E-2</v>
      </c>
      <c r="AD10">
        <v>16</v>
      </c>
      <c r="AE10">
        <v>-7.6999999999999984</v>
      </c>
      <c r="AF10">
        <v>23</v>
      </c>
      <c r="AG10">
        <v>-1.6666666666666667</v>
      </c>
      <c r="AH10">
        <v>-2.1111111111111094</v>
      </c>
      <c r="AI10">
        <v>-0.99999999999999878</v>
      </c>
      <c r="AJ10">
        <v>-2.3333333333333335</v>
      </c>
      <c r="AK10">
        <v>34.444444444444436</v>
      </c>
      <c r="AL10">
        <v>8.3333333333333339</v>
      </c>
      <c r="AM10">
        <v>14.444444444444448</v>
      </c>
      <c r="AN10">
        <v>-2.6666666666666665</v>
      </c>
      <c r="AO10">
        <v>14.333333333333336</v>
      </c>
      <c r="AP10">
        <v>25</v>
      </c>
      <c r="AQ10">
        <v>-3.0333333333333372</v>
      </c>
      <c r="AR10">
        <v>-0.83111111111111313</v>
      </c>
      <c r="AS10">
        <v>-6.1111111111111143</v>
      </c>
      <c r="AT10">
        <v>3.0333333333333372</v>
      </c>
      <c r="AU10">
        <v>1.0499999999999994</v>
      </c>
      <c r="AV10">
        <v>0.80895833333333367</v>
      </c>
      <c r="AW10">
        <v>-6.4305555555555644E-2</v>
      </c>
      <c r="AX10" t="s">
        <v>307</v>
      </c>
      <c r="AY10">
        <v>18</v>
      </c>
      <c r="AZ10">
        <v>8.58</v>
      </c>
      <c r="BA10">
        <v>0.85555555555555507</v>
      </c>
      <c r="BB10">
        <v>7.5555555555555536</v>
      </c>
      <c r="BC10">
        <v>1.7777777777777779</v>
      </c>
      <c r="BD10">
        <v>5.1333333333333346</v>
      </c>
      <c r="BE10">
        <v>33.333333333333343</v>
      </c>
      <c r="BF10">
        <v>-0.44444444444444542</v>
      </c>
      <c r="BG10">
        <v>8</v>
      </c>
      <c r="BH10">
        <v>8.5</v>
      </c>
      <c r="BI10">
        <v>-3</v>
      </c>
      <c r="BJ10">
        <v>17</v>
      </c>
      <c r="BK10">
        <v>16</v>
      </c>
      <c r="BL10">
        <v>6</v>
      </c>
      <c r="BM10">
        <v>4.4562022339800132E-2</v>
      </c>
      <c r="BN10">
        <v>18</v>
      </c>
      <c r="BO10">
        <v>4.4292642174541957E-4</v>
      </c>
      <c r="BP10">
        <v>21</v>
      </c>
      <c r="BQ10">
        <v>-0.31111111111110529</v>
      </c>
      <c r="BR10">
        <v>19</v>
      </c>
      <c r="BS10">
        <v>1.5555555555555556</v>
      </c>
      <c r="BT10">
        <v>1.8888888888888857</v>
      </c>
      <c r="BU10">
        <v>2.7777777777777772</v>
      </c>
      <c r="BV10">
        <v>0</v>
      </c>
      <c r="BW10">
        <v>68.555555555555557</v>
      </c>
      <c r="BX10">
        <v>50.333333333333336</v>
      </c>
      <c r="BY10">
        <v>6.7777777777777759</v>
      </c>
      <c r="BZ10">
        <v>-0.88888888888888928</v>
      </c>
      <c r="CA10">
        <v>12.333333333333334</v>
      </c>
      <c r="CB10">
        <v>5</v>
      </c>
      <c r="CC10">
        <v>7.7244444444444458</v>
      </c>
      <c r="CD10">
        <v>2.3148888888888899</v>
      </c>
      <c r="CE10">
        <v>43.555555555555557</v>
      </c>
      <c r="CF10">
        <v>1.682222222222223</v>
      </c>
    </row>
    <row r="11" spans="1:84" x14ac:dyDescent="0.2">
      <c r="A11" s="39">
        <v>43737</v>
      </c>
      <c r="B11" t="s">
        <v>417</v>
      </c>
      <c r="C11" s="41" t="s">
        <v>278</v>
      </c>
      <c r="D11" t="s">
        <v>297</v>
      </c>
      <c r="E11">
        <v>24.2</v>
      </c>
      <c r="F11">
        <v>18.399999999999999</v>
      </c>
      <c r="G11">
        <v>8.6999999999999993</v>
      </c>
      <c r="H11">
        <v>11.1</v>
      </c>
      <c r="I11">
        <v>-2.5</v>
      </c>
      <c r="J11">
        <v>37</v>
      </c>
      <c r="L11" s="1" t="s">
        <v>278</v>
      </c>
      <c r="M11">
        <v>30</v>
      </c>
      <c r="N11">
        <v>-2.7511111111111117</v>
      </c>
      <c r="O11">
        <v>3.8888888888888893</v>
      </c>
      <c r="P11">
        <v>18.333333333333336</v>
      </c>
      <c r="Q11">
        <v>2.666666666666667</v>
      </c>
      <c r="R11">
        <v>2.2555555555555546</v>
      </c>
      <c r="S11">
        <v>23.666666666666668</v>
      </c>
      <c r="T11">
        <v>3.4444444444444446</v>
      </c>
      <c r="U11">
        <v>10</v>
      </c>
      <c r="V11">
        <v>9</v>
      </c>
      <c r="W11">
        <v>-5.5555555555555562</v>
      </c>
      <c r="X11">
        <v>22</v>
      </c>
      <c r="Y11">
        <v>20.25</v>
      </c>
      <c r="Z11">
        <v>15</v>
      </c>
      <c r="AA11">
        <v>-2.0131300757497508E-3</v>
      </c>
      <c r="AB11">
        <v>19</v>
      </c>
      <c r="AC11">
        <v>2.1452605264472912E-2</v>
      </c>
      <c r="AD11">
        <v>28</v>
      </c>
      <c r="AE11">
        <v>9.3555555555555614</v>
      </c>
      <c r="AF11">
        <v>19</v>
      </c>
      <c r="AG11">
        <v>-1.5555555555555554</v>
      </c>
      <c r="AH11">
        <v>3.888888888888888</v>
      </c>
      <c r="AI11">
        <v>-1.5555555555555554</v>
      </c>
      <c r="AJ11">
        <v>0</v>
      </c>
      <c r="AK11">
        <v>0.22222222222222854</v>
      </c>
      <c r="AL11">
        <v>-7.1111111111111143</v>
      </c>
      <c r="AM11">
        <v>12.777777777777777</v>
      </c>
      <c r="AN11">
        <v>-1.0000000000000002</v>
      </c>
      <c r="AO11">
        <v>-4.4444444444444438</v>
      </c>
      <c r="AP11">
        <v>28</v>
      </c>
      <c r="AQ11">
        <v>-6.6400000000000015</v>
      </c>
      <c r="AR11">
        <v>-2.0435555555555558</v>
      </c>
      <c r="AS11">
        <v>-19.888888888888893</v>
      </c>
      <c r="AT11">
        <v>6.6400000000000006</v>
      </c>
      <c r="AU11">
        <v>0.5908333333333331</v>
      </c>
      <c r="AV11">
        <v>-0.77874999999999983</v>
      </c>
      <c r="AW11">
        <v>0.28583333333333316</v>
      </c>
      <c r="AX11" t="s">
        <v>297</v>
      </c>
      <c r="AY11">
        <v>20</v>
      </c>
      <c r="AZ11">
        <v>-4.691111111111109</v>
      </c>
      <c r="BA11">
        <v>-3.2777777777777768</v>
      </c>
      <c r="BB11">
        <v>8.9999999999999982</v>
      </c>
      <c r="BC11">
        <v>-1.4444444444444446</v>
      </c>
      <c r="BD11">
        <v>-7.8888888888888884</v>
      </c>
      <c r="BE11">
        <v>-15.888888888888888</v>
      </c>
      <c r="BF11">
        <v>1</v>
      </c>
      <c r="BG11">
        <v>26</v>
      </c>
      <c r="BH11">
        <v>25</v>
      </c>
      <c r="BI11">
        <v>-2.4444444444444442</v>
      </c>
      <c r="BJ11">
        <v>20</v>
      </c>
      <c r="BK11">
        <v>16.75</v>
      </c>
      <c r="BL11">
        <v>21</v>
      </c>
      <c r="BM11">
        <v>6.905806273540714E-3</v>
      </c>
      <c r="BN11">
        <v>5</v>
      </c>
      <c r="BO11">
        <v>4.9756123671378556E-3</v>
      </c>
      <c r="BP11">
        <v>32</v>
      </c>
      <c r="BQ11">
        <v>-9.5222222222222239</v>
      </c>
      <c r="BR11">
        <v>9</v>
      </c>
      <c r="BS11">
        <v>2.1111111111111112</v>
      </c>
      <c r="BT11">
        <v>4.2222222222222214</v>
      </c>
      <c r="BU11">
        <v>-2.3333333333333335</v>
      </c>
      <c r="BV11">
        <v>-1</v>
      </c>
      <c r="BW11">
        <v>-14.666666666666648</v>
      </c>
      <c r="BX11">
        <v>-17.333333333333325</v>
      </c>
      <c r="BY11">
        <v>8</v>
      </c>
      <c r="BZ11">
        <v>-0.88888888888888884</v>
      </c>
      <c r="CA11">
        <v>-4.4444444444444446</v>
      </c>
      <c r="CB11">
        <v>18</v>
      </c>
      <c r="CC11">
        <v>-1.4133333333333322</v>
      </c>
      <c r="CD11">
        <v>-0.87711111111111117</v>
      </c>
      <c r="CE11">
        <v>-25.333333333333325</v>
      </c>
      <c r="CF11">
        <v>-1.8433333333333328</v>
      </c>
    </row>
    <row r="12" spans="1:84" x14ac:dyDescent="0.2">
      <c r="A12" s="39">
        <v>43737</v>
      </c>
      <c r="B12" s="26" t="s">
        <v>417</v>
      </c>
      <c r="C12" s="41" t="s">
        <v>299</v>
      </c>
      <c r="D12" s="27" t="s">
        <v>288</v>
      </c>
      <c r="E12">
        <v>23.7</v>
      </c>
      <c r="F12" s="14">
        <v>10.7</v>
      </c>
      <c r="G12">
        <v>6.7</v>
      </c>
      <c r="H12" s="14">
        <f>11.7+5.5</f>
        <v>17.2</v>
      </c>
      <c r="I12">
        <v>7.5</v>
      </c>
      <c r="J12">
        <v>54.5</v>
      </c>
      <c r="L12" s="1" t="s">
        <v>299</v>
      </c>
      <c r="M12">
        <v>4</v>
      </c>
      <c r="N12">
        <v>-4.3533333333333308</v>
      </c>
      <c r="O12">
        <v>-4.7666666666666675</v>
      </c>
      <c r="P12">
        <v>-25.222222222222218</v>
      </c>
      <c r="Q12">
        <v>-1.8888888888888891</v>
      </c>
      <c r="R12">
        <v>-3.911111111111111</v>
      </c>
      <c r="S12">
        <v>-2.4444444444444446</v>
      </c>
      <c r="T12">
        <v>2</v>
      </c>
      <c r="U12">
        <v>23</v>
      </c>
      <c r="V12">
        <v>22.5</v>
      </c>
      <c r="W12">
        <v>1.7777777777777777</v>
      </c>
      <c r="X12">
        <v>5</v>
      </c>
      <c r="Y12">
        <v>9</v>
      </c>
      <c r="Z12">
        <v>6</v>
      </c>
      <c r="AA12">
        <v>2.7048694867672549E-3</v>
      </c>
      <c r="AB12">
        <v>12</v>
      </c>
      <c r="AC12">
        <v>-1.7407178087598282E-2</v>
      </c>
      <c r="AD12">
        <v>9</v>
      </c>
      <c r="AE12">
        <v>-9.6333333333333346</v>
      </c>
      <c r="AF12">
        <v>9</v>
      </c>
      <c r="AG12">
        <v>2</v>
      </c>
      <c r="AH12">
        <v>3.2222222222222237</v>
      </c>
      <c r="AI12">
        <v>-4.7777777777777777</v>
      </c>
      <c r="AJ12">
        <v>1.5555555555555554</v>
      </c>
      <c r="AK12">
        <v>-23.777777777777771</v>
      </c>
      <c r="AL12">
        <v>-12.444444444444438</v>
      </c>
      <c r="AM12">
        <v>-1.5555555555555547</v>
      </c>
      <c r="AN12">
        <v>-1.2222222222222221</v>
      </c>
      <c r="AO12">
        <v>-8.5555555555555554</v>
      </c>
      <c r="AP12">
        <v>17</v>
      </c>
      <c r="AQ12">
        <v>0.41333333333333622</v>
      </c>
      <c r="AR12">
        <v>0.73044444444444556</v>
      </c>
      <c r="AS12">
        <v>-10.888888888888882</v>
      </c>
      <c r="AT12">
        <v>-0.41333333333333666</v>
      </c>
      <c r="AU12">
        <v>-1.7122222222222216</v>
      </c>
      <c r="AV12">
        <v>-0.53541666666666665</v>
      </c>
      <c r="AW12">
        <v>-0.67555555555555535</v>
      </c>
      <c r="AX12" t="s">
        <v>288</v>
      </c>
      <c r="AY12">
        <v>7</v>
      </c>
      <c r="AZ12">
        <v>-2.295555555555556</v>
      </c>
      <c r="BA12">
        <v>4.5222222222222221</v>
      </c>
      <c r="BB12">
        <v>20.111111111111111</v>
      </c>
      <c r="BC12">
        <v>1.1111111111111109</v>
      </c>
      <c r="BD12">
        <v>-3.5000000000000009</v>
      </c>
      <c r="BE12">
        <v>3.0000000000000124</v>
      </c>
      <c r="BF12">
        <v>3.4444444444444446</v>
      </c>
      <c r="BG12">
        <v>20</v>
      </c>
      <c r="BH12">
        <v>21</v>
      </c>
      <c r="BI12">
        <v>-5</v>
      </c>
      <c r="BJ12">
        <v>2</v>
      </c>
      <c r="BK12">
        <v>7.25</v>
      </c>
      <c r="BL12">
        <v>4</v>
      </c>
      <c r="BM12">
        <v>2.972728522164127E-2</v>
      </c>
      <c r="BN12">
        <v>13</v>
      </c>
      <c r="BO12">
        <v>3.959466044329364E-3</v>
      </c>
      <c r="BP12">
        <v>3</v>
      </c>
      <c r="BQ12">
        <v>7.2888888888888914</v>
      </c>
      <c r="BR12">
        <v>9</v>
      </c>
      <c r="BS12">
        <v>2.1111111111111112</v>
      </c>
      <c r="BT12">
        <v>1.2222222222222239</v>
      </c>
      <c r="BU12">
        <v>-2.6666666666666656</v>
      </c>
      <c r="BV12">
        <v>0</v>
      </c>
      <c r="BW12">
        <v>19.777777777777789</v>
      </c>
      <c r="BX12">
        <v>12.888888888888886</v>
      </c>
      <c r="BY12">
        <v>15.555555555555552</v>
      </c>
      <c r="BZ12">
        <v>-0.77777777777777779</v>
      </c>
      <c r="CA12">
        <v>-7.8888888888888902</v>
      </c>
      <c r="CB12">
        <v>29</v>
      </c>
      <c r="CC12">
        <v>-6.8177777777777777</v>
      </c>
      <c r="CD12">
        <v>-3.4202222222222223</v>
      </c>
      <c r="CE12">
        <v>-2.6666666666666661</v>
      </c>
      <c r="CF12">
        <v>-0.39527777777777806</v>
      </c>
    </row>
    <row r="13" spans="1:84" x14ac:dyDescent="0.2">
      <c r="A13" s="39">
        <v>43737</v>
      </c>
      <c r="B13" s="26" t="s">
        <v>417</v>
      </c>
      <c r="C13" s="41" t="s">
        <v>300</v>
      </c>
      <c r="D13" s="27" t="s">
        <v>294</v>
      </c>
      <c r="E13">
        <v>31</v>
      </c>
      <c r="F13">
        <v>7.7</v>
      </c>
      <c r="G13" s="14">
        <v>14.9</v>
      </c>
      <c r="H13" s="14">
        <f>18.1+3.9+2.1</f>
        <v>24.1</v>
      </c>
      <c r="I13">
        <v>-3.5</v>
      </c>
      <c r="J13">
        <v>46</v>
      </c>
      <c r="L13" s="1" t="s">
        <v>300</v>
      </c>
      <c r="M13">
        <v>19</v>
      </c>
      <c r="N13">
        <v>-1.5</v>
      </c>
      <c r="O13">
        <v>4.7222222222222232</v>
      </c>
      <c r="P13">
        <v>9.888888888888884</v>
      </c>
      <c r="Q13">
        <v>-1</v>
      </c>
      <c r="R13">
        <v>-9.4333333333333353</v>
      </c>
      <c r="S13">
        <v>-24.444444444444443</v>
      </c>
      <c r="T13">
        <v>-3.2222222222222219</v>
      </c>
      <c r="U13">
        <v>31</v>
      </c>
      <c r="V13">
        <v>31</v>
      </c>
      <c r="W13">
        <v>7.1111111111111107</v>
      </c>
      <c r="X13">
        <v>16</v>
      </c>
      <c r="Y13">
        <v>14.5</v>
      </c>
      <c r="Z13">
        <v>17</v>
      </c>
      <c r="AA13">
        <v>8.5286119491604487E-2</v>
      </c>
      <c r="AB13">
        <v>14</v>
      </c>
      <c r="AC13">
        <v>9.1005310303555933E-3</v>
      </c>
      <c r="AD13">
        <v>3</v>
      </c>
      <c r="AE13">
        <v>-3.4111111111111092</v>
      </c>
      <c r="AF13">
        <v>24</v>
      </c>
      <c r="AG13">
        <v>-2.2222222222222219</v>
      </c>
      <c r="AH13">
        <v>-2.5555555555555571</v>
      </c>
      <c r="AI13">
        <v>2.3333333333333339</v>
      </c>
      <c r="AJ13">
        <v>0</v>
      </c>
      <c r="AK13">
        <v>-32.222222222222207</v>
      </c>
      <c r="AL13">
        <v>-28.333333333333332</v>
      </c>
      <c r="AM13">
        <v>6.4444444444444429</v>
      </c>
      <c r="AN13">
        <v>-7.7777777777777777</v>
      </c>
      <c r="AO13">
        <v>-2.5555555555555554</v>
      </c>
      <c r="AP13">
        <v>27</v>
      </c>
      <c r="AQ13">
        <v>-6.2222222222222232</v>
      </c>
      <c r="AR13">
        <v>-4.5477777777777781</v>
      </c>
      <c r="AS13">
        <v>-34.777777777777771</v>
      </c>
      <c r="AT13">
        <v>6.2222222222222232</v>
      </c>
      <c r="AU13">
        <v>-0.73472222222222239</v>
      </c>
      <c r="AV13">
        <v>-0.66527777777777741</v>
      </c>
      <c r="AW13">
        <v>-1.8408333333333331</v>
      </c>
      <c r="AX13" t="s">
        <v>294</v>
      </c>
      <c r="AY13">
        <v>30</v>
      </c>
      <c r="AZ13">
        <v>-1.7777777777778187E-2</v>
      </c>
      <c r="BA13">
        <v>0.74444444444444557</v>
      </c>
      <c r="BB13">
        <v>-21</v>
      </c>
      <c r="BC13">
        <v>1.5555555555555558</v>
      </c>
      <c r="BD13">
        <v>-0.19999999999999751</v>
      </c>
      <c r="BE13">
        <v>-2.7777777777777768</v>
      </c>
      <c r="BF13">
        <v>0.33333333333333348</v>
      </c>
      <c r="BG13">
        <v>31</v>
      </c>
      <c r="BH13">
        <v>28.5</v>
      </c>
      <c r="BI13">
        <v>2.4444444444444446</v>
      </c>
      <c r="BJ13">
        <v>4</v>
      </c>
      <c r="BK13">
        <v>8.75</v>
      </c>
      <c r="BL13">
        <v>3</v>
      </c>
      <c r="BM13">
        <v>5.2407494609506999E-2</v>
      </c>
      <c r="BN13">
        <v>4</v>
      </c>
      <c r="BO13">
        <v>-1.7389648916996698E-2</v>
      </c>
      <c r="BP13">
        <v>14</v>
      </c>
      <c r="BQ13">
        <v>-6.3333333333333313</v>
      </c>
      <c r="BR13">
        <v>14</v>
      </c>
      <c r="BS13">
        <v>-3.8888888888888893</v>
      </c>
      <c r="BT13">
        <v>-2.6666666666666665</v>
      </c>
      <c r="BU13">
        <v>3.3333333333333335</v>
      </c>
      <c r="BV13">
        <v>1.5555555555555554</v>
      </c>
      <c r="BW13">
        <v>-14.777777777777791</v>
      </c>
      <c r="BX13">
        <v>1.2222222222222285</v>
      </c>
      <c r="BY13">
        <v>-7.4444444444444429</v>
      </c>
      <c r="BZ13">
        <v>-2.3333333333333335</v>
      </c>
      <c r="CA13">
        <v>-6.2222222222222223</v>
      </c>
      <c r="CB13">
        <v>16</v>
      </c>
      <c r="CC13">
        <v>-0.7622222222222238</v>
      </c>
      <c r="CD13">
        <v>-0.41577777777777802</v>
      </c>
      <c r="CE13">
        <v>8.6666666666666714</v>
      </c>
      <c r="CF13">
        <v>0.51027777777777816</v>
      </c>
    </row>
    <row r="14" spans="1:84" x14ac:dyDescent="0.2">
      <c r="A14" s="39">
        <v>43737</v>
      </c>
      <c r="B14" s="26" t="s">
        <v>417</v>
      </c>
      <c r="C14" s="41" t="s">
        <v>311</v>
      </c>
      <c r="D14" s="27" t="s">
        <v>301</v>
      </c>
      <c r="E14">
        <v>8.1</v>
      </c>
      <c r="F14" s="14">
        <v>5.3</v>
      </c>
      <c r="G14">
        <v>4.4000000000000004</v>
      </c>
      <c r="H14" s="14">
        <v>7.3</v>
      </c>
      <c r="I14">
        <v>-5.5</v>
      </c>
      <c r="J14">
        <v>47.5</v>
      </c>
      <c r="K14" t="s">
        <v>109</v>
      </c>
      <c r="L14" s="1" t="s">
        <v>311</v>
      </c>
      <c r="M14">
        <v>6</v>
      </c>
      <c r="N14">
        <v>0.21111111111111094</v>
      </c>
      <c r="O14">
        <v>-4.1222222222222218</v>
      </c>
      <c r="P14">
        <v>0.66666666666666763</v>
      </c>
      <c r="Q14">
        <v>-0.88888888888888873</v>
      </c>
      <c r="R14">
        <v>-0.26666666666666305</v>
      </c>
      <c r="S14">
        <v>-8.0000000000000036</v>
      </c>
      <c r="T14">
        <v>-0.5555555555555558</v>
      </c>
      <c r="U14">
        <v>22</v>
      </c>
      <c r="V14">
        <v>20.5</v>
      </c>
      <c r="W14">
        <v>0.88888888888888895</v>
      </c>
      <c r="X14">
        <v>20</v>
      </c>
      <c r="Y14">
        <v>17.5</v>
      </c>
      <c r="Z14">
        <v>1</v>
      </c>
      <c r="AA14">
        <v>0.10107117619804891</v>
      </c>
      <c r="AB14">
        <v>24</v>
      </c>
      <c r="AC14">
        <v>3.4632654493779058E-2</v>
      </c>
      <c r="AD14">
        <v>15</v>
      </c>
      <c r="AE14">
        <v>-0.44444444444444287</v>
      </c>
      <c r="AF14">
        <v>30</v>
      </c>
      <c r="AG14">
        <v>-0.22222222222222202</v>
      </c>
      <c r="AH14">
        <v>-4.2222222222222214</v>
      </c>
      <c r="AI14">
        <v>-1.6666666666666654</v>
      </c>
      <c r="AJ14">
        <v>0</v>
      </c>
      <c r="AK14">
        <v>-31.777777777777789</v>
      </c>
      <c r="AL14">
        <v>-27.777777777777771</v>
      </c>
      <c r="AM14">
        <v>-2.8888888888888857</v>
      </c>
      <c r="AN14">
        <v>-3.2222222222222228</v>
      </c>
      <c r="AO14">
        <v>2.1111111111111107</v>
      </c>
      <c r="AP14">
        <v>10</v>
      </c>
      <c r="AQ14">
        <v>4.333333333333333</v>
      </c>
      <c r="AR14">
        <v>2.0500000000000007</v>
      </c>
      <c r="AS14">
        <v>-24.888888888888886</v>
      </c>
      <c r="AT14">
        <v>-4.333333333333333</v>
      </c>
      <c r="AU14">
        <v>-0.63333333333333286</v>
      </c>
      <c r="AV14">
        <v>7.4861111111111489E-2</v>
      </c>
      <c r="AW14">
        <v>1.2386111111111113</v>
      </c>
      <c r="AX14" t="s">
        <v>301</v>
      </c>
      <c r="AY14">
        <v>14</v>
      </c>
      <c r="AZ14">
        <v>-3.9333333333333322</v>
      </c>
      <c r="BA14">
        <v>3.5888888888888895</v>
      </c>
      <c r="BB14">
        <v>10.777777777777775</v>
      </c>
      <c r="BC14">
        <v>0.11111111111111105</v>
      </c>
      <c r="BD14">
        <v>-8.6999999999999993</v>
      </c>
      <c r="BE14">
        <v>-56.111111111111107</v>
      </c>
      <c r="BF14">
        <v>-0.88888888888888928</v>
      </c>
      <c r="BG14">
        <v>10</v>
      </c>
      <c r="BH14">
        <v>11.5</v>
      </c>
      <c r="BI14">
        <v>-1.1111111111111107</v>
      </c>
      <c r="BJ14">
        <v>18</v>
      </c>
      <c r="BK14">
        <v>16.25</v>
      </c>
      <c r="BL14">
        <v>18</v>
      </c>
      <c r="BM14">
        <v>-4.7521502819219035E-3</v>
      </c>
      <c r="BN14">
        <v>16</v>
      </c>
      <c r="BO14">
        <v>9.7597416314279765E-3</v>
      </c>
      <c r="BP14">
        <v>8</v>
      </c>
      <c r="BQ14">
        <v>1.8444444444444461</v>
      </c>
      <c r="BR14">
        <v>23</v>
      </c>
      <c r="BS14">
        <v>-1.5555555555555554</v>
      </c>
      <c r="BT14">
        <v>1.222222222222219</v>
      </c>
      <c r="BU14">
        <v>0.88888888888888928</v>
      </c>
      <c r="BV14">
        <v>-0.77777777777777779</v>
      </c>
      <c r="BW14">
        <v>-53</v>
      </c>
      <c r="BX14">
        <v>-72.111111111111128</v>
      </c>
      <c r="BY14">
        <v>10.777777777777779</v>
      </c>
      <c r="BZ14">
        <v>-4</v>
      </c>
      <c r="CA14">
        <v>12.33333333333333</v>
      </c>
      <c r="CB14">
        <v>31</v>
      </c>
      <c r="CC14">
        <v>-7.5222222222222213</v>
      </c>
      <c r="CD14">
        <v>-4.3211111111111107</v>
      </c>
      <c r="CE14">
        <v>-82.888888888888914</v>
      </c>
      <c r="CF14">
        <v>-1.0888888888888884</v>
      </c>
    </row>
    <row r="15" spans="1:84" x14ac:dyDescent="0.2">
      <c r="A15" s="39">
        <v>43737</v>
      </c>
      <c r="B15" s="26" t="s">
        <v>417</v>
      </c>
      <c r="C15" s="41" t="s">
        <v>289</v>
      </c>
      <c r="D15" s="27" t="s">
        <v>303</v>
      </c>
      <c r="E15">
        <v>11.2</v>
      </c>
      <c r="F15">
        <v>13.8</v>
      </c>
      <c r="G15">
        <v>6.5</v>
      </c>
      <c r="H15" s="14">
        <f>12.2+11.8</f>
        <v>24</v>
      </c>
      <c r="I15">
        <v>-5</v>
      </c>
      <c r="J15">
        <v>46</v>
      </c>
      <c r="K15" t="s">
        <v>110</v>
      </c>
      <c r="L15" s="1" t="s">
        <v>289</v>
      </c>
      <c r="M15">
        <v>22</v>
      </c>
      <c r="N15">
        <v>0.57333333333333536</v>
      </c>
      <c r="O15">
        <v>2.9444444444444451</v>
      </c>
      <c r="P15">
        <v>27.222222222222225</v>
      </c>
      <c r="Q15">
        <v>0.33333333333333326</v>
      </c>
      <c r="R15">
        <v>1.4222222222222221</v>
      </c>
      <c r="S15">
        <v>-16.333333333333332</v>
      </c>
      <c r="T15">
        <v>2.3333333333333344</v>
      </c>
      <c r="U15">
        <v>19</v>
      </c>
      <c r="V15">
        <v>19.5</v>
      </c>
      <c r="W15">
        <v>-3</v>
      </c>
      <c r="X15">
        <v>3</v>
      </c>
      <c r="Y15">
        <v>7.75</v>
      </c>
      <c r="Z15">
        <v>4</v>
      </c>
      <c r="AA15">
        <v>-4.3274460607674377E-2</v>
      </c>
      <c r="AB15">
        <v>8</v>
      </c>
      <c r="AC15">
        <v>-1.4720414289998267E-3</v>
      </c>
      <c r="AD15">
        <v>13</v>
      </c>
      <c r="AE15">
        <v>-9.9111111111111132</v>
      </c>
      <c r="AF15">
        <v>6</v>
      </c>
      <c r="AG15">
        <v>-2.6666666666666665</v>
      </c>
      <c r="AH15">
        <v>3.4444444444444429</v>
      </c>
      <c r="AI15">
        <v>2.111111111111112</v>
      </c>
      <c r="AJ15">
        <v>0</v>
      </c>
      <c r="AK15">
        <v>23.111111111111104</v>
      </c>
      <c r="AL15">
        <v>-16.222222222222218</v>
      </c>
      <c r="AM15">
        <v>37.111111111111114</v>
      </c>
      <c r="AN15">
        <v>-2.9605947323337506E-16</v>
      </c>
      <c r="AO15">
        <v>2.2222222222222219</v>
      </c>
      <c r="AP15">
        <v>23</v>
      </c>
      <c r="AQ15">
        <v>-2.3711111111111096</v>
      </c>
      <c r="AR15">
        <v>-1.0731111111111109</v>
      </c>
      <c r="AS15">
        <v>-53.333333333333329</v>
      </c>
      <c r="AT15">
        <v>2.3711111111111096</v>
      </c>
      <c r="AU15">
        <v>0.70083333333333353</v>
      </c>
      <c r="AV15">
        <v>3.6250000000000282E-2</v>
      </c>
      <c r="AW15">
        <v>0.32944444444444476</v>
      </c>
      <c r="AX15" t="s">
        <v>303</v>
      </c>
      <c r="AY15">
        <v>13</v>
      </c>
      <c r="AZ15">
        <v>1.6555555555555579</v>
      </c>
      <c r="BA15">
        <v>-6.6555555555555577</v>
      </c>
      <c r="BB15">
        <v>-22.222222222222221</v>
      </c>
      <c r="BC15">
        <v>-0.44444444444444442</v>
      </c>
      <c r="BD15">
        <v>2.2777777777777795</v>
      </c>
      <c r="BE15">
        <v>-7.2222222222222126</v>
      </c>
      <c r="BF15">
        <v>-2</v>
      </c>
      <c r="BG15">
        <v>27</v>
      </c>
      <c r="BH15">
        <v>25.5</v>
      </c>
      <c r="BI15">
        <v>0.66666666666666685</v>
      </c>
      <c r="BJ15">
        <v>10</v>
      </c>
      <c r="BK15">
        <v>13.25</v>
      </c>
      <c r="BL15">
        <v>12</v>
      </c>
      <c r="BM15">
        <v>-8.6705940329128775E-2</v>
      </c>
      <c r="BN15">
        <v>11</v>
      </c>
      <c r="BO15">
        <v>-1.0207184120227595E-2</v>
      </c>
      <c r="BP15">
        <v>12</v>
      </c>
      <c r="BQ15">
        <v>-2.9111111111111163</v>
      </c>
      <c r="BR15">
        <v>18</v>
      </c>
      <c r="BS15">
        <v>-1.5555555555555554</v>
      </c>
      <c r="BT15">
        <v>-1.5555555555555571</v>
      </c>
      <c r="BU15">
        <v>1.0000000000000007</v>
      </c>
      <c r="BV15">
        <v>0</v>
      </c>
      <c r="BW15">
        <v>-0.44444444444443815</v>
      </c>
      <c r="BX15">
        <v>20.555555555555554</v>
      </c>
      <c r="BY15">
        <v>-17.777777777777775</v>
      </c>
      <c r="BZ15">
        <v>-2.2222222222222219</v>
      </c>
      <c r="CA15">
        <v>-1</v>
      </c>
      <c r="CB15">
        <v>4</v>
      </c>
      <c r="CC15">
        <v>8.3111111111111153</v>
      </c>
      <c r="CD15">
        <v>4.1144444444444463</v>
      </c>
      <c r="CE15">
        <v>38.333333333333329</v>
      </c>
      <c r="CF15">
        <v>-0.2569444444444442</v>
      </c>
    </row>
    <row r="16" spans="1:84" x14ac:dyDescent="0.2">
      <c r="A16" s="39">
        <v>43737</v>
      </c>
      <c r="B16" s="26" t="s">
        <v>417</v>
      </c>
      <c r="C16" s="41" t="s">
        <v>297</v>
      </c>
      <c r="D16" s="27" t="s">
        <v>278</v>
      </c>
      <c r="E16">
        <v>11.6</v>
      </c>
      <c r="F16">
        <v>8.4</v>
      </c>
      <c r="G16">
        <v>2.7</v>
      </c>
      <c r="H16" s="14">
        <f>8.8+4.7</f>
        <v>13.5</v>
      </c>
      <c r="I16">
        <v>2.5</v>
      </c>
      <c r="J16">
        <v>37</v>
      </c>
      <c r="L16" s="1" t="s">
        <v>297</v>
      </c>
      <c r="M16">
        <v>27</v>
      </c>
      <c r="N16">
        <v>1.3888888888888893</v>
      </c>
      <c r="O16">
        <v>-7.4888888888888889</v>
      </c>
      <c r="P16">
        <v>-25.222222222222221</v>
      </c>
      <c r="Q16">
        <v>0</v>
      </c>
      <c r="R16">
        <v>3.9444444444444442</v>
      </c>
      <c r="S16">
        <v>9.7777777777777839</v>
      </c>
      <c r="T16">
        <v>-3.888888888888888</v>
      </c>
      <c r="U16">
        <v>27</v>
      </c>
      <c r="V16">
        <v>27</v>
      </c>
      <c r="W16">
        <v>2.1111111111111112</v>
      </c>
      <c r="X16">
        <v>7</v>
      </c>
      <c r="Y16">
        <v>11.25</v>
      </c>
      <c r="Z16">
        <v>7</v>
      </c>
      <c r="AA16">
        <v>2.342107916190117E-2</v>
      </c>
      <c r="AB16">
        <v>17</v>
      </c>
      <c r="AC16">
        <v>-1.9556832313889508E-2</v>
      </c>
      <c r="AD16">
        <v>18</v>
      </c>
      <c r="AE16">
        <v>1.6444444444444457</v>
      </c>
      <c r="AF16">
        <v>3</v>
      </c>
      <c r="AG16">
        <v>-2.4444444444444442</v>
      </c>
      <c r="AH16">
        <v>-9.3333333333333339</v>
      </c>
      <c r="AI16">
        <v>-0.44444444444444403</v>
      </c>
      <c r="AJ16">
        <v>0</v>
      </c>
      <c r="AK16">
        <v>-36.444444444444436</v>
      </c>
      <c r="AL16">
        <v>-5.5555555555555527</v>
      </c>
      <c r="AM16">
        <v>-36.777777777777779</v>
      </c>
      <c r="AN16">
        <v>-0.11111111111111116</v>
      </c>
      <c r="AO16">
        <v>6.0000000000000009</v>
      </c>
      <c r="AP16">
        <v>3</v>
      </c>
      <c r="AQ16">
        <v>8.8777777777777764</v>
      </c>
      <c r="AR16">
        <v>4.8111111111111109</v>
      </c>
      <c r="AS16">
        <v>31.222222222222225</v>
      </c>
      <c r="AT16">
        <v>-8.8777777777777782</v>
      </c>
      <c r="AU16">
        <v>-4.7222222222222221E-2</v>
      </c>
      <c r="AV16">
        <v>-0.77874999999999983</v>
      </c>
      <c r="AW16">
        <v>-1.8433333333333328</v>
      </c>
      <c r="AX16" t="s">
        <v>278</v>
      </c>
      <c r="AY16">
        <v>15</v>
      </c>
      <c r="AZ16">
        <v>-2.1577777777777771</v>
      </c>
      <c r="BA16">
        <v>3.5000000000000009</v>
      </c>
      <c r="BB16">
        <v>7.2222222222222241</v>
      </c>
      <c r="BC16">
        <v>-1.6666666666666665</v>
      </c>
      <c r="BD16">
        <v>-3.6111111111111134</v>
      </c>
      <c r="BE16">
        <v>-0.11111111111111222</v>
      </c>
      <c r="BF16">
        <v>-2.1111111111111112</v>
      </c>
      <c r="BG16">
        <v>9</v>
      </c>
      <c r="BH16">
        <v>9.5</v>
      </c>
      <c r="BI16">
        <v>-1.5555555555555554</v>
      </c>
      <c r="BJ16">
        <v>12</v>
      </c>
      <c r="BK16">
        <v>14.5</v>
      </c>
      <c r="BL16">
        <v>25</v>
      </c>
      <c r="BM16">
        <v>-5.7999190067827743E-2</v>
      </c>
      <c r="BN16">
        <v>6</v>
      </c>
      <c r="BO16">
        <v>-6.1172051050811277E-2</v>
      </c>
      <c r="BP16">
        <v>10</v>
      </c>
      <c r="BQ16">
        <v>-5.4555555555555557</v>
      </c>
      <c r="BR16">
        <v>17</v>
      </c>
      <c r="BS16">
        <v>-5.5555555555555562</v>
      </c>
      <c r="BT16">
        <v>-4.7777777777777786</v>
      </c>
      <c r="BU16">
        <v>5.7777777777777786</v>
      </c>
      <c r="BV16">
        <v>-0.77777777777777779</v>
      </c>
      <c r="BW16">
        <v>3.2222222222222285</v>
      </c>
      <c r="BX16">
        <v>-9.2222222222222197</v>
      </c>
      <c r="BY16">
        <v>3.4444444444444451</v>
      </c>
      <c r="BZ16">
        <v>11.33333333333333</v>
      </c>
      <c r="CA16">
        <v>-2.3333333333333335</v>
      </c>
      <c r="CB16">
        <v>25</v>
      </c>
      <c r="CC16">
        <v>-5.6577777777777785</v>
      </c>
      <c r="CD16">
        <v>-2.9037777777777789</v>
      </c>
      <c r="CE16">
        <v>-12.666666666666664</v>
      </c>
      <c r="CF16">
        <v>0.28583333333333316</v>
      </c>
    </row>
    <row r="17" spans="1:84" x14ac:dyDescent="0.2">
      <c r="A17" s="39">
        <v>43737</v>
      </c>
      <c r="B17" s="26" t="s">
        <v>417</v>
      </c>
      <c r="C17" s="41" t="s">
        <v>288</v>
      </c>
      <c r="D17" s="27" t="s">
        <v>299</v>
      </c>
      <c r="E17">
        <v>7.4</v>
      </c>
      <c r="F17">
        <v>7.5</v>
      </c>
      <c r="G17" s="14">
        <v>1.9</v>
      </c>
      <c r="H17" s="14">
        <v>21.8</v>
      </c>
      <c r="I17">
        <v>-7.5</v>
      </c>
      <c r="J17">
        <v>54.5</v>
      </c>
      <c r="L17" s="1" t="s">
        <v>288</v>
      </c>
      <c r="M17">
        <v>8</v>
      </c>
      <c r="N17">
        <v>11.582222222222223</v>
      </c>
      <c r="O17">
        <v>6.7444444444444436</v>
      </c>
      <c r="P17">
        <v>4.0000000000000018</v>
      </c>
      <c r="Q17">
        <v>2.5555555555555554</v>
      </c>
      <c r="R17">
        <v>24.788888888888895</v>
      </c>
      <c r="S17">
        <v>101.66666666666669</v>
      </c>
      <c r="T17">
        <v>3.8888888888888888</v>
      </c>
      <c r="U17">
        <v>15</v>
      </c>
      <c r="V17">
        <v>14.5</v>
      </c>
      <c r="W17">
        <v>2.1111111111111112</v>
      </c>
      <c r="X17">
        <v>29</v>
      </c>
      <c r="Y17">
        <v>25</v>
      </c>
      <c r="Z17">
        <v>26</v>
      </c>
      <c r="AA17">
        <v>-0.10158049686351572</v>
      </c>
      <c r="AB17">
        <v>23</v>
      </c>
      <c r="AC17">
        <v>-4.2315071888492727E-2</v>
      </c>
      <c r="AD17">
        <v>25</v>
      </c>
      <c r="AE17">
        <v>18.255555555555556</v>
      </c>
      <c r="AF17">
        <v>26</v>
      </c>
      <c r="AG17">
        <v>-5</v>
      </c>
      <c r="AH17">
        <v>3.2222222222222214</v>
      </c>
      <c r="AI17">
        <v>10.222222222222223</v>
      </c>
      <c r="AJ17">
        <v>0</v>
      </c>
      <c r="AK17">
        <v>105.77777777777777</v>
      </c>
      <c r="AL17">
        <v>105.11111111111113</v>
      </c>
      <c r="AM17">
        <v>2.7777777777777808</v>
      </c>
      <c r="AN17">
        <v>3</v>
      </c>
      <c r="AO17">
        <v>-5.1111111111111107</v>
      </c>
      <c r="AP17">
        <v>7</v>
      </c>
      <c r="AQ17">
        <v>4.8377777777777791</v>
      </c>
      <c r="AR17">
        <v>3.9020000000000019</v>
      </c>
      <c r="AS17">
        <v>102.33333333333334</v>
      </c>
      <c r="AT17">
        <v>-4.8377777777777791</v>
      </c>
      <c r="AU17">
        <v>5.6255555555555565</v>
      </c>
      <c r="AV17">
        <v>-0.53541666666666665</v>
      </c>
      <c r="AW17">
        <v>-0.39527777777777806</v>
      </c>
      <c r="AX17" t="s">
        <v>299</v>
      </c>
      <c r="AY17">
        <v>3</v>
      </c>
      <c r="AZ17">
        <v>-2.3155555555555534</v>
      </c>
      <c r="BA17">
        <v>3.9444444444444451</v>
      </c>
      <c r="BB17">
        <v>28.777777777777779</v>
      </c>
      <c r="BC17">
        <v>-1.0000000000000002</v>
      </c>
      <c r="BD17">
        <v>-7.1444444444444457</v>
      </c>
      <c r="BE17">
        <v>-20.222222222222221</v>
      </c>
      <c r="BF17">
        <v>0.66666666666666674</v>
      </c>
      <c r="BG17">
        <v>12</v>
      </c>
      <c r="BH17">
        <v>12.5</v>
      </c>
      <c r="BI17">
        <v>2</v>
      </c>
      <c r="BJ17">
        <v>24</v>
      </c>
      <c r="BK17">
        <v>21</v>
      </c>
      <c r="BL17">
        <v>26</v>
      </c>
      <c r="BM17">
        <v>-3.1128417857400632E-2</v>
      </c>
      <c r="BN17">
        <v>23</v>
      </c>
      <c r="BO17">
        <v>-1.4308179436437694E-2</v>
      </c>
      <c r="BP17">
        <v>5</v>
      </c>
      <c r="BQ17">
        <v>-13.433333333333332</v>
      </c>
      <c r="BR17">
        <v>30</v>
      </c>
      <c r="BS17">
        <v>1.7777777777777777</v>
      </c>
      <c r="BT17">
        <v>3.1111111111111072</v>
      </c>
      <c r="BU17">
        <v>-1.8888888888888882</v>
      </c>
      <c r="BV17">
        <v>0</v>
      </c>
      <c r="BW17">
        <v>23.777777777777789</v>
      </c>
      <c r="BX17">
        <v>-2.3333333333333521</v>
      </c>
      <c r="BY17">
        <v>21.777777777777782</v>
      </c>
      <c r="BZ17">
        <v>2.1111111111111112</v>
      </c>
      <c r="CA17">
        <v>2.2222222222222228</v>
      </c>
      <c r="CB17">
        <v>27</v>
      </c>
      <c r="CC17">
        <v>-6.259999999999998</v>
      </c>
      <c r="CD17">
        <v>-3.8642222222222227</v>
      </c>
      <c r="CE17">
        <v>-24.111111111111136</v>
      </c>
      <c r="CF17">
        <v>-0.67555555555555535</v>
      </c>
    </row>
    <row r="18" spans="1:84" x14ac:dyDescent="0.2">
      <c r="A18" s="39">
        <v>43737</v>
      </c>
      <c r="B18" s="26" t="s">
        <v>417</v>
      </c>
      <c r="C18" s="41" t="s">
        <v>303</v>
      </c>
      <c r="D18" s="27" t="s">
        <v>289</v>
      </c>
      <c r="E18">
        <v>12.6</v>
      </c>
      <c r="F18">
        <v>3.8</v>
      </c>
      <c r="G18">
        <v>13.4</v>
      </c>
      <c r="H18" s="14">
        <f>12.3+12</f>
        <v>24.3</v>
      </c>
      <c r="I18">
        <v>5</v>
      </c>
      <c r="J18">
        <v>46</v>
      </c>
      <c r="K18" t="s">
        <v>110</v>
      </c>
      <c r="L18" s="1" t="s">
        <v>303</v>
      </c>
      <c r="M18">
        <v>29</v>
      </c>
      <c r="N18">
        <v>-2.42</v>
      </c>
      <c r="O18">
        <v>-6.8</v>
      </c>
      <c r="P18">
        <v>-9.2222222222222214</v>
      </c>
      <c r="Q18">
        <v>-2.3333333333333339</v>
      </c>
      <c r="R18">
        <v>4.4444444444444446</v>
      </c>
      <c r="S18">
        <v>4.3333333333333357</v>
      </c>
      <c r="T18">
        <v>1.3333333333333337</v>
      </c>
      <c r="U18">
        <v>19</v>
      </c>
      <c r="V18">
        <v>19.5</v>
      </c>
      <c r="W18">
        <v>-1.5555555555555554</v>
      </c>
      <c r="X18">
        <v>19</v>
      </c>
      <c r="Y18">
        <v>17.25</v>
      </c>
      <c r="Z18">
        <v>14</v>
      </c>
      <c r="AA18">
        <v>-7.8911514042612305E-2</v>
      </c>
      <c r="AB18">
        <v>21</v>
      </c>
      <c r="AC18">
        <v>1.4589587861721679E-2</v>
      </c>
      <c r="AD18">
        <v>32</v>
      </c>
      <c r="AE18">
        <v>13.333333333333337</v>
      </c>
      <c r="AF18">
        <v>2</v>
      </c>
      <c r="AG18">
        <v>0.66666666666666685</v>
      </c>
      <c r="AH18">
        <v>-3.111111111111112</v>
      </c>
      <c r="AI18">
        <v>-3.7777777777777768</v>
      </c>
      <c r="AJ18">
        <v>0</v>
      </c>
      <c r="AK18">
        <v>-20.888888888888875</v>
      </c>
      <c r="AL18">
        <v>-9.6666666666666661</v>
      </c>
      <c r="AM18">
        <v>-0.7777777777777809</v>
      </c>
      <c r="AN18">
        <v>-5.666666666666667</v>
      </c>
      <c r="AO18">
        <v>-4.7777777777777777</v>
      </c>
      <c r="AP18">
        <v>9</v>
      </c>
      <c r="AQ18">
        <v>4.38</v>
      </c>
      <c r="AR18">
        <v>3.8048888888888888</v>
      </c>
      <c r="AS18">
        <v>-8.8888888888888857</v>
      </c>
      <c r="AT18">
        <v>-4.38</v>
      </c>
      <c r="AU18">
        <v>-0.83305555555555555</v>
      </c>
      <c r="AV18">
        <v>3.6250000000000282E-2</v>
      </c>
      <c r="AW18">
        <v>-0.2569444444444442</v>
      </c>
      <c r="AX18" t="s">
        <v>289</v>
      </c>
      <c r="AY18">
        <v>25</v>
      </c>
      <c r="AZ18">
        <v>0.93555555555555614</v>
      </c>
      <c r="BA18">
        <v>3.6222222222222227</v>
      </c>
      <c r="BB18">
        <v>16.333333333333332</v>
      </c>
      <c r="BC18">
        <v>-0.11111111111111122</v>
      </c>
      <c r="BD18">
        <v>-2.2555555555555542</v>
      </c>
      <c r="BE18">
        <v>-15.111111111111111</v>
      </c>
      <c r="BF18">
        <v>-3.5555555555555562</v>
      </c>
      <c r="BG18">
        <v>5</v>
      </c>
      <c r="BH18">
        <v>4.5</v>
      </c>
      <c r="BI18">
        <v>-2.6666666666666665</v>
      </c>
      <c r="BJ18">
        <v>28</v>
      </c>
      <c r="BK18">
        <v>23</v>
      </c>
      <c r="BL18">
        <v>27</v>
      </c>
      <c r="BM18">
        <v>-5.3848962439806913E-2</v>
      </c>
      <c r="BN18">
        <v>18</v>
      </c>
      <c r="BO18">
        <v>-9.9161924054343795E-3</v>
      </c>
      <c r="BP18">
        <v>26</v>
      </c>
      <c r="BQ18">
        <v>21.211111111111112</v>
      </c>
      <c r="BR18">
        <v>21</v>
      </c>
      <c r="BS18">
        <v>-3</v>
      </c>
      <c r="BT18">
        <v>-5.7777777777777786</v>
      </c>
      <c r="BU18">
        <v>2.4444444444444442</v>
      </c>
      <c r="BV18">
        <v>-1</v>
      </c>
      <c r="BW18">
        <v>-8.4444444444444375</v>
      </c>
      <c r="BX18">
        <v>-22.777777777777782</v>
      </c>
      <c r="BY18">
        <v>17.666666666666668</v>
      </c>
      <c r="BZ18">
        <v>-0.66666666666666663</v>
      </c>
      <c r="CA18">
        <v>-2.6666666666666665</v>
      </c>
      <c r="CB18">
        <v>21</v>
      </c>
      <c r="CC18">
        <v>-2.6866666666666665</v>
      </c>
      <c r="CD18">
        <v>-2.0751111111111111</v>
      </c>
      <c r="CE18">
        <v>-40.44444444444445</v>
      </c>
      <c r="CF18">
        <v>0.32944444444444476</v>
      </c>
    </row>
    <row r="19" spans="1:84" x14ac:dyDescent="0.2">
      <c r="A19" s="39">
        <v>43737</v>
      </c>
      <c r="B19" s="26" t="s">
        <v>417</v>
      </c>
      <c r="C19" s="41" t="s">
        <v>287</v>
      </c>
      <c r="D19" s="26" t="s">
        <v>293</v>
      </c>
      <c r="E19">
        <v>9.8000000000000007</v>
      </c>
      <c r="F19">
        <v>12.6</v>
      </c>
      <c r="G19">
        <v>4.5</v>
      </c>
      <c r="H19" s="14">
        <f>5.7+2.2</f>
        <v>7.9</v>
      </c>
      <c r="I19" s="8">
        <v>-15</v>
      </c>
      <c r="J19" s="8">
        <v>43.5</v>
      </c>
      <c r="L19" s="1" t="s">
        <v>287</v>
      </c>
      <c r="M19">
        <v>28</v>
      </c>
      <c r="N19">
        <v>-0.53333333333333444</v>
      </c>
      <c r="O19">
        <v>7.5777777777777793</v>
      </c>
      <c r="P19">
        <v>6.8888888888888875</v>
      </c>
      <c r="Q19">
        <v>1.9999999999999996</v>
      </c>
      <c r="R19">
        <v>-1.2888888888888883</v>
      </c>
      <c r="S19">
        <v>19.666666666666664</v>
      </c>
      <c r="T19">
        <v>-1.555555555555556</v>
      </c>
      <c r="U19">
        <v>4</v>
      </c>
      <c r="V19">
        <v>7</v>
      </c>
      <c r="W19">
        <v>-0.55555555555555547</v>
      </c>
      <c r="X19">
        <v>10</v>
      </c>
      <c r="Y19">
        <v>12.75</v>
      </c>
      <c r="Z19">
        <v>24</v>
      </c>
      <c r="AA19">
        <v>5.5579323250103653E-2</v>
      </c>
      <c r="AB19">
        <v>12</v>
      </c>
      <c r="AC19">
        <v>6.6920502656906758E-3</v>
      </c>
      <c r="AD19">
        <v>7</v>
      </c>
      <c r="AE19">
        <v>7.1444444444444484</v>
      </c>
      <c r="AF19">
        <v>8</v>
      </c>
      <c r="AG19">
        <v>1</v>
      </c>
      <c r="AH19">
        <v>-0.44444444444444525</v>
      </c>
      <c r="AI19">
        <v>-1.555555555555556</v>
      </c>
      <c r="AJ19">
        <v>0</v>
      </c>
      <c r="AK19">
        <v>26.444444444444457</v>
      </c>
      <c r="AL19">
        <v>31.111111111111104</v>
      </c>
      <c r="AM19">
        <v>6.4444444444444429</v>
      </c>
      <c r="AN19">
        <v>-1</v>
      </c>
      <c r="AO19">
        <v>-10.111111111111109</v>
      </c>
      <c r="AP19">
        <v>29</v>
      </c>
      <c r="AQ19">
        <v>-8.1111111111111143</v>
      </c>
      <c r="AR19">
        <v>-4.1533333333333342</v>
      </c>
      <c r="AS19">
        <v>24.666666666666661</v>
      </c>
      <c r="AT19">
        <v>8.1111111111111143</v>
      </c>
      <c r="AU19">
        <v>0.52500000000000024</v>
      </c>
      <c r="AV19">
        <v>0.45972222222222225</v>
      </c>
      <c r="AW19">
        <v>0.36416666666666669</v>
      </c>
      <c r="AX19" t="s">
        <v>293</v>
      </c>
      <c r="AY19">
        <v>2</v>
      </c>
      <c r="AZ19">
        <v>1.3511111111111116</v>
      </c>
      <c r="BA19">
        <v>6.6555555555555532</v>
      </c>
      <c r="BB19">
        <v>50</v>
      </c>
      <c r="BC19">
        <v>-0.88888888888888884</v>
      </c>
      <c r="BD19">
        <v>-3.4533333333333323</v>
      </c>
      <c r="BE19">
        <v>-10.777777777777771</v>
      </c>
      <c r="BF19">
        <v>-3.8888888888888884</v>
      </c>
      <c r="BG19">
        <v>1</v>
      </c>
      <c r="BH19">
        <v>1.5</v>
      </c>
      <c r="BI19">
        <v>10.222222222222223</v>
      </c>
      <c r="BJ19">
        <v>31</v>
      </c>
      <c r="BK19">
        <v>29</v>
      </c>
      <c r="BL19">
        <v>29</v>
      </c>
      <c r="BM19">
        <v>-4.5517251399603459E-4</v>
      </c>
      <c r="BN19">
        <v>32</v>
      </c>
      <c r="BO19">
        <v>1.1200092376562968E-2</v>
      </c>
      <c r="BP19">
        <v>30</v>
      </c>
      <c r="BQ19">
        <v>2.8000000000000043</v>
      </c>
      <c r="BR19">
        <v>25</v>
      </c>
      <c r="BS19">
        <v>-1.5555555555555554</v>
      </c>
      <c r="BT19">
        <v>-0.77777777777777624</v>
      </c>
      <c r="BU19">
        <v>6.4444444444444438</v>
      </c>
      <c r="BV19">
        <v>3.1111111111111107</v>
      </c>
      <c r="BW19">
        <v>9</v>
      </c>
      <c r="BX19">
        <v>-22.888888888888896</v>
      </c>
      <c r="BY19">
        <v>55.333333333333336</v>
      </c>
      <c r="BZ19">
        <v>-1.2222222222222221</v>
      </c>
      <c r="CA19">
        <v>-22.222222222222225</v>
      </c>
      <c r="CB19">
        <v>24</v>
      </c>
      <c r="CC19">
        <v>-5.3044444444444423</v>
      </c>
      <c r="CD19">
        <v>-3.7482222222222208</v>
      </c>
      <c r="CE19">
        <v>-78.222222222222229</v>
      </c>
      <c r="CF19">
        <v>0.55527777777777776</v>
      </c>
    </row>
    <row r="20" spans="1:84" x14ac:dyDescent="0.2">
      <c r="A20" s="39">
        <v>43737</v>
      </c>
      <c r="B20" s="26" t="s">
        <v>417</v>
      </c>
      <c r="C20" s="41" t="s">
        <v>304</v>
      </c>
      <c r="D20" s="27" t="s">
        <v>284</v>
      </c>
      <c r="E20" s="14">
        <v>29.9</v>
      </c>
      <c r="F20">
        <v>32.4</v>
      </c>
      <c r="G20">
        <v>13.1</v>
      </c>
      <c r="H20" s="14">
        <f>15.4+8.1</f>
        <v>23.5</v>
      </c>
      <c r="I20">
        <v>-9</v>
      </c>
      <c r="J20">
        <v>48.5</v>
      </c>
      <c r="K20" t="s">
        <v>109</v>
      </c>
      <c r="L20" s="1" t="s">
        <v>304</v>
      </c>
      <c r="M20">
        <v>25</v>
      </c>
      <c r="N20">
        <v>-5.1111111111111116</v>
      </c>
      <c r="O20">
        <v>-3.133333333333332</v>
      </c>
      <c r="P20">
        <v>8.3333333333333357</v>
      </c>
      <c r="Q20">
        <v>-3</v>
      </c>
      <c r="R20">
        <v>8.1555555555555603</v>
      </c>
      <c r="S20">
        <v>31.777777777777779</v>
      </c>
      <c r="T20">
        <v>5.4444444444444446</v>
      </c>
      <c r="U20">
        <v>16</v>
      </c>
      <c r="V20">
        <v>15.5</v>
      </c>
      <c r="W20">
        <v>1.2222222222222221</v>
      </c>
      <c r="X20">
        <v>23</v>
      </c>
      <c r="Y20">
        <v>20.5</v>
      </c>
      <c r="Z20">
        <v>32</v>
      </c>
      <c r="AA20">
        <v>1.6943779085167737E-2</v>
      </c>
      <c r="AB20">
        <v>29</v>
      </c>
      <c r="AC20">
        <v>-3.5877558081643772E-2</v>
      </c>
      <c r="AD20">
        <v>8</v>
      </c>
      <c r="AE20">
        <v>-8.5888888888888868</v>
      </c>
      <c r="AF20">
        <v>13</v>
      </c>
      <c r="AG20">
        <v>-1.8888888888888886</v>
      </c>
      <c r="AH20">
        <v>1.3333333333333357</v>
      </c>
      <c r="AI20">
        <v>2.4444444444444451</v>
      </c>
      <c r="AJ20">
        <v>-1</v>
      </c>
      <c r="AK20">
        <v>-1.5555555555555618</v>
      </c>
      <c r="AL20">
        <v>-3.1111111111111143</v>
      </c>
      <c r="AM20">
        <v>8.3333333333333339</v>
      </c>
      <c r="AN20">
        <v>12</v>
      </c>
      <c r="AO20">
        <v>-18.777777777777779</v>
      </c>
      <c r="AP20">
        <v>22</v>
      </c>
      <c r="AQ20">
        <v>-1.9777777777777796</v>
      </c>
      <c r="AR20">
        <v>2.1755555555555555</v>
      </c>
      <c r="AS20">
        <v>-11.444444444444448</v>
      </c>
      <c r="AT20">
        <v>1.9777777777777796</v>
      </c>
      <c r="AU20">
        <v>0.3500000000000007</v>
      </c>
      <c r="AV20">
        <v>-1.4768055555555555</v>
      </c>
      <c r="AW20">
        <v>-2.2025000000000001</v>
      </c>
      <c r="AX20" t="s">
        <v>284</v>
      </c>
      <c r="AY20">
        <v>4</v>
      </c>
      <c r="AZ20">
        <v>3.5688888888888908</v>
      </c>
      <c r="BA20">
        <v>-16.033333333333331</v>
      </c>
      <c r="BB20">
        <v>-60.5</v>
      </c>
      <c r="BC20">
        <v>-0.83333333333333337</v>
      </c>
      <c r="BD20">
        <v>3.7888888888888892</v>
      </c>
      <c r="BE20">
        <v>25.555555555555557</v>
      </c>
      <c r="BF20">
        <v>3.7777777777777777</v>
      </c>
      <c r="BG20">
        <v>16</v>
      </c>
      <c r="BH20">
        <v>14</v>
      </c>
      <c r="BI20">
        <v>5.666666666666667</v>
      </c>
      <c r="BJ20">
        <v>10</v>
      </c>
      <c r="BK20">
        <v>13.25</v>
      </c>
      <c r="BL20">
        <v>9</v>
      </c>
      <c r="BM20">
        <v>4.8739003752895228E-2</v>
      </c>
      <c r="BN20">
        <v>26</v>
      </c>
      <c r="BO20">
        <v>2.4291530231678918E-2</v>
      </c>
      <c r="BP20">
        <v>6</v>
      </c>
      <c r="BQ20">
        <v>5.8999999999999986</v>
      </c>
      <c r="BR20">
        <v>12</v>
      </c>
      <c r="BS20">
        <v>3.1111111111111107</v>
      </c>
      <c r="BT20">
        <v>-1.1111111111111096</v>
      </c>
      <c r="BU20">
        <v>-4.333333333333333</v>
      </c>
      <c r="BV20">
        <v>3.5555555555555554</v>
      </c>
      <c r="BW20">
        <v>-62.777777777777771</v>
      </c>
      <c r="BX20">
        <v>2.5555555555555522</v>
      </c>
      <c r="BY20">
        <v>-69.555555555555557</v>
      </c>
      <c r="BZ20">
        <v>0.77777777777777779</v>
      </c>
      <c r="CA20">
        <v>3.4444444444444446</v>
      </c>
      <c r="CB20">
        <v>1</v>
      </c>
      <c r="CC20">
        <v>19.602222222222224</v>
      </c>
      <c r="CD20">
        <v>9.4882222222222214</v>
      </c>
      <c r="CE20">
        <v>72.111111111111114</v>
      </c>
      <c r="CF20">
        <v>-0.75111111111111084</v>
      </c>
    </row>
    <row r="21" spans="1:84" x14ac:dyDescent="0.2">
      <c r="A21" s="39">
        <v>43737</v>
      </c>
      <c r="B21" s="31" t="s">
        <v>417</v>
      </c>
      <c r="C21" s="41" t="s">
        <v>293</v>
      </c>
      <c r="D21" s="32" t="s">
        <v>287</v>
      </c>
      <c r="E21" s="30">
        <v>8.6</v>
      </c>
      <c r="F21" s="3">
        <v>17</v>
      </c>
      <c r="G21" s="30">
        <v>1.4</v>
      </c>
      <c r="H21" s="30">
        <v>1.9</v>
      </c>
      <c r="I21" s="3">
        <v>15</v>
      </c>
      <c r="J21" s="3">
        <v>43.5</v>
      </c>
      <c r="K21" s="3"/>
      <c r="L21" s="1" t="s">
        <v>293</v>
      </c>
      <c r="M21">
        <v>2</v>
      </c>
      <c r="N21">
        <v>-5.339999999999999</v>
      </c>
      <c r="O21">
        <v>-6.3</v>
      </c>
      <c r="P21">
        <v>-19.555555555555557</v>
      </c>
      <c r="Q21">
        <v>0.77777777777777768</v>
      </c>
      <c r="R21">
        <v>-10.677777777777777</v>
      </c>
      <c r="S21">
        <v>-38.555555555555557</v>
      </c>
      <c r="T21">
        <v>-0.8888888888888884</v>
      </c>
      <c r="U21">
        <v>13</v>
      </c>
      <c r="V21">
        <v>12</v>
      </c>
      <c r="W21">
        <v>-1.5555555555555554</v>
      </c>
      <c r="X21">
        <v>16</v>
      </c>
      <c r="Y21">
        <v>14.5</v>
      </c>
      <c r="Z21">
        <v>12</v>
      </c>
      <c r="AA21">
        <v>8.8135235478719362E-2</v>
      </c>
      <c r="AB21">
        <v>10</v>
      </c>
      <c r="AC21">
        <v>2.7663112087251276E-2</v>
      </c>
      <c r="AD21">
        <v>14</v>
      </c>
      <c r="AE21">
        <v>-20.599999999999998</v>
      </c>
      <c r="AF21">
        <v>22</v>
      </c>
      <c r="AG21">
        <v>10.222222222222223</v>
      </c>
      <c r="AH21">
        <v>0.5555555555555548</v>
      </c>
      <c r="AI21">
        <v>-6.5555555555555545</v>
      </c>
      <c r="AJ21">
        <v>-1.5555555555555556</v>
      </c>
      <c r="AK21">
        <v>-65.222222222222243</v>
      </c>
      <c r="AL21">
        <v>-47.888888888888886</v>
      </c>
      <c r="AM21">
        <v>-17.666666666666668</v>
      </c>
      <c r="AN21">
        <v>-2.3333333333333335</v>
      </c>
      <c r="AO21">
        <v>2.6666666666666665</v>
      </c>
      <c r="AP21">
        <v>16</v>
      </c>
      <c r="AQ21">
        <v>0.96000000000000085</v>
      </c>
      <c r="AR21">
        <v>-5.355555555555469E-2</v>
      </c>
      <c r="AS21">
        <v>-30.222222222222218</v>
      </c>
      <c r="AT21">
        <v>-0.96000000000000085</v>
      </c>
      <c r="AU21">
        <v>-2.9008333333333329</v>
      </c>
      <c r="AV21">
        <v>0.45972222222222225</v>
      </c>
      <c r="AW21">
        <v>0.55527777777777776</v>
      </c>
      <c r="AX21" t="s">
        <v>287</v>
      </c>
      <c r="AY21">
        <v>26</v>
      </c>
      <c r="AZ21">
        <v>-0.3977777777777784</v>
      </c>
      <c r="BA21">
        <v>3.9444444444444455</v>
      </c>
      <c r="BB21">
        <v>2.8888888888888893</v>
      </c>
      <c r="BC21">
        <v>-0.5</v>
      </c>
      <c r="BD21">
        <v>2.0333333333333332</v>
      </c>
      <c r="BE21">
        <v>14.111111111111109</v>
      </c>
      <c r="BF21">
        <v>-2.0000000000000004</v>
      </c>
      <c r="BG21">
        <v>3</v>
      </c>
      <c r="BH21">
        <v>3.5</v>
      </c>
      <c r="BI21">
        <v>1</v>
      </c>
      <c r="BJ21">
        <v>25</v>
      </c>
      <c r="BK21">
        <v>21.5</v>
      </c>
      <c r="BL21">
        <v>20</v>
      </c>
      <c r="BM21">
        <v>-5.6021144884129105E-2</v>
      </c>
      <c r="BN21">
        <v>25</v>
      </c>
      <c r="BO21">
        <v>-2.0321506042264178E-2</v>
      </c>
      <c r="BP21">
        <v>18</v>
      </c>
      <c r="BQ21">
        <v>3.8555555555555592</v>
      </c>
      <c r="BR21">
        <v>23</v>
      </c>
      <c r="BS21">
        <v>-0.55555555555555547</v>
      </c>
      <c r="BT21">
        <v>-4.333333333333333</v>
      </c>
      <c r="BU21">
        <v>-0.66666666666666663</v>
      </c>
      <c r="BV21">
        <v>-0.77777777777777779</v>
      </c>
      <c r="BW21">
        <v>3</v>
      </c>
      <c r="BX21">
        <v>11.444444444444448</v>
      </c>
      <c r="BY21">
        <v>-7.6666666666666616</v>
      </c>
      <c r="BZ21">
        <v>1.1111111111111109</v>
      </c>
      <c r="CA21">
        <v>-1.8888888888888886</v>
      </c>
      <c r="CB21">
        <v>22</v>
      </c>
      <c r="CC21">
        <v>-4.3422222222222242</v>
      </c>
      <c r="CD21">
        <v>-1.6451111111111119</v>
      </c>
      <c r="CE21">
        <v>19.111111111111111</v>
      </c>
      <c r="CF21">
        <v>0.36416666666666669</v>
      </c>
    </row>
    <row r="22" spans="1:84" x14ac:dyDescent="0.2">
      <c r="A22" s="39">
        <v>43737</v>
      </c>
      <c r="B22" s="26" t="s">
        <v>417</v>
      </c>
      <c r="C22" s="41" t="s">
        <v>312</v>
      </c>
      <c r="D22" s="27" t="s">
        <v>265</v>
      </c>
      <c r="E22">
        <v>2.6</v>
      </c>
      <c r="F22">
        <v>19.8</v>
      </c>
      <c r="G22">
        <v>7.5</v>
      </c>
      <c r="H22" s="14">
        <f>2.2+1.5</f>
        <v>3.7</v>
      </c>
      <c r="I22">
        <v>-1</v>
      </c>
      <c r="J22">
        <v>38</v>
      </c>
      <c r="K22" t="s">
        <v>110</v>
      </c>
      <c r="L22" s="1" t="s">
        <v>312</v>
      </c>
      <c r="M22">
        <v>16</v>
      </c>
      <c r="N22">
        <v>-3.7133333333333329</v>
      </c>
      <c r="O22">
        <v>10.111111111111112</v>
      </c>
      <c r="P22">
        <v>68.555555555555557</v>
      </c>
      <c r="Q22">
        <v>-3.333333333333333</v>
      </c>
      <c r="R22">
        <v>-9.8777777777777764</v>
      </c>
      <c r="S22">
        <v>-39.777777777777786</v>
      </c>
      <c r="T22">
        <v>-6.5555555555555554</v>
      </c>
      <c r="U22">
        <v>26</v>
      </c>
      <c r="V22">
        <v>25</v>
      </c>
      <c r="W22">
        <v>3.2222222222222219</v>
      </c>
      <c r="X22">
        <v>28</v>
      </c>
      <c r="Y22">
        <v>24.5</v>
      </c>
      <c r="Z22">
        <v>22</v>
      </c>
      <c r="AA22">
        <v>0.10612963571833745</v>
      </c>
      <c r="AB22">
        <v>27</v>
      </c>
      <c r="AC22">
        <v>-2.6189150220419826E-2</v>
      </c>
      <c r="AD22">
        <v>22</v>
      </c>
      <c r="AE22">
        <v>7.5555555555555527</v>
      </c>
      <c r="AF22">
        <v>27</v>
      </c>
      <c r="AG22">
        <v>-2.5555555555555554</v>
      </c>
      <c r="AH22">
        <v>-6.7777777777777786</v>
      </c>
      <c r="AI22">
        <v>5.1111111111111116</v>
      </c>
      <c r="AJ22">
        <v>0</v>
      </c>
      <c r="AK22">
        <v>0</v>
      </c>
      <c r="AL22">
        <v>-79.222222222222214</v>
      </c>
      <c r="AM22">
        <v>73</v>
      </c>
      <c r="AN22">
        <v>0.99999999999999989</v>
      </c>
      <c r="AO22">
        <v>5.2222222222222223</v>
      </c>
      <c r="AP22">
        <v>31</v>
      </c>
      <c r="AQ22">
        <v>-13.824444444444445</v>
      </c>
      <c r="AR22">
        <v>-7.7737777777777772</v>
      </c>
      <c r="AS22">
        <v>-152.22222222222223</v>
      </c>
      <c r="AT22">
        <v>13.824444444444445</v>
      </c>
      <c r="AU22">
        <v>-0.40722222222222171</v>
      </c>
      <c r="AV22">
        <v>-0.35375000000000001</v>
      </c>
      <c r="AW22">
        <v>6.5833333333332911E-2</v>
      </c>
      <c r="AX22" t="s">
        <v>265</v>
      </c>
      <c r="AY22">
        <v>29</v>
      </c>
      <c r="AZ22">
        <v>0.10222222222222281</v>
      </c>
      <c r="BA22">
        <v>-6.8</v>
      </c>
      <c r="BB22">
        <v>-14.555555555555557</v>
      </c>
      <c r="BC22">
        <v>-0.3333333333333332</v>
      </c>
      <c r="BD22">
        <v>2.0666666666666682</v>
      </c>
      <c r="BE22">
        <v>-4.8888888888888928</v>
      </c>
      <c r="BF22">
        <v>2.5555555555555554</v>
      </c>
      <c r="BG22">
        <v>15</v>
      </c>
      <c r="BH22">
        <v>13</v>
      </c>
      <c r="BI22">
        <v>1.4444444444444444</v>
      </c>
      <c r="BJ22">
        <v>32</v>
      </c>
      <c r="BK22">
        <v>29.25</v>
      </c>
      <c r="BL22">
        <v>28</v>
      </c>
      <c r="BM22">
        <v>-4.8340381159497924E-2</v>
      </c>
      <c r="BN22">
        <v>29</v>
      </c>
      <c r="BO22">
        <v>1.8488278137400949E-2</v>
      </c>
      <c r="BP22">
        <v>29</v>
      </c>
      <c r="BQ22">
        <v>-4.9666666666666712</v>
      </c>
      <c r="BR22">
        <v>31</v>
      </c>
      <c r="BS22">
        <v>5</v>
      </c>
      <c r="BT22">
        <v>4.2222222222222188</v>
      </c>
      <c r="BU22">
        <v>-5.5555555555555545</v>
      </c>
      <c r="BV22">
        <v>0</v>
      </c>
      <c r="BW22">
        <v>0</v>
      </c>
      <c r="BX22">
        <v>14.22222222222222</v>
      </c>
      <c r="BY22">
        <v>-15</v>
      </c>
      <c r="BZ22">
        <v>-1.2222222222222221</v>
      </c>
      <c r="CA22">
        <v>2</v>
      </c>
      <c r="CB22">
        <v>6</v>
      </c>
      <c r="CC22">
        <v>6.9022222222222229</v>
      </c>
      <c r="CD22">
        <v>3.8337777777777782</v>
      </c>
      <c r="CE22">
        <v>29.222222222222221</v>
      </c>
      <c r="CF22">
        <v>-0.77333333333333287</v>
      </c>
    </row>
    <row r="23" spans="1:84" x14ac:dyDescent="0.2">
      <c r="A23" s="39">
        <v>43737</v>
      </c>
      <c r="B23" s="26" t="s">
        <v>417</v>
      </c>
      <c r="C23" s="41" t="s">
        <v>302</v>
      </c>
      <c r="D23" s="27" t="s">
        <v>276</v>
      </c>
      <c r="E23">
        <v>7</v>
      </c>
      <c r="F23" s="14">
        <v>7.6</v>
      </c>
      <c r="G23">
        <v>3.9</v>
      </c>
      <c r="H23" s="14">
        <v>0</v>
      </c>
      <c r="I23">
        <v>-7</v>
      </c>
      <c r="J23">
        <v>41.5</v>
      </c>
      <c r="L23" s="1" t="s">
        <v>302</v>
      </c>
      <c r="M23">
        <v>18</v>
      </c>
      <c r="N23">
        <v>0.58444444444444221</v>
      </c>
      <c r="O23">
        <v>-3.2777777777777777</v>
      </c>
      <c r="P23">
        <v>-48.222222222222229</v>
      </c>
      <c r="Q23">
        <v>1.1111111111111114</v>
      </c>
      <c r="R23">
        <v>-2.9933333333333323</v>
      </c>
      <c r="S23">
        <v>-17.777777777777779</v>
      </c>
      <c r="T23">
        <v>-0.44444444444444509</v>
      </c>
      <c r="U23">
        <v>2</v>
      </c>
      <c r="V23">
        <v>5</v>
      </c>
      <c r="W23">
        <v>6.4444444444444438</v>
      </c>
      <c r="X23">
        <v>27</v>
      </c>
      <c r="Y23">
        <v>23.25</v>
      </c>
      <c r="Z23">
        <v>23</v>
      </c>
      <c r="AA23">
        <v>-3.5195760125911912E-2</v>
      </c>
      <c r="AB23">
        <v>26</v>
      </c>
      <c r="AC23">
        <v>-1.1919701121543601E-2</v>
      </c>
      <c r="AD23">
        <v>23</v>
      </c>
      <c r="AE23">
        <v>-17.633333333333333</v>
      </c>
      <c r="AF23">
        <v>21</v>
      </c>
      <c r="AG23">
        <v>-0.22222222222222202</v>
      </c>
      <c r="AH23">
        <v>0.33333333333333331</v>
      </c>
      <c r="AI23">
        <v>0.22222222222222379</v>
      </c>
      <c r="AJ23">
        <v>3.1111111111111107</v>
      </c>
      <c r="AK23">
        <v>-29.444444444444457</v>
      </c>
      <c r="AL23">
        <v>13.777777777777771</v>
      </c>
      <c r="AM23">
        <v>-37.777777777777779</v>
      </c>
      <c r="AN23">
        <v>4</v>
      </c>
      <c r="AO23">
        <v>-9.4444444444444446</v>
      </c>
      <c r="AP23">
        <v>11</v>
      </c>
      <c r="AQ23">
        <v>3.8622222222222202</v>
      </c>
      <c r="AR23">
        <v>1.157111111111111</v>
      </c>
      <c r="AS23">
        <v>51.55555555555555</v>
      </c>
      <c r="AT23">
        <v>-3.8622222222222198</v>
      </c>
      <c r="AU23">
        <v>-0.55805555555555564</v>
      </c>
      <c r="AV23">
        <v>-1.9338194444444445</v>
      </c>
      <c r="AW23">
        <v>-2.1644444444444444</v>
      </c>
      <c r="AX23" t="s">
        <v>276</v>
      </c>
      <c r="AY23">
        <v>24</v>
      </c>
      <c r="AZ23">
        <v>-3.4311111111111123</v>
      </c>
      <c r="BA23">
        <v>1.8388888888888881</v>
      </c>
      <c r="BB23">
        <v>3.5555555555555554</v>
      </c>
      <c r="BC23">
        <v>-0.83333333333333348</v>
      </c>
      <c r="BD23">
        <v>-10.477777777777778</v>
      </c>
      <c r="BE23">
        <v>-45.555555555555543</v>
      </c>
      <c r="BF23">
        <v>1.2222222222222221</v>
      </c>
      <c r="BG23">
        <v>32</v>
      </c>
      <c r="BH23">
        <v>32</v>
      </c>
      <c r="BI23">
        <v>2.4444444444444442</v>
      </c>
      <c r="BJ23">
        <v>7</v>
      </c>
      <c r="BK23">
        <v>12.25</v>
      </c>
      <c r="BL23">
        <v>24</v>
      </c>
      <c r="BM23">
        <v>-5.4327220246194102E-2</v>
      </c>
      <c r="BN23">
        <v>3</v>
      </c>
      <c r="BO23">
        <v>-2.9017429643450537E-2</v>
      </c>
      <c r="BP23">
        <v>17</v>
      </c>
      <c r="BQ23">
        <v>-20.211111111111112</v>
      </c>
      <c r="BR23">
        <v>5</v>
      </c>
      <c r="BS23">
        <v>-0.33333333333333365</v>
      </c>
      <c r="BT23">
        <v>1.2222222222222214</v>
      </c>
      <c r="BU23">
        <v>-1.4444444444444446</v>
      </c>
      <c r="BV23">
        <v>0.44444444444444436</v>
      </c>
      <c r="BW23">
        <v>-24.666666666666657</v>
      </c>
      <c r="BX23">
        <v>-37.666666666666664</v>
      </c>
      <c r="BY23">
        <v>14.222222222222223</v>
      </c>
      <c r="BZ23">
        <v>2.6666666666666665</v>
      </c>
      <c r="CA23">
        <v>-3.8888888888888888</v>
      </c>
      <c r="CB23">
        <v>23</v>
      </c>
      <c r="CC23">
        <v>-5.2700000000000014</v>
      </c>
      <c r="CD23">
        <v>-3.7012222222222224</v>
      </c>
      <c r="CE23">
        <v>-51.888888888888886</v>
      </c>
      <c r="CF23">
        <v>-1.7031944444444447</v>
      </c>
    </row>
    <row r="24" spans="1:84" x14ac:dyDescent="0.2">
      <c r="A24" s="39">
        <v>43737</v>
      </c>
      <c r="B24" s="26" t="s">
        <v>417</v>
      </c>
      <c r="C24" s="41" t="s">
        <v>307</v>
      </c>
      <c r="D24" s="27" t="s">
        <v>291</v>
      </c>
      <c r="E24">
        <v>18.5</v>
      </c>
      <c r="F24">
        <v>4.9000000000000004</v>
      </c>
      <c r="G24">
        <v>1</v>
      </c>
      <c r="H24" s="14">
        <v>11</v>
      </c>
      <c r="I24">
        <v>2.5</v>
      </c>
      <c r="J24">
        <v>47</v>
      </c>
      <c r="L24" s="1" t="s">
        <v>307</v>
      </c>
      <c r="M24">
        <v>17</v>
      </c>
      <c r="N24">
        <v>1.5888888888888879</v>
      </c>
      <c r="O24">
        <v>3.9666666666666672</v>
      </c>
      <c r="P24">
        <v>12.22222222222222</v>
      </c>
      <c r="Q24">
        <v>0.44444444444444436</v>
      </c>
      <c r="R24">
        <v>-5.0333333333333332</v>
      </c>
      <c r="S24">
        <v>-20.999999999999996</v>
      </c>
      <c r="T24">
        <v>-4.2222222222222214</v>
      </c>
      <c r="U24">
        <v>4</v>
      </c>
      <c r="V24">
        <v>7</v>
      </c>
      <c r="W24">
        <v>1.5555555555555556</v>
      </c>
      <c r="X24">
        <v>32</v>
      </c>
      <c r="Y24">
        <v>29.5</v>
      </c>
      <c r="Z24">
        <v>30</v>
      </c>
      <c r="AA24">
        <v>-3.9288092822865606E-2</v>
      </c>
      <c r="AB24">
        <v>28</v>
      </c>
      <c r="AC24">
        <v>-2.9232522687254292E-2</v>
      </c>
      <c r="AD24">
        <v>31</v>
      </c>
      <c r="AE24">
        <v>3.1444444444444435</v>
      </c>
      <c r="AF24">
        <v>29</v>
      </c>
      <c r="AG24">
        <v>-3</v>
      </c>
      <c r="AH24">
        <v>-3.4444444444444451</v>
      </c>
      <c r="AI24">
        <v>-0.22222222222222263</v>
      </c>
      <c r="AJ24">
        <v>3.1111111111111107</v>
      </c>
      <c r="AK24">
        <v>0.44444444444445708</v>
      </c>
      <c r="AL24">
        <v>-7.7777777777777812</v>
      </c>
      <c r="AM24">
        <v>9.8888888888888875</v>
      </c>
      <c r="AN24">
        <v>-0.66666666666666663</v>
      </c>
      <c r="AO24">
        <v>-1</v>
      </c>
      <c r="AP24">
        <v>24</v>
      </c>
      <c r="AQ24">
        <v>-2.3777777777777795</v>
      </c>
      <c r="AR24">
        <v>-2.6722222222222225</v>
      </c>
      <c r="AS24">
        <v>-17.666666666666668</v>
      </c>
      <c r="AT24">
        <v>2.3777777777777791</v>
      </c>
      <c r="AU24">
        <v>0.17638888888888871</v>
      </c>
      <c r="AV24">
        <v>0.80895833333333367</v>
      </c>
      <c r="AW24">
        <v>1.682222222222223</v>
      </c>
      <c r="AX24" t="s">
        <v>291</v>
      </c>
      <c r="AY24">
        <v>19</v>
      </c>
      <c r="AZ24">
        <v>-2.7088888888888882</v>
      </c>
      <c r="BA24">
        <v>3.3611111111111112</v>
      </c>
      <c r="BB24">
        <v>9</v>
      </c>
      <c r="BC24">
        <v>0.38888888888888884</v>
      </c>
      <c r="BD24">
        <v>-1.1666666666666681</v>
      </c>
      <c r="BE24">
        <v>-1.0000000000000018</v>
      </c>
      <c r="BF24">
        <v>2</v>
      </c>
      <c r="BG24">
        <v>7</v>
      </c>
      <c r="BH24">
        <v>7</v>
      </c>
      <c r="BI24">
        <v>-1.5555555555555556</v>
      </c>
      <c r="BJ24">
        <v>15</v>
      </c>
      <c r="BK24">
        <v>15.75</v>
      </c>
      <c r="BL24">
        <v>7</v>
      </c>
      <c r="BM24">
        <v>-5.697472558024317E-2</v>
      </c>
      <c r="BN24">
        <v>7</v>
      </c>
      <c r="BO24">
        <v>-2.7657356522814768E-2</v>
      </c>
      <c r="BP24">
        <v>28</v>
      </c>
      <c r="BQ24">
        <v>4.7666666666666684</v>
      </c>
      <c r="BR24">
        <v>21</v>
      </c>
      <c r="BS24">
        <v>-5.3333333333333348</v>
      </c>
      <c r="BT24">
        <v>2</v>
      </c>
      <c r="BU24">
        <v>-1.1111111111111109</v>
      </c>
      <c r="BV24">
        <v>0</v>
      </c>
      <c r="BW24">
        <v>5.6666666666666758</v>
      </c>
      <c r="BX24">
        <v>-14.22222222222222</v>
      </c>
      <c r="BY24">
        <v>19.777777777777779</v>
      </c>
      <c r="BZ24">
        <v>0.22222222222222263</v>
      </c>
      <c r="CA24">
        <v>-0.11111111111111087</v>
      </c>
      <c r="CB24">
        <v>26</v>
      </c>
      <c r="CC24">
        <v>-6.0699999999999994</v>
      </c>
      <c r="CD24">
        <v>-2.4556666666666667</v>
      </c>
      <c r="CE24">
        <v>-34</v>
      </c>
      <c r="CF24">
        <v>-6.4305555555555644E-2</v>
      </c>
    </row>
    <row r="25" spans="1:84" x14ac:dyDescent="0.2">
      <c r="A25" s="39">
        <v>43737</v>
      </c>
      <c r="B25" s="26" t="s">
        <v>417</v>
      </c>
      <c r="C25" s="41" t="s">
        <v>296</v>
      </c>
      <c r="D25" s="27" t="s">
        <v>306</v>
      </c>
      <c r="E25">
        <v>16.899999999999999</v>
      </c>
      <c r="F25">
        <v>3.3</v>
      </c>
      <c r="G25">
        <v>1.3</v>
      </c>
      <c r="H25" s="14">
        <f>9.4+5.4</f>
        <v>14.8</v>
      </c>
      <c r="I25">
        <v>-3</v>
      </c>
      <c r="J25">
        <v>48</v>
      </c>
      <c r="L25" s="1" t="s">
        <v>296</v>
      </c>
      <c r="M25">
        <v>9</v>
      </c>
      <c r="N25">
        <v>6.1755555555555555</v>
      </c>
      <c r="O25">
        <v>1.3888888888888893</v>
      </c>
      <c r="P25">
        <v>15.333333333333332</v>
      </c>
      <c r="Q25">
        <v>-0.88888888888888917</v>
      </c>
      <c r="R25">
        <v>13.8</v>
      </c>
      <c r="S25">
        <v>49.555555555555564</v>
      </c>
      <c r="T25">
        <v>1.2222222222222219</v>
      </c>
      <c r="U25">
        <v>28</v>
      </c>
      <c r="V25">
        <v>27.5</v>
      </c>
      <c r="W25">
        <v>-5.5555555555555562</v>
      </c>
      <c r="X25">
        <v>2</v>
      </c>
      <c r="Y25">
        <v>7.5</v>
      </c>
      <c r="Z25">
        <v>3</v>
      </c>
      <c r="AA25">
        <v>1.8294546056538897E-2</v>
      </c>
      <c r="AB25">
        <v>16</v>
      </c>
      <c r="AC25">
        <v>-1.6983809518569676E-3</v>
      </c>
      <c r="AD25">
        <v>10</v>
      </c>
      <c r="AE25">
        <v>-7.4555555555555557</v>
      </c>
      <c r="AF25">
        <v>1</v>
      </c>
      <c r="AG25">
        <v>-1.6666666666666663</v>
      </c>
      <c r="AH25">
        <v>0.55555555555555713</v>
      </c>
      <c r="AI25">
        <v>5.1111111111111116</v>
      </c>
      <c r="AJ25">
        <v>-2.7777777777777772</v>
      </c>
      <c r="AK25">
        <v>84.222222222222214</v>
      </c>
      <c r="AL25">
        <v>49.44444444444445</v>
      </c>
      <c r="AM25">
        <v>20.666666666666664</v>
      </c>
      <c r="AN25">
        <v>6.2222222222222214</v>
      </c>
      <c r="AO25">
        <v>7.8888888888888893</v>
      </c>
      <c r="AP25">
        <v>8</v>
      </c>
      <c r="AQ25">
        <v>4.7866666666666662</v>
      </c>
      <c r="AR25">
        <v>3.3006666666666673</v>
      </c>
      <c r="AS25">
        <v>28.777777777777786</v>
      </c>
      <c r="AT25">
        <v>-4.7866666666666662</v>
      </c>
      <c r="AU25">
        <v>2.4344444444444444</v>
      </c>
      <c r="AV25">
        <v>2.1629166666666664</v>
      </c>
      <c r="AW25">
        <v>2.565833333333333</v>
      </c>
      <c r="AX25" t="s">
        <v>306</v>
      </c>
      <c r="AY25">
        <v>22</v>
      </c>
      <c r="AZ25">
        <v>4.1466666666666692</v>
      </c>
      <c r="BA25">
        <v>-1.6222222222222218</v>
      </c>
      <c r="BB25">
        <v>2.1111111111111125</v>
      </c>
      <c r="BC25">
        <v>-1</v>
      </c>
      <c r="BD25">
        <v>11.888888888888886</v>
      </c>
      <c r="BE25">
        <v>20.44444444444445</v>
      </c>
      <c r="BF25">
        <v>0.11111111111111105</v>
      </c>
      <c r="BG25">
        <v>12</v>
      </c>
      <c r="BH25">
        <v>12.5</v>
      </c>
      <c r="BI25">
        <v>0.5555555555555558</v>
      </c>
      <c r="BJ25">
        <v>3</v>
      </c>
      <c r="BK25">
        <v>8</v>
      </c>
      <c r="BL25">
        <v>13</v>
      </c>
      <c r="BM25">
        <v>-1.2234604379661498E-2</v>
      </c>
      <c r="BN25">
        <v>2</v>
      </c>
      <c r="BO25">
        <v>3.5392942731672095E-3</v>
      </c>
      <c r="BP25">
        <v>9</v>
      </c>
      <c r="BQ25">
        <v>18.433333333333337</v>
      </c>
      <c r="BR25">
        <v>8</v>
      </c>
      <c r="BS25">
        <v>-2.4444444444444446</v>
      </c>
      <c r="BT25">
        <v>-0.3333333333333357</v>
      </c>
      <c r="BU25">
        <v>4.9999999999999991</v>
      </c>
      <c r="BV25">
        <v>1.5555555555555554</v>
      </c>
      <c r="BW25">
        <v>29.555555555555561</v>
      </c>
      <c r="BX25">
        <v>12.555555555555543</v>
      </c>
      <c r="BY25">
        <v>7.6666666666666687</v>
      </c>
      <c r="BZ25">
        <v>0.66666666666666652</v>
      </c>
      <c r="CA25">
        <v>8.6666666666666696</v>
      </c>
      <c r="CB25">
        <v>7</v>
      </c>
      <c r="CC25">
        <v>5.768888888888891</v>
      </c>
      <c r="CD25">
        <v>4.0182222222222226</v>
      </c>
      <c r="CE25">
        <v>4.8888888888888742</v>
      </c>
      <c r="CF25">
        <v>1.76</v>
      </c>
    </row>
    <row r="26" spans="1:84" x14ac:dyDescent="0.2">
      <c r="A26" s="39">
        <v>43737</v>
      </c>
      <c r="B26" s="26" t="s">
        <v>417</v>
      </c>
      <c r="C26" s="41" t="s">
        <v>294</v>
      </c>
      <c r="D26" s="27" t="s">
        <v>300</v>
      </c>
      <c r="E26">
        <v>12.8</v>
      </c>
      <c r="F26">
        <v>0</v>
      </c>
      <c r="G26">
        <v>2.2999999999999998</v>
      </c>
      <c r="H26" s="14">
        <f>13.5+9.6</f>
        <v>23.1</v>
      </c>
      <c r="I26">
        <v>3.5</v>
      </c>
      <c r="J26">
        <v>46</v>
      </c>
      <c r="L26" s="1" t="s">
        <v>294</v>
      </c>
      <c r="M26">
        <v>23</v>
      </c>
      <c r="N26">
        <v>1.7333333333333332</v>
      </c>
      <c r="O26">
        <v>-6.8333333333333339</v>
      </c>
      <c r="P26">
        <v>-29.666666666666664</v>
      </c>
      <c r="Q26">
        <v>0.11111111111111099</v>
      </c>
      <c r="R26">
        <v>7.8444444444444423</v>
      </c>
      <c r="S26">
        <v>21.555555555555554</v>
      </c>
      <c r="T26">
        <v>6.1111111111111116</v>
      </c>
      <c r="U26">
        <v>23</v>
      </c>
      <c r="V26">
        <v>22.5</v>
      </c>
      <c r="W26">
        <v>-3.8888888888888893</v>
      </c>
      <c r="X26">
        <v>6</v>
      </c>
      <c r="Y26">
        <v>10.25</v>
      </c>
      <c r="Z26">
        <v>16</v>
      </c>
      <c r="AA26">
        <v>5.6447084682020492E-3</v>
      </c>
      <c r="AB26">
        <v>4</v>
      </c>
      <c r="AC26">
        <v>-4.0961448523102488E-3</v>
      </c>
      <c r="AD26">
        <v>6</v>
      </c>
      <c r="AE26">
        <v>2.7666666666666679</v>
      </c>
      <c r="AF26">
        <v>15</v>
      </c>
      <c r="AG26">
        <v>2.4444444444444446</v>
      </c>
      <c r="AH26">
        <v>5.1111111111111098</v>
      </c>
      <c r="AI26">
        <v>0.55555555555555591</v>
      </c>
      <c r="AJ26">
        <v>-0.77777777777777779</v>
      </c>
      <c r="AK26">
        <v>-6.333333333333333</v>
      </c>
      <c r="AL26">
        <v>16.111111111111104</v>
      </c>
      <c r="AM26">
        <v>-15.555555555555552</v>
      </c>
      <c r="AN26">
        <v>-4.4444444444444446</v>
      </c>
      <c r="AO26">
        <v>-2.4444444444444433</v>
      </c>
      <c r="AP26">
        <v>4</v>
      </c>
      <c r="AQ26">
        <v>8.5666666666666664</v>
      </c>
      <c r="AR26">
        <v>5.3322222222222226</v>
      </c>
      <c r="AS26">
        <v>31.666666666666657</v>
      </c>
      <c r="AT26">
        <v>-8.5666666666666664</v>
      </c>
      <c r="AU26">
        <v>0.23194444444444423</v>
      </c>
      <c r="AV26">
        <v>-0.66527777777777741</v>
      </c>
      <c r="AW26">
        <v>0.51027777777777816</v>
      </c>
      <c r="AX26" t="s">
        <v>300</v>
      </c>
      <c r="AY26">
        <v>21</v>
      </c>
      <c r="AZ26">
        <v>-3.1266666666666656</v>
      </c>
      <c r="BA26">
        <v>3.81111111111111</v>
      </c>
      <c r="BB26">
        <v>2.2222222222222232</v>
      </c>
      <c r="BC26">
        <v>0.55555555555555569</v>
      </c>
      <c r="BD26">
        <v>-11.744444444444444</v>
      </c>
      <c r="BE26">
        <v>-30.111111111111114</v>
      </c>
      <c r="BF26">
        <v>-2.2222222222222223</v>
      </c>
      <c r="BG26">
        <v>6</v>
      </c>
      <c r="BH26">
        <v>5</v>
      </c>
      <c r="BI26">
        <v>-2.2222222222222219</v>
      </c>
      <c r="BJ26">
        <v>29</v>
      </c>
      <c r="BK26">
        <v>24</v>
      </c>
      <c r="BL26">
        <v>17</v>
      </c>
      <c r="BM26">
        <v>0.11052110775177466</v>
      </c>
      <c r="BN26">
        <v>23</v>
      </c>
      <c r="BO26">
        <v>3.0648358506294136E-2</v>
      </c>
      <c r="BP26">
        <v>27</v>
      </c>
      <c r="BQ26">
        <v>-3.6444444444444457</v>
      </c>
      <c r="BR26">
        <v>29</v>
      </c>
      <c r="BS26">
        <v>7.1111111111111107</v>
      </c>
      <c r="BT26">
        <v>4.5555555555555545</v>
      </c>
      <c r="BU26">
        <v>-6.8888888888888893</v>
      </c>
      <c r="BV26">
        <v>-0.77777777777777779</v>
      </c>
      <c r="BW26">
        <v>14.888888888888895</v>
      </c>
      <c r="BX26">
        <v>17.666666666666657</v>
      </c>
      <c r="BY26">
        <v>2.5555555555555594</v>
      </c>
      <c r="BZ26">
        <v>-9.4444444444444446</v>
      </c>
      <c r="CA26">
        <v>4.1111111111111116</v>
      </c>
      <c r="CB26">
        <v>30</v>
      </c>
      <c r="CC26">
        <v>-6.9377777777777752</v>
      </c>
      <c r="CD26">
        <v>-4.8797777777777771</v>
      </c>
      <c r="CE26">
        <v>15.111111111111098</v>
      </c>
      <c r="CF26">
        <v>-1.8408333333333331</v>
      </c>
    </row>
    <row r="27" spans="1:84" x14ac:dyDescent="0.2">
      <c r="A27" s="39">
        <v>43737</v>
      </c>
      <c r="B27" s="26" t="s">
        <v>417</v>
      </c>
      <c r="C27" s="41" t="s">
        <v>309</v>
      </c>
      <c r="D27" s="27" t="s">
        <v>272</v>
      </c>
      <c r="E27">
        <v>4.5</v>
      </c>
      <c r="F27">
        <v>18.7</v>
      </c>
      <c r="G27">
        <v>0</v>
      </c>
      <c r="H27" s="14">
        <v>4.8</v>
      </c>
      <c r="I27">
        <v>-3.5</v>
      </c>
      <c r="J27">
        <v>45.5</v>
      </c>
      <c r="L27" s="1" t="s">
        <v>309</v>
      </c>
      <c r="M27">
        <v>31</v>
      </c>
      <c r="N27">
        <v>-0.15999999999999984</v>
      </c>
      <c r="O27">
        <v>-2.0555555555555567</v>
      </c>
      <c r="P27">
        <v>-5.5555555555555554</v>
      </c>
      <c r="Q27">
        <v>-1.4444444444444446</v>
      </c>
      <c r="R27">
        <v>-1.2333333333333296</v>
      </c>
      <c r="S27">
        <v>-11.555555555555557</v>
      </c>
      <c r="T27">
        <v>-0.11111111111111072</v>
      </c>
      <c r="U27">
        <v>3</v>
      </c>
      <c r="V27">
        <v>5.5</v>
      </c>
      <c r="W27">
        <v>-1.4444444444444444</v>
      </c>
      <c r="X27">
        <v>12</v>
      </c>
      <c r="Y27">
        <v>13.25</v>
      </c>
      <c r="Z27">
        <v>9</v>
      </c>
      <c r="AA27">
        <v>-6.3561794529897089E-2</v>
      </c>
      <c r="AB27">
        <v>20</v>
      </c>
      <c r="AC27">
        <v>-3.7543013480196875E-2</v>
      </c>
      <c r="AD27">
        <v>19</v>
      </c>
      <c r="AE27">
        <v>-9.3444444444444414</v>
      </c>
      <c r="AF27">
        <v>5</v>
      </c>
      <c r="AG27">
        <v>-6.2222222222222214</v>
      </c>
      <c r="AH27">
        <v>-3.3333333333333335</v>
      </c>
      <c r="AI27">
        <v>3.5555555555555554</v>
      </c>
      <c r="AJ27">
        <v>-3.8888888888888893</v>
      </c>
      <c r="AK27">
        <v>-7.9999999999999902</v>
      </c>
      <c r="AL27">
        <v>-12.222222222222229</v>
      </c>
      <c r="AM27">
        <v>-1.4444444444444429</v>
      </c>
      <c r="AN27">
        <v>3.4444444444444446</v>
      </c>
      <c r="AO27">
        <v>2.2222222222222223</v>
      </c>
      <c r="AP27">
        <v>14</v>
      </c>
      <c r="AQ27">
        <v>1.8955555555555565</v>
      </c>
      <c r="AR27">
        <v>0.74911111111111239</v>
      </c>
      <c r="AS27">
        <v>-10.777777777777786</v>
      </c>
      <c r="AT27">
        <v>-1.8955555555555568</v>
      </c>
      <c r="AU27">
        <v>-0.16722222222222188</v>
      </c>
      <c r="AV27">
        <v>0.19138888888888889</v>
      </c>
      <c r="AW27">
        <v>0.24416666666666662</v>
      </c>
      <c r="AX27" t="s">
        <v>272</v>
      </c>
      <c r="AY27">
        <v>10</v>
      </c>
      <c r="AZ27">
        <v>-2.1355555555555568</v>
      </c>
      <c r="BA27">
        <v>7.1777777777777771</v>
      </c>
      <c r="BB27">
        <v>11.777777777777777</v>
      </c>
      <c r="BC27">
        <v>0.88888888888888884</v>
      </c>
      <c r="BD27">
        <v>-4.9333333333333327</v>
      </c>
      <c r="BE27">
        <v>-13.444444444444441</v>
      </c>
      <c r="BF27">
        <v>-4.333333333333333</v>
      </c>
      <c r="BG27">
        <v>20</v>
      </c>
      <c r="BH27">
        <v>21</v>
      </c>
      <c r="BI27">
        <v>0.55555555555555569</v>
      </c>
      <c r="BJ27">
        <v>22</v>
      </c>
      <c r="BK27">
        <v>18.25</v>
      </c>
      <c r="BL27">
        <v>13</v>
      </c>
      <c r="BM27">
        <v>7.6136575459068684E-2</v>
      </c>
      <c r="BN27">
        <v>15</v>
      </c>
      <c r="BO27">
        <v>1.2497213716725913E-2</v>
      </c>
      <c r="BP27">
        <v>19</v>
      </c>
      <c r="BQ27">
        <v>-11.255555555555551</v>
      </c>
      <c r="BR27">
        <v>26</v>
      </c>
      <c r="BS27">
        <v>-5.1111111111111116</v>
      </c>
      <c r="BT27">
        <v>-3.4444444444444478</v>
      </c>
      <c r="BU27">
        <v>2.7777777777777786</v>
      </c>
      <c r="BV27">
        <v>-1.5555555555555556</v>
      </c>
      <c r="BW27">
        <v>0.55555555555556191</v>
      </c>
      <c r="BX27">
        <v>-20.444444444444446</v>
      </c>
      <c r="BY27">
        <v>17.777777777777782</v>
      </c>
      <c r="BZ27">
        <v>4.2222222222222223</v>
      </c>
      <c r="CA27">
        <v>-1</v>
      </c>
      <c r="CB27">
        <v>32</v>
      </c>
      <c r="CC27">
        <v>-9.3133333333333344</v>
      </c>
      <c r="CD27">
        <v>-5.0026666666666664</v>
      </c>
      <c r="CE27">
        <v>-38.222222222222229</v>
      </c>
      <c r="CF27">
        <v>0.13861111111111113</v>
      </c>
    </row>
    <row r="28" spans="1:84" x14ac:dyDescent="0.2">
      <c r="A28" s="39">
        <v>43737</v>
      </c>
      <c r="B28" s="26" t="s">
        <v>417</v>
      </c>
      <c r="C28" s="41" t="s">
        <v>308</v>
      </c>
      <c r="D28" s="27" t="s">
        <v>285</v>
      </c>
      <c r="E28">
        <v>9.1</v>
      </c>
      <c r="F28">
        <v>1.6</v>
      </c>
      <c r="G28" s="14">
        <v>8</v>
      </c>
      <c r="H28" s="14">
        <f>18.7+4.6</f>
        <v>23.299999999999997</v>
      </c>
      <c r="I28">
        <v>-5.5</v>
      </c>
      <c r="J28">
        <v>49</v>
      </c>
      <c r="K28" t="s">
        <v>109</v>
      </c>
      <c r="L28" s="1" t="s">
        <v>308</v>
      </c>
      <c r="M28">
        <v>11</v>
      </c>
      <c r="N28">
        <v>4.7222222222222223</v>
      </c>
      <c r="O28">
        <v>-1.033333333333331</v>
      </c>
      <c r="P28">
        <v>-27.666666666666664</v>
      </c>
      <c r="Q28">
        <v>0.2222222222222221</v>
      </c>
      <c r="R28">
        <v>2.8466666666666685</v>
      </c>
      <c r="S28">
        <v>14.777777777777773</v>
      </c>
      <c r="T28">
        <v>2.5555555555555554</v>
      </c>
      <c r="U28">
        <v>8</v>
      </c>
      <c r="V28">
        <v>8.5</v>
      </c>
      <c r="W28">
        <v>-1.2222222222222223</v>
      </c>
      <c r="X28">
        <v>12</v>
      </c>
      <c r="Y28">
        <v>13.25</v>
      </c>
      <c r="Z28">
        <v>11</v>
      </c>
      <c r="AA28">
        <v>-6.0784377010664296E-2</v>
      </c>
      <c r="AB28">
        <v>5</v>
      </c>
      <c r="AC28">
        <v>2.1676694053138212E-2</v>
      </c>
      <c r="AD28">
        <v>21</v>
      </c>
      <c r="AE28">
        <v>7.4000000000000057</v>
      </c>
      <c r="AF28">
        <v>16</v>
      </c>
      <c r="AG28">
        <v>3.1111111111111112</v>
      </c>
      <c r="AH28">
        <v>-0.77777777777777857</v>
      </c>
      <c r="AI28">
        <v>-2.4444444444444442</v>
      </c>
      <c r="AJ28">
        <v>0</v>
      </c>
      <c r="AK28">
        <v>-24.444444444444457</v>
      </c>
      <c r="AL28">
        <v>10.555555555555552</v>
      </c>
      <c r="AM28">
        <v>-38.222222222222221</v>
      </c>
      <c r="AN28">
        <v>-4.2222222222222223</v>
      </c>
      <c r="AO28">
        <v>7.4444444444444438</v>
      </c>
      <c r="AP28">
        <v>6</v>
      </c>
      <c r="AQ28">
        <v>5.7555555555555529</v>
      </c>
      <c r="AR28">
        <v>2.0304444444444436</v>
      </c>
      <c r="AS28">
        <v>48.777777777777771</v>
      </c>
      <c r="AT28">
        <v>-5.7555555555555529</v>
      </c>
      <c r="AU28">
        <v>0.34472222222222287</v>
      </c>
      <c r="AV28">
        <v>1.2626388888888886</v>
      </c>
      <c r="AW28">
        <v>0.95888888888888868</v>
      </c>
      <c r="AX28" t="s">
        <v>285</v>
      </c>
      <c r="AY28">
        <v>1</v>
      </c>
      <c r="AZ28">
        <v>7.1977777777777776</v>
      </c>
      <c r="BA28">
        <v>-6.5000000000000018</v>
      </c>
      <c r="BB28">
        <v>6.4444444444444429</v>
      </c>
      <c r="BC28">
        <v>-1.2777777777777777</v>
      </c>
      <c r="BD28">
        <v>10.611111111111111</v>
      </c>
      <c r="BE28">
        <v>15.777777777777782</v>
      </c>
      <c r="BF28">
        <v>-1.4444444444444442</v>
      </c>
      <c r="BG28">
        <v>19</v>
      </c>
      <c r="BH28">
        <v>20.5</v>
      </c>
      <c r="BI28">
        <v>0.33333333333333331</v>
      </c>
      <c r="BJ28">
        <v>26</v>
      </c>
      <c r="BK28">
        <v>22</v>
      </c>
      <c r="BL28">
        <v>5</v>
      </c>
      <c r="BM28">
        <v>3.971072096024255E-2</v>
      </c>
      <c r="BN28">
        <v>31</v>
      </c>
      <c r="BO28">
        <v>1.6283341921904438E-2</v>
      </c>
      <c r="BP28">
        <v>20</v>
      </c>
      <c r="BQ28">
        <v>5.3222222222222229</v>
      </c>
      <c r="BR28">
        <v>32</v>
      </c>
      <c r="BS28">
        <v>-1</v>
      </c>
      <c r="BT28">
        <v>1.777777777777781</v>
      </c>
      <c r="BU28">
        <v>1.8888888888888893</v>
      </c>
      <c r="BV28">
        <v>-1</v>
      </c>
      <c r="BW28">
        <v>44.888888888888893</v>
      </c>
      <c r="BX28">
        <v>25.222222222222211</v>
      </c>
      <c r="BY28">
        <v>-6.8888888888888902</v>
      </c>
      <c r="BZ28">
        <v>3.3333333333333335</v>
      </c>
      <c r="CA28">
        <v>23.222222222222218</v>
      </c>
      <c r="CB28">
        <v>2</v>
      </c>
      <c r="CC28">
        <v>13.697777777777778</v>
      </c>
      <c r="CD28">
        <v>6.8117777777777784</v>
      </c>
      <c r="CE28">
        <v>32.1111111111111</v>
      </c>
      <c r="CF28">
        <v>1.5663888888888884</v>
      </c>
    </row>
    <row r="29" spans="1:84" x14ac:dyDescent="0.2">
      <c r="A29" s="39">
        <v>43737</v>
      </c>
      <c r="B29" s="26" t="s">
        <v>417</v>
      </c>
      <c r="C29" s="41" t="s">
        <v>284</v>
      </c>
      <c r="D29" s="27" t="s">
        <v>304</v>
      </c>
      <c r="E29">
        <v>18.899999999999999</v>
      </c>
      <c r="F29">
        <v>44.2</v>
      </c>
      <c r="G29">
        <v>2.4</v>
      </c>
      <c r="H29" s="14">
        <v>18.899999999999999</v>
      </c>
      <c r="I29">
        <v>9</v>
      </c>
      <c r="J29">
        <v>48.5</v>
      </c>
      <c r="K29" t="s">
        <v>109</v>
      </c>
      <c r="L29" s="1" t="s">
        <v>284</v>
      </c>
      <c r="M29">
        <v>12</v>
      </c>
      <c r="N29">
        <v>-2.2600000000000002</v>
      </c>
      <c r="O29">
        <v>-0.33333333333333148</v>
      </c>
      <c r="P29">
        <v>20.111111111111111</v>
      </c>
      <c r="Q29">
        <v>-1.2222222222222223</v>
      </c>
      <c r="R29">
        <v>-4.6333333333333329</v>
      </c>
      <c r="S29">
        <v>-9.0000000000000036</v>
      </c>
      <c r="T29">
        <v>-1.3333333333333337</v>
      </c>
      <c r="U29">
        <v>18</v>
      </c>
      <c r="V29">
        <v>17.5</v>
      </c>
      <c r="W29">
        <v>3.1111111111111107</v>
      </c>
      <c r="X29">
        <v>14</v>
      </c>
      <c r="Y29">
        <v>14</v>
      </c>
      <c r="Z29">
        <v>29</v>
      </c>
      <c r="AA29">
        <v>9.2542215370832112E-2</v>
      </c>
      <c r="AB29">
        <v>22</v>
      </c>
      <c r="AC29">
        <v>1.5212182214898439E-2</v>
      </c>
      <c r="AD29">
        <v>1</v>
      </c>
      <c r="AE29">
        <v>-3.2555555555555529</v>
      </c>
      <c r="AF29">
        <v>4</v>
      </c>
      <c r="AG29">
        <v>5.8888888888888893</v>
      </c>
      <c r="AH29">
        <v>2.3684757858670005E-15</v>
      </c>
      <c r="AI29">
        <v>-3.1111111111111103</v>
      </c>
      <c r="AJ29">
        <v>1.5555555555555554</v>
      </c>
      <c r="AK29">
        <v>17.888888888888896</v>
      </c>
      <c r="AL29">
        <v>6.8888888888888857</v>
      </c>
      <c r="AM29">
        <v>19.666666666666668</v>
      </c>
      <c r="AN29">
        <v>-1</v>
      </c>
      <c r="AO29">
        <v>-7.666666666666667</v>
      </c>
      <c r="AP29">
        <v>21</v>
      </c>
      <c r="AQ29">
        <v>-1.9266666666666687</v>
      </c>
      <c r="AR29">
        <v>-1.2120000000000006</v>
      </c>
      <c r="AS29">
        <v>-12.777777777777782</v>
      </c>
      <c r="AT29">
        <v>1.9266666666666687</v>
      </c>
      <c r="AU29">
        <v>-0.72277777777777741</v>
      </c>
      <c r="AV29">
        <v>-1.4768055555555555</v>
      </c>
      <c r="AW29">
        <v>-0.75111111111111084</v>
      </c>
      <c r="AX29" t="s">
        <v>304</v>
      </c>
      <c r="AY29">
        <v>16</v>
      </c>
      <c r="AZ29">
        <v>-6.586666666666666</v>
      </c>
      <c r="BA29">
        <v>-0.23333333333333517</v>
      </c>
      <c r="BB29">
        <v>0</v>
      </c>
      <c r="BC29">
        <v>-0.22222222222222221</v>
      </c>
      <c r="BD29">
        <v>-11.466666666666667</v>
      </c>
      <c r="BE29">
        <v>-43.777777777777771</v>
      </c>
      <c r="BF29">
        <v>-0.22222222222222199</v>
      </c>
      <c r="BG29">
        <v>28</v>
      </c>
      <c r="BH29">
        <v>26.5</v>
      </c>
      <c r="BI29">
        <v>-1.8888888888888886</v>
      </c>
      <c r="BJ29">
        <v>14</v>
      </c>
      <c r="BK29">
        <v>15</v>
      </c>
      <c r="BL29">
        <v>22</v>
      </c>
      <c r="BM29">
        <v>2.1353134012792301E-2</v>
      </c>
      <c r="BN29">
        <v>10</v>
      </c>
      <c r="BO29">
        <v>1.1964506708197428E-3</v>
      </c>
      <c r="BP29">
        <v>22</v>
      </c>
      <c r="BQ29">
        <v>2.111111111111112</v>
      </c>
      <c r="BR29">
        <v>6</v>
      </c>
      <c r="BS29">
        <v>1.2222222222222221</v>
      </c>
      <c r="BT29">
        <v>-0.11111111111110954</v>
      </c>
      <c r="BU29">
        <v>-4.1111111111111107</v>
      </c>
      <c r="BV29">
        <v>-1.7777777777777779</v>
      </c>
      <c r="BW29">
        <v>-60.111111111111107</v>
      </c>
      <c r="BX29">
        <v>-53</v>
      </c>
      <c r="BY29">
        <v>-2.2222222222222237</v>
      </c>
      <c r="BZ29">
        <v>-2.6666666666666665</v>
      </c>
      <c r="CA29">
        <v>-2.2222222222222223</v>
      </c>
      <c r="CB29">
        <v>28</v>
      </c>
      <c r="CC29">
        <v>-6.3533333333333308</v>
      </c>
      <c r="CD29">
        <v>-3.4939999999999993</v>
      </c>
      <c r="CE29">
        <v>-50.777777777777779</v>
      </c>
      <c r="CF29">
        <v>-2.2025000000000001</v>
      </c>
    </row>
    <row r="30" spans="1:84" x14ac:dyDescent="0.2">
      <c r="A30" s="39">
        <v>43737</v>
      </c>
      <c r="B30" s="26" t="s">
        <v>417</v>
      </c>
      <c r="C30" s="41" t="s">
        <v>310</v>
      </c>
      <c r="D30" s="27" t="s">
        <v>295</v>
      </c>
      <c r="E30">
        <v>20.100000000000001</v>
      </c>
      <c r="F30">
        <v>24.4</v>
      </c>
      <c r="G30" s="14">
        <v>3.5</v>
      </c>
      <c r="H30" s="14">
        <v>2.9</v>
      </c>
      <c r="I30">
        <v>3.5</v>
      </c>
      <c r="J30">
        <v>46</v>
      </c>
      <c r="L30" s="1" t="s">
        <v>310</v>
      </c>
      <c r="M30">
        <v>7</v>
      </c>
      <c r="N30">
        <v>-1.1466666666666672</v>
      </c>
      <c r="O30">
        <v>-2.2222222222221255E-2</v>
      </c>
      <c r="P30">
        <v>-10.888888888888889</v>
      </c>
      <c r="Q30">
        <v>-1.333333333333333</v>
      </c>
      <c r="R30">
        <v>-11.177777777777777</v>
      </c>
      <c r="S30">
        <v>-42.777777777777786</v>
      </c>
      <c r="T30">
        <v>-2</v>
      </c>
      <c r="U30">
        <v>29</v>
      </c>
      <c r="V30">
        <v>29</v>
      </c>
      <c r="W30">
        <v>3.5555555555555558</v>
      </c>
      <c r="X30">
        <v>25</v>
      </c>
      <c r="Y30">
        <v>21</v>
      </c>
      <c r="Z30">
        <v>27</v>
      </c>
      <c r="AA30">
        <v>1.2002167274087391E-2</v>
      </c>
      <c r="AB30">
        <v>2</v>
      </c>
      <c r="AC30">
        <v>5.0678461999216717E-2</v>
      </c>
      <c r="AD30">
        <v>30</v>
      </c>
      <c r="AE30">
        <v>1.0000000000000024</v>
      </c>
      <c r="AF30">
        <v>25</v>
      </c>
      <c r="AG30">
        <v>0.55555555555555569</v>
      </c>
      <c r="AH30">
        <v>1.6666666666666667</v>
      </c>
      <c r="AI30">
        <v>1.3333333333333333</v>
      </c>
      <c r="AJ30">
        <v>2</v>
      </c>
      <c r="AK30">
        <v>-21.666666666666668</v>
      </c>
      <c r="AL30">
        <v>-25.777777777777782</v>
      </c>
      <c r="AM30">
        <v>-11.333333333333334</v>
      </c>
      <c r="AN30">
        <v>-1.2222222222222223</v>
      </c>
      <c r="AO30">
        <v>16.666666666666668</v>
      </c>
      <c r="AP30">
        <v>19</v>
      </c>
      <c r="AQ30">
        <v>-1.1244444444444459</v>
      </c>
      <c r="AR30">
        <v>-2.4537777777777783</v>
      </c>
      <c r="AS30">
        <v>-14.444444444444448</v>
      </c>
      <c r="AT30">
        <v>1.1244444444444459</v>
      </c>
      <c r="AU30">
        <v>-1.6961111111111107</v>
      </c>
      <c r="AV30">
        <v>-0.95666666666666678</v>
      </c>
      <c r="AW30">
        <v>-1.6516666666666666</v>
      </c>
      <c r="AX30" t="s">
        <v>295</v>
      </c>
      <c r="AY30">
        <v>27</v>
      </c>
      <c r="AZ30">
        <v>0.91777777777777858</v>
      </c>
      <c r="BA30">
        <v>-2.6888888888888896</v>
      </c>
      <c r="BB30">
        <v>-25.111111111111114</v>
      </c>
      <c r="BC30">
        <v>0.55555555555555536</v>
      </c>
      <c r="BD30">
        <v>-1.2111111111111132</v>
      </c>
      <c r="BE30">
        <v>7.8888888888888848</v>
      </c>
      <c r="BF30">
        <v>-1.3333333333333333</v>
      </c>
      <c r="BG30">
        <v>17</v>
      </c>
      <c r="BH30">
        <v>14.5</v>
      </c>
      <c r="BI30">
        <v>2.4444444444444446</v>
      </c>
      <c r="BJ30">
        <v>19</v>
      </c>
      <c r="BK30">
        <v>16.5</v>
      </c>
      <c r="BL30">
        <v>10</v>
      </c>
      <c r="BM30">
        <v>4.8788263559643901E-3</v>
      </c>
      <c r="BN30">
        <v>20</v>
      </c>
      <c r="BO30">
        <v>1.1394169356866634E-2</v>
      </c>
      <c r="BP30">
        <v>25</v>
      </c>
      <c r="BQ30">
        <v>2.3555555555555565</v>
      </c>
      <c r="BR30">
        <v>11</v>
      </c>
      <c r="BS30">
        <v>-1.3333333333333333</v>
      </c>
      <c r="BT30">
        <v>-2.2222222222222237</v>
      </c>
      <c r="BU30">
        <v>0.1111111111111119</v>
      </c>
      <c r="BV30">
        <v>0</v>
      </c>
      <c r="BW30">
        <v>-46.111111111111107</v>
      </c>
      <c r="BX30">
        <v>1.5555555555555429</v>
      </c>
      <c r="BY30">
        <v>-37.55555555555555</v>
      </c>
      <c r="BZ30">
        <v>-1.1111111111111112</v>
      </c>
      <c r="CA30">
        <v>-9</v>
      </c>
      <c r="CB30">
        <v>8</v>
      </c>
      <c r="CC30">
        <v>3.6066666666666682</v>
      </c>
      <c r="CD30">
        <v>1.2857777777777779</v>
      </c>
      <c r="CE30">
        <v>39.111111111111093</v>
      </c>
      <c r="CF30">
        <v>-0.26166666666666699</v>
      </c>
    </row>
    <row r="31" spans="1:84" x14ac:dyDescent="0.2">
      <c r="A31" s="39">
        <v>43737</v>
      </c>
      <c r="B31" s="26" t="s">
        <v>417</v>
      </c>
      <c r="C31" s="41" t="s">
        <v>306</v>
      </c>
      <c r="D31" s="27" t="s">
        <v>296</v>
      </c>
      <c r="E31">
        <v>4.4000000000000004</v>
      </c>
      <c r="F31" s="14">
        <v>3</v>
      </c>
      <c r="G31">
        <v>3.4</v>
      </c>
      <c r="H31" s="14">
        <v>4.5</v>
      </c>
      <c r="I31">
        <v>3</v>
      </c>
      <c r="J31">
        <v>48</v>
      </c>
      <c r="L31" s="1" t="s">
        <v>306</v>
      </c>
      <c r="M31">
        <v>32</v>
      </c>
      <c r="N31">
        <v>4.0999999999999988</v>
      </c>
      <c r="O31">
        <v>1.1444444444444448</v>
      </c>
      <c r="P31">
        <v>-15.222222222222221</v>
      </c>
      <c r="Q31">
        <v>1.8333333333333333</v>
      </c>
      <c r="R31">
        <v>4.3111111111111118</v>
      </c>
      <c r="S31">
        <v>5.4444444444444429</v>
      </c>
      <c r="T31">
        <v>-1.3333333333333333</v>
      </c>
      <c r="U31">
        <v>1</v>
      </c>
      <c r="V31">
        <v>1</v>
      </c>
      <c r="W31">
        <v>-2.4444444444444446</v>
      </c>
      <c r="X31">
        <v>1</v>
      </c>
      <c r="Y31">
        <v>5.25</v>
      </c>
      <c r="Z31">
        <v>9</v>
      </c>
      <c r="AA31">
        <v>-5.8147898320922342E-4</v>
      </c>
      <c r="AB31">
        <v>1</v>
      </c>
      <c r="AC31">
        <v>-2.1408433206075036E-3</v>
      </c>
      <c r="AD31">
        <v>2</v>
      </c>
      <c r="AE31">
        <v>9.8666666666666689</v>
      </c>
      <c r="AF31">
        <v>9</v>
      </c>
      <c r="AG31">
        <v>0.5555555555555558</v>
      </c>
      <c r="AH31">
        <v>-2.888888888888888</v>
      </c>
      <c r="AI31">
        <v>3.8888888888888888</v>
      </c>
      <c r="AJ31">
        <v>-0.77777777777777779</v>
      </c>
      <c r="AK31">
        <v>9.2222222222222285</v>
      </c>
      <c r="AL31">
        <v>33.111111111111107</v>
      </c>
      <c r="AM31">
        <v>-23.444444444444446</v>
      </c>
      <c r="AN31">
        <v>3.1111111111111107</v>
      </c>
      <c r="AO31">
        <v>-3.5555555555555558</v>
      </c>
      <c r="AP31">
        <v>13</v>
      </c>
      <c r="AQ31">
        <v>2.9555555555555535</v>
      </c>
      <c r="AR31">
        <v>1.1099999999999994</v>
      </c>
      <c r="AS31">
        <v>56.555555555555557</v>
      </c>
      <c r="AT31">
        <v>-2.9555555555555539</v>
      </c>
      <c r="AU31">
        <v>1.125</v>
      </c>
      <c r="AV31">
        <v>2.1629166666666664</v>
      </c>
      <c r="AW31">
        <v>1.76</v>
      </c>
      <c r="AX31" t="s">
        <v>296</v>
      </c>
      <c r="AY31">
        <v>5</v>
      </c>
      <c r="AZ31">
        <v>6.7711111111111109</v>
      </c>
      <c r="BA31">
        <v>-1.6444444444444453</v>
      </c>
      <c r="BB31">
        <v>-10.666666666666668</v>
      </c>
      <c r="BC31">
        <v>-1.3333333333333333</v>
      </c>
      <c r="BD31">
        <v>14.511111111111109</v>
      </c>
      <c r="BE31">
        <v>69.777777777777786</v>
      </c>
      <c r="BF31">
        <v>0.33333333333333315</v>
      </c>
      <c r="BG31">
        <v>2</v>
      </c>
      <c r="BH31">
        <v>3</v>
      </c>
      <c r="BI31">
        <v>-1.6666666666666663</v>
      </c>
      <c r="BJ31">
        <v>29</v>
      </c>
      <c r="BK31">
        <v>24</v>
      </c>
      <c r="BL31">
        <v>11</v>
      </c>
      <c r="BM31">
        <v>-3.3299145915671374E-2</v>
      </c>
      <c r="BN31">
        <v>27</v>
      </c>
      <c r="BO31">
        <v>7.8893354850343139E-3</v>
      </c>
      <c r="BP31">
        <v>31</v>
      </c>
      <c r="BQ31">
        <v>7.7888888888888914</v>
      </c>
      <c r="BR31">
        <v>27</v>
      </c>
      <c r="BS31">
        <v>-5.333333333333333</v>
      </c>
      <c r="BT31">
        <v>1.5555555555555525</v>
      </c>
      <c r="BU31">
        <v>6.4444444444444438</v>
      </c>
      <c r="BV31">
        <v>-0.77777777777777779</v>
      </c>
      <c r="BW31">
        <v>51.888888888888893</v>
      </c>
      <c r="BX31">
        <v>73.555555555555543</v>
      </c>
      <c r="BY31">
        <v>-10.444444444444443</v>
      </c>
      <c r="BZ31">
        <v>1.0000000000000004</v>
      </c>
      <c r="CA31">
        <v>-12.222222222222223</v>
      </c>
      <c r="CB31">
        <v>3</v>
      </c>
      <c r="CC31">
        <v>8.4155555555555566</v>
      </c>
      <c r="CD31">
        <v>5.0786666666666669</v>
      </c>
      <c r="CE31">
        <v>83.999999999999986</v>
      </c>
      <c r="CF31">
        <v>2.565833333333333</v>
      </c>
    </row>
    <row r="32" spans="1:84" x14ac:dyDescent="0.2">
      <c r="A32" s="39">
        <v>43744</v>
      </c>
      <c r="B32" s="22" t="s">
        <v>381</v>
      </c>
      <c r="C32" s="41" t="s">
        <v>285</v>
      </c>
      <c r="D32" s="22" t="s">
        <v>272</v>
      </c>
      <c r="E32">
        <v>11.8</v>
      </c>
      <c r="F32">
        <v>5.5</v>
      </c>
      <c r="G32">
        <v>5.3</v>
      </c>
      <c r="H32">
        <f>3.7+1.7</f>
        <v>5.4</v>
      </c>
      <c r="I32">
        <v>3</v>
      </c>
      <c r="J32">
        <v>45</v>
      </c>
      <c r="K32" t="s">
        <v>109</v>
      </c>
      <c r="L32" s="1" t="s">
        <v>285</v>
      </c>
      <c r="M32">
        <v>14</v>
      </c>
      <c r="N32">
        <v>2.1599999999999993</v>
      </c>
      <c r="O32">
        <v>-4.2250000000000014</v>
      </c>
      <c r="P32">
        <v>-25.9375</v>
      </c>
      <c r="Q32">
        <v>1.625</v>
      </c>
      <c r="R32">
        <v>-1.3437500000000009</v>
      </c>
      <c r="S32">
        <v>-12.75</v>
      </c>
      <c r="T32">
        <v>0.4375</v>
      </c>
      <c r="U32">
        <v>21</v>
      </c>
      <c r="V32">
        <v>20</v>
      </c>
      <c r="W32">
        <v>-3</v>
      </c>
      <c r="X32">
        <v>9</v>
      </c>
      <c r="Y32">
        <v>12.25</v>
      </c>
      <c r="Z32">
        <v>20</v>
      </c>
      <c r="AA32">
        <v>-2.8023001145171686E-2</v>
      </c>
      <c r="AB32">
        <v>7</v>
      </c>
      <c r="AC32">
        <v>3.7832335829783265E-2</v>
      </c>
      <c r="AD32">
        <v>4</v>
      </c>
      <c r="AE32">
        <v>2.7687500000000025</v>
      </c>
      <c r="AF32">
        <v>18</v>
      </c>
      <c r="AG32">
        <v>2.5</v>
      </c>
      <c r="AH32">
        <v>4.375</v>
      </c>
      <c r="AI32">
        <v>-2.9375</v>
      </c>
      <c r="AJ32">
        <v>-1.3125</v>
      </c>
      <c r="AK32">
        <v>-8.4375</v>
      </c>
      <c r="AL32">
        <v>6.5</v>
      </c>
      <c r="AM32">
        <v>-28</v>
      </c>
      <c r="AN32">
        <v>2</v>
      </c>
      <c r="AO32">
        <v>11.0625</v>
      </c>
      <c r="AP32">
        <v>5</v>
      </c>
      <c r="AQ32">
        <v>6.3850000000000007</v>
      </c>
      <c r="AR32">
        <v>2.2757500000000004</v>
      </c>
      <c r="AS32">
        <v>34.5</v>
      </c>
      <c r="AT32">
        <v>-6.3850000000000007</v>
      </c>
      <c r="AU32">
        <v>-0.33234375000000038</v>
      </c>
      <c r="AV32">
        <v>1.0528124999999999</v>
      </c>
      <c r="AW32">
        <v>1.1064062499999998</v>
      </c>
      <c r="AX32" t="s">
        <v>272</v>
      </c>
      <c r="AY32">
        <v>10</v>
      </c>
      <c r="AZ32">
        <v>0.28624999999999901</v>
      </c>
      <c r="BA32">
        <v>10.469999999999999</v>
      </c>
      <c r="BB32">
        <v>8.375</v>
      </c>
      <c r="BC32">
        <v>2.8125</v>
      </c>
      <c r="BD32">
        <v>-3.8874999999999988</v>
      </c>
      <c r="BE32">
        <v>-9.625</v>
      </c>
      <c r="BF32">
        <v>-6.0625</v>
      </c>
      <c r="BG32">
        <v>20</v>
      </c>
      <c r="BH32">
        <v>21</v>
      </c>
      <c r="BI32">
        <v>2.25</v>
      </c>
      <c r="BJ32">
        <v>22</v>
      </c>
      <c r="BK32">
        <v>18.25</v>
      </c>
      <c r="BL32">
        <v>13</v>
      </c>
      <c r="BM32">
        <v>4.2566615486467445E-2</v>
      </c>
      <c r="BN32">
        <v>15</v>
      </c>
      <c r="BO32">
        <v>-5.223575102446202E-3</v>
      </c>
      <c r="BP32">
        <v>19</v>
      </c>
      <c r="BQ32">
        <v>2.6500000000000021</v>
      </c>
      <c r="BR32">
        <v>26</v>
      </c>
      <c r="BS32">
        <v>-5.1875</v>
      </c>
      <c r="BT32">
        <v>-2.3125</v>
      </c>
      <c r="BU32">
        <v>4.9375</v>
      </c>
      <c r="BV32">
        <v>-1.3125</v>
      </c>
      <c r="BW32">
        <v>4.25</v>
      </c>
      <c r="BX32">
        <v>-6.1875</v>
      </c>
      <c r="BY32">
        <v>10.6875</v>
      </c>
      <c r="BZ32">
        <v>0.6875</v>
      </c>
      <c r="CA32">
        <v>-0.9375</v>
      </c>
      <c r="CB32">
        <v>30</v>
      </c>
      <c r="CC32">
        <v>-10.18375</v>
      </c>
      <c r="CD32">
        <v>-5.9552499999999995</v>
      </c>
      <c r="CE32">
        <v>-16.875</v>
      </c>
      <c r="CF32">
        <v>0.99921875000000004</v>
      </c>
    </row>
    <row r="33" spans="1:84" x14ac:dyDescent="0.2">
      <c r="A33" s="39">
        <v>43744</v>
      </c>
      <c r="B33" s="22" t="s">
        <v>381</v>
      </c>
      <c r="C33" s="41" t="s">
        <v>295</v>
      </c>
      <c r="D33" s="22" t="s">
        <v>311</v>
      </c>
      <c r="E33">
        <v>7.2</v>
      </c>
      <c r="F33">
        <v>19.8</v>
      </c>
      <c r="G33" s="14">
        <v>15.3</v>
      </c>
      <c r="H33">
        <v>13.6</v>
      </c>
      <c r="I33">
        <v>4</v>
      </c>
      <c r="J33">
        <v>49</v>
      </c>
      <c r="K33" t="s">
        <v>109</v>
      </c>
      <c r="L33" s="1" t="s">
        <v>295</v>
      </c>
      <c r="M33">
        <v>20</v>
      </c>
      <c r="N33">
        <v>3.9087499999999995</v>
      </c>
      <c r="O33">
        <v>-2.9312499999999999</v>
      </c>
      <c r="P33">
        <v>-8.5</v>
      </c>
      <c r="Q33">
        <v>0.15625</v>
      </c>
      <c r="R33">
        <v>13.256249999999998</v>
      </c>
      <c r="S33">
        <v>57.0625</v>
      </c>
      <c r="T33">
        <v>4.875</v>
      </c>
      <c r="U33">
        <v>4</v>
      </c>
      <c r="V33">
        <v>7</v>
      </c>
      <c r="W33">
        <v>-2.9375</v>
      </c>
      <c r="X33">
        <v>14</v>
      </c>
      <c r="Y33">
        <v>14</v>
      </c>
      <c r="Z33">
        <v>7</v>
      </c>
      <c r="AA33">
        <v>8.6407846699750601E-3</v>
      </c>
      <c r="AB33">
        <v>9</v>
      </c>
      <c r="AC33">
        <v>-6.3238579316578867E-3</v>
      </c>
      <c r="AD33">
        <v>26</v>
      </c>
      <c r="AE33">
        <v>-0.31875000000000142</v>
      </c>
      <c r="AF33">
        <v>14</v>
      </c>
      <c r="AG33">
        <v>2.375</v>
      </c>
      <c r="AH33">
        <v>1.75</v>
      </c>
      <c r="AI33">
        <v>-2.375</v>
      </c>
      <c r="AJ33">
        <v>-0.875</v>
      </c>
      <c r="AK33">
        <v>35.125</v>
      </c>
      <c r="AL33">
        <v>62.875</v>
      </c>
      <c r="AM33">
        <v>-22.3125</v>
      </c>
      <c r="AN33">
        <v>-6.3125</v>
      </c>
      <c r="AO33">
        <v>0.875</v>
      </c>
      <c r="AP33">
        <v>3</v>
      </c>
      <c r="AQ33">
        <v>6.84</v>
      </c>
      <c r="AR33">
        <v>4.898625</v>
      </c>
      <c r="AS33">
        <v>85.1875</v>
      </c>
      <c r="AT33">
        <v>-6.84</v>
      </c>
      <c r="AU33">
        <v>1.6307812499999996</v>
      </c>
      <c r="AV33">
        <v>0.38820312499999987</v>
      </c>
      <c r="AW33">
        <v>0.4342187500000001</v>
      </c>
      <c r="AX33" t="s">
        <v>311</v>
      </c>
      <c r="AY33">
        <v>6</v>
      </c>
      <c r="AZ33">
        <v>0.65000000000000036</v>
      </c>
      <c r="BA33">
        <v>-1.7000000000000024</v>
      </c>
      <c r="BB33">
        <v>-14.3125</v>
      </c>
      <c r="BC33">
        <v>1.9375</v>
      </c>
      <c r="BD33">
        <v>3.3499999999999988</v>
      </c>
      <c r="BE33">
        <v>11.8125</v>
      </c>
      <c r="BF33">
        <v>1.625</v>
      </c>
      <c r="BG33">
        <v>22</v>
      </c>
      <c r="BH33">
        <v>21.5</v>
      </c>
      <c r="BI33">
        <v>0.75</v>
      </c>
      <c r="BJ33">
        <v>27</v>
      </c>
      <c r="BK33">
        <v>22.75</v>
      </c>
      <c r="BL33">
        <v>31</v>
      </c>
      <c r="BM33">
        <v>1.7938899789888649E-2</v>
      </c>
      <c r="BN33">
        <v>30</v>
      </c>
      <c r="BO33">
        <v>1.2299206837006839E-2</v>
      </c>
      <c r="BP33">
        <v>2</v>
      </c>
      <c r="BQ33">
        <v>-10.268749999999999</v>
      </c>
      <c r="BR33">
        <v>28</v>
      </c>
      <c r="BS33">
        <v>1.5</v>
      </c>
      <c r="BT33">
        <v>2.75</v>
      </c>
      <c r="BU33">
        <v>-1.5625</v>
      </c>
      <c r="BV33">
        <v>-1</v>
      </c>
      <c r="BW33">
        <v>10.0625</v>
      </c>
      <c r="BX33">
        <v>17.6875</v>
      </c>
      <c r="BY33">
        <v>-14.8125</v>
      </c>
      <c r="BZ33">
        <v>-1.125</v>
      </c>
      <c r="CA33">
        <v>8.3125</v>
      </c>
      <c r="CB33">
        <v>14</v>
      </c>
      <c r="CC33">
        <v>2.3500000000000028</v>
      </c>
      <c r="CD33">
        <v>1.6500000000000008</v>
      </c>
      <c r="CE33">
        <v>32.5</v>
      </c>
      <c r="CF33">
        <v>0.34218749999999964</v>
      </c>
    </row>
    <row r="34" spans="1:84" x14ac:dyDescent="0.2">
      <c r="A34" s="39">
        <v>43744</v>
      </c>
      <c r="B34" s="22" t="s">
        <v>381</v>
      </c>
      <c r="C34" s="41" t="s">
        <v>305</v>
      </c>
      <c r="D34" s="22" t="s">
        <v>309</v>
      </c>
      <c r="E34">
        <v>11.2</v>
      </c>
      <c r="F34">
        <v>9.1</v>
      </c>
      <c r="G34" s="14">
        <v>0</v>
      </c>
      <c r="H34">
        <f>9.5+7.2</f>
        <v>16.7</v>
      </c>
      <c r="I34">
        <v>-3</v>
      </c>
      <c r="J34">
        <v>44</v>
      </c>
      <c r="L34" s="1" t="s">
        <v>305</v>
      </c>
      <c r="M34">
        <v>1</v>
      </c>
      <c r="N34">
        <v>7.4250000000000025</v>
      </c>
      <c r="O34">
        <v>0.63749999999999929</v>
      </c>
      <c r="P34">
        <v>7</v>
      </c>
      <c r="Q34">
        <v>-2.125</v>
      </c>
      <c r="R34">
        <v>5.0187500000000007</v>
      </c>
      <c r="S34">
        <v>25.4375</v>
      </c>
      <c r="T34">
        <v>2.625</v>
      </c>
      <c r="U34">
        <v>8</v>
      </c>
      <c r="V34">
        <v>8.5</v>
      </c>
      <c r="W34">
        <v>-5.5625</v>
      </c>
      <c r="X34">
        <v>31</v>
      </c>
      <c r="Y34">
        <v>29.25</v>
      </c>
      <c r="Z34">
        <v>27</v>
      </c>
      <c r="AA34">
        <v>-2.6148085628996856E-2</v>
      </c>
      <c r="AB34">
        <v>31</v>
      </c>
      <c r="AC34">
        <v>-8.4598196901805311E-3</v>
      </c>
      <c r="AD34">
        <v>27</v>
      </c>
      <c r="AE34">
        <v>5.0000000000000036</v>
      </c>
      <c r="AF34">
        <v>32</v>
      </c>
      <c r="AG34">
        <v>-2.125</v>
      </c>
      <c r="AH34">
        <v>7.0625</v>
      </c>
      <c r="AI34">
        <v>6.6875</v>
      </c>
      <c r="AJ34">
        <v>-1.875</v>
      </c>
      <c r="AK34">
        <v>50.4375</v>
      </c>
      <c r="AL34">
        <v>3.75</v>
      </c>
      <c r="AM34">
        <v>11.3125</v>
      </c>
      <c r="AN34">
        <v>-3.75</v>
      </c>
      <c r="AO34">
        <v>39.125</v>
      </c>
      <c r="AP34">
        <v>4</v>
      </c>
      <c r="AQ34">
        <v>6.7875000000000032</v>
      </c>
      <c r="AR34">
        <v>2.1700000000000008</v>
      </c>
      <c r="AS34">
        <v>-7.5625</v>
      </c>
      <c r="AT34">
        <v>-6.7875000000000032</v>
      </c>
      <c r="AU34">
        <v>1.5570312500000001</v>
      </c>
      <c r="AV34">
        <v>0.45164062499999996</v>
      </c>
      <c r="AW34">
        <v>1.5029687499999997</v>
      </c>
      <c r="AX34" t="s">
        <v>309</v>
      </c>
      <c r="AY34">
        <v>31</v>
      </c>
      <c r="AZ34">
        <v>-1.2000000000000002</v>
      </c>
      <c r="BA34">
        <v>-4.21875</v>
      </c>
      <c r="BB34">
        <v>2.5</v>
      </c>
      <c r="BC34">
        <v>0.5625</v>
      </c>
      <c r="BD34">
        <v>0.30875000000000186</v>
      </c>
      <c r="BE34">
        <v>1.3125</v>
      </c>
      <c r="BF34">
        <v>-1</v>
      </c>
      <c r="BG34">
        <v>30</v>
      </c>
      <c r="BH34">
        <v>27.5</v>
      </c>
      <c r="BI34">
        <v>-6.1875</v>
      </c>
      <c r="BJ34">
        <v>1</v>
      </c>
      <c r="BK34">
        <v>5.25</v>
      </c>
      <c r="BL34">
        <v>2</v>
      </c>
      <c r="BM34">
        <v>2.9386065628514507E-2</v>
      </c>
      <c r="BN34">
        <v>1</v>
      </c>
      <c r="BO34">
        <v>2.037718056225957E-2</v>
      </c>
      <c r="BP34">
        <v>16</v>
      </c>
      <c r="BQ34">
        <v>0.71250000000000036</v>
      </c>
      <c r="BR34">
        <v>2</v>
      </c>
      <c r="BS34">
        <v>1.375</v>
      </c>
      <c r="BT34">
        <v>3.3125</v>
      </c>
      <c r="BU34">
        <v>-0.9375</v>
      </c>
      <c r="BV34">
        <v>-2.625</v>
      </c>
      <c r="BW34">
        <v>12.3125</v>
      </c>
      <c r="BX34">
        <v>4.3125</v>
      </c>
      <c r="BY34">
        <v>10.5</v>
      </c>
      <c r="BZ34">
        <v>-4.375</v>
      </c>
      <c r="CA34">
        <v>1.875</v>
      </c>
      <c r="CB34">
        <v>12</v>
      </c>
      <c r="CC34">
        <v>3.0187499999999998</v>
      </c>
      <c r="CD34">
        <v>1.9311250000000004</v>
      </c>
      <c r="CE34">
        <v>-6.1875</v>
      </c>
      <c r="CF34">
        <v>-0.59968749999999982</v>
      </c>
    </row>
    <row r="35" spans="1:84" x14ac:dyDescent="0.2">
      <c r="A35" s="39">
        <v>43744</v>
      </c>
      <c r="B35" s="22" t="s">
        <v>381</v>
      </c>
      <c r="C35" s="41" t="s">
        <v>276</v>
      </c>
      <c r="D35" s="22" t="s">
        <v>310</v>
      </c>
      <c r="E35">
        <v>12.5</v>
      </c>
      <c r="F35">
        <v>5.0999999999999996</v>
      </c>
      <c r="G35" s="14">
        <v>7.2</v>
      </c>
      <c r="H35">
        <f>7.8+3.2</f>
        <v>11</v>
      </c>
      <c r="I35">
        <v>3.5</v>
      </c>
      <c r="J35">
        <v>39.5</v>
      </c>
      <c r="L35" s="1" t="s">
        <v>276</v>
      </c>
      <c r="M35">
        <v>5</v>
      </c>
      <c r="N35">
        <v>2.0812499999999998</v>
      </c>
      <c r="O35">
        <v>-8.3749999999997993E-2</v>
      </c>
      <c r="P35">
        <v>26.625</v>
      </c>
      <c r="Q35">
        <v>-1.6875</v>
      </c>
      <c r="R35">
        <v>2.5562500000000021</v>
      </c>
      <c r="S35">
        <v>18.5</v>
      </c>
      <c r="T35">
        <v>4.0625</v>
      </c>
      <c r="U35">
        <v>25</v>
      </c>
      <c r="V35">
        <v>23</v>
      </c>
      <c r="W35">
        <v>-3.0625</v>
      </c>
      <c r="X35">
        <v>24</v>
      </c>
      <c r="Y35">
        <v>20.75</v>
      </c>
      <c r="Z35">
        <v>25</v>
      </c>
      <c r="AA35">
        <v>4.8865664055347965E-2</v>
      </c>
      <c r="AB35">
        <v>25</v>
      </c>
      <c r="AC35">
        <v>-8.1191325016074806E-3</v>
      </c>
      <c r="AD35">
        <v>5</v>
      </c>
      <c r="AE35">
        <v>13.156250000000002</v>
      </c>
      <c r="AF35">
        <v>28</v>
      </c>
      <c r="AG35">
        <v>2.0625</v>
      </c>
      <c r="AH35">
        <v>6.625</v>
      </c>
      <c r="AI35">
        <v>-0.1875</v>
      </c>
      <c r="AJ35">
        <v>-1.75</v>
      </c>
      <c r="AK35">
        <v>48.0625</v>
      </c>
      <c r="AL35">
        <v>2.8125</v>
      </c>
      <c r="AM35">
        <v>23.1875</v>
      </c>
      <c r="AN35">
        <v>1.625</v>
      </c>
      <c r="AO35">
        <v>20.4375</v>
      </c>
      <c r="AP35">
        <v>15</v>
      </c>
      <c r="AQ35">
        <v>2.1649999999999978</v>
      </c>
      <c r="AR35">
        <v>0.96937499999999943</v>
      </c>
      <c r="AS35">
        <v>-20.375</v>
      </c>
      <c r="AT35">
        <v>-2.1649999999999978</v>
      </c>
      <c r="AU35">
        <v>0.49109375000000055</v>
      </c>
      <c r="AV35">
        <v>-1.8165625000000001</v>
      </c>
      <c r="AW35">
        <v>-1.8807812500000001</v>
      </c>
      <c r="AX35" t="s">
        <v>310</v>
      </c>
      <c r="AY35">
        <v>11</v>
      </c>
      <c r="AZ35">
        <v>-2.8562500000000011</v>
      </c>
      <c r="BA35">
        <v>-3.3125000000000004</v>
      </c>
      <c r="BB35">
        <v>-32.125</v>
      </c>
      <c r="BC35">
        <v>1.4375</v>
      </c>
      <c r="BD35">
        <v>-5.0374999999999979</v>
      </c>
      <c r="BE35">
        <v>-23.0625</v>
      </c>
      <c r="BF35">
        <v>2.8125</v>
      </c>
      <c r="BG35">
        <v>3</v>
      </c>
      <c r="BH35">
        <v>3.5</v>
      </c>
      <c r="BI35">
        <v>-6.25E-2</v>
      </c>
      <c r="BJ35">
        <v>15</v>
      </c>
      <c r="BK35">
        <v>15.75</v>
      </c>
      <c r="BL35">
        <v>16</v>
      </c>
      <c r="BM35">
        <v>-4.5311423022476961E-2</v>
      </c>
      <c r="BN35">
        <v>21</v>
      </c>
      <c r="BO35">
        <v>8.4223789839801139E-3</v>
      </c>
      <c r="BP35">
        <v>13</v>
      </c>
      <c r="BQ35">
        <v>1.6312500000000014</v>
      </c>
      <c r="BR35">
        <v>13</v>
      </c>
      <c r="BS35">
        <v>3.625</v>
      </c>
      <c r="BT35">
        <v>1.0625</v>
      </c>
      <c r="BU35">
        <v>-5.5625</v>
      </c>
      <c r="BV35">
        <v>0</v>
      </c>
      <c r="BW35">
        <v>-24.1875</v>
      </c>
      <c r="BX35">
        <v>-14.6875</v>
      </c>
      <c r="BY35">
        <v>-15.25</v>
      </c>
      <c r="BZ35">
        <v>2.1875</v>
      </c>
      <c r="CA35">
        <v>3.5625</v>
      </c>
      <c r="CB35">
        <v>17</v>
      </c>
      <c r="CC35">
        <v>0.45624999999999938</v>
      </c>
      <c r="CD35">
        <v>7.7500000000000346E-2</v>
      </c>
      <c r="CE35">
        <v>0.5625</v>
      </c>
      <c r="CF35">
        <v>-1.7523437500000001</v>
      </c>
    </row>
    <row r="36" spans="1:84" x14ac:dyDescent="0.2">
      <c r="A36" s="39">
        <v>43744</v>
      </c>
      <c r="B36" s="26" t="s">
        <v>381</v>
      </c>
      <c r="C36" s="41" t="s">
        <v>301</v>
      </c>
      <c r="D36" s="26" t="s">
        <v>297</v>
      </c>
      <c r="E36">
        <v>15.1</v>
      </c>
      <c r="F36">
        <v>7.4</v>
      </c>
      <c r="G36">
        <v>1.6</v>
      </c>
      <c r="H36">
        <v>0</v>
      </c>
      <c r="I36">
        <v>-3</v>
      </c>
      <c r="J36">
        <v>41</v>
      </c>
      <c r="L36" s="1" t="s">
        <v>301</v>
      </c>
      <c r="M36">
        <v>13</v>
      </c>
      <c r="N36">
        <v>-7.4162500000000016</v>
      </c>
      <c r="O36">
        <v>10.025</v>
      </c>
      <c r="P36">
        <v>23.9375</v>
      </c>
      <c r="Q36">
        <v>1.9375</v>
      </c>
      <c r="R36">
        <v>-10.86875</v>
      </c>
      <c r="S36">
        <v>-34.1875</v>
      </c>
      <c r="T36">
        <v>-1.8125</v>
      </c>
      <c r="U36">
        <v>32</v>
      </c>
      <c r="V36">
        <v>31.5</v>
      </c>
      <c r="W36">
        <v>-0.25</v>
      </c>
      <c r="X36">
        <v>4</v>
      </c>
      <c r="Y36">
        <v>8.5</v>
      </c>
      <c r="Z36">
        <v>4</v>
      </c>
      <c r="AA36">
        <v>-4.5584458250567242E-2</v>
      </c>
      <c r="AB36">
        <v>6</v>
      </c>
      <c r="AC36">
        <v>-1.2075379876415326E-3</v>
      </c>
      <c r="AD36">
        <v>17</v>
      </c>
      <c r="AE36">
        <v>-7.2249999999999961</v>
      </c>
      <c r="AF36">
        <v>7</v>
      </c>
      <c r="AG36">
        <v>-0.4375</v>
      </c>
      <c r="AH36">
        <v>-0.875</v>
      </c>
      <c r="AI36">
        <v>-0.3125</v>
      </c>
      <c r="AJ36">
        <v>-1.8125</v>
      </c>
      <c r="AK36">
        <v>-17.375</v>
      </c>
      <c r="AL36">
        <v>-25.3125</v>
      </c>
      <c r="AM36">
        <v>23</v>
      </c>
      <c r="AN36">
        <v>1.1875</v>
      </c>
      <c r="AO36">
        <v>-16.25</v>
      </c>
      <c r="AP36">
        <v>32</v>
      </c>
      <c r="AQ36">
        <v>-17.44125</v>
      </c>
      <c r="AR36">
        <v>-8.6695000000000011</v>
      </c>
      <c r="AS36">
        <v>-48.3125</v>
      </c>
      <c r="AT36">
        <v>17.441250000000004</v>
      </c>
      <c r="AU36">
        <v>-0.9231250000000002</v>
      </c>
      <c r="AV36">
        <v>-1.8827343749999996</v>
      </c>
      <c r="AW36">
        <v>-2.5043749999999996</v>
      </c>
      <c r="AX36" t="s">
        <v>297</v>
      </c>
      <c r="AY36">
        <v>20</v>
      </c>
      <c r="AZ36">
        <v>0.13625000000000131</v>
      </c>
      <c r="BA36">
        <v>-5.4562499999999989</v>
      </c>
      <c r="BB36">
        <v>-3.6875</v>
      </c>
      <c r="BC36">
        <v>-2.1875</v>
      </c>
      <c r="BD36">
        <v>-5.3937500000000007</v>
      </c>
      <c r="BE36">
        <v>-6.6875</v>
      </c>
      <c r="BF36">
        <v>-0.6875</v>
      </c>
      <c r="BG36">
        <v>26</v>
      </c>
      <c r="BH36">
        <v>25</v>
      </c>
      <c r="BI36">
        <v>-1.625</v>
      </c>
      <c r="BJ36">
        <v>20</v>
      </c>
      <c r="BK36">
        <v>16.75</v>
      </c>
      <c r="BL36">
        <v>21</v>
      </c>
      <c r="BM36">
        <v>-4.544422223147021E-3</v>
      </c>
      <c r="BN36">
        <v>5</v>
      </c>
      <c r="BO36">
        <v>-6.5513804596851015E-3</v>
      </c>
      <c r="BP36">
        <v>32</v>
      </c>
      <c r="BQ36">
        <v>-2.6062499999999975</v>
      </c>
      <c r="BR36">
        <v>9</v>
      </c>
      <c r="BS36">
        <v>0.1875</v>
      </c>
      <c r="BT36">
        <v>0.125</v>
      </c>
      <c r="BU36">
        <v>1.0625</v>
      </c>
      <c r="BV36">
        <v>-1</v>
      </c>
      <c r="BW36">
        <v>-3.3125</v>
      </c>
      <c r="BX36">
        <v>7.4375</v>
      </c>
      <c r="BY36">
        <v>-4.25</v>
      </c>
      <c r="BZ36">
        <v>-0.5</v>
      </c>
      <c r="CA36">
        <v>-6</v>
      </c>
      <c r="CB36">
        <v>6</v>
      </c>
      <c r="CC36">
        <v>5.5925000000000011</v>
      </c>
      <c r="CD36">
        <v>1.6766249999999996</v>
      </c>
      <c r="CE36">
        <v>11.6875</v>
      </c>
      <c r="CF36">
        <v>-1.2610937499999999</v>
      </c>
    </row>
    <row r="37" spans="1:84" x14ac:dyDescent="0.2">
      <c r="A37" s="39">
        <v>43744</v>
      </c>
      <c r="B37" s="22" t="s">
        <v>381</v>
      </c>
      <c r="C37" s="41" t="s">
        <v>265</v>
      </c>
      <c r="D37" s="22" t="s">
        <v>303</v>
      </c>
      <c r="E37">
        <v>28.7</v>
      </c>
      <c r="F37">
        <v>9.1999999999999993</v>
      </c>
      <c r="G37">
        <v>0</v>
      </c>
      <c r="H37">
        <v>7.2</v>
      </c>
      <c r="I37">
        <v>-6.5</v>
      </c>
      <c r="J37">
        <v>38.5</v>
      </c>
      <c r="L37" s="1" t="s">
        <v>265</v>
      </c>
      <c r="M37">
        <v>26</v>
      </c>
      <c r="N37">
        <v>-4.1449999999999996</v>
      </c>
      <c r="O37">
        <v>-7.7812499999999982</v>
      </c>
      <c r="P37">
        <v>-49.25</v>
      </c>
      <c r="Q37">
        <v>3</v>
      </c>
      <c r="R37">
        <v>-7.8187499999999988</v>
      </c>
      <c r="S37">
        <v>-30.3125</v>
      </c>
      <c r="T37">
        <v>-2.5625</v>
      </c>
      <c r="U37">
        <v>30</v>
      </c>
      <c r="V37">
        <v>29.5</v>
      </c>
      <c r="W37">
        <v>5.5625</v>
      </c>
      <c r="X37">
        <v>18</v>
      </c>
      <c r="Y37">
        <v>15.5</v>
      </c>
      <c r="Z37">
        <v>20</v>
      </c>
      <c r="AA37">
        <v>-4.3696668204843511E-2</v>
      </c>
      <c r="AB37">
        <v>11</v>
      </c>
      <c r="AC37">
        <v>1.6936227348068079E-3</v>
      </c>
      <c r="AD37">
        <v>20</v>
      </c>
      <c r="AE37">
        <v>-12.6</v>
      </c>
      <c r="AF37">
        <v>11</v>
      </c>
      <c r="AG37">
        <v>-0.1875</v>
      </c>
      <c r="AH37">
        <v>-2.1875</v>
      </c>
      <c r="AI37">
        <v>-5.8125</v>
      </c>
      <c r="AJ37">
        <v>0.875</v>
      </c>
      <c r="AK37">
        <v>-75.75</v>
      </c>
      <c r="AL37">
        <v>-32.6875</v>
      </c>
      <c r="AM37">
        <v>-50.875</v>
      </c>
      <c r="AN37">
        <v>13.6875</v>
      </c>
      <c r="AO37">
        <v>-5.875</v>
      </c>
      <c r="AP37">
        <v>11</v>
      </c>
      <c r="AQ37">
        <v>3.6362499999999986</v>
      </c>
      <c r="AR37">
        <v>1.4978749999999996</v>
      </c>
      <c r="AS37">
        <v>18.1875</v>
      </c>
      <c r="AT37">
        <v>-3.6362499999999986</v>
      </c>
      <c r="AU37">
        <v>-2.1790624999999997</v>
      </c>
      <c r="AV37">
        <v>-0.49359374999999994</v>
      </c>
      <c r="AW37">
        <v>-1.1498437500000001</v>
      </c>
      <c r="AX37" t="s">
        <v>303</v>
      </c>
      <c r="AY37">
        <v>13</v>
      </c>
      <c r="AZ37">
        <v>2.151250000000001</v>
      </c>
      <c r="BA37">
        <v>-5.4562499999999998</v>
      </c>
      <c r="BB37">
        <v>-16.8125</v>
      </c>
      <c r="BC37">
        <v>-0.375</v>
      </c>
      <c r="BD37">
        <v>3.5437500000000006</v>
      </c>
      <c r="BE37">
        <v>0.5625</v>
      </c>
      <c r="BF37">
        <v>-0.875</v>
      </c>
      <c r="BG37">
        <v>27</v>
      </c>
      <c r="BH37">
        <v>25.5</v>
      </c>
      <c r="BI37">
        <v>-6.25E-2</v>
      </c>
      <c r="BJ37">
        <v>10</v>
      </c>
      <c r="BK37">
        <v>13.25</v>
      </c>
      <c r="BL37">
        <v>12</v>
      </c>
      <c r="BM37">
        <v>-5.9665727717543776E-2</v>
      </c>
      <c r="BN37">
        <v>11</v>
      </c>
      <c r="BO37">
        <v>-1.5936237675368108E-2</v>
      </c>
      <c r="BP37">
        <v>12</v>
      </c>
      <c r="BQ37">
        <v>0.55625000000000036</v>
      </c>
      <c r="BR37">
        <v>18</v>
      </c>
      <c r="BS37">
        <v>-0.8125</v>
      </c>
      <c r="BT37">
        <v>0.5625</v>
      </c>
      <c r="BU37">
        <v>2</v>
      </c>
      <c r="BV37">
        <v>-0.4375</v>
      </c>
      <c r="BW37">
        <v>4.9375</v>
      </c>
      <c r="BX37">
        <v>23</v>
      </c>
      <c r="BY37">
        <v>-14.3125</v>
      </c>
      <c r="BZ37">
        <v>-1.9375</v>
      </c>
      <c r="CA37">
        <v>-1.8125</v>
      </c>
      <c r="CB37">
        <v>2</v>
      </c>
      <c r="CC37">
        <v>7.6075000000000008</v>
      </c>
      <c r="CD37">
        <v>3.8671250000000006</v>
      </c>
      <c r="CE37">
        <v>37.3125</v>
      </c>
      <c r="CF37">
        <v>0.16265625000000011</v>
      </c>
    </row>
    <row r="38" spans="1:84" x14ac:dyDescent="0.2">
      <c r="A38" s="39">
        <v>43744</v>
      </c>
      <c r="B38" s="22" t="s">
        <v>381</v>
      </c>
      <c r="C38" s="17" t="s">
        <v>272</v>
      </c>
      <c r="D38" s="22" t="s">
        <v>285</v>
      </c>
      <c r="E38">
        <v>31.3</v>
      </c>
      <c r="F38">
        <v>11.6</v>
      </c>
      <c r="G38">
        <v>7.8</v>
      </c>
      <c r="H38">
        <f>3.6+3.4</f>
        <v>7</v>
      </c>
      <c r="I38">
        <v>-3</v>
      </c>
      <c r="J38">
        <v>45</v>
      </c>
      <c r="K38" t="s">
        <v>109</v>
      </c>
      <c r="L38" s="1" t="s">
        <v>272</v>
      </c>
      <c r="M38">
        <v>24</v>
      </c>
      <c r="N38">
        <v>2.4499999999999993</v>
      </c>
      <c r="O38">
        <v>-4.6312499999999996</v>
      </c>
      <c r="P38">
        <v>-26.8125</v>
      </c>
      <c r="Q38">
        <v>0.4375</v>
      </c>
      <c r="R38">
        <v>9.5824999999999996</v>
      </c>
      <c r="S38">
        <v>67.5</v>
      </c>
      <c r="T38">
        <v>5.625</v>
      </c>
      <c r="U38">
        <v>12</v>
      </c>
      <c r="V38">
        <v>11.5</v>
      </c>
      <c r="W38">
        <v>-5.1875</v>
      </c>
      <c r="X38">
        <v>10</v>
      </c>
      <c r="Y38">
        <v>12.75</v>
      </c>
      <c r="Z38">
        <v>13</v>
      </c>
      <c r="AA38">
        <v>-6.2125562085284108E-3</v>
      </c>
      <c r="AB38">
        <v>15</v>
      </c>
      <c r="AC38">
        <v>2.9286278912009522E-2</v>
      </c>
      <c r="AD38">
        <v>11</v>
      </c>
      <c r="AE38">
        <v>11.950000000000001</v>
      </c>
      <c r="AF38">
        <v>12</v>
      </c>
      <c r="AG38">
        <v>2.25</v>
      </c>
      <c r="AH38">
        <v>2.625</v>
      </c>
      <c r="AI38">
        <v>-2</v>
      </c>
      <c r="AJ38">
        <v>-2.3125</v>
      </c>
      <c r="AK38">
        <v>13.1875</v>
      </c>
      <c r="AL38">
        <v>55.0625</v>
      </c>
      <c r="AM38">
        <v>-33.4375</v>
      </c>
      <c r="AN38">
        <v>-4.0625</v>
      </c>
      <c r="AO38">
        <v>-4.375</v>
      </c>
      <c r="AP38">
        <v>2</v>
      </c>
      <c r="AQ38">
        <v>7.0812499999999989</v>
      </c>
      <c r="AR38">
        <v>4.7221250000000001</v>
      </c>
      <c r="AS38">
        <v>88.5</v>
      </c>
      <c r="AT38">
        <v>-7.0812499999999989</v>
      </c>
      <c r="AU38">
        <v>0.9329687499999999</v>
      </c>
      <c r="AV38">
        <v>1.0528124999999999</v>
      </c>
      <c r="AW38">
        <v>0.99921875000000004</v>
      </c>
      <c r="AX38" t="s">
        <v>285</v>
      </c>
      <c r="AY38">
        <v>1</v>
      </c>
      <c r="AZ38">
        <v>3.2575000000000003</v>
      </c>
      <c r="BA38">
        <v>-3.6125000000000007</v>
      </c>
      <c r="BB38">
        <v>5.625</v>
      </c>
      <c r="BC38">
        <v>-1.53125</v>
      </c>
      <c r="BD38">
        <v>7.581249999999998</v>
      </c>
      <c r="BE38">
        <v>11.125</v>
      </c>
      <c r="BF38">
        <v>-0.875</v>
      </c>
      <c r="BG38">
        <v>19</v>
      </c>
      <c r="BH38">
        <v>20.5</v>
      </c>
      <c r="BI38">
        <v>2.5</v>
      </c>
      <c r="BJ38">
        <v>26</v>
      </c>
      <c r="BK38">
        <v>22</v>
      </c>
      <c r="BL38">
        <v>5</v>
      </c>
      <c r="BM38">
        <v>5.8014033271198306E-2</v>
      </c>
      <c r="BN38">
        <v>31</v>
      </c>
      <c r="BO38">
        <v>7.8038762471132062E-3</v>
      </c>
      <c r="BP38">
        <v>20</v>
      </c>
      <c r="BQ38">
        <v>6.0812500000000007</v>
      </c>
      <c r="BR38">
        <v>32</v>
      </c>
      <c r="BS38">
        <v>-3</v>
      </c>
      <c r="BT38">
        <v>0.125</v>
      </c>
      <c r="BU38">
        <v>1.125</v>
      </c>
      <c r="BV38">
        <v>0.75</v>
      </c>
      <c r="BW38">
        <v>24.6875</v>
      </c>
      <c r="BX38">
        <v>12.0625</v>
      </c>
      <c r="BY38">
        <v>-3.0625</v>
      </c>
      <c r="BZ38">
        <v>2.8125</v>
      </c>
      <c r="CA38">
        <v>12.875</v>
      </c>
      <c r="CB38">
        <v>3</v>
      </c>
      <c r="CC38">
        <v>6.87</v>
      </c>
      <c r="CD38">
        <v>3.9740000000000002</v>
      </c>
      <c r="CE38">
        <v>15.125</v>
      </c>
      <c r="CF38">
        <v>1.1064062499999998</v>
      </c>
    </row>
    <row r="39" spans="1:84" x14ac:dyDescent="0.2">
      <c r="A39" s="39">
        <v>43744</v>
      </c>
      <c r="B39" s="22" t="s">
        <v>381</v>
      </c>
      <c r="C39" s="41" t="s">
        <v>281</v>
      </c>
      <c r="D39" s="22" t="s">
        <v>256</v>
      </c>
      <c r="E39">
        <v>6</v>
      </c>
      <c r="F39">
        <v>11.5</v>
      </c>
      <c r="G39">
        <v>0</v>
      </c>
      <c r="H39">
        <v>1</v>
      </c>
      <c r="I39">
        <v>5</v>
      </c>
      <c r="J39">
        <v>47.5</v>
      </c>
      <c r="L39" s="1" t="s">
        <v>281</v>
      </c>
      <c r="M39">
        <v>10</v>
      </c>
      <c r="N39">
        <v>-2.3975000000000004</v>
      </c>
      <c r="O39">
        <v>6.1625000000000005</v>
      </c>
      <c r="P39">
        <v>31.75</v>
      </c>
      <c r="Q39">
        <v>0.4375</v>
      </c>
      <c r="R39">
        <v>-1.8562500000000013</v>
      </c>
      <c r="S39">
        <v>12.4375</v>
      </c>
      <c r="T39">
        <v>-2.125</v>
      </c>
      <c r="U39">
        <v>4</v>
      </c>
      <c r="V39">
        <v>7</v>
      </c>
      <c r="W39">
        <v>-0.3125</v>
      </c>
      <c r="X39">
        <v>30</v>
      </c>
      <c r="Y39">
        <v>29</v>
      </c>
      <c r="Z39">
        <v>31</v>
      </c>
      <c r="AA39">
        <v>9.5083369728665573E-3</v>
      </c>
      <c r="AB39">
        <v>30</v>
      </c>
      <c r="AC39">
        <v>2.4155765469367922E-2</v>
      </c>
      <c r="AD39">
        <v>24</v>
      </c>
      <c r="AE39">
        <v>-10.837499999999999</v>
      </c>
      <c r="AF39">
        <v>31</v>
      </c>
      <c r="AG39">
        <v>0.625</v>
      </c>
      <c r="AH39">
        <v>-0.375</v>
      </c>
      <c r="AI39">
        <v>0.625</v>
      </c>
      <c r="AJ39">
        <v>-1.3125</v>
      </c>
      <c r="AK39">
        <v>32.9375</v>
      </c>
      <c r="AL39">
        <v>11.9375</v>
      </c>
      <c r="AM39">
        <v>28.4375</v>
      </c>
      <c r="AN39">
        <v>0.3125</v>
      </c>
      <c r="AO39">
        <v>-7.75</v>
      </c>
      <c r="AP39">
        <v>28</v>
      </c>
      <c r="AQ39">
        <v>-8.5600000000000023</v>
      </c>
      <c r="AR39">
        <v>-3.9320000000000004</v>
      </c>
      <c r="AS39">
        <v>-16.5</v>
      </c>
      <c r="AT39">
        <v>8.56</v>
      </c>
      <c r="AU39">
        <v>0.21515624999999994</v>
      </c>
      <c r="AV39">
        <v>-1.7214062500000002</v>
      </c>
      <c r="AW39">
        <v>-0.1839062500000001</v>
      </c>
      <c r="AX39" t="s">
        <v>256</v>
      </c>
      <c r="AY39">
        <v>22</v>
      </c>
      <c r="AZ39">
        <v>-5</v>
      </c>
      <c r="BA39">
        <v>-9.8587500000000006</v>
      </c>
      <c r="BB39">
        <v>-10.75</v>
      </c>
      <c r="BC39">
        <v>-1.25</v>
      </c>
      <c r="BD39">
        <v>-8.5874999999999986</v>
      </c>
      <c r="BE39">
        <v>-46.75</v>
      </c>
      <c r="BF39">
        <v>-3.25</v>
      </c>
      <c r="BG39">
        <v>18</v>
      </c>
      <c r="BH39">
        <v>20</v>
      </c>
      <c r="BI39">
        <v>-1.75</v>
      </c>
      <c r="BJ39">
        <v>13</v>
      </c>
      <c r="BK39">
        <v>14.75</v>
      </c>
      <c r="BL39">
        <v>23</v>
      </c>
      <c r="BM39">
        <v>5.5721404286772871E-2</v>
      </c>
      <c r="BN39">
        <v>8</v>
      </c>
      <c r="BO39">
        <v>2.3556784810244046E-2</v>
      </c>
      <c r="BP39">
        <v>24</v>
      </c>
      <c r="BQ39">
        <v>-20.75</v>
      </c>
      <c r="BR39">
        <v>4</v>
      </c>
      <c r="BS39">
        <v>5.375</v>
      </c>
      <c r="BT39">
        <v>-5.5625</v>
      </c>
      <c r="BU39">
        <v>-8.1875</v>
      </c>
      <c r="BV39">
        <v>0.875</v>
      </c>
      <c r="BW39">
        <v>-79.6875</v>
      </c>
      <c r="BX39">
        <v>-75.8125</v>
      </c>
      <c r="BY39">
        <v>-12.5</v>
      </c>
      <c r="BZ39">
        <v>4.9375</v>
      </c>
      <c r="CA39">
        <v>3.6875</v>
      </c>
      <c r="CB39">
        <v>7</v>
      </c>
      <c r="CC39">
        <v>4.8587500000000006</v>
      </c>
      <c r="CD39">
        <v>2.211875</v>
      </c>
      <c r="CE39">
        <v>-63.3125</v>
      </c>
      <c r="CF39">
        <v>-3.2589062500000003</v>
      </c>
    </row>
    <row r="40" spans="1:84" x14ac:dyDescent="0.2">
      <c r="A40" s="39">
        <v>43744</v>
      </c>
      <c r="B40" s="22" t="s">
        <v>381</v>
      </c>
      <c r="C40" s="41" t="s">
        <v>291</v>
      </c>
      <c r="D40" s="22" t="s">
        <v>300</v>
      </c>
      <c r="E40">
        <v>42.6</v>
      </c>
      <c r="F40">
        <v>27.3</v>
      </c>
      <c r="G40" s="14">
        <v>8.3000000000000007</v>
      </c>
      <c r="H40">
        <v>5.9</v>
      </c>
      <c r="I40">
        <v>-3.5</v>
      </c>
      <c r="J40">
        <v>46.5</v>
      </c>
      <c r="L40" s="1" t="s">
        <v>291</v>
      </c>
      <c r="M40">
        <v>3</v>
      </c>
      <c r="N40">
        <v>-0.92375000000000007</v>
      </c>
      <c r="O40">
        <v>1.975000000000001</v>
      </c>
      <c r="P40">
        <v>16.5625</v>
      </c>
      <c r="Q40">
        <v>-0.1875</v>
      </c>
      <c r="R40">
        <v>4.53125</v>
      </c>
      <c r="S40">
        <v>21.0625</v>
      </c>
      <c r="T40">
        <v>1.0625</v>
      </c>
      <c r="U40">
        <v>11</v>
      </c>
      <c r="V40">
        <v>9.5</v>
      </c>
      <c r="W40">
        <v>-3.25</v>
      </c>
      <c r="X40">
        <v>26</v>
      </c>
      <c r="Y40">
        <v>22.25</v>
      </c>
      <c r="Z40">
        <v>18</v>
      </c>
      <c r="AA40">
        <v>-7.1058141249733878E-2</v>
      </c>
      <c r="AB40">
        <v>32</v>
      </c>
      <c r="AC40">
        <v>-3.133226881716418E-2</v>
      </c>
      <c r="AD40">
        <v>16</v>
      </c>
      <c r="AE40">
        <v>0.66250000000000142</v>
      </c>
      <c r="AF40">
        <v>23</v>
      </c>
      <c r="AG40">
        <v>-2.5625</v>
      </c>
      <c r="AH40">
        <v>-2.5</v>
      </c>
      <c r="AI40">
        <v>-0.875</v>
      </c>
      <c r="AJ40">
        <v>-1.75</v>
      </c>
      <c r="AK40">
        <v>14.125</v>
      </c>
      <c r="AL40">
        <v>1.3125</v>
      </c>
      <c r="AM40">
        <v>9.6875</v>
      </c>
      <c r="AN40">
        <v>-2.75</v>
      </c>
      <c r="AO40">
        <v>5.875</v>
      </c>
      <c r="AP40">
        <v>24</v>
      </c>
      <c r="AQ40">
        <v>-2.898750000000001</v>
      </c>
      <c r="AR40">
        <v>-0.26600000000000057</v>
      </c>
      <c r="AS40">
        <v>-8.375</v>
      </c>
      <c r="AT40">
        <v>2.898750000000001</v>
      </c>
      <c r="AU40">
        <v>0.51812500000000006</v>
      </c>
      <c r="AV40">
        <v>-0.69109374999999984</v>
      </c>
      <c r="AW40">
        <v>0.10984374999999991</v>
      </c>
      <c r="AX40" t="s">
        <v>300</v>
      </c>
      <c r="AY40">
        <v>21</v>
      </c>
      <c r="AZ40">
        <v>-3.6237499999999994</v>
      </c>
      <c r="BA40">
        <v>8.8375000000000021</v>
      </c>
      <c r="BB40">
        <v>29.6875</v>
      </c>
      <c r="BC40">
        <v>-0.125</v>
      </c>
      <c r="BD40">
        <v>-14.337499999999999</v>
      </c>
      <c r="BE40">
        <v>-50.9375</v>
      </c>
      <c r="BF40">
        <v>-4.0625</v>
      </c>
      <c r="BG40">
        <v>6</v>
      </c>
      <c r="BH40">
        <v>5</v>
      </c>
      <c r="BI40">
        <v>-1.5</v>
      </c>
      <c r="BJ40">
        <v>29</v>
      </c>
      <c r="BK40">
        <v>24</v>
      </c>
      <c r="BL40">
        <v>17</v>
      </c>
      <c r="BM40">
        <v>9.4257367118214808E-2</v>
      </c>
      <c r="BN40">
        <v>23</v>
      </c>
      <c r="BO40">
        <v>1.479146605227087E-2</v>
      </c>
      <c r="BP40">
        <v>27</v>
      </c>
      <c r="BQ40">
        <v>-8.0374999999999979</v>
      </c>
      <c r="BR40">
        <v>29</v>
      </c>
      <c r="BS40">
        <v>3.5</v>
      </c>
      <c r="BT40">
        <v>1.75</v>
      </c>
      <c r="BU40">
        <v>-2.9375</v>
      </c>
      <c r="BV40">
        <v>-0.4375</v>
      </c>
      <c r="BW40">
        <v>10</v>
      </c>
      <c r="BX40">
        <v>-16.0625</v>
      </c>
      <c r="BY40">
        <v>27.8125</v>
      </c>
      <c r="BZ40">
        <v>-5.8125</v>
      </c>
      <c r="CA40">
        <v>4.0625</v>
      </c>
      <c r="CB40">
        <v>32</v>
      </c>
      <c r="CC40">
        <v>-12.46125</v>
      </c>
      <c r="CD40">
        <v>-8.0109999999999992</v>
      </c>
      <c r="CE40">
        <v>-43.875</v>
      </c>
      <c r="CF40">
        <v>-1.4920312499999997</v>
      </c>
    </row>
    <row r="41" spans="1:84" x14ac:dyDescent="0.2">
      <c r="A41" s="39">
        <v>43744</v>
      </c>
      <c r="B41" t="s">
        <v>381</v>
      </c>
      <c r="C41" s="41" t="s">
        <v>278</v>
      </c>
      <c r="D41" t="s">
        <v>287</v>
      </c>
      <c r="E41">
        <v>19.2</v>
      </c>
      <c r="F41">
        <v>1.9</v>
      </c>
      <c r="G41">
        <v>0.9</v>
      </c>
      <c r="H41">
        <v>7.1999999999999993</v>
      </c>
      <c r="I41">
        <v>4</v>
      </c>
      <c r="J41">
        <v>46</v>
      </c>
      <c r="K41" t="s">
        <v>110</v>
      </c>
      <c r="L41" s="1" t="s">
        <v>278</v>
      </c>
      <c r="M41">
        <v>30</v>
      </c>
      <c r="N41">
        <v>-1.3399999999999994</v>
      </c>
      <c r="O41">
        <v>2.2437500000000004</v>
      </c>
      <c r="P41">
        <v>11</v>
      </c>
      <c r="Q41">
        <v>2.875</v>
      </c>
      <c r="R41">
        <v>5.9687499999999982</v>
      </c>
      <c r="S41">
        <v>26.0625</v>
      </c>
      <c r="T41">
        <v>2.9375</v>
      </c>
      <c r="U41">
        <v>10</v>
      </c>
      <c r="V41">
        <v>9</v>
      </c>
      <c r="W41">
        <v>-3.75</v>
      </c>
      <c r="X41">
        <v>22</v>
      </c>
      <c r="Y41">
        <v>20.25</v>
      </c>
      <c r="Z41">
        <v>15</v>
      </c>
      <c r="AA41">
        <v>-6.9159849038503141E-3</v>
      </c>
      <c r="AB41">
        <v>19</v>
      </c>
      <c r="AC41">
        <v>3.5601100203233108E-3</v>
      </c>
      <c r="AD41">
        <v>28</v>
      </c>
      <c r="AE41">
        <v>8.3312500000000025</v>
      </c>
      <c r="AF41">
        <v>19</v>
      </c>
      <c r="AG41">
        <v>-1.9375</v>
      </c>
      <c r="AH41">
        <v>1.125</v>
      </c>
      <c r="AI41">
        <v>-2.0625</v>
      </c>
      <c r="AJ41">
        <v>0</v>
      </c>
      <c r="AK41">
        <v>5.9375</v>
      </c>
      <c r="AL41">
        <v>7.4375</v>
      </c>
      <c r="AM41">
        <v>6.5625</v>
      </c>
      <c r="AN41">
        <v>-1.1875</v>
      </c>
      <c r="AO41">
        <v>-6.875</v>
      </c>
      <c r="AP41">
        <v>25</v>
      </c>
      <c r="AQ41">
        <v>-3.5837499999999998</v>
      </c>
      <c r="AR41">
        <v>-0.19612500000000055</v>
      </c>
      <c r="AS41">
        <v>0.875</v>
      </c>
      <c r="AT41">
        <v>3.5837499999999998</v>
      </c>
      <c r="AU41">
        <v>0.98406250000000006</v>
      </c>
      <c r="AV41">
        <v>0.227109375</v>
      </c>
      <c r="AW41">
        <v>-3.1093750000000031E-2</v>
      </c>
      <c r="AX41" t="s">
        <v>287</v>
      </c>
      <c r="AY41">
        <v>26</v>
      </c>
      <c r="AZ41">
        <v>0.26375000000000037</v>
      </c>
      <c r="BA41">
        <v>3.1937500000000005</v>
      </c>
      <c r="BB41">
        <v>4.9375</v>
      </c>
      <c r="BC41">
        <v>-1.03125</v>
      </c>
      <c r="BD41">
        <v>2.9250000000000003</v>
      </c>
      <c r="BE41">
        <v>12.4375</v>
      </c>
      <c r="BF41">
        <v>-3.4375</v>
      </c>
      <c r="BG41">
        <v>3</v>
      </c>
      <c r="BH41">
        <v>3.5</v>
      </c>
      <c r="BI41">
        <v>0.8125</v>
      </c>
      <c r="BJ41">
        <v>25</v>
      </c>
      <c r="BK41">
        <v>21.5</v>
      </c>
      <c r="BL41">
        <v>20</v>
      </c>
      <c r="BM41">
        <v>-5.824845928300082E-2</v>
      </c>
      <c r="BN41">
        <v>25</v>
      </c>
      <c r="BO41">
        <v>-1.0973697045152294E-2</v>
      </c>
      <c r="BP41">
        <v>18</v>
      </c>
      <c r="BQ41">
        <v>8.8062500000000021</v>
      </c>
      <c r="BR41">
        <v>23</v>
      </c>
      <c r="BS41">
        <v>-3.5625</v>
      </c>
      <c r="BT41">
        <v>-6.4375</v>
      </c>
      <c r="BU41">
        <v>0.5</v>
      </c>
      <c r="BV41">
        <v>-0.4375</v>
      </c>
      <c r="BW41">
        <v>2.875</v>
      </c>
      <c r="BX41">
        <v>6.75</v>
      </c>
      <c r="BY41">
        <v>-0.5625</v>
      </c>
      <c r="BZ41">
        <v>0</v>
      </c>
      <c r="CA41">
        <v>-3.3125</v>
      </c>
      <c r="CB41">
        <v>23</v>
      </c>
      <c r="CC41">
        <v>-2.9300000000000006</v>
      </c>
      <c r="CD41">
        <v>-0.95912500000000023</v>
      </c>
      <c r="CE41">
        <v>7.3125</v>
      </c>
      <c r="CF41">
        <v>0.48531250000000004</v>
      </c>
    </row>
    <row r="42" spans="1:84" x14ac:dyDescent="0.2">
      <c r="A42" s="39">
        <v>43744</v>
      </c>
      <c r="B42" s="22" t="s">
        <v>381</v>
      </c>
      <c r="C42" s="41" t="s">
        <v>300</v>
      </c>
      <c r="D42" s="22" t="s">
        <v>291</v>
      </c>
      <c r="E42" s="3">
        <v>2.8</v>
      </c>
      <c r="F42" s="30">
        <v>4.8</v>
      </c>
      <c r="G42" s="3">
        <v>1.9</v>
      </c>
      <c r="H42">
        <f>7.1+3.7+3.3</f>
        <v>14.100000000000001</v>
      </c>
      <c r="I42">
        <v>3.5</v>
      </c>
      <c r="J42">
        <v>46.5</v>
      </c>
      <c r="L42" s="1" t="s">
        <v>300</v>
      </c>
      <c r="M42">
        <v>19</v>
      </c>
      <c r="N42">
        <v>0.90500000000000025</v>
      </c>
      <c r="O42">
        <v>2.6125000000000012</v>
      </c>
      <c r="P42">
        <v>-2.875</v>
      </c>
      <c r="Q42">
        <v>-0.96875</v>
      </c>
      <c r="R42">
        <v>-1.7687500000000018</v>
      </c>
      <c r="S42">
        <v>8.125</v>
      </c>
      <c r="T42">
        <v>-0.125</v>
      </c>
      <c r="U42">
        <v>31</v>
      </c>
      <c r="V42">
        <v>31</v>
      </c>
      <c r="W42">
        <v>3.5</v>
      </c>
      <c r="X42">
        <v>16</v>
      </c>
      <c r="Y42">
        <v>14.5</v>
      </c>
      <c r="Z42">
        <v>17</v>
      </c>
      <c r="AA42">
        <v>5.2866029622550437E-2</v>
      </c>
      <c r="AB42">
        <v>14</v>
      </c>
      <c r="AC42">
        <v>-1.3163459789658442E-3</v>
      </c>
      <c r="AD42">
        <v>3</v>
      </c>
      <c r="AE42">
        <v>-1.7874999999999979</v>
      </c>
      <c r="AF42">
        <v>24</v>
      </c>
      <c r="AG42">
        <v>-1.5</v>
      </c>
      <c r="AH42">
        <v>-0.1875</v>
      </c>
      <c r="AI42">
        <v>2.5625</v>
      </c>
      <c r="AJ42">
        <v>-0.4375</v>
      </c>
      <c r="AK42">
        <v>1</v>
      </c>
      <c r="AL42">
        <v>6.6875</v>
      </c>
      <c r="AM42">
        <v>-9.1875</v>
      </c>
      <c r="AN42">
        <v>-3.3125</v>
      </c>
      <c r="AO42">
        <v>6.8125</v>
      </c>
      <c r="AP42">
        <v>23</v>
      </c>
      <c r="AQ42">
        <v>-1.7075000000000009</v>
      </c>
      <c r="AR42">
        <v>-1.479000000000001</v>
      </c>
      <c r="AS42">
        <v>15.875</v>
      </c>
      <c r="AT42">
        <v>1.7075000000000009</v>
      </c>
      <c r="AU42">
        <v>0.17953124999999998</v>
      </c>
      <c r="AV42">
        <v>-0.69109374999999984</v>
      </c>
      <c r="AW42">
        <v>-1.4920312499999997</v>
      </c>
      <c r="AX42" t="s">
        <v>291</v>
      </c>
      <c r="AY42">
        <v>19</v>
      </c>
      <c r="AZ42">
        <v>-2.2837500000000013</v>
      </c>
      <c r="BA42">
        <v>0.18124999999999991</v>
      </c>
      <c r="BB42">
        <v>6.2916666666666652</v>
      </c>
      <c r="BC42">
        <v>0</v>
      </c>
      <c r="BD42">
        <v>2.1687499999999993</v>
      </c>
      <c r="BE42">
        <v>12.875</v>
      </c>
      <c r="BF42">
        <v>3.75</v>
      </c>
      <c r="BG42">
        <v>7</v>
      </c>
      <c r="BH42">
        <v>7</v>
      </c>
      <c r="BI42">
        <v>-2.5</v>
      </c>
      <c r="BJ42">
        <v>15</v>
      </c>
      <c r="BK42">
        <v>15.75</v>
      </c>
      <c r="BL42">
        <v>7</v>
      </c>
      <c r="BM42">
        <v>-3.3389166531780784E-2</v>
      </c>
      <c r="BN42">
        <v>7</v>
      </c>
      <c r="BO42">
        <v>-2.5958088269064754E-3</v>
      </c>
      <c r="BP42">
        <v>28</v>
      </c>
      <c r="BQ42">
        <v>11.243749999999999</v>
      </c>
      <c r="BR42">
        <v>21</v>
      </c>
      <c r="BS42">
        <v>-3.25</v>
      </c>
      <c r="BT42">
        <v>3.625</v>
      </c>
      <c r="BU42">
        <v>-1.125</v>
      </c>
      <c r="BV42">
        <v>-1.3125</v>
      </c>
      <c r="BW42">
        <v>8.8125</v>
      </c>
      <c r="BX42">
        <v>-4.6875</v>
      </c>
      <c r="BY42">
        <v>11.0625</v>
      </c>
      <c r="BZ42">
        <v>1.9375</v>
      </c>
      <c r="CA42">
        <v>0.5</v>
      </c>
      <c r="CB42">
        <v>22</v>
      </c>
      <c r="CC42">
        <v>-2.4650000000000012</v>
      </c>
      <c r="CD42">
        <v>-0.11362500000000017</v>
      </c>
      <c r="CE42">
        <v>-15.75</v>
      </c>
      <c r="CF42">
        <v>0.10984374999999991</v>
      </c>
    </row>
    <row r="43" spans="1:84" x14ac:dyDescent="0.2">
      <c r="A43" s="39">
        <v>43744</v>
      </c>
      <c r="B43" s="22" t="s">
        <v>381</v>
      </c>
      <c r="C43" s="41" t="s">
        <v>311</v>
      </c>
      <c r="D43" s="22" t="s">
        <v>295</v>
      </c>
      <c r="E43">
        <v>15.8</v>
      </c>
      <c r="F43" s="14">
        <v>56.7</v>
      </c>
      <c r="G43">
        <v>10.199999999999999</v>
      </c>
      <c r="H43">
        <v>19.100000000000001</v>
      </c>
      <c r="I43">
        <v>-4</v>
      </c>
      <c r="J43">
        <v>49</v>
      </c>
      <c r="K43" t="s">
        <v>109</v>
      </c>
      <c r="L43" s="1" t="s">
        <v>311</v>
      </c>
      <c r="M43">
        <v>6</v>
      </c>
      <c r="N43">
        <v>1.6125000000000003</v>
      </c>
      <c r="O43">
        <v>-2.8749999999999996</v>
      </c>
      <c r="P43">
        <v>10.375</v>
      </c>
      <c r="Q43">
        <v>-0.5</v>
      </c>
      <c r="R43">
        <v>0.74999999999999956</v>
      </c>
      <c r="S43">
        <v>0.5</v>
      </c>
      <c r="T43">
        <v>0</v>
      </c>
      <c r="U43">
        <v>22</v>
      </c>
      <c r="V43">
        <v>20.5</v>
      </c>
      <c r="W43">
        <v>1.5</v>
      </c>
      <c r="X43">
        <v>20</v>
      </c>
      <c r="Y43">
        <v>17.5</v>
      </c>
      <c r="Z43">
        <v>1</v>
      </c>
      <c r="AA43">
        <v>9.0228201742385009E-2</v>
      </c>
      <c r="AB43">
        <v>24</v>
      </c>
      <c r="AC43">
        <v>3.8531538831282047E-2</v>
      </c>
      <c r="AD43">
        <v>15</v>
      </c>
      <c r="AE43">
        <v>-2.3374999999999968</v>
      </c>
      <c r="AF43">
        <v>30</v>
      </c>
      <c r="AG43">
        <v>0.75</v>
      </c>
      <c r="AH43">
        <v>-2.125</v>
      </c>
      <c r="AI43">
        <v>-1.9375</v>
      </c>
      <c r="AJ43">
        <v>0</v>
      </c>
      <c r="AK43">
        <v>-7.5</v>
      </c>
      <c r="AL43">
        <v>-16.5625</v>
      </c>
      <c r="AM43">
        <v>7.9375</v>
      </c>
      <c r="AN43">
        <v>-1</v>
      </c>
      <c r="AO43">
        <v>2.125</v>
      </c>
      <c r="AP43">
        <v>8</v>
      </c>
      <c r="AQ43">
        <v>4.4875000000000007</v>
      </c>
      <c r="AR43">
        <v>1.9099999999999997</v>
      </c>
      <c r="AS43">
        <v>-24.5</v>
      </c>
      <c r="AT43">
        <v>-4.4874999999999998</v>
      </c>
      <c r="AU43">
        <v>-0.29062499999999997</v>
      </c>
      <c r="AV43">
        <v>0.38820312499999987</v>
      </c>
      <c r="AW43">
        <v>0.34218749999999964</v>
      </c>
      <c r="AX43" t="s">
        <v>295</v>
      </c>
      <c r="AY43">
        <v>27</v>
      </c>
      <c r="AZ43">
        <v>1.8112500000000007</v>
      </c>
      <c r="BA43">
        <v>-2.4312499999999995</v>
      </c>
      <c r="BB43">
        <v>-5.9375</v>
      </c>
      <c r="BC43">
        <v>0.625</v>
      </c>
      <c r="BD43">
        <v>2.84375</v>
      </c>
      <c r="BE43">
        <v>15.3125</v>
      </c>
      <c r="BF43">
        <v>-2</v>
      </c>
      <c r="BG43">
        <v>17</v>
      </c>
      <c r="BH43">
        <v>14.5</v>
      </c>
      <c r="BI43">
        <v>2.375</v>
      </c>
      <c r="BJ43">
        <v>19</v>
      </c>
      <c r="BK43">
        <v>16.5</v>
      </c>
      <c r="BL43">
        <v>10</v>
      </c>
      <c r="BM43">
        <v>2.0144377666318353E-3</v>
      </c>
      <c r="BN43">
        <v>20</v>
      </c>
      <c r="BO43">
        <v>-1.7647896316076654E-2</v>
      </c>
      <c r="BP43">
        <v>25</v>
      </c>
      <c r="BQ43">
        <v>-0.20000000000000107</v>
      </c>
      <c r="BR43">
        <v>11</v>
      </c>
      <c r="BS43">
        <v>-2.9375</v>
      </c>
      <c r="BT43">
        <v>-1.75</v>
      </c>
      <c r="BU43">
        <v>0.8125</v>
      </c>
      <c r="BV43">
        <v>-0.5625</v>
      </c>
      <c r="BW43">
        <v>-22.3125</v>
      </c>
      <c r="BX43">
        <v>-0.375</v>
      </c>
      <c r="BY43">
        <v>-12.75</v>
      </c>
      <c r="BZ43">
        <v>-1.3125</v>
      </c>
      <c r="CA43">
        <v>-7.875</v>
      </c>
      <c r="CB43">
        <v>11</v>
      </c>
      <c r="CC43">
        <v>4.2425000000000006</v>
      </c>
      <c r="CD43">
        <v>2.1466250000000002</v>
      </c>
      <c r="CE43">
        <v>12.375</v>
      </c>
      <c r="CF43">
        <v>0.4342187500000001</v>
      </c>
    </row>
    <row r="44" spans="1:84" x14ac:dyDescent="0.2">
      <c r="A44" s="39">
        <v>43744</v>
      </c>
      <c r="B44" s="22" t="s">
        <v>381</v>
      </c>
      <c r="C44" s="41" t="s">
        <v>289</v>
      </c>
      <c r="D44" s="22" t="s">
        <v>288</v>
      </c>
      <c r="E44">
        <v>7.7</v>
      </c>
      <c r="F44">
        <v>3</v>
      </c>
      <c r="G44">
        <v>1.7</v>
      </c>
      <c r="H44">
        <f>4.9+2+1.8</f>
        <v>8.7000000000000011</v>
      </c>
      <c r="I44">
        <v>10.5</v>
      </c>
      <c r="J44">
        <v>55.5</v>
      </c>
      <c r="L44" s="1" t="s">
        <v>289</v>
      </c>
      <c r="M44">
        <v>22</v>
      </c>
      <c r="N44">
        <v>1.1337499999999991</v>
      </c>
      <c r="O44">
        <v>5.6249999999999356E-2</v>
      </c>
      <c r="P44">
        <v>11.5</v>
      </c>
      <c r="Q44">
        <v>-0.625</v>
      </c>
      <c r="R44">
        <v>2.2874999999999979</v>
      </c>
      <c r="S44">
        <v>-15.6875</v>
      </c>
      <c r="T44">
        <v>5.125</v>
      </c>
      <c r="U44">
        <v>19</v>
      </c>
      <c r="V44">
        <v>19.5</v>
      </c>
      <c r="W44">
        <v>-2.0625</v>
      </c>
      <c r="X44">
        <v>3</v>
      </c>
      <c r="Y44">
        <v>7.75</v>
      </c>
      <c r="Z44">
        <v>4</v>
      </c>
      <c r="AA44">
        <v>-3.9028860658478569E-2</v>
      </c>
      <c r="AB44">
        <v>8</v>
      </c>
      <c r="AC44">
        <v>-1.3698802886548504E-2</v>
      </c>
      <c r="AD44">
        <v>13</v>
      </c>
      <c r="AE44">
        <v>-12.831250000000002</v>
      </c>
      <c r="AF44">
        <v>6</v>
      </c>
      <c r="AG44">
        <v>-0.6875</v>
      </c>
      <c r="AH44">
        <v>3.75</v>
      </c>
      <c r="AI44">
        <v>2.4375</v>
      </c>
      <c r="AJ44">
        <v>0</v>
      </c>
      <c r="AK44">
        <v>2.9375</v>
      </c>
      <c r="AL44">
        <v>-24.625</v>
      </c>
      <c r="AM44">
        <v>23</v>
      </c>
      <c r="AN44">
        <v>0.75</v>
      </c>
      <c r="AO44">
        <v>3.8125</v>
      </c>
      <c r="AP44">
        <v>17</v>
      </c>
      <c r="AQ44">
        <v>1.0774999999999997</v>
      </c>
      <c r="AR44">
        <v>0.65612499999999963</v>
      </c>
      <c r="AS44">
        <v>-47.625</v>
      </c>
      <c r="AT44">
        <v>-1.0774999999999997</v>
      </c>
      <c r="AU44">
        <v>0.41906249999999956</v>
      </c>
      <c r="AV44">
        <v>0.32062500000000016</v>
      </c>
      <c r="AW44">
        <v>0.21109375000000036</v>
      </c>
      <c r="AX44" t="s">
        <v>288</v>
      </c>
      <c r="AY44">
        <v>7</v>
      </c>
      <c r="AZ44">
        <v>-0.26500000000000012</v>
      </c>
      <c r="BA44">
        <v>4.5812499999999989</v>
      </c>
      <c r="BB44">
        <v>23.4375</v>
      </c>
      <c r="BC44">
        <v>1.34375</v>
      </c>
      <c r="BD44">
        <v>-0.56249999999999956</v>
      </c>
      <c r="BE44">
        <v>15.25</v>
      </c>
      <c r="BF44">
        <v>1.875</v>
      </c>
      <c r="BG44">
        <v>20</v>
      </c>
      <c r="BH44">
        <v>21</v>
      </c>
      <c r="BI44">
        <v>-4.4375</v>
      </c>
      <c r="BJ44">
        <v>2</v>
      </c>
      <c r="BK44">
        <v>7.25</v>
      </c>
      <c r="BL44">
        <v>4</v>
      </c>
      <c r="BM44">
        <v>9.304079698647813E-3</v>
      </c>
      <c r="BN44">
        <v>13</v>
      </c>
      <c r="BO44">
        <v>1.0771103366013234E-2</v>
      </c>
      <c r="BP44">
        <v>3</v>
      </c>
      <c r="BQ44">
        <v>7.6125000000000025</v>
      </c>
      <c r="BR44">
        <v>9</v>
      </c>
      <c r="BS44">
        <v>2.5625</v>
      </c>
      <c r="BT44">
        <v>0.8125</v>
      </c>
      <c r="BU44">
        <v>-0.3125</v>
      </c>
      <c r="BV44">
        <v>-0.875</v>
      </c>
      <c r="BW44">
        <v>27.3125</v>
      </c>
      <c r="BX44">
        <v>20.25</v>
      </c>
      <c r="BY44">
        <v>15.375</v>
      </c>
      <c r="BZ44">
        <v>-5.1875</v>
      </c>
      <c r="CA44">
        <v>-3.125</v>
      </c>
      <c r="CB44">
        <v>26</v>
      </c>
      <c r="CC44">
        <v>-4.8462499999999995</v>
      </c>
      <c r="CD44">
        <v>-2.4561249999999992</v>
      </c>
      <c r="CE44">
        <v>4.875</v>
      </c>
      <c r="CF44">
        <v>0.43015625000000002</v>
      </c>
    </row>
    <row r="45" spans="1:84" x14ac:dyDescent="0.2">
      <c r="A45" s="39">
        <v>43744</v>
      </c>
      <c r="B45" s="26" t="s">
        <v>381</v>
      </c>
      <c r="C45" s="41" t="s">
        <v>297</v>
      </c>
      <c r="D45" s="26" t="s">
        <v>301</v>
      </c>
      <c r="E45">
        <v>15.2</v>
      </c>
      <c r="F45">
        <v>39.4</v>
      </c>
      <c r="G45">
        <v>3.6</v>
      </c>
      <c r="H45" s="14">
        <f>8.7+1.4</f>
        <v>10.1</v>
      </c>
      <c r="I45">
        <v>3</v>
      </c>
      <c r="J45">
        <v>41</v>
      </c>
      <c r="L45" s="1" t="s">
        <v>297</v>
      </c>
      <c r="M45">
        <v>27</v>
      </c>
      <c r="N45">
        <v>2.6549999999999998</v>
      </c>
      <c r="O45">
        <v>-3.6750000000000003</v>
      </c>
      <c r="P45">
        <v>14.1875</v>
      </c>
      <c r="Q45">
        <v>-0.4375</v>
      </c>
      <c r="R45">
        <v>3.1374999999999997</v>
      </c>
      <c r="S45">
        <v>3.375</v>
      </c>
      <c r="T45">
        <v>-1.8125</v>
      </c>
      <c r="U45">
        <v>27</v>
      </c>
      <c r="V45">
        <v>27</v>
      </c>
      <c r="W45">
        <v>0.1875</v>
      </c>
      <c r="X45">
        <v>7</v>
      </c>
      <c r="Y45">
        <v>11.25</v>
      </c>
      <c r="Z45">
        <v>7</v>
      </c>
      <c r="AA45">
        <v>4.4411077337813756E-2</v>
      </c>
      <c r="AB45">
        <v>17</v>
      </c>
      <c r="AC45">
        <v>4.0619070604809952E-3</v>
      </c>
      <c r="AD45">
        <v>18</v>
      </c>
      <c r="AE45">
        <v>5.6625000000000014</v>
      </c>
      <c r="AF45">
        <v>3</v>
      </c>
      <c r="AG45">
        <v>-1.625</v>
      </c>
      <c r="AH45">
        <v>-4.5625</v>
      </c>
      <c r="AI45">
        <v>0.5625</v>
      </c>
      <c r="AJ45">
        <v>0</v>
      </c>
      <c r="AK45">
        <v>-2.6875</v>
      </c>
      <c r="AL45">
        <v>-11.125</v>
      </c>
      <c r="AM45">
        <v>6.3125</v>
      </c>
      <c r="AN45">
        <v>-3.8125</v>
      </c>
      <c r="AO45">
        <v>5.9375</v>
      </c>
      <c r="AP45">
        <v>6</v>
      </c>
      <c r="AQ45">
        <v>6.33</v>
      </c>
      <c r="AR45">
        <v>2.9960000000000004</v>
      </c>
      <c r="AS45">
        <v>-17.4375</v>
      </c>
      <c r="AT45">
        <v>-6.33</v>
      </c>
      <c r="AU45">
        <v>0.42874999999999991</v>
      </c>
      <c r="AV45">
        <v>-1.8827343749999996</v>
      </c>
      <c r="AW45">
        <v>-1.2610937499999999</v>
      </c>
      <c r="AX45" t="s">
        <v>301</v>
      </c>
      <c r="AY45">
        <v>14</v>
      </c>
      <c r="AZ45">
        <v>-6.6787499999999991</v>
      </c>
      <c r="BA45">
        <v>2.3187500000000005</v>
      </c>
      <c r="BB45">
        <v>15.9375</v>
      </c>
      <c r="BC45">
        <v>0.1875</v>
      </c>
      <c r="BD45">
        <v>-15.549999999999999</v>
      </c>
      <c r="BE45">
        <v>-80.125</v>
      </c>
      <c r="BF45">
        <v>-2.5625</v>
      </c>
      <c r="BG45">
        <v>10</v>
      </c>
      <c r="BH45">
        <v>11.5</v>
      </c>
      <c r="BI45">
        <v>-0.4375</v>
      </c>
      <c r="BJ45">
        <v>18</v>
      </c>
      <c r="BK45">
        <v>16.25</v>
      </c>
      <c r="BL45">
        <v>18</v>
      </c>
      <c r="BM45">
        <v>-1.2107173340031321E-2</v>
      </c>
      <c r="BN45">
        <v>16</v>
      </c>
      <c r="BO45">
        <v>1.8024688447968378E-2</v>
      </c>
      <c r="BP45">
        <v>8</v>
      </c>
      <c r="BQ45">
        <v>-5.4999999999999982</v>
      </c>
      <c r="BR45">
        <v>23</v>
      </c>
      <c r="BS45">
        <v>-0.3125</v>
      </c>
      <c r="BT45">
        <v>0.6875</v>
      </c>
      <c r="BU45">
        <v>-3.1875</v>
      </c>
      <c r="BV45">
        <v>-1.3125</v>
      </c>
      <c r="BW45">
        <v>-70.75</v>
      </c>
      <c r="BX45">
        <v>-95.1875</v>
      </c>
      <c r="BY45">
        <v>15.875</v>
      </c>
      <c r="BZ45">
        <v>6.25E-2</v>
      </c>
      <c r="CA45">
        <v>8.5</v>
      </c>
      <c r="CB45">
        <v>29</v>
      </c>
      <c r="CC45">
        <v>-8.9974999999999987</v>
      </c>
      <c r="CD45">
        <v>-5.6051249999999992</v>
      </c>
      <c r="CE45">
        <v>-111.0625</v>
      </c>
      <c r="CF45">
        <v>-2.5043749999999996</v>
      </c>
    </row>
    <row r="46" spans="1:84" x14ac:dyDescent="0.2">
      <c r="A46" s="39">
        <v>43744</v>
      </c>
      <c r="B46" s="22" t="s">
        <v>381</v>
      </c>
      <c r="C46" s="41" t="s">
        <v>288</v>
      </c>
      <c r="D46" s="22" t="s">
        <v>289</v>
      </c>
      <c r="E46">
        <v>25.3</v>
      </c>
      <c r="F46">
        <v>6.1</v>
      </c>
      <c r="G46" s="14">
        <v>11.3</v>
      </c>
      <c r="H46">
        <v>11</v>
      </c>
      <c r="I46">
        <v>-10.5</v>
      </c>
      <c r="J46">
        <v>55.5</v>
      </c>
      <c r="L46" s="1" t="s">
        <v>288</v>
      </c>
      <c r="M46">
        <v>8</v>
      </c>
      <c r="N46">
        <v>8.4712499999999995</v>
      </c>
      <c r="O46">
        <v>5.28125</v>
      </c>
      <c r="P46">
        <v>-6.9375</v>
      </c>
      <c r="Q46">
        <v>1.9375</v>
      </c>
      <c r="R46">
        <v>17.387500000000003</v>
      </c>
      <c r="S46">
        <v>79.1875</v>
      </c>
      <c r="T46">
        <v>2.6875</v>
      </c>
      <c r="U46">
        <v>15</v>
      </c>
      <c r="V46">
        <v>14.5</v>
      </c>
      <c r="W46">
        <v>2.5625</v>
      </c>
      <c r="X46">
        <v>29</v>
      </c>
      <c r="Y46">
        <v>25</v>
      </c>
      <c r="Z46">
        <v>26</v>
      </c>
      <c r="AA46">
        <v>-6.0474799440369556E-2</v>
      </c>
      <c r="AB46">
        <v>23</v>
      </c>
      <c r="AC46">
        <v>-3.2841030256247732E-2</v>
      </c>
      <c r="AD46">
        <v>25</v>
      </c>
      <c r="AE46">
        <v>10.856249999999999</v>
      </c>
      <c r="AF46">
        <v>26</v>
      </c>
      <c r="AG46">
        <v>-4.4375</v>
      </c>
      <c r="AH46">
        <v>1.5625</v>
      </c>
      <c r="AI46">
        <v>7.8125</v>
      </c>
      <c r="AJ46">
        <v>1.3125</v>
      </c>
      <c r="AK46">
        <v>78.8125</v>
      </c>
      <c r="AL46">
        <v>82.25</v>
      </c>
      <c r="AM46">
        <v>-8.1875</v>
      </c>
      <c r="AN46">
        <v>1.6875</v>
      </c>
      <c r="AO46">
        <v>3.0625</v>
      </c>
      <c r="AP46">
        <v>13</v>
      </c>
      <c r="AQ46">
        <v>3.1899999999999995</v>
      </c>
      <c r="AR46">
        <v>2.5311250000000003</v>
      </c>
      <c r="AS46">
        <v>90.4375</v>
      </c>
      <c r="AT46">
        <v>-3.1899999999999995</v>
      </c>
      <c r="AU46">
        <v>4.1581250000000001</v>
      </c>
      <c r="AV46">
        <v>0.32062500000000016</v>
      </c>
      <c r="AW46">
        <v>0.43015625000000002</v>
      </c>
      <c r="AX46" t="s">
        <v>289</v>
      </c>
      <c r="AY46">
        <v>25</v>
      </c>
      <c r="AZ46">
        <v>0.63874999999999993</v>
      </c>
      <c r="BA46">
        <v>1.6937500000000001</v>
      </c>
      <c r="BB46">
        <v>15.4375</v>
      </c>
      <c r="BC46">
        <v>-0.1875</v>
      </c>
      <c r="BD46">
        <v>-0.8312499999999976</v>
      </c>
      <c r="BE46">
        <v>-27.6875</v>
      </c>
      <c r="BF46">
        <v>-3.5625</v>
      </c>
      <c r="BG46">
        <v>5</v>
      </c>
      <c r="BH46">
        <v>4.5</v>
      </c>
      <c r="BI46">
        <v>-0.6875</v>
      </c>
      <c r="BJ46">
        <v>28</v>
      </c>
      <c r="BK46">
        <v>23</v>
      </c>
      <c r="BL46">
        <v>27</v>
      </c>
      <c r="BM46">
        <v>-4.2868291082606216E-2</v>
      </c>
      <c r="BN46">
        <v>18</v>
      </c>
      <c r="BO46">
        <v>-4.3292445252348065E-3</v>
      </c>
      <c r="BP46">
        <v>26</v>
      </c>
      <c r="BQ46">
        <v>11.875000000000004</v>
      </c>
      <c r="BR46">
        <v>21</v>
      </c>
      <c r="BS46">
        <v>-2.0625</v>
      </c>
      <c r="BT46">
        <v>-4</v>
      </c>
      <c r="BU46">
        <v>3.3125</v>
      </c>
      <c r="BV46">
        <v>0.75</v>
      </c>
      <c r="BW46">
        <v>-2.6875</v>
      </c>
      <c r="BX46">
        <v>-30.4375</v>
      </c>
      <c r="BY46">
        <v>17.375</v>
      </c>
      <c r="BZ46">
        <v>13.1875</v>
      </c>
      <c r="CA46">
        <v>-2.8125</v>
      </c>
      <c r="CB46">
        <v>20</v>
      </c>
      <c r="CC46">
        <v>-1.0550000000000002</v>
      </c>
      <c r="CD46">
        <v>-0.88537499999999958</v>
      </c>
      <c r="CE46">
        <v>-47.8125</v>
      </c>
      <c r="CF46">
        <v>0.21109375000000036</v>
      </c>
    </row>
    <row r="47" spans="1:84" x14ac:dyDescent="0.2">
      <c r="A47" s="39">
        <v>43744</v>
      </c>
      <c r="B47" s="22" t="s">
        <v>381</v>
      </c>
      <c r="C47" s="41" t="s">
        <v>303</v>
      </c>
      <c r="D47" s="22" t="s">
        <v>265</v>
      </c>
      <c r="E47" s="3">
        <v>2.2000000000000002</v>
      </c>
      <c r="F47" s="3">
        <v>7.2</v>
      </c>
      <c r="G47" s="3">
        <v>3.1</v>
      </c>
      <c r="H47">
        <f>8.6+7.9+4.2</f>
        <v>20.7</v>
      </c>
      <c r="I47">
        <v>6.5</v>
      </c>
      <c r="J47">
        <v>38.5</v>
      </c>
      <c r="L47" s="1" t="s">
        <v>303</v>
      </c>
      <c r="M47">
        <v>29</v>
      </c>
      <c r="N47">
        <v>-3.5562499999999986</v>
      </c>
      <c r="O47">
        <v>-7.96875</v>
      </c>
      <c r="P47">
        <v>-20.125</v>
      </c>
      <c r="Q47">
        <v>-2.1875</v>
      </c>
      <c r="R47">
        <v>5.1749999999999998</v>
      </c>
      <c r="S47">
        <v>-8.0625</v>
      </c>
      <c r="T47">
        <v>1.3125</v>
      </c>
      <c r="U47">
        <v>19</v>
      </c>
      <c r="V47">
        <v>19.5</v>
      </c>
      <c r="W47">
        <v>-0.8125</v>
      </c>
      <c r="X47">
        <v>19</v>
      </c>
      <c r="Y47">
        <v>17.25</v>
      </c>
      <c r="Z47">
        <v>14</v>
      </c>
      <c r="AA47">
        <v>-8.2473910443931306E-2</v>
      </c>
      <c r="AB47">
        <v>21</v>
      </c>
      <c r="AC47">
        <v>-4.7636284090154957E-3</v>
      </c>
      <c r="AD47">
        <v>32</v>
      </c>
      <c r="AE47">
        <v>2.2312500000000028</v>
      </c>
      <c r="AF47">
        <v>2</v>
      </c>
      <c r="AG47">
        <v>-6.25E-2</v>
      </c>
      <c r="AH47">
        <v>-3.0625</v>
      </c>
      <c r="AI47">
        <v>-3.5625</v>
      </c>
      <c r="AJ47">
        <v>1.3125</v>
      </c>
      <c r="AK47">
        <v>-25.625</v>
      </c>
      <c r="AL47">
        <v>-20</v>
      </c>
      <c r="AM47">
        <v>-10.625</v>
      </c>
      <c r="AN47">
        <v>10.6875</v>
      </c>
      <c r="AO47">
        <v>-5.6875</v>
      </c>
      <c r="AP47">
        <v>9</v>
      </c>
      <c r="AQ47">
        <v>4.4125000000000014</v>
      </c>
      <c r="AR47">
        <v>4.3081250000000004</v>
      </c>
      <c r="AS47">
        <v>-9.375</v>
      </c>
      <c r="AT47">
        <v>-4.4125000000000014</v>
      </c>
      <c r="AU47">
        <v>-1.1296875</v>
      </c>
      <c r="AV47">
        <v>-0.49359374999999994</v>
      </c>
      <c r="AW47">
        <v>0.16265625000000011</v>
      </c>
      <c r="AX47" t="s">
        <v>265</v>
      </c>
      <c r="AY47">
        <v>29</v>
      </c>
      <c r="AZ47">
        <v>-1.5175000000000001</v>
      </c>
      <c r="BA47">
        <v>-6.1312499999999996</v>
      </c>
      <c r="BB47">
        <v>-27.8125</v>
      </c>
      <c r="BC47">
        <v>1.1875</v>
      </c>
      <c r="BD47">
        <v>0.82499999999999996</v>
      </c>
      <c r="BE47">
        <v>-0.25</v>
      </c>
      <c r="BF47">
        <v>2</v>
      </c>
      <c r="BG47">
        <v>15</v>
      </c>
      <c r="BH47">
        <v>13</v>
      </c>
      <c r="BI47">
        <v>-0.1875</v>
      </c>
      <c r="BJ47">
        <v>32</v>
      </c>
      <c r="BK47">
        <v>29.25</v>
      </c>
      <c r="BL47">
        <v>28</v>
      </c>
      <c r="BM47">
        <v>-4.4184995537152452E-2</v>
      </c>
      <c r="BN47">
        <v>29</v>
      </c>
      <c r="BO47">
        <v>3.9269433097488406E-2</v>
      </c>
      <c r="BP47">
        <v>29</v>
      </c>
      <c r="BQ47">
        <v>1.6437500000000007</v>
      </c>
      <c r="BR47">
        <v>31</v>
      </c>
      <c r="BS47">
        <v>5.5625</v>
      </c>
      <c r="BT47">
        <v>4.3125</v>
      </c>
      <c r="BU47">
        <v>-7.8125</v>
      </c>
      <c r="BV47">
        <v>0</v>
      </c>
      <c r="BW47">
        <v>-18.6875</v>
      </c>
      <c r="BX47">
        <v>17.6875</v>
      </c>
      <c r="BY47">
        <v>-30.625</v>
      </c>
      <c r="BZ47">
        <v>-1.1875</v>
      </c>
      <c r="CA47">
        <v>-4.5625</v>
      </c>
      <c r="CB47">
        <v>10</v>
      </c>
      <c r="CC47">
        <v>4.6137499999999996</v>
      </c>
      <c r="CD47">
        <v>2.9271249999999998</v>
      </c>
      <c r="CE47">
        <v>48.3125</v>
      </c>
      <c r="CF47">
        <v>-1.1498437500000001</v>
      </c>
    </row>
    <row r="48" spans="1:84" x14ac:dyDescent="0.2">
      <c r="A48" s="39">
        <v>43744</v>
      </c>
      <c r="B48" s="22" t="s">
        <v>381</v>
      </c>
      <c r="C48" s="41" t="s">
        <v>287</v>
      </c>
      <c r="D48" s="22" t="s">
        <v>278</v>
      </c>
      <c r="E48">
        <v>5.8</v>
      </c>
      <c r="F48">
        <v>13.4</v>
      </c>
      <c r="G48">
        <v>2.2999999999999998</v>
      </c>
      <c r="H48">
        <v>1.5</v>
      </c>
      <c r="I48">
        <v>-4</v>
      </c>
      <c r="J48">
        <v>46</v>
      </c>
      <c r="K48" t="s">
        <v>110</v>
      </c>
      <c r="L48" s="1" t="s">
        <v>287</v>
      </c>
      <c r="M48">
        <v>28</v>
      </c>
      <c r="N48">
        <v>-0.29625000000000012</v>
      </c>
      <c r="O48">
        <v>6.3812499999999996</v>
      </c>
      <c r="P48">
        <v>-8.8125</v>
      </c>
      <c r="Q48">
        <v>2.125</v>
      </c>
      <c r="R48">
        <v>-3.3249999999999993</v>
      </c>
      <c r="S48">
        <v>14.9375</v>
      </c>
      <c r="T48">
        <v>-1.25</v>
      </c>
      <c r="U48">
        <v>4</v>
      </c>
      <c r="V48">
        <v>7</v>
      </c>
      <c r="W48">
        <v>-3.5625</v>
      </c>
      <c r="X48">
        <v>10</v>
      </c>
      <c r="Y48">
        <v>12.75</v>
      </c>
      <c r="Z48">
        <v>24</v>
      </c>
      <c r="AA48">
        <v>5.6148618558789984E-2</v>
      </c>
      <c r="AB48">
        <v>12</v>
      </c>
      <c r="AC48">
        <v>8.5061476531864775E-3</v>
      </c>
      <c r="AD48">
        <v>7</v>
      </c>
      <c r="AE48">
        <v>11.531250000000002</v>
      </c>
      <c r="AF48">
        <v>8</v>
      </c>
      <c r="AG48">
        <v>0.8125</v>
      </c>
      <c r="AH48">
        <v>-1.25</v>
      </c>
      <c r="AI48">
        <v>-3.125</v>
      </c>
      <c r="AJ48">
        <v>-1.75</v>
      </c>
      <c r="AK48">
        <v>10.0625</v>
      </c>
      <c r="AL48">
        <v>37.8125</v>
      </c>
      <c r="AM48">
        <v>-13.375</v>
      </c>
      <c r="AN48">
        <v>-5.4375</v>
      </c>
      <c r="AO48">
        <v>-8.9375</v>
      </c>
      <c r="AP48">
        <v>27</v>
      </c>
      <c r="AQ48">
        <v>-6.6775000000000002</v>
      </c>
      <c r="AR48">
        <v>-3.9148749999999994</v>
      </c>
      <c r="AS48">
        <v>51.1875</v>
      </c>
      <c r="AT48">
        <v>6.6775000000000002</v>
      </c>
      <c r="AU48">
        <v>0.3293750000000002</v>
      </c>
      <c r="AV48">
        <v>0.227109375</v>
      </c>
      <c r="AW48">
        <v>0.48531250000000004</v>
      </c>
      <c r="AX48" t="s">
        <v>278</v>
      </c>
      <c r="AY48">
        <v>15</v>
      </c>
      <c r="AZ48">
        <v>-3.5612500000000007</v>
      </c>
      <c r="BA48">
        <v>7.9874999999999998</v>
      </c>
      <c r="BB48">
        <v>46.5</v>
      </c>
      <c r="BC48">
        <v>-2.1875</v>
      </c>
      <c r="BD48">
        <v>-8.8625000000000007</v>
      </c>
      <c r="BE48">
        <v>-23.125</v>
      </c>
      <c r="BF48">
        <v>-2</v>
      </c>
      <c r="BG48">
        <v>9</v>
      </c>
      <c r="BH48">
        <v>9.5</v>
      </c>
      <c r="BI48">
        <v>-1.9375</v>
      </c>
      <c r="BJ48">
        <v>12</v>
      </c>
      <c r="BK48">
        <v>14.5</v>
      </c>
      <c r="BL48">
        <v>25</v>
      </c>
      <c r="BM48">
        <v>-2.552080867802195E-2</v>
      </c>
      <c r="BN48">
        <v>6</v>
      </c>
      <c r="BO48">
        <v>-2.2886453811001312E-2</v>
      </c>
      <c r="BP48">
        <v>10</v>
      </c>
      <c r="BQ48">
        <v>-5.2249999999999979</v>
      </c>
      <c r="BR48">
        <v>17</v>
      </c>
      <c r="BS48">
        <v>-3.75</v>
      </c>
      <c r="BT48">
        <v>-1</v>
      </c>
      <c r="BU48">
        <v>4.5</v>
      </c>
      <c r="BV48">
        <v>-0.875</v>
      </c>
      <c r="BW48">
        <v>14.1875</v>
      </c>
      <c r="BX48">
        <v>-25.75</v>
      </c>
      <c r="BY48">
        <v>43.625</v>
      </c>
      <c r="BZ48">
        <v>4.6875</v>
      </c>
      <c r="CA48">
        <v>-8.375</v>
      </c>
      <c r="CB48">
        <v>31</v>
      </c>
      <c r="CC48">
        <v>-11.54875</v>
      </c>
      <c r="CD48">
        <v>-6.4785000000000004</v>
      </c>
      <c r="CE48">
        <v>-69.375</v>
      </c>
      <c r="CF48">
        <v>-3.1093750000000031E-2</v>
      </c>
    </row>
    <row r="49" spans="1:84" x14ac:dyDescent="0.2">
      <c r="A49" s="39">
        <v>43744</v>
      </c>
      <c r="B49" s="26" t="s">
        <v>381</v>
      </c>
      <c r="C49" s="41" t="s">
        <v>304</v>
      </c>
      <c r="D49" s="26" t="s">
        <v>308</v>
      </c>
      <c r="E49" s="14">
        <v>29.7</v>
      </c>
      <c r="F49">
        <v>9.8000000000000007</v>
      </c>
      <c r="G49">
        <v>6.6</v>
      </c>
      <c r="H49" s="14">
        <f>23.6+7.7</f>
        <v>31.3</v>
      </c>
      <c r="I49">
        <v>1.5</v>
      </c>
      <c r="J49">
        <v>49</v>
      </c>
      <c r="K49" s="35"/>
      <c r="L49" s="1" t="s">
        <v>304</v>
      </c>
      <c r="M49">
        <v>25</v>
      </c>
      <c r="N49">
        <v>-1.8062500000000008</v>
      </c>
      <c r="O49">
        <v>2.1125000000000016</v>
      </c>
      <c r="P49">
        <v>4.8125</v>
      </c>
      <c r="Q49">
        <v>-0.625</v>
      </c>
      <c r="R49">
        <v>17.512499999999999</v>
      </c>
      <c r="S49">
        <v>68.5</v>
      </c>
      <c r="T49">
        <v>9.1875</v>
      </c>
      <c r="U49">
        <v>16</v>
      </c>
      <c r="V49">
        <v>15.5</v>
      </c>
      <c r="W49">
        <v>-0.3125</v>
      </c>
      <c r="X49">
        <v>23</v>
      </c>
      <c r="Y49">
        <v>20.5</v>
      </c>
      <c r="Z49">
        <v>32</v>
      </c>
      <c r="AA49">
        <v>3.7003244735545643E-2</v>
      </c>
      <c r="AB49">
        <v>29</v>
      </c>
      <c r="AC49">
        <v>-3.4302893118874883E-2</v>
      </c>
      <c r="AD49">
        <v>8</v>
      </c>
      <c r="AE49">
        <v>-3.9312499999999986</v>
      </c>
      <c r="AF49">
        <v>13</v>
      </c>
      <c r="AG49">
        <v>-1.125</v>
      </c>
      <c r="AH49">
        <v>4.75</v>
      </c>
      <c r="AI49">
        <v>5.75</v>
      </c>
      <c r="AJ49">
        <v>-0.25</v>
      </c>
      <c r="AK49">
        <v>43.875</v>
      </c>
      <c r="AL49">
        <v>49.75</v>
      </c>
      <c r="AM49">
        <v>3.0625</v>
      </c>
      <c r="AN49">
        <v>7.8125</v>
      </c>
      <c r="AO49">
        <v>-16.75</v>
      </c>
      <c r="AP49">
        <v>26</v>
      </c>
      <c r="AQ49">
        <v>-3.918750000000002</v>
      </c>
      <c r="AR49">
        <v>2.0849999999999995</v>
      </c>
      <c r="AS49">
        <v>46.6875</v>
      </c>
      <c r="AT49">
        <v>3.9187500000000024</v>
      </c>
      <c r="AU49">
        <v>2.7195312499999997</v>
      </c>
      <c r="AV49">
        <v>-0.1513281250000004</v>
      </c>
      <c r="AW49">
        <v>-0.20390625000000051</v>
      </c>
      <c r="AX49" t="s">
        <v>308</v>
      </c>
      <c r="AY49">
        <v>17</v>
      </c>
      <c r="AZ49">
        <v>1.4249999999999994</v>
      </c>
      <c r="BA49">
        <v>-1.0212500000000009</v>
      </c>
      <c r="BB49">
        <v>-11.4375</v>
      </c>
      <c r="BC49">
        <v>0.1875</v>
      </c>
      <c r="BD49">
        <v>1.118749999999999</v>
      </c>
      <c r="BE49">
        <v>-22.4375</v>
      </c>
      <c r="BF49">
        <v>-0.8125</v>
      </c>
      <c r="BG49">
        <v>12</v>
      </c>
      <c r="BH49">
        <v>12.5</v>
      </c>
      <c r="BI49">
        <v>0.875</v>
      </c>
      <c r="BJ49">
        <v>21</v>
      </c>
      <c r="BK49">
        <v>17.25</v>
      </c>
      <c r="BL49">
        <v>30</v>
      </c>
      <c r="BM49">
        <v>2.6924081064694919E-2</v>
      </c>
      <c r="BN49">
        <v>28</v>
      </c>
      <c r="BO49">
        <v>-8.6634742761005565E-3</v>
      </c>
      <c r="BP49">
        <v>4</v>
      </c>
      <c r="BQ49">
        <v>6.6125000000000025</v>
      </c>
      <c r="BR49">
        <v>7</v>
      </c>
      <c r="BS49">
        <v>0.875</v>
      </c>
      <c r="BT49">
        <v>-2.75</v>
      </c>
      <c r="BU49">
        <v>0.4375</v>
      </c>
      <c r="BV49">
        <v>2.625</v>
      </c>
      <c r="BW49">
        <v>-8.3125</v>
      </c>
      <c r="BX49">
        <v>-7.9375</v>
      </c>
      <c r="BY49">
        <v>-7.375</v>
      </c>
      <c r="BZ49">
        <v>1.5625</v>
      </c>
      <c r="CA49">
        <v>5.4375</v>
      </c>
      <c r="CB49">
        <v>13</v>
      </c>
      <c r="CC49">
        <v>2.44625</v>
      </c>
      <c r="CD49">
        <v>1.0193750000000001</v>
      </c>
      <c r="CE49">
        <v>-0.5625</v>
      </c>
      <c r="CF49">
        <v>-9.8750000000000282E-2</v>
      </c>
    </row>
    <row r="50" spans="1:84" x14ac:dyDescent="0.2">
      <c r="A50" s="39">
        <v>43744</v>
      </c>
      <c r="B50" s="22" t="s">
        <v>381</v>
      </c>
      <c r="C50" s="41" t="s">
        <v>312</v>
      </c>
      <c r="D50" s="22" t="s">
        <v>296</v>
      </c>
      <c r="E50">
        <v>35</v>
      </c>
      <c r="F50">
        <v>7.4</v>
      </c>
      <c r="G50">
        <v>8.3000000000000007</v>
      </c>
      <c r="H50">
        <v>1.4</v>
      </c>
      <c r="I50" s="8">
        <v>-5.5</v>
      </c>
      <c r="J50" s="8">
        <v>44</v>
      </c>
      <c r="K50" t="s">
        <v>110</v>
      </c>
      <c r="L50" s="1" t="s">
        <v>312</v>
      </c>
      <c r="M50">
        <v>16</v>
      </c>
      <c r="N50">
        <v>-5.3337500000000002</v>
      </c>
      <c r="O50">
        <v>8.3249999999999993</v>
      </c>
      <c r="P50">
        <v>45.5625</v>
      </c>
      <c r="Q50">
        <v>-2.1875</v>
      </c>
      <c r="R50">
        <v>-11.36875</v>
      </c>
      <c r="S50">
        <v>-29.5</v>
      </c>
      <c r="T50">
        <v>-7.5</v>
      </c>
      <c r="U50">
        <v>26</v>
      </c>
      <c r="V50">
        <v>25</v>
      </c>
      <c r="W50">
        <v>1.5625</v>
      </c>
      <c r="X50">
        <v>28</v>
      </c>
      <c r="Y50">
        <v>24.5</v>
      </c>
      <c r="Z50">
        <v>22</v>
      </c>
      <c r="AA50">
        <v>0.10377375237813549</v>
      </c>
      <c r="AB50">
        <v>27</v>
      </c>
      <c r="AC50">
        <v>3.2291147115255589E-3</v>
      </c>
      <c r="AD50">
        <v>22</v>
      </c>
      <c r="AE50">
        <v>13.993749999999997</v>
      </c>
      <c r="AF50">
        <v>27</v>
      </c>
      <c r="AG50">
        <v>-0.3125</v>
      </c>
      <c r="AH50">
        <v>-6.875</v>
      </c>
      <c r="AI50">
        <v>1.3125</v>
      </c>
      <c r="AJ50">
        <v>0</v>
      </c>
      <c r="AK50">
        <v>-11.125</v>
      </c>
      <c r="AL50">
        <v>-61.9375</v>
      </c>
      <c r="AM50">
        <v>49.125</v>
      </c>
      <c r="AN50">
        <v>0.625</v>
      </c>
      <c r="AO50">
        <v>1.0625</v>
      </c>
      <c r="AP50">
        <v>31</v>
      </c>
      <c r="AQ50">
        <v>-13.658750000000001</v>
      </c>
      <c r="AR50">
        <v>-7.5030000000000001</v>
      </c>
      <c r="AS50">
        <v>-111.0625</v>
      </c>
      <c r="AT50">
        <v>13.65875</v>
      </c>
      <c r="AU50">
        <v>-1.1174999999999999</v>
      </c>
      <c r="AV50">
        <v>8.414062500000008E-2</v>
      </c>
      <c r="AW50">
        <v>-0.31296875000000007</v>
      </c>
      <c r="AX50" t="s">
        <v>296</v>
      </c>
      <c r="AY50">
        <v>5</v>
      </c>
      <c r="AZ50">
        <v>2.3124999999999996</v>
      </c>
      <c r="BA50">
        <v>-2.4749999999999996</v>
      </c>
      <c r="BB50">
        <v>-1.5625</v>
      </c>
      <c r="BC50">
        <v>-2.1875</v>
      </c>
      <c r="BD50">
        <v>3.950000000000002</v>
      </c>
      <c r="BE50">
        <v>22</v>
      </c>
      <c r="BF50">
        <v>-2.5</v>
      </c>
      <c r="BG50">
        <v>2</v>
      </c>
      <c r="BH50">
        <v>3</v>
      </c>
      <c r="BI50">
        <v>-0.25</v>
      </c>
      <c r="BJ50">
        <v>29</v>
      </c>
      <c r="BK50">
        <v>24</v>
      </c>
      <c r="BL50">
        <v>11</v>
      </c>
      <c r="BM50">
        <v>-3.7839309191765716E-2</v>
      </c>
      <c r="BN50">
        <v>27</v>
      </c>
      <c r="BO50">
        <v>1.3561227098648571E-2</v>
      </c>
      <c r="BP50">
        <v>31</v>
      </c>
      <c r="BQ50">
        <v>-5.7687500000000007</v>
      </c>
      <c r="BR50">
        <v>27</v>
      </c>
      <c r="BS50">
        <v>-2.1875</v>
      </c>
      <c r="BT50">
        <v>-1.1875</v>
      </c>
      <c r="BU50">
        <v>1.875</v>
      </c>
      <c r="BV50">
        <v>-0.875</v>
      </c>
      <c r="BW50">
        <v>15.8125</v>
      </c>
      <c r="BX50">
        <v>19.4375</v>
      </c>
      <c r="BY50">
        <v>-1.625</v>
      </c>
      <c r="BZ50">
        <v>0.4375</v>
      </c>
      <c r="CA50">
        <v>-2.4375</v>
      </c>
      <c r="CB50">
        <v>9</v>
      </c>
      <c r="CC50">
        <v>4.7874999999999996</v>
      </c>
      <c r="CD50">
        <v>2.4900000000000002</v>
      </c>
      <c r="CE50">
        <v>21.0625</v>
      </c>
      <c r="CF50">
        <v>0.48125000000000023</v>
      </c>
    </row>
    <row r="51" spans="1:84" x14ac:dyDescent="0.2">
      <c r="A51" s="39">
        <v>43744</v>
      </c>
      <c r="B51" s="22" t="s">
        <v>381</v>
      </c>
      <c r="C51" s="41" t="s">
        <v>302</v>
      </c>
      <c r="D51" s="22" t="s">
        <v>306</v>
      </c>
      <c r="E51">
        <v>28</v>
      </c>
      <c r="F51" s="14">
        <v>10.9</v>
      </c>
      <c r="G51">
        <v>0</v>
      </c>
      <c r="H51">
        <f>11.9+3.2</f>
        <v>15.100000000000001</v>
      </c>
      <c r="I51">
        <v>-15.5</v>
      </c>
      <c r="J51">
        <v>42</v>
      </c>
      <c r="L51" s="1" t="s">
        <v>302</v>
      </c>
      <c r="M51">
        <v>18</v>
      </c>
      <c r="N51">
        <v>0.68750000000000111</v>
      </c>
      <c r="O51">
        <v>-3.2749999999999995</v>
      </c>
      <c r="P51">
        <v>-31.75</v>
      </c>
      <c r="Q51">
        <v>0.9375</v>
      </c>
      <c r="R51">
        <v>-1.17875</v>
      </c>
      <c r="S51">
        <v>-14.5</v>
      </c>
      <c r="T51">
        <v>-1.0625</v>
      </c>
      <c r="U51">
        <v>2</v>
      </c>
      <c r="V51">
        <v>5</v>
      </c>
      <c r="W51">
        <v>7.375</v>
      </c>
      <c r="X51">
        <v>27</v>
      </c>
      <c r="Y51">
        <v>23.25</v>
      </c>
      <c r="Z51">
        <v>23</v>
      </c>
      <c r="AA51">
        <v>-4.3647272099159848E-2</v>
      </c>
      <c r="AB51">
        <v>26</v>
      </c>
      <c r="AC51">
        <v>-2.5718117579474509E-2</v>
      </c>
      <c r="AD51">
        <v>23</v>
      </c>
      <c r="AE51">
        <v>-15.481249999999999</v>
      </c>
      <c r="AF51">
        <v>21</v>
      </c>
      <c r="AG51">
        <v>-1.5</v>
      </c>
      <c r="AH51">
        <v>1.0625</v>
      </c>
      <c r="AI51">
        <v>2.0625</v>
      </c>
      <c r="AJ51">
        <v>2.5</v>
      </c>
      <c r="AK51">
        <v>-14.6875</v>
      </c>
      <c r="AL51">
        <v>9.25</v>
      </c>
      <c r="AM51">
        <v>-20.8125</v>
      </c>
      <c r="AN51">
        <v>3.5625</v>
      </c>
      <c r="AO51">
        <v>-6.6875</v>
      </c>
      <c r="AP51">
        <v>10</v>
      </c>
      <c r="AQ51">
        <v>3.9625000000000012</v>
      </c>
      <c r="AR51">
        <v>1.53925</v>
      </c>
      <c r="AS51">
        <v>30.0625</v>
      </c>
      <c r="AT51">
        <v>-3.9625000000000004</v>
      </c>
      <c r="AU51">
        <v>-0.33015624999999987</v>
      </c>
      <c r="AV51">
        <v>-0.42484374999999974</v>
      </c>
      <c r="AW51">
        <v>-2.0526562500000001</v>
      </c>
      <c r="AX51" t="s">
        <v>306</v>
      </c>
      <c r="AY51">
        <v>22</v>
      </c>
      <c r="AZ51">
        <v>2.88625</v>
      </c>
      <c r="BA51">
        <v>-1.9187499999999986</v>
      </c>
      <c r="BB51">
        <v>-2.3958333333333348</v>
      </c>
      <c r="BC51">
        <v>-1.1875</v>
      </c>
      <c r="BD51">
        <v>8.4062500000000036</v>
      </c>
      <c r="BE51">
        <v>9.375</v>
      </c>
      <c r="BF51">
        <v>-0.3125</v>
      </c>
      <c r="BG51">
        <v>12</v>
      </c>
      <c r="BH51">
        <v>12.5</v>
      </c>
      <c r="BI51">
        <v>3.875</v>
      </c>
      <c r="BJ51">
        <v>3</v>
      </c>
      <c r="BK51">
        <v>8</v>
      </c>
      <c r="BL51">
        <v>13</v>
      </c>
      <c r="BM51">
        <v>-2.2658186774165881E-2</v>
      </c>
      <c r="BN51">
        <v>2</v>
      </c>
      <c r="BO51">
        <v>-2.3435810295597418E-3</v>
      </c>
      <c r="BP51">
        <v>9</v>
      </c>
      <c r="BQ51">
        <v>17.350000000000001</v>
      </c>
      <c r="BR51">
        <v>8</v>
      </c>
      <c r="BS51">
        <v>-1.25</v>
      </c>
      <c r="BT51">
        <v>1.375</v>
      </c>
      <c r="BU51">
        <v>3.75</v>
      </c>
      <c r="BV51">
        <v>2.625</v>
      </c>
      <c r="BW51">
        <v>33.1875</v>
      </c>
      <c r="BX51">
        <v>6.5625</v>
      </c>
      <c r="BY51">
        <v>11.0625</v>
      </c>
      <c r="BZ51">
        <v>3.8125</v>
      </c>
      <c r="CA51">
        <v>11.75</v>
      </c>
      <c r="CB51">
        <v>8</v>
      </c>
      <c r="CC51">
        <v>4.8049999999999988</v>
      </c>
      <c r="CD51">
        <v>3.2178749999999998</v>
      </c>
      <c r="CE51">
        <v>-4.5</v>
      </c>
      <c r="CF51">
        <v>1.2029687500000006</v>
      </c>
    </row>
    <row r="52" spans="1:84" x14ac:dyDescent="0.2">
      <c r="A52" s="39">
        <v>43744</v>
      </c>
      <c r="B52" s="22" t="s">
        <v>381</v>
      </c>
      <c r="C52" s="41" t="s">
        <v>307</v>
      </c>
      <c r="D52" s="22" t="s">
        <v>284</v>
      </c>
      <c r="E52">
        <v>44.2</v>
      </c>
      <c r="F52">
        <v>11.6</v>
      </c>
      <c r="G52">
        <v>0</v>
      </c>
      <c r="H52">
        <f>14.1+6.9</f>
        <v>21</v>
      </c>
      <c r="I52">
        <v>-3</v>
      </c>
      <c r="J52">
        <v>46</v>
      </c>
      <c r="L52" s="1" t="s">
        <v>307</v>
      </c>
      <c r="M52">
        <v>17</v>
      </c>
      <c r="N52">
        <v>-0.26875000000000115</v>
      </c>
      <c r="O52">
        <v>0.61250000000000093</v>
      </c>
      <c r="P52">
        <v>8.9375</v>
      </c>
      <c r="Q52">
        <v>-0.625</v>
      </c>
      <c r="R52">
        <v>-6.0249999999999986</v>
      </c>
      <c r="S52">
        <v>-24.75</v>
      </c>
      <c r="T52">
        <v>-3.75</v>
      </c>
      <c r="U52">
        <v>4</v>
      </c>
      <c r="V52">
        <v>7</v>
      </c>
      <c r="W52">
        <v>2.5</v>
      </c>
      <c r="X52">
        <v>32</v>
      </c>
      <c r="Y52">
        <v>29.5</v>
      </c>
      <c r="Z52">
        <v>30</v>
      </c>
      <c r="AA52">
        <v>-2.3869973650483947E-2</v>
      </c>
      <c r="AB52">
        <v>28</v>
      </c>
      <c r="AC52">
        <v>-7.8929538436459702E-3</v>
      </c>
      <c r="AD52">
        <v>31</v>
      </c>
      <c r="AE52">
        <v>9.1937500000000014</v>
      </c>
      <c r="AF52">
        <v>29</v>
      </c>
      <c r="AG52">
        <v>-2.0625</v>
      </c>
      <c r="AH52">
        <v>-3.6875</v>
      </c>
      <c r="AI52">
        <v>-1.625</v>
      </c>
      <c r="AJ52">
        <v>2.1875</v>
      </c>
      <c r="AK52">
        <v>-13.8125</v>
      </c>
      <c r="AL52">
        <v>-23.25</v>
      </c>
      <c r="AM52">
        <v>7.1875</v>
      </c>
      <c r="AN52">
        <v>-0.5</v>
      </c>
      <c r="AO52">
        <v>2.75</v>
      </c>
      <c r="AP52">
        <v>20</v>
      </c>
      <c r="AQ52">
        <v>-0.88125000000000209</v>
      </c>
      <c r="AR52">
        <v>-1.5650000000000004</v>
      </c>
      <c r="AS52">
        <v>-30.4375</v>
      </c>
      <c r="AT52">
        <v>0.88125000000000209</v>
      </c>
      <c r="AU52">
        <v>-0.44453124999999982</v>
      </c>
      <c r="AV52">
        <v>0.48656250000000006</v>
      </c>
      <c r="AW52">
        <v>-0.5673437499999997</v>
      </c>
      <c r="AX52" t="s">
        <v>284</v>
      </c>
      <c r="AY52">
        <v>4</v>
      </c>
      <c r="AZ52">
        <v>6.1174999999999997</v>
      </c>
      <c r="BA52">
        <v>-10.475000000000001</v>
      </c>
      <c r="BB52">
        <v>-61.916666666666664</v>
      </c>
      <c r="BC52">
        <v>1.6666666666666667</v>
      </c>
      <c r="BD52">
        <v>13.68125</v>
      </c>
      <c r="BE52">
        <v>70.4375</v>
      </c>
      <c r="BF52">
        <v>7.875</v>
      </c>
      <c r="BG52">
        <v>16</v>
      </c>
      <c r="BH52">
        <v>14</v>
      </c>
      <c r="BI52">
        <v>1.625</v>
      </c>
      <c r="BJ52">
        <v>10</v>
      </c>
      <c r="BK52">
        <v>13.25</v>
      </c>
      <c r="BL52">
        <v>9</v>
      </c>
      <c r="BM52">
        <v>4.2310847394900111E-2</v>
      </c>
      <c r="BN52">
        <v>26</v>
      </c>
      <c r="BO52">
        <v>1.2275670410929539E-2</v>
      </c>
      <c r="BP52">
        <v>6</v>
      </c>
      <c r="BQ52">
        <v>7.1999999999999993</v>
      </c>
      <c r="BR52">
        <v>12</v>
      </c>
      <c r="BS52">
        <v>3.875</v>
      </c>
      <c r="BT52">
        <v>1.5625</v>
      </c>
      <c r="BU52">
        <v>-1.25</v>
      </c>
      <c r="BV52">
        <v>3.875</v>
      </c>
      <c r="BW52">
        <v>-10.375</v>
      </c>
      <c r="BX52">
        <v>64.5625</v>
      </c>
      <c r="BY52">
        <v>-70.125</v>
      </c>
      <c r="BZ52">
        <v>-5.75</v>
      </c>
      <c r="CA52">
        <v>0.9375</v>
      </c>
      <c r="CB52">
        <v>1</v>
      </c>
      <c r="CC52">
        <v>16.592500000000001</v>
      </c>
      <c r="CD52">
        <v>9.1972500000000004</v>
      </c>
      <c r="CE52">
        <v>134.6875</v>
      </c>
      <c r="CF52">
        <v>1.5404687499999998</v>
      </c>
    </row>
    <row r="53" spans="1:84" x14ac:dyDescent="0.2">
      <c r="A53" s="39">
        <v>43744</v>
      </c>
      <c r="B53" s="28" t="s">
        <v>381</v>
      </c>
      <c r="C53" s="41" t="s">
        <v>296</v>
      </c>
      <c r="D53" s="28" t="s">
        <v>312</v>
      </c>
      <c r="E53" s="3">
        <v>9.6999999999999993</v>
      </c>
      <c r="F53" s="3">
        <v>4.3</v>
      </c>
      <c r="G53" s="3">
        <v>16.2</v>
      </c>
      <c r="H53" s="3">
        <v>12</v>
      </c>
      <c r="I53" s="3">
        <v>5.5</v>
      </c>
      <c r="J53" s="3">
        <v>44</v>
      </c>
      <c r="K53" t="s">
        <v>110</v>
      </c>
      <c r="L53" s="1" t="s">
        <v>296</v>
      </c>
      <c r="M53">
        <v>9</v>
      </c>
      <c r="N53">
        <v>3.13375</v>
      </c>
      <c r="O53">
        <v>2.8687500000000008</v>
      </c>
      <c r="P53">
        <v>14</v>
      </c>
      <c r="Q53">
        <v>-0.6875</v>
      </c>
      <c r="R53">
        <v>3.59375</v>
      </c>
      <c r="S53">
        <v>19.3125</v>
      </c>
      <c r="T53">
        <v>-0.375</v>
      </c>
      <c r="U53">
        <v>28</v>
      </c>
      <c r="V53">
        <v>27.5</v>
      </c>
      <c r="W53">
        <v>-2.375</v>
      </c>
      <c r="X53">
        <v>2</v>
      </c>
      <c r="Y53">
        <v>7.5</v>
      </c>
      <c r="Z53">
        <v>3</v>
      </c>
      <c r="AA53">
        <v>2.2311277933480887E-2</v>
      </c>
      <c r="AB53">
        <v>16</v>
      </c>
      <c r="AC53">
        <v>-1.0591404744577763E-2</v>
      </c>
      <c r="AD53">
        <v>10</v>
      </c>
      <c r="AE53">
        <v>-11.112499999999999</v>
      </c>
      <c r="AF53">
        <v>1</v>
      </c>
      <c r="AG53">
        <v>-0.25</v>
      </c>
      <c r="AH53">
        <v>0.125</v>
      </c>
      <c r="AI53">
        <v>1.1875</v>
      </c>
      <c r="AJ53">
        <v>-1.5625</v>
      </c>
      <c r="AK53">
        <v>54.25</v>
      </c>
      <c r="AL53">
        <v>22.25</v>
      </c>
      <c r="AM53">
        <v>17.6875</v>
      </c>
      <c r="AN53">
        <v>7.1875</v>
      </c>
      <c r="AO53">
        <v>7.125</v>
      </c>
      <c r="AP53">
        <v>18</v>
      </c>
      <c r="AQ53">
        <v>0.26499999999999924</v>
      </c>
      <c r="AR53">
        <v>-8.8875000000000259E-2</v>
      </c>
      <c r="AS53">
        <v>4.5625</v>
      </c>
      <c r="AT53">
        <v>-0.26499999999999924</v>
      </c>
      <c r="AU53">
        <v>0.87921875000000016</v>
      </c>
      <c r="AV53">
        <v>8.414062500000008E-2</v>
      </c>
      <c r="AW53">
        <v>0.48125000000000023</v>
      </c>
      <c r="AX53" t="s">
        <v>312</v>
      </c>
      <c r="AY53">
        <v>7</v>
      </c>
      <c r="AZ53">
        <v>3.374999999999817E-2</v>
      </c>
      <c r="BA53">
        <v>1.5249999999999999</v>
      </c>
      <c r="BB53">
        <v>11.375</v>
      </c>
      <c r="BC53">
        <v>1</v>
      </c>
      <c r="BD53">
        <v>-1.5624999999999987</v>
      </c>
      <c r="BE53">
        <v>-9.375</v>
      </c>
      <c r="BF53">
        <v>-0.125</v>
      </c>
      <c r="BG53">
        <v>11</v>
      </c>
      <c r="BH53">
        <v>12</v>
      </c>
      <c r="BI53">
        <v>-0.3125</v>
      </c>
      <c r="BJ53">
        <v>7</v>
      </c>
      <c r="BK53">
        <v>12.25</v>
      </c>
      <c r="BL53">
        <v>19</v>
      </c>
      <c r="BM53">
        <v>5.4742186902560164E-2</v>
      </c>
      <c r="BN53">
        <v>13</v>
      </c>
      <c r="BO53">
        <v>1.609280693807278E-2</v>
      </c>
      <c r="BP53">
        <v>1</v>
      </c>
      <c r="BQ53">
        <v>-3.0499999999999972</v>
      </c>
      <c r="BR53">
        <v>16</v>
      </c>
      <c r="BS53">
        <v>1.5625</v>
      </c>
      <c r="BT53">
        <v>3.3125</v>
      </c>
      <c r="BU53">
        <v>-2.125</v>
      </c>
      <c r="BV53">
        <v>-0.875</v>
      </c>
      <c r="BW53">
        <v>-13.125</v>
      </c>
      <c r="BX53">
        <v>-14.3125</v>
      </c>
      <c r="BY53">
        <v>11.75</v>
      </c>
      <c r="BZ53">
        <v>-8.5625</v>
      </c>
      <c r="CA53">
        <v>-2</v>
      </c>
      <c r="CB53">
        <v>21</v>
      </c>
      <c r="CC53">
        <v>-1.4912500000000017</v>
      </c>
      <c r="CD53">
        <v>-1.0682499999999999</v>
      </c>
      <c r="CE53">
        <v>-26.0625</v>
      </c>
      <c r="CF53">
        <v>-0.31296875000000007</v>
      </c>
    </row>
    <row r="54" spans="1:84" x14ac:dyDescent="0.2">
      <c r="A54" s="39">
        <v>43744</v>
      </c>
      <c r="B54" s="28" t="s">
        <v>381</v>
      </c>
      <c r="C54" s="41" t="s">
        <v>298</v>
      </c>
      <c r="D54" s="28" t="s">
        <v>294</v>
      </c>
      <c r="E54" s="3">
        <v>3</v>
      </c>
      <c r="F54" s="3">
        <v>2.6</v>
      </c>
      <c r="G54" s="3">
        <v>8.6999999999999993</v>
      </c>
      <c r="H54" s="3">
        <v>1.2</v>
      </c>
      <c r="I54" s="3">
        <v>14</v>
      </c>
      <c r="J54" s="3">
        <v>43</v>
      </c>
      <c r="K54" s="3"/>
      <c r="L54" s="1" t="s">
        <v>298</v>
      </c>
      <c r="M54">
        <v>21</v>
      </c>
      <c r="N54">
        <v>-9.52</v>
      </c>
      <c r="O54">
        <v>1.0875000000000008</v>
      </c>
      <c r="P54">
        <v>1.375</v>
      </c>
      <c r="Q54">
        <v>1.96875</v>
      </c>
      <c r="R54">
        <v>-21</v>
      </c>
      <c r="S54">
        <v>-86.5</v>
      </c>
      <c r="T54">
        <v>-7.25</v>
      </c>
      <c r="U54">
        <v>14</v>
      </c>
      <c r="V54">
        <v>13.5</v>
      </c>
      <c r="W54">
        <v>2.625</v>
      </c>
      <c r="X54">
        <v>8</v>
      </c>
      <c r="Y54">
        <v>12</v>
      </c>
      <c r="Z54">
        <v>2</v>
      </c>
      <c r="AA54">
        <v>9.2541107826202368E-2</v>
      </c>
      <c r="AB54">
        <v>17</v>
      </c>
      <c r="AC54">
        <v>9.235518978510357E-2</v>
      </c>
      <c r="AD54">
        <v>12</v>
      </c>
      <c r="AE54">
        <v>15.2125</v>
      </c>
      <c r="AF54">
        <v>17</v>
      </c>
      <c r="AG54">
        <v>7.25</v>
      </c>
      <c r="AH54">
        <v>-5.125</v>
      </c>
      <c r="AI54">
        <v>-11</v>
      </c>
      <c r="AJ54">
        <v>2.875</v>
      </c>
      <c r="AK54">
        <v>-114.4375</v>
      </c>
      <c r="AL54">
        <v>-98.5</v>
      </c>
      <c r="AM54">
        <v>-5.1875</v>
      </c>
      <c r="AN54">
        <v>1.25</v>
      </c>
      <c r="AO54">
        <v>-12</v>
      </c>
      <c r="AP54">
        <v>29</v>
      </c>
      <c r="AQ54">
        <v>-10.6075</v>
      </c>
      <c r="AR54">
        <v>-6.6477500000000012</v>
      </c>
      <c r="AS54">
        <v>-93.3125</v>
      </c>
      <c r="AT54">
        <v>10.6075</v>
      </c>
      <c r="AU54">
        <v>-4.2103124999999997</v>
      </c>
      <c r="AV54">
        <v>0.90898437500000029</v>
      </c>
      <c r="AW54">
        <v>-0.18249999999999988</v>
      </c>
      <c r="AX54" t="s">
        <v>294</v>
      </c>
      <c r="AY54">
        <v>30</v>
      </c>
      <c r="AZ54">
        <v>4.3099999999999996</v>
      </c>
      <c r="BA54">
        <v>-1.7937499999999991</v>
      </c>
      <c r="BB54">
        <v>-32.8125</v>
      </c>
      <c r="BC54">
        <v>1.40625</v>
      </c>
      <c r="BD54">
        <v>10.612500000000004</v>
      </c>
      <c r="BE54">
        <v>43.5</v>
      </c>
      <c r="BF54">
        <v>3.8125</v>
      </c>
      <c r="BG54">
        <v>31</v>
      </c>
      <c r="BH54">
        <v>28.5</v>
      </c>
      <c r="BI54">
        <v>-0.6875</v>
      </c>
      <c r="BJ54">
        <v>4</v>
      </c>
      <c r="BK54">
        <v>8.75</v>
      </c>
      <c r="BL54">
        <v>3</v>
      </c>
      <c r="BM54">
        <v>3.9893190126744665E-2</v>
      </c>
      <c r="BN54">
        <v>4</v>
      </c>
      <c r="BO54">
        <v>-3.30250190854234E-2</v>
      </c>
      <c r="BP54">
        <v>14</v>
      </c>
      <c r="BQ54">
        <v>3.5874999999999986</v>
      </c>
      <c r="BR54">
        <v>14</v>
      </c>
      <c r="BS54">
        <v>-4.5625</v>
      </c>
      <c r="BT54">
        <v>0.1875</v>
      </c>
      <c r="BU54">
        <v>5.0625</v>
      </c>
      <c r="BV54">
        <v>1.3125</v>
      </c>
      <c r="BW54">
        <v>24.1875</v>
      </c>
      <c r="BX54">
        <v>43.6875</v>
      </c>
      <c r="BY54">
        <v>-20.5</v>
      </c>
      <c r="BZ54">
        <v>-6.25E-2</v>
      </c>
      <c r="CA54">
        <v>1.0625</v>
      </c>
      <c r="CB54">
        <v>5</v>
      </c>
      <c r="CC54">
        <v>6.103749999999998</v>
      </c>
      <c r="CD54">
        <v>3.8813750000000002</v>
      </c>
      <c r="CE54">
        <v>64.1875</v>
      </c>
      <c r="CF54">
        <v>2.0004687500000005</v>
      </c>
    </row>
    <row r="55" spans="1:84" x14ac:dyDescent="0.2">
      <c r="A55" s="39">
        <v>43744</v>
      </c>
      <c r="B55" s="22" t="s">
        <v>381</v>
      </c>
      <c r="C55" s="41" t="s">
        <v>294</v>
      </c>
      <c r="D55" s="22" t="s">
        <v>298</v>
      </c>
      <c r="E55">
        <v>11.2</v>
      </c>
      <c r="F55">
        <v>3</v>
      </c>
      <c r="G55">
        <v>0</v>
      </c>
      <c r="H55">
        <v>18.8</v>
      </c>
      <c r="I55">
        <v>-14</v>
      </c>
      <c r="J55">
        <v>43</v>
      </c>
      <c r="L55" s="1" t="s">
        <v>294</v>
      </c>
      <c r="M55">
        <v>23</v>
      </c>
      <c r="N55">
        <v>3.6349999999999993</v>
      </c>
      <c r="O55">
        <v>-4.7249999999999996</v>
      </c>
      <c r="P55">
        <v>-13.875</v>
      </c>
      <c r="Q55">
        <v>-1</v>
      </c>
      <c r="R55">
        <v>10.356249999999999</v>
      </c>
      <c r="S55">
        <v>18.5</v>
      </c>
      <c r="T55">
        <v>6.0625</v>
      </c>
      <c r="U55">
        <v>23</v>
      </c>
      <c r="V55">
        <v>22.5</v>
      </c>
      <c r="W55">
        <v>-4.5625</v>
      </c>
      <c r="X55">
        <v>6</v>
      </c>
      <c r="Y55">
        <v>10.25</v>
      </c>
      <c r="Z55">
        <v>16</v>
      </c>
      <c r="AA55">
        <v>-2.9679942997754991E-2</v>
      </c>
      <c r="AB55">
        <v>4</v>
      </c>
      <c r="AC55">
        <v>-1.073754230047636E-2</v>
      </c>
      <c r="AD55">
        <v>6</v>
      </c>
      <c r="AE55">
        <v>2.3687499999999986</v>
      </c>
      <c r="AF55">
        <v>15</v>
      </c>
      <c r="AG55">
        <v>-0.6875</v>
      </c>
      <c r="AH55">
        <v>2.75</v>
      </c>
      <c r="AI55">
        <v>5</v>
      </c>
      <c r="AJ55">
        <v>-1.3125</v>
      </c>
      <c r="AK55">
        <v>-11.1875</v>
      </c>
      <c r="AL55">
        <v>0.875</v>
      </c>
      <c r="AM55">
        <v>-3.125</v>
      </c>
      <c r="AN55">
        <v>-3.6875</v>
      </c>
      <c r="AO55">
        <v>-5.25</v>
      </c>
      <c r="AP55">
        <v>1</v>
      </c>
      <c r="AQ55">
        <v>8.36</v>
      </c>
      <c r="AR55">
        <v>5.1607500000000002</v>
      </c>
      <c r="AS55">
        <v>4</v>
      </c>
      <c r="AT55">
        <v>-8.36</v>
      </c>
      <c r="AU55">
        <v>1.0645312499999999</v>
      </c>
      <c r="AV55">
        <v>0.90898437500000029</v>
      </c>
      <c r="AW55">
        <v>2.0004687500000005</v>
      </c>
      <c r="AX55" t="s">
        <v>298</v>
      </c>
      <c r="AY55">
        <v>9</v>
      </c>
      <c r="AZ55">
        <v>-0.9300000000000006</v>
      </c>
      <c r="BA55">
        <v>-0.85625000000000018</v>
      </c>
      <c r="BB55">
        <v>-18.3125</v>
      </c>
      <c r="BC55">
        <v>0.75</v>
      </c>
      <c r="BD55">
        <v>-0.73624999999999807</v>
      </c>
      <c r="BE55">
        <v>1.75</v>
      </c>
      <c r="BF55">
        <v>-1.1875</v>
      </c>
      <c r="BG55">
        <v>24</v>
      </c>
      <c r="BH55">
        <v>23</v>
      </c>
      <c r="BI55">
        <v>7.25</v>
      </c>
      <c r="BJ55">
        <v>23</v>
      </c>
      <c r="BK55">
        <v>20</v>
      </c>
      <c r="BL55">
        <v>32</v>
      </c>
      <c r="BM55">
        <v>1.6821021542653435E-2</v>
      </c>
      <c r="BN55">
        <v>22</v>
      </c>
      <c r="BO55">
        <v>-1.4997920054752232E-2</v>
      </c>
      <c r="BP55">
        <v>11</v>
      </c>
      <c r="BQ55">
        <v>4.84375</v>
      </c>
      <c r="BR55">
        <v>15</v>
      </c>
      <c r="BS55">
        <v>2.625</v>
      </c>
      <c r="BT55">
        <v>-2.6875</v>
      </c>
      <c r="BU55">
        <v>-1.75</v>
      </c>
      <c r="BV55">
        <v>2.1875</v>
      </c>
      <c r="BW55">
        <v>-22.75</v>
      </c>
      <c r="BX55">
        <v>7.0625</v>
      </c>
      <c r="BY55">
        <v>-27.875</v>
      </c>
      <c r="BZ55">
        <v>-0.5625</v>
      </c>
      <c r="CA55">
        <v>-1.375</v>
      </c>
      <c r="CB55">
        <v>18</v>
      </c>
      <c r="CC55">
        <v>-7.3750000000000426E-2</v>
      </c>
      <c r="CD55">
        <v>9.4875000000000376E-2</v>
      </c>
      <c r="CE55">
        <v>34.9375</v>
      </c>
      <c r="CF55">
        <v>-0.18249999999999988</v>
      </c>
    </row>
    <row r="56" spans="1:84" x14ac:dyDescent="0.2">
      <c r="A56" s="39">
        <v>43744</v>
      </c>
      <c r="B56" s="22" t="s">
        <v>381</v>
      </c>
      <c r="C56" s="41" t="s">
        <v>309</v>
      </c>
      <c r="D56" s="22" t="s">
        <v>305</v>
      </c>
      <c r="E56">
        <v>19.5</v>
      </c>
      <c r="F56">
        <v>7.7</v>
      </c>
      <c r="G56">
        <v>8.1999999999999993</v>
      </c>
      <c r="H56">
        <v>6.4</v>
      </c>
      <c r="I56">
        <v>3</v>
      </c>
      <c r="J56">
        <v>44</v>
      </c>
      <c r="L56" s="1" t="s">
        <v>309</v>
      </c>
      <c r="M56">
        <v>31</v>
      </c>
      <c r="N56">
        <v>-0.20375000000000076</v>
      </c>
      <c r="O56">
        <v>1.05125</v>
      </c>
      <c r="P56">
        <v>-23.1875</v>
      </c>
      <c r="Q56">
        <v>1</v>
      </c>
      <c r="R56">
        <v>-1.3624999999999985</v>
      </c>
      <c r="S56">
        <v>-19</v>
      </c>
      <c r="T56">
        <v>-0.9375</v>
      </c>
      <c r="U56">
        <v>3</v>
      </c>
      <c r="V56">
        <v>5.5</v>
      </c>
      <c r="W56">
        <v>1.375</v>
      </c>
      <c r="X56">
        <v>12</v>
      </c>
      <c r="Y56">
        <v>13.25</v>
      </c>
      <c r="Z56">
        <v>9</v>
      </c>
      <c r="AA56">
        <v>-9.0025054165740137E-2</v>
      </c>
      <c r="AB56">
        <v>20</v>
      </c>
      <c r="AC56">
        <v>-4.846344925852937E-2</v>
      </c>
      <c r="AD56">
        <v>19</v>
      </c>
      <c r="AE56">
        <v>-2.2312499999999993</v>
      </c>
      <c r="AF56">
        <v>5</v>
      </c>
      <c r="AG56">
        <v>-6.1875</v>
      </c>
      <c r="AH56">
        <v>-4.0625</v>
      </c>
      <c r="AI56">
        <v>3.5</v>
      </c>
      <c r="AJ56">
        <v>-2.1875</v>
      </c>
      <c r="AK56">
        <v>-35.25</v>
      </c>
      <c r="AL56">
        <v>-8.9375</v>
      </c>
      <c r="AM56">
        <v>-21.5625</v>
      </c>
      <c r="AN56">
        <v>-6.25E-2</v>
      </c>
      <c r="AO56">
        <v>-4.6875</v>
      </c>
      <c r="AP56">
        <v>21</v>
      </c>
      <c r="AQ56">
        <v>-1.2550000000000008</v>
      </c>
      <c r="AR56">
        <v>-0.83887499999999982</v>
      </c>
      <c r="AS56">
        <v>12.625</v>
      </c>
      <c r="AT56">
        <v>1.2550000000000008</v>
      </c>
      <c r="AU56">
        <v>0.2168750000000001</v>
      </c>
      <c r="AV56">
        <v>0.45164062499999996</v>
      </c>
      <c r="AW56">
        <v>-0.59968749999999982</v>
      </c>
      <c r="AX56" t="s">
        <v>305</v>
      </c>
      <c r="AY56">
        <v>32</v>
      </c>
      <c r="AZ56">
        <v>1.6925000000000008</v>
      </c>
      <c r="BA56">
        <v>4.8562499999999993</v>
      </c>
      <c r="BB56">
        <v>11.875</v>
      </c>
      <c r="BC56">
        <v>-2.125</v>
      </c>
      <c r="BD56">
        <v>4.3499999999999988</v>
      </c>
      <c r="BE56">
        <v>39</v>
      </c>
      <c r="BF56">
        <v>-0.25</v>
      </c>
      <c r="BG56">
        <v>23</v>
      </c>
      <c r="BH56">
        <v>22.5</v>
      </c>
      <c r="BI56">
        <v>-2.125</v>
      </c>
      <c r="BJ56">
        <v>5</v>
      </c>
      <c r="BK56">
        <v>9.75</v>
      </c>
      <c r="BL56">
        <v>15</v>
      </c>
      <c r="BM56">
        <v>4.4246787171674379E-3</v>
      </c>
      <c r="BN56">
        <v>8</v>
      </c>
      <c r="BO56">
        <v>-2.4100616343961358E-2</v>
      </c>
      <c r="BP56">
        <v>15</v>
      </c>
      <c r="BQ56">
        <v>7.2124999999999986</v>
      </c>
      <c r="BR56">
        <v>1</v>
      </c>
      <c r="BS56">
        <v>-5.5625</v>
      </c>
      <c r="BT56">
        <v>-5.75</v>
      </c>
      <c r="BU56">
        <v>5.1875</v>
      </c>
      <c r="BV56">
        <v>-0.4375</v>
      </c>
      <c r="BW56">
        <v>35</v>
      </c>
      <c r="BX56">
        <v>31.6875</v>
      </c>
      <c r="BY56">
        <v>11.3125</v>
      </c>
      <c r="BZ56">
        <v>-0.75</v>
      </c>
      <c r="CA56">
        <v>-7.25</v>
      </c>
      <c r="CB56">
        <v>24</v>
      </c>
      <c r="CC56">
        <v>-3.163749999999999</v>
      </c>
      <c r="CD56">
        <v>-1.219625</v>
      </c>
      <c r="CE56">
        <v>20.375</v>
      </c>
      <c r="CF56">
        <v>1.5029687499999997</v>
      </c>
    </row>
    <row r="57" spans="1:84" x14ac:dyDescent="0.2">
      <c r="A57" s="39">
        <v>43744</v>
      </c>
      <c r="B57" s="23" t="s">
        <v>381</v>
      </c>
      <c r="C57" s="40" t="s">
        <v>256</v>
      </c>
      <c r="D57" s="24" t="s">
        <v>281</v>
      </c>
      <c r="E57">
        <v>8.6</v>
      </c>
      <c r="F57">
        <v>2.1</v>
      </c>
      <c r="G57">
        <v>1.3</v>
      </c>
      <c r="H57">
        <f>20.8+1.7</f>
        <v>22.5</v>
      </c>
      <c r="I57">
        <v>-5</v>
      </c>
      <c r="J57">
        <v>47.5</v>
      </c>
      <c r="L57" s="1" t="s">
        <v>256</v>
      </c>
      <c r="M57">
        <v>15</v>
      </c>
      <c r="N57">
        <v>-4.4612500000000015</v>
      </c>
      <c r="O57">
        <v>8.8787500000000001</v>
      </c>
      <c r="P57">
        <v>83.3125</v>
      </c>
      <c r="Q57">
        <v>-2.5</v>
      </c>
      <c r="R57">
        <v>-10.861250000000002</v>
      </c>
      <c r="S57">
        <v>-59.1875</v>
      </c>
      <c r="T57">
        <v>-5.8125</v>
      </c>
      <c r="U57">
        <v>17</v>
      </c>
      <c r="V57">
        <v>16</v>
      </c>
      <c r="W57">
        <v>5.4375</v>
      </c>
      <c r="X57">
        <v>21</v>
      </c>
      <c r="Y57">
        <v>17.75</v>
      </c>
      <c r="Z57">
        <v>19</v>
      </c>
      <c r="AA57">
        <v>-0.12820437202890633</v>
      </c>
      <c r="AB57">
        <v>3</v>
      </c>
      <c r="AC57">
        <v>-3.9220625223300783E-2</v>
      </c>
      <c r="AD57">
        <v>29</v>
      </c>
      <c r="AE57">
        <v>-5.7999999999999954</v>
      </c>
      <c r="AF57">
        <v>20</v>
      </c>
      <c r="AG57">
        <v>-1.75</v>
      </c>
      <c r="AH57">
        <v>2.875</v>
      </c>
      <c r="AI57">
        <v>4.875</v>
      </c>
      <c r="AJ57">
        <v>1.5</v>
      </c>
      <c r="AK57">
        <v>46.8125</v>
      </c>
      <c r="AL57">
        <v>-42.9375</v>
      </c>
      <c r="AM57">
        <v>97</v>
      </c>
      <c r="AN57">
        <v>5.125</v>
      </c>
      <c r="AO57">
        <v>-12.375</v>
      </c>
      <c r="AP57">
        <v>30</v>
      </c>
      <c r="AQ57">
        <v>-13.340000000000003</v>
      </c>
      <c r="AR57">
        <v>-7.5038750000000007</v>
      </c>
      <c r="AS57">
        <v>-139.9375</v>
      </c>
      <c r="AT57">
        <v>13.340000000000002</v>
      </c>
      <c r="AU57">
        <v>-0.78203125000000018</v>
      </c>
      <c r="AV57">
        <v>-1.7214062500000002</v>
      </c>
      <c r="AW57">
        <v>-3.2589062500000003</v>
      </c>
      <c r="AX57" t="s">
        <v>281</v>
      </c>
      <c r="AY57">
        <v>11</v>
      </c>
      <c r="AZ57">
        <v>-0.12750000000000083</v>
      </c>
      <c r="BA57">
        <v>-1.8437500000000007</v>
      </c>
      <c r="BB57">
        <v>-4.1875</v>
      </c>
      <c r="BC57">
        <v>0.375</v>
      </c>
      <c r="BD57">
        <v>-0.37499999999999933</v>
      </c>
      <c r="BE57">
        <v>-14.4375</v>
      </c>
      <c r="BF57">
        <v>-3.25</v>
      </c>
      <c r="BG57">
        <v>29</v>
      </c>
      <c r="BH57">
        <v>27</v>
      </c>
      <c r="BI57">
        <v>0.625</v>
      </c>
      <c r="BJ57">
        <v>9</v>
      </c>
      <c r="BK57">
        <v>12.5</v>
      </c>
      <c r="BL57">
        <v>8</v>
      </c>
      <c r="BM57">
        <v>-1.9480553856975322E-2</v>
      </c>
      <c r="BN57">
        <v>16</v>
      </c>
      <c r="BO57">
        <v>6.2880241269033885E-3</v>
      </c>
      <c r="BP57">
        <v>7</v>
      </c>
      <c r="BQ57">
        <v>3.6187500000000021</v>
      </c>
      <c r="BR57">
        <v>19</v>
      </c>
      <c r="BS57">
        <v>-0.3125</v>
      </c>
      <c r="BT57">
        <v>-3.6875</v>
      </c>
      <c r="BU57">
        <v>-1.75</v>
      </c>
      <c r="BV57">
        <v>-0.1875</v>
      </c>
      <c r="BW57">
        <v>-0.6875</v>
      </c>
      <c r="BX57">
        <v>-2</v>
      </c>
      <c r="BY57">
        <v>-4.8125</v>
      </c>
      <c r="BZ57">
        <v>3.3125</v>
      </c>
      <c r="CA57">
        <v>2.8125</v>
      </c>
      <c r="CB57">
        <v>15</v>
      </c>
      <c r="CC57">
        <v>1.7162499999999998</v>
      </c>
      <c r="CD57">
        <v>0.8213750000000003</v>
      </c>
      <c r="CE57">
        <v>2.8125</v>
      </c>
      <c r="CF57">
        <v>-0.1839062500000001</v>
      </c>
    </row>
    <row r="58" spans="1:84" x14ac:dyDescent="0.2">
      <c r="A58" s="39">
        <v>43744</v>
      </c>
      <c r="B58" s="26" t="s">
        <v>381</v>
      </c>
      <c r="C58" s="41" t="s">
        <v>308</v>
      </c>
      <c r="D58" s="26" t="s">
        <v>304</v>
      </c>
      <c r="E58">
        <v>14.3</v>
      </c>
      <c r="F58">
        <v>12.4</v>
      </c>
      <c r="G58" s="14">
        <v>4.5999999999999996</v>
      </c>
      <c r="H58" s="14">
        <v>14.8</v>
      </c>
      <c r="I58">
        <v>-1.5</v>
      </c>
      <c r="J58">
        <v>49</v>
      </c>
      <c r="L58" s="1" t="s">
        <v>308</v>
      </c>
      <c r="M58">
        <v>11</v>
      </c>
      <c r="N58">
        <v>3.2900000000000009</v>
      </c>
      <c r="O58">
        <v>7.8750000000001208E-2</v>
      </c>
      <c r="P58">
        <v>-9.25</v>
      </c>
      <c r="Q58">
        <v>-0.75</v>
      </c>
      <c r="R58">
        <v>2.376249999999998</v>
      </c>
      <c r="S58">
        <v>12.625</v>
      </c>
      <c r="T58">
        <v>1.4375</v>
      </c>
      <c r="U58">
        <v>8</v>
      </c>
      <c r="V58">
        <v>8.5</v>
      </c>
      <c r="W58">
        <v>-0.125</v>
      </c>
      <c r="X58">
        <v>12</v>
      </c>
      <c r="Y58">
        <v>13.25</v>
      </c>
      <c r="Z58">
        <v>11</v>
      </c>
      <c r="AA58">
        <v>-1.8536306254826516E-2</v>
      </c>
      <c r="AB58">
        <v>5</v>
      </c>
      <c r="AC58">
        <v>2.7283187566742247E-2</v>
      </c>
      <c r="AD58">
        <v>21</v>
      </c>
      <c r="AE58">
        <v>6.2375000000000043</v>
      </c>
      <c r="AF58">
        <v>16</v>
      </c>
      <c r="AG58">
        <v>1.625</v>
      </c>
      <c r="AH58">
        <v>-1.125</v>
      </c>
      <c r="AI58">
        <v>-0.875</v>
      </c>
      <c r="AJ58">
        <v>1.3125</v>
      </c>
      <c r="AK58">
        <v>-6.9375</v>
      </c>
      <c r="AL58">
        <v>11</v>
      </c>
      <c r="AM58">
        <v>-15.375</v>
      </c>
      <c r="AN58">
        <v>-3.5625</v>
      </c>
      <c r="AO58">
        <v>1</v>
      </c>
      <c r="AP58">
        <v>12</v>
      </c>
      <c r="AQ58">
        <v>3.2112499999999997</v>
      </c>
      <c r="AR58">
        <v>1.0938749999999993</v>
      </c>
      <c r="AS58">
        <v>26.375</v>
      </c>
      <c r="AT58">
        <v>-3.2112499999999997</v>
      </c>
      <c r="AU58">
        <v>0.35875000000000012</v>
      </c>
      <c r="AV58">
        <v>-0.1513281250000004</v>
      </c>
      <c r="AW58">
        <v>-9.8750000000000282E-2</v>
      </c>
      <c r="AX58" t="s">
        <v>304</v>
      </c>
      <c r="AY58">
        <v>16</v>
      </c>
      <c r="AZ58">
        <v>-1.1625000000000008</v>
      </c>
      <c r="BA58">
        <v>-0.73125000000000107</v>
      </c>
      <c r="BB58">
        <v>-9.4375</v>
      </c>
      <c r="BC58">
        <v>-0.25</v>
      </c>
      <c r="BD58">
        <v>-0.61250000000000249</v>
      </c>
      <c r="BE58">
        <v>-7.125</v>
      </c>
      <c r="BF58">
        <v>1.4375</v>
      </c>
      <c r="BG58">
        <v>28</v>
      </c>
      <c r="BH58">
        <v>26.5</v>
      </c>
      <c r="BI58">
        <v>-1.125</v>
      </c>
      <c r="BJ58">
        <v>14</v>
      </c>
      <c r="BK58">
        <v>15</v>
      </c>
      <c r="BL58">
        <v>22</v>
      </c>
      <c r="BM58">
        <v>4.3455078870373171E-3</v>
      </c>
      <c r="BN58">
        <v>10</v>
      </c>
      <c r="BO58">
        <v>-1.1827450233645396E-2</v>
      </c>
      <c r="BP58">
        <v>22</v>
      </c>
      <c r="BQ58">
        <v>3.375</v>
      </c>
      <c r="BR58">
        <v>6</v>
      </c>
      <c r="BS58">
        <v>-0.375</v>
      </c>
      <c r="BT58">
        <v>1.1875</v>
      </c>
      <c r="BU58">
        <v>1.6875</v>
      </c>
      <c r="BV58">
        <v>-0.125</v>
      </c>
      <c r="BW58">
        <v>-32.8125</v>
      </c>
      <c r="BX58">
        <v>-14.625</v>
      </c>
      <c r="BY58">
        <v>-10.75</v>
      </c>
      <c r="BZ58">
        <v>-3</v>
      </c>
      <c r="CA58">
        <v>-4.4375</v>
      </c>
      <c r="CB58">
        <v>19</v>
      </c>
      <c r="CC58">
        <v>-0.43124999999999969</v>
      </c>
      <c r="CD58">
        <v>1.062499999999994E-2</v>
      </c>
      <c r="CE58">
        <v>-3.875</v>
      </c>
      <c r="CF58">
        <v>-0.20390625000000051</v>
      </c>
    </row>
    <row r="59" spans="1:84" x14ac:dyDescent="0.2">
      <c r="A59" s="39">
        <v>43744</v>
      </c>
      <c r="B59" s="22" t="s">
        <v>381</v>
      </c>
      <c r="C59" s="41" t="s">
        <v>284</v>
      </c>
      <c r="D59" s="22" t="s">
        <v>307</v>
      </c>
      <c r="E59">
        <v>0</v>
      </c>
      <c r="F59">
        <v>34.5</v>
      </c>
      <c r="G59">
        <v>2.1</v>
      </c>
      <c r="H59">
        <v>4.0999999999999996</v>
      </c>
      <c r="I59">
        <v>3</v>
      </c>
      <c r="J59">
        <v>46</v>
      </c>
      <c r="L59" s="1" t="s">
        <v>284</v>
      </c>
      <c r="M59">
        <v>12</v>
      </c>
      <c r="N59">
        <v>5.3712499999999981</v>
      </c>
      <c r="O59">
        <v>-0.29999999999999893</v>
      </c>
      <c r="P59">
        <v>16.5625</v>
      </c>
      <c r="Q59">
        <v>-2.0625</v>
      </c>
      <c r="R59">
        <v>12.262500000000001</v>
      </c>
      <c r="S59">
        <v>50.9375</v>
      </c>
      <c r="T59">
        <v>1.4375</v>
      </c>
      <c r="U59">
        <v>18</v>
      </c>
      <c r="V59">
        <v>17.5</v>
      </c>
      <c r="W59">
        <v>3.875</v>
      </c>
      <c r="X59">
        <v>14</v>
      </c>
      <c r="Y59">
        <v>14</v>
      </c>
      <c r="Z59">
        <v>29</v>
      </c>
      <c r="AA59">
        <v>4.8222279477570462E-2</v>
      </c>
      <c r="AB59">
        <v>22</v>
      </c>
      <c r="AC59">
        <v>-1.1932460423095918E-3</v>
      </c>
      <c r="AD59">
        <v>1</v>
      </c>
      <c r="AE59">
        <v>6.6750000000000007</v>
      </c>
      <c r="AF59">
        <v>4</v>
      </c>
      <c r="AG59">
        <v>1.8125</v>
      </c>
      <c r="AH59">
        <v>4.625</v>
      </c>
      <c r="AI59">
        <v>7</v>
      </c>
      <c r="AJ59">
        <v>2.625</v>
      </c>
      <c r="AK59">
        <v>69.6875</v>
      </c>
      <c r="AL59">
        <v>59.875</v>
      </c>
      <c r="AM59">
        <v>16.375</v>
      </c>
      <c r="AN59">
        <v>-1.3125</v>
      </c>
      <c r="AO59">
        <v>-5.25</v>
      </c>
      <c r="AP59">
        <v>7</v>
      </c>
      <c r="AQ59">
        <v>5.671249999999997</v>
      </c>
      <c r="AR59">
        <v>3.6767499999999993</v>
      </c>
      <c r="AS59">
        <v>43.5</v>
      </c>
      <c r="AT59">
        <v>-5.671249999999997</v>
      </c>
      <c r="AU59">
        <v>2.5339062499999998</v>
      </c>
      <c r="AV59">
        <v>0.48656250000000006</v>
      </c>
      <c r="AW59">
        <v>1.5404687499999998</v>
      </c>
      <c r="AX59" t="s">
        <v>307</v>
      </c>
      <c r="AY59">
        <v>18</v>
      </c>
      <c r="AZ59">
        <v>3.5050000000000003</v>
      </c>
      <c r="BA59">
        <v>-2.6812500000000004</v>
      </c>
      <c r="BB59">
        <v>-13.625</v>
      </c>
      <c r="BC59">
        <v>1.1875</v>
      </c>
      <c r="BD59">
        <v>-3.424999999999998</v>
      </c>
      <c r="BE59">
        <v>5.375</v>
      </c>
      <c r="BF59">
        <v>-2</v>
      </c>
      <c r="BG59">
        <v>8</v>
      </c>
      <c r="BH59">
        <v>8.5</v>
      </c>
      <c r="BI59">
        <v>-2.0625</v>
      </c>
      <c r="BJ59">
        <v>17</v>
      </c>
      <c r="BK59">
        <v>16</v>
      </c>
      <c r="BL59">
        <v>6</v>
      </c>
      <c r="BM59">
        <v>6.1982681330107814E-2</v>
      </c>
      <c r="BN59">
        <v>18</v>
      </c>
      <c r="BO59">
        <v>-4.6531655680710597E-4</v>
      </c>
      <c r="BP59">
        <v>21</v>
      </c>
      <c r="BQ59">
        <v>-0.13749999999999574</v>
      </c>
      <c r="BR59">
        <v>19</v>
      </c>
      <c r="BS59">
        <v>2.5</v>
      </c>
      <c r="BT59">
        <v>-1.3125</v>
      </c>
      <c r="BU59">
        <v>-1.4375</v>
      </c>
      <c r="BV59">
        <v>-0.875</v>
      </c>
      <c r="BW59">
        <v>8.0625</v>
      </c>
      <c r="BX59">
        <v>15.125</v>
      </c>
      <c r="BY59">
        <v>-14.125</v>
      </c>
      <c r="BZ59">
        <v>-6.25E-2</v>
      </c>
      <c r="CA59">
        <v>7.125</v>
      </c>
      <c r="CB59">
        <v>4</v>
      </c>
      <c r="CC59">
        <v>6.1862500000000011</v>
      </c>
      <c r="CD59">
        <v>1.3566250000000009</v>
      </c>
      <c r="CE59">
        <v>29.25</v>
      </c>
      <c r="CF59">
        <v>-0.5673437499999997</v>
      </c>
    </row>
    <row r="60" spans="1:84" x14ac:dyDescent="0.2">
      <c r="A60" s="39">
        <v>43744</v>
      </c>
      <c r="B60" s="22" t="s">
        <v>381</v>
      </c>
      <c r="C60" s="41" t="s">
        <v>310</v>
      </c>
      <c r="D60" s="22" t="s">
        <v>276</v>
      </c>
      <c r="E60">
        <v>4.8</v>
      </c>
      <c r="F60" s="14">
        <v>7</v>
      </c>
      <c r="G60">
        <v>4.7</v>
      </c>
      <c r="H60">
        <v>8.6999999999999993</v>
      </c>
      <c r="I60">
        <v>-3.5</v>
      </c>
      <c r="J60">
        <v>39.5</v>
      </c>
      <c r="L60" s="1" t="s">
        <v>310</v>
      </c>
      <c r="M60">
        <v>7</v>
      </c>
      <c r="N60">
        <v>-0.61500000000000021</v>
      </c>
      <c r="O60">
        <v>1.0499999999999998</v>
      </c>
      <c r="P60">
        <v>-2.625</v>
      </c>
      <c r="Q60">
        <v>-0.5</v>
      </c>
      <c r="R60">
        <v>-7.5</v>
      </c>
      <c r="S60">
        <v>-23.375</v>
      </c>
      <c r="T60">
        <v>-2.8125</v>
      </c>
      <c r="U60">
        <v>29</v>
      </c>
      <c r="V60">
        <v>29</v>
      </c>
      <c r="W60">
        <v>3.625</v>
      </c>
      <c r="X60">
        <v>25</v>
      </c>
      <c r="Y60">
        <v>21</v>
      </c>
      <c r="Z60">
        <v>27</v>
      </c>
      <c r="AA60">
        <v>1.8200072353711932E-2</v>
      </c>
      <c r="AB60">
        <v>2</v>
      </c>
      <c r="AC60">
        <v>3.5271798615045695E-2</v>
      </c>
      <c r="AD60">
        <v>30</v>
      </c>
      <c r="AE60">
        <v>3.1750000000000025</v>
      </c>
      <c r="AF60">
        <v>25</v>
      </c>
      <c r="AG60">
        <v>-6.25E-2</v>
      </c>
      <c r="AH60">
        <v>1.0625</v>
      </c>
      <c r="AI60">
        <v>0.4375</v>
      </c>
      <c r="AJ60">
        <v>1.25</v>
      </c>
      <c r="AK60">
        <v>-11.625</v>
      </c>
      <c r="AL60">
        <v>-15.4375</v>
      </c>
      <c r="AM60">
        <v>-6</v>
      </c>
      <c r="AN60">
        <v>-4.625</v>
      </c>
      <c r="AO60">
        <v>14.4375</v>
      </c>
      <c r="AP60">
        <v>22</v>
      </c>
      <c r="AQ60">
        <v>-1.665</v>
      </c>
      <c r="AR60">
        <v>-2.1479999999999997</v>
      </c>
      <c r="AS60">
        <v>-9.4375</v>
      </c>
      <c r="AT60">
        <v>1.665</v>
      </c>
      <c r="AU60">
        <v>-0.96125000000000016</v>
      </c>
      <c r="AV60">
        <v>-1.8165625000000001</v>
      </c>
      <c r="AW60">
        <v>-1.7523437500000001</v>
      </c>
      <c r="AX60" t="s">
        <v>276</v>
      </c>
      <c r="AY60">
        <v>24</v>
      </c>
      <c r="AZ60">
        <v>-4.4537500000000012</v>
      </c>
      <c r="BA60">
        <v>1.0437500000000011</v>
      </c>
      <c r="BB60">
        <v>4.2916666666666643</v>
      </c>
      <c r="BC60">
        <v>-0.12500000000000006</v>
      </c>
      <c r="BD60">
        <v>-9.6362500000000004</v>
      </c>
      <c r="BE60">
        <v>-43.5625</v>
      </c>
      <c r="BF60">
        <v>2.1875</v>
      </c>
      <c r="BG60">
        <v>32</v>
      </c>
      <c r="BH60">
        <v>32</v>
      </c>
      <c r="BI60">
        <v>2.125</v>
      </c>
      <c r="BJ60">
        <v>7</v>
      </c>
      <c r="BK60">
        <v>12.25</v>
      </c>
      <c r="BL60">
        <v>24</v>
      </c>
      <c r="BM60">
        <v>-5.1053919056739359E-2</v>
      </c>
      <c r="BN60">
        <v>3</v>
      </c>
      <c r="BO60">
        <v>-3.9151835546562014E-2</v>
      </c>
      <c r="BP60">
        <v>17</v>
      </c>
      <c r="BQ60">
        <v>-18.462500000000002</v>
      </c>
      <c r="BR60">
        <v>5</v>
      </c>
      <c r="BS60">
        <v>-3.0625</v>
      </c>
      <c r="BT60">
        <v>-0.375</v>
      </c>
      <c r="BU60">
        <v>-4.125</v>
      </c>
      <c r="BV60">
        <v>0.8125</v>
      </c>
      <c r="BW60">
        <v>-40.0625</v>
      </c>
      <c r="BX60">
        <v>-41</v>
      </c>
      <c r="BY60">
        <v>5.125</v>
      </c>
      <c r="BZ60">
        <v>0.9375</v>
      </c>
      <c r="CA60">
        <v>-5.125</v>
      </c>
      <c r="CB60">
        <v>27</v>
      </c>
      <c r="CC60">
        <v>-5.4975000000000023</v>
      </c>
      <c r="CD60">
        <v>-3.339875000000001</v>
      </c>
      <c r="CE60">
        <v>-46.125</v>
      </c>
      <c r="CF60">
        <v>-1.8807812500000001</v>
      </c>
    </row>
    <row r="61" spans="1:84" x14ac:dyDescent="0.2">
      <c r="A61" s="39">
        <v>43744</v>
      </c>
      <c r="B61" s="22" t="s">
        <v>381</v>
      </c>
      <c r="C61" s="41" t="s">
        <v>306</v>
      </c>
      <c r="D61" s="22" t="s">
        <v>302</v>
      </c>
      <c r="E61">
        <v>8.1</v>
      </c>
      <c r="F61">
        <v>3.4</v>
      </c>
      <c r="G61" s="14">
        <v>3.5</v>
      </c>
      <c r="H61">
        <v>3.7</v>
      </c>
      <c r="I61">
        <v>15.5</v>
      </c>
      <c r="J61">
        <v>42</v>
      </c>
      <c r="L61" s="1" t="s">
        <v>306</v>
      </c>
      <c r="M61">
        <v>32</v>
      </c>
      <c r="N61">
        <v>-1.2775000000000007</v>
      </c>
      <c r="O61">
        <v>-0.52499999999999858</v>
      </c>
      <c r="P61">
        <v>-24.5625</v>
      </c>
      <c r="Q61">
        <v>2.15625</v>
      </c>
      <c r="R61">
        <v>-6.2937500000000011</v>
      </c>
      <c r="S61">
        <v>-47.375</v>
      </c>
      <c r="T61">
        <v>-1.75</v>
      </c>
      <c r="U61">
        <v>1</v>
      </c>
      <c r="V61">
        <v>1</v>
      </c>
      <c r="W61">
        <v>-1.25</v>
      </c>
      <c r="X61">
        <v>1</v>
      </c>
      <c r="Y61">
        <v>5.25</v>
      </c>
      <c r="Z61">
        <v>9</v>
      </c>
      <c r="AA61">
        <v>-7.9610955567034764E-3</v>
      </c>
      <c r="AB61">
        <v>1</v>
      </c>
      <c r="AC61">
        <v>-5.3729369881807924E-3</v>
      </c>
      <c r="AD61">
        <v>2</v>
      </c>
      <c r="AE61">
        <v>-12.599999999999998</v>
      </c>
      <c r="AF61">
        <v>9</v>
      </c>
      <c r="AG61">
        <v>3.8125</v>
      </c>
      <c r="AH61">
        <v>-6.0625</v>
      </c>
      <c r="AI61">
        <v>-2</v>
      </c>
      <c r="AJ61">
        <v>-0.4375</v>
      </c>
      <c r="AK61">
        <v>-46.625</v>
      </c>
      <c r="AL61">
        <v>-13.9375</v>
      </c>
      <c r="AM61">
        <v>-29.1875</v>
      </c>
      <c r="AN61">
        <v>0.625</v>
      </c>
      <c r="AO61">
        <v>-4.125</v>
      </c>
      <c r="AP61">
        <v>19</v>
      </c>
      <c r="AQ61">
        <v>-0.75250000000000217</v>
      </c>
      <c r="AR61">
        <v>-1.2517500000000013</v>
      </c>
      <c r="AS61">
        <v>15.25</v>
      </c>
      <c r="AT61">
        <v>0.75250000000000217</v>
      </c>
      <c r="AU61">
        <v>-1.2229687500000002</v>
      </c>
      <c r="AV61">
        <v>-0.42484374999999974</v>
      </c>
      <c r="AW61">
        <v>1.2029687500000006</v>
      </c>
      <c r="AX61" t="s">
        <v>302</v>
      </c>
      <c r="AY61">
        <v>28</v>
      </c>
      <c r="AZ61">
        <v>-3.95</v>
      </c>
      <c r="BA61">
        <v>-4.7149999999999999</v>
      </c>
      <c r="BB61">
        <v>-14.875</v>
      </c>
      <c r="BC61">
        <v>-0.5625</v>
      </c>
      <c r="BD61">
        <v>-5.5062499999999988</v>
      </c>
      <c r="BE61">
        <v>-11.4375</v>
      </c>
      <c r="BF61">
        <v>3.5625</v>
      </c>
      <c r="BG61">
        <v>24</v>
      </c>
      <c r="BH61">
        <v>23</v>
      </c>
      <c r="BI61">
        <v>-1.5</v>
      </c>
      <c r="BJ61">
        <v>5</v>
      </c>
      <c r="BK61">
        <v>9.75</v>
      </c>
      <c r="BL61">
        <v>1</v>
      </c>
      <c r="BM61">
        <v>-2.3661413072460939E-2</v>
      </c>
      <c r="BN61">
        <v>12</v>
      </c>
      <c r="BO61">
        <v>2.3066948167724727E-2</v>
      </c>
      <c r="BP61">
        <v>23</v>
      </c>
      <c r="BQ61">
        <v>-14.30625</v>
      </c>
      <c r="BR61">
        <v>3</v>
      </c>
      <c r="BS61">
        <v>7.375</v>
      </c>
      <c r="BT61">
        <v>1.0625</v>
      </c>
      <c r="BU61">
        <v>-8.875</v>
      </c>
      <c r="BV61">
        <v>2.0625</v>
      </c>
      <c r="BW61">
        <v>-15.25</v>
      </c>
      <c r="BX61">
        <v>5.3125</v>
      </c>
      <c r="BY61">
        <v>-14.375</v>
      </c>
      <c r="BZ61">
        <v>-4.4375</v>
      </c>
      <c r="CA61">
        <v>-1.75</v>
      </c>
      <c r="CB61">
        <v>16</v>
      </c>
      <c r="CC61">
        <v>0.76499999999999968</v>
      </c>
      <c r="CD61">
        <v>0.4662500000000005</v>
      </c>
      <c r="CE61">
        <v>19.6875</v>
      </c>
      <c r="CF61">
        <v>-2.0526562500000001</v>
      </c>
    </row>
    <row r="62" spans="1:84" x14ac:dyDescent="0.2">
      <c r="A62" s="39">
        <v>43751</v>
      </c>
      <c r="B62" s="22" t="s">
        <v>252</v>
      </c>
      <c r="C62" s="41" t="s">
        <v>285</v>
      </c>
      <c r="D62" s="22" t="s">
        <v>295</v>
      </c>
      <c r="E62">
        <v>12.9</v>
      </c>
      <c r="F62">
        <v>8</v>
      </c>
      <c r="G62">
        <v>4.8</v>
      </c>
      <c r="H62">
        <f>12.4+2.8</f>
        <v>15.2</v>
      </c>
      <c r="I62">
        <v>3</v>
      </c>
      <c r="J62">
        <v>52.5</v>
      </c>
      <c r="K62" t="s">
        <v>109</v>
      </c>
      <c r="L62" s="1" t="s">
        <v>285</v>
      </c>
      <c r="M62">
        <v>8</v>
      </c>
      <c r="N62">
        <v>2.3816000000000002</v>
      </c>
      <c r="O62">
        <v>-3.0720000000000001</v>
      </c>
      <c r="P62">
        <v>-14.320000000000004</v>
      </c>
      <c r="Q62">
        <v>1.2800000000000002</v>
      </c>
      <c r="R62">
        <v>-4.952</v>
      </c>
      <c r="S62">
        <v>-28.040000000000003</v>
      </c>
      <c r="T62">
        <v>0.20000000000000018</v>
      </c>
      <c r="U62">
        <v>21</v>
      </c>
      <c r="V62">
        <v>20</v>
      </c>
      <c r="W62">
        <v>-4</v>
      </c>
      <c r="X62">
        <v>9</v>
      </c>
      <c r="Y62">
        <v>12.25</v>
      </c>
      <c r="Z62">
        <v>20</v>
      </c>
      <c r="AA62">
        <v>-4.455822094190507E-2</v>
      </c>
      <c r="AB62">
        <v>7</v>
      </c>
      <c r="AC62">
        <v>3.3326114534736988E-2</v>
      </c>
      <c r="AD62">
        <v>4</v>
      </c>
      <c r="AE62">
        <v>-5.6360000000000001</v>
      </c>
      <c r="AF62">
        <v>18</v>
      </c>
      <c r="AG62">
        <v>1.7600000000000002</v>
      </c>
      <c r="AH62">
        <v>4.4800000000000022</v>
      </c>
      <c r="AI62">
        <v>-3.2399999999999998</v>
      </c>
      <c r="AJ62">
        <v>-0.83999999999999986</v>
      </c>
      <c r="AK62">
        <v>4.9199999999999928</v>
      </c>
      <c r="AL62">
        <v>-1.1600000000000079</v>
      </c>
      <c r="AM62">
        <v>-17.28</v>
      </c>
      <c r="AN62">
        <v>2.16</v>
      </c>
      <c r="AO62">
        <v>21.2</v>
      </c>
      <c r="AP62">
        <v>7</v>
      </c>
      <c r="AQ62">
        <v>5.4535999999999998</v>
      </c>
      <c r="AR62">
        <v>1.0219200000000002</v>
      </c>
      <c r="AS62">
        <v>16.119999999999994</v>
      </c>
      <c r="AT62">
        <v>-5.4535999999999998</v>
      </c>
      <c r="AU62">
        <v>-0.57030000000000003</v>
      </c>
      <c r="AV62">
        <v>1.9186500000000004</v>
      </c>
      <c r="AW62">
        <v>1.4955000000000003</v>
      </c>
      <c r="AX62" t="s">
        <v>295</v>
      </c>
      <c r="AY62">
        <v>27</v>
      </c>
      <c r="AZ62">
        <v>5.8664000000000023</v>
      </c>
      <c r="BA62">
        <v>-1.851999999999999</v>
      </c>
      <c r="BB62">
        <v>-4.6000000000000023</v>
      </c>
      <c r="BC62">
        <v>0</v>
      </c>
      <c r="BD62">
        <v>12.920000000000002</v>
      </c>
      <c r="BE62">
        <v>50.800000000000004</v>
      </c>
      <c r="BF62">
        <v>0.55999999999999961</v>
      </c>
      <c r="BG62">
        <v>17</v>
      </c>
      <c r="BH62">
        <v>14.5</v>
      </c>
      <c r="BI62">
        <v>0.64</v>
      </c>
      <c r="BJ62">
        <v>19</v>
      </c>
      <c r="BK62">
        <v>16.5</v>
      </c>
      <c r="BL62">
        <v>10</v>
      </c>
      <c r="BM62">
        <v>-5.3170540967374821E-2</v>
      </c>
      <c r="BN62">
        <v>20</v>
      </c>
      <c r="BO62">
        <v>-3.4445334301213867E-2</v>
      </c>
      <c r="BP62">
        <v>25</v>
      </c>
      <c r="BQ62">
        <v>4.4120000000000044</v>
      </c>
      <c r="BR62">
        <v>11</v>
      </c>
      <c r="BS62">
        <v>-4</v>
      </c>
      <c r="BT62">
        <v>-0.24000000000000199</v>
      </c>
      <c r="BU62">
        <v>5.96</v>
      </c>
      <c r="BV62">
        <v>0.12</v>
      </c>
      <c r="BW62">
        <v>20.560000000000002</v>
      </c>
      <c r="BX62">
        <v>32.839999999999996</v>
      </c>
      <c r="BY62">
        <v>-10.239999999999998</v>
      </c>
      <c r="BZ62">
        <v>-1.72</v>
      </c>
      <c r="CA62">
        <v>-0.31999999999999956</v>
      </c>
      <c r="CB62">
        <v>2</v>
      </c>
      <c r="CC62">
        <v>7.7184000000000008</v>
      </c>
      <c r="CD62">
        <v>4.6832799999999999</v>
      </c>
      <c r="CE62">
        <v>43.08</v>
      </c>
      <c r="CF62">
        <v>2.3418000000000005</v>
      </c>
    </row>
    <row r="63" spans="1:84" x14ac:dyDescent="0.2">
      <c r="A63" s="39">
        <v>43751</v>
      </c>
      <c r="B63" s="22" t="s">
        <v>252</v>
      </c>
      <c r="C63" s="41" t="s">
        <v>295</v>
      </c>
      <c r="D63" s="22" t="s">
        <v>285</v>
      </c>
      <c r="E63">
        <v>21.8</v>
      </c>
      <c r="F63">
        <v>14.8</v>
      </c>
      <c r="G63" s="14">
        <v>5.9</v>
      </c>
      <c r="H63">
        <f>28.7+3.1+1</f>
        <v>32.799999999999997</v>
      </c>
      <c r="I63">
        <v>-3</v>
      </c>
      <c r="J63">
        <v>52.5</v>
      </c>
      <c r="K63" t="s">
        <v>109</v>
      </c>
      <c r="L63" s="1" t="s">
        <v>295</v>
      </c>
      <c r="M63">
        <v>2</v>
      </c>
      <c r="N63">
        <v>6.9256000000000002</v>
      </c>
      <c r="O63">
        <v>-0.47199999999999998</v>
      </c>
      <c r="P63">
        <v>-9.7999999999999989</v>
      </c>
      <c r="Q63">
        <v>0.53999999999999981</v>
      </c>
      <c r="R63">
        <v>14.496</v>
      </c>
      <c r="S63">
        <v>54.16</v>
      </c>
      <c r="T63">
        <v>5.1599999999999993</v>
      </c>
      <c r="U63">
        <v>4</v>
      </c>
      <c r="V63">
        <v>7</v>
      </c>
      <c r="W63">
        <v>-4</v>
      </c>
      <c r="X63">
        <v>14</v>
      </c>
      <c r="Y63">
        <v>14</v>
      </c>
      <c r="Z63">
        <v>7</v>
      </c>
      <c r="AA63">
        <v>2.6640458395730373E-3</v>
      </c>
      <c r="AB63">
        <v>9</v>
      </c>
      <c r="AC63">
        <v>-2.3328999920988677E-2</v>
      </c>
      <c r="AD63">
        <v>26</v>
      </c>
      <c r="AE63">
        <v>5.171999999999997</v>
      </c>
      <c r="AF63">
        <v>14</v>
      </c>
      <c r="AG63">
        <v>0.64</v>
      </c>
      <c r="AH63">
        <v>2.5200000000000005</v>
      </c>
      <c r="AI63">
        <v>1.5599999999999998</v>
      </c>
      <c r="AJ63">
        <v>-0.55999999999999994</v>
      </c>
      <c r="AK63">
        <v>42.080000000000005</v>
      </c>
      <c r="AL63">
        <v>67.039999999999992</v>
      </c>
      <c r="AM63">
        <v>-18.72</v>
      </c>
      <c r="AN63">
        <v>-4.6800000000000006</v>
      </c>
      <c r="AO63">
        <v>-1.56</v>
      </c>
      <c r="AP63">
        <v>3</v>
      </c>
      <c r="AQ63">
        <v>7.3975999999999988</v>
      </c>
      <c r="AR63">
        <v>4.520319999999999</v>
      </c>
      <c r="AS63">
        <v>85.759999999999991</v>
      </c>
      <c r="AT63">
        <v>-7.3976000000000006</v>
      </c>
      <c r="AU63">
        <v>2.4536999999999995</v>
      </c>
      <c r="AV63">
        <v>1.9186500000000004</v>
      </c>
      <c r="AW63">
        <v>2.3418000000000005</v>
      </c>
      <c r="AX63" t="s">
        <v>285</v>
      </c>
      <c r="AY63">
        <v>1</v>
      </c>
      <c r="AZ63">
        <v>3.7440000000000007</v>
      </c>
      <c r="BA63">
        <v>-3.5679999999999996</v>
      </c>
      <c r="BB63">
        <v>9.3199999999999967</v>
      </c>
      <c r="BC63">
        <v>-1.94</v>
      </c>
      <c r="BD63">
        <v>9.9879999999999995</v>
      </c>
      <c r="BE63">
        <v>13.840000000000002</v>
      </c>
      <c r="BF63">
        <v>0.4</v>
      </c>
      <c r="BG63">
        <v>19</v>
      </c>
      <c r="BH63">
        <v>20.5</v>
      </c>
      <c r="BI63">
        <v>1.7600000000000002</v>
      </c>
      <c r="BJ63">
        <v>26</v>
      </c>
      <c r="BK63">
        <v>22</v>
      </c>
      <c r="BL63">
        <v>5</v>
      </c>
      <c r="BM63">
        <v>3.5615549927246658E-2</v>
      </c>
      <c r="BN63">
        <v>31</v>
      </c>
      <c r="BO63">
        <v>-7.7865905667242078E-3</v>
      </c>
      <c r="BP63">
        <v>20</v>
      </c>
      <c r="BQ63">
        <v>7.0039999999999996</v>
      </c>
      <c r="BR63">
        <v>32</v>
      </c>
      <c r="BS63">
        <v>-4</v>
      </c>
      <c r="BT63">
        <v>0.32000000000000028</v>
      </c>
      <c r="BU63">
        <v>2.2399999999999998</v>
      </c>
      <c r="BV63">
        <v>0.48</v>
      </c>
      <c r="BW63">
        <v>30.119999999999994</v>
      </c>
      <c r="BX63">
        <v>15.000000000000011</v>
      </c>
      <c r="BY63">
        <v>3.8400000000000034</v>
      </c>
      <c r="BZ63">
        <v>1.36</v>
      </c>
      <c r="CA63">
        <v>9.92</v>
      </c>
      <c r="CB63">
        <v>3</v>
      </c>
      <c r="CC63">
        <v>7.3120000000000003</v>
      </c>
      <c r="CD63">
        <v>4.5304000000000002</v>
      </c>
      <c r="CE63">
        <v>11.160000000000007</v>
      </c>
      <c r="CF63">
        <v>1.4955000000000003</v>
      </c>
    </row>
    <row r="64" spans="1:84" x14ac:dyDescent="0.2">
      <c r="A64" s="39">
        <v>43751</v>
      </c>
      <c r="B64" s="22" t="s">
        <v>252</v>
      </c>
      <c r="C64" s="41" t="s">
        <v>305</v>
      </c>
      <c r="D64" s="22" t="s">
        <v>272</v>
      </c>
      <c r="H64">
        <f>14.9+3.8+1.4</f>
        <v>20.099999999999998</v>
      </c>
      <c r="I64">
        <v>-10.5</v>
      </c>
      <c r="J64">
        <v>47</v>
      </c>
      <c r="L64" s="1" t="s">
        <v>305</v>
      </c>
      <c r="M64">
        <v>3</v>
      </c>
      <c r="N64">
        <v>6.62</v>
      </c>
      <c r="O64">
        <v>-0.42400000000000126</v>
      </c>
      <c r="P64">
        <v>-4.6800000000000006</v>
      </c>
      <c r="Q64">
        <v>-2.3200000000000003</v>
      </c>
      <c r="R64">
        <v>5.1128000000000018</v>
      </c>
      <c r="S64">
        <v>25.439999999999998</v>
      </c>
      <c r="T64">
        <v>2.8400000000000007</v>
      </c>
      <c r="U64">
        <v>8</v>
      </c>
      <c r="V64">
        <v>8.5</v>
      </c>
      <c r="W64">
        <v>-4.5999999999999996</v>
      </c>
      <c r="X64">
        <v>31</v>
      </c>
      <c r="Y64">
        <v>29.25</v>
      </c>
      <c r="Z64">
        <v>27</v>
      </c>
      <c r="AA64">
        <v>-7.4389902506587727E-3</v>
      </c>
      <c r="AB64">
        <v>31</v>
      </c>
      <c r="AC64">
        <v>7.5765835039474944E-3</v>
      </c>
      <c r="AD64">
        <v>27</v>
      </c>
      <c r="AE64">
        <v>2.8960000000000008</v>
      </c>
      <c r="AF64">
        <v>32</v>
      </c>
      <c r="AG64">
        <v>-0.95999999999999974</v>
      </c>
      <c r="AH64">
        <v>6.160000000000001</v>
      </c>
      <c r="AI64">
        <v>6.7199999999999989</v>
      </c>
      <c r="AJ64">
        <v>-1.2</v>
      </c>
      <c r="AK64">
        <v>33.440000000000012</v>
      </c>
      <c r="AL64">
        <v>-1.3999999999999944</v>
      </c>
      <c r="AM64">
        <v>-4.8799999999999955</v>
      </c>
      <c r="AN64">
        <v>-4.24</v>
      </c>
      <c r="AO64">
        <v>43.959999999999994</v>
      </c>
      <c r="AP64">
        <v>4</v>
      </c>
      <c r="AQ64">
        <v>7.0440000000000014</v>
      </c>
      <c r="AR64">
        <v>2.5585600000000008</v>
      </c>
      <c r="AS64">
        <v>3.4800000000000013</v>
      </c>
      <c r="AT64">
        <v>-7.0440000000000014</v>
      </c>
      <c r="AU64">
        <v>1.5186000000000002</v>
      </c>
      <c r="AV64">
        <v>1.3869999999999998</v>
      </c>
      <c r="AW64">
        <v>1.6721999999999997</v>
      </c>
      <c r="AX64" t="s">
        <v>272</v>
      </c>
      <c r="AY64">
        <v>10</v>
      </c>
      <c r="AZ64">
        <v>0.9663999999999987</v>
      </c>
      <c r="BA64">
        <v>11.327999999999999</v>
      </c>
      <c r="BB64">
        <v>25.24</v>
      </c>
      <c r="BC64">
        <v>2.4</v>
      </c>
      <c r="BD64">
        <v>-5.1199999999999992</v>
      </c>
      <c r="BE64">
        <v>-14.64</v>
      </c>
      <c r="BF64">
        <v>-5.6</v>
      </c>
      <c r="BG64">
        <v>20</v>
      </c>
      <c r="BH64">
        <v>21</v>
      </c>
      <c r="BI64">
        <v>1.6400000000000006</v>
      </c>
      <c r="BJ64">
        <v>22</v>
      </c>
      <c r="BK64">
        <v>18.25</v>
      </c>
      <c r="BL64">
        <v>13</v>
      </c>
      <c r="BM64">
        <v>4.6908794813689033E-3</v>
      </c>
      <c r="BN64">
        <v>15</v>
      </c>
      <c r="BO64">
        <v>-1.6213987792158518E-2</v>
      </c>
      <c r="BP64">
        <v>19</v>
      </c>
      <c r="BQ64">
        <v>-4.743999999999998</v>
      </c>
      <c r="BR64">
        <v>26</v>
      </c>
      <c r="BS64">
        <v>-5.1599999999999993</v>
      </c>
      <c r="BT64">
        <v>-1.2799999999999983</v>
      </c>
      <c r="BU64">
        <v>5.2799999999999994</v>
      </c>
      <c r="BV64">
        <v>-0.83999999999999986</v>
      </c>
      <c r="BW64">
        <v>34.079999999999984</v>
      </c>
      <c r="BX64">
        <v>-4.880000000000007</v>
      </c>
      <c r="BY64">
        <v>27.839999999999996</v>
      </c>
      <c r="BZ64">
        <v>2.3199999999999998</v>
      </c>
      <c r="CA64">
        <v>8.7999999999999989</v>
      </c>
      <c r="CB64">
        <v>32</v>
      </c>
      <c r="CC64">
        <v>-10.361600000000001</v>
      </c>
      <c r="CD64">
        <v>-6.49472</v>
      </c>
      <c r="CE64">
        <v>-32.720000000000006</v>
      </c>
      <c r="CF64">
        <v>1.1017999999999999</v>
      </c>
    </row>
    <row r="65" spans="1:84" x14ac:dyDescent="0.2">
      <c r="A65" s="39">
        <v>43751</v>
      </c>
      <c r="B65" s="22" t="s">
        <v>252</v>
      </c>
      <c r="C65" s="41" t="s">
        <v>301</v>
      </c>
      <c r="D65" s="22" t="s">
        <v>284</v>
      </c>
      <c r="E65">
        <v>15.6</v>
      </c>
      <c r="F65">
        <v>23.8</v>
      </c>
      <c r="G65">
        <v>1.6</v>
      </c>
      <c r="H65">
        <v>9.1999999999999993</v>
      </c>
      <c r="I65">
        <v>-2</v>
      </c>
      <c r="J65">
        <v>48.5</v>
      </c>
      <c r="L65" s="1" t="s">
        <v>301</v>
      </c>
      <c r="M65">
        <v>32</v>
      </c>
      <c r="N65">
        <v>-8.8647999999999989</v>
      </c>
      <c r="O65">
        <v>14.955200000000001</v>
      </c>
      <c r="P65">
        <v>43.639999999999993</v>
      </c>
      <c r="Q65">
        <v>2.2799999999999998</v>
      </c>
      <c r="R65">
        <v>-12.708000000000002</v>
      </c>
      <c r="S65">
        <v>-44.16</v>
      </c>
      <c r="T65">
        <v>-1.76</v>
      </c>
      <c r="U65">
        <v>32</v>
      </c>
      <c r="V65">
        <v>31.5</v>
      </c>
      <c r="W65">
        <v>2.4</v>
      </c>
      <c r="X65">
        <v>4</v>
      </c>
      <c r="Y65">
        <v>8.5</v>
      </c>
      <c r="Z65">
        <v>4</v>
      </c>
      <c r="AA65">
        <v>-5.0478967816341355E-2</v>
      </c>
      <c r="AB65">
        <v>6</v>
      </c>
      <c r="AC65">
        <v>8.1600907059733978E-3</v>
      </c>
      <c r="AD65">
        <v>17</v>
      </c>
      <c r="AE65">
        <v>-10.247999999999998</v>
      </c>
      <c r="AF65">
        <v>7</v>
      </c>
      <c r="AG65">
        <v>0.12000000000000011</v>
      </c>
      <c r="AH65">
        <v>-1.0000000000000013</v>
      </c>
      <c r="AI65">
        <v>-0.67999999999999972</v>
      </c>
      <c r="AJ65">
        <v>3.9999999999999945E-2</v>
      </c>
      <c r="AK65">
        <v>-3.8400000000000203</v>
      </c>
      <c r="AL65">
        <v>-38.080000000000005</v>
      </c>
      <c r="AM65">
        <v>43.2</v>
      </c>
      <c r="AN65">
        <v>5.1199999999999992</v>
      </c>
      <c r="AO65">
        <v>-14.080000000000002</v>
      </c>
      <c r="AP65">
        <v>32</v>
      </c>
      <c r="AQ65">
        <v>-23.82</v>
      </c>
      <c r="AR65">
        <v>-11.792159999999999</v>
      </c>
      <c r="AS65">
        <v>-81.28</v>
      </c>
      <c r="AT65">
        <v>23.82</v>
      </c>
      <c r="AU65">
        <v>-0.74719999999999964</v>
      </c>
      <c r="AV65">
        <v>0.22703749999999989</v>
      </c>
      <c r="AW65">
        <v>-1.7878000000000001</v>
      </c>
      <c r="AX65" t="s">
        <v>284</v>
      </c>
      <c r="AY65">
        <v>4</v>
      </c>
      <c r="AZ65">
        <v>7.6519999999999984</v>
      </c>
      <c r="BA65">
        <v>-9.7009999999999987</v>
      </c>
      <c r="BB65">
        <v>-47.7</v>
      </c>
      <c r="BC65">
        <v>1.3499999999999999</v>
      </c>
      <c r="BD65">
        <v>17.783999999999999</v>
      </c>
      <c r="BE65">
        <v>77.559999999999988</v>
      </c>
      <c r="BF65">
        <v>6.4399999999999995</v>
      </c>
      <c r="BG65">
        <v>16</v>
      </c>
      <c r="BH65">
        <v>14</v>
      </c>
      <c r="BI65">
        <v>1.1200000000000003</v>
      </c>
      <c r="BJ65">
        <v>10</v>
      </c>
      <c r="BK65">
        <v>13.25</v>
      </c>
      <c r="BL65">
        <v>9</v>
      </c>
      <c r="BM65">
        <v>3.7245682924897218E-3</v>
      </c>
      <c r="BN65">
        <v>26</v>
      </c>
      <c r="BO65">
        <v>-7.65381626492527E-4</v>
      </c>
      <c r="BP65">
        <v>6</v>
      </c>
      <c r="BQ65">
        <v>10.315999999999997</v>
      </c>
      <c r="BR65">
        <v>12</v>
      </c>
      <c r="BS65">
        <v>2.44</v>
      </c>
      <c r="BT65">
        <v>2.6799999999999984</v>
      </c>
      <c r="BU65">
        <v>1.6799999999999997</v>
      </c>
      <c r="BV65">
        <v>2.5599999999999996</v>
      </c>
      <c r="BW65">
        <v>12.8</v>
      </c>
      <c r="BX65">
        <v>70.760000000000005</v>
      </c>
      <c r="BY65">
        <v>-54.839999999999996</v>
      </c>
      <c r="BZ65">
        <v>-5.1199999999999992</v>
      </c>
      <c r="CA65">
        <v>2.0000000000000004</v>
      </c>
      <c r="CB65">
        <v>1</v>
      </c>
      <c r="CC65">
        <v>17.352999999999998</v>
      </c>
      <c r="CD65">
        <v>9.9376999999999995</v>
      </c>
      <c r="CE65">
        <v>125.6</v>
      </c>
      <c r="CF65">
        <v>2.2418749999999998</v>
      </c>
    </row>
    <row r="66" spans="1:84" x14ac:dyDescent="0.2">
      <c r="A66" s="39">
        <v>43751</v>
      </c>
      <c r="B66" s="22" t="s">
        <v>252</v>
      </c>
      <c r="C66" s="17" t="s">
        <v>272</v>
      </c>
      <c r="D66" s="22" t="s">
        <v>305</v>
      </c>
      <c r="E66">
        <v>4</v>
      </c>
      <c r="F66">
        <v>14.1</v>
      </c>
      <c r="G66">
        <v>10.4</v>
      </c>
      <c r="H66">
        <f>4.6+3.3+0.9</f>
        <v>8.7999999999999989</v>
      </c>
      <c r="I66">
        <v>10.5</v>
      </c>
      <c r="J66">
        <v>47</v>
      </c>
      <c r="L66" s="1" t="s">
        <v>272</v>
      </c>
      <c r="M66">
        <v>14</v>
      </c>
      <c r="N66">
        <v>1.3992000000000004</v>
      </c>
      <c r="O66">
        <v>-3.7919999999999994</v>
      </c>
      <c r="P66">
        <v>-20.880000000000003</v>
      </c>
      <c r="Q66">
        <v>0.99999999999999989</v>
      </c>
      <c r="R66">
        <v>6.9327999999999994</v>
      </c>
      <c r="S66">
        <v>47.48</v>
      </c>
      <c r="T66">
        <v>4.9200000000000008</v>
      </c>
      <c r="U66">
        <v>12</v>
      </c>
      <c r="V66">
        <v>11.5</v>
      </c>
      <c r="W66">
        <v>-5.1599999999999993</v>
      </c>
      <c r="X66">
        <v>10</v>
      </c>
      <c r="Y66">
        <v>12.75</v>
      </c>
      <c r="Z66">
        <v>13</v>
      </c>
      <c r="AA66">
        <v>-2.9043167287131355E-2</v>
      </c>
      <c r="AB66">
        <v>15</v>
      </c>
      <c r="AC66">
        <v>9.3674410248068881E-3</v>
      </c>
      <c r="AD66">
        <v>11</v>
      </c>
      <c r="AE66">
        <v>8.1760000000000019</v>
      </c>
      <c r="AF66">
        <v>12</v>
      </c>
      <c r="AG66">
        <v>1.6400000000000006</v>
      </c>
      <c r="AH66">
        <v>1.2799999999999998</v>
      </c>
      <c r="AI66">
        <v>-2.4000000000000004</v>
      </c>
      <c r="AJ66">
        <v>-1.7600000000000002</v>
      </c>
      <c r="AK66">
        <v>2.119999999999993</v>
      </c>
      <c r="AL66">
        <v>44.11999999999999</v>
      </c>
      <c r="AM66">
        <v>-25.759999999999998</v>
      </c>
      <c r="AN66">
        <v>-5.4</v>
      </c>
      <c r="AO66">
        <v>-10.84</v>
      </c>
      <c r="AP66">
        <v>8</v>
      </c>
      <c r="AQ66">
        <v>5.1911999999999994</v>
      </c>
      <c r="AR66">
        <v>3.5623999999999998</v>
      </c>
      <c r="AS66">
        <v>69.88</v>
      </c>
      <c r="AT66">
        <v>-5.1912000000000003</v>
      </c>
      <c r="AU66">
        <v>0.5675</v>
      </c>
      <c r="AV66">
        <v>1.3869999999999998</v>
      </c>
      <c r="AW66">
        <v>1.1017999999999999</v>
      </c>
      <c r="AX66" t="s">
        <v>305</v>
      </c>
      <c r="AY66">
        <v>32</v>
      </c>
      <c r="AZ66">
        <v>1.869599999999999</v>
      </c>
      <c r="BA66">
        <v>3.3279999999999981</v>
      </c>
      <c r="BB66">
        <v>8.4400000000000031</v>
      </c>
      <c r="BC66">
        <v>-2.4</v>
      </c>
      <c r="BD66">
        <v>6.4599999999999991</v>
      </c>
      <c r="BE66">
        <v>46.2</v>
      </c>
      <c r="BF66">
        <v>0.71999999999999975</v>
      </c>
      <c r="BG66">
        <v>23</v>
      </c>
      <c r="BH66">
        <v>22.5</v>
      </c>
      <c r="BI66">
        <v>-0.95999999999999974</v>
      </c>
      <c r="BJ66">
        <v>5</v>
      </c>
      <c r="BK66">
        <v>9.75</v>
      </c>
      <c r="BL66">
        <v>15</v>
      </c>
      <c r="BM66">
        <v>1.0378535092778574E-2</v>
      </c>
      <c r="BN66">
        <v>8</v>
      </c>
      <c r="BO66">
        <v>-2.1270772680937453E-2</v>
      </c>
      <c r="BP66">
        <v>15</v>
      </c>
      <c r="BQ66">
        <v>8.94</v>
      </c>
      <c r="BR66">
        <v>1</v>
      </c>
      <c r="BS66">
        <v>-4.5999999999999996</v>
      </c>
      <c r="BT66">
        <v>-4.9599999999999991</v>
      </c>
      <c r="BU66">
        <v>5.6400000000000006</v>
      </c>
      <c r="BV66">
        <v>-0.27999999999999997</v>
      </c>
      <c r="BW66">
        <v>31.599999999999987</v>
      </c>
      <c r="BX66">
        <v>32.04</v>
      </c>
      <c r="BY66">
        <v>7.4399999999999951</v>
      </c>
      <c r="BZ66">
        <v>-1.6800000000000004</v>
      </c>
      <c r="CA66">
        <v>-6.2</v>
      </c>
      <c r="CB66">
        <v>20</v>
      </c>
      <c r="CC66">
        <v>-1.4583999999999993</v>
      </c>
      <c r="CD66">
        <v>1.9200000000003659E-3</v>
      </c>
      <c r="CE66">
        <v>24.600000000000005</v>
      </c>
      <c r="CF66">
        <v>1.6721999999999997</v>
      </c>
    </row>
    <row r="67" spans="1:84" x14ac:dyDescent="0.2">
      <c r="A67" s="39">
        <v>43751</v>
      </c>
      <c r="B67" s="22" t="s">
        <v>252</v>
      </c>
      <c r="C67" s="41" t="s">
        <v>281</v>
      </c>
      <c r="D67" s="22" t="s">
        <v>308</v>
      </c>
      <c r="E67">
        <v>19.100000000000001</v>
      </c>
      <c r="F67">
        <v>6.6</v>
      </c>
      <c r="G67">
        <v>4.2</v>
      </c>
      <c r="H67">
        <f>13.7+2+1.9</f>
        <v>17.599999999999998</v>
      </c>
      <c r="I67" s="22">
        <v>-1</v>
      </c>
      <c r="J67" s="22">
        <v>45.5</v>
      </c>
      <c r="K67" t="s">
        <v>110</v>
      </c>
      <c r="L67" s="1" t="s">
        <v>281</v>
      </c>
      <c r="M67">
        <v>27</v>
      </c>
      <c r="N67">
        <v>-4.1528000000000009</v>
      </c>
      <c r="O67">
        <v>5.4096000000000011</v>
      </c>
      <c r="P67">
        <v>26.04</v>
      </c>
      <c r="Q67">
        <v>7.999999999999996E-2</v>
      </c>
      <c r="R67">
        <v>-3.760000000000002</v>
      </c>
      <c r="S67">
        <v>5.240000000000002</v>
      </c>
      <c r="T67">
        <v>-1.5999999999999994</v>
      </c>
      <c r="U67">
        <v>4</v>
      </c>
      <c r="V67">
        <v>7</v>
      </c>
      <c r="W67">
        <v>-0.72000000000000008</v>
      </c>
      <c r="X67">
        <v>30</v>
      </c>
      <c r="Y67">
        <v>29</v>
      </c>
      <c r="Z67">
        <v>31</v>
      </c>
      <c r="AA67">
        <v>1.3657467104589927E-2</v>
      </c>
      <c r="AB67">
        <v>30</v>
      </c>
      <c r="AC67">
        <v>3.0226944669430201E-2</v>
      </c>
      <c r="AD67">
        <v>24</v>
      </c>
      <c r="AE67">
        <v>-11.651999999999997</v>
      </c>
      <c r="AF67">
        <v>31</v>
      </c>
      <c r="AG67">
        <v>2.2399999999999998</v>
      </c>
      <c r="AH67">
        <v>-2.4399999999999991</v>
      </c>
      <c r="AI67">
        <v>-1.28</v>
      </c>
      <c r="AJ67">
        <v>-1.1199999999999999</v>
      </c>
      <c r="AK67">
        <v>16.239999999999988</v>
      </c>
      <c r="AL67">
        <v>0.71999999999999886</v>
      </c>
      <c r="AM67">
        <v>24.32</v>
      </c>
      <c r="AN67">
        <v>0.96</v>
      </c>
      <c r="AO67">
        <v>-9.76</v>
      </c>
      <c r="AP67">
        <v>29</v>
      </c>
      <c r="AQ67">
        <v>-9.562400000000002</v>
      </c>
      <c r="AR67">
        <v>-4.2873600000000014</v>
      </c>
      <c r="AS67">
        <v>-23.6</v>
      </c>
      <c r="AT67">
        <v>9.562400000000002</v>
      </c>
      <c r="AU67">
        <v>-0.38290000000000024</v>
      </c>
      <c r="AV67">
        <v>9.4999999999999599E-2</v>
      </c>
      <c r="AW67">
        <v>0.17069999999999955</v>
      </c>
      <c r="AX67" t="s">
        <v>308</v>
      </c>
      <c r="AY67">
        <v>17</v>
      </c>
      <c r="AZ67">
        <v>1.6471999999999993</v>
      </c>
      <c r="BA67">
        <v>-0.47679999999999945</v>
      </c>
      <c r="BB67">
        <v>-14.16</v>
      </c>
      <c r="BC67">
        <v>-0.16000000000000014</v>
      </c>
      <c r="BD67">
        <v>1.1839999999999975</v>
      </c>
      <c r="BE67">
        <v>-5.0799999999999983</v>
      </c>
      <c r="BF67">
        <v>0.20000000000000018</v>
      </c>
      <c r="BG67">
        <v>12</v>
      </c>
      <c r="BH67">
        <v>12.5</v>
      </c>
      <c r="BI67">
        <v>-0.43999999999999978</v>
      </c>
      <c r="BJ67">
        <v>21</v>
      </c>
      <c r="BK67">
        <v>17.25</v>
      </c>
      <c r="BL67">
        <v>30</v>
      </c>
      <c r="BM67">
        <v>2.4450760577108977E-2</v>
      </c>
      <c r="BN67">
        <v>28</v>
      </c>
      <c r="BO67">
        <v>-7.4550356626637056E-3</v>
      </c>
      <c r="BP67">
        <v>4</v>
      </c>
      <c r="BQ67">
        <v>3.7439999999999984</v>
      </c>
      <c r="BR67">
        <v>7</v>
      </c>
      <c r="BS67">
        <v>0.28000000000000008</v>
      </c>
      <c r="BT67">
        <v>-2.72</v>
      </c>
      <c r="BU67">
        <v>0.2</v>
      </c>
      <c r="BV67">
        <v>1.6799999999999997</v>
      </c>
      <c r="BW67">
        <v>5.0399999999999974</v>
      </c>
      <c r="BX67">
        <v>8.6800000000000068</v>
      </c>
      <c r="BY67">
        <v>-10.68</v>
      </c>
      <c r="BZ67">
        <v>3.56</v>
      </c>
      <c r="CA67">
        <v>3.4799999999999995</v>
      </c>
      <c r="CB67">
        <v>15</v>
      </c>
      <c r="CC67">
        <v>2.1239999999999988</v>
      </c>
      <c r="CD67">
        <v>0.80463999999999913</v>
      </c>
      <c r="CE67">
        <v>19.360000000000007</v>
      </c>
      <c r="CF67">
        <v>1.9299999999999651E-2</v>
      </c>
    </row>
    <row r="68" spans="1:84" x14ac:dyDescent="0.2">
      <c r="A68" s="39">
        <v>43751</v>
      </c>
      <c r="B68" s="22" t="s">
        <v>252</v>
      </c>
      <c r="C68" s="41" t="s">
        <v>291</v>
      </c>
      <c r="D68" s="22" t="s">
        <v>298</v>
      </c>
      <c r="F68">
        <v>8.8000000000000007</v>
      </c>
      <c r="G68">
        <v>11.4</v>
      </c>
      <c r="H68">
        <f>10.7+2.6+1.6</f>
        <v>14.899999999999999</v>
      </c>
      <c r="I68">
        <v>-7</v>
      </c>
      <c r="J68">
        <v>43.5</v>
      </c>
      <c r="L68" s="1" t="s">
        <v>291</v>
      </c>
      <c r="M68">
        <v>7</v>
      </c>
      <c r="N68">
        <v>2.6767999999999992</v>
      </c>
      <c r="O68">
        <v>-1.2320000000000002</v>
      </c>
      <c r="P68">
        <v>2.5599999999999974</v>
      </c>
      <c r="Q68">
        <v>-0.96000000000000019</v>
      </c>
      <c r="R68">
        <v>13.988</v>
      </c>
      <c r="S68">
        <v>71.84</v>
      </c>
      <c r="T68">
        <v>4.72</v>
      </c>
      <c r="U68">
        <v>11</v>
      </c>
      <c r="V68">
        <v>9.5</v>
      </c>
      <c r="W68">
        <v>-3</v>
      </c>
      <c r="X68">
        <v>26</v>
      </c>
      <c r="Y68">
        <v>22.25</v>
      </c>
      <c r="Z68">
        <v>18</v>
      </c>
      <c r="AA68">
        <v>-6.6962746718900318E-2</v>
      </c>
      <c r="AB68">
        <v>32</v>
      </c>
      <c r="AC68">
        <v>-3.2708442387240619E-2</v>
      </c>
      <c r="AD68">
        <v>16</v>
      </c>
      <c r="AE68">
        <v>-0.69599999999999651</v>
      </c>
      <c r="AF68">
        <v>23</v>
      </c>
      <c r="AG68">
        <v>-1.9600000000000002</v>
      </c>
      <c r="AH68">
        <v>-1.1599999999999995</v>
      </c>
      <c r="AI68">
        <v>0.79999999999999927</v>
      </c>
      <c r="AJ68">
        <v>-1.2</v>
      </c>
      <c r="AK68">
        <v>51.6</v>
      </c>
      <c r="AL68">
        <v>46.44</v>
      </c>
      <c r="AM68">
        <v>-4.3199999999999985</v>
      </c>
      <c r="AN68">
        <v>0.47999999999999982</v>
      </c>
      <c r="AO68">
        <v>9.0000000000000018</v>
      </c>
      <c r="AP68">
        <v>11</v>
      </c>
      <c r="AQ68">
        <v>3.9087999999999994</v>
      </c>
      <c r="AR68">
        <v>3.94896</v>
      </c>
      <c r="AS68">
        <v>50.76</v>
      </c>
      <c r="AT68">
        <v>-3.9087999999999994</v>
      </c>
      <c r="AU68">
        <v>1.7890999999999999</v>
      </c>
      <c r="AV68">
        <v>0.45087499999999991</v>
      </c>
      <c r="AW68">
        <v>0.43969999999999987</v>
      </c>
      <c r="AX68" t="s">
        <v>298</v>
      </c>
      <c r="AY68">
        <v>9</v>
      </c>
      <c r="AZ68">
        <v>-1.4456000000000007</v>
      </c>
      <c r="BA68">
        <v>0.97199999999999931</v>
      </c>
      <c r="BB68">
        <v>-12.720000000000002</v>
      </c>
      <c r="BC68">
        <v>0.83999999999999986</v>
      </c>
      <c r="BD68">
        <v>1.4100000000000006</v>
      </c>
      <c r="BE68">
        <v>13.799999999999999</v>
      </c>
      <c r="BF68">
        <v>1.4900000000000004</v>
      </c>
      <c r="BG68">
        <v>24</v>
      </c>
      <c r="BH68">
        <v>23</v>
      </c>
      <c r="BI68">
        <v>4.4400000000000004</v>
      </c>
      <c r="BJ68">
        <v>23</v>
      </c>
      <c r="BK68">
        <v>20</v>
      </c>
      <c r="BL68">
        <v>32</v>
      </c>
      <c r="BM68">
        <v>5.2129441364179227E-2</v>
      </c>
      <c r="BN68">
        <v>22</v>
      </c>
      <c r="BO68">
        <v>-2.0188714594689506E-2</v>
      </c>
      <c r="BP68">
        <v>11</v>
      </c>
      <c r="BQ68">
        <v>7.572000000000001</v>
      </c>
      <c r="BR68">
        <v>15</v>
      </c>
      <c r="BS68">
        <v>1.4</v>
      </c>
      <c r="BT68">
        <v>1.1199999999999974</v>
      </c>
      <c r="BU68">
        <v>-1.1599999999999995</v>
      </c>
      <c r="BV68">
        <v>1.4</v>
      </c>
      <c r="BW68">
        <v>-19.520000000000003</v>
      </c>
      <c r="BX68">
        <v>4.9599999999999964</v>
      </c>
      <c r="BY68">
        <v>-19.440000000000001</v>
      </c>
      <c r="BZ68">
        <v>-1.8800000000000001</v>
      </c>
      <c r="CA68">
        <v>-3.1599999999999993</v>
      </c>
      <c r="CB68">
        <v>21</v>
      </c>
      <c r="CC68">
        <v>-2.4176000000000002</v>
      </c>
      <c r="CD68">
        <v>-0.49311999999999967</v>
      </c>
      <c r="CE68">
        <v>24.4</v>
      </c>
      <c r="CF68">
        <v>0.46204999999999991</v>
      </c>
    </row>
    <row r="69" spans="1:84" x14ac:dyDescent="0.2">
      <c r="A69" s="39">
        <v>43751</v>
      </c>
      <c r="B69" t="s">
        <v>252</v>
      </c>
      <c r="C69" s="41" t="s">
        <v>278</v>
      </c>
      <c r="D69" t="s">
        <v>310</v>
      </c>
      <c r="E69">
        <v>11.6</v>
      </c>
      <c r="F69">
        <v>1</v>
      </c>
      <c r="G69">
        <v>4.5</v>
      </c>
      <c r="H69">
        <v>3.6</v>
      </c>
      <c r="I69">
        <v>-1</v>
      </c>
      <c r="J69">
        <v>41</v>
      </c>
      <c r="L69" s="4" t="s">
        <v>278</v>
      </c>
      <c r="M69" s="3">
        <v>24</v>
      </c>
      <c r="N69" s="3">
        <v>-2.2351999999999999</v>
      </c>
      <c r="O69">
        <v>2.2060000000000004</v>
      </c>
      <c r="P69">
        <v>17.479999999999997</v>
      </c>
      <c r="Q69">
        <v>2.4500000000000002</v>
      </c>
      <c r="R69">
        <v>0.90099999999999758</v>
      </c>
      <c r="S69">
        <v>5.6200000000000028</v>
      </c>
      <c r="T69">
        <v>0.40000000000000036</v>
      </c>
      <c r="U69">
        <v>10</v>
      </c>
      <c r="V69">
        <v>9</v>
      </c>
      <c r="W69">
        <v>-2.2800000000000002</v>
      </c>
      <c r="X69">
        <v>22</v>
      </c>
      <c r="Y69">
        <v>20.25</v>
      </c>
      <c r="Z69">
        <v>15</v>
      </c>
      <c r="AA69">
        <v>2.3213101329641141E-2</v>
      </c>
      <c r="AB69">
        <v>19</v>
      </c>
      <c r="AC69">
        <v>1.245320076793814E-2</v>
      </c>
      <c r="AD69">
        <v>28</v>
      </c>
      <c r="AE69">
        <v>6.3480000000000061</v>
      </c>
      <c r="AF69">
        <v>19</v>
      </c>
      <c r="AG69">
        <v>-3.9999999999999855E-2</v>
      </c>
      <c r="AH69">
        <v>1</v>
      </c>
      <c r="AI69">
        <v>-2.120000000000001</v>
      </c>
      <c r="AJ69">
        <v>-0.27999999999999997</v>
      </c>
      <c r="AK69">
        <v>-1.0799999999999954</v>
      </c>
      <c r="AL69">
        <v>-5.8800000000000008</v>
      </c>
      <c r="AM69">
        <v>12.6</v>
      </c>
      <c r="AN69">
        <v>-1.48</v>
      </c>
      <c r="AO69">
        <v>-6.32</v>
      </c>
      <c r="AP69">
        <v>26</v>
      </c>
      <c r="AQ69">
        <v>-4.4412000000000003</v>
      </c>
      <c r="AR69">
        <v>-1.3698400000000006</v>
      </c>
      <c r="AS69">
        <v>-18.48</v>
      </c>
      <c r="AT69">
        <v>4.4412000000000003</v>
      </c>
      <c r="AU69">
        <v>0.35897499999999977</v>
      </c>
      <c r="AV69">
        <v>-1.1117000000000001</v>
      </c>
      <c r="AW69">
        <v>-1.1539000000000004</v>
      </c>
      <c r="AX69" t="s">
        <v>310</v>
      </c>
      <c r="AY69">
        <v>11</v>
      </c>
      <c r="AZ69">
        <v>-0.70399999999999885</v>
      </c>
      <c r="BA69">
        <v>-4.3359999999999994</v>
      </c>
      <c r="BB69">
        <v>-26.36</v>
      </c>
      <c r="BC69">
        <v>1.0399999999999998</v>
      </c>
      <c r="BD69">
        <v>-1.0360000000000018</v>
      </c>
      <c r="BE69">
        <v>-8.2399999999999984</v>
      </c>
      <c r="BF69">
        <v>1.3599999999999994</v>
      </c>
      <c r="BG69">
        <v>3</v>
      </c>
      <c r="BH69">
        <v>3.5</v>
      </c>
      <c r="BI69">
        <v>7.9999999999999891E-2</v>
      </c>
      <c r="BJ69">
        <v>15</v>
      </c>
      <c r="BK69">
        <v>15.75</v>
      </c>
      <c r="BL69">
        <v>16</v>
      </c>
      <c r="BM69">
        <v>-5.0217051769135469E-2</v>
      </c>
      <c r="BN69">
        <v>21</v>
      </c>
      <c r="BO69">
        <v>1.2881196572488837E-2</v>
      </c>
      <c r="BP69">
        <v>13</v>
      </c>
      <c r="BQ69">
        <v>3.6360000000000001</v>
      </c>
      <c r="BR69">
        <v>13</v>
      </c>
      <c r="BS69">
        <v>2</v>
      </c>
      <c r="BT69">
        <v>0.59999999999999853</v>
      </c>
      <c r="BU69">
        <v>-3.6799999999999997</v>
      </c>
      <c r="BV69">
        <v>-0.64</v>
      </c>
      <c r="BW69">
        <v>-7.6</v>
      </c>
      <c r="BX69">
        <v>-2.8000000000000056</v>
      </c>
      <c r="BY69">
        <v>-13.040000000000001</v>
      </c>
      <c r="BZ69">
        <v>0.96000000000000019</v>
      </c>
      <c r="CA69">
        <v>7.2799999999999994</v>
      </c>
      <c r="CB69">
        <v>8</v>
      </c>
      <c r="CC69">
        <v>3.632000000000001</v>
      </c>
      <c r="CD69">
        <v>1.8199999999999996</v>
      </c>
      <c r="CE69">
        <v>10.239999999999995</v>
      </c>
      <c r="CF69">
        <v>-1.0694999999999999</v>
      </c>
    </row>
    <row r="70" spans="1:84" x14ac:dyDescent="0.2">
      <c r="A70" s="39">
        <v>43751</v>
      </c>
      <c r="B70" s="23" t="s">
        <v>252</v>
      </c>
      <c r="C70" s="41" t="s">
        <v>299</v>
      </c>
      <c r="D70" s="22" t="s">
        <v>300</v>
      </c>
      <c r="E70">
        <v>20.100000000000001</v>
      </c>
      <c r="F70" s="14">
        <v>3.7</v>
      </c>
      <c r="G70">
        <v>6.8</v>
      </c>
      <c r="H70">
        <f>6.1+1.8</f>
        <v>7.8999999999999995</v>
      </c>
      <c r="I70">
        <v>3.5</v>
      </c>
      <c r="J70">
        <v>47</v>
      </c>
      <c r="L70" s="1" t="s">
        <v>299</v>
      </c>
      <c r="M70">
        <v>15</v>
      </c>
      <c r="N70">
        <v>5.6799999999999427E-2</v>
      </c>
      <c r="O70">
        <v>-6.3639999999999999</v>
      </c>
      <c r="P70">
        <v>-28.120000000000005</v>
      </c>
      <c r="Q70">
        <v>-1.56</v>
      </c>
      <c r="R70">
        <v>4.9679999999999991</v>
      </c>
      <c r="S70">
        <v>29.959999999999997</v>
      </c>
      <c r="T70">
        <v>2.2800000000000002</v>
      </c>
      <c r="U70">
        <v>23</v>
      </c>
      <c r="V70">
        <v>22.5</v>
      </c>
      <c r="W70">
        <v>2.6800000000000006</v>
      </c>
      <c r="X70">
        <v>5</v>
      </c>
      <c r="Y70">
        <v>9</v>
      </c>
      <c r="Z70">
        <v>6</v>
      </c>
      <c r="AA70">
        <v>-4.6671000339999956E-2</v>
      </c>
      <c r="AB70">
        <v>12</v>
      </c>
      <c r="AC70">
        <v>-1.6341383249389139E-2</v>
      </c>
      <c r="AD70">
        <v>9</v>
      </c>
      <c r="AE70">
        <v>-14.811999999999998</v>
      </c>
      <c r="AF70">
        <v>9</v>
      </c>
      <c r="AG70">
        <v>-0.75999999999999979</v>
      </c>
      <c r="AH70">
        <v>2.0799999999999983</v>
      </c>
      <c r="AI70">
        <v>0.99999999999999933</v>
      </c>
      <c r="AJ70">
        <v>0.83999999999999986</v>
      </c>
      <c r="AK70">
        <v>-3.3199999999999932</v>
      </c>
      <c r="AL70">
        <v>14.919999999999993</v>
      </c>
      <c r="AM70">
        <v>-11.599999999999998</v>
      </c>
      <c r="AN70">
        <v>-2.4799999999999995</v>
      </c>
      <c r="AO70">
        <v>-4.16</v>
      </c>
      <c r="AP70">
        <v>5</v>
      </c>
      <c r="AQ70">
        <v>6.420799999999999</v>
      </c>
      <c r="AR70">
        <v>4.1869599999999991</v>
      </c>
      <c r="AS70">
        <v>26.519999999999989</v>
      </c>
      <c r="AT70">
        <v>-6.420799999999999</v>
      </c>
      <c r="AU70">
        <v>0.3675999999999997</v>
      </c>
      <c r="AV70">
        <v>-0.45779999999999993</v>
      </c>
      <c r="AW70">
        <v>-0.10460000000000007</v>
      </c>
      <c r="AX70" t="s">
        <v>300</v>
      </c>
      <c r="AY70">
        <v>21</v>
      </c>
      <c r="AZ70">
        <v>-2.0599999999999996</v>
      </c>
      <c r="BA70">
        <v>5.22</v>
      </c>
      <c r="BB70">
        <v>14.199999999999996</v>
      </c>
      <c r="BC70">
        <v>-4.0000000000000063E-2</v>
      </c>
      <c r="BD70">
        <v>-7.0479999999999983</v>
      </c>
      <c r="BE70">
        <v>-13.24</v>
      </c>
      <c r="BF70">
        <v>-0.43999999999999972</v>
      </c>
      <c r="BG70">
        <v>6</v>
      </c>
      <c r="BH70">
        <v>5</v>
      </c>
      <c r="BI70">
        <v>-3.7199999999999998</v>
      </c>
      <c r="BJ70">
        <v>29</v>
      </c>
      <c r="BK70">
        <v>24</v>
      </c>
      <c r="BL70">
        <v>17</v>
      </c>
      <c r="BM70">
        <v>8.8121797504564878E-2</v>
      </c>
      <c r="BN70">
        <v>23</v>
      </c>
      <c r="BO70">
        <v>1.2524227984281152E-2</v>
      </c>
      <c r="BP70">
        <v>27</v>
      </c>
      <c r="BQ70">
        <v>-9.5479999999999929</v>
      </c>
      <c r="BR70">
        <v>29</v>
      </c>
      <c r="BS70">
        <v>3.5200000000000005</v>
      </c>
      <c r="BT70">
        <v>3.2399999999999993</v>
      </c>
      <c r="BU70">
        <v>-2.9199999999999995</v>
      </c>
      <c r="BV70">
        <v>-0.91999999999999993</v>
      </c>
      <c r="BW70">
        <v>29.560000000000002</v>
      </c>
      <c r="BX70">
        <v>15.000000000000005</v>
      </c>
      <c r="BY70">
        <v>12.88</v>
      </c>
      <c r="BZ70">
        <v>-2.6799999999999997</v>
      </c>
      <c r="CA70">
        <v>4.3600000000000012</v>
      </c>
      <c r="CB70">
        <v>28</v>
      </c>
      <c r="CC70">
        <v>-7.2799999999999994</v>
      </c>
      <c r="CD70">
        <v>-4.4315999999999995</v>
      </c>
      <c r="CE70">
        <v>2.1200000000000045</v>
      </c>
      <c r="CF70">
        <v>-0.81099999999999983</v>
      </c>
    </row>
    <row r="71" spans="1:84" x14ac:dyDescent="0.2">
      <c r="A71" s="39">
        <v>43751</v>
      </c>
      <c r="B71" s="22" t="s">
        <v>252</v>
      </c>
      <c r="C71" s="41" t="s">
        <v>300</v>
      </c>
      <c r="D71" s="22" t="s">
        <v>299</v>
      </c>
      <c r="E71" s="30">
        <v>7</v>
      </c>
      <c r="F71" s="3">
        <v>16.5</v>
      </c>
      <c r="G71" s="3">
        <v>7.7</v>
      </c>
      <c r="H71">
        <v>10.7</v>
      </c>
      <c r="I71">
        <v>-3.5</v>
      </c>
      <c r="J71">
        <v>47</v>
      </c>
      <c r="L71" s="1" t="s">
        <v>300</v>
      </c>
      <c r="M71">
        <v>12</v>
      </c>
      <c r="N71">
        <v>1.6271999999999998</v>
      </c>
      <c r="O71">
        <v>7.5740000000000016</v>
      </c>
      <c r="P71">
        <v>5.5200000000000014</v>
      </c>
      <c r="Q71">
        <v>-0.68999999999999984</v>
      </c>
      <c r="R71">
        <v>-2.2190000000000012</v>
      </c>
      <c r="S71">
        <v>9.5000000000000018</v>
      </c>
      <c r="T71">
        <v>-1.5599999999999996</v>
      </c>
      <c r="U71">
        <v>31</v>
      </c>
      <c r="V71">
        <v>31</v>
      </c>
      <c r="W71">
        <v>3.5200000000000005</v>
      </c>
      <c r="X71">
        <v>16</v>
      </c>
      <c r="Y71">
        <v>14.5</v>
      </c>
      <c r="Z71">
        <v>17</v>
      </c>
      <c r="AA71">
        <v>4.9381937038810844E-2</v>
      </c>
      <c r="AB71">
        <v>14</v>
      </c>
      <c r="AC71">
        <v>-7.6003156759539532E-3</v>
      </c>
      <c r="AD71">
        <v>3</v>
      </c>
      <c r="AE71">
        <v>2.644000000000001</v>
      </c>
      <c r="AF71">
        <v>24</v>
      </c>
      <c r="AG71">
        <v>-3.7199999999999998</v>
      </c>
      <c r="AH71">
        <v>0.24000000000000057</v>
      </c>
      <c r="AI71">
        <v>6.3999999999999995</v>
      </c>
      <c r="AJ71">
        <v>-0.55999999999999994</v>
      </c>
      <c r="AK71">
        <v>17.600000000000012</v>
      </c>
      <c r="AL71">
        <v>16.799999999999994</v>
      </c>
      <c r="AM71">
        <v>0.8</v>
      </c>
      <c r="AN71">
        <v>-3.72</v>
      </c>
      <c r="AO71">
        <v>3.72</v>
      </c>
      <c r="AP71">
        <v>27</v>
      </c>
      <c r="AQ71">
        <v>-5.9468000000000014</v>
      </c>
      <c r="AR71">
        <v>-3.9053600000000013</v>
      </c>
      <c r="AS71">
        <v>15.999999999999993</v>
      </c>
      <c r="AT71">
        <v>5.9468000000000014</v>
      </c>
      <c r="AU71">
        <v>0.94777499999999992</v>
      </c>
      <c r="AV71">
        <v>-0.45779999999999993</v>
      </c>
      <c r="AW71">
        <v>-0.81099999999999983</v>
      </c>
      <c r="AX71" t="s">
        <v>299</v>
      </c>
      <c r="AY71">
        <v>3</v>
      </c>
      <c r="AZ71">
        <v>-1.0287999999999999</v>
      </c>
      <c r="BA71">
        <v>3.2319999999999984</v>
      </c>
      <c r="BB71">
        <v>24.96</v>
      </c>
      <c r="BC71">
        <v>-7.9999999999999793E-2</v>
      </c>
      <c r="BD71">
        <v>-4.0399999999999983</v>
      </c>
      <c r="BE71">
        <v>-3.7199999999999962</v>
      </c>
      <c r="BF71">
        <v>2.0799999999999996</v>
      </c>
      <c r="BG71">
        <v>12</v>
      </c>
      <c r="BH71">
        <v>12.5</v>
      </c>
      <c r="BI71">
        <v>-0.75999999999999979</v>
      </c>
      <c r="BJ71">
        <v>24</v>
      </c>
      <c r="BK71">
        <v>21</v>
      </c>
      <c r="BL71">
        <v>26</v>
      </c>
      <c r="BM71">
        <v>-6.0338078712177411E-2</v>
      </c>
      <c r="BN71">
        <v>23</v>
      </c>
      <c r="BO71">
        <v>-1.0454141513245056E-2</v>
      </c>
      <c r="BP71">
        <v>5</v>
      </c>
      <c r="BQ71">
        <v>-7.5119999999999987</v>
      </c>
      <c r="BR71">
        <v>30</v>
      </c>
      <c r="BS71">
        <v>2.6800000000000006</v>
      </c>
      <c r="BT71">
        <v>4.92</v>
      </c>
      <c r="BU71">
        <v>-1.1199999999999997</v>
      </c>
      <c r="BV71">
        <v>0.27999999999999997</v>
      </c>
      <c r="BW71">
        <v>38.519999999999996</v>
      </c>
      <c r="BX71">
        <v>7.2000000000000117</v>
      </c>
      <c r="BY71">
        <v>21.639999999999997</v>
      </c>
      <c r="BZ71">
        <v>2</v>
      </c>
      <c r="CA71">
        <v>7.6799999999999979</v>
      </c>
      <c r="CB71">
        <v>24</v>
      </c>
      <c r="CC71">
        <v>-4.2607999999999979</v>
      </c>
      <c r="CD71">
        <v>-2.6297599999999988</v>
      </c>
      <c r="CE71">
        <v>-14.439999999999985</v>
      </c>
      <c r="CF71">
        <v>-0.10460000000000007</v>
      </c>
    </row>
    <row r="72" spans="1:84" x14ac:dyDescent="0.2">
      <c r="A72" s="39">
        <v>43751</v>
      </c>
      <c r="B72" s="22" t="s">
        <v>252</v>
      </c>
      <c r="C72" s="41" t="s">
        <v>311</v>
      </c>
      <c r="D72" s="22" t="s">
        <v>288</v>
      </c>
      <c r="E72">
        <v>16.5</v>
      </c>
      <c r="F72" s="14">
        <v>9.4</v>
      </c>
      <c r="G72">
        <v>7.9</v>
      </c>
      <c r="H72">
        <f>12.9+6.9</f>
        <v>19.8</v>
      </c>
      <c r="I72">
        <v>3.5</v>
      </c>
      <c r="J72">
        <v>54.5</v>
      </c>
      <c r="K72" t="s">
        <v>109</v>
      </c>
      <c r="L72" s="1" t="s">
        <v>311</v>
      </c>
      <c r="M72">
        <v>4</v>
      </c>
      <c r="N72">
        <v>5.7455999999999978</v>
      </c>
      <c r="O72">
        <v>-5.3520000000000003</v>
      </c>
      <c r="P72">
        <v>2.0800000000000018</v>
      </c>
      <c r="Q72">
        <v>-1.3199999999999998</v>
      </c>
      <c r="R72">
        <v>10.976000000000003</v>
      </c>
      <c r="S72">
        <v>42.72</v>
      </c>
      <c r="T72">
        <v>2.52</v>
      </c>
      <c r="U72">
        <v>22</v>
      </c>
      <c r="V72">
        <v>20.5</v>
      </c>
      <c r="W72">
        <v>0.91999999999999993</v>
      </c>
      <c r="X72">
        <v>20</v>
      </c>
      <c r="Y72">
        <v>17.5</v>
      </c>
      <c r="Z72">
        <v>1</v>
      </c>
      <c r="AA72">
        <v>4.2425775435519626E-2</v>
      </c>
      <c r="AB72">
        <v>24</v>
      </c>
      <c r="AC72">
        <v>1.9633256402785942E-2</v>
      </c>
      <c r="AD72">
        <v>15</v>
      </c>
      <c r="AE72">
        <v>4.788000000000002</v>
      </c>
      <c r="AF72">
        <v>30</v>
      </c>
      <c r="AG72">
        <v>-0.4799999999999997</v>
      </c>
      <c r="AH72">
        <v>-0.75999999999999945</v>
      </c>
      <c r="AI72">
        <v>1.36</v>
      </c>
      <c r="AJ72">
        <v>0.83999999999999986</v>
      </c>
      <c r="AK72">
        <v>27.279999999999994</v>
      </c>
      <c r="AL72">
        <v>21.840000000000003</v>
      </c>
      <c r="AM72">
        <v>-0.27999999999999831</v>
      </c>
      <c r="AN72">
        <v>-2.2000000000000002</v>
      </c>
      <c r="AO72">
        <v>7.92</v>
      </c>
      <c r="AP72">
        <v>1</v>
      </c>
      <c r="AQ72">
        <v>11.097599999999998</v>
      </c>
      <c r="AR72">
        <v>6.0203200000000008</v>
      </c>
      <c r="AS72">
        <v>22.12</v>
      </c>
      <c r="AT72">
        <v>-11.097599999999998</v>
      </c>
      <c r="AU72">
        <v>1.3362000000000001</v>
      </c>
      <c r="AV72">
        <v>0.19089999999999996</v>
      </c>
      <c r="AW72">
        <v>0.40449999999999997</v>
      </c>
      <c r="AX72" t="s">
        <v>288</v>
      </c>
      <c r="AY72">
        <v>7</v>
      </c>
      <c r="AZ72">
        <v>-0.58559999999999945</v>
      </c>
      <c r="BA72">
        <v>3.984</v>
      </c>
      <c r="BB72">
        <v>26.799999999999997</v>
      </c>
      <c r="BC72">
        <v>1.1000000000000001</v>
      </c>
      <c r="BD72">
        <v>-3.7000000000000006</v>
      </c>
      <c r="BE72">
        <v>-3.5600000000000005</v>
      </c>
      <c r="BF72">
        <v>-1.0399999999999998</v>
      </c>
      <c r="BG72">
        <v>20</v>
      </c>
      <c r="BH72">
        <v>21</v>
      </c>
      <c r="BI72">
        <v>-2.7199999999999998</v>
      </c>
      <c r="BJ72">
        <v>2</v>
      </c>
      <c r="BK72">
        <v>7.25</v>
      </c>
      <c r="BL72">
        <v>4</v>
      </c>
      <c r="BM72">
        <v>2.9779749585955716E-2</v>
      </c>
      <c r="BN72">
        <v>13</v>
      </c>
      <c r="BO72">
        <v>1.3153321774424756E-3</v>
      </c>
      <c r="BP72">
        <v>3</v>
      </c>
      <c r="BQ72">
        <v>9.4640000000000022</v>
      </c>
      <c r="BR72">
        <v>9</v>
      </c>
      <c r="BS72">
        <v>1.2399999999999998</v>
      </c>
      <c r="BT72">
        <v>1.4399999999999991</v>
      </c>
      <c r="BU72">
        <v>-1.1200000000000003</v>
      </c>
      <c r="BV72">
        <v>-0.55999999999999994</v>
      </c>
      <c r="BW72">
        <v>19.880000000000006</v>
      </c>
      <c r="BX72">
        <v>3.7600000000000025</v>
      </c>
      <c r="BY72">
        <v>22.2</v>
      </c>
      <c r="BZ72">
        <v>-1.6</v>
      </c>
      <c r="CA72">
        <v>-4.4799999999999995</v>
      </c>
      <c r="CB72">
        <v>25</v>
      </c>
      <c r="CC72">
        <v>-4.5695999999999994</v>
      </c>
      <c r="CD72">
        <v>-2.8491200000000001</v>
      </c>
      <c r="CE72">
        <v>-18.439999999999998</v>
      </c>
      <c r="CF72">
        <v>-2.2700000000000043E-2</v>
      </c>
    </row>
    <row r="73" spans="1:84" x14ac:dyDescent="0.2">
      <c r="A73" s="39">
        <v>43751</v>
      </c>
      <c r="B73" s="22" t="s">
        <v>252</v>
      </c>
      <c r="C73" s="41" t="s">
        <v>297</v>
      </c>
      <c r="D73" s="22" t="s">
        <v>307</v>
      </c>
      <c r="E73">
        <v>8.3000000000000007</v>
      </c>
      <c r="F73">
        <v>7.3</v>
      </c>
      <c r="G73">
        <v>0</v>
      </c>
      <c r="H73">
        <f>2.6+1.5</f>
        <v>4.0999999999999996</v>
      </c>
      <c r="I73">
        <v>-2.5</v>
      </c>
      <c r="J73">
        <v>42.5</v>
      </c>
      <c r="K73" t="s">
        <v>110</v>
      </c>
      <c r="L73" s="1" t="s">
        <v>297</v>
      </c>
      <c r="M73">
        <v>6</v>
      </c>
      <c r="N73">
        <v>4.1199999999999992</v>
      </c>
      <c r="O73">
        <v>-2.2839999999999985</v>
      </c>
      <c r="P73">
        <v>16.32</v>
      </c>
      <c r="Q73">
        <v>-0.75999999999999979</v>
      </c>
      <c r="R73">
        <v>9.452</v>
      </c>
      <c r="S73">
        <v>40.840000000000003</v>
      </c>
      <c r="T73">
        <v>0.35999999999999976</v>
      </c>
      <c r="U73">
        <v>27</v>
      </c>
      <c r="V73">
        <v>27</v>
      </c>
      <c r="W73">
        <v>-0.83999999999999986</v>
      </c>
      <c r="X73">
        <v>7</v>
      </c>
      <c r="Y73">
        <v>11.25</v>
      </c>
      <c r="Z73">
        <v>7</v>
      </c>
      <c r="AA73">
        <v>3.020129333117717E-2</v>
      </c>
      <c r="AB73">
        <v>17</v>
      </c>
      <c r="AC73">
        <v>-3.3467236141587987E-3</v>
      </c>
      <c r="AD73">
        <v>18</v>
      </c>
      <c r="AE73">
        <v>3.883999999999999</v>
      </c>
      <c r="AF73">
        <v>3</v>
      </c>
      <c r="AG73">
        <v>-0.67999999999999972</v>
      </c>
      <c r="AH73">
        <v>-2.6399999999999992</v>
      </c>
      <c r="AI73">
        <v>2</v>
      </c>
      <c r="AJ73">
        <v>-0.27999999999999997</v>
      </c>
      <c r="AK73">
        <v>41.11999999999999</v>
      </c>
      <c r="AL73">
        <v>26.4</v>
      </c>
      <c r="AM73">
        <v>10.159999999999997</v>
      </c>
      <c r="AN73">
        <v>-4.04</v>
      </c>
      <c r="AO73">
        <v>8.6</v>
      </c>
      <c r="AP73">
        <v>6</v>
      </c>
      <c r="AQ73">
        <v>6.4039999999999981</v>
      </c>
      <c r="AR73">
        <v>3.8563999999999998</v>
      </c>
      <c r="AS73">
        <v>16.240000000000002</v>
      </c>
      <c r="AT73">
        <v>-6.4039999999999981</v>
      </c>
      <c r="AU73">
        <v>1.5660000000000003</v>
      </c>
      <c r="AV73">
        <v>-1.2846499999999998</v>
      </c>
      <c r="AW73">
        <v>-0.94689999999999996</v>
      </c>
      <c r="AX73" t="s">
        <v>307</v>
      </c>
      <c r="AY73">
        <v>18</v>
      </c>
      <c r="AZ73">
        <v>0.73280000000000245</v>
      </c>
      <c r="BA73">
        <v>-2.46</v>
      </c>
      <c r="BB73">
        <v>-16.920000000000002</v>
      </c>
      <c r="BC73">
        <v>1.3199999999999998</v>
      </c>
      <c r="BD73">
        <v>-8.6120000000000019</v>
      </c>
      <c r="BE73">
        <v>-27.480000000000008</v>
      </c>
      <c r="BF73">
        <v>-3.7200000000000006</v>
      </c>
      <c r="BG73">
        <v>8</v>
      </c>
      <c r="BH73">
        <v>8.5</v>
      </c>
      <c r="BI73">
        <v>-2.6</v>
      </c>
      <c r="BJ73">
        <v>17</v>
      </c>
      <c r="BK73">
        <v>16</v>
      </c>
      <c r="BL73">
        <v>6</v>
      </c>
      <c r="BM73">
        <v>4.0878567474878627E-2</v>
      </c>
      <c r="BN73">
        <v>18</v>
      </c>
      <c r="BO73">
        <v>2.1314766936584725E-2</v>
      </c>
      <c r="BP73">
        <v>21</v>
      </c>
      <c r="BQ73">
        <v>-5.4600000000000009</v>
      </c>
      <c r="BR73">
        <v>19</v>
      </c>
      <c r="BS73">
        <v>1.6800000000000002</v>
      </c>
      <c r="BT73">
        <v>-3.5199999999999987</v>
      </c>
      <c r="BU73">
        <v>-2.9200000000000004</v>
      </c>
      <c r="BV73">
        <v>-1.4</v>
      </c>
      <c r="BW73">
        <v>-30.839999999999996</v>
      </c>
      <c r="BX73">
        <v>-19.239999999999998</v>
      </c>
      <c r="BY73">
        <v>-17.88</v>
      </c>
      <c r="BZ73">
        <v>1.04</v>
      </c>
      <c r="CA73">
        <v>5.24</v>
      </c>
      <c r="CB73">
        <v>9</v>
      </c>
      <c r="CC73">
        <v>3.1928000000000023</v>
      </c>
      <c r="CD73">
        <v>-0.3458399999999997</v>
      </c>
      <c r="CE73">
        <v>-1.3599999999999994</v>
      </c>
      <c r="CF73">
        <v>-1.6223999999999998</v>
      </c>
    </row>
    <row r="74" spans="1:84" x14ac:dyDescent="0.2">
      <c r="A74" s="39">
        <v>43751</v>
      </c>
      <c r="B74" s="22" t="s">
        <v>252</v>
      </c>
      <c r="C74" s="41" t="s">
        <v>288</v>
      </c>
      <c r="D74" s="22" t="s">
        <v>311</v>
      </c>
      <c r="E74">
        <v>25</v>
      </c>
      <c r="F74" s="14">
        <v>8.5</v>
      </c>
      <c r="G74">
        <v>4.4000000000000004</v>
      </c>
      <c r="H74">
        <v>9.8000000000000007</v>
      </c>
      <c r="I74">
        <v>-3.5</v>
      </c>
      <c r="J74">
        <v>54.5</v>
      </c>
      <c r="K74" t="s">
        <v>109</v>
      </c>
      <c r="L74" s="1" t="s">
        <v>288</v>
      </c>
      <c r="M74">
        <v>1</v>
      </c>
      <c r="N74">
        <v>7.8775999999999984</v>
      </c>
      <c r="O74">
        <v>0.34959999999999924</v>
      </c>
      <c r="P74">
        <v>-23.4</v>
      </c>
      <c r="Q74">
        <v>1.1200000000000001</v>
      </c>
      <c r="R74">
        <v>16.004000000000001</v>
      </c>
      <c r="S74">
        <v>86.4</v>
      </c>
      <c r="T74">
        <v>4.2799999999999994</v>
      </c>
      <c r="U74">
        <v>15</v>
      </c>
      <c r="V74">
        <v>14.5</v>
      </c>
      <c r="W74">
        <v>1.2399999999999998</v>
      </c>
      <c r="X74">
        <v>29</v>
      </c>
      <c r="Y74">
        <v>25</v>
      </c>
      <c r="Z74">
        <v>26</v>
      </c>
      <c r="AA74">
        <v>-2.272091929463993E-2</v>
      </c>
      <c r="AB74">
        <v>23</v>
      </c>
      <c r="AC74">
        <v>-2.4195046901238412E-2</v>
      </c>
      <c r="AD74">
        <v>25</v>
      </c>
      <c r="AE74">
        <v>4.7959999999999976</v>
      </c>
      <c r="AF74">
        <v>26</v>
      </c>
      <c r="AG74">
        <v>-2.7199999999999998</v>
      </c>
      <c r="AH74">
        <v>1.8800000000000012</v>
      </c>
      <c r="AI74">
        <v>4.6399999999999988</v>
      </c>
      <c r="AJ74">
        <v>0.55999999999999983</v>
      </c>
      <c r="AK74">
        <v>65.2</v>
      </c>
      <c r="AL74">
        <v>89.44</v>
      </c>
      <c r="AM74">
        <v>-24.4</v>
      </c>
      <c r="AN74">
        <v>-4.04</v>
      </c>
      <c r="AO74">
        <v>4.2000000000000011</v>
      </c>
      <c r="AP74">
        <v>2</v>
      </c>
      <c r="AQ74">
        <v>7.5279999999999987</v>
      </c>
      <c r="AR74">
        <v>4.6015200000000007</v>
      </c>
      <c r="AS74">
        <v>113.84</v>
      </c>
      <c r="AT74">
        <v>-7.5279999999999987</v>
      </c>
      <c r="AU74">
        <v>3.2639</v>
      </c>
      <c r="AV74">
        <v>0.19089999999999996</v>
      </c>
      <c r="AW74">
        <v>-2.2700000000000043E-2</v>
      </c>
      <c r="AX74" t="s">
        <v>311</v>
      </c>
      <c r="AY74">
        <v>6</v>
      </c>
      <c r="AZ74">
        <v>2.3008000000000002</v>
      </c>
      <c r="BA74">
        <v>-0.62880000000000036</v>
      </c>
      <c r="BB74">
        <v>-16.520000000000003</v>
      </c>
      <c r="BC74">
        <v>1.3600000000000003</v>
      </c>
      <c r="BD74">
        <v>0.44399999999999995</v>
      </c>
      <c r="BE74">
        <v>0.83999999999999986</v>
      </c>
      <c r="BF74">
        <v>0.91999999999999904</v>
      </c>
      <c r="BG74">
        <v>22</v>
      </c>
      <c r="BH74">
        <v>21.5</v>
      </c>
      <c r="BI74">
        <v>-0.4799999999999997</v>
      </c>
      <c r="BJ74">
        <v>27</v>
      </c>
      <c r="BK74">
        <v>22.75</v>
      </c>
      <c r="BL74">
        <v>31</v>
      </c>
      <c r="BM74">
        <v>3.7047734958900881E-2</v>
      </c>
      <c r="BN74">
        <v>30</v>
      </c>
      <c r="BO74">
        <v>1.3651769396303429E-2</v>
      </c>
      <c r="BP74">
        <v>2</v>
      </c>
      <c r="BQ74">
        <v>-5.3160000000000043</v>
      </c>
      <c r="BR74">
        <v>28</v>
      </c>
      <c r="BS74">
        <v>0.91999999999999993</v>
      </c>
      <c r="BT74">
        <v>1.8799999999999983</v>
      </c>
      <c r="BU74">
        <v>0.80000000000000071</v>
      </c>
      <c r="BV74">
        <v>-1.2</v>
      </c>
      <c r="BW74">
        <v>-1.0000000000000113</v>
      </c>
      <c r="BX74">
        <v>12.520000000000005</v>
      </c>
      <c r="BY74">
        <v>-16.88</v>
      </c>
      <c r="BZ74">
        <v>-1.52</v>
      </c>
      <c r="CA74">
        <v>4.88</v>
      </c>
      <c r="CB74">
        <v>12</v>
      </c>
      <c r="CC74">
        <v>2.9296000000000006</v>
      </c>
      <c r="CD74">
        <v>0.86336000000000013</v>
      </c>
      <c r="CE74">
        <v>29.400000000000006</v>
      </c>
      <c r="CF74">
        <v>0.40449999999999997</v>
      </c>
    </row>
    <row r="75" spans="1:84" x14ac:dyDescent="0.2">
      <c r="A75" s="39">
        <v>43751</v>
      </c>
      <c r="B75" s="22" t="s">
        <v>252</v>
      </c>
      <c r="C75" s="41" t="s">
        <v>287</v>
      </c>
      <c r="D75" s="22" t="s">
        <v>309</v>
      </c>
      <c r="E75">
        <v>5.3</v>
      </c>
      <c r="F75">
        <v>12.2</v>
      </c>
      <c r="G75">
        <v>6.3</v>
      </c>
      <c r="H75">
        <f>33+2.5</f>
        <v>35.5</v>
      </c>
      <c r="I75">
        <v>-6</v>
      </c>
      <c r="J75">
        <v>42.5</v>
      </c>
      <c r="L75" s="1" t="s">
        <v>287</v>
      </c>
      <c r="M75">
        <v>22</v>
      </c>
      <c r="N75">
        <v>-1.4359999999999999</v>
      </c>
      <c r="O75">
        <v>6.34</v>
      </c>
      <c r="P75">
        <v>-18.920000000000002</v>
      </c>
      <c r="Q75">
        <v>4.2799999999999994</v>
      </c>
      <c r="R75">
        <v>-4.791999999999998</v>
      </c>
      <c r="S75">
        <v>2.1600000000000072</v>
      </c>
      <c r="T75">
        <v>-1.1599999999999993</v>
      </c>
      <c r="U75">
        <v>4</v>
      </c>
      <c r="V75">
        <v>7</v>
      </c>
      <c r="W75">
        <v>-0.56000000000000016</v>
      </c>
      <c r="X75">
        <v>10</v>
      </c>
      <c r="Y75">
        <v>12.75</v>
      </c>
      <c r="Z75">
        <v>24</v>
      </c>
      <c r="AA75">
        <v>4.762281287089546E-2</v>
      </c>
      <c r="AB75">
        <v>12</v>
      </c>
      <c r="AC75">
        <v>4.3710141647736196E-3</v>
      </c>
      <c r="AD75">
        <v>7</v>
      </c>
      <c r="AE75">
        <v>6.6559999999999988</v>
      </c>
      <c r="AF75">
        <v>8</v>
      </c>
      <c r="AG75">
        <v>2.08</v>
      </c>
      <c r="AH75">
        <v>4.0000000000001992E-2</v>
      </c>
      <c r="AI75">
        <v>-4.5600000000000005</v>
      </c>
      <c r="AJ75">
        <v>0</v>
      </c>
      <c r="AK75">
        <v>-4.5999999999999996</v>
      </c>
      <c r="AL75">
        <v>31.32</v>
      </c>
      <c r="AM75">
        <v>-22.439999999999998</v>
      </c>
      <c r="AN75">
        <v>-6.12</v>
      </c>
      <c r="AO75">
        <v>-7.3599999999999994</v>
      </c>
      <c r="AP75">
        <v>28</v>
      </c>
      <c r="AQ75">
        <v>-7.7759999999999998</v>
      </c>
      <c r="AR75">
        <v>-4.4155999999999995</v>
      </c>
      <c r="AS75">
        <v>53.76</v>
      </c>
      <c r="AT75">
        <v>7.7759999999999998</v>
      </c>
      <c r="AU75">
        <v>-4.0999999999999856E-2</v>
      </c>
      <c r="AV75">
        <v>-1.0772999999999999</v>
      </c>
      <c r="AW75">
        <v>-0.62259999999999982</v>
      </c>
      <c r="AX75" t="s">
        <v>309</v>
      </c>
      <c r="AY75">
        <v>31</v>
      </c>
      <c r="AZ75">
        <v>-4.1128</v>
      </c>
      <c r="BA75">
        <v>-5.548</v>
      </c>
      <c r="BB75">
        <v>-10.200000000000006</v>
      </c>
      <c r="BC75">
        <v>0.39999999999999986</v>
      </c>
      <c r="BD75">
        <v>-3.7152000000000007</v>
      </c>
      <c r="BE75">
        <v>-17.039999999999996</v>
      </c>
      <c r="BF75">
        <v>-1.3199999999999998</v>
      </c>
      <c r="BG75">
        <v>30</v>
      </c>
      <c r="BH75">
        <v>27.5</v>
      </c>
      <c r="BI75">
        <v>-4.04</v>
      </c>
      <c r="BJ75">
        <v>1</v>
      </c>
      <c r="BK75">
        <v>5.25</v>
      </c>
      <c r="BL75">
        <v>2</v>
      </c>
      <c r="BM75">
        <v>2.01642254272612E-2</v>
      </c>
      <c r="BN75">
        <v>1</v>
      </c>
      <c r="BO75">
        <v>2.8321291752997892E-2</v>
      </c>
      <c r="BP75">
        <v>16</v>
      </c>
      <c r="BQ75">
        <v>-6.7520000000000007</v>
      </c>
      <c r="BR75">
        <v>2</v>
      </c>
      <c r="BS75">
        <v>3.0799999999999992</v>
      </c>
      <c r="BT75">
        <v>2.0800000000000027</v>
      </c>
      <c r="BU75">
        <v>-2.5600000000000009</v>
      </c>
      <c r="BV75">
        <v>-1.6799999999999997</v>
      </c>
      <c r="BW75">
        <v>-21.320000000000004</v>
      </c>
      <c r="BX75">
        <v>-17.160000000000004</v>
      </c>
      <c r="BY75">
        <v>-3.5599999999999978</v>
      </c>
      <c r="BZ75">
        <v>-2.8</v>
      </c>
      <c r="CA75">
        <v>2.2000000000000002</v>
      </c>
      <c r="CB75">
        <v>16</v>
      </c>
      <c r="CC75">
        <v>1.4351999999999996</v>
      </c>
      <c r="CD75">
        <v>1.2083999999999997</v>
      </c>
      <c r="CE75">
        <v>-13.600000000000005</v>
      </c>
      <c r="CF75">
        <v>-1.532</v>
      </c>
    </row>
    <row r="76" spans="1:84" x14ac:dyDescent="0.2">
      <c r="A76" s="39">
        <v>43751</v>
      </c>
      <c r="B76" s="22" t="s">
        <v>252</v>
      </c>
      <c r="C76" s="41" t="s">
        <v>304</v>
      </c>
      <c r="D76" s="22" t="s">
        <v>256</v>
      </c>
      <c r="E76" s="14">
        <v>5.7</v>
      </c>
      <c r="F76">
        <v>7.6</v>
      </c>
      <c r="G76">
        <v>6.2</v>
      </c>
      <c r="H76">
        <f>5.5+2.9</f>
        <v>8.4</v>
      </c>
      <c r="I76">
        <v>-3</v>
      </c>
      <c r="J76">
        <v>49.5</v>
      </c>
      <c r="K76" t="s">
        <v>109</v>
      </c>
      <c r="L76" s="1" t="s">
        <v>304</v>
      </c>
      <c r="M76">
        <v>21</v>
      </c>
      <c r="N76">
        <v>-1.3296000000000003</v>
      </c>
      <c r="O76">
        <v>-0.45680000000000015</v>
      </c>
      <c r="P76">
        <v>-3.319999999999999</v>
      </c>
      <c r="Q76">
        <v>-1.0399999999999998</v>
      </c>
      <c r="R76">
        <v>18.723999999999997</v>
      </c>
      <c r="S76">
        <v>86.36</v>
      </c>
      <c r="T76">
        <v>11.2</v>
      </c>
      <c r="U76">
        <v>16</v>
      </c>
      <c r="V76">
        <v>15.5</v>
      </c>
      <c r="W76">
        <v>-1.04</v>
      </c>
      <c r="X76">
        <v>23</v>
      </c>
      <c r="Y76">
        <v>20.5</v>
      </c>
      <c r="Z76">
        <v>32</v>
      </c>
      <c r="AA76">
        <v>5.6831637156475913E-2</v>
      </c>
      <c r="AB76">
        <v>29</v>
      </c>
      <c r="AC76">
        <v>-3.317534235534414E-2</v>
      </c>
      <c r="AD76">
        <v>8</v>
      </c>
      <c r="AE76">
        <v>-5.1519999999999992</v>
      </c>
      <c r="AF76">
        <v>13</v>
      </c>
      <c r="AG76">
        <v>-1.1999999999999997</v>
      </c>
      <c r="AH76">
        <v>4.8800000000000008</v>
      </c>
      <c r="AI76">
        <v>5.2</v>
      </c>
      <c r="AJ76">
        <v>-0.43999999999999984</v>
      </c>
      <c r="AK76">
        <v>48.199999999999989</v>
      </c>
      <c r="AL76">
        <v>60.679999999999993</v>
      </c>
      <c r="AM76">
        <v>-6.5199999999999987</v>
      </c>
      <c r="AN76">
        <v>9.0800000000000018</v>
      </c>
      <c r="AO76">
        <v>-15.039999999999997</v>
      </c>
      <c r="AP76">
        <v>22</v>
      </c>
      <c r="AQ76">
        <v>-0.87280000000000013</v>
      </c>
      <c r="AR76">
        <v>3.7072799999999995</v>
      </c>
      <c r="AS76">
        <v>67.199999999999989</v>
      </c>
      <c r="AT76">
        <v>0.87280000000000024</v>
      </c>
      <c r="AU76">
        <v>2.6521999999999997</v>
      </c>
      <c r="AV76">
        <v>-2.0659999999999998</v>
      </c>
      <c r="AW76">
        <v>0.17100000000000018</v>
      </c>
      <c r="AX76" t="s">
        <v>256</v>
      </c>
      <c r="AY76">
        <v>22</v>
      </c>
      <c r="AZ76">
        <v>-6.7359999999999989</v>
      </c>
      <c r="BA76">
        <v>-9.08</v>
      </c>
      <c r="BB76">
        <v>-8.4</v>
      </c>
      <c r="BC76">
        <v>-1.1600000000000004</v>
      </c>
      <c r="BD76">
        <v>-14.128000000000002</v>
      </c>
      <c r="BE76">
        <v>-77.199999999999989</v>
      </c>
      <c r="BF76">
        <v>-5.44</v>
      </c>
      <c r="BG76">
        <v>18</v>
      </c>
      <c r="BH76">
        <v>20</v>
      </c>
      <c r="BI76">
        <v>-0.76</v>
      </c>
      <c r="BJ76">
        <v>13</v>
      </c>
      <c r="BK76">
        <v>14.75</v>
      </c>
      <c r="BL76">
        <v>23</v>
      </c>
      <c r="BM76">
        <v>4.3640317582626875E-2</v>
      </c>
      <c r="BN76">
        <v>8</v>
      </c>
      <c r="BO76">
        <v>3.5577552373849519E-2</v>
      </c>
      <c r="BP76">
        <v>24</v>
      </c>
      <c r="BQ76">
        <v>-18.596000000000004</v>
      </c>
      <c r="BR76">
        <v>4</v>
      </c>
      <c r="BS76">
        <v>5.1599999999999993</v>
      </c>
      <c r="BT76">
        <v>-6.919999999999999</v>
      </c>
      <c r="BU76">
        <v>-10.32</v>
      </c>
      <c r="BV76">
        <v>0.56000000000000005</v>
      </c>
      <c r="BW76">
        <v>-100.32000000000001</v>
      </c>
      <c r="BX76">
        <v>-98.359999999999985</v>
      </c>
      <c r="BY76">
        <v>-9.2799999999999994</v>
      </c>
      <c r="BZ76">
        <v>5.8</v>
      </c>
      <c r="CA76">
        <v>1.52</v>
      </c>
      <c r="CB76">
        <v>13</v>
      </c>
      <c r="CC76">
        <v>2.3440000000000016</v>
      </c>
      <c r="CD76">
        <v>0.36719999999999953</v>
      </c>
      <c r="CE76">
        <v>-89.079999999999984</v>
      </c>
      <c r="CF76">
        <v>-4.3029999999999999</v>
      </c>
    </row>
    <row r="77" spans="1:84" x14ac:dyDescent="0.2">
      <c r="A77" s="39">
        <v>43751</v>
      </c>
      <c r="B77" s="28" t="s">
        <v>252</v>
      </c>
      <c r="C77" s="41" t="s">
        <v>293</v>
      </c>
      <c r="D77" s="28" t="s">
        <v>306</v>
      </c>
      <c r="E77" s="30">
        <v>5.0999999999999996</v>
      </c>
      <c r="F77" s="3">
        <v>11.8</v>
      </c>
      <c r="G77" s="3">
        <v>6.5</v>
      </c>
      <c r="H77" s="3">
        <f>8.1+1.3</f>
        <v>9.4</v>
      </c>
      <c r="I77" s="3">
        <v>6</v>
      </c>
      <c r="J77" s="3">
        <v>42</v>
      </c>
      <c r="K77" s="3"/>
      <c r="L77" s="1" t="s">
        <v>293</v>
      </c>
      <c r="M77">
        <v>31</v>
      </c>
      <c r="N77">
        <v>-6.6383999999999999</v>
      </c>
      <c r="O77">
        <v>-8.9784000000000024</v>
      </c>
      <c r="P77">
        <v>-33.08</v>
      </c>
      <c r="Q77">
        <v>2.7600000000000002</v>
      </c>
      <c r="R77">
        <v>-12.888</v>
      </c>
      <c r="S77">
        <v>-50.879999999999995</v>
      </c>
      <c r="T77">
        <v>-1.4399999999999997</v>
      </c>
      <c r="U77">
        <v>13</v>
      </c>
      <c r="V77">
        <v>12</v>
      </c>
      <c r="W77">
        <v>-6.0399999999999991</v>
      </c>
      <c r="X77">
        <v>16</v>
      </c>
      <c r="Y77">
        <v>14.5</v>
      </c>
      <c r="Z77">
        <v>12</v>
      </c>
      <c r="AA77">
        <v>4.7760040664507467E-2</v>
      </c>
      <c r="AB77">
        <v>10</v>
      </c>
      <c r="AC77">
        <v>3.7307312923229516E-2</v>
      </c>
      <c r="AD77">
        <v>14</v>
      </c>
      <c r="AE77">
        <v>-16.431999999999995</v>
      </c>
      <c r="AF77">
        <v>22</v>
      </c>
      <c r="AG77">
        <v>8.24</v>
      </c>
      <c r="AH77">
        <v>-1.5600000000000009</v>
      </c>
      <c r="AI77">
        <v>-10.16</v>
      </c>
      <c r="AJ77">
        <v>-1.1199999999999999</v>
      </c>
      <c r="AK77">
        <v>-94.11999999999999</v>
      </c>
      <c r="AL77">
        <v>-45.64</v>
      </c>
      <c r="AM77">
        <v>-36</v>
      </c>
      <c r="AN77">
        <v>-7</v>
      </c>
      <c r="AO77">
        <v>-5.4799999999999995</v>
      </c>
      <c r="AP77">
        <v>17</v>
      </c>
      <c r="AQ77">
        <v>2.3400000000000016</v>
      </c>
      <c r="AR77">
        <v>0.58392000000000133</v>
      </c>
      <c r="AS77">
        <v>-9.64</v>
      </c>
      <c r="AT77">
        <v>-2.3400000000000025</v>
      </c>
      <c r="AU77">
        <v>-3.8381000000000003</v>
      </c>
      <c r="AV77">
        <v>1.7779499999999997</v>
      </c>
      <c r="AW77">
        <v>1.7088999999999996</v>
      </c>
      <c r="AX77" t="s">
        <v>306</v>
      </c>
      <c r="AY77">
        <v>22</v>
      </c>
      <c r="AZ77">
        <v>4.0152000000000001</v>
      </c>
      <c r="BA77">
        <v>1.7400000000000002</v>
      </c>
      <c r="BB77">
        <v>12.509999999999998</v>
      </c>
      <c r="BC77">
        <v>0.12999999999999987</v>
      </c>
      <c r="BD77">
        <v>8.5007999999999981</v>
      </c>
      <c r="BE77">
        <v>12.359999999999992</v>
      </c>
      <c r="BF77">
        <v>-0.64000000000000012</v>
      </c>
      <c r="BG77">
        <v>12</v>
      </c>
      <c r="BH77">
        <v>12.5</v>
      </c>
      <c r="BI77">
        <v>1.4800000000000004</v>
      </c>
      <c r="BJ77">
        <v>3</v>
      </c>
      <c r="BK77">
        <v>8</v>
      </c>
      <c r="BL77">
        <v>13</v>
      </c>
      <c r="BM77">
        <v>-2.8309701599881398E-2</v>
      </c>
      <c r="BN77">
        <v>2</v>
      </c>
      <c r="BO77">
        <v>2.5739081704012059E-3</v>
      </c>
      <c r="BP77">
        <v>9</v>
      </c>
      <c r="BQ77">
        <v>18.360000000000003</v>
      </c>
      <c r="BR77">
        <v>8</v>
      </c>
      <c r="BS77">
        <v>-1.56</v>
      </c>
      <c r="BT77">
        <v>2.9199999999999973</v>
      </c>
      <c r="BU77">
        <v>4.92</v>
      </c>
      <c r="BV77">
        <v>0.83999999999999986</v>
      </c>
      <c r="BW77">
        <v>50.640000000000008</v>
      </c>
      <c r="BX77">
        <v>15.8</v>
      </c>
      <c r="BY77">
        <v>21.64</v>
      </c>
      <c r="BZ77">
        <v>2.96</v>
      </c>
      <c r="CA77">
        <v>10.24</v>
      </c>
      <c r="CB77">
        <v>14</v>
      </c>
      <c r="CC77">
        <v>2.2751999999999999</v>
      </c>
      <c r="CD77">
        <v>1.6332</v>
      </c>
      <c r="CE77">
        <v>-5.84</v>
      </c>
      <c r="CF77">
        <v>1.8469999999999998</v>
      </c>
    </row>
    <row r="78" spans="1:84" x14ac:dyDescent="0.2">
      <c r="A78" s="39">
        <v>43751</v>
      </c>
      <c r="B78" s="22" t="s">
        <v>252</v>
      </c>
      <c r="C78" s="41" t="s">
        <v>312</v>
      </c>
      <c r="D78" s="22" t="s">
        <v>294</v>
      </c>
      <c r="E78">
        <v>17.7</v>
      </c>
      <c r="F78">
        <v>46.5</v>
      </c>
      <c r="G78">
        <v>2.6</v>
      </c>
      <c r="H78">
        <f>6.6+4.9</f>
        <v>11.5</v>
      </c>
      <c r="I78">
        <v>-3.5</v>
      </c>
      <c r="J78">
        <v>44</v>
      </c>
      <c r="K78" t="s">
        <v>110</v>
      </c>
      <c r="L78" s="1" t="s">
        <v>312</v>
      </c>
      <c r="M78">
        <v>30</v>
      </c>
      <c r="N78">
        <v>-5.3848000000000003</v>
      </c>
      <c r="O78">
        <v>8.902000000000001</v>
      </c>
      <c r="P78">
        <v>50.800000000000004</v>
      </c>
      <c r="Q78">
        <v>-1.0299999999999998</v>
      </c>
      <c r="R78">
        <v>-14.079000000000001</v>
      </c>
      <c r="S78">
        <v>-48.739999999999995</v>
      </c>
      <c r="T78">
        <v>-8.24</v>
      </c>
      <c r="U78">
        <v>26</v>
      </c>
      <c r="V78">
        <v>25</v>
      </c>
      <c r="W78">
        <v>2.12</v>
      </c>
      <c r="X78">
        <v>28</v>
      </c>
      <c r="Y78">
        <v>24.5</v>
      </c>
      <c r="Z78">
        <v>22</v>
      </c>
      <c r="AA78">
        <v>9.2588759899809872E-2</v>
      </c>
      <c r="AB78">
        <v>27</v>
      </c>
      <c r="AC78">
        <v>1.0555998053454647E-2</v>
      </c>
      <c r="AD78">
        <v>22</v>
      </c>
      <c r="AE78">
        <v>16.312000000000001</v>
      </c>
      <c r="AF78">
        <v>27</v>
      </c>
      <c r="AG78">
        <v>-0.23999999999999991</v>
      </c>
      <c r="AH78">
        <v>-5.4</v>
      </c>
      <c r="AI78">
        <v>-0.12000000000000099</v>
      </c>
      <c r="AJ78">
        <v>4.0000000000000036E-2</v>
      </c>
      <c r="AK78">
        <v>-8.7600000000000016</v>
      </c>
      <c r="AL78">
        <v>-62.52</v>
      </c>
      <c r="AM78">
        <v>57.919999999999995</v>
      </c>
      <c r="AN78">
        <v>-1</v>
      </c>
      <c r="AO78">
        <v>-3.1599999999999997</v>
      </c>
      <c r="AP78">
        <v>31</v>
      </c>
      <c r="AQ78">
        <v>-14.286799999999999</v>
      </c>
      <c r="AR78">
        <v>-8.3437599999999996</v>
      </c>
      <c r="AS78">
        <v>-120.44</v>
      </c>
      <c r="AT78">
        <v>14.286800000000001</v>
      </c>
      <c r="AU78">
        <v>-1.2302250000000001</v>
      </c>
      <c r="AV78">
        <v>-8.989999999999998E-2</v>
      </c>
      <c r="AW78">
        <v>-1.2994000000000001</v>
      </c>
      <c r="AX78" t="s">
        <v>294</v>
      </c>
      <c r="AY78">
        <v>30</v>
      </c>
      <c r="AZ78">
        <v>2.5808000000000009</v>
      </c>
      <c r="BA78">
        <v>-3.6919999999999993</v>
      </c>
      <c r="BB78">
        <v>-28.72</v>
      </c>
      <c r="BC78">
        <v>0.88</v>
      </c>
      <c r="BD78">
        <v>8.7479999999999993</v>
      </c>
      <c r="BE78">
        <v>29.240000000000002</v>
      </c>
      <c r="BF78">
        <v>3.1599999999999997</v>
      </c>
      <c r="BG78">
        <v>31</v>
      </c>
      <c r="BH78">
        <v>28.5</v>
      </c>
      <c r="BI78">
        <v>-1.2800000000000002</v>
      </c>
      <c r="BJ78">
        <v>4</v>
      </c>
      <c r="BK78">
        <v>8.75</v>
      </c>
      <c r="BL78">
        <v>3</v>
      </c>
      <c r="BM78">
        <v>7.5912896900556331E-2</v>
      </c>
      <c r="BN78">
        <v>4</v>
      </c>
      <c r="BO78">
        <v>-8.9269579253529237E-3</v>
      </c>
      <c r="BP78">
        <v>14</v>
      </c>
      <c r="BQ78">
        <v>-1.4600000000000009</v>
      </c>
      <c r="BR78">
        <v>14</v>
      </c>
      <c r="BS78">
        <v>0.68000000000000038</v>
      </c>
      <c r="BT78">
        <v>0.35999999999999943</v>
      </c>
      <c r="BU78">
        <v>2.9600000000000004</v>
      </c>
      <c r="BV78">
        <v>0.2</v>
      </c>
      <c r="BW78">
        <v>12.759999999999996</v>
      </c>
      <c r="BX78">
        <v>29.52000000000001</v>
      </c>
      <c r="BY78">
        <v>-18.68</v>
      </c>
      <c r="BZ78">
        <v>0.4799999999999997</v>
      </c>
      <c r="CA78">
        <v>1.4399999999999986</v>
      </c>
      <c r="CB78">
        <v>5</v>
      </c>
      <c r="CC78">
        <v>6.2728000000000002</v>
      </c>
      <c r="CD78">
        <v>4.1117599999999994</v>
      </c>
      <c r="CE78">
        <v>48.20000000000001</v>
      </c>
      <c r="CF78">
        <v>1.1196000000000002</v>
      </c>
    </row>
    <row r="79" spans="1:84" x14ac:dyDescent="0.2">
      <c r="A79" s="39">
        <v>43751</v>
      </c>
      <c r="B79" s="22" t="s">
        <v>252</v>
      </c>
      <c r="C79" s="41" t="s">
        <v>302</v>
      </c>
      <c r="D79" s="22" t="s">
        <v>296</v>
      </c>
      <c r="E79">
        <v>23.3</v>
      </c>
      <c r="F79" s="14"/>
      <c r="G79">
        <v>9.4</v>
      </c>
      <c r="H79">
        <v>5.0999999999999996</v>
      </c>
      <c r="I79">
        <v>-16.5</v>
      </c>
      <c r="J79">
        <v>43</v>
      </c>
      <c r="L79" s="1" t="s">
        <v>302</v>
      </c>
      <c r="M79">
        <v>9</v>
      </c>
      <c r="N79">
        <v>2.2032000000000003</v>
      </c>
      <c r="O79">
        <v>-0.1800000000000006</v>
      </c>
      <c r="P79">
        <v>-21.880000000000003</v>
      </c>
      <c r="Q79">
        <v>2.08</v>
      </c>
      <c r="R79">
        <v>-0.11119999999999752</v>
      </c>
      <c r="S79">
        <v>-3.0799999999999983</v>
      </c>
      <c r="T79">
        <v>-0.75999999999999979</v>
      </c>
      <c r="U79">
        <v>2</v>
      </c>
      <c r="V79">
        <v>5</v>
      </c>
      <c r="W79">
        <v>7.3600000000000012</v>
      </c>
      <c r="X79">
        <v>27</v>
      </c>
      <c r="Y79">
        <v>23.25</v>
      </c>
      <c r="Z79">
        <v>23</v>
      </c>
      <c r="AA79">
        <v>-4.4008688400902884E-2</v>
      </c>
      <c r="AB79">
        <v>26</v>
      </c>
      <c r="AC79">
        <v>-1.6919940613386482E-2</v>
      </c>
      <c r="AD79">
        <v>23</v>
      </c>
      <c r="AE79">
        <v>-16.464000000000006</v>
      </c>
      <c r="AF79">
        <v>21</v>
      </c>
      <c r="AG79">
        <v>-0.88000000000000012</v>
      </c>
      <c r="AH79">
        <v>2.3200000000000016</v>
      </c>
      <c r="AI79">
        <v>3.5999999999999992</v>
      </c>
      <c r="AJ79">
        <v>1.8799999999999997</v>
      </c>
      <c r="AK79">
        <v>7.2400000000000091</v>
      </c>
      <c r="AL79">
        <v>31.600000000000005</v>
      </c>
      <c r="AM79">
        <v>-12.479999999999995</v>
      </c>
      <c r="AN79">
        <v>1.0399999999999998</v>
      </c>
      <c r="AO79">
        <v>-12.919999999999998</v>
      </c>
      <c r="AP79">
        <v>16</v>
      </c>
      <c r="AQ79">
        <v>2.3832000000000013</v>
      </c>
      <c r="AR79">
        <v>0.50840000000000096</v>
      </c>
      <c r="AS79">
        <v>44.08</v>
      </c>
      <c r="AT79">
        <v>-2.3832000000000009</v>
      </c>
      <c r="AU79">
        <v>0.36400000000000038</v>
      </c>
      <c r="AV79">
        <v>-0.63929999999999987</v>
      </c>
      <c r="AW79">
        <v>-2.9612999999999996</v>
      </c>
      <c r="AX79" t="s">
        <v>296</v>
      </c>
      <c r="AY79">
        <v>5</v>
      </c>
      <c r="AZ79">
        <v>4.2375999999999987</v>
      </c>
      <c r="BA79">
        <v>-0.53599999999999948</v>
      </c>
      <c r="BB79">
        <v>10.559999999999995</v>
      </c>
      <c r="BC79">
        <v>-1.6</v>
      </c>
      <c r="BD79">
        <v>7.48</v>
      </c>
      <c r="BE79">
        <v>30.239999999999995</v>
      </c>
      <c r="BF79">
        <v>-1.04</v>
      </c>
      <c r="BG79">
        <v>2</v>
      </c>
      <c r="BH79">
        <v>3</v>
      </c>
      <c r="BI79">
        <v>0.96</v>
      </c>
      <c r="BJ79">
        <v>29</v>
      </c>
      <c r="BK79">
        <v>24</v>
      </c>
      <c r="BL79">
        <v>11</v>
      </c>
      <c r="BM79">
        <v>-6.0990352648478983E-2</v>
      </c>
      <c r="BN79">
        <v>27</v>
      </c>
      <c r="BO79">
        <v>4.5809872949552858E-3</v>
      </c>
      <c r="BP79">
        <v>31</v>
      </c>
      <c r="BQ79">
        <v>0.55200000000000105</v>
      </c>
      <c r="BR79">
        <v>27</v>
      </c>
      <c r="BS79">
        <v>-1.9599999999999997</v>
      </c>
      <c r="BT79">
        <v>0.87999999999999967</v>
      </c>
      <c r="BU79">
        <v>3.12</v>
      </c>
      <c r="BV79">
        <v>-0.23999999999999994</v>
      </c>
      <c r="BW79">
        <v>44.559999999999988</v>
      </c>
      <c r="BX79">
        <v>39.080000000000005</v>
      </c>
      <c r="BY79">
        <v>11.960000000000003</v>
      </c>
      <c r="BZ79">
        <v>-3.1199999999999997</v>
      </c>
      <c r="CA79">
        <v>-3.3600000000000003</v>
      </c>
      <c r="CB79">
        <v>6</v>
      </c>
      <c r="CC79">
        <v>4.7735999999999983</v>
      </c>
      <c r="CD79">
        <v>2.6115200000000001</v>
      </c>
      <c r="CE79">
        <v>27.120000000000005</v>
      </c>
      <c r="CF79">
        <v>1.6826999999999999</v>
      </c>
    </row>
    <row r="80" spans="1:84" x14ac:dyDescent="0.2">
      <c r="A80" s="39">
        <v>43751</v>
      </c>
      <c r="B80" s="22" t="s">
        <v>252</v>
      </c>
      <c r="C80" s="41" t="s">
        <v>307</v>
      </c>
      <c r="D80" s="22" t="s">
        <v>297</v>
      </c>
      <c r="E80">
        <v>16.899999999999999</v>
      </c>
      <c r="F80">
        <v>6.8</v>
      </c>
      <c r="G80">
        <v>0</v>
      </c>
      <c r="H80">
        <f>12.7+1.8</f>
        <v>14.5</v>
      </c>
      <c r="I80">
        <v>2.5</v>
      </c>
      <c r="J80">
        <v>42.5</v>
      </c>
      <c r="K80" t="s">
        <v>110</v>
      </c>
      <c r="L80" s="1" t="s">
        <v>307</v>
      </c>
      <c r="M80">
        <v>16</v>
      </c>
      <c r="N80">
        <v>-0.15679999999999944</v>
      </c>
      <c r="O80">
        <v>0.34320000000000056</v>
      </c>
      <c r="P80">
        <v>12.919999999999998</v>
      </c>
      <c r="Q80">
        <v>3.999999999999998E-2</v>
      </c>
      <c r="R80">
        <v>-3.7360000000000011</v>
      </c>
      <c r="S80">
        <v>-26.72</v>
      </c>
      <c r="T80">
        <v>-4.7999999999999989</v>
      </c>
      <c r="U80">
        <v>4</v>
      </c>
      <c r="V80">
        <v>7</v>
      </c>
      <c r="W80">
        <v>1.72</v>
      </c>
      <c r="X80">
        <v>32</v>
      </c>
      <c r="Y80">
        <v>29.5</v>
      </c>
      <c r="Z80">
        <v>30</v>
      </c>
      <c r="AA80">
        <v>-7.1954634359717426E-2</v>
      </c>
      <c r="AB80">
        <v>28</v>
      </c>
      <c r="AC80">
        <v>-1.1093884610144282E-2</v>
      </c>
      <c r="AD80">
        <v>31</v>
      </c>
      <c r="AE80">
        <v>11.204000000000004</v>
      </c>
      <c r="AF80">
        <v>29</v>
      </c>
      <c r="AG80">
        <v>-2.6</v>
      </c>
      <c r="AH80">
        <v>-3.9200000000000004</v>
      </c>
      <c r="AI80">
        <v>-2.04</v>
      </c>
      <c r="AJ80">
        <v>1.0399999999999998</v>
      </c>
      <c r="AK80">
        <v>-13.520000000000016</v>
      </c>
      <c r="AL80">
        <v>-27.360000000000014</v>
      </c>
      <c r="AM80">
        <v>10.84</v>
      </c>
      <c r="AN80">
        <v>-1.6799999999999997</v>
      </c>
      <c r="AO80">
        <v>4.68</v>
      </c>
      <c r="AP80">
        <v>21</v>
      </c>
      <c r="AQ80">
        <v>-0.5</v>
      </c>
      <c r="AR80">
        <v>-0.95016000000000045</v>
      </c>
      <c r="AS80">
        <v>-38.200000000000017</v>
      </c>
      <c r="AT80">
        <v>0.5</v>
      </c>
      <c r="AU80">
        <v>-0.34370000000000001</v>
      </c>
      <c r="AV80">
        <v>-1.2846499999999998</v>
      </c>
      <c r="AW80">
        <v>-1.6223999999999998</v>
      </c>
      <c r="AX80" t="s">
        <v>297</v>
      </c>
      <c r="AY80">
        <v>20</v>
      </c>
      <c r="AZ80">
        <v>-0.10720000000000027</v>
      </c>
      <c r="BA80">
        <v>1.2960000000000007</v>
      </c>
      <c r="BB80">
        <v>19.879999999999995</v>
      </c>
      <c r="BC80">
        <v>-1.08</v>
      </c>
      <c r="BD80">
        <v>-7.8439999999999994</v>
      </c>
      <c r="BE80">
        <v>-23.28</v>
      </c>
      <c r="BF80">
        <v>-1.4400000000000002</v>
      </c>
      <c r="BG80">
        <v>26</v>
      </c>
      <c r="BH80">
        <v>25</v>
      </c>
      <c r="BI80">
        <v>-0.67999999999999972</v>
      </c>
      <c r="BJ80">
        <v>20</v>
      </c>
      <c r="BK80">
        <v>16.75</v>
      </c>
      <c r="BL80">
        <v>21</v>
      </c>
      <c r="BM80">
        <v>-1.1496069398059462E-2</v>
      </c>
      <c r="BN80">
        <v>5</v>
      </c>
      <c r="BO80">
        <v>-3.6893002735955971E-3</v>
      </c>
      <c r="BP80">
        <v>32</v>
      </c>
      <c r="BQ80">
        <v>-3.3359999999999972</v>
      </c>
      <c r="BR80">
        <v>9</v>
      </c>
      <c r="BS80">
        <v>-0.83999999999999986</v>
      </c>
      <c r="BT80">
        <v>0.159999999999998</v>
      </c>
      <c r="BU80">
        <v>1.7200000000000002</v>
      </c>
      <c r="BV80">
        <v>0.12000000000000011</v>
      </c>
      <c r="BW80">
        <v>10</v>
      </c>
      <c r="BX80">
        <v>-7.5999999999999943</v>
      </c>
      <c r="BY80">
        <v>19.28</v>
      </c>
      <c r="BZ80">
        <v>3.16</v>
      </c>
      <c r="CA80">
        <v>-4.839999999999999</v>
      </c>
      <c r="CB80">
        <v>19</v>
      </c>
      <c r="CC80">
        <v>-1.4032000000000009</v>
      </c>
      <c r="CD80">
        <v>-2.2382400000000002</v>
      </c>
      <c r="CE80">
        <v>-26.879999999999995</v>
      </c>
      <c r="CF80">
        <v>-0.94689999999999996</v>
      </c>
    </row>
    <row r="81" spans="1:84" x14ac:dyDescent="0.2">
      <c r="A81" s="39">
        <v>43751</v>
      </c>
      <c r="B81" s="28" t="s">
        <v>252</v>
      </c>
      <c r="C81" s="41" t="s">
        <v>296</v>
      </c>
      <c r="D81" s="28" t="s">
        <v>302</v>
      </c>
      <c r="E81" s="3">
        <v>25.2</v>
      </c>
      <c r="F81" s="3">
        <v>6.2</v>
      </c>
      <c r="G81" s="3">
        <v>0</v>
      </c>
      <c r="H81" s="3">
        <v>6</v>
      </c>
      <c r="I81" s="3">
        <v>16.5</v>
      </c>
      <c r="J81" s="3">
        <v>43</v>
      </c>
      <c r="K81" s="3"/>
      <c r="L81" s="1" t="s">
        <v>296</v>
      </c>
      <c r="M81">
        <v>13</v>
      </c>
      <c r="N81">
        <v>1.4104000000000005</v>
      </c>
      <c r="O81">
        <v>-1.8688000000000013</v>
      </c>
      <c r="P81">
        <v>1.0400000000000005</v>
      </c>
      <c r="Q81">
        <v>-1.68</v>
      </c>
      <c r="R81">
        <v>2.6239999999999992</v>
      </c>
      <c r="S81">
        <v>11.720000000000002</v>
      </c>
      <c r="T81">
        <v>2.1599999999999993</v>
      </c>
      <c r="U81">
        <v>28</v>
      </c>
      <c r="V81">
        <v>27.5</v>
      </c>
      <c r="W81">
        <v>-2.12</v>
      </c>
      <c r="X81">
        <v>2</v>
      </c>
      <c r="Y81">
        <v>7.5</v>
      </c>
      <c r="Z81">
        <v>3</v>
      </c>
      <c r="AA81">
        <v>2.1446728730212833E-2</v>
      </c>
      <c r="AB81">
        <v>16</v>
      </c>
      <c r="AC81">
        <v>-8.5881022087991657E-3</v>
      </c>
      <c r="AD81">
        <v>10</v>
      </c>
      <c r="AE81">
        <v>-17.835999999999999</v>
      </c>
      <c r="AF81">
        <v>1</v>
      </c>
      <c r="AG81">
        <v>0.96</v>
      </c>
      <c r="AH81">
        <v>-0.44000000000000056</v>
      </c>
      <c r="AI81">
        <v>-1.1599999999999997</v>
      </c>
      <c r="AJ81">
        <v>-0.72</v>
      </c>
      <c r="AK81">
        <v>23.240000000000009</v>
      </c>
      <c r="AL81">
        <v>6.3199999999999985</v>
      </c>
      <c r="AM81">
        <v>3.5200000000000018</v>
      </c>
      <c r="AN81">
        <v>6.4</v>
      </c>
      <c r="AO81">
        <v>7</v>
      </c>
      <c r="AP81">
        <v>14</v>
      </c>
      <c r="AQ81">
        <v>3.2792000000000021</v>
      </c>
      <c r="AR81">
        <v>1.7412800000000006</v>
      </c>
      <c r="AS81">
        <v>2.7999999999999967</v>
      </c>
      <c r="AT81">
        <v>-3.2792000000000021</v>
      </c>
      <c r="AU81">
        <v>3.069999999999995E-2</v>
      </c>
      <c r="AV81">
        <v>-0.63929999999999987</v>
      </c>
      <c r="AW81">
        <v>1.6826999999999999</v>
      </c>
      <c r="AX81" t="s">
        <v>302</v>
      </c>
      <c r="AY81">
        <v>28</v>
      </c>
      <c r="AZ81">
        <v>-5.8744000000000014</v>
      </c>
      <c r="BA81">
        <v>-4.6639999999999997</v>
      </c>
      <c r="BB81">
        <v>-12.240000000000002</v>
      </c>
      <c r="BC81">
        <v>-0.8</v>
      </c>
      <c r="BD81">
        <v>-10.511999999999999</v>
      </c>
      <c r="BE81">
        <v>-29.88</v>
      </c>
      <c r="BF81">
        <v>1.3600000000000003</v>
      </c>
      <c r="BG81">
        <v>24</v>
      </c>
      <c r="BH81">
        <v>23</v>
      </c>
      <c r="BI81">
        <v>-0.88000000000000012</v>
      </c>
      <c r="BJ81">
        <v>5</v>
      </c>
      <c r="BK81">
        <v>9.75</v>
      </c>
      <c r="BL81">
        <v>1</v>
      </c>
      <c r="BM81">
        <v>1.2883281346094567E-3</v>
      </c>
      <c r="BN81">
        <v>12</v>
      </c>
      <c r="BO81">
        <v>3.9482876602704983E-2</v>
      </c>
      <c r="BP81">
        <v>23</v>
      </c>
      <c r="BQ81">
        <v>-12.923999999999996</v>
      </c>
      <c r="BR81">
        <v>3</v>
      </c>
      <c r="BS81">
        <v>7.3600000000000012</v>
      </c>
      <c r="BT81">
        <v>0.11999999999999886</v>
      </c>
      <c r="BU81">
        <v>-9.76</v>
      </c>
      <c r="BV81">
        <v>1.8800000000000001</v>
      </c>
      <c r="BW81">
        <v>-27.120000000000012</v>
      </c>
      <c r="BX81">
        <v>-25.96</v>
      </c>
      <c r="BY81">
        <v>-7.2</v>
      </c>
      <c r="BZ81">
        <v>6.4799999999999995</v>
      </c>
      <c r="CA81">
        <v>-0.44000000000000022</v>
      </c>
      <c r="CB81">
        <v>18</v>
      </c>
      <c r="CC81">
        <v>-1.2104000000000021</v>
      </c>
      <c r="CD81">
        <v>-0.9452799999999999</v>
      </c>
      <c r="CE81">
        <v>-18.760000000000002</v>
      </c>
      <c r="CF81">
        <v>-2.9612999999999996</v>
      </c>
    </row>
    <row r="82" spans="1:84" x14ac:dyDescent="0.2">
      <c r="A82" s="39">
        <v>43751</v>
      </c>
      <c r="B82" s="22" t="s">
        <v>252</v>
      </c>
      <c r="C82" s="41" t="s">
        <v>298</v>
      </c>
      <c r="D82" s="22" t="s">
        <v>291</v>
      </c>
      <c r="E82">
        <v>15.8</v>
      </c>
      <c r="F82">
        <v>26.5</v>
      </c>
      <c r="G82">
        <v>10.199999999999999</v>
      </c>
      <c r="H82">
        <v>11.8</v>
      </c>
      <c r="I82">
        <v>7</v>
      </c>
      <c r="J82">
        <v>43.5</v>
      </c>
      <c r="K82" t="s">
        <v>110</v>
      </c>
      <c r="L82" s="1" t="s">
        <v>298</v>
      </c>
      <c r="M82">
        <v>26</v>
      </c>
      <c r="N82">
        <v>-4.1424000000000003</v>
      </c>
      <c r="O82">
        <v>-2.3040000000000003</v>
      </c>
      <c r="P82">
        <v>-11.919999999999998</v>
      </c>
      <c r="Q82">
        <v>0.82000000000000028</v>
      </c>
      <c r="R82">
        <v>-8.8720000000000017</v>
      </c>
      <c r="S82">
        <v>-32.159999999999997</v>
      </c>
      <c r="T82">
        <v>-4.4800000000000004</v>
      </c>
      <c r="U82">
        <v>14</v>
      </c>
      <c r="V82">
        <v>13.5</v>
      </c>
      <c r="W82">
        <v>1.4</v>
      </c>
      <c r="X82">
        <v>8</v>
      </c>
      <c r="Y82">
        <v>12</v>
      </c>
      <c r="Z82">
        <v>2</v>
      </c>
      <c r="AA82">
        <v>5.5602477762056512E-2</v>
      </c>
      <c r="AB82">
        <v>17</v>
      </c>
      <c r="AC82">
        <v>5.7807328641446554E-2</v>
      </c>
      <c r="AD82">
        <v>12</v>
      </c>
      <c r="AE82">
        <v>13.180000000000001</v>
      </c>
      <c r="AF82">
        <v>17</v>
      </c>
      <c r="AG82">
        <v>4.4400000000000004</v>
      </c>
      <c r="AH82">
        <v>-5.3600000000000012</v>
      </c>
      <c r="AI82">
        <v>-7.24</v>
      </c>
      <c r="AJ82">
        <v>2.76</v>
      </c>
      <c r="AK82">
        <v>-76.239999999999981</v>
      </c>
      <c r="AL82">
        <v>-43.960000000000008</v>
      </c>
      <c r="AM82">
        <v>-17.84</v>
      </c>
      <c r="AN82">
        <v>-4.1599999999999993</v>
      </c>
      <c r="AO82">
        <v>-10.28</v>
      </c>
      <c r="AP82">
        <v>25</v>
      </c>
      <c r="AQ82">
        <v>-1.8384</v>
      </c>
      <c r="AR82">
        <v>-1.4508800000000002</v>
      </c>
      <c r="AS82">
        <v>-26.120000000000008</v>
      </c>
      <c r="AT82">
        <v>1.8384</v>
      </c>
      <c r="AU82">
        <v>-2.3148</v>
      </c>
      <c r="AV82">
        <v>0.45087499999999991</v>
      </c>
      <c r="AW82">
        <v>0.46204999999999991</v>
      </c>
      <c r="AX82" t="s">
        <v>291</v>
      </c>
      <c r="AY82">
        <v>19</v>
      </c>
      <c r="AZ82">
        <v>-2.9936000000000007</v>
      </c>
      <c r="BA82">
        <v>7.1231999999999998</v>
      </c>
      <c r="BB82">
        <v>14.43</v>
      </c>
      <c r="BC82">
        <v>0.93000000000000016</v>
      </c>
      <c r="BD82">
        <v>-2.1320000000000001</v>
      </c>
      <c r="BE82">
        <v>2.8000000000000043</v>
      </c>
      <c r="BF82">
        <v>1.6799999999999997</v>
      </c>
      <c r="BG82">
        <v>7</v>
      </c>
      <c r="BH82">
        <v>7</v>
      </c>
      <c r="BI82">
        <v>-1.9200000000000004</v>
      </c>
      <c r="BJ82">
        <v>15</v>
      </c>
      <c r="BK82">
        <v>15.75</v>
      </c>
      <c r="BL82">
        <v>7</v>
      </c>
      <c r="BM82">
        <v>-2.1496512247217815E-2</v>
      </c>
      <c r="BN82">
        <v>7</v>
      </c>
      <c r="BO82">
        <v>-6.2725163635416747E-3</v>
      </c>
      <c r="BP82">
        <v>28</v>
      </c>
      <c r="BQ82">
        <v>12.676</v>
      </c>
      <c r="BR82">
        <v>21</v>
      </c>
      <c r="BS82">
        <v>-3</v>
      </c>
      <c r="BT82">
        <v>2.6399999999999992</v>
      </c>
      <c r="BU82">
        <v>1</v>
      </c>
      <c r="BV82">
        <v>-0.83999999999999986</v>
      </c>
      <c r="BW82">
        <v>10.520000000000005</v>
      </c>
      <c r="BX82">
        <v>-3.039999999999992</v>
      </c>
      <c r="BY82">
        <v>16.079999999999998</v>
      </c>
      <c r="BZ82">
        <v>-0.39999999999999963</v>
      </c>
      <c r="CA82">
        <v>-2.12</v>
      </c>
      <c r="CB82">
        <v>31</v>
      </c>
      <c r="CC82">
        <v>-10.116800000000001</v>
      </c>
      <c r="CD82">
        <v>-4.5867200000000006</v>
      </c>
      <c r="CE82">
        <v>-19.11999999999999</v>
      </c>
      <c r="CF82">
        <v>0.43969999999999987</v>
      </c>
    </row>
    <row r="83" spans="1:84" x14ac:dyDescent="0.2">
      <c r="A83" s="39">
        <v>43751</v>
      </c>
      <c r="B83" s="22" t="s">
        <v>252</v>
      </c>
      <c r="C83" s="41" t="s">
        <v>294</v>
      </c>
      <c r="D83" s="22" t="s">
        <v>312</v>
      </c>
      <c r="E83">
        <v>23.6</v>
      </c>
      <c r="F83">
        <v>8.1999999999999993</v>
      </c>
      <c r="G83">
        <v>0</v>
      </c>
      <c r="H83">
        <f>9.8+8.4</f>
        <v>18.200000000000003</v>
      </c>
      <c r="I83">
        <v>3.5</v>
      </c>
      <c r="J83">
        <v>44</v>
      </c>
      <c r="L83" s="1" t="s">
        <v>294</v>
      </c>
      <c r="M83">
        <v>17</v>
      </c>
      <c r="N83">
        <v>-0.19040000000000176</v>
      </c>
      <c r="O83">
        <v>-4.3160000000000016</v>
      </c>
      <c r="P83">
        <v>-14.76</v>
      </c>
      <c r="Q83">
        <v>-1.3199999999999998</v>
      </c>
      <c r="R83">
        <v>1.9559999999999986</v>
      </c>
      <c r="S83">
        <v>-19.279999999999994</v>
      </c>
      <c r="T83">
        <v>3.5999999999999996</v>
      </c>
      <c r="U83">
        <v>23</v>
      </c>
      <c r="V83">
        <v>22.5</v>
      </c>
      <c r="W83">
        <v>0.68000000000000038</v>
      </c>
      <c r="X83">
        <v>6</v>
      </c>
      <c r="Y83">
        <v>10.25</v>
      </c>
      <c r="Z83">
        <v>16</v>
      </c>
      <c r="AA83">
        <v>1.6782138604225595E-2</v>
      </c>
      <c r="AB83">
        <v>4</v>
      </c>
      <c r="AC83">
        <v>-7.3512213604605484E-3</v>
      </c>
      <c r="AD83">
        <v>6</v>
      </c>
      <c r="AE83">
        <v>-2.4720000000000013</v>
      </c>
      <c r="AF83">
        <v>15</v>
      </c>
      <c r="AG83">
        <v>-1.2800000000000002</v>
      </c>
      <c r="AH83">
        <v>0.15999999999999942</v>
      </c>
      <c r="AI83">
        <v>1.6</v>
      </c>
      <c r="AJ83">
        <v>1.1199999999999997</v>
      </c>
      <c r="AK83">
        <v>-52.120000000000005</v>
      </c>
      <c r="AL83">
        <v>-37.56</v>
      </c>
      <c r="AM83">
        <v>-4.8799999999999981</v>
      </c>
      <c r="AN83">
        <v>-3.6799999999999997</v>
      </c>
      <c r="AO83">
        <v>-6</v>
      </c>
      <c r="AP83">
        <v>10</v>
      </c>
      <c r="AQ83">
        <v>4.1255999999999995</v>
      </c>
      <c r="AR83">
        <v>2.5111200000000005</v>
      </c>
      <c r="AS83">
        <v>-32.680000000000007</v>
      </c>
      <c r="AT83">
        <v>-4.1255999999999995</v>
      </c>
      <c r="AU83">
        <v>-0.51880000000000059</v>
      </c>
      <c r="AV83">
        <v>-8.989999999999998E-2</v>
      </c>
      <c r="AW83">
        <v>1.1196000000000002</v>
      </c>
      <c r="AX83" t="s">
        <v>312</v>
      </c>
      <c r="AY83">
        <v>7</v>
      </c>
      <c r="AZ83">
        <v>-1.5872000000000004</v>
      </c>
      <c r="BA83">
        <v>-5.331999999999999</v>
      </c>
      <c r="BB83">
        <v>-3.4899999999999993</v>
      </c>
      <c r="BC83">
        <v>-0.43000000000000005</v>
      </c>
      <c r="BD83">
        <v>-1.3160000000000016</v>
      </c>
      <c r="BE83">
        <v>-14.32</v>
      </c>
      <c r="BF83">
        <v>1.0799999999999996</v>
      </c>
      <c r="BG83">
        <v>11</v>
      </c>
      <c r="BH83">
        <v>12</v>
      </c>
      <c r="BI83">
        <v>-0.19999999999999987</v>
      </c>
      <c r="BJ83">
        <v>7</v>
      </c>
      <c r="BK83">
        <v>12.25</v>
      </c>
      <c r="BL83">
        <v>19</v>
      </c>
      <c r="BM83">
        <v>4.8374956732376163E-2</v>
      </c>
      <c r="BN83">
        <v>13</v>
      </c>
      <c r="BO83">
        <v>2.154514587031681E-2</v>
      </c>
      <c r="BP83">
        <v>1</v>
      </c>
      <c r="BQ83">
        <v>-9.2479999999999958</v>
      </c>
      <c r="BR83">
        <v>16</v>
      </c>
      <c r="BS83">
        <v>2.12</v>
      </c>
      <c r="BT83">
        <v>1.8799999999999997</v>
      </c>
      <c r="BU83">
        <v>-4.88</v>
      </c>
      <c r="BV83">
        <v>-0.83999999999999986</v>
      </c>
      <c r="BW83">
        <v>-38.879999999999995</v>
      </c>
      <c r="BX83">
        <v>-28.159999999999997</v>
      </c>
      <c r="BY83">
        <v>-0.68000000000000116</v>
      </c>
      <c r="BZ83">
        <v>-8.1999999999999993</v>
      </c>
      <c r="CA83">
        <v>-1.8399999999999999</v>
      </c>
      <c r="CB83">
        <v>7</v>
      </c>
      <c r="CC83">
        <v>3.7447999999999988</v>
      </c>
      <c r="CD83">
        <v>2.0853599999999988</v>
      </c>
      <c r="CE83">
        <v>-27.479999999999997</v>
      </c>
      <c r="CF83">
        <v>-1.2994000000000001</v>
      </c>
    </row>
    <row r="84" spans="1:84" x14ac:dyDescent="0.2">
      <c r="A84" s="39">
        <v>43751</v>
      </c>
      <c r="B84" s="22" t="s">
        <v>252</v>
      </c>
      <c r="C84" s="41" t="s">
        <v>309</v>
      </c>
      <c r="D84" s="22" t="s">
        <v>287</v>
      </c>
      <c r="E84">
        <v>1.7</v>
      </c>
      <c r="F84">
        <v>3.4</v>
      </c>
      <c r="G84">
        <v>2.1</v>
      </c>
      <c r="H84">
        <v>3</v>
      </c>
      <c r="I84">
        <v>6</v>
      </c>
      <c r="J84">
        <v>42.5</v>
      </c>
      <c r="L84" s="1" t="s">
        <v>309</v>
      </c>
      <c r="M84">
        <v>19</v>
      </c>
      <c r="N84">
        <v>-0.99919999999999976</v>
      </c>
      <c r="O84">
        <v>-0.98000000000000131</v>
      </c>
      <c r="P84">
        <v>-24.759999999999998</v>
      </c>
      <c r="Q84">
        <v>0.76000000000000023</v>
      </c>
      <c r="R84">
        <v>-2.5720000000000001</v>
      </c>
      <c r="S84">
        <v>-27.240000000000002</v>
      </c>
      <c r="T84">
        <v>-1.4000000000000001</v>
      </c>
      <c r="U84">
        <v>3</v>
      </c>
      <c r="V84">
        <v>5.5</v>
      </c>
      <c r="W84">
        <v>3.0799999999999992</v>
      </c>
      <c r="X84">
        <v>12</v>
      </c>
      <c r="Y84">
        <v>13.25</v>
      </c>
      <c r="Z84">
        <v>9</v>
      </c>
      <c r="AA84">
        <v>-7.0619516488219111E-2</v>
      </c>
      <c r="AB84">
        <v>20</v>
      </c>
      <c r="AC84">
        <v>-4.3432333815609049E-2</v>
      </c>
      <c r="AD84">
        <v>19</v>
      </c>
      <c r="AE84">
        <v>-0.27199999999999702</v>
      </c>
      <c r="AF84">
        <v>5</v>
      </c>
      <c r="AG84">
        <v>-4.04</v>
      </c>
      <c r="AH84">
        <v>-4.3599999999999994</v>
      </c>
      <c r="AI84">
        <v>2.1999999999999997</v>
      </c>
      <c r="AJ84">
        <v>-1.4</v>
      </c>
      <c r="AK84">
        <v>-56.480000000000004</v>
      </c>
      <c r="AL84">
        <v>-23.240000000000009</v>
      </c>
      <c r="AM84">
        <v>-24.080000000000005</v>
      </c>
      <c r="AN84">
        <v>-5.2</v>
      </c>
      <c r="AO84">
        <v>-3.9599999999999995</v>
      </c>
      <c r="AP84">
        <v>20</v>
      </c>
      <c r="AQ84">
        <v>-1.9199999999998468E-2</v>
      </c>
      <c r="AR84">
        <v>-0.22423999999999933</v>
      </c>
      <c r="AS84">
        <v>0.83999999999999631</v>
      </c>
      <c r="AT84">
        <v>1.9199999999998441E-2</v>
      </c>
      <c r="AU84">
        <v>-0.31390000000000001</v>
      </c>
      <c r="AV84">
        <v>-1.0772999999999999</v>
      </c>
      <c r="AW84">
        <v>-1.532</v>
      </c>
      <c r="AX84" t="s">
        <v>287</v>
      </c>
      <c r="AY84">
        <v>26</v>
      </c>
      <c r="AZ84">
        <v>-1.0447999999999993</v>
      </c>
      <c r="BA84">
        <v>3.612000000000001</v>
      </c>
      <c r="BB84">
        <v>13.2</v>
      </c>
      <c r="BC84">
        <v>-1.8199999999999998</v>
      </c>
      <c r="BD84">
        <v>-4.9479999999999986</v>
      </c>
      <c r="BE84">
        <v>-22.96</v>
      </c>
      <c r="BF84">
        <v>-5.6</v>
      </c>
      <c r="BG84">
        <v>3</v>
      </c>
      <c r="BH84">
        <v>3.5</v>
      </c>
      <c r="BI84">
        <v>2.08</v>
      </c>
      <c r="BJ84">
        <v>25</v>
      </c>
      <c r="BK84">
        <v>21.5</v>
      </c>
      <c r="BL84">
        <v>20</v>
      </c>
      <c r="BM84">
        <v>-1.9629488482797608E-2</v>
      </c>
      <c r="BN84">
        <v>25</v>
      </c>
      <c r="BO84">
        <v>3.4603401641558409E-3</v>
      </c>
      <c r="BP84">
        <v>18</v>
      </c>
      <c r="BQ84">
        <v>1.7000000000000028</v>
      </c>
      <c r="BR84">
        <v>23</v>
      </c>
      <c r="BS84">
        <v>-0.56000000000000016</v>
      </c>
      <c r="BT84">
        <v>-7.4400000000000022</v>
      </c>
      <c r="BU84">
        <v>-0.44000000000000022</v>
      </c>
      <c r="BV84">
        <v>-0.55999999999999994</v>
      </c>
      <c r="BW84">
        <v>-4.0799999999999956</v>
      </c>
      <c r="BX84">
        <v>-13.319999999999999</v>
      </c>
      <c r="BY84">
        <v>10.279999999999998</v>
      </c>
      <c r="BZ84">
        <v>1.3599999999999999</v>
      </c>
      <c r="CA84">
        <v>-2.3999999999999995</v>
      </c>
      <c r="CB84">
        <v>26</v>
      </c>
      <c r="CC84">
        <v>-4.6568000000000005</v>
      </c>
      <c r="CD84">
        <v>-3.0045600000000006</v>
      </c>
      <c r="CE84">
        <v>-23.599999999999994</v>
      </c>
      <c r="CF84">
        <v>-0.62259999999999982</v>
      </c>
    </row>
    <row r="85" spans="1:84" x14ac:dyDescent="0.2">
      <c r="A85" s="39">
        <v>43751</v>
      </c>
      <c r="B85" s="22" t="s">
        <v>252</v>
      </c>
      <c r="C85" s="40" t="s">
        <v>256</v>
      </c>
      <c r="D85" s="22" t="s">
        <v>304</v>
      </c>
      <c r="E85">
        <v>7.5</v>
      </c>
      <c r="F85">
        <v>4.9000000000000004</v>
      </c>
      <c r="G85">
        <v>3.5</v>
      </c>
      <c r="H85">
        <f>21.3+1.8</f>
        <v>23.1</v>
      </c>
      <c r="I85">
        <v>3</v>
      </c>
      <c r="J85">
        <v>49.5</v>
      </c>
      <c r="K85" t="s">
        <v>109</v>
      </c>
      <c r="L85" s="1" t="s">
        <v>256</v>
      </c>
      <c r="M85">
        <v>28</v>
      </c>
      <c r="N85">
        <v>-4.6776</v>
      </c>
      <c r="O85">
        <v>5.3016000000000005</v>
      </c>
      <c r="P85">
        <v>55.08</v>
      </c>
      <c r="Q85">
        <v>-1.6400000000000001</v>
      </c>
      <c r="R85">
        <v>-9.2832000000000008</v>
      </c>
      <c r="S85">
        <v>-45.52</v>
      </c>
      <c r="T85">
        <v>-4.4799999999999995</v>
      </c>
      <c r="U85">
        <v>17</v>
      </c>
      <c r="V85">
        <v>16</v>
      </c>
      <c r="W85">
        <v>5.2</v>
      </c>
      <c r="X85">
        <v>21</v>
      </c>
      <c r="Y85">
        <v>17.75</v>
      </c>
      <c r="Z85">
        <v>19</v>
      </c>
      <c r="AA85">
        <v>-9.5543356539650917E-2</v>
      </c>
      <c r="AB85">
        <v>3</v>
      </c>
      <c r="AC85">
        <v>-2.7369812667338976E-2</v>
      </c>
      <c r="AD85">
        <v>29</v>
      </c>
      <c r="AE85">
        <v>-2.295999999999998</v>
      </c>
      <c r="AF85">
        <v>20</v>
      </c>
      <c r="AG85">
        <v>-0.76</v>
      </c>
      <c r="AH85">
        <v>3.680000000000001</v>
      </c>
      <c r="AI85">
        <v>2</v>
      </c>
      <c r="AJ85">
        <v>1.24</v>
      </c>
      <c r="AK85">
        <v>25.560000000000002</v>
      </c>
      <c r="AL85">
        <v>-30.72</v>
      </c>
      <c r="AM85">
        <v>68.52000000000001</v>
      </c>
      <c r="AN85">
        <v>3.1999999999999997</v>
      </c>
      <c r="AO85">
        <v>-15.440000000000001</v>
      </c>
      <c r="AP85">
        <v>30</v>
      </c>
      <c r="AQ85">
        <v>-9.9792000000000005</v>
      </c>
      <c r="AR85">
        <v>-5.4429600000000011</v>
      </c>
      <c r="AS85">
        <v>-99.240000000000009</v>
      </c>
      <c r="AT85">
        <v>9.9792000000000005</v>
      </c>
      <c r="AU85">
        <v>-1.1724000000000001</v>
      </c>
      <c r="AV85">
        <v>-2.0659999999999998</v>
      </c>
      <c r="AW85">
        <v>-4.3029999999999999</v>
      </c>
      <c r="AX85" t="s">
        <v>304</v>
      </c>
      <c r="AY85">
        <v>16</v>
      </c>
      <c r="AZ85">
        <v>-4.719999999999995E-2</v>
      </c>
      <c r="BA85">
        <v>-0.10479999999999845</v>
      </c>
      <c r="BB85">
        <v>-3.7200000000000042</v>
      </c>
      <c r="BC85">
        <v>-0.39999999999999997</v>
      </c>
      <c r="BD85">
        <v>-0.40000000000000013</v>
      </c>
      <c r="BE85">
        <v>-0.11999999999999744</v>
      </c>
      <c r="BF85">
        <v>0.72</v>
      </c>
      <c r="BG85">
        <v>28</v>
      </c>
      <c r="BH85">
        <v>26.5</v>
      </c>
      <c r="BI85">
        <v>-1.1999999999999997</v>
      </c>
      <c r="BJ85">
        <v>14</v>
      </c>
      <c r="BK85">
        <v>15</v>
      </c>
      <c r="BL85">
        <v>22</v>
      </c>
      <c r="BM85">
        <v>3.9376517957391853E-2</v>
      </c>
      <c r="BN85">
        <v>10</v>
      </c>
      <c r="BO85">
        <v>-2.4967715296170406E-2</v>
      </c>
      <c r="BP85">
        <v>22</v>
      </c>
      <c r="BQ85">
        <v>5.2039999999999988</v>
      </c>
      <c r="BR85">
        <v>6</v>
      </c>
      <c r="BS85">
        <v>-1.0799999999999998</v>
      </c>
      <c r="BT85">
        <v>2.3600000000000008</v>
      </c>
      <c r="BU85">
        <v>2.5200000000000005</v>
      </c>
      <c r="BV85">
        <v>-0.35999999999999993</v>
      </c>
      <c r="BW85">
        <v>-15.720000000000004</v>
      </c>
      <c r="BX85">
        <v>-3.9599999999999964</v>
      </c>
      <c r="BY85">
        <v>-4.7199999999999989</v>
      </c>
      <c r="BZ85">
        <v>-4.3199999999999994</v>
      </c>
      <c r="CA85">
        <v>-2.72</v>
      </c>
      <c r="CB85">
        <v>17</v>
      </c>
      <c r="CC85">
        <v>5.7599999999998541E-2</v>
      </c>
      <c r="CD85">
        <v>-3.7040000000000781E-2</v>
      </c>
      <c r="CE85">
        <v>0.76000000000000245</v>
      </c>
      <c r="CF85">
        <v>0.17100000000000018</v>
      </c>
    </row>
    <row r="86" spans="1:84" x14ac:dyDescent="0.2">
      <c r="A86" s="39">
        <v>43751</v>
      </c>
      <c r="B86" s="22" t="s">
        <v>252</v>
      </c>
      <c r="C86" s="41" t="s">
        <v>308</v>
      </c>
      <c r="D86" s="22" t="s">
        <v>281</v>
      </c>
      <c r="E86">
        <v>12.8</v>
      </c>
      <c r="F86">
        <v>11.3</v>
      </c>
      <c r="G86" s="14">
        <v>17.899999999999999</v>
      </c>
      <c r="H86" s="22"/>
      <c r="I86" s="22">
        <v>1</v>
      </c>
      <c r="J86" s="22">
        <v>45.5</v>
      </c>
      <c r="K86" t="s">
        <v>110</v>
      </c>
      <c r="L86" s="1" t="s">
        <v>308</v>
      </c>
      <c r="M86">
        <v>5</v>
      </c>
      <c r="N86">
        <v>5.4768000000000008</v>
      </c>
      <c r="O86">
        <v>0.8383999999999997</v>
      </c>
      <c r="P86">
        <v>-0.32000000000000206</v>
      </c>
      <c r="Q86">
        <v>-0.76</v>
      </c>
      <c r="R86">
        <v>3.3407999999999989</v>
      </c>
      <c r="S86">
        <v>20.96</v>
      </c>
      <c r="T86">
        <v>-0.44000000000000011</v>
      </c>
      <c r="U86">
        <v>8</v>
      </c>
      <c r="V86">
        <v>8.5</v>
      </c>
      <c r="W86">
        <v>8.0000000000000071E-2</v>
      </c>
      <c r="X86">
        <v>12</v>
      </c>
      <c r="Y86">
        <v>13.25</v>
      </c>
      <c r="Z86">
        <v>11</v>
      </c>
      <c r="AA86">
        <v>2.9346748028822939E-2</v>
      </c>
      <c r="AB86">
        <v>5</v>
      </c>
      <c r="AC86">
        <v>1.5372710467381557E-2</v>
      </c>
      <c r="AD86">
        <v>21</v>
      </c>
      <c r="AE86">
        <v>11.400000000000002</v>
      </c>
      <c r="AF86">
        <v>16</v>
      </c>
      <c r="AG86">
        <v>0.56000000000000028</v>
      </c>
      <c r="AH86">
        <v>-0.4799999999999997</v>
      </c>
      <c r="AI86">
        <v>0.24000000000000057</v>
      </c>
      <c r="AJ86">
        <v>0.83999999999999986</v>
      </c>
      <c r="AK86">
        <v>13.879999999999995</v>
      </c>
      <c r="AL86">
        <v>19.52</v>
      </c>
      <c r="AM86">
        <v>-4.0400000000000009</v>
      </c>
      <c r="AN86">
        <v>-3.6</v>
      </c>
      <c r="AO86">
        <v>1.9999999999999987</v>
      </c>
      <c r="AP86">
        <v>9</v>
      </c>
      <c r="AQ86">
        <v>4.6384000000000007</v>
      </c>
      <c r="AR86">
        <v>1.34432</v>
      </c>
      <c r="AS86">
        <v>23.560000000000002</v>
      </c>
      <c r="AT86">
        <v>-4.6384000000000007</v>
      </c>
      <c r="AU86">
        <v>0.7370000000000001</v>
      </c>
      <c r="AV86">
        <v>9.4999999999999599E-2</v>
      </c>
      <c r="AW86">
        <v>1.9299999999999651E-2</v>
      </c>
      <c r="AX86" t="s">
        <v>281</v>
      </c>
      <c r="AY86">
        <v>11</v>
      </c>
      <c r="AZ86">
        <v>0.14159999999999934</v>
      </c>
      <c r="BA86">
        <v>2.6399999999999988</v>
      </c>
      <c r="BB86">
        <v>12.959999999999997</v>
      </c>
      <c r="BC86">
        <v>0.20000000000000007</v>
      </c>
      <c r="BD86">
        <v>-1.6960000000000015</v>
      </c>
      <c r="BE86">
        <v>-26.760000000000005</v>
      </c>
      <c r="BF86">
        <v>-2.6399999999999997</v>
      </c>
      <c r="BG86">
        <v>29</v>
      </c>
      <c r="BH86">
        <v>27</v>
      </c>
      <c r="BI86">
        <v>2.2399999999999998</v>
      </c>
      <c r="BJ86">
        <v>9</v>
      </c>
      <c r="BK86">
        <v>12.5</v>
      </c>
      <c r="BL86">
        <v>8</v>
      </c>
      <c r="BM86">
        <v>-1.6008838274264164E-2</v>
      </c>
      <c r="BN86">
        <v>16</v>
      </c>
      <c r="BO86">
        <v>1.1595269883120349E-2</v>
      </c>
      <c r="BP86">
        <v>7</v>
      </c>
      <c r="BQ86">
        <v>0.50800000000000411</v>
      </c>
      <c r="BR86">
        <v>19</v>
      </c>
      <c r="BS86">
        <v>-0.72000000000000008</v>
      </c>
      <c r="BT86">
        <v>-2.1599999999999979</v>
      </c>
      <c r="BU86">
        <v>-0.40000000000000069</v>
      </c>
      <c r="BV86">
        <v>-0.31999999999999973</v>
      </c>
      <c r="BW86">
        <v>7.8800000000000008</v>
      </c>
      <c r="BX86">
        <v>-16.119999999999997</v>
      </c>
      <c r="BY86">
        <v>15.000000000000004</v>
      </c>
      <c r="BZ86">
        <v>7.4399999999999995</v>
      </c>
      <c r="CA86">
        <v>1.5600000000000005</v>
      </c>
      <c r="CB86">
        <v>22</v>
      </c>
      <c r="CC86">
        <v>-2.4983999999999997</v>
      </c>
      <c r="CD86">
        <v>-1.6308799999999999</v>
      </c>
      <c r="CE86">
        <v>-31.12</v>
      </c>
      <c r="CF86">
        <v>0.17069999999999955</v>
      </c>
    </row>
    <row r="87" spans="1:84" x14ac:dyDescent="0.2">
      <c r="A87" s="39">
        <v>43751</v>
      </c>
      <c r="B87" s="22" t="s">
        <v>252</v>
      </c>
      <c r="C87" s="41" t="s">
        <v>284</v>
      </c>
      <c r="D87" s="22" t="s">
        <v>301</v>
      </c>
      <c r="E87">
        <v>20.6</v>
      </c>
      <c r="F87">
        <v>28.1</v>
      </c>
      <c r="G87">
        <v>6.9</v>
      </c>
      <c r="H87">
        <f>12.7+5.5</f>
        <v>18.2</v>
      </c>
      <c r="I87">
        <v>2</v>
      </c>
      <c r="J87">
        <v>48.5</v>
      </c>
      <c r="L87" s="1" t="s">
        <v>284</v>
      </c>
      <c r="M87">
        <v>10</v>
      </c>
      <c r="N87">
        <v>2.1943999999999995</v>
      </c>
      <c r="O87">
        <v>-1.3920000000000003</v>
      </c>
      <c r="P87">
        <v>4.3999999999999986</v>
      </c>
      <c r="Q87">
        <v>-1.9999999999999998</v>
      </c>
      <c r="R87">
        <v>7.14</v>
      </c>
      <c r="S87">
        <v>22.439999999999998</v>
      </c>
      <c r="T87">
        <v>0.31999999999999973</v>
      </c>
      <c r="U87">
        <v>18</v>
      </c>
      <c r="V87">
        <v>17.5</v>
      </c>
      <c r="W87">
        <v>2.44</v>
      </c>
      <c r="X87">
        <v>14</v>
      </c>
      <c r="Y87">
        <v>14</v>
      </c>
      <c r="Z87">
        <v>29</v>
      </c>
      <c r="AA87">
        <v>1.4066968455257978E-2</v>
      </c>
      <c r="AB87">
        <v>22</v>
      </c>
      <c r="AC87">
        <v>1.478359758297508E-2</v>
      </c>
      <c r="AD87">
        <v>1</v>
      </c>
      <c r="AE87">
        <v>-2.3359999999999959</v>
      </c>
      <c r="AF87">
        <v>4</v>
      </c>
      <c r="AG87">
        <v>1.2800000000000002</v>
      </c>
      <c r="AH87">
        <v>2.1600000000000024</v>
      </c>
      <c r="AI87">
        <v>5.4</v>
      </c>
      <c r="AJ87">
        <v>2.1599999999999997</v>
      </c>
      <c r="AK87">
        <v>24.95999999999998</v>
      </c>
      <c r="AL87">
        <v>29.399999999999995</v>
      </c>
      <c r="AM87">
        <v>2.6799999999999984</v>
      </c>
      <c r="AN87">
        <v>0.11999999999999958</v>
      </c>
      <c r="AO87">
        <v>-7.2399999999999993</v>
      </c>
      <c r="AP87">
        <v>13</v>
      </c>
      <c r="AQ87">
        <v>3.5863999999999998</v>
      </c>
      <c r="AR87">
        <v>2.5628799999999998</v>
      </c>
      <c r="AS87">
        <v>26.719999999999995</v>
      </c>
      <c r="AT87">
        <v>-3.5863999999999998</v>
      </c>
      <c r="AU87">
        <v>1.3278000000000001</v>
      </c>
      <c r="AV87">
        <v>0.22703749999999989</v>
      </c>
      <c r="AW87">
        <v>2.2418749999999998</v>
      </c>
      <c r="AX87" t="s">
        <v>301</v>
      </c>
      <c r="AY87">
        <v>14</v>
      </c>
      <c r="AZ87">
        <v>-5.2823999999999982</v>
      </c>
      <c r="BA87">
        <v>2.468</v>
      </c>
      <c r="BB87">
        <v>9.52</v>
      </c>
      <c r="BC87">
        <v>0.43999999999999984</v>
      </c>
      <c r="BD87">
        <v>-10.888000000000003</v>
      </c>
      <c r="BE87">
        <v>-51.160000000000004</v>
      </c>
      <c r="BF87">
        <v>-1.1600000000000001</v>
      </c>
      <c r="BG87">
        <v>10</v>
      </c>
      <c r="BH87">
        <v>11.5</v>
      </c>
      <c r="BI87">
        <v>0.12000000000000011</v>
      </c>
      <c r="BJ87">
        <v>18</v>
      </c>
      <c r="BK87">
        <v>16.25</v>
      </c>
      <c r="BL87">
        <v>18</v>
      </c>
      <c r="BM87">
        <v>1.9153840439789106E-2</v>
      </c>
      <c r="BN87">
        <v>16</v>
      </c>
      <c r="BO87">
        <v>1.6718294484017026E-2</v>
      </c>
      <c r="BP87">
        <v>8</v>
      </c>
      <c r="BQ87">
        <v>-5.5720000000000045</v>
      </c>
      <c r="BR87">
        <v>23</v>
      </c>
      <c r="BS87">
        <v>2.3600000000000003</v>
      </c>
      <c r="BT87">
        <v>3.6400000000000006</v>
      </c>
      <c r="BU87">
        <v>-2.8800000000000003</v>
      </c>
      <c r="BV87">
        <v>-1.1199999999999999</v>
      </c>
      <c r="BW87">
        <v>-47.760000000000005</v>
      </c>
      <c r="BX87">
        <v>-62.320000000000007</v>
      </c>
      <c r="BY87">
        <v>9.64</v>
      </c>
      <c r="BZ87">
        <v>-1.4000000000000001</v>
      </c>
      <c r="CA87">
        <v>6.3199999999999985</v>
      </c>
      <c r="CB87">
        <v>29</v>
      </c>
      <c r="CC87">
        <v>-7.7503999999999991</v>
      </c>
      <c r="CD87">
        <v>-4.4680800000000005</v>
      </c>
      <c r="CE87">
        <v>-71.960000000000008</v>
      </c>
      <c r="CF87">
        <v>-1.7878000000000001</v>
      </c>
    </row>
    <row r="88" spans="1:84" x14ac:dyDescent="0.2">
      <c r="A88" s="39">
        <v>43751</v>
      </c>
      <c r="B88" s="22" t="s">
        <v>252</v>
      </c>
      <c r="C88" s="41" t="s">
        <v>310</v>
      </c>
      <c r="D88" s="22" t="s">
        <v>278</v>
      </c>
      <c r="E88">
        <v>6.6</v>
      </c>
      <c r="F88" s="14">
        <v>10.7</v>
      </c>
      <c r="G88">
        <v>4.3</v>
      </c>
      <c r="H88">
        <f>7.3+3.5+1.8</f>
        <v>12.600000000000001</v>
      </c>
      <c r="I88">
        <v>1</v>
      </c>
      <c r="J88">
        <v>41</v>
      </c>
      <c r="L88" s="1" t="s">
        <v>310</v>
      </c>
      <c r="M88">
        <v>23</v>
      </c>
      <c r="N88">
        <v>-1.4672000000000007</v>
      </c>
      <c r="O88">
        <v>-2.0280000000000005</v>
      </c>
      <c r="P88">
        <v>-9.6799999999999979</v>
      </c>
      <c r="Q88">
        <v>-0.96</v>
      </c>
      <c r="R88">
        <v>-8.1480000000000015</v>
      </c>
      <c r="S88">
        <v>-23.479999999999997</v>
      </c>
      <c r="T88">
        <v>-4.5200000000000005</v>
      </c>
      <c r="U88">
        <v>29</v>
      </c>
      <c r="V88">
        <v>29</v>
      </c>
      <c r="W88">
        <v>1.3599999999999999</v>
      </c>
      <c r="X88">
        <v>25</v>
      </c>
      <c r="Y88">
        <v>21</v>
      </c>
      <c r="Z88">
        <v>27</v>
      </c>
      <c r="AA88">
        <v>3.5199171787367908E-2</v>
      </c>
      <c r="AB88">
        <v>2</v>
      </c>
      <c r="AC88">
        <v>4.9032921285496321E-2</v>
      </c>
      <c r="AD88">
        <v>30</v>
      </c>
      <c r="AE88">
        <v>13.244</v>
      </c>
      <c r="AF88">
        <v>25</v>
      </c>
      <c r="AG88">
        <v>0.72</v>
      </c>
      <c r="AH88">
        <v>-1.0400000000000005</v>
      </c>
      <c r="AI88">
        <v>-1.3600000000000008</v>
      </c>
      <c r="AJ88">
        <v>-4.0000000000000036E-2</v>
      </c>
      <c r="AK88">
        <v>-26.759999999999991</v>
      </c>
      <c r="AL88">
        <v>-20.599999999999994</v>
      </c>
      <c r="AM88">
        <v>-13.440000000000001</v>
      </c>
      <c r="AN88">
        <v>-5.92</v>
      </c>
      <c r="AO88">
        <v>13.2</v>
      </c>
      <c r="AP88">
        <v>19</v>
      </c>
      <c r="AQ88">
        <v>0.56079999999999974</v>
      </c>
      <c r="AR88">
        <v>-0.90904000000000007</v>
      </c>
      <c r="AS88">
        <v>-7.159999999999993</v>
      </c>
      <c r="AT88">
        <v>-0.56079999999999974</v>
      </c>
      <c r="AU88">
        <v>-1.5704000000000002</v>
      </c>
      <c r="AV88">
        <v>-1.1117000000000001</v>
      </c>
      <c r="AW88">
        <v>-1.0694999999999999</v>
      </c>
      <c r="AX88" t="s">
        <v>278</v>
      </c>
      <c r="AY88">
        <v>15</v>
      </c>
      <c r="AZ88">
        <v>-5.2031999999999998</v>
      </c>
      <c r="BA88">
        <v>2.6959999999999997</v>
      </c>
      <c r="BB88">
        <v>24.959999999999994</v>
      </c>
      <c r="BC88">
        <v>-3.9999999999999897E-2</v>
      </c>
      <c r="BD88">
        <v>-9.9640000000000022</v>
      </c>
      <c r="BE88">
        <v>-40.480000000000004</v>
      </c>
      <c r="BF88">
        <v>-1.6000000000000005</v>
      </c>
      <c r="BG88">
        <v>9</v>
      </c>
      <c r="BH88">
        <v>9.5</v>
      </c>
      <c r="BI88">
        <v>-3.9999999999999855E-2</v>
      </c>
      <c r="BJ88">
        <v>12</v>
      </c>
      <c r="BK88">
        <v>14.5</v>
      </c>
      <c r="BL88">
        <v>25</v>
      </c>
      <c r="BM88">
        <v>-2.4111413301673167E-2</v>
      </c>
      <c r="BN88">
        <v>6</v>
      </c>
      <c r="BO88">
        <v>-2.7913462536239719E-2</v>
      </c>
      <c r="BP88">
        <v>10</v>
      </c>
      <c r="BQ88">
        <v>-10.404</v>
      </c>
      <c r="BR88">
        <v>17</v>
      </c>
      <c r="BS88">
        <v>-2.2800000000000002</v>
      </c>
      <c r="BT88">
        <v>-1.6399999999999992</v>
      </c>
      <c r="BU88">
        <v>-0.27999999999999969</v>
      </c>
      <c r="BV88">
        <v>0.55999999999999983</v>
      </c>
      <c r="BW88">
        <v>-23.4</v>
      </c>
      <c r="BX88">
        <v>-42.959999999999994</v>
      </c>
      <c r="BY88">
        <v>22.8</v>
      </c>
      <c r="BZ88">
        <v>5.24</v>
      </c>
      <c r="CA88">
        <v>-8.4799999999999986</v>
      </c>
      <c r="CB88">
        <v>30</v>
      </c>
      <c r="CC88">
        <v>-7.8991999999999996</v>
      </c>
      <c r="CD88">
        <v>-4.3814399999999996</v>
      </c>
      <c r="CE88">
        <v>-65.759999999999991</v>
      </c>
      <c r="CF88">
        <v>-1.1539000000000004</v>
      </c>
    </row>
    <row r="89" spans="1:84" x14ac:dyDescent="0.2">
      <c r="A89" s="39">
        <v>43751</v>
      </c>
      <c r="B89" s="22" t="s">
        <v>252</v>
      </c>
      <c r="C89" s="41" t="s">
        <v>306</v>
      </c>
      <c r="D89" s="22" t="s">
        <v>293</v>
      </c>
      <c r="E89">
        <v>29</v>
      </c>
      <c r="F89">
        <v>0</v>
      </c>
      <c r="G89" s="14">
        <v>2.8</v>
      </c>
      <c r="H89">
        <v>4.4000000000000004</v>
      </c>
      <c r="I89">
        <v>-6</v>
      </c>
      <c r="J89">
        <v>42</v>
      </c>
      <c r="L89" s="1" t="s">
        <v>306</v>
      </c>
      <c r="M89">
        <v>18</v>
      </c>
      <c r="N89">
        <v>-0.25760000000000077</v>
      </c>
      <c r="O89">
        <v>-4.0819999999999999</v>
      </c>
      <c r="P89">
        <v>-31</v>
      </c>
      <c r="Q89">
        <v>1.4700000000000006</v>
      </c>
      <c r="R89">
        <v>-3.8030000000000022</v>
      </c>
      <c r="S89">
        <v>-36.659999999999997</v>
      </c>
      <c r="T89">
        <v>-1.88</v>
      </c>
      <c r="U89">
        <v>1</v>
      </c>
      <c r="V89">
        <v>1</v>
      </c>
      <c r="W89">
        <v>-1.56</v>
      </c>
      <c r="X89">
        <v>1</v>
      </c>
      <c r="Y89">
        <v>5.25</v>
      </c>
      <c r="Z89">
        <v>9</v>
      </c>
      <c r="AA89">
        <v>-6.8356436994656657E-3</v>
      </c>
      <c r="AB89">
        <v>1</v>
      </c>
      <c r="AC89">
        <v>-1.1805193242768505E-3</v>
      </c>
      <c r="AD89">
        <v>2</v>
      </c>
      <c r="AE89">
        <v>-13.127999999999997</v>
      </c>
      <c r="AF89">
        <v>9</v>
      </c>
      <c r="AG89">
        <v>1.4400000000000006</v>
      </c>
      <c r="AH89">
        <v>-6.0400000000000009</v>
      </c>
      <c r="AI89">
        <v>-1.6400000000000006</v>
      </c>
      <c r="AJ89">
        <v>-0.91999999999999993</v>
      </c>
      <c r="AK89">
        <v>-38.200000000000003</v>
      </c>
      <c r="AL89">
        <v>-16.120000000000015</v>
      </c>
      <c r="AM89">
        <v>-31.560000000000002</v>
      </c>
      <c r="AN89">
        <v>10.84</v>
      </c>
      <c r="AO89">
        <v>-1.36</v>
      </c>
      <c r="AP89">
        <v>12</v>
      </c>
      <c r="AQ89">
        <v>3.8243999999999998</v>
      </c>
      <c r="AR89">
        <v>1.2288799999999993</v>
      </c>
      <c r="AS89">
        <v>15.439999999999987</v>
      </c>
      <c r="AT89">
        <v>-3.8243999999999989</v>
      </c>
      <c r="AU89">
        <v>-1.2478250000000002</v>
      </c>
      <c r="AV89">
        <v>1.7779499999999997</v>
      </c>
      <c r="AW89">
        <v>1.8469999999999998</v>
      </c>
      <c r="AX89" t="s">
        <v>293</v>
      </c>
      <c r="AY89">
        <v>2</v>
      </c>
      <c r="AZ89">
        <v>4.4383999999999997</v>
      </c>
      <c r="BA89">
        <v>7.9239999999999995</v>
      </c>
      <c r="BB89">
        <v>56.08</v>
      </c>
      <c r="BC89">
        <v>-2.6399999999999997</v>
      </c>
      <c r="BD89">
        <v>-0.45119999999999827</v>
      </c>
      <c r="BE89">
        <v>-2.7200000000000042</v>
      </c>
      <c r="BF89">
        <v>-4.32</v>
      </c>
      <c r="BG89">
        <v>1</v>
      </c>
      <c r="BH89">
        <v>1.5</v>
      </c>
      <c r="BI89">
        <v>8.24</v>
      </c>
      <c r="BJ89">
        <v>31</v>
      </c>
      <c r="BK89">
        <v>29</v>
      </c>
      <c r="BL89">
        <v>29</v>
      </c>
      <c r="BM89">
        <v>-5.4820745969143991E-2</v>
      </c>
      <c r="BN89">
        <v>32</v>
      </c>
      <c r="BO89">
        <v>-2.103702322821489E-2</v>
      </c>
      <c r="BP89">
        <v>30</v>
      </c>
      <c r="BQ89">
        <v>6.8759999999999994</v>
      </c>
      <c r="BR89">
        <v>25</v>
      </c>
      <c r="BS89">
        <v>-6.0399999999999991</v>
      </c>
      <c r="BT89">
        <v>0.7600000000000009</v>
      </c>
      <c r="BU89">
        <v>9.4</v>
      </c>
      <c r="BV89">
        <v>1.6800000000000002</v>
      </c>
      <c r="BW89">
        <v>27.360000000000003</v>
      </c>
      <c r="BX89">
        <v>-15.319999999999993</v>
      </c>
      <c r="BY89">
        <v>60.36</v>
      </c>
      <c r="BZ89">
        <v>-4.1599999999999993</v>
      </c>
      <c r="CA89">
        <v>-13.52</v>
      </c>
      <c r="CB89">
        <v>23</v>
      </c>
      <c r="CC89">
        <v>-3.4855999999999998</v>
      </c>
      <c r="CD89">
        <v>-3.1645599999999998</v>
      </c>
      <c r="CE89">
        <v>-75.679999999999993</v>
      </c>
      <c r="CF89">
        <v>1.7088999999999996</v>
      </c>
    </row>
    <row r="90" spans="1:84" x14ac:dyDescent="0.2">
      <c r="A90" s="39">
        <v>43758</v>
      </c>
      <c r="B90" s="22" t="s">
        <v>250</v>
      </c>
      <c r="C90" s="41" t="s">
        <v>285</v>
      </c>
      <c r="D90" s="22" t="s">
        <v>296</v>
      </c>
      <c r="E90">
        <v>2.2000000000000002</v>
      </c>
      <c r="F90">
        <v>6.9</v>
      </c>
      <c r="G90">
        <v>2.8</v>
      </c>
      <c r="H90">
        <f>2.2+1.5</f>
        <v>3.7</v>
      </c>
      <c r="I90">
        <v>3.5</v>
      </c>
      <c r="J90">
        <v>49.5</v>
      </c>
      <c r="K90" t="s">
        <v>109</v>
      </c>
      <c r="L90" s="1" t="s">
        <v>285</v>
      </c>
      <c r="M90">
        <v>12</v>
      </c>
      <c r="N90">
        <v>0.72159999999999935</v>
      </c>
      <c r="O90">
        <v>1.3880000000000012</v>
      </c>
      <c r="P90">
        <v>-12.720000000000002</v>
      </c>
      <c r="Q90">
        <v>1.92</v>
      </c>
      <c r="R90">
        <v>-10.827999999999999</v>
      </c>
      <c r="S90">
        <v>-45.2</v>
      </c>
      <c r="T90">
        <v>-3.2800000000000002</v>
      </c>
      <c r="U90">
        <v>21</v>
      </c>
      <c r="V90">
        <v>20</v>
      </c>
      <c r="W90">
        <v>-4.84</v>
      </c>
      <c r="X90">
        <v>9</v>
      </c>
      <c r="Y90">
        <v>12.25</v>
      </c>
      <c r="Z90">
        <v>20</v>
      </c>
      <c r="AA90">
        <v>-3.7486223402579393E-2</v>
      </c>
      <c r="AB90">
        <v>7</v>
      </c>
      <c r="AC90">
        <v>2.7514284995964127E-2</v>
      </c>
      <c r="AD90">
        <v>4</v>
      </c>
      <c r="AE90">
        <v>3.3000000000000029</v>
      </c>
      <c r="AF90">
        <v>18</v>
      </c>
      <c r="AG90">
        <v>1.1200000000000003</v>
      </c>
      <c r="AH90">
        <v>0.92000000000000026</v>
      </c>
      <c r="AI90">
        <v>-3.6800000000000006</v>
      </c>
      <c r="AJ90">
        <v>-1.1199999999999999</v>
      </c>
      <c r="AK90">
        <v>-2.9199999999999933</v>
      </c>
      <c r="AL90">
        <v>-3.960000000000008</v>
      </c>
      <c r="AM90">
        <v>-18.599999999999998</v>
      </c>
      <c r="AN90">
        <v>1.04</v>
      </c>
      <c r="AO90">
        <v>18.599999999999998</v>
      </c>
      <c r="AP90">
        <v>21</v>
      </c>
      <c r="AQ90">
        <v>-0.66640000000000188</v>
      </c>
      <c r="AR90">
        <v>-2.7152800000000008</v>
      </c>
      <c r="AS90">
        <v>14.63999999999999</v>
      </c>
      <c r="AT90">
        <v>0.66640000000000188</v>
      </c>
      <c r="AU90">
        <v>-1.0247999999999999</v>
      </c>
      <c r="AV90">
        <v>1.0465999999999998</v>
      </c>
      <c r="AW90">
        <v>1.4759249999999997</v>
      </c>
      <c r="AX90" t="s">
        <v>296</v>
      </c>
      <c r="AY90">
        <v>5</v>
      </c>
      <c r="AZ90">
        <v>2.5591999999999997</v>
      </c>
      <c r="BA90">
        <v>2.0320000000000009</v>
      </c>
      <c r="BB90">
        <v>19.88</v>
      </c>
      <c r="BC90">
        <v>-3.9999999999999591E-2</v>
      </c>
      <c r="BD90">
        <v>-1.6130000000000013</v>
      </c>
      <c r="BE90">
        <v>1.5700000000000003</v>
      </c>
      <c r="BF90">
        <v>-2.3800000000000008</v>
      </c>
      <c r="BG90">
        <v>2</v>
      </c>
      <c r="BH90">
        <v>3</v>
      </c>
      <c r="BI90">
        <v>2.16</v>
      </c>
      <c r="BJ90">
        <v>29</v>
      </c>
      <c r="BK90">
        <v>24</v>
      </c>
      <c r="BL90">
        <v>11</v>
      </c>
      <c r="BM90">
        <v>-2.6540828689013578E-2</v>
      </c>
      <c r="BN90">
        <v>27</v>
      </c>
      <c r="BO90">
        <v>1.5047908799414941E-2</v>
      </c>
      <c r="BP90">
        <v>31</v>
      </c>
      <c r="BQ90">
        <v>6.8519999999999994</v>
      </c>
      <c r="BR90">
        <v>27</v>
      </c>
      <c r="BS90">
        <v>1.36</v>
      </c>
      <c r="BT90">
        <v>1.9999999999999987</v>
      </c>
      <c r="BU90">
        <v>-0.23999999999999949</v>
      </c>
      <c r="BV90">
        <v>1.1599999999999997</v>
      </c>
      <c r="BW90">
        <v>44.6</v>
      </c>
      <c r="BX90">
        <v>25.480000000000008</v>
      </c>
      <c r="BY90">
        <v>22.279999999999994</v>
      </c>
      <c r="BZ90">
        <v>-3.839999999999999</v>
      </c>
      <c r="CA90">
        <v>0.68000000000000038</v>
      </c>
      <c r="CB90">
        <v>13</v>
      </c>
      <c r="CC90">
        <v>0.527199999999999</v>
      </c>
      <c r="CD90">
        <v>-0.82676000000000083</v>
      </c>
      <c r="CE90">
        <v>3.2000000000000135</v>
      </c>
      <c r="CF90">
        <v>0.61727500000000002</v>
      </c>
    </row>
    <row r="91" spans="1:84" x14ac:dyDescent="0.2">
      <c r="A91" s="39">
        <v>43758</v>
      </c>
      <c r="B91" s="22" t="s">
        <v>250</v>
      </c>
      <c r="C91" s="41" t="s">
        <v>295</v>
      </c>
      <c r="D91" s="22" t="s">
        <v>304</v>
      </c>
      <c r="E91">
        <v>15.3</v>
      </c>
      <c r="F91">
        <v>7</v>
      </c>
      <c r="G91" s="14">
        <v>1.3</v>
      </c>
      <c r="H91">
        <v>14.6</v>
      </c>
      <c r="I91">
        <v>3</v>
      </c>
      <c r="J91">
        <v>54.5</v>
      </c>
      <c r="K91" t="s">
        <v>109</v>
      </c>
      <c r="L91" s="1" t="s">
        <v>295</v>
      </c>
      <c r="M91">
        <v>2</v>
      </c>
      <c r="N91">
        <v>7.9047999999999998</v>
      </c>
      <c r="O91">
        <v>3.984</v>
      </c>
      <c r="P91">
        <v>-5.7600000000000016</v>
      </c>
      <c r="Q91">
        <v>1.82</v>
      </c>
      <c r="R91">
        <v>16.343999999999998</v>
      </c>
      <c r="S91">
        <v>71.039999999999992</v>
      </c>
      <c r="T91">
        <v>5.7200000000000006</v>
      </c>
      <c r="U91">
        <v>4</v>
      </c>
      <c r="V91">
        <v>7</v>
      </c>
      <c r="W91">
        <v>-5.4</v>
      </c>
      <c r="X91">
        <v>14</v>
      </c>
      <c r="Y91">
        <v>14</v>
      </c>
      <c r="Z91">
        <v>7</v>
      </c>
      <c r="AA91">
        <v>-1.2445594924166003E-2</v>
      </c>
      <c r="AB91">
        <v>9</v>
      </c>
      <c r="AC91">
        <v>-2.289016798368157E-2</v>
      </c>
      <c r="AD91">
        <v>26</v>
      </c>
      <c r="AE91">
        <v>8.6439999999999948</v>
      </c>
      <c r="AF91">
        <v>14</v>
      </c>
      <c r="AG91">
        <v>-0.40000000000000019</v>
      </c>
      <c r="AH91">
        <v>2.5600000000000009</v>
      </c>
      <c r="AI91">
        <v>3.16</v>
      </c>
      <c r="AJ91">
        <v>-0.83999999999999986</v>
      </c>
      <c r="AK91">
        <v>50.56</v>
      </c>
      <c r="AL91">
        <v>78.52000000000001</v>
      </c>
      <c r="AM91">
        <v>-13.160000000000002</v>
      </c>
      <c r="AN91">
        <v>-5.28</v>
      </c>
      <c r="AO91">
        <v>-9.52</v>
      </c>
      <c r="AP91">
        <v>11</v>
      </c>
      <c r="AQ91">
        <v>3.9207999999999994</v>
      </c>
      <c r="AR91">
        <v>2.8577599999999999</v>
      </c>
      <c r="AS91">
        <v>91.68</v>
      </c>
      <c r="AT91">
        <v>-3.9207999999999998</v>
      </c>
      <c r="AU91">
        <v>3.4191000000000003</v>
      </c>
      <c r="AV91">
        <v>1.7071875000000005</v>
      </c>
      <c r="AW91">
        <v>3.729200000000001</v>
      </c>
      <c r="AX91" t="s">
        <v>304</v>
      </c>
      <c r="AY91">
        <v>16</v>
      </c>
      <c r="AZ91">
        <v>0.23119999999999977</v>
      </c>
      <c r="BA91">
        <v>-4.1288</v>
      </c>
      <c r="BB91">
        <v>-14.08</v>
      </c>
      <c r="BC91">
        <v>-0.52000000000000013</v>
      </c>
      <c r="BD91">
        <v>-0.18100000000000016</v>
      </c>
      <c r="BE91">
        <v>1.3599999999999968</v>
      </c>
      <c r="BF91">
        <v>0.53999999999999981</v>
      </c>
      <c r="BG91">
        <v>28</v>
      </c>
      <c r="BH91">
        <v>26.5</v>
      </c>
      <c r="BI91">
        <v>1.7763568394002506E-16</v>
      </c>
      <c r="BJ91">
        <v>14</v>
      </c>
      <c r="BK91">
        <v>15</v>
      </c>
      <c r="BL91">
        <v>22</v>
      </c>
      <c r="BM91">
        <v>5.0394854655662749E-2</v>
      </c>
      <c r="BN91">
        <v>10</v>
      </c>
      <c r="BO91">
        <v>-1.418277190389074E-2</v>
      </c>
      <c r="BP91">
        <v>22</v>
      </c>
      <c r="BQ91">
        <v>-2.8000000000001534E-2</v>
      </c>
      <c r="BR91">
        <v>6</v>
      </c>
      <c r="BS91">
        <v>-0.6</v>
      </c>
      <c r="BT91">
        <v>2.2400000000000007</v>
      </c>
      <c r="BU91">
        <v>-7.999999999999971E-2</v>
      </c>
      <c r="BV91">
        <v>0.27999999999999992</v>
      </c>
      <c r="BW91">
        <v>-32.04</v>
      </c>
      <c r="BX91">
        <v>-4.8399999999999981</v>
      </c>
      <c r="BY91">
        <v>-17.720000000000002</v>
      </c>
      <c r="BZ91">
        <v>-4.5200000000000005</v>
      </c>
      <c r="CA91">
        <v>-4.9600000000000009</v>
      </c>
      <c r="CB91">
        <v>6</v>
      </c>
      <c r="CC91">
        <v>4.3599999999999994</v>
      </c>
      <c r="CD91">
        <v>2.0744400000000001</v>
      </c>
      <c r="CE91">
        <v>12.880000000000004</v>
      </c>
      <c r="CF91">
        <v>-0.31482500000000002</v>
      </c>
    </row>
    <row r="92" spans="1:84" x14ac:dyDescent="0.2">
      <c r="A92" s="39">
        <v>43758</v>
      </c>
      <c r="B92" s="22" t="s">
        <v>250</v>
      </c>
      <c r="C92" s="41" t="s">
        <v>305</v>
      </c>
      <c r="D92" s="22" t="s">
        <v>308</v>
      </c>
      <c r="H92">
        <f>5.9+3+2</f>
        <v>10.9</v>
      </c>
      <c r="I92">
        <v>3</v>
      </c>
      <c r="J92">
        <v>49</v>
      </c>
      <c r="L92" s="1" t="s">
        <v>305</v>
      </c>
      <c r="M92">
        <v>4</v>
      </c>
      <c r="N92">
        <v>5.0192000000000014</v>
      </c>
      <c r="O92">
        <v>-4.5455999999999994</v>
      </c>
      <c r="P92">
        <v>-21.96</v>
      </c>
      <c r="Q92">
        <v>-2.4000000000000004</v>
      </c>
      <c r="R92">
        <v>-1.6169999999999991</v>
      </c>
      <c r="S92">
        <v>3.2000000000000028</v>
      </c>
      <c r="T92">
        <v>2.79</v>
      </c>
      <c r="U92">
        <v>8</v>
      </c>
      <c r="V92">
        <v>8.5</v>
      </c>
      <c r="W92">
        <v>-3.8</v>
      </c>
      <c r="X92">
        <v>31</v>
      </c>
      <c r="Y92">
        <v>29.25</v>
      </c>
      <c r="Z92">
        <v>27</v>
      </c>
      <c r="AA92">
        <v>-1.2590185827370037E-2</v>
      </c>
      <c r="AB92">
        <v>31</v>
      </c>
      <c r="AC92">
        <v>1.3315433298636678E-2</v>
      </c>
      <c r="AD92">
        <v>27</v>
      </c>
      <c r="AE92">
        <v>-0.57599999999999763</v>
      </c>
      <c r="AF92">
        <v>32</v>
      </c>
      <c r="AG92">
        <v>0.48</v>
      </c>
      <c r="AH92">
        <v>5.24</v>
      </c>
      <c r="AI92">
        <v>0.9199999999999996</v>
      </c>
      <c r="AJ92">
        <v>-0.27999999999999997</v>
      </c>
      <c r="AK92">
        <v>20.880000000000006</v>
      </c>
      <c r="AL92">
        <v>-13.719999999999999</v>
      </c>
      <c r="AM92">
        <v>-20.080000000000002</v>
      </c>
      <c r="AN92">
        <v>-4.9999999999999991</v>
      </c>
      <c r="AO92">
        <v>59.679999999999993</v>
      </c>
      <c r="AP92">
        <v>2</v>
      </c>
      <c r="AQ92">
        <v>9.5648000000000017</v>
      </c>
      <c r="AR92">
        <v>2.9532400000000001</v>
      </c>
      <c r="AS92">
        <v>6.360000000000003</v>
      </c>
      <c r="AT92">
        <v>-9.5648000000000017</v>
      </c>
      <c r="AU92">
        <v>5.7075000000000153E-2</v>
      </c>
      <c r="AV92">
        <v>0.88869999999999993</v>
      </c>
      <c r="AW92">
        <v>1.4556</v>
      </c>
      <c r="AX92" t="s">
        <v>308</v>
      </c>
      <c r="AY92">
        <v>17</v>
      </c>
      <c r="AZ92">
        <v>2.8912</v>
      </c>
      <c r="BA92">
        <v>2.8271999999999995</v>
      </c>
      <c r="BB92">
        <v>-2.0000000000000009</v>
      </c>
      <c r="BC92">
        <v>0.40000000000000036</v>
      </c>
      <c r="BD92">
        <v>-0.30400000000000027</v>
      </c>
      <c r="BE92">
        <v>-11.680000000000003</v>
      </c>
      <c r="BF92">
        <v>0.39999999999999969</v>
      </c>
      <c r="BG92">
        <v>12</v>
      </c>
      <c r="BH92">
        <v>12.5</v>
      </c>
      <c r="BI92">
        <v>-2.6</v>
      </c>
      <c r="BJ92">
        <v>21</v>
      </c>
      <c r="BK92">
        <v>17.25</v>
      </c>
      <c r="BL92">
        <v>30</v>
      </c>
      <c r="BM92">
        <v>-2.9118507621729583E-2</v>
      </c>
      <c r="BN92">
        <v>28</v>
      </c>
      <c r="BO92">
        <v>-2.1887772527266619E-2</v>
      </c>
      <c r="BP92">
        <v>4</v>
      </c>
      <c r="BQ92">
        <v>4.4320000000000039</v>
      </c>
      <c r="BR92">
        <v>7</v>
      </c>
      <c r="BS92">
        <v>-0.3999999999999998</v>
      </c>
      <c r="BT92">
        <v>-2.319999999999999</v>
      </c>
      <c r="BU92">
        <v>2.2799999999999998</v>
      </c>
      <c r="BV92">
        <v>1.3999999999999997</v>
      </c>
      <c r="BW92">
        <v>11.319999999999993</v>
      </c>
      <c r="BX92">
        <v>-1.3199999999999932</v>
      </c>
      <c r="BY92">
        <v>1.6399999999999992</v>
      </c>
      <c r="BZ92">
        <v>1.44</v>
      </c>
      <c r="CA92">
        <v>9.56</v>
      </c>
      <c r="CB92">
        <v>15</v>
      </c>
      <c r="CC92">
        <v>6.4000000000000501E-2</v>
      </c>
      <c r="CD92">
        <v>-0.89615999999999973</v>
      </c>
      <c r="CE92">
        <v>-2.9599999999999924</v>
      </c>
      <c r="CF92">
        <v>0.32179999999999986</v>
      </c>
    </row>
    <row r="93" spans="1:84" x14ac:dyDescent="0.2">
      <c r="A93" s="39">
        <v>43758</v>
      </c>
      <c r="B93" s="22" t="s">
        <v>250</v>
      </c>
      <c r="C93" s="41" t="s">
        <v>276</v>
      </c>
      <c r="D93" s="23" t="s">
        <v>293</v>
      </c>
      <c r="E93">
        <v>19.3</v>
      </c>
      <c r="F93">
        <v>10.6</v>
      </c>
      <c r="G93" s="14">
        <v>3.3</v>
      </c>
      <c r="H93">
        <f>4.2+1.9</f>
        <v>6.1</v>
      </c>
      <c r="I93">
        <v>-17</v>
      </c>
      <c r="J93">
        <v>42.5</v>
      </c>
      <c r="L93" s="1" t="s">
        <v>276</v>
      </c>
      <c r="M93">
        <v>10</v>
      </c>
      <c r="N93">
        <v>1.4039999999999995</v>
      </c>
      <c r="O93">
        <v>-3.6176000000000008</v>
      </c>
      <c r="P93">
        <v>3.6799999999999993</v>
      </c>
      <c r="Q93">
        <v>-2.4799999999999995</v>
      </c>
      <c r="R93">
        <v>4.6080000000000005</v>
      </c>
      <c r="S93">
        <v>24.439999999999998</v>
      </c>
      <c r="T93">
        <v>1.7200000000000002</v>
      </c>
      <c r="U93">
        <v>25</v>
      </c>
      <c r="V93">
        <v>23</v>
      </c>
      <c r="W93">
        <v>-2.7600000000000002</v>
      </c>
      <c r="X93">
        <v>24</v>
      </c>
      <c r="Y93">
        <v>20.75</v>
      </c>
      <c r="Z93">
        <v>25</v>
      </c>
      <c r="AA93">
        <v>5.6968549955647173E-2</v>
      </c>
      <c r="AB93">
        <v>25</v>
      </c>
      <c r="AC93">
        <v>9.4936751676844931E-3</v>
      </c>
      <c r="AD93">
        <v>5</v>
      </c>
      <c r="AE93">
        <v>3.2680000000000007</v>
      </c>
      <c r="AF93">
        <v>28</v>
      </c>
      <c r="AG93">
        <v>-0.72</v>
      </c>
      <c r="AH93">
        <v>2.0799999999999996</v>
      </c>
      <c r="AI93">
        <v>0.15999999999999961</v>
      </c>
      <c r="AJ93">
        <v>-0.92000000000000015</v>
      </c>
      <c r="AK93">
        <v>7.2</v>
      </c>
      <c r="AL93">
        <v>5.1200000000000045</v>
      </c>
      <c r="AM93">
        <v>-6.3599999999999994</v>
      </c>
      <c r="AN93">
        <v>-0.27999999999999997</v>
      </c>
      <c r="AO93">
        <v>8.7199999999999989</v>
      </c>
      <c r="AP93">
        <v>8</v>
      </c>
      <c r="AQ93">
        <v>5.0216000000000003</v>
      </c>
      <c r="AR93">
        <v>3.0112000000000005</v>
      </c>
      <c r="AS93">
        <v>11.480000000000004</v>
      </c>
      <c r="AT93">
        <v>-5.0216000000000003</v>
      </c>
      <c r="AU93">
        <v>0.15430000000000002</v>
      </c>
      <c r="AV93">
        <v>-0.1896874999999999</v>
      </c>
      <c r="AW93">
        <v>-1.1367499999999999</v>
      </c>
      <c r="AX93" t="s">
        <v>293</v>
      </c>
      <c r="AY93">
        <v>2</v>
      </c>
      <c r="AZ93">
        <v>3.3319999999999994</v>
      </c>
      <c r="BA93">
        <v>4.6160000000000014</v>
      </c>
      <c r="BB93">
        <v>37.120000000000005</v>
      </c>
      <c r="BC93">
        <v>-2.6799999999999997</v>
      </c>
      <c r="BD93">
        <v>-5.1689999999999987</v>
      </c>
      <c r="BE93">
        <v>-30.570000000000004</v>
      </c>
      <c r="BF93">
        <v>-4.9200000000000008</v>
      </c>
      <c r="BG93">
        <v>1</v>
      </c>
      <c r="BH93">
        <v>1.5</v>
      </c>
      <c r="BI93">
        <v>5.9599999999999991</v>
      </c>
      <c r="BJ93">
        <v>31</v>
      </c>
      <c r="BK93">
        <v>29</v>
      </c>
      <c r="BL93">
        <v>29</v>
      </c>
      <c r="BM93">
        <v>-7.3754677872322968E-2</v>
      </c>
      <c r="BN93">
        <v>32</v>
      </c>
      <c r="BO93">
        <v>-1.3298117139573917E-2</v>
      </c>
      <c r="BP93">
        <v>30</v>
      </c>
      <c r="BQ93">
        <v>-0.51999999999999891</v>
      </c>
      <c r="BR93">
        <v>25</v>
      </c>
      <c r="BS93">
        <v>-6.919999999999999</v>
      </c>
      <c r="BT93">
        <v>-3.0799999999999996</v>
      </c>
      <c r="BU93">
        <v>6.88</v>
      </c>
      <c r="BV93">
        <v>2.2399999999999998</v>
      </c>
      <c r="BW93">
        <v>8.2400000000000091</v>
      </c>
      <c r="BX93">
        <v>-22.280000000000008</v>
      </c>
      <c r="BY93">
        <v>39.6</v>
      </c>
      <c r="BZ93">
        <v>-5.2</v>
      </c>
      <c r="CA93">
        <v>-3.88</v>
      </c>
      <c r="CB93">
        <v>18</v>
      </c>
      <c r="CC93">
        <v>-1.2840000000000016</v>
      </c>
      <c r="CD93">
        <v>-2.6754000000000007</v>
      </c>
      <c r="CE93">
        <v>-61.88000000000001</v>
      </c>
      <c r="CF93">
        <v>0.75737500000000013</v>
      </c>
    </row>
    <row r="94" spans="1:84" x14ac:dyDescent="0.2">
      <c r="A94" s="39">
        <v>43758</v>
      </c>
      <c r="B94" s="22" t="s">
        <v>250</v>
      </c>
      <c r="C94" s="41" t="s">
        <v>265</v>
      </c>
      <c r="D94" s="23" t="s">
        <v>307</v>
      </c>
      <c r="E94">
        <v>24.7</v>
      </c>
      <c r="F94" s="14">
        <v>10.3</v>
      </c>
      <c r="G94">
        <v>1.6</v>
      </c>
      <c r="H94">
        <v>9.5</v>
      </c>
      <c r="I94">
        <v>-4</v>
      </c>
      <c r="J94">
        <v>37</v>
      </c>
      <c r="K94" t="s">
        <v>110</v>
      </c>
      <c r="L94" s="1" t="s">
        <v>265</v>
      </c>
      <c r="M94">
        <v>28</v>
      </c>
      <c r="N94">
        <v>-3.6320000000000006</v>
      </c>
      <c r="O94">
        <v>-4.6799999999999988</v>
      </c>
      <c r="P94">
        <v>-28.880000000000003</v>
      </c>
      <c r="Q94">
        <v>2.12</v>
      </c>
      <c r="R94">
        <v>-3.6600000000000006</v>
      </c>
      <c r="S94">
        <v>-28.680000000000007</v>
      </c>
      <c r="T94">
        <v>-0.96000000000000019</v>
      </c>
      <c r="U94">
        <v>30</v>
      </c>
      <c r="V94">
        <v>29.5</v>
      </c>
      <c r="W94">
        <v>2.96</v>
      </c>
      <c r="X94">
        <v>18</v>
      </c>
      <c r="Y94">
        <v>15.5</v>
      </c>
      <c r="Z94">
        <v>20</v>
      </c>
      <c r="AA94">
        <v>-1.2002428876065886E-2</v>
      </c>
      <c r="AB94">
        <v>11</v>
      </c>
      <c r="AC94">
        <v>-5.1547829064612525E-3</v>
      </c>
      <c r="AD94">
        <v>20</v>
      </c>
      <c r="AE94">
        <v>-6.9760000000000018</v>
      </c>
      <c r="AF94">
        <v>11</v>
      </c>
      <c r="AG94">
        <v>-1.6800000000000002</v>
      </c>
      <c r="AH94">
        <v>-3.72</v>
      </c>
      <c r="AI94">
        <v>-1.8</v>
      </c>
      <c r="AJ94">
        <v>1.9599999999999997</v>
      </c>
      <c r="AK94">
        <v>-70.760000000000005</v>
      </c>
      <c r="AL94">
        <v>-42.199999999999996</v>
      </c>
      <c r="AM94">
        <v>-33.119999999999997</v>
      </c>
      <c r="AN94">
        <v>12.2</v>
      </c>
      <c r="AO94">
        <v>-7.6400000000000006</v>
      </c>
      <c r="AP94">
        <v>19</v>
      </c>
      <c r="AQ94">
        <v>1.0479999999999987</v>
      </c>
      <c r="AR94">
        <v>0.88159999999999905</v>
      </c>
      <c r="AS94">
        <v>-9.0799999999999983</v>
      </c>
      <c r="AT94">
        <v>-1.0479999999999983</v>
      </c>
      <c r="AU94">
        <v>-1.3265</v>
      </c>
      <c r="AV94">
        <v>-1.0698750000000001</v>
      </c>
      <c r="AW94">
        <v>0.88597499999999973</v>
      </c>
      <c r="AX94" t="s">
        <v>307</v>
      </c>
      <c r="AY94">
        <v>18</v>
      </c>
      <c r="AZ94">
        <v>-2.4487999999999994</v>
      </c>
      <c r="BA94">
        <v>-4.6159999999999997</v>
      </c>
      <c r="BB94">
        <v>-29.839999999999996</v>
      </c>
      <c r="BC94">
        <v>0.6399999999999999</v>
      </c>
      <c r="BD94">
        <v>-14.220999999999998</v>
      </c>
      <c r="BE94">
        <v>-43.7</v>
      </c>
      <c r="BF94">
        <v>-4.6399999999999997</v>
      </c>
      <c r="BG94">
        <v>8</v>
      </c>
      <c r="BH94">
        <v>8.5</v>
      </c>
      <c r="BI94">
        <v>-0.72</v>
      </c>
      <c r="BJ94">
        <v>17</v>
      </c>
      <c r="BK94">
        <v>16</v>
      </c>
      <c r="BL94">
        <v>6</v>
      </c>
      <c r="BM94">
        <v>-1.4956785877840429E-2</v>
      </c>
      <c r="BN94">
        <v>18</v>
      </c>
      <c r="BO94">
        <v>4.2605743407032968E-3</v>
      </c>
      <c r="BP94">
        <v>21</v>
      </c>
      <c r="BQ94">
        <v>-11.167999999999997</v>
      </c>
      <c r="BR94">
        <v>19</v>
      </c>
      <c r="BS94">
        <v>1.9599999999999997</v>
      </c>
      <c r="BT94">
        <v>-5.8399999999999981</v>
      </c>
      <c r="BU94">
        <v>-5.64</v>
      </c>
      <c r="BV94">
        <v>-0.83999999999999986</v>
      </c>
      <c r="BW94">
        <v>-69.439999999999984</v>
      </c>
      <c r="BX94">
        <v>-35.119999999999997</v>
      </c>
      <c r="BY94">
        <v>-32.08</v>
      </c>
      <c r="BZ94">
        <v>0.59999999999999987</v>
      </c>
      <c r="CA94">
        <v>-2.8400000000000003</v>
      </c>
      <c r="CB94">
        <v>11</v>
      </c>
      <c r="CC94">
        <v>2.1672000000000002</v>
      </c>
      <c r="CD94">
        <v>-1.02596</v>
      </c>
      <c r="CE94">
        <v>-3.0399999999999991</v>
      </c>
      <c r="CF94">
        <v>-3.025725</v>
      </c>
    </row>
    <row r="95" spans="1:84" x14ac:dyDescent="0.2">
      <c r="A95" s="39">
        <v>43758</v>
      </c>
      <c r="B95" s="22" t="s">
        <v>250</v>
      </c>
      <c r="C95" s="17" t="s">
        <v>272</v>
      </c>
      <c r="D95" s="22" t="s">
        <v>297</v>
      </c>
      <c r="E95">
        <v>9.5</v>
      </c>
      <c r="F95">
        <v>9.5</v>
      </c>
      <c r="G95">
        <v>24.5</v>
      </c>
      <c r="H95">
        <v>4.3</v>
      </c>
      <c r="I95">
        <v>4</v>
      </c>
      <c r="J95">
        <v>44.5</v>
      </c>
      <c r="L95" s="1" t="s">
        <v>272</v>
      </c>
      <c r="M95">
        <v>16</v>
      </c>
      <c r="N95">
        <v>-0.66360000000000097</v>
      </c>
      <c r="O95">
        <v>-4.9943999999999997</v>
      </c>
      <c r="P95">
        <v>-29.56</v>
      </c>
      <c r="Q95">
        <v>1.6</v>
      </c>
      <c r="R95">
        <v>-0.33600000000000119</v>
      </c>
      <c r="S95">
        <v>9.0400000000000027</v>
      </c>
      <c r="T95">
        <v>4.32</v>
      </c>
      <c r="U95">
        <v>12</v>
      </c>
      <c r="V95">
        <v>11.5</v>
      </c>
      <c r="W95">
        <v>-3.1599999999999997</v>
      </c>
      <c r="X95">
        <v>10</v>
      </c>
      <c r="Y95">
        <v>12.75</v>
      </c>
      <c r="Z95">
        <v>13</v>
      </c>
      <c r="AA95">
        <v>-3.7411528338698583E-2</v>
      </c>
      <c r="AB95">
        <v>15</v>
      </c>
      <c r="AC95">
        <v>3.41217352507691E-3</v>
      </c>
      <c r="AD95">
        <v>11</v>
      </c>
      <c r="AE95">
        <v>-7.7479999999999993</v>
      </c>
      <c r="AF95">
        <v>12</v>
      </c>
      <c r="AG95">
        <v>1.2799999999999998</v>
      </c>
      <c r="AH95">
        <v>0.63999999999999913</v>
      </c>
      <c r="AI95">
        <v>-4.92</v>
      </c>
      <c r="AJ95">
        <v>0.55999999999999983</v>
      </c>
      <c r="AK95">
        <v>-36.279999999999994</v>
      </c>
      <c r="AL95">
        <v>6.6799999999999953</v>
      </c>
      <c r="AM95">
        <v>-32.160000000000004</v>
      </c>
      <c r="AN95">
        <v>-1.6</v>
      </c>
      <c r="AO95">
        <v>-9.2000000000000011</v>
      </c>
      <c r="AP95">
        <v>10</v>
      </c>
      <c r="AQ95">
        <v>4.3307999999999982</v>
      </c>
      <c r="AR95">
        <v>2.2972799999999993</v>
      </c>
      <c r="AS95">
        <v>38.839999999999996</v>
      </c>
      <c r="AT95">
        <v>-4.3307999999999991</v>
      </c>
      <c r="AU95">
        <v>-0.80925000000000036</v>
      </c>
      <c r="AV95">
        <v>0.16732499999999995</v>
      </c>
      <c r="AW95">
        <v>1.4745500000000002</v>
      </c>
      <c r="AX95" t="s">
        <v>297</v>
      </c>
      <c r="AY95">
        <v>20</v>
      </c>
      <c r="AZ95">
        <v>-0.25840000000000141</v>
      </c>
      <c r="BA95">
        <v>2.3991999999999978</v>
      </c>
      <c r="BB95">
        <v>18.200000000000003</v>
      </c>
      <c r="BC95">
        <v>-7.9999999999999905E-2</v>
      </c>
      <c r="BD95">
        <v>-8.94</v>
      </c>
      <c r="BE95">
        <v>-23.84</v>
      </c>
      <c r="BF95">
        <v>-0.96000000000000008</v>
      </c>
      <c r="BG95">
        <v>26</v>
      </c>
      <c r="BH95">
        <v>25</v>
      </c>
      <c r="BI95">
        <v>-0.96</v>
      </c>
      <c r="BJ95">
        <v>20</v>
      </c>
      <c r="BK95">
        <v>16.75</v>
      </c>
      <c r="BL95">
        <v>21</v>
      </c>
      <c r="BM95">
        <v>3.7767582567428723E-2</v>
      </c>
      <c r="BN95">
        <v>5</v>
      </c>
      <c r="BO95">
        <v>1.4414576860299035E-2</v>
      </c>
      <c r="BP95">
        <v>32</v>
      </c>
      <c r="BQ95">
        <v>-9.408000000000003</v>
      </c>
      <c r="BR95">
        <v>9</v>
      </c>
      <c r="BS95">
        <v>0.28000000000000008</v>
      </c>
      <c r="BT95">
        <v>0.51999999999999891</v>
      </c>
      <c r="BU95">
        <v>-0.55999999999999983</v>
      </c>
      <c r="BV95">
        <v>0.20000000000000009</v>
      </c>
      <c r="BW95">
        <v>17.079999999999984</v>
      </c>
      <c r="BX95">
        <v>-2.4800000000000013</v>
      </c>
      <c r="BY95">
        <v>17.919999999999995</v>
      </c>
      <c r="BZ95">
        <v>3.2400000000000007</v>
      </c>
      <c r="CA95">
        <v>-1.6</v>
      </c>
      <c r="CB95">
        <v>21</v>
      </c>
      <c r="CC95">
        <v>-2.6575999999999995</v>
      </c>
      <c r="CD95">
        <v>-3.0392799999999989</v>
      </c>
      <c r="CE95">
        <v>-20.399999999999995</v>
      </c>
      <c r="CF95">
        <v>-1.1399000000000004</v>
      </c>
    </row>
    <row r="96" spans="1:84" x14ac:dyDescent="0.2">
      <c r="A96" s="39">
        <v>43758</v>
      </c>
      <c r="B96" s="22" t="s">
        <v>250</v>
      </c>
      <c r="C96" s="41" t="s">
        <v>291</v>
      </c>
      <c r="D96" s="22" t="s">
        <v>294</v>
      </c>
      <c r="E96">
        <v>18.600000000000001</v>
      </c>
      <c r="F96">
        <v>6.4</v>
      </c>
      <c r="G96" s="14">
        <v>4.9000000000000004</v>
      </c>
      <c r="H96">
        <v>14.4</v>
      </c>
      <c r="I96">
        <v>-3</v>
      </c>
      <c r="J96">
        <v>50</v>
      </c>
      <c r="L96" s="4" t="s">
        <v>291</v>
      </c>
      <c r="M96" s="3">
        <v>7</v>
      </c>
      <c r="N96" s="3">
        <v>2.7871999999999986</v>
      </c>
      <c r="O96">
        <v>1.3959999999999999</v>
      </c>
      <c r="P96">
        <v>22.72</v>
      </c>
      <c r="Q96">
        <v>-1.2000000000000002</v>
      </c>
      <c r="R96">
        <v>14.125</v>
      </c>
      <c r="S96">
        <v>73.95</v>
      </c>
      <c r="T96">
        <v>5.74</v>
      </c>
      <c r="U96">
        <v>11</v>
      </c>
      <c r="V96">
        <v>9.5</v>
      </c>
      <c r="W96">
        <v>-5.32</v>
      </c>
      <c r="X96">
        <v>26</v>
      </c>
      <c r="Y96">
        <v>22.25</v>
      </c>
      <c r="Z96">
        <v>18</v>
      </c>
      <c r="AA96">
        <v>1.2213887774738886E-2</v>
      </c>
      <c r="AB96">
        <v>32</v>
      </c>
      <c r="AC96">
        <v>-1.8873618040061137E-2</v>
      </c>
      <c r="AD96">
        <v>16</v>
      </c>
      <c r="AE96">
        <v>9.8719999999999981</v>
      </c>
      <c r="AF96">
        <v>23</v>
      </c>
      <c r="AG96">
        <v>-0.92000000000000026</v>
      </c>
      <c r="AH96">
        <v>1.7199999999999989</v>
      </c>
      <c r="AI96">
        <v>0.36000000000000015</v>
      </c>
      <c r="AJ96">
        <v>-2.04</v>
      </c>
      <c r="AK96">
        <v>68.88</v>
      </c>
      <c r="AL96">
        <v>37.4</v>
      </c>
      <c r="AM96">
        <v>19.84</v>
      </c>
      <c r="AN96">
        <v>-0.16000000000000023</v>
      </c>
      <c r="AO96">
        <v>11.8</v>
      </c>
      <c r="AP96">
        <v>18</v>
      </c>
      <c r="AQ96">
        <v>1.3911999999999987</v>
      </c>
      <c r="AR96">
        <v>2.6844399999999999</v>
      </c>
      <c r="AS96">
        <v>17.559999999999999</v>
      </c>
      <c r="AT96">
        <v>-1.3911999999999987</v>
      </c>
      <c r="AU96">
        <v>2.2585250000000001</v>
      </c>
      <c r="AV96">
        <v>0.94782499999999992</v>
      </c>
      <c r="AW96">
        <v>1.4864499999999996</v>
      </c>
      <c r="AX96" t="s">
        <v>294</v>
      </c>
      <c r="AY96">
        <v>30</v>
      </c>
      <c r="AZ96">
        <v>2.2055999999999996</v>
      </c>
      <c r="BA96">
        <v>-8.3039999999999985</v>
      </c>
      <c r="BB96">
        <v>-39.52000000000001</v>
      </c>
      <c r="BC96">
        <v>-0.95999999999999985</v>
      </c>
      <c r="BD96">
        <v>9.9719999999999995</v>
      </c>
      <c r="BE96">
        <v>27.68</v>
      </c>
      <c r="BF96">
        <v>4.0399999999999991</v>
      </c>
      <c r="BG96">
        <v>31</v>
      </c>
      <c r="BH96">
        <v>28.5</v>
      </c>
      <c r="BI96">
        <v>1.52</v>
      </c>
      <c r="BJ96">
        <v>4</v>
      </c>
      <c r="BK96">
        <v>8.75</v>
      </c>
      <c r="BL96">
        <v>3</v>
      </c>
      <c r="BM96">
        <v>5.404984635809075E-2</v>
      </c>
      <c r="BN96">
        <v>4</v>
      </c>
      <c r="BO96">
        <v>5.3654151415937369E-3</v>
      </c>
      <c r="BP96">
        <v>14</v>
      </c>
      <c r="BQ96">
        <v>-7.0840000000000032</v>
      </c>
      <c r="BR96">
        <v>14</v>
      </c>
      <c r="BS96">
        <v>1.9999999999999993</v>
      </c>
      <c r="BT96">
        <v>1.5199999999999989</v>
      </c>
      <c r="BU96">
        <v>2.08</v>
      </c>
      <c r="BV96">
        <v>0.48</v>
      </c>
      <c r="BW96">
        <v>-4.9200000000000044</v>
      </c>
      <c r="BX96">
        <v>16.040000000000013</v>
      </c>
      <c r="BY96">
        <v>-30.6</v>
      </c>
      <c r="BZ96">
        <v>6.4799999999999995</v>
      </c>
      <c r="CA96">
        <v>3.1599999999999997</v>
      </c>
      <c r="CB96">
        <v>2</v>
      </c>
      <c r="CC96">
        <v>10.509599999999999</v>
      </c>
      <c r="CD96">
        <v>6.5875199999999987</v>
      </c>
      <c r="CE96">
        <v>46.640000000000015</v>
      </c>
      <c r="CF96">
        <v>0.40920000000000012</v>
      </c>
    </row>
    <row r="97" spans="1:84" x14ac:dyDescent="0.2">
      <c r="A97" s="39">
        <v>43758</v>
      </c>
      <c r="B97" t="s">
        <v>250</v>
      </c>
      <c r="C97" s="41" t="s">
        <v>278</v>
      </c>
      <c r="D97" t="s">
        <v>288</v>
      </c>
      <c r="E97">
        <v>14.7</v>
      </c>
      <c r="F97">
        <v>11</v>
      </c>
      <c r="G97">
        <v>2.4</v>
      </c>
      <c r="H97">
        <v>1.7</v>
      </c>
      <c r="I97">
        <v>3</v>
      </c>
      <c r="J97">
        <v>49.5</v>
      </c>
      <c r="L97" s="1" t="s">
        <v>278</v>
      </c>
      <c r="M97">
        <v>25</v>
      </c>
      <c r="N97">
        <v>-2.9968000000000004</v>
      </c>
      <c r="O97">
        <v>3.3960000000000012</v>
      </c>
      <c r="P97">
        <v>19.810000000000002</v>
      </c>
      <c r="Q97">
        <v>1.96</v>
      </c>
      <c r="R97">
        <v>-0.4340000000000015</v>
      </c>
      <c r="S97">
        <v>-4.8099999999999952</v>
      </c>
      <c r="T97">
        <v>-0.84000000000000008</v>
      </c>
      <c r="U97">
        <v>10</v>
      </c>
      <c r="V97">
        <v>9</v>
      </c>
      <c r="W97">
        <v>0.88000000000000023</v>
      </c>
      <c r="X97">
        <v>22</v>
      </c>
      <c r="Y97">
        <v>20.25</v>
      </c>
      <c r="Z97">
        <v>15</v>
      </c>
      <c r="AA97">
        <v>7.9017336281335775E-3</v>
      </c>
      <c r="AB97">
        <v>19</v>
      </c>
      <c r="AC97">
        <v>5.344277584303567E-3</v>
      </c>
      <c r="AD97">
        <v>28</v>
      </c>
      <c r="AE97">
        <v>3.7000000000000028</v>
      </c>
      <c r="AF97">
        <v>19</v>
      </c>
      <c r="AG97">
        <v>-0.24000000000000005</v>
      </c>
      <c r="AH97">
        <v>0.83999999999999775</v>
      </c>
      <c r="AI97">
        <v>-0.71999999999999953</v>
      </c>
      <c r="AJ97">
        <v>-0.6399999999999999</v>
      </c>
      <c r="AK97">
        <v>-8.1600000000000019</v>
      </c>
      <c r="AL97">
        <v>-11.319999999999993</v>
      </c>
      <c r="AM97">
        <v>14.239999999999998</v>
      </c>
      <c r="AN97">
        <v>-1.0000000000000002</v>
      </c>
      <c r="AO97">
        <v>-10.079999999999998</v>
      </c>
      <c r="AP97">
        <v>27</v>
      </c>
      <c r="AQ97">
        <v>-6.3928000000000011</v>
      </c>
      <c r="AR97">
        <v>-2.3841600000000009</v>
      </c>
      <c r="AS97">
        <v>-25.559999999999992</v>
      </c>
      <c r="AT97">
        <v>6.3928000000000011</v>
      </c>
      <c r="AU97">
        <v>0.24064999999999978</v>
      </c>
      <c r="AV97">
        <v>-0.81567499999999993</v>
      </c>
      <c r="AW97">
        <v>-1.6570999999999998</v>
      </c>
      <c r="AX97" t="s">
        <v>288</v>
      </c>
      <c r="AY97">
        <v>7</v>
      </c>
      <c r="AZ97">
        <v>-1.5680000000000003</v>
      </c>
      <c r="BA97">
        <v>9.9720000000000013</v>
      </c>
      <c r="BB97">
        <v>49.800000000000004</v>
      </c>
      <c r="BC97">
        <v>0.74000000000000021</v>
      </c>
      <c r="BD97">
        <v>-8.6379999999999999</v>
      </c>
      <c r="BE97">
        <v>-19</v>
      </c>
      <c r="BF97">
        <v>0.17999999999999994</v>
      </c>
      <c r="BG97">
        <v>20</v>
      </c>
      <c r="BH97">
        <v>21</v>
      </c>
      <c r="BI97">
        <v>-0.64</v>
      </c>
      <c r="BJ97">
        <v>2</v>
      </c>
      <c r="BK97">
        <v>7.25</v>
      </c>
      <c r="BL97">
        <v>4</v>
      </c>
      <c r="BM97">
        <v>1.6544146213552026E-2</v>
      </c>
      <c r="BN97">
        <v>13</v>
      </c>
      <c r="BO97">
        <v>-2.223461485304337E-3</v>
      </c>
      <c r="BP97">
        <v>3</v>
      </c>
      <c r="BQ97">
        <v>-1.8839999999999961</v>
      </c>
      <c r="BR97">
        <v>9</v>
      </c>
      <c r="BS97">
        <v>1.0000000000000002</v>
      </c>
      <c r="BT97">
        <v>7.1199999999999974</v>
      </c>
      <c r="BU97">
        <v>0.40000000000000069</v>
      </c>
      <c r="BV97">
        <v>-0.91999999999999993</v>
      </c>
      <c r="BW97">
        <v>26.520000000000003</v>
      </c>
      <c r="BX97">
        <v>-14.999999999999995</v>
      </c>
      <c r="BY97">
        <v>44.92</v>
      </c>
      <c r="BZ97">
        <v>-1.72</v>
      </c>
      <c r="CA97">
        <v>-1.6799999999999997</v>
      </c>
      <c r="CB97">
        <v>32</v>
      </c>
      <c r="CC97">
        <v>-11.540000000000001</v>
      </c>
      <c r="CD97">
        <v>-7.0272000000000006</v>
      </c>
      <c r="CE97">
        <v>-59.919999999999995</v>
      </c>
      <c r="CF97">
        <v>2.5750000000000037E-2</v>
      </c>
    </row>
    <row r="98" spans="1:84" x14ac:dyDescent="0.2">
      <c r="A98" s="39">
        <v>43758</v>
      </c>
      <c r="B98" s="22" t="s">
        <v>250</v>
      </c>
      <c r="C98" s="41" t="s">
        <v>299</v>
      </c>
      <c r="D98" s="22" t="s">
        <v>312</v>
      </c>
      <c r="E98">
        <v>3.1</v>
      </c>
      <c r="F98" s="14">
        <v>43.3</v>
      </c>
      <c r="G98">
        <v>21.5</v>
      </c>
      <c r="H98">
        <f>6.2+1.7</f>
        <v>7.9</v>
      </c>
      <c r="I98">
        <v>2.5</v>
      </c>
      <c r="J98">
        <v>43.5</v>
      </c>
      <c r="L98" s="1" t="s">
        <v>299</v>
      </c>
      <c r="M98">
        <v>9</v>
      </c>
      <c r="N98">
        <v>2.0368000000000013</v>
      </c>
      <c r="O98">
        <v>-5.7759999999999998</v>
      </c>
      <c r="P98">
        <v>-27.240000000000002</v>
      </c>
      <c r="Q98">
        <v>-0.40000000000000013</v>
      </c>
      <c r="R98">
        <v>8.0319999999999965</v>
      </c>
      <c r="S98">
        <v>24.52</v>
      </c>
      <c r="T98">
        <v>1.7200000000000002</v>
      </c>
      <c r="U98">
        <v>23</v>
      </c>
      <c r="V98">
        <v>22.5</v>
      </c>
      <c r="W98">
        <v>-0.15999999999999998</v>
      </c>
      <c r="X98">
        <v>5</v>
      </c>
      <c r="Y98">
        <v>9</v>
      </c>
      <c r="Z98">
        <v>6</v>
      </c>
      <c r="AA98">
        <v>-3.8045086315224498E-2</v>
      </c>
      <c r="AB98">
        <v>12</v>
      </c>
      <c r="AC98">
        <v>-1.6498976903959267E-2</v>
      </c>
      <c r="AD98">
        <v>9</v>
      </c>
      <c r="AE98">
        <v>-10.796000000000001</v>
      </c>
      <c r="AF98">
        <v>9</v>
      </c>
      <c r="AG98">
        <v>-2.04</v>
      </c>
      <c r="AH98">
        <v>-1.0400000000000005</v>
      </c>
      <c r="AI98">
        <v>2.4800000000000004</v>
      </c>
      <c r="AJ98">
        <v>0.83999999999999986</v>
      </c>
      <c r="AK98">
        <v>6.8799999999999955</v>
      </c>
      <c r="AL98">
        <v>27.320000000000004</v>
      </c>
      <c r="AM98">
        <v>-11.680000000000001</v>
      </c>
      <c r="AN98">
        <v>-3.44</v>
      </c>
      <c r="AO98">
        <v>-5.32</v>
      </c>
      <c r="AP98">
        <v>3</v>
      </c>
      <c r="AQ98">
        <v>7.8128000000000011</v>
      </c>
      <c r="AR98">
        <v>4.9017599999999995</v>
      </c>
      <c r="AS98">
        <v>39.000000000000007</v>
      </c>
      <c r="AT98">
        <v>-7.8128000000000011</v>
      </c>
      <c r="AU98">
        <v>1.0015999999999998</v>
      </c>
      <c r="AV98">
        <v>0.15853750000000016</v>
      </c>
      <c r="AW98">
        <v>0.87350000000000028</v>
      </c>
      <c r="AX98" t="s">
        <v>312</v>
      </c>
      <c r="AY98">
        <v>7</v>
      </c>
      <c r="AZ98">
        <v>-0.71039999999999992</v>
      </c>
      <c r="BA98">
        <v>-3.0170000000000008</v>
      </c>
      <c r="BB98">
        <v>-9.9999999999999964</v>
      </c>
      <c r="BC98">
        <v>-0.5</v>
      </c>
      <c r="BD98">
        <v>0.15600000000000103</v>
      </c>
      <c r="BE98">
        <v>-1.7199999999999971</v>
      </c>
      <c r="BF98">
        <v>2.5200000000000005</v>
      </c>
      <c r="BG98">
        <v>11</v>
      </c>
      <c r="BH98">
        <v>12</v>
      </c>
      <c r="BI98">
        <v>-1.44</v>
      </c>
      <c r="BJ98">
        <v>7</v>
      </c>
      <c r="BK98">
        <v>12.25</v>
      </c>
      <c r="BL98">
        <v>19</v>
      </c>
      <c r="BM98">
        <v>3.1735850421121446E-2</v>
      </c>
      <c r="BN98">
        <v>13</v>
      </c>
      <c r="BO98">
        <v>2.2530934486844813E-2</v>
      </c>
      <c r="BP98">
        <v>1</v>
      </c>
      <c r="BQ98">
        <v>-5.851999999999995</v>
      </c>
      <c r="BR98">
        <v>16</v>
      </c>
      <c r="BS98">
        <v>0.36</v>
      </c>
      <c r="BT98">
        <v>1.4800000000000011</v>
      </c>
      <c r="BU98">
        <v>-4.5199999999999996</v>
      </c>
      <c r="BV98">
        <v>-1.9599999999999997</v>
      </c>
      <c r="BW98">
        <v>-22.8</v>
      </c>
      <c r="BX98">
        <v>-8.7600000000000016</v>
      </c>
      <c r="BY98">
        <v>-3.3999999999999986</v>
      </c>
      <c r="BZ98">
        <v>-8.36</v>
      </c>
      <c r="CA98">
        <v>-2.2800000000000002</v>
      </c>
      <c r="CB98">
        <v>10</v>
      </c>
      <c r="CC98">
        <v>2.3066000000000009</v>
      </c>
      <c r="CD98">
        <v>1.3976200000000005</v>
      </c>
      <c r="CE98">
        <v>-5.360000000000003</v>
      </c>
      <c r="CF98">
        <v>-0.55642499999999995</v>
      </c>
    </row>
    <row r="99" spans="1:84" x14ac:dyDescent="0.2">
      <c r="A99" s="39">
        <v>43758</v>
      </c>
      <c r="B99" s="22" t="s">
        <v>250</v>
      </c>
      <c r="C99" s="41" t="s">
        <v>300</v>
      </c>
      <c r="D99" s="22" t="s">
        <v>303</v>
      </c>
      <c r="E99" s="3">
        <v>24.3</v>
      </c>
      <c r="F99" s="30">
        <v>7.3</v>
      </c>
      <c r="G99" s="3">
        <v>7.2</v>
      </c>
      <c r="H99">
        <v>16.5</v>
      </c>
      <c r="I99">
        <v>-5.5</v>
      </c>
      <c r="J99">
        <v>48</v>
      </c>
      <c r="L99" s="1" t="s">
        <v>300</v>
      </c>
      <c r="M99">
        <v>11</v>
      </c>
      <c r="N99">
        <v>1.3784000000000003</v>
      </c>
      <c r="O99">
        <v>11.888</v>
      </c>
      <c r="P99">
        <v>22.36</v>
      </c>
      <c r="Q99">
        <v>1.9</v>
      </c>
      <c r="R99">
        <v>-0.95200000000000173</v>
      </c>
      <c r="S99">
        <v>13.919999999999996</v>
      </c>
      <c r="T99">
        <v>-1.7199999999999998</v>
      </c>
      <c r="U99">
        <v>31</v>
      </c>
      <c r="V99">
        <v>31</v>
      </c>
      <c r="W99">
        <v>0.76000000000000012</v>
      </c>
      <c r="X99">
        <v>16</v>
      </c>
      <c r="Y99">
        <v>14.5</v>
      </c>
      <c r="Z99">
        <v>17</v>
      </c>
      <c r="AA99">
        <v>3.4258156889234039E-2</v>
      </c>
      <c r="AB99">
        <v>14</v>
      </c>
      <c r="AC99">
        <v>-2.6293805378768288E-2</v>
      </c>
      <c r="AD99">
        <v>3</v>
      </c>
      <c r="AE99">
        <v>12.483999999999996</v>
      </c>
      <c r="AF99">
        <v>24</v>
      </c>
      <c r="AG99">
        <v>-3.6399999999999997</v>
      </c>
      <c r="AH99">
        <v>2.2800000000000011</v>
      </c>
      <c r="AI99">
        <v>6.6400000000000006</v>
      </c>
      <c r="AJ99">
        <v>-0.83999999999999986</v>
      </c>
      <c r="AK99">
        <v>42.2</v>
      </c>
      <c r="AL99">
        <v>28.160000000000007</v>
      </c>
      <c r="AM99">
        <v>16.32</v>
      </c>
      <c r="AN99">
        <v>-3.0400000000000005</v>
      </c>
      <c r="AO99">
        <v>0.76000000000000101</v>
      </c>
      <c r="AP99">
        <v>31</v>
      </c>
      <c r="AQ99">
        <v>-10.509599999999999</v>
      </c>
      <c r="AR99">
        <v>-5.8587199999999999</v>
      </c>
      <c r="AS99">
        <v>11.840000000000007</v>
      </c>
      <c r="AT99">
        <v>10.509599999999999</v>
      </c>
      <c r="AU99">
        <v>1.7142999999999999</v>
      </c>
      <c r="AV99">
        <v>0.51675000000000026</v>
      </c>
      <c r="AW99">
        <v>-0.60919999999999963</v>
      </c>
      <c r="AX99" t="s">
        <v>303</v>
      </c>
      <c r="AY99">
        <v>13</v>
      </c>
      <c r="AZ99">
        <v>7.2295999999999996</v>
      </c>
      <c r="BA99">
        <v>-0.78799999999999848</v>
      </c>
      <c r="BB99">
        <v>-17.16</v>
      </c>
      <c r="BC99">
        <v>-3.9999999999999813E-2</v>
      </c>
      <c r="BD99">
        <v>8.4600000000000009</v>
      </c>
      <c r="BE99">
        <v>27.2</v>
      </c>
      <c r="BF99">
        <v>-1.1999999999999997</v>
      </c>
      <c r="BG99">
        <v>27</v>
      </c>
      <c r="BH99">
        <v>25.5</v>
      </c>
      <c r="BI99">
        <v>-1.7200000000000002</v>
      </c>
      <c r="BJ99">
        <v>10</v>
      </c>
      <c r="BK99">
        <v>13.25</v>
      </c>
      <c r="BL99">
        <v>12</v>
      </c>
      <c r="BM99">
        <v>-6.5847694695701967E-2</v>
      </c>
      <c r="BN99">
        <v>11</v>
      </c>
      <c r="BO99">
        <v>-3.5669368567934944E-3</v>
      </c>
      <c r="BP99">
        <v>12</v>
      </c>
      <c r="BQ99">
        <v>8.3520000000000021</v>
      </c>
      <c r="BR99">
        <v>18</v>
      </c>
      <c r="BS99">
        <v>-1.64</v>
      </c>
      <c r="BT99">
        <v>-2.4000000000000012</v>
      </c>
      <c r="BU99">
        <v>6.24</v>
      </c>
      <c r="BV99">
        <v>-1</v>
      </c>
      <c r="BW99">
        <v>20.639999999999997</v>
      </c>
      <c r="BX99">
        <v>43.440000000000012</v>
      </c>
      <c r="BY99">
        <v>-15.76</v>
      </c>
      <c r="BZ99">
        <v>-4.68</v>
      </c>
      <c r="CA99">
        <v>-2.3600000000000003</v>
      </c>
      <c r="CB99">
        <v>3</v>
      </c>
      <c r="CC99">
        <v>8.0175999999999981</v>
      </c>
      <c r="CD99">
        <v>3.5319199999999991</v>
      </c>
      <c r="CE99">
        <v>59.20000000000001</v>
      </c>
      <c r="CF99">
        <v>1.6427000000000003</v>
      </c>
    </row>
    <row r="100" spans="1:84" x14ac:dyDescent="0.2">
      <c r="A100" s="39">
        <v>43758</v>
      </c>
      <c r="B100" s="22" t="s">
        <v>250</v>
      </c>
      <c r="C100" s="41" t="s">
        <v>311</v>
      </c>
      <c r="D100" s="22" t="s">
        <v>289</v>
      </c>
      <c r="E100">
        <v>28.6</v>
      </c>
      <c r="F100">
        <v>17.5</v>
      </c>
      <c r="G100">
        <v>11.9</v>
      </c>
      <c r="H100">
        <f>4.7+3.7</f>
        <v>8.4</v>
      </c>
      <c r="I100">
        <v>1.5</v>
      </c>
      <c r="J100">
        <v>46.5</v>
      </c>
      <c r="L100" s="1" t="s">
        <v>311</v>
      </c>
      <c r="M100">
        <v>3</v>
      </c>
      <c r="N100">
        <v>6.3128000000000002</v>
      </c>
      <c r="O100">
        <v>-5.0599999999999987</v>
      </c>
      <c r="P100">
        <v>5.6000000000000023</v>
      </c>
      <c r="Q100">
        <v>-2.2800000000000002</v>
      </c>
      <c r="R100">
        <v>12.388000000000005</v>
      </c>
      <c r="S100">
        <v>53.12</v>
      </c>
      <c r="T100">
        <v>4.4799999999999995</v>
      </c>
      <c r="U100">
        <v>22</v>
      </c>
      <c r="V100">
        <v>20.5</v>
      </c>
      <c r="W100">
        <v>2.0000000000000004</v>
      </c>
      <c r="X100">
        <v>20</v>
      </c>
      <c r="Y100">
        <v>17.5</v>
      </c>
      <c r="Z100">
        <v>1</v>
      </c>
      <c r="AA100">
        <v>1.6330151421233324E-2</v>
      </c>
      <c r="AB100">
        <v>24</v>
      </c>
      <c r="AC100">
        <v>-3.5754874068989776E-3</v>
      </c>
      <c r="AD100">
        <v>15</v>
      </c>
      <c r="AE100">
        <v>1.1080000000000028</v>
      </c>
      <c r="AF100">
        <v>30</v>
      </c>
      <c r="AG100">
        <v>-1.64</v>
      </c>
      <c r="AH100">
        <v>0.7600000000000009</v>
      </c>
      <c r="AI100">
        <v>3.16</v>
      </c>
      <c r="AJ100">
        <v>0.55999999999999983</v>
      </c>
      <c r="AK100">
        <v>26.880000000000006</v>
      </c>
      <c r="AL100">
        <v>21.719999999999992</v>
      </c>
      <c r="AM100">
        <v>0.24000000000000057</v>
      </c>
      <c r="AN100">
        <v>-0.72</v>
      </c>
      <c r="AO100">
        <v>5.64</v>
      </c>
      <c r="AP100">
        <v>1</v>
      </c>
      <c r="AQ100">
        <v>11.3728</v>
      </c>
      <c r="AR100">
        <v>6.2701600000000006</v>
      </c>
      <c r="AS100">
        <v>21.47999999999999</v>
      </c>
      <c r="AT100">
        <v>-11.372799999999998</v>
      </c>
      <c r="AU100">
        <v>1.6301000000000008</v>
      </c>
      <c r="AV100">
        <v>-0.91494999999999993</v>
      </c>
      <c r="AW100">
        <v>-0.9337000000000002</v>
      </c>
      <c r="AX100" t="s">
        <v>289</v>
      </c>
      <c r="AY100">
        <v>25</v>
      </c>
      <c r="AZ100">
        <v>-2.6296000000000004</v>
      </c>
      <c r="BA100">
        <v>-6.5120000000000005</v>
      </c>
      <c r="BB100">
        <v>-9.3199999999999985</v>
      </c>
      <c r="BC100">
        <v>-1.5599999999999998</v>
      </c>
      <c r="BD100">
        <v>0.3320000000000034</v>
      </c>
      <c r="BE100">
        <v>-19.039999999999992</v>
      </c>
      <c r="BF100">
        <v>-2.5200000000000005</v>
      </c>
      <c r="BG100">
        <v>5</v>
      </c>
      <c r="BH100">
        <v>4.5</v>
      </c>
      <c r="BI100">
        <v>-0.47999999999999987</v>
      </c>
      <c r="BJ100">
        <v>28</v>
      </c>
      <c r="BK100">
        <v>23</v>
      </c>
      <c r="BL100">
        <v>27</v>
      </c>
      <c r="BM100">
        <v>-4.7124176658283725E-3</v>
      </c>
      <c r="BN100">
        <v>18</v>
      </c>
      <c r="BO100">
        <v>1.9313187677867133E-3</v>
      </c>
      <c r="BP100">
        <v>26</v>
      </c>
      <c r="BQ100">
        <v>0.39599999999999935</v>
      </c>
      <c r="BR100">
        <v>21</v>
      </c>
      <c r="BS100">
        <v>-0.79999999999999982</v>
      </c>
      <c r="BT100">
        <v>-4.6800000000000015</v>
      </c>
      <c r="BU100">
        <v>-1.3599999999999999</v>
      </c>
      <c r="BV100">
        <v>0.55999999999999994</v>
      </c>
      <c r="BW100">
        <v>-23.76</v>
      </c>
      <c r="BX100">
        <v>-27.639999999999993</v>
      </c>
      <c r="BY100">
        <v>-8.64</v>
      </c>
      <c r="BZ100">
        <v>10.959999999999999</v>
      </c>
      <c r="CA100">
        <v>1.56</v>
      </c>
      <c r="CB100">
        <v>7</v>
      </c>
      <c r="CC100">
        <v>3.8824000000000005</v>
      </c>
      <c r="CD100">
        <v>2.7964800000000007</v>
      </c>
      <c r="CE100">
        <v>-18.999999999999993</v>
      </c>
      <c r="CF100">
        <v>-0.89619999999999955</v>
      </c>
    </row>
    <row r="101" spans="1:84" x14ac:dyDescent="0.2">
      <c r="A101" s="39">
        <v>43758</v>
      </c>
      <c r="B101" s="22" t="s">
        <v>250</v>
      </c>
      <c r="C101" s="41" t="s">
        <v>289</v>
      </c>
      <c r="D101" s="22" t="s">
        <v>311</v>
      </c>
      <c r="E101">
        <v>19.399999999999999</v>
      </c>
      <c r="F101">
        <v>31.6</v>
      </c>
      <c r="G101">
        <v>4.4000000000000004</v>
      </c>
      <c r="H101">
        <v>22.1</v>
      </c>
      <c r="I101">
        <v>-1.5</v>
      </c>
      <c r="J101">
        <v>46.5</v>
      </c>
      <c r="L101" s="4" t="s">
        <v>289</v>
      </c>
      <c r="M101" s="3">
        <v>17</v>
      </c>
      <c r="N101" s="3">
        <v>-0.67360000000000009</v>
      </c>
      <c r="O101">
        <v>-6.2639999999999976</v>
      </c>
      <c r="P101">
        <v>-11.24</v>
      </c>
      <c r="Q101">
        <v>-0.92000000000000015</v>
      </c>
      <c r="R101">
        <v>2.3160000000000021</v>
      </c>
      <c r="S101">
        <v>-18.919999999999998</v>
      </c>
      <c r="T101">
        <v>2.4799999999999995</v>
      </c>
      <c r="U101">
        <v>19</v>
      </c>
      <c r="V101">
        <v>19.5</v>
      </c>
      <c r="W101">
        <v>-0.79999999999999982</v>
      </c>
      <c r="X101">
        <v>3</v>
      </c>
      <c r="Y101">
        <v>7.75</v>
      </c>
      <c r="Z101">
        <v>4</v>
      </c>
      <c r="AA101">
        <v>1.8565830413906498E-2</v>
      </c>
      <c r="AB101">
        <v>8</v>
      </c>
      <c r="AC101">
        <v>-2.2830842537296763E-2</v>
      </c>
      <c r="AD101">
        <v>13</v>
      </c>
      <c r="AE101">
        <v>-5.2719999999999985</v>
      </c>
      <c r="AF101">
        <v>6</v>
      </c>
      <c r="AG101">
        <v>-0.47999999999999987</v>
      </c>
      <c r="AH101">
        <v>2.7200000000000033</v>
      </c>
      <c r="AI101">
        <v>-0.64000000000000057</v>
      </c>
      <c r="AJ101">
        <v>0.12000000000000002</v>
      </c>
      <c r="AK101">
        <v>-28.599999999999987</v>
      </c>
      <c r="AL101">
        <v>-32.239999999999995</v>
      </c>
      <c r="AM101">
        <v>7.7199999999999989</v>
      </c>
      <c r="AN101">
        <v>0.7599999999999999</v>
      </c>
      <c r="AO101">
        <v>-4.8400000000000007</v>
      </c>
      <c r="AP101">
        <v>5</v>
      </c>
      <c r="AQ101">
        <v>5.5903999999999971</v>
      </c>
      <c r="AR101">
        <v>3.4604799999999991</v>
      </c>
      <c r="AS101">
        <v>-39.959999999999994</v>
      </c>
      <c r="AT101">
        <v>-5.5903999999999971</v>
      </c>
      <c r="AU101">
        <v>-0.69269999999999954</v>
      </c>
      <c r="AV101">
        <v>-0.91494999999999993</v>
      </c>
      <c r="AW101">
        <v>-0.89619999999999955</v>
      </c>
      <c r="AX101" t="s">
        <v>311</v>
      </c>
      <c r="AY101">
        <v>6</v>
      </c>
      <c r="AZ101">
        <v>5.4399999999998269E-2</v>
      </c>
      <c r="BA101">
        <v>-2.9600000000000017</v>
      </c>
      <c r="BB101">
        <v>-23.32</v>
      </c>
      <c r="BC101">
        <v>0.40000000000000019</v>
      </c>
      <c r="BD101">
        <v>-4.203999999999998</v>
      </c>
      <c r="BE101">
        <v>-29.88</v>
      </c>
      <c r="BF101">
        <v>-0.76000000000000012</v>
      </c>
      <c r="BG101">
        <v>22</v>
      </c>
      <c r="BH101">
        <v>21.5</v>
      </c>
      <c r="BI101">
        <v>-1.64</v>
      </c>
      <c r="BJ101">
        <v>27</v>
      </c>
      <c r="BK101">
        <v>22.75</v>
      </c>
      <c r="BL101">
        <v>31</v>
      </c>
      <c r="BM101">
        <v>5.9551559297075549E-2</v>
      </c>
      <c r="BN101">
        <v>30</v>
      </c>
      <c r="BO101">
        <v>1.8069064446590809E-2</v>
      </c>
      <c r="BP101">
        <v>2</v>
      </c>
      <c r="BQ101">
        <v>-2.1439999999999984</v>
      </c>
      <c r="BR101">
        <v>28</v>
      </c>
      <c r="BS101">
        <v>2.0000000000000004</v>
      </c>
      <c r="BT101">
        <v>-1.8000000000000014</v>
      </c>
      <c r="BU101">
        <v>-1.2800000000000005</v>
      </c>
      <c r="BV101">
        <v>-0.91999999999999993</v>
      </c>
      <c r="BW101">
        <v>-40</v>
      </c>
      <c r="BX101">
        <v>-18.52</v>
      </c>
      <c r="BY101">
        <v>-24.04</v>
      </c>
      <c r="BZ101">
        <v>-1.3199999999999998</v>
      </c>
      <c r="CA101">
        <v>3.88</v>
      </c>
      <c r="CB101">
        <v>8</v>
      </c>
      <c r="CC101">
        <v>3.0144000000000002</v>
      </c>
      <c r="CD101">
        <v>0.65008000000000099</v>
      </c>
      <c r="CE101">
        <v>5.52</v>
      </c>
      <c r="CF101">
        <v>-0.9337000000000002</v>
      </c>
    </row>
    <row r="102" spans="1:84" x14ac:dyDescent="0.2">
      <c r="A102" s="39">
        <v>43758</v>
      </c>
      <c r="B102" s="22" t="s">
        <v>250</v>
      </c>
      <c r="C102" s="41" t="s">
        <v>297</v>
      </c>
      <c r="D102" s="22" t="s">
        <v>272</v>
      </c>
      <c r="E102">
        <v>20.7</v>
      </c>
      <c r="F102">
        <v>10.3</v>
      </c>
      <c r="G102">
        <v>13.3</v>
      </c>
      <c r="H102">
        <v>0</v>
      </c>
      <c r="I102">
        <v>-4</v>
      </c>
      <c r="J102">
        <v>44.5</v>
      </c>
      <c r="L102" s="1" t="s">
        <v>297</v>
      </c>
      <c r="M102">
        <v>14</v>
      </c>
      <c r="N102">
        <v>2.5599999999999311E-2</v>
      </c>
      <c r="O102">
        <v>1.7440000000000007</v>
      </c>
      <c r="P102">
        <v>38.200000000000003</v>
      </c>
      <c r="Q102">
        <v>-1.0400000000000003</v>
      </c>
      <c r="R102">
        <v>0.67600000000000104</v>
      </c>
      <c r="S102">
        <v>4.0399999999999974</v>
      </c>
      <c r="T102">
        <v>0.31999999999999967</v>
      </c>
      <c r="U102">
        <v>27</v>
      </c>
      <c r="V102">
        <v>27</v>
      </c>
      <c r="W102">
        <v>0.28000000000000008</v>
      </c>
      <c r="X102">
        <v>7</v>
      </c>
      <c r="Y102">
        <v>11.25</v>
      </c>
      <c r="Z102">
        <v>7</v>
      </c>
      <c r="AA102">
        <v>1.2435475090462767E-2</v>
      </c>
      <c r="AB102">
        <v>17</v>
      </c>
      <c r="AC102">
        <v>-7.0540488234043059E-3</v>
      </c>
      <c r="AD102">
        <v>18</v>
      </c>
      <c r="AE102">
        <v>-4.6080000000000014</v>
      </c>
      <c r="AF102">
        <v>3</v>
      </c>
      <c r="AG102">
        <v>-0.96</v>
      </c>
      <c r="AH102">
        <v>0.15999999999999942</v>
      </c>
      <c r="AI102">
        <v>-7.1054273576010023E-16</v>
      </c>
      <c r="AJ102">
        <v>-0.27999999999999997</v>
      </c>
      <c r="AK102">
        <v>28.039999999999985</v>
      </c>
      <c r="AL102">
        <v>-10.159999999999997</v>
      </c>
      <c r="AM102">
        <v>33.720000000000006</v>
      </c>
      <c r="AN102">
        <v>-4.24</v>
      </c>
      <c r="AO102">
        <v>8.7199999999999989</v>
      </c>
      <c r="AP102">
        <v>23</v>
      </c>
      <c r="AQ102">
        <v>-1.7184000000000017</v>
      </c>
      <c r="AR102">
        <v>-0.73168000000000022</v>
      </c>
      <c r="AS102">
        <v>-43.88</v>
      </c>
      <c r="AT102">
        <v>1.7184000000000013</v>
      </c>
      <c r="AU102">
        <v>0.54070000000000007</v>
      </c>
      <c r="AV102">
        <v>0.16732499999999995</v>
      </c>
      <c r="AW102">
        <v>-1.1399000000000004</v>
      </c>
      <c r="AX102" t="s">
        <v>272</v>
      </c>
      <c r="AY102">
        <v>10</v>
      </c>
      <c r="AZ102">
        <v>4.4544000000000015</v>
      </c>
      <c r="BA102">
        <v>8.9319999999999986</v>
      </c>
      <c r="BB102">
        <v>28.359999999999996</v>
      </c>
      <c r="BC102">
        <v>2</v>
      </c>
      <c r="BD102">
        <v>-3.9099999999999988</v>
      </c>
      <c r="BE102">
        <v>-10.360000000000001</v>
      </c>
      <c r="BF102">
        <v>-4.38</v>
      </c>
      <c r="BG102">
        <v>20</v>
      </c>
      <c r="BH102">
        <v>21</v>
      </c>
      <c r="BI102">
        <v>1.2799999999999998</v>
      </c>
      <c r="BJ102">
        <v>22</v>
      </c>
      <c r="BK102">
        <v>18.25</v>
      </c>
      <c r="BL102">
        <v>13</v>
      </c>
      <c r="BM102">
        <v>-1.9805685429181229E-2</v>
      </c>
      <c r="BN102">
        <v>15</v>
      </c>
      <c r="BO102">
        <v>-4.1258268634499537E-2</v>
      </c>
      <c r="BP102">
        <v>19</v>
      </c>
      <c r="BQ102">
        <v>-4.1719999999999988</v>
      </c>
      <c r="BR102">
        <v>26</v>
      </c>
      <c r="BS102">
        <v>-3.1599999999999997</v>
      </c>
      <c r="BT102">
        <v>3.8</v>
      </c>
      <c r="BU102">
        <v>4.92</v>
      </c>
      <c r="BV102">
        <v>-0.55999999999999994</v>
      </c>
      <c r="BW102">
        <v>79.28</v>
      </c>
      <c r="BX102">
        <v>19.360000000000003</v>
      </c>
      <c r="BY102">
        <v>34.44</v>
      </c>
      <c r="BZ102">
        <v>2.68</v>
      </c>
      <c r="CA102">
        <v>22.8</v>
      </c>
      <c r="CB102">
        <v>28</v>
      </c>
      <c r="CC102">
        <v>-4.477599999999998</v>
      </c>
      <c r="CD102">
        <v>-4.3571199999999992</v>
      </c>
      <c r="CE102">
        <v>-15.079999999999995</v>
      </c>
      <c r="CF102">
        <v>1.4745500000000002</v>
      </c>
    </row>
    <row r="103" spans="1:84" x14ac:dyDescent="0.2">
      <c r="A103" s="39">
        <v>43758</v>
      </c>
      <c r="B103" s="28" t="s">
        <v>250</v>
      </c>
      <c r="C103" s="41" t="s">
        <v>288</v>
      </c>
      <c r="D103" s="28" t="s">
        <v>278</v>
      </c>
      <c r="E103" s="3">
        <v>16.399999999999999</v>
      </c>
      <c r="F103" s="30">
        <v>10.8</v>
      </c>
      <c r="G103" s="3">
        <v>6.1</v>
      </c>
      <c r="H103" s="3">
        <v>10.4</v>
      </c>
      <c r="I103">
        <v>-3</v>
      </c>
      <c r="J103">
        <v>49.5</v>
      </c>
      <c r="K103" s="3"/>
      <c r="L103" s="1" t="s">
        <v>288</v>
      </c>
      <c r="M103">
        <v>5</v>
      </c>
      <c r="N103">
        <v>4.4239999999999986</v>
      </c>
      <c r="O103">
        <v>-1.2543999999999993</v>
      </c>
      <c r="P103">
        <v>-21.520000000000003</v>
      </c>
      <c r="Q103">
        <v>0.20000000000000012</v>
      </c>
      <c r="R103">
        <v>7.548</v>
      </c>
      <c r="S103">
        <v>50.8</v>
      </c>
      <c r="T103">
        <v>3.3599999999999994</v>
      </c>
      <c r="U103">
        <v>15</v>
      </c>
      <c r="V103">
        <v>14.5</v>
      </c>
      <c r="W103">
        <v>1.0000000000000002</v>
      </c>
      <c r="X103">
        <v>29</v>
      </c>
      <c r="Y103">
        <v>25</v>
      </c>
      <c r="Z103">
        <v>26</v>
      </c>
      <c r="AA103">
        <v>-1.4912573601115831E-2</v>
      </c>
      <c r="AB103">
        <v>23</v>
      </c>
      <c r="AC103">
        <v>-9.1447439433009377E-3</v>
      </c>
      <c r="AD103">
        <v>25</v>
      </c>
      <c r="AE103">
        <v>-2.2079999999999997</v>
      </c>
      <c r="AF103">
        <v>26</v>
      </c>
      <c r="AG103">
        <v>-0.64</v>
      </c>
      <c r="AH103">
        <v>-0.35999999999999799</v>
      </c>
      <c r="AI103">
        <v>0.87999999999999967</v>
      </c>
      <c r="AJ103">
        <v>0.55999999999999983</v>
      </c>
      <c r="AK103">
        <v>33.680000000000021</v>
      </c>
      <c r="AL103">
        <v>58.400000000000013</v>
      </c>
      <c r="AM103">
        <v>-23.080000000000002</v>
      </c>
      <c r="AN103">
        <v>-3.9200000000000004</v>
      </c>
      <c r="AO103">
        <v>2.2799999999999994</v>
      </c>
      <c r="AP103">
        <v>4</v>
      </c>
      <c r="AQ103">
        <v>5.6783999999999981</v>
      </c>
      <c r="AR103">
        <v>3.0215999999999994</v>
      </c>
      <c r="AS103">
        <v>81.480000000000018</v>
      </c>
      <c r="AT103">
        <v>-5.6783999999999981</v>
      </c>
      <c r="AU103">
        <v>1.3296999999999999</v>
      </c>
      <c r="AV103">
        <v>-0.81567499999999993</v>
      </c>
      <c r="AW103">
        <v>2.5750000000000037E-2</v>
      </c>
      <c r="AX103" t="s">
        <v>278</v>
      </c>
      <c r="AY103">
        <v>15</v>
      </c>
      <c r="AZ103">
        <v>-6.4927999999999999</v>
      </c>
      <c r="BA103">
        <v>0.85599999999999954</v>
      </c>
      <c r="BB103">
        <v>15.960000000000003</v>
      </c>
      <c r="BC103">
        <v>0.48000000000000026</v>
      </c>
      <c r="BD103">
        <v>-9.8199999999999985</v>
      </c>
      <c r="BE103">
        <v>-44.4</v>
      </c>
      <c r="BF103">
        <v>-1.1199999999999997</v>
      </c>
      <c r="BG103">
        <v>9</v>
      </c>
      <c r="BH103">
        <v>9.5</v>
      </c>
      <c r="BI103">
        <v>-0.24000000000000005</v>
      </c>
      <c r="BJ103">
        <v>12</v>
      </c>
      <c r="BK103">
        <v>14.5</v>
      </c>
      <c r="BL103">
        <v>25</v>
      </c>
      <c r="BM103">
        <v>-1.9145355925318353E-2</v>
      </c>
      <c r="BN103">
        <v>6</v>
      </c>
      <c r="BO103">
        <v>-3.2541181234983911E-3</v>
      </c>
      <c r="BP103">
        <v>10</v>
      </c>
      <c r="BQ103">
        <v>-14.191999999999997</v>
      </c>
      <c r="BR103">
        <v>17</v>
      </c>
      <c r="BS103">
        <v>0.88000000000000023</v>
      </c>
      <c r="BT103">
        <v>-0.67999999999999972</v>
      </c>
      <c r="BU103">
        <v>-3.7600000000000002</v>
      </c>
      <c r="BV103">
        <v>0.55999999999999994</v>
      </c>
      <c r="BW103">
        <v>-32.799999999999997</v>
      </c>
      <c r="BX103">
        <v>-47.8</v>
      </c>
      <c r="BY103">
        <v>16.439999999999998</v>
      </c>
      <c r="BZ103">
        <v>8</v>
      </c>
      <c r="CA103">
        <v>-9.4400000000000013</v>
      </c>
      <c r="CB103">
        <v>31</v>
      </c>
      <c r="CC103">
        <v>-7.3487999999999998</v>
      </c>
      <c r="CD103">
        <v>-3.6905599999999996</v>
      </c>
      <c r="CE103">
        <v>-64.239999999999995</v>
      </c>
      <c r="CF103">
        <v>-1.6570999999999998</v>
      </c>
    </row>
    <row r="104" spans="1:84" x14ac:dyDescent="0.2">
      <c r="A104" s="39">
        <v>43758</v>
      </c>
      <c r="B104" s="22" t="s">
        <v>250</v>
      </c>
      <c r="C104" s="41" t="s">
        <v>303</v>
      </c>
      <c r="D104" s="23" t="s">
        <v>300</v>
      </c>
      <c r="E104" s="3">
        <v>8.4</v>
      </c>
      <c r="F104" s="3">
        <v>3.4</v>
      </c>
      <c r="G104" s="3">
        <v>4.5999999999999996</v>
      </c>
      <c r="H104">
        <f>34.6+10.4+4.2</f>
        <v>49.2</v>
      </c>
      <c r="I104">
        <v>5.5</v>
      </c>
      <c r="J104">
        <v>48</v>
      </c>
      <c r="L104" s="1" t="s">
        <v>303</v>
      </c>
      <c r="M104">
        <v>24</v>
      </c>
      <c r="N104">
        <v>-2.6063999999999998</v>
      </c>
      <c r="O104">
        <v>-2.8280000000000003</v>
      </c>
      <c r="P104">
        <v>10.33</v>
      </c>
      <c r="Q104">
        <v>-1.3599999999999999</v>
      </c>
      <c r="R104">
        <v>5.0460000000000029</v>
      </c>
      <c r="S104">
        <v>-10.769999999999996</v>
      </c>
      <c r="T104">
        <v>-0.19999999999999929</v>
      </c>
      <c r="U104">
        <v>19</v>
      </c>
      <c r="V104">
        <v>19.5</v>
      </c>
      <c r="W104">
        <v>-1.64</v>
      </c>
      <c r="X104">
        <v>19</v>
      </c>
      <c r="Y104">
        <v>17.25</v>
      </c>
      <c r="Z104">
        <v>14</v>
      </c>
      <c r="AA104">
        <v>-0.10088090752894981</v>
      </c>
      <c r="AB104">
        <v>21</v>
      </c>
      <c r="AC104">
        <v>-1.8573134338657062E-2</v>
      </c>
      <c r="AD104">
        <v>32</v>
      </c>
      <c r="AE104">
        <v>14.827999999999999</v>
      </c>
      <c r="AF104">
        <v>2</v>
      </c>
      <c r="AG104">
        <v>-1.7200000000000002</v>
      </c>
      <c r="AH104">
        <v>-2.7600000000000007</v>
      </c>
      <c r="AI104">
        <v>-1</v>
      </c>
      <c r="AJ104">
        <v>1.0399999999999998</v>
      </c>
      <c r="AK104">
        <v>5.7200000000000042</v>
      </c>
      <c r="AL104">
        <v>-14.759999999999991</v>
      </c>
      <c r="AM104">
        <v>18.28</v>
      </c>
      <c r="AN104">
        <v>11.8</v>
      </c>
      <c r="AO104">
        <v>-9.6</v>
      </c>
      <c r="AP104">
        <v>20</v>
      </c>
      <c r="AQ104">
        <v>0.22160000000000069</v>
      </c>
      <c r="AR104">
        <v>1.9019200000000005</v>
      </c>
      <c r="AS104">
        <v>-33.039999999999992</v>
      </c>
      <c r="AT104">
        <v>-0.22160000000000046</v>
      </c>
      <c r="AU104">
        <v>-0.24854999999999966</v>
      </c>
      <c r="AV104">
        <v>0.51675000000000026</v>
      </c>
      <c r="AW104">
        <v>1.6427000000000003</v>
      </c>
      <c r="AX104" t="s">
        <v>300</v>
      </c>
      <c r="AY104">
        <v>21</v>
      </c>
      <c r="AZ104">
        <v>-2.4416000000000002</v>
      </c>
      <c r="BA104">
        <v>4.288000000000002</v>
      </c>
      <c r="BB104">
        <v>16.600000000000001</v>
      </c>
      <c r="BC104">
        <v>-0.26000000000000006</v>
      </c>
      <c r="BD104">
        <v>-6.3199999999999994</v>
      </c>
      <c r="BE104">
        <v>-4.6200000000000037</v>
      </c>
      <c r="BF104">
        <v>-2.2199999999999998</v>
      </c>
      <c r="BG104">
        <v>6</v>
      </c>
      <c r="BH104">
        <v>5</v>
      </c>
      <c r="BI104">
        <v>-3.6399999999999997</v>
      </c>
      <c r="BJ104">
        <v>29</v>
      </c>
      <c r="BK104">
        <v>24</v>
      </c>
      <c r="BL104">
        <v>17</v>
      </c>
      <c r="BM104">
        <v>5.0283851434233216E-2</v>
      </c>
      <c r="BN104">
        <v>23</v>
      </c>
      <c r="BO104">
        <v>1.6924454075850751E-2</v>
      </c>
      <c r="BP104">
        <v>27</v>
      </c>
      <c r="BQ104">
        <v>-9.5760000000000005</v>
      </c>
      <c r="BR104">
        <v>29</v>
      </c>
      <c r="BS104">
        <v>0.76000000000000012</v>
      </c>
      <c r="BT104">
        <v>-0.4</v>
      </c>
      <c r="BU104">
        <v>7.999999999999971E-2</v>
      </c>
      <c r="BV104">
        <v>-0.91999999999999993</v>
      </c>
      <c r="BW104">
        <v>19.759999999999991</v>
      </c>
      <c r="BX104">
        <v>7.9599999999999964</v>
      </c>
      <c r="BY104">
        <v>8.2799999999999976</v>
      </c>
      <c r="BZ104">
        <v>0.56000000000000016</v>
      </c>
      <c r="CA104">
        <v>2.96</v>
      </c>
      <c r="CB104">
        <v>30</v>
      </c>
      <c r="CC104">
        <v>-6.7296000000000022</v>
      </c>
      <c r="CD104">
        <v>-3.8963200000000011</v>
      </c>
      <c r="CE104">
        <v>-0.32000000000000117</v>
      </c>
      <c r="CF104">
        <v>-0.60919999999999963</v>
      </c>
    </row>
    <row r="105" spans="1:84" x14ac:dyDescent="0.2">
      <c r="A105" s="39">
        <v>43758</v>
      </c>
      <c r="B105" s="22" t="s">
        <v>250</v>
      </c>
      <c r="C105" s="41" t="s">
        <v>287</v>
      </c>
      <c r="D105" s="22" t="s">
        <v>310</v>
      </c>
      <c r="E105">
        <v>10.1</v>
      </c>
      <c r="F105">
        <v>8.6999999999999993</v>
      </c>
      <c r="G105">
        <v>0</v>
      </c>
      <c r="H105">
        <f>15.7+1.9</f>
        <v>17.599999999999998</v>
      </c>
      <c r="I105">
        <v>3</v>
      </c>
      <c r="J105">
        <v>42.5</v>
      </c>
      <c r="K105" t="s">
        <v>110</v>
      </c>
      <c r="L105" s="1" t="s">
        <v>287</v>
      </c>
      <c r="M105">
        <v>19</v>
      </c>
      <c r="N105">
        <v>-0.73760000000000103</v>
      </c>
      <c r="O105">
        <v>2.3319999999999999</v>
      </c>
      <c r="P105">
        <v>-29.319999999999993</v>
      </c>
      <c r="Q105">
        <v>4.12</v>
      </c>
      <c r="R105">
        <v>0.91200000000000037</v>
      </c>
      <c r="S105">
        <v>20.48</v>
      </c>
      <c r="T105">
        <v>0.64000000000000012</v>
      </c>
      <c r="U105">
        <v>4</v>
      </c>
      <c r="V105">
        <v>7</v>
      </c>
      <c r="W105">
        <v>0.12000000000000029</v>
      </c>
      <c r="X105">
        <v>10</v>
      </c>
      <c r="Y105">
        <v>12.75</v>
      </c>
      <c r="Z105">
        <v>24</v>
      </c>
      <c r="AA105">
        <v>5.2045253758965196E-2</v>
      </c>
      <c r="AB105">
        <v>12</v>
      </c>
      <c r="AC105">
        <v>-2.0669000519852564E-2</v>
      </c>
      <c r="AD105">
        <v>7</v>
      </c>
      <c r="AE105">
        <v>6.4960000000000022</v>
      </c>
      <c r="AF105">
        <v>8</v>
      </c>
      <c r="AG105">
        <v>1.3199999999999998</v>
      </c>
      <c r="AH105">
        <v>-0.27999999999999969</v>
      </c>
      <c r="AI105">
        <v>-4.76</v>
      </c>
      <c r="AJ105">
        <v>-8.8817841970012528E-17</v>
      </c>
      <c r="AK105">
        <v>-5.599999999999989</v>
      </c>
      <c r="AL105">
        <v>41.280000000000008</v>
      </c>
      <c r="AM105">
        <v>-33.519999999999996</v>
      </c>
      <c r="AN105">
        <v>-2.9600000000000004</v>
      </c>
      <c r="AO105">
        <v>-10.4</v>
      </c>
      <c r="AP105">
        <v>24</v>
      </c>
      <c r="AQ105">
        <v>-3.0696000000000012</v>
      </c>
      <c r="AR105">
        <v>-1.1311200000000001</v>
      </c>
      <c r="AS105">
        <v>74.800000000000011</v>
      </c>
      <c r="AT105">
        <v>3.0696000000000008</v>
      </c>
      <c r="AU105">
        <v>0.3032999999999999</v>
      </c>
      <c r="AV105">
        <v>-1.5318000000000001</v>
      </c>
      <c r="AW105">
        <v>-1.24715</v>
      </c>
      <c r="AX105" t="s">
        <v>310</v>
      </c>
      <c r="AY105">
        <v>11</v>
      </c>
      <c r="AZ105">
        <v>-2.5556000000000014</v>
      </c>
      <c r="BA105">
        <v>-2.9520000000000004</v>
      </c>
      <c r="BB105">
        <v>-20.759999999999998</v>
      </c>
      <c r="BC105">
        <v>1.08</v>
      </c>
      <c r="BD105">
        <v>-8.3439999999999994</v>
      </c>
      <c r="BE105">
        <v>-42.52</v>
      </c>
      <c r="BF105">
        <v>-1.9200000000000002</v>
      </c>
      <c r="BG105">
        <v>3</v>
      </c>
      <c r="BH105">
        <v>3.5</v>
      </c>
      <c r="BI105">
        <v>4.6399999999999997</v>
      </c>
      <c r="BJ105">
        <v>15</v>
      </c>
      <c r="BK105">
        <v>15.75</v>
      </c>
      <c r="BL105">
        <v>16</v>
      </c>
      <c r="BM105">
        <v>-5.3431099468023248E-2</v>
      </c>
      <c r="BN105">
        <v>21</v>
      </c>
      <c r="BO105">
        <v>5.44959390423935E-3</v>
      </c>
      <c r="BP105">
        <v>13</v>
      </c>
      <c r="BQ105">
        <v>-1.6239999999999994</v>
      </c>
      <c r="BR105">
        <v>13</v>
      </c>
      <c r="BS105">
        <v>-0.79999999999999982</v>
      </c>
      <c r="BT105">
        <v>-1.4400000000000019</v>
      </c>
      <c r="BU105">
        <v>-3.7600000000000002</v>
      </c>
      <c r="BV105">
        <v>-0.36</v>
      </c>
      <c r="BW105">
        <v>-28.520000000000003</v>
      </c>
      <c r="BX105">
        <v>-25.52</v>
      </c>
      <c r="BY105">
        <v>-10.199999999999999</v>
      </c>
      <c r="BZ105">
        <v>4.0000000000000036E-2</v>
      </c>
      <c r="CA105">
        <v>7.160000000000001</v>
      </c>
      <c r="CB105">
        <v>14</v>
      </c>
      <c r="CC105">
        <v>0.39639999999999909</v>
      </c>
      <c r="CD105">
        <v>-0.70391999999999988</v>
      </c>
      <c r="CE105">
        <v>-15.32</v>
      </c>
      <c r="CF105">
        <v>-1.8164500000000001</v>
      </c>
    </row>
    <row r="106" spans="1:84" x14ac:dyDescent="0.2">
      <c r="A106" s="39">
        <v>43758</v>
      </c>
      <c r="B106" s="22" t="s">
        <v>250</v>
      </c>
      <c r="C106" s="41" t="s">
        <v>304</v>
      </c>
      <c r="D106" s="22" t="s">
        <v>295</v>
      </c>
      <c r="E106" s="14">
        <v>11</v>
      </c>
      <c r="F106">
        <v>13.6</v>
      </c>
      <c r="G106">
        <v>9.9</v>
      </c>
      <c r="H106">
        <v>16.8</v>
      </c>
      <c r="I106">
        <v>-3</v>
      </c>
      <c r="J106">
        <v>54.5</v>
      </c>
      <c r="K106" t="s">
        <v>109</v>
      </c>
      <c r="L106" s="1" t="s">
        <v>304</v>
      </c>
      <c r="M106">
        <v>18</v>
      </c>
      <c r="N106">
        <v>-0.68479999999999941</v>
      </c>
      <c r="O106">
        <v>-2.5728</v>
      </c>
      <c r="P106">
        <v>-10.519999999999996</v>
      </c>
      <c r="Q106">
        <v>-0.60000000000000009</v>
      </c>
      <c r="R106">
        <v>19.02</v>
      </c>
      <c r="S106">
        <v>80.84</v>
      </c>
      <c r="T106">
        <v>10.039999999999999</v>
      </c>
      <c r="U106">
        <v>16</v>
      </c>
      <c r="V106">
        <v>15.5</v>
      </c>
      <c r="W106">
        <v>-0.55999999999999983</v>
      </c>
      <c r="X106">
        <v>23</v>
      </c>
      <c r="Y106">
        <v>20.5</v>
      </c>
      <c r="Z106">
        <v>32</v>
      </c>
      <c r="AA106">
        <v>9.0780050721000746E-2</v>
      </c>
      <c r="AB106">
        <v>29</v>
      </c>
      <c r="AC106">
        <v>-8.8088897539297974E-3</v>
      </c>
      <c r="AD106">
        <v>8</v>
      </c>
      <c r="AE106">
        <v>-4.5040000000000004</v>
      </c>
      <c r="AF106">
        <v>13</v>
      </c>
      <c r="AG106">
        <v>1.7763568394002506E-16</v>
      </c>
      <c r="AH106">
        <v>3.7599999999999993</v>
      </c>
      <c r="AI106">
        <v>2.8400000000000003</v>
      </c>
      <c r="AJ106">
        <v>0.48000000000000009</v>
      </c>
      <c r="AK106">
        <v>45.48</v>
      </c>
      <c r="AL106">
        <v>60.160000000000004</v>
      </c>
      <c r="AM106">
        <v>-13.8</v>
      </c>
      <c r="AN106">
        <v>9.879999999999999</v>
      </c>
      <c r="AO106">
        <v>-10.76</v>
      </c>
      <c r="AP106">
        <v>15</v>
      </c>
      <c r="AQ106">
        <v>1.8880000000000006</v>
      </c>
      <c r="AR106">
        <v>4.9534400000000005</v>
      </c>
      <c r="AS106">
        <v>73.960000000000008</v>
      </c>
      <c r="AT106">
        <v>-1.8880000000000006</v>
      </c>
      <c r="AU106">
        <v>2.3252999999999999</v>
      </c>
      <c r="AV106">
        <v>1.7071875000000005</v>
      </c>
      <c r="AW106">
        <v>-0.31482500000000002</v>
      </c>
      <c r="AX106" t="s">
        <v>295</v>
      </c>
      <c r="AY106">
        <v>27</v>
      </c>
      <c r="AZ106">
        <v>7.9056000000000024</v>
      </c>
      <c r="BA106">
        <v>1.948</v>
      </c>
      <c r="BB106">
        <v>-0.19999999999999862</v>
      </c>
      <c r="BC106">
        <v>0.92000000000000015</v>
      </c>
      <c r="BD106">
        <v>17.060000000000002</v>
      </c>
      <c r="BE106">
        <v>66.48</v>
      </c>
      <c r="BF106">
        <v>0.24000000000000038</v>
      </c>
      <c r="BG106">
        <v>17</v>
      </c>
      <c r="BH106">
        <v>14.5</v>
      </c>
      <c r="BI106">
        <v>-0.40000000000000019</v>
      </c>
      <c r="BJ106">
        <v>19</v>
      </c>
      <c r="BK106">
        <v>16.5</v>
      </c>
      <c r="BL106">
        <v>10</v>
      </c>
      <c r="BM106">
        <v>-7.832631225409413E-2</v>
      </c>
      <c r="BN106">
        <v>20</v>
      </c>
      <c r="BO106">
        <v>-4.6038082226176433E-2</v>
      </c>
      <c r="BP106">
        <v>25</v>
      </c>
      <c r="BQ106">
        <v>8.8160000000000007</v>
      </c>
      <c r="BR106">
        <v>11</v>
      </c>
      <c r="BS106">
        <v>-5.4</v>
      </c>
      <c r="BT106">
        <v>0.67999999999999972</v>
      </c>
      <c r="BU106">
        <v>8.84</v>
      </c>
      <c r="BV106">
        <v>0.47999999999999987</v>
      </c>
      <c r="BW106">
        <v>55.879999999999995</v>
      </c>
      <c r="BX106">
        <v>64.64</v>
      </c>
      <c r="BY106">
        <v>-4.8400000000000007</v>
      </c>
      <c r="BZ106">
        <v>-1.6</v>
      </c>
      <c r="CA106">
        <v>-2.3199999999999998</v>
      </c>
      <c r="CB106">
        <v>4</v>
      </c>
      <c r="CC106">
        <v>5.957600000000002</v>
      </c>
      <c r="CD106">
        <v>4.0191200000000009</v>
      </c>
      <c r="CE106">
        <v>69.48</v>
      </c>
      <c r="CF106">
        <v>3.729200000000001</v>
      </c>
    </row>
    <row r="107" spans="1:84" x14ac:dyDescent="0.2">
      <c r="A107" s="39">
        <v>43758</v>
      </c>
      <c r="B107" s="22" t="s">
        <v>250</v>
      </c>
      <c r="C107" s="41" t="s">
        <v>293</v>
      </c>
      <c r="D107" s="22" t="s">
        <v>276</v>
      </c>
      <c r="E107" s="14">
        <v>13.2</v>
      </c>
      <c r="F107">
        <v>16.5</v>
      </c>
      <c r="G107">
        <v>8.3000000000000007</v>
      </c>
      <c r="H107">
        <v>8.1</v>
      </c>
      <c r="I107">
        <v>17</v>
      </c>
      <c r="J107">
        <v>42.5</v>
      </c>
      <c r="L107" s="1" t="s">
        <v>293</v>
      </c>
      <c r="M107">
        <v>22</v>
      </c>
      <c r="N107">
        <v>-2.4400000000000004</v>
      </c>
      <c r="O107">
        <v>-5.6760000000000002</v>
      </c>
      <c r="P107">
        <v>-13.600000000000001</v>
      </c>
      <c r="Q107">
        <v>2.4800000000000004</v>
      </c>
      <c r="R107">
        <v>-3.7880000000000011</v>
      </c>
      <c r="S107">
        <v>-8.0799999999999983</v>
      </c>
      <c r="T107">
        <v>0.68000000000000027</v>
      </c>
      <c r="U107">
        <v>13</v>
      </c>
      <c r="V107">
        <v>12</v>
      </c>
      <c r="W107">
        <v>-6.919999999999999</v>
      </c>
      <c r="X107">
        <v>16</v>
      </c>
      <c r="Y107">
        <v>14.5</v>
      </c>
      <c r="Z107">
        <v>12</v>
      </c>
      <c r="AA107">
        <v>3.001764313433869E-2</v>
      </c>
      <c r="AB107">
        <v>10</v>
      </c>
      <c r="AC107">
        <v>1.8864583533273548E-2</v>
      </c>
      <c r="AD107">
        <v>14</v>
      </c>
      <c r="AE107">
        <v>-7.8919999999999986</v>
      </c>
      <c r="AF107">
        <v>22</v>
      </c>
      <c r="AG107">
        <v>5.9599999999999991</v>
      </c>
      <c r="AH107">
        <v>2.4400000000000004</v>
      </c>
      <c r="AI107">
        <v>-5.2799999999999994</v>
      </c>
      <c r="AJ107">
        <v>-1.9600000000000002</v>
      </c>
      <c r="AK107">
        <v>-28.160000000000004</v>
      </c>
      <c r="AL107">
        <v>-3.4800000000000066</v>
      </c>
      <c r="AM107">
        <v>-13.560000000000002</v>
      </c>
      <c r="AN107">
        <v>-7.68</v>
      </c>
      <c r="AO107">
        <v>-3.44</v>
      </c>
      <c r="AP107">
        <v>13</v>
      </c>
      <c r="AQ107">
        <v>3.2359999999999998</v>
      </c>
      <c r="AR107">
        <v>1.5923999999999998</v>
      </c>
      <c r="AS107">
        <v>10.079999999999995</v>
      </c>
      <c r="AT107">
        <v>-3.2359999999999998</v>
      </c>
      <c r="AU107">
        <v>-1.6930000000000001</v>
      </c>
      <c r="AV107">
        <v>-0.1896874999999999</v>
      </c>
      <c r="AW107">
        <v>0.75737500000000013</v>
      </c>
      <c r="AX107" t="s">
        <v>276</v>
      </c>
      <c r="AY107">
        <v>24</v>
      </c>
      <c r="AZ107">
        <v>-2.92</v>
      </c>
      <c r="BA107">
        <v>1.8269999999999991</v>
      </c>
      <c r="BB107">
        <v>12.36</v>
      </c>
      <c r="BC107">
        <v>-0.89999999999999991</v>
      </c>
      <c r="BD107">
        <v>-6.6409999999999991</v>
      </c>
      <c r="BE107">
        <v>-17.949999999999996</v>
      </c>
      <c r="BF107">
        <v>-0.89999999999999991</v>
      </c>
      <c r="BG107">
        <v>32</v>
      </c>
      <c r="BH107">
        <v>32</v>
      </c>
      <c r="BI107">
        <v>-0.68</v>
      </c>
      <c r="BJ107">
        <v>7</v>
      </c>
      <c r="BK107">
        <v>12.25</v>
      </c>
      <c r="BL107">
        <v>24</v>
      </c>
      <c r="BM107">
        <v>-5.7213415791041219E-3</v>
      </c>
      <c r="BN107">
        <v>3</v>
      </c>
      <c r="BO107">
        <v>-2.9869185457736213E-2</v>
      </c>
      <c r="BP107">
        <v>17</v>
      </c>
      <c r="BQ107">
        <v>-4.8960000000000008</v>
      </c>
      <c r="BR107">
        <v>5</v>
      </c>
      <c r="BS107">
        <v>-2.7600000000000002</v>
      </c>
      <c r="BT107">
        <v>-2.1200000000000019</v>
      </c>
      <c r="BU107">
        <v>-2.1199999999999997</v>
      </c>
      <c r="BV107">
        <v>-0.83999999999999986</v>
      </c>
      <c r="BW107">
        <v>-6.6</v>
      </c>
      <c r="BX107">
        <v>-15.88</v>
      </c>
      <c r="BY107">
        <v>12.559999999999997</v>
      </c>
      <c r="BZ107">
        <v>1.6</v>
      </c>
      <c r="CA107">
        <v>-4.88</v>
      </c>
      <c r="CB107">
        <v>29</v>
      </c>
      <c r="CC107">
        <v>-4.746999999999999</v>
      </c>
      <c r="CD107">
        <v>-2.8256999999999994</v>
      </c>
      <c r="CE107">
        <v>-28.439999999999998</v>
      </c>
      <c r="CF107">
        <v>-1.1367499999999999</v>
      </c>
    </row>
    <row r="108" spans="1:84" x14ac:dyDescent="0.2">
      <c r="A108" s="39">
        <v>43758</v>
      </c>
      <c r="B108" s="22" t="s">
        <v>250</v>
      </c>
      <c r="C108" s="41" t="s">
        <v>312</v>
      </c>
      <c r="D108" s="22" t="s">
        <v>299</v>
      </c>
      <c r="E108">
        <f>14+9.5</f>
        <v>23.5</v>
      </c>
      <c r="F108">
        <v>24.2</v>
      </c>
      <c r="G108">
        <v>0</v>
      </c>
      <c r="H108">
        <v>27.8</v>
      </c>
      <c r="I108">
        <v>-2.5</v>
      </c>
      <c r="J108">
        <v>43.5</v>
      </c>
      <c r="L108" s="1" t="s">
        <v>312</v>
      </c>
      <c r="M108">
        <v>23</v>
      </c>
      <c r="N108">
        <v>-2.6048000000000004</v>
      </c>
      <c r="O108">
        <v>4.7200000000000006</v>
      </c>
      <c r="P108">
        <v>47.61</v>
      </c>
      <c r="Q108">
        <v>-1.78</v>
      </c>
      <c r="R108">
        <v>-2.4620000000000015</v>
      </c>
      <c r="S108">
        <v>-10.809999999999999</v>
      </c>
      <c r="T108">
        <v>-5.4</v>
      </c>
      <c r="U108">
        <v>26</v>
      </c>
      <c r="V108">
        <v>25</v>
      </c>
      <c r="W108">
        <v>0.36</v>
      </c>
      <c r="X108">
        <v>28</v>
      </c>
      <c r="Y108">
        <v>24.5</v>
      </c>
      <c r="Z108">
        <v>22</v>
      </c>
      <c r="AA108">
        <v>4.942206420538138E-2</v>
      </c>
      <c r="AB108">
        <v>27</v>
      </c>
      <c r="AC108">
        <v>-2.7571277587572856E-3</v>
      </c>
      <c r="AD108">
        <v>22</v>
      </c>
      <c r="AE108">
        <v>14.103999999999999</v>
      </c>
      <c r="AF108">
        <v>27</v>
      </c>
      <c r="AG108">
        <v>-1.48</v>
      </c>
      <c r="AH108">
        <v>-3.2000000000000015</v>
      </c>
      <c r="AI108">
        <v>0.87999999999999967</v>
      </c>
      <c r="AJ108">
        <v>-0.6</v>
      </c>
      <c r="AK108">
        <v>20.880000000000006</v>
      </c>
      <c r="AL108">
        <v>-26.91999999999998</v>
      </c>
      <c r="AM108">
        <v>50.519999999999996</v>
      </c>
      <c r="AN108">
        <v>0.55999999999999983</v>
      </c>
      <c r="AO108">
        <v>-3.2800000000000002</v>
      </c>
      <c r="AP108">
        <v>28</v>
      </c>
      <c r="AQ108">
        <v>-7.3248000000000015</v>
      </c>
      <c r="AR108">
        <v>-3.3733600000000008</v>
      </c>
      <c r="AS108">
        <v>-77.439999999999969</v>
      </c>
      <c r="AT108">
        <v>7.3248000000000015</v>
      </c>
      <c r="AU108">
        <v>8.1649999999999709E-2</v>
      </c>
      <c r="AV108">
        <v>0.15853750000000016</v>
      </c>
      <c r="AW108">
        <v>-0.55642499999999995</v>
      </c>
      <c r="AX108" t="s">
        <v>299</v>
      </c>
      <c r="AY108">
        <v>3</v>
      </c>
      <c r="AZ108">
        <v>1.6279999999999997</v>
      </c>
      <c r="BA108">
        <v>5.2680000000000007</v>
      </c>
      <c r="BB108">
        <v>28.2</v>
      </c>
      <c r="BC108">
        <v>-0.27999999999999992</v>
      </c>
      <c r="BD108">
        <v>0.29200000000000159</v>
      </c>
      <c r="BE108">
        <v>15.24</v>
      </c>
      <c r="BF108">
        <v>1.4</v>
      </c>
      <c r="BG108">
        <v>12</v>
      </c>
      <c r="BH108">
        <v>12.5</v>
      </c>
      <c r="BI108">
        <v>-2.04</v>
      </c>
      <c r="BJ108">
        <v>24</v>
      </c>
      <c r="BK108">
        <v>21</v>
      </c>
      <c r="BL108">
        <v>26</v>
      </c>
      <c r="BM108">
        <v>-7.38521219994525E-2</v>
      </c>
      <c r="BN108">
        <v>23</v>
      </c>
      <c r="BO108">
        <v>-1.6347826541173553E-2</v>
      </c>
      <c r="BP108">
        <v>5</v>
      </c>
      <c r="BQ108">
        <v>-2.9919999999999987</v>
      </c>
      <c r="BR108">
        <v>30</v>
      </c>
      <c r="BS108">
        <v>-0.15999999999999998</v>
      </c>
      <c r="BT108">
        <v>4.32</v>
      </c>
      <c r="BU108">
        <v>2.2000000000000002</v>
      </c>
      <c r="BV108">
        <v>0.1999999999999999</v>
      </c>
      <c r="BW108">
        <v>54.759999999999991</v>
      </c>
      <c r="BX108">
        <v>16.720000000000006</v>
      </c>
      <c r="BY108">
        <v>27.04</v>
      </c>
      <c r="BZ108">
        <v>0.08</v>
      </c>
      <c r="CA108">
        <v>10.92</v>
      </c>
      <c r="CB108">
        <v>25</v>
      </c>
      <c r="CC108">
        <v>-3.640000000000001</v>
      </c>
      <c r="CD108">
        <v>-2.25</v>
      </c>
      <c r="CE108">
        <v>-10.319999999999993</v>
      </c>
      <c r="CF108">
        <v>0.87350000000000028</v>
      </c>
    </row>
    <row r="109" spans="1:84" x14ac:dyDescent="0.2">
      <c r="A109" s="39">
        <v>43758</v>
      </c>
      <c r="B109" s="22" t="s">
        <v>250</v>
      </c>
      <c r="C109" s="41" t="s">
        <v>302</v>
      </c>
      <c r="D109" s="22" t="s">
        <v>298</v>
      </c>
      <c r="E109">
        <v>13.7</v>
      </c>
      <c r="F109" s="14">
        <v>13.6</v>
      </c>
      <c r="G109">
        <v>9.6999999999999993</v>
      </c>
      <c r="H109">
        <v>5.9</v>
      </c>
      <c r="I109">
        <v>-9.5</v>
      </c>
      <c r="J109">
        <v>43</v>
      </c>
      <c r="L109" s="1" t="s">
        <v>302</v>
      </c>
      <c r="M109">
        <v>8</v>
      </c>
      <c r="N109">
        <v>2.6827999999999994</v>
      </c>
      <c r="O109">
        <v>1.1079999999999997</v>
      </c>
      <c r="P109">
        <v>-13.8</v>
      </c>
      <c r="Q109">
        <v>2.68</v>
      </c>
      <c r="R109">
        <v>-1.015999999999998</v>
      </c>
      <c r="S109">
        <v>-2.76</v>
      </c>
      <c r="T109">
        <v>0.7200000000000002</v>
      </c>
      <c r="U109">
        <v>2</v>
      </c>
      <c r="V109">
        <v>5</v>
      </c>
      <c r="W109">
        <v>9.52</v>
      </c>
      <c r="X109">
        <v>27</v>
      </c>
      <c r="Y109">
        <v>23.25</v>
      </c>
      <c r="Z109">
        <v>23</v>
      </c>
      <c r="AA109">
        <v>-9.3523559266457099E-2</v>
      </c>
      <c r="AB109">
        <v>26</v>
      </c>
      <c r="AC109">
        <v>-7.8564589039876592E-3</v>
      </c>
      <c r="AD109">
        <v>23</v>
      </c>
      <c r="AE109">
        <v>-14.068000000000001</v>
      </c>
      <c r="AF109">
        <v>21</v>
      </c>
      <c r="AG109">
        <v>1.48</v>
      </c>
      <c r="AH109">
        <v>5.6</v>
      </c>
      <c r="AI109">
        <v>2.3199999999999998</v>
      </c>
      <c r="AJ109">
        <v>4.04</v>
      </c>
      <c r="AK109">
        <v>11.920000000000005</v>
      </c>
      <c r="AL109">
        <v>28.160000000000004</v>
      </c>
      <c r="AM109">
        <v>-6.6</v>
      </c>
      <c r="AN109">
        <v>-0.2</v>
      </c>
      <c r="AO109">
        <v>-9.4400000000000013</v>
      </c>
      <c r="AP109">
        <v>17</v>
      </c>
      <c r="AQ109">
        <v>1.5747999999999998</v>
      </c>
      <c r="AR109">
        <v>-0.22063999999999961</v>
      </c>
      <c r="AS109">
        <v>34.760000000000005</v>
      </c>
      <c r="AT109">
        <v>-1.5747999999999998</v>
      </c>
      <c r="AU109">
        <v>0.18185000000000004</v>
      </c>
      <c r="AV109">
        <v>-1.1980499999999998</v>
      </c>
      <c r="AW109">
        <v>-2.845475</v>
      </c>
      <c r="AX109" t="s">
        <v>298</v>
      </c>
      <c r="AY109">
        <v>9</v>
      </c>
      <c r="AZ109">
        <v>-2.7599999999999985</v>
      </c>
      <c r="BA109">
        <v>1.6240000000000001</v>
      </c>
      <c r="BB109">
        <v>-23.360000000000003</v>
      </c>
      <c r="BC109">
        <v>0.39999999999999991</v>
      </c>
      <c r="BD109">
        <v>2.1309999999999993</v>
      </c>
      <c r="BE109">
        <v>6.0599999999999961</v>
      </c>
      <c r="BF109">
        <v>0.22999999999999998</v>
      </c>
      <c r="BG109">
        <v>24</v>
      </c>
      <c r="BH109">
        <v>23</v>
      </c>
      <c r="BI109">
        <v>3.7599999999999993</v>
      </c>
      <c r="BJ109">
        <v>23</v>
      </c>
      <c r="BK109">
        <v>20</v>
      </c>
      <c r="BL109">
        <v>32</v>
      </c>
      <c r="BM109">
        <v>7.6954668175768196E-2</v>
      </c>
      <c r="BN109">
        <v>22</v>
      </c>
      <c r="BO109">
        <v>-1.9577715947882331E-2</v>
      </c>
      <c r="BP109">
        <v>11</v>
      </c>
      <c r="BQ109">
        <v>5.839999999999999</v>
      </c>
      <c r="BR109">
        <v>15</v>
      </c>
      <c r="BS109">
        <v>-1.7600000000000002</v>
      </c>
      <c r="BT109">
        <v>3.0799999999999983</v>
      </c>
      <c r="BU109">
        <v>1.2400000000000007</v>
      </c>
      <c r="BV109">
        <v>-0.16000000000000014</v>
      </c>
      <c r="BW109">
        <v>-27.879999999999995</v>
      </c>
      <c r="BX109">
        <v>4.4000000000000004</v>
      </c>
      <c r="BY109">
        <v>-27.520000000000003</v>
      </c>
      <c r="BZ109">
        <v>2.52</v>
      </c>
      <c r="CA109">
        <v>-7.2799999999999994</v>
      </c>
      <c r="CB109">
        <v>27</v>
      </c>
      <c r="CC109">
        <v>-4.3839999999999986</v>
      </c>
      <c r="CD109">
        <v>-0.93779999999999974</v>
      </c>
      <c r="CE109">
        <v>31.92</v>
      </c>
      <c r="CF109">
        <v>0.44937500000000019</v>
      </c>
    </row>
    <row r="110" spans="1:84" x14ac:dyDescent="0.2">
      <c r="A110" s="39">
        <v>43758</v>
      </c>
      <c r="B110" s="22" t="s">
        <v>250</v>
      </c>
      <c r="C110" s="41" t="s">
        <v>307</v>
      </c>
      <c r="D110" s="22" t="s">
        <v>265</v>
      </c>
      <c r="E110">
        <v>25.1</v>
      </c>
      <c r="F110">
        <v>6.8</v>
      </c>
      <c r="G110">
        <v>0</v>
      </c>
      <c r="H110">
        <v>13.3</v>
      </c>
      <c r="I110">
        <v>4</v>
      </c>
      <c r="J110">
        <v>37</v>
      </c>
      <c r="K110" t="s">
        <v>110</v>
      </c>
      <c r="L110" s="1" t="s">
        <v>307</v>
      </c>
      <c r="M110">
        <v>20</v>
      </c>
      <c r="N110">
        <v>-2.1255999999999995</v>
      </c>
      <c r="O110">
        <v>-1.3567999999999989</v>
      </c>
      <c r="P110">
        <v>-3.1999999999999975</v>
      </c>
      <c r="Q110">
        <v>0.91999999999999982</v>
      </c>
      <c r="R110">
        <v>-5.2920000000000025</v>
      </c>
      <c r="S110">
        <v>-41.08</v>
      </c>
      <c r="T110">
        <v>-3.9999999999999991</v>
      </c>
      <c r="U110">
        <v>4</v>
      </c>
      <c r="V110">
        <v>7</v>
      </c>
      <c r="W110">
        <v>2.0000000000000004</v>
      </c>
      <c r="X110">
        <v>32</v>
      </c>
      <c r="Y110">
        <v>29.5</v>
      </c>
      <c r="Z110">
        <v>30</v>
      </c>
      <c r="AA110">
        <v>-1.7840273527344564E-2</v>
      </c>
      <c r="AB110">
        <v>28</v>
      </c>
      <c r="AC110">
        <v>-4.8950174943852695E-3</v>
      </c>
      <c r="AD110">
        <v>31</v>
      </c>
      <c r="AE110">
        <v>9.1280000000000037</v>
      </c>
      <c r="AF110">
        <v>29</v>
      </c>
      <c r="AG110">
        <v>-0.72</v>
      </c>
      <c r="AH110">
        <v>-3.4</v>
      </c>
      <c r="AI110">
        <v>-6.0399999999999991</v>
      </c>
      <c r="AJ110">
        <v>1.3199999999999998</v>
      </c>
      <c r="AK110">
        <v>-40.159999999999989</v>
      </c>
      <c r="AL110">
        <v>-38.760000000000005</v>
      </c>
      <c r="AM110">
        <v>-5.9599999999999991</v>
      </c>
      <c r="AN110">
        <v>-1.3199999999999998</v>
      </c>
      <c r="AO110">
        <v>5.8800000000000008</v>
      </c>
      <c r="AP110">
        <v>22</v>
      </c>
      <c r="AQ110">
        <v>-0.76880000000000071</v>
      </c>
      <c r="AR110">
        <v>-0.80512000000000095</v>
      </c>
      <c r="AS110">
        <v>-32.800000000000004</v>
      </c>
      <c r="AT110">
        <v>0.76880000000000059</v>
      </c>
      <c r="AU110">
        <v>-1.0218</v>
      </c>
      <c r="AV110">
        <v>-1.0698750000000001</v>
      </c>
      <c r="AW110">
        <v>-3.025725</v>
      </c>
      <c r="AX110" t="s">
        <v>265</v>
      </c>
      <c r="AY110">
        <v>29</v>
      </c>
      <c r="AZ110">
        <v>1.6095999999999999</v>
      </c>
      <c r="BA110">
        <v>3.2151999999999994</v>
      </c>
      <c r="BB110">
        <v>-10.76</v>
      </c>
      <c r="BC110">
        <v>2.12</v>
      </c>
      <c r="BD110">
        <v>3.5029999999999997</v>
      </c>
      <c r="BE110">
        <v>27.81</v>
      </c>
      <c r="BF110">
        <v>3.49</v>
      </c>
      <c r="BG110">
        <v>15</v>
      </c>
      <c r="BH110">
        <v>13</v>
      </c>
      <c r="BI110">
        <v>-1.6800000000000002</v>
      </c>
      <c r="BJ110">
        <v>32</v>
      </c>
      <c r="BK110">
        <v>29.25</v>
      </c>
      <c r="BL110">
        <v>28</v>
      </c>
      <c r="BM110">
        <v>-1.4219725411577438E-2</v>
      </c>
      <c r="BN110">
        <v>29</v>
      </c>
      <c r="BO110">
        <v>-2.2127489369001135E-3</v>
      </c>
      <c r="BP110">
        <v>29</v>
      </c>
      <c r="BQ110">
        <v>8.1480000000000015</v>
      </c>
      <c r="BR110">
        <v>31</v>
      </c>
      <c r="BS110">
        <v>2.96</v>
      </c>
      <c r="BT110">
        <v>8.5599999999999987</v>
      </c>
      <c r="BU110">
        <v>0.48000000000000009</v>
      </c>
      <c r="BV110">
        <v>-0.51999999999999991</v>
      </c>
      <c r="BW110">
        <v>24.239999999999988</v>
      </c>
      <c r="BX110">
        <v>43.12</v>
      </c>
      <c r="BY110">
        <v>-10.040000000000003</v>
      </c>
      <c r="BZ110">
        <v>-8.5599999999999987</v>
      </c>
      <c r="CA110">
        <v>-0.28000000000000025</v>
      </c>
      <c r="CB110">
        <v>20</v>
      </c>
      <c r="CC110">
        <v>-1.6055999999999997</v>
      </c>
      <c r="CD110">
        <v>-0.58507999999999982</v>
      </c>
      <c r="CE110">
        <v>53.16</v>
      </c>
      <c r="CF110">
        <v>0.88597499999999973</v>
      </c>
    </row>
    <row r="111" spans="1:84" x14ac:dyDescent="0.2">
      <c r="A111" s="39">
        <v>43758</v>
      </c>
      <c r="B111" s="22" t="s">
        <v>250</v>
      </c>
      <c r="C111" s="41" t="s">
        <v>296</v>
      </c>
      <c r="D111" s="22" t="s">
        <v>285</v>
      </c>
      <c r="E111">
        <v>14</v>
      </c>
      <c r="F111">
        <v>7.5</v>
      </c>
      <c r="G111">
        <v>4.8</v>
      </c>
      <c r="H111">
        <f>12.9</f>
        <v>12.9</v>
      </c>
      <c r="I111">
        <v>-3.5</v>
      </c>
      <c r="J111">
        <v>49.5</v>
      </c>
      <c r="K111" t="s">
        <v>109</v>
      </c>
      <c r="L111" s="1" t="s">
        <v>296</v>
      </c>
      <c r="M111">
        <v>13</v>
      </c>
      <c r="N111">
        <v>0.46840000000000048</v>
      </c>
      <c r="O111">
        <v>-4.7607999999999997</v>
      </c>
      <c r="P111">
        <v>-9.6800000000000015</v>
      </c>
      <c r="Q111">
        <v>-2.3999999999999995</v>
      </c>
      <c r="R111">
        <v>1.1079999999999977</v>
      </c>
      <c r="S111">
        <v>-1.9600000000000044</v>
      </c>
      <c r="T111">
        <v>0.56000000000000094</v>
      </c>
      <c r="U111">
        <v>28</v>
      </c>
      <c r="V111">
        <v>27.5</v>
      </c>
      <c r="W111">
        <v>1.2000000000000004</v>
      </c>
      <c r="X111">
        <v>2</v>
      </c>
      <c r="Y111">
        <v>7.5</v>
      </c>
      <c r="Z111">
        <v>3</v>
      </c>
      <c r="AA111">
        <v>5.1796518530391002E-2</v>
      </c>
      <c r="AB111">
        <v>16</v>
      </c>
      <c r="AC111">
        <v>-1.8916761646132828E-2</v>
      </c>
      <c r="AD111">
        <v>10</v>
      </c>
      <c r="AE111">
        <v>-12.756000000000004</v>
      </c>
      <c r="AF111">
        <v>1</v>
      </c>
      <c r="AG111">
        <v>2.16</v>
      </c>
      <c r="AH111">
        <v>-2.5599999999999996</v>
      </c>
      <c r="AI111">
        <v>-1.5599999999999998</v>
      </c>
      <c r="AJ111">
        <v>0.76</v>
      </c>
      <c r="AK111">
        <v>-13.480000000000008</v>
      </c>
      <c r="AL111">
        <v>-14.640000000000004</v>
      </c>
      <c r="AM111">
        <v>-8.76</v>
      </c>
      <c r="AN111">
        <v>4.5200000000000005</v>
      </c>
      <c r="AO111">
        <v>5.4</v>
      </c>
      <c r="AP111">
        <v>6</v>
      </c>
      <c r="AQ111">
        <v>5.2292000000000005</v>
      </c>
      <c r="AR111">
        <v>2.6956799999999994</v>
      </c>
      <c r="AS111">
        <v>-5.8800000000000043</v>
      </c>
      <c r="AT111">
        <v>-5.2292000000000005</v>
      </c>
      <c r="AU111">
        <v>-0.64305000000000012</v>
      </c>
      <c r="AV111">
        <v>1.0465999999999998</v>
      </c>
      <c r="AW111">
        <v>0.61727500000000002</v>
      </c>
      <c r="AX111" t="s">
        <v>285</v>
      </c>
      <c r="AY111">
        <v>1</v>
      </c>
      <c r="AZ111">
        <v>2.3944000000000001</v>
      </c>
      <c r="BA111">
        <v>-0.14000000000000257</v>
      </c>
      <c r="BB111">
        <v>16.439999999999994</v>
      </c>
      <c r="BC111">
        <v>-2.36</v>
      </c>
      <c r="BD111">
        <v>7.3529999999999989</v>
      </c>
      <c r="BE111">
        <v>6.5599999999999987</v>
      </c>
      <c r="BF111">
        <v>-2.2800000000000002</v>
      </c>
      <c r="BG111">
        <v>19</v>
      </c>
      <c r="BH111">
        <v>20.5</v>
      </c>
      <c r="BI111">
        <v>1.1200000000000003</v>
      </c>
      <c r="BJ111">
        <v>26</v>
      </c>
      <c r="BK111">
        <v>22</v>
      </c>
      <c r="BL111">
        <v>5</v>
      </c>
      <c r="BM111">
        <v>2.4658695700955245E-3</v>
      </c>
      <c r="BN111">
        <v>31</v>
      </c>
      <c r="BO111">
        <v>-3.1283677961833414E-3</v>
      </c>
      <c r="BP111">
        <v>20</v>
      </c>
      <c r="BQ111">
        <v>10.659999999999998</v>
      </c>
      <c r="BR111">
        <v>32</v>
      </c>
      <c r="BS111">
        <v>-4.84</v>
      </c>
      <c r="BT111">
        <v>-3.4000000000000012</v>
      </c>
      <c r="BU111">
        <v>4</v>
      </c>
      <c r="BV111">
        <v>0.47999999999999987</v>
      </c>
      <c r="BW111">
        <v>19.919999999999995</v>
      </c>
      <c r="BX111">
        <v>3.7600000000000025</v>
      </c>
      <c r="BY111">
        <v>16.04</v>
      </c>
      <c r="BZ111">
        <v>-1.1199999999999999</v>
      </c>
      <c r="CA111">
        <v>1.2400000000000007</v>
      </c>
      <c r="CB111">
        <v>9</v>
      </c>
      <c r="CC111">
        <v>2.5344000000000024</v>
      </c>
      <c r="CD111">
        <v>2.0194800000000011</v>
      </c>
      <c r="CE111">
        <v>-12.279999999999998</v>
      </c>
      <c r="CF111">
        <v>1.4759249999999997</v>
      </c>
    </row>
    <row r="112" spans="1:84" x14ac:dyDescent="0.2">
      <c r="A112" s="39">
        <v>43758</v>
      </c>
      <c r="B112" s="22" t="s">
        <v>250</v>
      </c>
      <c r="C112" s="41" t="s">
        <v>298</v>
      </c>
      <c r="D112" s="22" t="s">
        <v>302</v>
      </c>
      <c r="E112">
        <v>6.6</v>
      </c>
      <c r="F112">
        <v>2</v>
      </c>
      <c r="G112">
        <v>7.2</v>
      </c>
      <c r="H112">
        <v>1.1000000000000001</v>
      </c>
      <c r="I112">
        <v>9.5</v>
      </c>
      <c r="J112">
        <v>43</v>
      </c>
      <c r="L112" s="1" t="s">
        <v>298</v>
      </c>
      <c r="M112">
        <v>31</v>
      </c>
      <c r="N112">
        <v>-6.5775999999999994</v>
      </c>
      <c r="O112">
        <v>-2.2120000000000006</v>
      </c>
      <c r="P112">
        <v>-5.3999999999999968</v>
      </c>
      <c r="Q112">
        <v>0.81999999999999984</v>
      </c>
      <c r="R112">
        <v>-12.004000000000001</v>
      </c>
      <c r="S112">
        <v>-42.64</v>
      </c>
      <c r="T112">
        <v>-4.8000000000000007</v>
      </c>
      <c r="U112">
        <v>14</v>
      </c>
      <c r="V112">
        <v>13.5</v>
      </c>
      <c r="W112">
        <v>-1.7600000000000002</v>
      </c>
      <c r="X112">
        <v>8</v>
      </c>
      <c r="Y112">
        <v>12</v>
      </c>
      <c r="Z112">
        <v>2</v>
      </c>
      <c r="AA112">
        <v>3.799271817806095E-2</v>
      </c>
      <c r="AB112">
        <v>17</v>
      </c>
      <c r="AC112">
        <v>3.476950796873432E-2</v>
      </c>
      <c r="AD112">
        <v>12</v>
      </c>
      <c r="AE112">
        <v>4.5799999999999956</v>
      </c>
      <c r="AF112">
        <v>17</v>
      </c>
      <c r="AG112">
        <v>3.7599999999999993</v>
      </c>
      <c r="AH112">
        <v>-6.9599999999999991</v>
      </c>
      <c r="AI112">
        <v>-8.24</v>
      </c>
      <c r="AJ112">
        <v>0.84000000000000019</v>
      </c>
      <c r="AK112">
        <v>-82.28</v>
      </c>
      <c r="AL112">
        <v>-51.240000000000009</v>
      </c>
      <c r="AM112">
        <v>-12.320000000000002</v>
      </c>
      <c r="AN112">
        <v>-6.68</v>
      </c>
      <c r="AO112">
        <v>-12.040000000000001</v>
      </c>
      <c r="AP112">
        <v>25</v>
      </c>
      <c r="AQ112">
        <v>-4.3655999999999988</v>
      </c>
      <c r="AR112">
        <v>-2.6103200000000002</v>
      </c>
      <c r="AS112">
        <v>-38.920000000000009</v>
      </c>
      <c r="AT112">
        <v>4.3655999999999988</v>
      </c>
      <c r="AU112">
        <v>-2.9442000000000004</v>
      </c>
      <c r="AV112">
        <v>-1.1980499999999998</v>
      </c>
      <c r="AW112">
        <v>0.44937500000000019</v>
      </c>
      <c r="AX112" t="s">
        <v>302</v>
      </c>
      <c r="AY112">
        <v>28</v>
      </c>
      <c r="AZ112">
        <v>-6.2148000000000003</v>
      </c>
      <c r="BA112">
        <v>-4.8090000000000002</v>
      </c>
      <c r="BB112">
        <v>-20.72</v>
      </c>
      <c r="BC112">
        <v>-0.21999999999999997</v>
      </c>
      <c r="BD112">
        <v>-9.9</v>
      </c>
      <c r="BE112">
        <v>-30.159999999999997</v>
      </c>
      <c r="BF112">
        <v>0.47999999999999954</v>
      </c>
      <c r="BG112">
        <v>24</v>
      </c>
      <c r="BH112">
        <v>23</v>
      </c>
      <c r="BI112">
        <v>1.52</v>
      </c>
      <c r="BJ112">
        <v>5</v>
      </c>
      <c r="BK112">
        <v>9.75</v>
      </c>
      <c r="BL112">
        <v>1</v>
      </c>
      <c r="BM112">
        <v>4.7672858207739491E-2</v>
      </c>
      <c r="BN112">
        <v>12</v>
      </c>
      <c r="BO112">
        <v>4.1423482031929762E-2</v>
      </c>
      <c r="BP112">
        <v>23</v>
      </c>
      <c r="BQ112">
        <v>-9.9640000000000004</v>
      </c>
      <c r="BR112">
        <v>3</v>
      </c>
      <c r="BS112">
        <v>9.52</v>
      </c>
      <c r="BT112">
        <v>-3.6</v>
      </c>
      <c r="BU112">
        <v>-8.24</v>
      </c>
      <c r="BV112">
        <v>2.8</v>
      </c>
      <c r="BW112">
        <v>-53</v>
      </c>
      <c r="BX112">
        <v>-42.000000000000007</v>
      </c>
      <c r="BY112">
        <v>-13.720000000000002</v>
      </c>
      <c r="BZ112">
        <v>4.76</v>
      </c>
      <c r="CA112">
        <v>-2.04</v>
      </c>
      <c r="CB112">
        <v>19</v>
      </c>
      <c r="CC112">
        <v>-1.4058000000000004</v>
      </c>
      <c r="CD112">
        <v>-0.81845999999999952</v>
      </c>
      <c r="CE112">
        <v>-28.280000000000005</v>
      </c>
      <c r="CF112">
        <v>-2.845475</v>
      </c>
    </row>
    <row r="113" spans="1:84" x14ac:dyDescent="0.2">
      <c r="A113" s="39">
        <v>43758</v>
      </c>
      <c r="B113" s="22" t="s">
        <v>250</v>
      </c>
      <c r="C113" s="41" t="s">
        <v>294</v>
      </c>
      <c r="D113" s="22" t="s">
        <v>291</v>
      </c>
      <c r="E113">
        <v>5.8</v>
      </c>
      <c r="F113">
        <v>4.4000000000000004</v>
      </c>
      <c r="G113">
        <v>0</v>
      </c>
      <c r="H113">
        <f>15.9+5.8</f>
        <v>21.7</v>
      </c>
      <c r="I113">
        <v>3</v>
      </c>
      <c r="J113">
        <v>50</v>
      </c>
      <c r="L113" s="1" t="s">
        <v>294</v>
      </c>
      <c r="M113">
        <v>15</v>
      </c>
      <c r="N113">
        <v>-0.11040000000000064</v>
      </c>
      <c r="O113">
        <v>-3.4559999999999995</v>
      </c>
      <c r="P113">
        <v>-11.44</v>
      </c>
      <c r="Q113">
        <v>-1.7599999999999998</v>
      </c>
      <c r="R113">
        <v>-3.0959999999999992</v>
      </c>
      <c r="S113">
        <v>-35.120000000000005</v>
      </c>
      <c r="T113">
        <v>4.12</v>
      </c>
      <c r="U113">
        <v>23</v>
      </c>
      <c r="V113">
        <v>22.5</v>
      </c>
      <c r="W113">
        <v>1.9999999999999993</v>
      </c>
      <c r="X113">
        <v>6</v>
      </c>
      <c r="Y113">
        <v>10.25</v>
      </c>
      <c r="Z113">
        <v>16</v>
      </c>
      <c r="AA113">
        <v>2.9390537225020063E-2</v>
      </c>
      <c r="AB113">
        <v>4</v>
      </c>
      <c r="AC113">
        <v>1.439911842404186E-3</v>
      </c>
      <c r="AD113">
        <v>6</v>
      </c>
      <c r="AE113">
        <v>-2.4840000000000004</v>
      </c>
      <c r="AF113">
        <v>15</v>
      </c>
      <c r="AG113">
        <v>1.52</v>
      </c>
      <c r="AH113">
        <v>-0.91999999999999882</v>
      </c>
      <c r="AI113">
        <v>-0.71999999999999953</v>
      </c>
      <c r="AJ113">
        <v>1.6</v>
      </c>
      <c r="AK113">
        <v>-46.2</v>
      </c>
      <c r="AL113">
        <v>-41.36</v>
      </c>
      <c r="AM113">
        <v>-3.8</v>
      </c>
      <c r="AN113">
        <v>-2.64</v>
      </c>
      <c r="AO113">
        <v>1.6</v>
      </c>
      <c r="AP113">
        <v>12</v>
      </c>
      <c r="AQ113">
        <v>3.3455999999999988</v>
      </c>
      <c r="AR113">
        <v>1.0867199999999999</v>
      </c>
      <c r="AS113">
        <v>-37.56</v>
      </c>
      <c r="AT113">
        <v>-3.3455999999999988</v>
      </c>
      <c r="AU113">
        <v>-0.9877999999999999</v>
      </c>
      <c r="AV113">
        <v>0.94782499999999992</v>
      </c>
      <c r="AW113">
        <v>0.40920000000000012</v>
      </c>
      <c r="AX113" t="s">
        <v>291</v>
      </c>
      <c r="AY113">
        <v>19</v>
      </c>
      <c r="AZ113">
        <v>0.80439999999999967</v>
      </c>
      <c r="BA113">
        <v>4.3911999999999995</v>
      </c>
      <c r="BB113">
        <v>-4.7199999999999989</v>
      </c>
      <c r="BC113">
        <v>-0.24</v>
      </c>
      <c r="BD113">
        <v>4.2159999999999993</v>
      </c>
      <c r="BE113">
        <v>30.160000000000004</v>
      </c>
      <c r="BF113">
        <v>2.0399999999999996</v>
      </c>
      <c r="BG113">
        <v>7</v>
      </c>
      <c r="BH113">
        <v>7</v>
      </c>
      <c r="BI113">
        <v>-0.92000000000000026</v>
      </c>
      <c r="BJ113">
        <v>15</v>
      </c>
      <c r="BK113">
        <v>15.75</v>
      </c>
      <c r="BL113">
        <v>7</v>
      </c>
      <c r="BM113">
        <v>-3.6060018961847871E-2</v>
      </c>
      <c r="BN113">
        <v>7</v>
      </c>
      <c r="BO113">
        <v>-7.8998496766146849E-3</v>
      </c>
      <c r="BP113">
        <v>28</v>
      </c>
      <c r="BQ113">
        <v>13.12</v>
      </c>
      <c r="BR113">
        <v>21</v>
      </c>
      <c r="BS113">
        <v>-5.32</v>
      </c>
      <c r="BT113">
        <v>1.1599999999999995</v>
      </c>
      <c r="BU113">
        <v>4.8</v>
      </c>
      <c r="BV113">
        <v>-1.1199999999999999</v>
      </c>
      <c r="BW113">
        <v>18.719999999999992</v>
      </c>
      <c r="BX113">
        <v>25.76</v>
      </c>
      <c r="BY113">
        <v>-5.8</v>
      </c>
      <c r="BZ113">
        <v>0.48000000000000043</v>
      </c>
      <c r="CA113">
        <v>-1.7200000000000002</v>
      </c>
      <c r="CB113">
        <v>24</v>
      </c>
      <c r="CC113">
        <v>-3.5868000000000002</v>
      </c>
      <c r="CD113">
        <v>-1.1915199999999999</v>
      </c>
      <c r="CE113">
        <v>31.560000000000002</v>
      </c>
      <c r="CF113">
        <v>1.4864499999999996</v>
      </c>
    </row>
    <row r="114" spans="1:84" x14ac:dyDescent="0.2">
      <c r="A114" s="39">
        <v>43758</v>
      </c>
      <c r="B114" s="22" t="s">
        <v>250</v>
      </c>
      <c r="C114" s="40" t="s">
        <v>256</v>
      </c>
      <c r="D114" s="22" t="s">
        <v>306</v>
      </c>
      <c r="E114">
        <v>9.9</v>
      </c>
      <c r="F114">
        <v>5</v>
      </c>
      <c r="G114">
        <v>0</v>
      </c>
      <c r="H114">
        <f>6.8+2.4</f>
        <v>9.1999999999999993</v>
      </c>
      <c r="I114">
        <v>-10</v>
      </c>
      <c r="J114">
        <v>39</v>
      </c>
      <c r="K114" t="s">
        <v>110</v>
      </c>
      <c r="L114" s="1" t="s">
        <v>256</v>
      </c>
      <c r="M114">
        <v>30</v>
      </c>
      <c r="N114">
        <v>-5.4743999999999993</v>
      </c>
      <c r="O114">
        <v>3.9544000000000006</v>
      </c>
      <c r="P114">
        <v>44.68</v>
      </c>
      <c r="Q114">
        <v>-2.1199999999999997</v>
      </c>
      <c r="R114">
        <v>-7.2040000000000006</v>
      </c>
      <c r="S114">
        <v>-18.88</v>
      </c>
      <c r="T114">
        <v>-3.48</v>
      </c>
      <c r="U114">
        <v>17</v>
      </c>
      <c r="V114">
        <v>16</v>
      </c>
      <c r="W114">
        <v>3.3200000000000003</v>
      </c>
      <c r="X114">
        <v>21</v>
      </c>
      <c r="Y114">
        <v>17.75</v>
      </c>
      <c r="Z114">
        <v>19</v>
      </c>
      <c r="AA114">
        <v>-6.0274558058237095E-2</v>
      </c>
      <c r="AB114">
        <v>3</v>
      </c>
      <c r="AC114">
        <v>-1.3711419217016785E-2</v>
      </c>
      <c r="AD114">
        <v>29</v>
      </c>
      <c r="AE114">
        <v>2.5040000000000022</v>
      </c>
      <c r="AF114">
        <v>20</v>
      </c>
      <c r="AG114">
        <v>-1.7600000000000002</v>
      </c>
      <c r="AH114">
        <v>2.3599999999999994</v>
      </c>
      <c r="AI114">
        <v>1.4799999999999998</v>
      </c>
      <c r="AJ114">
        <v>-0.83999999999999986</v>
      </c>
      <c r="AK114">
        <v>23.8</v>
      </c>
      <c r="AL114">
        <v>-20.76</v>
      </c>
      <c r="AM114">
        <v>62.4</v>
      </c>
      <c r="AN114">
        <v>1.9600000000000002</v>
      </c>
      <c r="AO114">
        <v>-19.8</v>
      </c>
      <c r="AP114">
        <v>29</v>
      </c>
      <c r="AQ114">
        <v>-9.428799999999999</v>
      </c>
      <c r="AR114">
        <v>-4.5128800000000009</v>
      </c>
      <c r="AS114">
        <v>-83.16</v>
      </c>
      <c r="AT114">
        <v>9.428799999999999</v>
      </c>
      <c r="AU114">
        <v>-1.0805</v>
      </c>
      <c r="AV114">
        <v>-1.1088499999999994</v>
      </c>
      <c r="AW114">
        <v>-3.8912999999999993</v>
      </c>
      <c r="AX114" t="s">
        <v>306</v>
      </c>
      <c r="AY114">
        <v>22</v>
      </c>
      <c r="AZ114">
        <v>3.2028000000000021</v>
      </c>
      <c r="BA114">
        <v>4.3870000000000005</v>
      </c>
      <c r="BB114">
        <v>20.36</v>
      </c>
      <c r="BC114">
        <v>1.06</v>
      </c>
      <c r="BD114">
        <v>5.0790000000000024</v>
      </c>
      <c r="BE114">
        <v>-5.2500000000000018</v>
      </c>
      <c r="BF114">
        <v>-1.5999999999999994</v>
      </c>
      <c r="BG114">
        <v>12</v>
      </c>
      <c r="BH114">
        <v>12.5</v>
      </c>
      <c r="BI114">
        <v>2.0799999999999996</v>
      </c>
      <c r="BJ114">
        <v>3</v>
      </c>
      <c r="BK114">
        <v>8</v>
      </c>
      <c r="BL114">
        <v>13</v>
      </c>
      <c r="BM114">
        <v>-4.5873865450392098E-2</v>
      </c>
      <c r="BN114">
        <v>2</v>
      </c>
      <c r="BO114">
        <v>6.592115752241748E-3</v>
      </c>
      <c r="BP114">
        <v>9</v>
      </c>
      <c r="BQ114">
        <v>14.492000000000001</v>
      </c>
      <c r="BR114">
        <v>8</v>
      </c>
      <c r="BS114">
        <v>-3.12</v>
      </c>
      <c r="BT114">
        <v>3.1599999999999993</v>
      </c>
      <c r="BU114">
        <v>5.4799999999999995</v>
      </c>
      <c r="BV114">
        <v>0.28000000000000008</v>
      </c>
      <c r="BW114">
        <v>47.760000000000012</v>
      </c>
      <c r="BX114">
        <v>10.839999999999993</v>
      </c>
      <c r="BY114">
        <v>22.919999999999998</v>
      </c>
      <c r="BZ114">
        <v>2.6</v>
      </c>
      <c r="CA114">
        <v>11.4</v>
      </c>
      <c r="CB114">
        <v>17</v>
      </c>
      <c r="CC114">
        <v>-1.1841999999999988</v>
      </c>
      <c r="CD114">
        <v>-0.53713999999999951</v>
      </c>
      <c r="CE114">
        <v>-12.080000000000005</v>
      </c>
      <c r="CF114">
        <v>1.6736000000000006</v>
      </c>
    </row>
    <row r="115" spans="1:84" x14ac:dyDescent="0.2">
      <c r="A115" s="39">
        <v>43758</v>
      </c>
      <c r="B115" s="22" t="s">
        <v>250</v>
      </c>
      <c r="C115" s="41" t="s">
        <v>308</v>
      </c>
      <c r="D115" s="22" t="s">
        <v>305</v>
      </c>
      <c r="E115">
        <v>16.8</v>
      </c>
      <c r="F115">
        <v>8.3000000000000007</v>
      </c>
      <c r="G115" s="14">
        <v>9</v>
      </c>
      <c r="H115">
        <v>5</v>
      </c>
      <c r="I115">
        <v>-3</v>
      </c>
      <c r="J115">
        <v>49</v>
      </c>
      <c r="L115" s="1" t="s">
        <v>308</v>
      </c>
      <c r="M115">
        <v>1</v>
      </c>
      <c r="N115">
        <v>9.1784000000000017</v>
      </c>
      <c r="O115">
        <v>4.4720000000000013</v>
      </c>
      <c r="P115">
        <v>18.439999999999998</v>
      </c>
      <c r="Q115">
        <v>-8.0000000000000071E-2</v>
      </c>
      <c r="R115">
        <v>5.639999999999997</v>
      </c>
      <c r="S115">
        <v>26.240000000000006</v>
      </c>
      <c r="T115">
        <v>-0.79999999999999982</v>
      </c>
      <c r="U115">
        <v>8</v>
      </c>
      <c r="V115">
        <v>8.5</v>
      </c>
      <c r="W115">
        <v>1.7763568394002506E-16</v>
      </c>
      <c r="X115">
        <v>12</v>
      </c>
      <c r="Y115">
        <v>13.25</v>
      </c>
      <c r="Z115">
        <v>11</v>
      </c>
      <c r="AA115">
        <v>4.5164541201638937E-2</v>
      </c>
      <c r="AB115">
        <v>5</v>
      </c>
      <c r="AC115">
        <v>-6.6600238660584135E-3</v>
      </c>
      <c r="AD115">
        <v>21</v>
      </c>
      <c r="AE115">
        <v>13.412000000000001</v>
      </c>
      <c r="AF115">
        <v>16</v>
      </c>
      <c r="AG115">
        <v>-1.3199999999999998</v>
      </c>
      <c r="AH115">
        <v>4.4799999999999986</v>
      </c>
      <c r="AI115">
        <v>5</v>
      </c>
      <c r="AJ115">
        <v>0.83999999999999986</v>
      </c>
      <c r="AK115">
        <v>69.400000000000006</v>
      </c>
      <c r="AL115">
        <v>46.36</v>
      </c>
      <c r="AM115">
        <v>16.119999999999997</v>
      </c>
      <c r="AN115">
        <v>-3.3600000000000003</v>
      </c>
      <c r="AO115">
        <v>10.279999999999998</v>
      </c>
      <c r="AP115">
        <v>9</v>
      </c>
      <c r="AQ115">
        <v>4.7064000000000004</v>
      </c>
      <c r="AR115">
        <v>0.72767999999999899</v>
      </c>
      <c r="AS115">
        <v>30.240000000000002</v>
      </c>
      <c r="AT115">
        <v>-4.7064000000000004</v>
      </c>
      <c r="AU115">
        <v>2.1862999999999997</v>
      </c>
      <c r="AV115">
        <v>0.88869999999999993</v>
      </c>
      <c r="AW115">
        <v>0.32179999999999986</v>
      </c>
      <c r="AX115" t="s">
        <v>305</v>
      </c>
      <c r="AY115">
        <v>32</v>
      </c>
      <c r="AZ115">
        <v>1.0328000000000011</v>
      </c>
      <c r="BA115">
        <v>2.044</v>
      </c>
      <c r="BB115">
        <v>5.52</v>
      </c>
      <c r="BC115">
        <v>-1.6400000000000003</v>
      </c>
      <c r="BD115">
        <v>7.2479999999999993</v>
      </c>
      <c r="BE115">
        <v>51.8</v>
      </c>
      <c r="BF115">
        <v>2.84</v>
      </c>
      <c r="BG115">
        <v>23</v>
      </c>
      <c r="BH115">
        <v>22.5</v>
      </c>
      <c r="BI115">
        <v>0.48</v>
      </c>
      <c r="BJ115">
        <v>5</v>
      </c>
      <c r="BK115">
        <v>9.75</v>
      </c>
      <c r="BL115">
        <v>15</v>
      </c>
      <c r="BM115">
        <v>-3.2040697892536427E-2</v>
      </c>
      <c r="BN115">
        <v>8</v>
      </c>
      <c r="BO115">
        <v>-1.416932213802841E-2</v>
      </c>
      <c r="BP115">
        <v>15</v>
      </c>
      <c r="BQ115">
        <v>2.9960000000000009</v>
      </c>
      <c r="BR115">
        <v>1</v>
      </c>
      <c r="BS115">
        <v>-3.8</v>
      </c>
      <c r="BT115">
        <v>-2.3599999999999994</v>
      </c>
      <c r="BU115">
        <v>3.72</v>
      </c>
      <c r="BV115">
        <v>0.55999999999999983</v>
      </c>
      <c r="BW115">
        <v>40.439999999999984</v>
      </c>
      <c r="BX115">
        <v>42.120000000000012</v>
      </c>
      <c r="BY115">
        <v>5.599999999999997</v>
      </c>
      <c r="BZ115">
        <v>1.64</v>
      </c>
      <c r="CA115">
        <v>-8.92</v>
      </c>
      <c r="CB115">
        <v>16</v>
      </c>
      <c r="CC115">
        <v>-1.0111999999999988</v>
      </c>
      <c r="CD115">
        <v>0.63415999999999983</v>
      </c>
      <c r="CE115">
        <v>36.520000000000017</v>
      </c>
      <c r="CF115">
        <v>1.4556</v>
      </c>
    </row>
    <row r="116" spans="1:84" x14ac:dyDescent="0.2">
      <c r="A116" s="39">
        <v>43758</v>
      </c>
      <c r="B116" s="22" t="s">
        <v>250</v>
      </c>
      <c r="C116" s="41" t="s">
        <v>310</v>
      </c>
      <c r="D116" s="22" t="s">
        <v>287</v>
      </c>
      <c r="E116">
        <v>20</v>
      </c>
      <c r="F116">
        <v>12.2</v>
      </c>
      <c r="G116" s="14">
        <v>8</v>
      </c>
      <c r="H116">
        <f>9.4+3.7</f>
        <v>13.100000000000001</v>
      </c>
      <c r="I116">
        <v>-3</v>
      </c>
      <c r="J116">
        <v>42.5</v>
      </c>
      <c r="K116" t="s">
        <v>110</v>
      </c>
      <c r="L116" s="1" t="s">
        <v>310</v>
      </c>
      <c r="M116">
        <v>27</v>
      </c>
      <c r="N116">
        <v>-3.5124000000000009</v>
      </c>
      <c r="O116">
        <v>-5.22</v>
      </c>
      <c r="P116">
        <v>-14.44</v>
      </c>
      <c r="Q116">
        <v>-1.56</v>
      </c>
      <c r="R116">
        <v>-8.0879999999999974</v>
      </c>
      <c r="S116">
        <v>-19.279999999999998</v>
      </c>
      <c r="T116">
        <v>-3.4000000000000004</v>
      </c>
      <c r="U116">
        <v>29</v>
      </c>
      <c r="V116">
        <v>29</v>
      </c>
      <c r="W116">
        <v>-0.71999999999999975</v>
      </c>
      <c r="X116">
        <v>25</v>
      </c>
      <c r="Y116">
        <v>21</v>
      </c>
      <c r="Z116">
        <v>27</v>
      </c>
      <c r="AA116">
        <v>1.0523263298231578E-2</v>
      </c>
      <c r="AB116">
        <v>2</v>
      </c>
      <c r="AC116">
        <v>6.6251587999701808E-2</v>
      </c>
      <c r="AD116">
        <v>30</v>
      </c>
      <c r="AE116">
        <v>13.412000000000001</v>
      </c>
      <c r="AF116">
        <v>25</v>
      </c>
      <c r="AG116">
        <v>4.5599999999999996</v>
      </c>
      <c r="AH116">
        <v>-0.51999999999999891</v>
      </c>
      <c r="AI116">
        <v>-6.08</v>
      </c>
      <c r="AJ116">
        <v>-1.4</v>
      </c>
      <c r="AK116">
        <v>-43.44</v>
      </c>
      <c r="AL116">
        <v>-29.840000000000003</v>
      </c>
      <c r="AM116">
        <v>-16.04</v>
      </c>
      <c r="AN116">
        <v>-8.08</v>
      </c>
      <c r="AO116">
        <v>10.52</v>
      </c>
      <c r="AP116">
        <v>16</v>
      </c>
      <c r="AQ116">
        <v>1.7075999999999989</v>
      </c>
      <c r="AR116">
        <v>0.28991999999999996</v>
      </c>
      <c r="AS116">
        <v>-13.800000000000004</v>
      </c>
      <c r="AT116">
        <v>-1.7075999999999989</v>
      </c>
      <c r="AU116">
        <v>-2.6075499999999998</v>
      </c>
      <c r="AV116">
        <v>-1.5318000000000001</v>
      </c>
      <c r="AW116">
        <v>-1.8164500000000001</v>
      </c>
      <c r="AX116" t="s">
        <v>287</v>
      </c>
      <c r="AY116">
        <v>26</v>
      </c>
      <c r="AZ116">
        <v>-1.6852000000000005</v>
      </c>
      <c r="BA116">
        <v>2.48</v>
      </c>
      <c r="BB116">
        <v>1.9600000000000015</v>
      </c>
      <c r="BC116">
        <v>-1.6199999999999999</v>
      </c>
      <c r="BD116">
        <v>-8.6519999999999992</v>
      </c>
      <c r="BE116">
        <v>-39.160000000000004</v>
      </c>
      <c r="BF116">
        <v>-6.68</v>
      </c>
      <c r="BG116">
        <v>3</v>
      </c>
      <c r="BH116">
        <v>3.5</v>
      </c>
      <c r="BI116">
        <v>1.3199999999999998</v>
      </c>
      <c r="BJ116">
        <v>25</v>
      </c>
      <c r="BK116">
        <v>21.5</v>
      </c>
      <c r="BL116">
        <v>20</v>
      </c>
      <c r="BM116">
        <v>-1.130369735889869E-2</v>
      </c>
      <c r="BN116">
        <v>25</v>
      </c>
      <c r="BO116">
        <v>3.6198980148152622E-3</v>
      </c>
      <c r="BP116">
        <v>18</v>
      </c>
      <c r="BQ116">
        <v>7.0999999999999988</v>
      </c>
      <c r="BR116">
        <v>23</v>
      </c>
      <c r="BS116">
        <v>0.12000000000000029</v>
      </c>
      <c r="BT116">
        <v>-7.24</v>
      </c>
      <c r="BU116">
        <v>-2.52</v>
      </c>
      <c r="BV116">
        <v>0.55999999999999983</v>
      </c>
      <c r="BW116">
        <v>-17.280000000000008</v>
      </c>
      <c r="BX116">
        <v>-18.959999999999997</v>
      </c>
      <c r="BY116">
        <v>2.7199999999999989</v>
      </c>
      <c r="BZ116">
        <v>0.12000000000000002</v>
      </c>
      <c r="CA116">
        <v>-1.1600000000000001</v>
      </c>
      <c r="CB116">
        <v>26</v>
      </c>
      <c r="CC116">
        <v>-4.1652000000000005</v>
      </c>
      <c r="CD116">
        <v>-3.3074399999999997</v>
      </c>
      <c r="CE116">
        <v>-21.679999999999996</v>
      </c>
      <c r="CF116">
        <v>-1.24715</v>
      </c>
    </row>
    <row r="117" spans="1:84" x14ac:dyDescent="0.2">
      <c r="A117" s="39">
        <v>43758</v>
      </c>
      <c r="B117" s="22" t="s">
        <v>250</v>
      </c>
      <c r="C117" s="41" t="s">
        <v>306</v>
      </c>
      <c r="D117" s="22" t="s">
        <v>256</v>
      </c>
      <c r="E117">
        <v>2.1</v>
      </c>
      <c r="F117" s="14">
        <v>5</v>
      </c>
      <c r="G117">
        <v>0</v>
      </c>
      <c r="H117">
        <v>3.3</v>
      </c>
      <c r="I117">
        <v>10</v>
      </c>
      <c r="J117">
        <v>39</v>
      </c>
      <c r="K117" t="s">
        <v>110</v>
      </c>
      <c r="L117" s="1" t="s">
        <v>306</v>
      </c>
      <c r="M117">
        <v>29</v>
      </c>
      <c r="N117">
        <v>-3.8960000000000017</v>
      </c>
      <c r="O117">
        <v>-6.847999999999999</v>
      </c>
      <c r="P117">
        <v>-29.869999999999997</v>
      </c>
      <c r="Q117">
        <v>0.20000000000000018</v>
      </c>
      <c r="R117">
        <v>-4.93</v>
      </c>
      <c r="S117">
        <v>-47.649999999999991</v>
      </c>
      <c r="T117">
        <v>-1.2799999999999998</v>
      </c>
      <c r="U117">
        <v>1</v>
      </c>
      <c r="V117">
        <v>1</v>
      </c>
      <c r="W117">
        <v>-3.12</v>
      </c>
      <c r="X117">
        <v>1</v>
      </c>
      <c r="Y117">
        <v>5.25</v>
      </c>
      <c r="Z117">
        <v>9</v>
      </c>
      <c r="AA117">
        <v>-1.6315124484010114E-2</v>
      </c>
      <c r="AB117">
        <v>1</v>
      </c>
      <c r="AC117">
        <v>-7.2815427529590582E-4</v>
      </c>
      <c r="AD117">
        <v>2</v>
      </c>
      <c r="AE117">
        <v>-17.815999999999999</v>
      </c>
      <c r="AF117">
        <v>9</v>
      </c>
      <c r="AG117">
        <v>2.04</v>
      </c>
      <c r="AH117">
        <v>-6.2800000000000011</v>
      </c>
      <c r="AI117">
        <v>-5.5600000000000005</v>
      </c>
      <c r="AJ117">
        <v>-2.4000000000000004</v>
      </c>
      <c r="AK117">
        <v>-61.639999999999986</v>
      </c>
      <c r="AL117">
        <v>-45.279999999999994</v>
      </c>
      <c r="AM117">
        <v>-28.6</v>
      </c>
      <c r="AN117">
        <v>11.8</v>
      </c>
      <c r="AO117">
        <v>0.43999999999999984</v>
      </c>
      <c r="AP117">
        <v>14</v>
      </c>
      <c r="AQ117">
        <v>2.9519999999999973</v>
      </c>
      <c r="AR117">
        <v>1.6587999999999994</v>
      </c>
      <c r="AS117">
        <v>-16.679999999999993</v>
      </c>
      <c r="AT117">
        <v>-2.9519999999999973</v>
      </c>
      <c r="AU117">
        <v>-2.4242500000000002</v>
      </c>
      <c r="AV117">
        <v>-1.1088499999999994</v>
      </c>
      <c r="AW117">
        <v>1.6736000000000006</v>
      </c>
      <c r="AX117" t="s">
        <v>256</v>
      </c>
      <c r="AY117">
        <v>22</v>
      </c>
      <c r="AZ117">
        <v>-6.082399999999998</v>
      </c>
      <c r="BA117">
        <v>-10.652000000000001</v>
      </c>
      <c r="BB117">
        <v>-3.5200000000000014</v>
      </c>
      <c r="BC117">
        <v>-3</v>
      </c>
      <c r="BD117">
        <v>-10.756</v>
      </c>
      <c r="BE117">
        <v>-59</v>
      </c>
      <c r="BF117">
        <v>-6</v>
      </c>
      <c r="BG117">
        <v>18</v>
      </c>
      <c r="BH117">
        <v>20</v>
      </c>
      <c r="BI117">
        <v>-1.7600000000000002</v>
      </c>
      <c r="BJ117">
        <v>13</v>
      </c>
      <c r="BK117">
        <v>14.75</v>
      </c>
      <c r="BL117">
        <v>23</v>
      </c>
      <c r="BM117">
        <v>3.8049031715844131E-2</v>
      </c>
      <c r="BN117">
        <v>8</v>
      </c>
      <c r="BO117">
        <v>6.7230988659737118E-2</v>
      </c>
      <c r="BP117">
        <v>24</v>
      </c>
      <c r="BQ117">
        <v>-2.2919999999999989</v>
      </c>
      <c r="BR117">
        <v>4</v>
      </c>
      <c r="BS117">
        <v>3.3200000000000003</v>
      </c>
      <c r="BT117">
        <v>-7.919999999999999</v>
      </c>
      <c r="BU117">
        <v>-9.36</v>
      </c>
      <c r="BV117">
        <v>-0.83999999999999986</v>
      </c>
      <c r="BW117">
        <v>-92.960000000000008</v>
      </c>
      <c r="BX117">
        <v>-87.359999999999985</v>
      </c>
      <c r="BY117">
        <v>-5.4400000000000022</v>
      </c>
      <c r="BZ117">
        <v>2.92</v>
      </c>
      <c r="CA117">
        <v>-3.0799999999999996</v>
      </c>
      <c r="CB117">
        <v>5</v>
      </c>
      <c r="CC117">
        <v>4.5696000000000021</v>
      </c>
      <c r="CD117">
        <v>1.9583200000000014</v>
      </c>
      <c r="CE117">
        <v>-81.919999999999987</v>
      </c>
      <c r="CF117">
        <v>-3.8912999999999993</v>
      </c>
    </row>
    <row r="118" spans="1:84" x14ac:dyDescent="0.2">
      <c r="A118" s="39">
        <v>43765</v>
      </c>
      <c r="B118" s="22" t="s">
        <v>248</v>
      </c>
      <c r="C118" s="41" t="s">
        <v>285</v>
      </c>
      <c r="D118" s="22" t="s">
        <v>307</v>
      </c>
      <c r="E118">
        <v>2.8</v>
      </c>
      <c r="F118">
        <v>17.8</v>
      </c>
      <c r="G118">
        <v>3.8</v>
      </c>
      <c r="H118">
        <f>11.8+1.9</f>
        <v>13.700000000000001</v>
      </c>
      <c r="I118">
        <v>12.5</v>
      </c>
      <c r="J118">
        <v>47.5</v>
      </c>
      <c r="K118" t="s">
        <v>110</v>
      </c>
      <c r="L118" s="1" t="s">
        <v>285</v>
      </c>
      <c r="M118">
        <v>24</v>
      </c>
      <c r="N118">
        <v>-2.0072000000000001</v>
      </c>
      <c r="O118">
        <v>6.1984000000000012</v>
      </c>
      <c r="P118">
        <v>1.0799999999999983</v>
      </c>
      <c r="Q118">
        <v>2.4</v>
      </c>
      <c r="R118">
        <v>-14.768000000000004</v>
      </c>
      <c r="S118">
        <v>-70.12</v>
      </c>
      <c r="T118">
        <v>-4.4800000000000004</v>
      </c>
      <c r="U118">
        <v>21</v>
      </c>
      <c r="V118">
        <v>20</v>
      </c>
      <c r="W118">
        <v>-5.6</v>
      </c>
      <c r="X118">
        <v>9</v>
      </c>
      <c r="Y118">
        <v>12.25</v>
      </c>
      <c r="Z118">
        <v>20</v>
      </c>
      <c r="AA118">
        <v>-7.4316522167837268E-2</v>
      </c>
      <c r="AB118">
        <v>7</v>
      </c>
      <c r="AC118">
        <v>1.3543228841740432E-2</v>
      </c>
      <c r="AD118">
        <v>4</v>
      </c>
      <c r="AE118">
        <v>-4.3639999999999972</v>
      </c>
      <c r="AF118">
        <v>18</v>
      </c>
      <c r="AG118">
        <v>1.0399999999999998</v>
      </c>
      <c r="AH118">
        <v>-7.999999999999971E-2</v>
      </c>
      <c r="AI118">
        <v>-1.4800000000000004</v>
      </c>
      <c r="AJ118">
        <v>-2.6</v>
      </c>
      <c r="AK118">
        <v>-29.839999999999996</v>
      </c>
      <c r="AL118">
        <v>-39.47999999999999</v>
      </c>
      <c r="AM118">
        <v>-6.1199999999999992</v>
      </c>
      <c r="AN118">
        <v>-1.08</v>
      </c>
      <c r="AO118">
        <v>16.839999999999996</v>
      </c>
      <c r="AP118">
        <v>29</v>
      </c>
      <c r="AQ118">
        <v>-8.2056000000000004</v>
      </c>
      <c r="AR118">
        <v>-6.4542400000000022</v>
      </c>
      <c r="AS118">
        <v>-33.359999999999992</v>
      </c>
      <c r="AT118">
        <v>8.2056000000000004</v>
      </c>
      <c r="AU118">
        <v>-1.3121000000000003</v>
      </c>
      <c r="AV118">
        <v>-0.52557500000000024</v>
      </c>
      <c r="AW118">
        <v>1.7174999999999996</v>
      </c>
      <c r="AX118" t="s">
        <v>307</v>
      </c>
      <c r="AY118">
        <v>18</v>
      </c>
      <c r="AZ118">
        <v>-1.8911999999999991</v>
      </c>
      <c r="BA118">
        <v>-6.6240000000000006</v>
      </c>
      <c r="BB118">
        <v>-47.800000000000004</v>
      </c>
      <c r="BC118">
        <v>1.2799999999999998</v>
      </c>
      <c r="BD118">
        <v>-9.7940000000000005</v>
      </c>
      <c r="BE118">
        <v>-40.609999999999992</v>
      </c>
      <c r="BF118">
        <v>-0.16999999999999998</v>
      </c>
      <c r="BG118">
        <v>8</v>
      </c>
      <c r="BH118">
        <v>8.5</v>
      </c>
      <c r="BI118">
        <v>-2.6399999999999997</v>
      </c>
      <c r="BJ118">
        <v>17</v>
      </c>
      <c r="BK118">
        <v>16</v>
      </c>
      <c r="BL118">
        <v>6</v>
      </c>
      <c r="BM118">
        <v>-2.7088656435992464E-2</v>
      </c>
      <c r="BN118">
        <v>18</v>
      </c>
      <c r="BO118">
        <v>-5.3621641691418273E-3</v>
      </c>
      <c r="BP118">
        <v>21</v>
      </c>
      <c r="BQ118">
        <v>-11.687999999999999</v>
      </c>
      <c r="BR118">
        <v>19</v>
      </c>
      <c r="BS118">
        <v>3</v>
      </c>
      <c r="BT118">
        <v>-6.5200000000000014</v>
      </c>
      <c r="BU118">
        <v>-6.8</v>
      </c>
      <c r="BV118">
        <v>8.8817841970012528E-17</v>
      </c>
      <c r="BW118">
        <v>-82.47999999999999</v>
      </c>
      <c r="BX118">
        <v>-28.4</v>
      </c>
      <c r="BY118">
        <v>-49.64</v>
      </c>
      <c r="BZ118">
        <v>-1.72</v>
      </c>
      <c r="CA118">
        <v>-2.72</v>
      </c>
      <c r="CB118">
        <v>7</v>
      </c>
      <c r="CC118">
        <v>4.732800000000001</v>
      </c>
      <c r="CD118">
        <v>0.97495999999999983</v>
      </c>
      <c r="CE118">
        <v>21.240000000000002</v>
      </c>
      <c r="CF118">
        <v>-2.7686500000000001</v>
      </c>
    </row>
    <row r="119" spans="1:84" x14ac:dyDescent="0.2">
      <c r="A119" s="39">
        <v>43765</v>
      </c>
      <c r="B119" s="22" t="s">
        <v>248</v>
      </c>
      <c r="C119" s="41" t="s">
        <v>295</v>
      </c>
      <c r="D119" s="22" t="s">
        <v>308</v>
      </c>
      <c r="E119">
        <v>28.2</v>
      </c>
      <c r="F119">
        <v>13</v>
      </c>
      <c r="G119">
        <v>12.8</v>
      </c>
      <c r="H119">
        <f>18.5+2.8+2.1</f>
        <v>23.400000000000002</v>
      </c>
      <c r="I119">
        <v>7.5</v>
      </c>
      <c r="J119">
        <v>48.5</v>
      </c>
      <c r="L119" s="1" t="s">
        <v>295</v>
      </c>
      <c r="M119">
        <v>4</v>
      </c>
      <c r="N119">
        <v>5.3911999999999987</v>
      </c>
      <c r="O119">
        <v>0.31600000000000006</v>
      </c>
      <c r="P119">
        <v>-18.639999999999997</v>
      </c>
      <c r="Q119">
        <v>1.1599999999999997</v>
      </c>
      <c r="R119">
        <v>10.548000000000002</v>
      </c>
      <c r="S119">
        <v>47.400000000000006</v>
      </c>
      <c r="T119">
        <v>4.6000000000000005</v>
      </c>
      <c r="U119">
        <v>4</v>
      </c>
      <c r="V119">
        <v>7</v>
      </c>
      <c r="W119">
        <v>-8.32</v>
      </c>
      <c r="X119">
        <v>14</v>
      </c>
      <c r="Y119">
        <v>14</v>
      </c>
      <c r="Z119">
        <v>7</v>
      </c>
      <c r="AA119">
        <v>-8.5804001127136147E-3</v>
      </c>
      <c r="AB119">
        <v>9</v>
      </c>
      <c r="AC119">
        <v>1.7474280135047371E-3</v>
      </c>
      <c r="AD119">
        <v>26</v>
      </c>
      <c r="AE119">
        <v>6.8479999999999936</v>
      </c>
      <c r="AF119">
        <v>14</v>
      </c>
      <c r="AG119">
        <v>2.5199999999999996</v>
      </c>
      <c r="AH119">
        <v>0.11999999999999886</v>
      </c>
      <c r="AI119">
        <v>-3.9999999999999855E-2</v>
      </c>
      <c r="AJ119">
        <v>-1.2</v>
      </c>
      <c r="AK119">
        <v>26.719999999999992</v>
      </c>
      <c r="AL119">
        <v>51.88000000000001</v>
      </c>
      <c r="AM119">
        <v>-19.440000000000001</v>
      </c>
      <c r="AN119">
        <v>-3.6799999999999997</v>
      </c>
      <c r="AO119">
        <v>-2.04</v>
      </c>
      <c r="AP119">
        <v>11</v>
      </c>
      <c r="AQ119">
        <v>5.0751999999999988</v>
      </c>
      <c r="AR119">
        <v>3.0298400000000005</v>
      </c>
      <c r="AS119">
        <v>71.320000000000007</v>
      </c>
      <c r="AT119">
        <v>-5.0751999999999988</v>
      </c>
      <c r="AU119">
        <v>1.8419000000000003</v>
      </c>
      <c r="AV119">
        <v>1.2281333333333331</v>
      </c>
      <c r="AW119">
        <v>3.3884999999999996</v>
      </c>
      <c r="AX119" t="s">
        <v>308</v>
      </c>
      <c r="AY119">
        <v>17</v>
      </c>
      <c r="AZ119">
        <v>1.8975999999999993</v>
      </c>
      <c r="BA119">
        <v>1.3511999999999995</v>
      </c>
      <c r="BB119">
        <v>-2.8800000000000017</v>
      </c>
      <c r="BC119">
        <v>0.40000000000000036</v>
      </c>
      <c r="BD119">
        <v>-8.2266666666666648</v>
      </c>
      <c r="BE119">
        <v>-38.186666666666667</v>
      </c>
      <c r="BF119">
        <v>-4.1866666666666656</v>
      </c>
      <c r="BG119">
        <v>12</v>
      </c>
      <c r="BH119">
        <v>12.5</v>
      </c>
      <c r="BI119">
        <v>0.75999999999999956</v>
      </c>
      <c r="BJ119">
        <v>21</v>
      </c>
      <c r="BK119">
        <v>17.25</v>
      </c>
      <c r="BL119">
        <v>30</v>
      </c>
      <c r="BM119">
        <v>-1.1683812333023791E-2</v>
      </c>
      <c r="BN119">
        <v>28</v>
      </c>
      <c r="BO119">
        <v>-2.6442298816694975E-2</v>
      </c>
      <c r="BP119">
        <v>4</v>
      </c>
      <c r="BQ119">
        <v>7.5879999999999992</v>
      </c>
      <c r="BR119">
        <v>7</v>
      </c>
      <c r="BS119">
        <v>-1.1600000000000001</v>
      </c>
      <c r="BT119">
        <v>-5.8400000000000007</v>
      </c>
      <c r="BU119">
        <v>-1.0400000000000005</v>
      </c>
      <c r="BV119">
        <v>3.5599999999999996</v>
      </c>
      <c r="BW119">
        <v>-2.6399999999999979</v>
      </c>
      <c r="BX119">
        <v>-14.159999999999997</v>
      </c>
      <c r="BY119">
        <v>-5.1599999999999993</v>
      </c>
      <c r="BZ119">
        <v>2.8000000000000003</v>
      </c>
      <c r="CA119">
        <v>13.88</v>
      </c>
      <c r="CB119">
        <v>14</v>
      </c>
      <c r="CC119">
        <v>0.54639999999999977</v>
      </c>
      <c r="CD119">
        <v>-1.9414133333333332</v>
      </c>
      <c r="CE119">
        <v>-8.9999999999999964</v>
      </c>
      <c r="CF119">
        <v>-0.93223333333333325</v>
      </c>
    </row>
    <row r="120" spans="1:84" x14ac:dyDescent="0.2">
      <c r="A120" s="39">
        <v>43765</v>
      </c>
      <c r="B120" s="22" t="s">
        <v>248</v>
      </c>
      <c r="C120" s="41" t="s">
        <v>276</v>
      </c>
      <c r="D120" s="22" t="s">
        <v>294</v>
      </c>
      <c r="E120">
        <v>10.4</v>
      </c>
      <c r="F120">
        <v>13.1</v>
      </c>
      <c r="G120" s="14">
        <v>1.6</v>
      </c>
      <c r="H120">
        <v>6.8</v>
      </c>
      <c r="I120">
        <v>-1</v>
      </c>
      <c r="J120">
        <v>39.5</v>
      </c>
      <c r="L120" s="1" t="s">
        <v>276</v>
      </c>
      <c r="M120">
        <v>12</v>
      </c>
      <c r="N120">
        <v>1.3784000000000003</v>
      </c>
      <c r="O120">
        <v>-4.8976000000000015</v>
      </c>
      <c r="P120">
        <v>-1.7599999999999998</v>
      </c>
      <c r="Q120">
        <v>-1.7400000000000002</v>
      </c>
      <c r="R120">
        <v>0.53999999999999859</v>
      </c>
      <c r="S120">
        <v>-3.3200000000000034</v>
      </c>
      <c r="T120">
        <v>1.4399999999999995</v>
      </c>
      <c r="U120">
        <v>25</v>
      </c>
      <c r="V120">
        <v>23</v>
      </c>
      <c r="W120">
        <v>-1.6</v>
      </c>
      <c r="X120">
        <v>24</v>
      </c>
      <c r="Y120">
        <v>20.75</v>
      </c>
      <c r="Z120">
        <v>25</v>
      </c>
      <c r="AA120">
        <v>3.2698210048881758E-2</v>
      </c>
      <c r="AB120">
        <v>25</v>
      </c>
      <c r="AC120">
        <v>1.7211139478321501E-2</v>
      </c>
      <c r="AD120">
        <v>5</v>
      </c>
      <c r="AE120">
        <v>-6.4680000000000035</v>
      </c>
      <c r="AF120">
        <v>28</v>
      </c>
      <c r="AG120">
        <v>2</v>
      </c>
      <c r="AH120">
        <v>0.72000000000000031</v>
      </c>
      <c r="AI120">
        <v>-2.72</v>
      </c>
      <c r="AJ120">
        <v>-0.28000000000000014</v>
      </c>
      <c r="AK120">
        <v>-7.7600000000000078</v>
      </c>
      <c r="AL120">
        <v>-8.6400000000000041</v>
      </c>
      <c r="AM120">
        <v>-7.6</v>
      </c>
      <c r="AN120">
        <v>-3.9599999999999995</v>
      </c>
      <c r="AO120">
        <v>12.440000000000001</v>
      </c>
      <c r="AP120">
        <v>6</v>
      </c>
      <c r="AQ120">
        <v>6.2760000000000016</v>
      </c>
      <c r="AR120">
        <v>2.8324800000000008</v>
      </c>
      <c r="AS120">
        <v>-1.0400000000000045</v>
      </c>
      <c r="AT120">
        <v>-6.2760000000000016</v>
      </c>
      <c r="AU120">
        <v>-0.65240000000000031</v>
      </c>
      <c r="AV120">
        <v>-0.72533749999999997</v>
      </c>
      <c r="AW120">
        <v>-1.263225</v>
      </c>
      <c r="AX120" t="s">
        <v>294</v>
      </c>
      <c r="AY120">
        <v>30</v>
      </c>
      <c r="AZ120">
        <v>0.31440000000000057</v>
      </c>
      <c r="BA120">
        <v>-4.6559999999999997</v>
      </c>
      <c r="BB120">
        <v>-26.96</v>
      </c>
      <c r="BC120">
        <v>-0.28000000000000014</v>
      </c>
      <c r="BD120">
        <v>2.8820000000000001</v>
      </c>
      <c r="BE120">
        <v>1.3999999999999977</v>
      </c>
      <c r="BF120">
        <v>1.6600000000000001</v>
      </c>
      <c r="BG120">
        <v>31</v>
      </c>
      <c r="BH120">
        <v>28.5</v>
      </c>
      <c r="BI120">
        <v>1.56</v>
      </c>
      <c r="BJ120">
        <v>4</v>
      </c>
      <c r="BK120">
        <v>8.75</v>
      </c>
      <c r="BL120">
        <v>3</v>
      </c>
      <c r="BM120">
        <v>2.4086606927198578E-2</v>
      </c>
      <c r="BN120">
        <v>4</v>
      </c>
      <c r="BO120">
        <v>1.3522178879530519E-2</v>
      </c>
      <c r="BP120">
        <v>14</v>
      </c>
      <c r="BQ120">
        <v>-1.8960000000000008</v>
      </c>
      <c r="BR120">
        <v>14</v>
      </c>
      <c r="BS120">
        <v>1.9600000000000002</v>
      </c>
      <c r="BT120">
        <v>2.4</v>
      </c>
      <c r="BU120">
        <v>1.8399999999999999</v>
      </c>
      <c r="BV120">
        <v>0.20000000000000009</v>
      </c>
      <c r="BW120">
        <v>-8.4799999999999951</v>
      </c>
      <c r="BX120">
        <v>-7.7600000000000025</v>
      </c>
      <c r="BY120">
        <v>-17.520000000000003</v>
      </c>
      <c r="BZ120">
        <v>8.6399999999999988</v>
      </c>
      <c r="CA120">
        <v>8.16</v>
      </c>
      <c r="CB120">
        <v>6</v>
      </c>
      <c r="CC120">
        <v>4.9703999999999997</v>
      </c>
      <c r="CD120">
        <v>2.9672799999999997</v>
      </c>
      <c r="CE120">
        <v>9.7600000000000016</v>
      </c>
      <c r="CF120">
        <v>-0.18744999999999978</v>
      </c>
    </row>
    <row r="121" spans="1:84" x14ac:dyDescent="0.2">
      <c r="A121" s="39">
        <v>43765</v>
      </c>
      <c r="B121" s="22" t="s">
        <v>248</v>
      </c>
      <c r="C121" s="41" t="s">
        <v>301</v>
      </c>
      <c r="D121" s="22" t="s">
        <v>256</v>
      </c>
      <c r="E121">
        <v>8.8000000000000007</v>
      </c>
      <c r="F121">
        <v>8.6</v>
      </c>
      <c r="G121">
        <v>3.2</v>
      </c>
      <c r="H121">
        <v>3.3</v>
      </c>
      <c r="I121">
        <v>4.5</v>
      </c>
      <c r="J121">
        <v>41</v>
      </c>
      <c r="K121" t="s">
        <v>110</v>
      </c>
      <c r="L121" s="1" t="s">
        <v>301</v>
      </c>
      <c r="M121">
        <v>31</v>
      </c>
      <c r="N121">
        <v>-6.2904000000000009</v>
      </c>
      <c r="O121">
        <v>16.175199999999997</v>
      </c>
      <c r="P121">
        <v>54</v>
      </c>
      <c r="Q121">
        <v>1.8799999999999997</v>
      </c>
      <c r="R121">
        <v>-10.679999999999996</v>
      </c>
      <c r="S121">
        <v>-48.519999999999996</v>
      </c>
      <c r="T121">
        <v>-3.1999999999999997</v>
      </c>
      <c r="U121">
        <v>32</v>
      </c>
      <c r="V121">
        <v>31.5</v>
      </c>
      <c r="W121">
        <v>5.6</v>
      </c>
      <c r="X121">
        <v>4</v>
      </c>
      <c r="Y121">
        <v>8.5</v>
      </c>
      <c r="Z121">
        <v>4</v>
      </c>
      <c r="AA121">
        <v>-6.906813746816319E-2</v>
      </c>
      <c r="AB121">
        <v>6</v>
      </c>
      <c r="AC121">
        <v>8.1739073201759476E-3</v>
      </c>
      <c r="AD121">
        <v>17</v>
      </c>
      <c r="AE121">
        <v>-5.1200000000000045</v>
      </c>
      <c r="AF121">
        <v>7</v>
      </c>
      <c r="AG121">
        <v>-1.64</v>
      </c>
      <c r="AH121">
        <v>1.2799999999999998</v>
      </c>
      <c r="AI121">
        <v>3.8</v>
      </c>
      <c r="AJ121">
        <v>0.51999999999999991</v>
      </c>
      <c r="AK121">
        <v>11.599999999999989</v>
      </c>
      <c r="AL121">
        <v>-40.880000000000003</v>
      </c>
      <c r="AM121">
        <v>54.760000000000005</v>
      </c>
      <c r="AN121">
        <v>5.5200000000000005</v>
      </c>
      <c r="AO121">
        <v>-7.8</v>
      </c>
      <c r="AP121">
        <v>32</v>
      </c>
      <c r="AQ121">
        <v>-22.465599999999998</v>
      </c>
      <c r="AR121">
        <v>-11.481679999999997</v>
      </c>
      <c r="AS121">
        <v>-95.640000000000015</v>
      </c>
      <c r="AT121">
        <v>22.465599999999998</v>
      </c>
      <c r="AU121">
        <v>0.10559999999999994</v>
      </c>
      <c r="AV121">
        <v>-2.4981000000000004</v>
      </c>
      <c r="AW121">
        <v>5.5999999999997441E-3</v>
      </c>
      <c r="AX121" t="s">
        <v>256</v>
      </c>
      <c r="AY121">
        <v>22</v>
      </c>
      <c r="AZ121">
        <v>-8.7744</v>
      </c>
      <c r="BA121">
        <v>-10.072000000000001</v>
      </c>
      <c r="BB121">
        <v>-8.0800000000000018</v>
      </c>
      <c r="BC121">
        <v>-2.6400000000000006</v>
      </c>
      <c r="BD121">
        <v>-16.808</v>
      </c>
      <c r="BE121">
        <v>-79.320000000000007</v>
      </c>
      <c r="BF121">
        <v>-5.4399999999999995</v>
      </c>
      <c r="BG121">
        <v>18</v>
      </c>
      <c r="BH121">
        <v>20</v>
      </c>
      <c r="BI121">
        <v>-3.4400000000000004</v>
      </c>
      <c r="BJ121">
        <v>13</v>
      </c>
      <c r="BK121">
        <v>14.75</v>
      </c>
      <c r="BL121">
        <v>23</v>
      </c>
      <c r="BM121">
        <v>4.298446470207784E-2</v>
      </c>
      <c r="BN121">
        <v>8</v>
      </c>
      <c r="BO121">
        <v>7.2737452654640475E-2</v>
      </c>
      <c r="BP121">
        <v>24</v>
      </c>
      <c r="BQ121">
        <v>-11.84</v>
      </c>
      <c r="BR121">
        <v>4</v>
      </c>
      <c r="BS121">
        <v>4.92</v>
      </c>
      <c r="BT121">
        <v>-9.2000000000000011</v>
      </c>
      <c r="BU121">
        <v>-11.84</v>
      </c>
      <c r="BV121">
        <v>-0.79999999999999993</v>
      </c>
      <c r="BW121">
        <v>-112.07999999999997</v>
      </c>
      <c r="BX121">
        <v>-102.16</v>
      </c>
      <c r="BY121">
        <v>-8.5599999999999969</v>
      </c>
      <c r="BZ121">
        <v>2.3200000000000003</v>
      </c>
      <c r="CA121">
        <v>-3.6799999999999997</v>
      </c>
      <c r="CB121">
        <v>13</v>
      </c>
      <c r="CC121">
        <v>1.297600000000001</v>
      </c>
      <c r="CD121">
        <v>-8.0479999999999663E-2</v>
      </c>
      <c r="CE121">
        <v>-93.6</v>
      </c>
      <c r="CF121">
        <v>-5.0018000000000002</v>
      </c>
    </row>
    <row r="122" spans="1:84" x14ac:dyDescent="0.2">
      <c r="A122" s="39">
        <v>43765</v>
      </c>
      <c r="B122" s="22" t="s">
        <v>248</v>
      </c>
      <c r="C122" s="41" t="s">
        <v>265</v>
      </c>
      <c r="D122" s="22" t="s">
        <v>287</v>
      </c>
      <c r="E122">
        <v>11.2</v>
      </c>
      <c r="F122" s="14">
        <v>9.6999999999999993</v>
      </c>
      <c r="G122">
        <v>9.3000000000000007</v>
      </c>
      <c r="H122">
        <v>2.6</v>
      </c>
      <c r="I122">
        <v>-3.5</v>
      </c>
      <c r="J122">
        <v>41</v>
      </c>
      <c r="K122" t="s">
        <v>110</v>
      </c>
      <c r="L122" s="1" t="s">
        <v>265</v>
      </c>
      <c r="M122">
        <v>28</v>
      </c>
      <c r="N122">
        <v>-3.8032000000000004</v>
      </c>
      <c r="O122">
        <v>0.17599999999999993</v>
      </c>
      <c r="P122">
        <v>-10.119999999999997</v>
      </c>
      <c r="Q122">
        <v>2.6</v>
      </c>
      <c r="R122">
        <v>-1.352000000000003</v>
      </c>
      <c r="S122">
        <v>-5.240000000000002</v>
      </c>
      <c r="T122">
        <v>0.12000000000000011</v>
      </c>
      <c r="U122">
        <v>30</v>
      </c>
      <c r="V122">
        <v>29.5</v>
      </c>
      <c r="W122">
        <v>3.3600000000000003</v>
      </c>
      <c r="X122">
        <v>18</v>
      </c>
      <c r="Y122">
        <v>15.5</v>
      </c>
      <c r="Z122">
        <v>20</v>
      </c>
      <c r="AA122">
        <v>1.2843867948444387E-4</v>
      </c>
      <c r="AB122">
        <v>11</v>
      </c>
      <c r="AC122">
        <v>1.0378652468172423E-2</v>
      </c>
      <c r="AD122">
        <v>20</v>
      </c>
      <c r="AE122">
        <v>-2.8639999999999985</v>
      </c>
      <c r="AF122">
        <v>11</v>
      </c>
      <c r="AG122">
        <v>-0.20000000000000018</v>
      </c>
      <c r="AH122">
        <v>1.8</v>
      </c>
      <c r="AI122">
        <v>-1.7600000000000002</v>
      </c>
      <c r="AJ122">
        <v>1.6799999999999997</v>
      </c>
      <c r="AK122">
        <v>-34.319999999999993</v>
      </c>
      <c r="AL122">
        <v>-16.080000000000013</v>
      </c>
      <c r="AM122">
        <v>-13.879999999999999</v>
      </c>
      <c r="AN122">
        <v>3.84</v>
      </c>
      <c r="AO122">
        <v>-8.1999999999999993</v>
      </c>
      <c r="AP122">
        <v>26</v>
      </c>
      <c r="AQ122">
        <v>-3.9792000000000001</v>
      </c>
      <c r="AR122">
        <v>-1.1190400000000005</v>
      </c>
      <c r="AS122">
        <v>-2.2000000000000135</v>
      </c>
      <c r="AT122">
        <v>3.9792000000000005</v>
      </c>
      <c r="AU122">
        <v>-0.54240000000000044</v>
      </c>
      <c r="AV122">
        <v>-0.46067500000000006</v>
      </c>
      <c r="AW122">
        <v>-0.50219999999999987</v>
      </c>
      <c r="AX122" t="s">
        <v>287</v>
      </c>
      <c r="AY122">
        <v>26</v>
      </c>
      <c r="AZ122">
        <v>-0.18120000000000047</v>
      </c>
      <c r="BA122">
        <v>2.831999999999999</v>
      </c>
      <c r="BB122">
        <v>6.839999999999999</v>
      </c>
      <c r="BC122">
        <v>-1.1599999999999999</v>
      </c>
      <c r="BD122">
        <v>-6.3239999999999981</v>
      </c>
      <c r="BE122">
        <v>-26.68</v>
      </c>
      <c r="BF122">
        <v>-5.6800000000000006</v>
      </c>
      <c r="BG122">
        <v>3</v>
      </c>
      <c r="BH122">
        <v>3.5</v>
      </c>
      <c r="BI122">
        <v>0.48000000000000015</v>
      </c>
      <c r="BJ122">
        <v>25</v>
      </c>
      <c r="BK122">
        <v>21.5</v>
      </c>
      <c r="BL122">
        <v>20</v>
      </c>
      <c r="BM122">
        <v>6.8255608733913675E-3</v>
      </c>
      <c r="BN122">
        <v>25</v>
      </c>
      <c r="BO122">
        <v>-3.4319063918989562E-4</v>
      </c>
      <c r="BP122">
        <v>18</v>
      </c>
      <c r="BQ122">
        <v>1.1479999999999961</v>
      </c>
      <c r="BR122">
        <v>23</v>
      </c>
      <c r="BS122">
        <v>-1.52</v>
      </c>
      <c r="BT122">
        <v>-6.56</v>
      </c>
      <c r="BU122">
        <v>0.44000000000000022</v>
      </c>
      <c r="BV122">
        <v>0.83999999999999986</v>
      </c>
      <c r="BW122">
        <v>-4.6000000000000112</v>
      </c>
      <c r="BX122">
        <v>-5.7599999999999962</v>
      </c>
      <c r="BY122">
        <v>7.0800000000000036</v>
      </c>
      <c r="BZ122">
        <v>-0.5199999999999998</v>
      </c>
      <c r="CA122">
        <v>-5.4</v>
      </c>
      <c r="CB122">
        <v>25</v>
      </c>
      <c r="CC122">
        <v>-3.0131999999999994</v>
      </c>
      <c r="CD122">
        <v>-2.717039999999999</v>
      </c>
      <c r="CE122">
        <v>-12.84</v>
      </c>
      <c r="CF122">
        <v>-0.41915000000000019</v>
      </c>
    </row>
    <row r="123" spans="1:84" x14ac:dyDescent="0.2">
      <c r="A123" s="39">
        <v>43765</v>
      </c>
      <c r="B123" s="22" t="s">
        <v>248</v>
      </c>
      <c r="C123" s="17" t="s">
        <v>272</v>
      </c>
      <c r="D123" s="22" t="s">
        <v>304</v>
      </c>
      <c r="E123">
        <v>12.8</v>
      </c>
      <c r="F123">
        <v>11.5</v>
      </c>
      <c r="G123">
        <v>15.7</v>
      </c>
      <c r="H123">
        <v>14.8</v>
      </c>
      <c r="I123">
        <v>12</v>
      </c>
      <c r="J123">
        <v>48.5</v>
      </c>
      <c r="K123" t="s">
        <v>109</v>
      </c>
      <c r="L123" s="1" t="s">
        <v>272</v>
      </c>
      <c r="M123">
        <v>20</v>
      </c>
      <c r="N123">
        <v>-1.4180000000000004</v>
      </c>
      <c r="O123">
        <v>-8.0543999999999976</v>
      </c>
      <c r="P123">
        <v>-41.120000000000005</v>
      </c>
      <c r="Q123">
        <v>7.999999999999996E-2</v>
      </c>
      <c r="R123">
        <v>-2.0880000000000001</v>
      </c>
      <c r="S123">
        <v>7.4400000000000048</v>
      </c>
      <c r="T123">
        <v>5.48</v>
      </c>
      <c r="U123">
        <v>12</v>
      </c>
      <c r="V123">
        <v>11.5</v>
      </c>
      <c r="W123">
        <v>-3.28</v>
      </c>
      <c r="X123">
        <v>10</v>
      </c>
      <c r="Y123">
        <v>12.75</v>
      </c>
      <c r="Z123">
        <v>13</v>
      </c>
      <c r="AA123">
        <v>-4.2694794899140763E-2</v>
      </c>
      <c r="AB123">
        <v>15</v>
      </c>
      <c r="AC123">
        <v>-5.8338480427629351E-4</v>
      </c>
      <c r="AD123">
        <v>11</v>
      </c>
      <c r="AE123">
        <v>-13.080000000000002</v>
      </c>
      <c r="AF123">
        <v>12</v>
      </c>
      <c r="AG123">
        <v>2.6</v>
      </c>
      <c r="AH123">
        <v>-1.8</v>
      </c>
      <c r="AI123">
        <v>-6.8</v>
      </c>
      <c r="AJ123">
        <v>-8.8817841970012528E-17</v>
      </c>
      <c r="AK123">
        <v>-56.88000000000001</v>
      </c>
      <c r="AL123">
        <v>-9.0799999999999947</v>
      </c>
      <c r="AM123">
        <v>-43</v>
      </c>
      <c r="AN123">
        <v>-0.35999999999999988</v>
      </c>
      <c r="AO123">
        <v>-4.4400000000000004</v>
      </c>
      <c r="AP123">
        <v>5</v>
      </c>
      <c r="AQ123">
        <v>6.6363999999999965</v>
      </c>
      <c r="AR123">
        <v>3.3259999999999987</v>
      </c>
      <c r="AS123">
        <v>33.92</v>
      </c>
      <c r="AT123">
        <v>-6.6363999999999974</v>
      </c>
      <c r="AU123">
        <v>-1.4950499999999998</v>
      </c>
      <c r="AV123">
        <v>0.12783333333333302</v>
      </c>
      <c r="AW123">
        <v>0.92826666666666624</v>
      </c>
      <c r="AX123" t="s">
        <v>304</v>
      </c>
      <c r="AY123">
        <v>16</v>
      </c>
      <c r="AZ123">
        <v>-0.84080000000000188</v>
      </c>
      <c r="BA123">
        <v>-3.7519999999999989</v>
      </c>
      <c r="BB123">
        <v>-12.879999999999999</v>
      </c>
      <c r="BC123">
        <v>-0.36</v>
      </c>
      <c r="BD123">
        <v>-1.5880000000000014</v>
      </c>
      <c r="BE123">
        <v>-8.0099999999999962</v>
      </c>
      <c r="BF123">
        <v>-1.3900000000000001</v>
      </c>
      <c r="BG123">
        <v>28</v>
      </c>
      <c r="BH123">
        <v>26.5</v>
      </c>
      <c r="BI123">
        <v>0.43999999999999967</v>
      </c>
      <c r="BJ123">
        <v>14</v>
      </c>
      <c r="BK123">
        <v>15</v>
      </c>
      <c r="BL123">
        <v>22</v>
      </c>
      <c r="BM123">
        <v>6.019082970377284E-2</v>
      </c>
      <c r="BN123">
        <v>10</v>
      </c>
      <c r="BO123">
        <v>1.3315577793178268E-3</v>
      </c>
      <c r="BP123">
        <v>22</v>
      </c>
      <c r="BQ123">
        <v>-3.1160000000000023</v>
      </c>
      <c r="BR123">
        <v>6</v>
      </c>
      <c r="BS123">
        <v>-8.0000000000000432E-2</v>
      </c>
      <c r="BT123">
        <v>0.67999999999999972</v>
      </c>
      <c r="BU123">
        <v>-0.51999999999999957</v>
      </c>
      <c r="BV123">
        <v>0.83999999999999986</v>
      </c>
      <c r="BW123">
        <v>-36.879999999999995</v>
      </c>
      <c r="BX123">
        <v>-10.52</v>
      </c>
      <c r="BY123">
        <v>-15.76</v>
      </c>
      <c r="BZ123">
        <v>-4.5200000000000005</v>
      </c>
      <c r="CA123">
        <v>-6.080000000000001</v>
      </c>
      <c r="CB123">
        <v>10</v>
      </c>
      <c r="CC123">
        <v>2.9111999999999965</v>
      </c>
      <c r="CD123">
        <v>1.3902399999999988</v>
      </c>
      <c r="CE123">
        <v>5.24</v>
      </c>
      <c r="CF123">
        <v>-0.6726000000000002</v>
      </c>
    </row>
    <row r="124" spans="1:84" x14ac:dyDescent="0.2">
      <c r="A124" s="39">
        <v>43765</v>
      </c>
      <c r="B124" s="22" t="s">
        <v>248</v>
      </c>
      <c r="C124" s="41" t="s">
        <v>281</v>
      </c>
      <c r="D124" s="23" t="s">
        <v>302</v>
      </c>
      <c r="E124">
        <v>10.199999999999999</v>
      </c>
      <c r="F124">
        <v>11.5</v>
      </c>
      <c r="G124">
        <v>3.1</v>
      </c>
      <c r="H124">
        <v>11.3</v>
      </c>
      <c r="I124">
        <v>9.5</v>
      </c>
      <c r="J124">
        <v>43</v>
      </c>
      <c r="L124" s="1" t="s">
        <v>281</v>
      </c>
      <c r="M124">
        <v>18</v>
      </c>
      <c r="N124">
        <v>-0.91519999999999979</v>
      </c>
      <c r="O124">
        <v>8.9655999999999985</v>
      </c>
      <c r="P124">
        <v>45.919999999999995</v>
      </c>
      <c r="Q124">
        <v>0.6</v>
      </c>
      <c r="R124">
        <v>1.9319999999999991</v>
      </c>
      <c r="S124">
        <v>18.120000000000008</v>
      </c>
      <c r="T124">
        <v>0.56000000000000005</v>
      </c>
      <c r="U124">
        <v>4</v>
      </c>
      <c r="V124">
        <v>7</v>
      </c>
      <c r="W124">
        <v>-0.92000000000000015</v>
      </c>
      <c r="X124">
        <v>30</v>
      </c>
      <c r="Y124">
        <v>29</v>
      </c>
      <c r="Z124">
        <v>31</v>
      </c>
      <c r="AA124">
        <v>-6.8898130286870196E-3</v>
      </c>
      <c r="AB124">
        <v>30</v>
      </c>
      <c r="AC124">
        <v>3.7586201072204221E-3</v>
      </c>
      <c r="AD124">
        <v>24</v>
      </c>
      <c r="AE124">
        <v>-3.3239999999999994</v>
      </c>
      <c r="AF124">
        <v>31</v>
      </c>
      <c r="AG124">
        <v>0.44000000000000022</v>
      </c>
      <c r="AH124">
        <v>-8.000000000000114E-2</v>
      </c>
      <c r="AI124">
        <v>3.0000000000000009</v>
      </c>
      <c r="AJ124">
        <v>-2.6000000000000005</v>
      </c>
      <c r="AK124">
        <v>41.92</v>
      </c>
      <c r="AL124">
        <v>6.3199999999999985</v>
      </c>
      <c r="AM124">
        <v>43.519999999999996</v>
      </c>
      <c r="AN124">
        <v>-4.4399999999999995</v>
      </c>
      <c r="AO124">
        <v>-3.4800000000000013</v>
      </c>
      <c r="AP124">
        <v>30</v>
      </c>
      <c r="AQ124">
        <v>-9.8807999999999989</v>
      </c>
      <c r="AR124">
        <v>-4.2794399999999992</v>
      </c>
      <c r="AS124">
        <v>-37.199999999999996</v>
      </c>
      <c r="AT124">
        <v>9.8807999999999989</v>
      </c>
      <c r="AU124">
        <v>1.2678</v>
      </c>
      <c r="AV124">
        <v>-1.2156791666666666</v>
      </c>
      <c r="AW124">
        <v>8.2241666666666588E-2</v>
      </c>
      <c r="AX124" t="s">
        <v>302</v>
      </c>
      <c r="AY124">
        <v>28</v>
      </c>
      <c r="AZ124">
        <v>-6.3848000000000003</v>
      </c>
      <c r="BA124">
        <v>-2.4799999999999995</v>
      </c>
      <c r="BB124">
        <v>-3.1300000000000017</v>
      </c>
      <c r="BC124">
        <v>1.0000000000000009E-2</v>
      </c>
      <c r="BD124">
        <v>-10.044</v>
      </c>
      <c r="BE124">
        <v>-32.880000000000003</v>
      </c>
      <c r="BF124">
        <v>1.48</v>
      </c>
      <c r="BG124">
        <v>24</v>
      </c>
      <c r="BH124">
        <v>23</v>
      </c>
      <c r="BI124">
        <v>0</v>
      </c>
      <c r="BJ124">
        <v>5</v>
      </c>
      <c r="BK124">
        <v>9.75</v>
      </c>
      <c r="BL124">
        <v>1</v>
      </c>
      <c r="BM124">
        <v>2.7417029776478551E-2</v>
      </c>
      <c r="BN124">
        <v>12</v>
      </c>
      <c r="BO124">
        <v>-8.3623204862236181E-3</v>
      </c>
      <c r="BP124">
        <v>23</v>
      </c>
      <c r="BQ124">
        <v>-11.027999999999997</v>
      </c>
      <c r="BR124">
        <v>3</v>
      </c>
      <c r="BS124">
        <v>5.4</v>
      </c>
      <c r="BT124">
        <v>-2.0400000000000005</v>
      </c>
      <c r="BU124">
        <v>-6.9599999999999991</v>
      </c>
      <c r="BV124">
        <v>1.9599999999999997</v>
      </c>
      <c r="BW124">
        <v>-40.08</v>
      </c>
      <c r="BX124">
        <v>-43.12</v>
      </c>
      <c r="BY124">
        <v>1.9599999999999995</v>
      </c>
      <c r="BZ124">
        <v>5.2799999999999994</v>
      </c>
      <c r="CA124">
        <v>-4.2000000000000011</v>
      </c>
      <c r="CB124">
        <v>27</v>
      </c>
      <c r="CC124">
        <v>-3.9048000000000007</v>
      </c>
      <c r="CD124">
        <v>-2.0457600000000009</v>
      </c>
      <c r="CE124">
        <v>-45.08</v>
      </c>
      <c r="CF124">
        <v>-2.5135999999999998</v>
      </c>
    </row>
    <row r="125" spans="1:84" x14ac:dyDescent="0.2">
      <c r="A125" s="39">
        <v>43765</v>
      </c>
      <c r="B125" t="s">
        <v>248</v>
      </c>
      <c r="C125" s="41" t="s">
        <v>278</v>
      </c>
      <c r="D125" t="s">
        <v>289</v>
      </c>
      <c r="E125">
        <v>10.199999999999999</v>
      </c>
      <c r="F125">
        <v>4.3</v>
      </c>
      <c r="G125">
        <v>2.6</v>
      </c>
      <c r="H125">
        <v>9.6999999999999993</v>
      </c>
      <c r="I125">
        <v>6</v>
      </c>
      <c r="J125">
        <v>41</v>
      </c>
      <c r="L125" s="1" t="s">
        <v>278</v>
      </c>
      <c r="M125">
        <v>32</v>
      </c>
      <c r="N125">
        <v>-6.638399999999999</v>
      </c>
      <c r="O125">
        <v>1.2010000000000005</v>
      </c>
      <c r="P125">
        <v>12.539999999999997</v>
      </c>
      <c r="Q125">
        <v>0.63999999999999968</v>
      </c>
      <c r="R125">
        <v>-6.5310000000000015</v>
      </c>
      <c r="S125">
        <v>-28.410000000000004</v>
      </c>
      <c r="T125">
        <v>-3.3899999999999997</v>
      </c>
      <c r="U125">
        <v>10</v>
      </c>
      <c r="V125">
        <v>9</v>
      </c>
      <c r="W125">
        <v>2</v>
      </c>
      <c r="X125">
        <v>22</v>
      </c>
      <c r="Y125">
        <v>20.25</v>
      </c>
      <c r="Z125">
        <v>15</v>
      </c>
      <c r="AA125">
        <v>2.221693124170445E-2</v>
      </c>
      <c r="AB125">
        <v>19</v>
      </c>
      <c r="AC125">
        <v>3.6062082025149003E-2</v>
      </c>
      <c r="AD125">
        <v>28</v>
      </c>
      <c r="AE125">
        <v>2.5079999999999982</v>
      </c>
      <c r="AF125">
        <v>19</v>
      </c>
      <c r="AG125">
        <v>4.08</v>
      </c>
      <c r="AH125">
        <v>-2.6400000000000006</v>
      </c>
      <c r="AI125">
        <v>-4.08</v>
      </c>
      <c r="AJ125">
        <v>-0.55999999999999994</v>
      </c>
      <c r="AK125">
        <v>-42.040000000000006</v>
      </c>
      <c r="AL125">
        <v>-39.160000000000004</v>
      </c>
      <c r="AM125">
        <v>10.760000000000002</v>
      </c>
      <c r="AN125">
        <v>-1.3199999999999998</v>
      </c>
      <c r="AO125">
        <v>-12.319999999999999</v>
      </c>
      <c r="AP125">
        <v>28</v>
      </c>
      <c r="AQ125">
        <v>-7.8393999999999995</v>
      </c>
      <c r="AR125">
        <v>-3.2343800000000003</v>
      </c>
      <c r="AS125">
        <v>-49.92</v>
      </c>
      <c r="AT125">
        <v>7.8393999999999995</v>
      </c>
      <c r="AU125">
        <v>-1.5560499999999999</v>
      </c>
      <c r="AV125">
        <v>-1.5876999999999999</v>
      </c>
      <c r="AW125">
        <v>-2.3155999999999999</v>
      </c>
      <c r="AX125" t="s">
        <v>289</v>
      </c>
      <c r="AY125">
        <v>25</v>
      </c>
      <c r="AZ125">
        <v>-2.6064000000000016</v>
      </c>
      <c r="BA125">
        <v>-7.6880000000000006</v>
      </c>
      <c r="BB125">
        <v>-12.120000000000001</v>
      </c>
      <c r="BC125">
        <v>-1.3199999999999998</v>
      </c>
      <c r="BD125">
        <v>2.8560000000000016</v>
      </c>
      <c r="BE125">
        <v>-3.9999999999999947</v>
      </c>
      <c r="BF125">
        <v>-0.76000000000000023</v>
      </c>
      <c r="BG125">
        <v>5</v>
      </c>
      <c r="BH125">
        <v>4.5</v>
      </c>
      <c r="BI125">
        <v>-0.71999999999999975</v>
      </c>
      <c r="BJ125">
        <v>28</v>
      </c>
      <c r="BK125">
        <v>23</v>
      </c>
      <c r="BL125">
        <v>27</v>
      </c>
      <c r="BM125">
        <v>4.1908416176484331E-3</v>
      </c>
      <c r="BN125">
        <v>18</v>
      </c>
      <c r="BO125">
        <v>4.3046513565494213E-4</v>
      </c>
      <c r="BP125">
        <v>26</v>
      </c>
      <c r="BQ125">
        <v>-1.819999999999999</v>
      </c>
      <c r="BR125">
        <v>21</v>
      </c>
      <c r="BS125">
        <v>-0.60000000000000031</v>
      </c>
      <c r="BT125">
        <v>-2.0799999999999996</v>
      </c>
      <c r="BU125">
        <v>-2.9199999999999995</v>
      </c>
      <c r="BV125">
        <v>0.28000000000000008</v>
      </c>
      <c r="BW125">
        <v>-18.360000000000014</v>
      </c>
      <c r="BX125">
        <v>-19.759999999999998</v>
      </c>
      <c r="BY125">
        <v>-10.559999999999999</v>
      </c>
      <c r="BZ125">
        <v>11.32</v>
      </c>
      <c r="CA125">
        <v>0.64</v>
      </c>
      <c r="CB125">
        <v>5</v>
      </c>
      <c r="CC125">
        <v>5.081599999999999</v>
      </c>
      <c r="CD125">
        <v>3.8939200000000005</v>
      </c>
      <c r="CE125">
        <v>-9.1999999999999993</v>
      </c>
      <c r="CF125">
        <v>-0.85980000000000012</v>
      </c>
    </row>
    <row r="126" spans="1:84" x14ac:dyDescent="0.2">
      <c r="A126" s="39">
        <v>43765</v>
      </c>
      <c r="B126" s="22" t="s">
        <v>248</v>
      </c>
      <c r="C126" s="41" t="s">
        <v>299</v>
      </c>
      <c r="D126" s="22" t="s">
        <v>296</v>
      </c>
      <c r="E126">
        <v>32.299999999999997</v>
      </c>
      <c r="F126">
        <v>17.5</v>
      </c>
      <c r="G126">
        <v>11.9</v>
      </c>
      <c r="H126">
        <v>5.8</v>
      </c>
      <c r="I126">
        <v>-6.5</v>
      </c>
      <c r="J126">
        <v>49</v>
      </c>
      <c r="K126" t="s">
        <v>109</v>
      </c>
      <c r="L126" s="1" t="s">
        <v>299</v>
      </c>
      <c r="M126">
        <v>7</v>
      </c>
      <c r="N126">
        <v>2.6712000000000011</v>
      </c>
      <c r="O126">
        <v>-7.907</v>
      </c>
      <c r="P126">
        <v>-29.42</v>
      </c>
      <c r="Q126">
        <v>-0.43999999999999995</v>
      </c>
      <c r="R126">
        <v>9.6490000000000009</v>
      </c>
      <c r="S126">
        <v>35.790000000000006</v>
      </c>
      <c r="T126">
        <v>0.25000000000000044</v>
      </c>
      <c r="U126">
        <v>23</v>
      </c>
      <c r="V126">
        <v>22.5</v>
      </c>
      <c r="W126">
        <v>4.0000000000000036E-2</v>
      </c>
      <c r="X126">
        <v>5</v>
      </c>
      <c r="Y126">
        <v>9</v>
      </c>
      <c r="Z126">
        <v>6</v>
      </c>
      <c r="AA126">
        <v>4.5917487142951184E-3</v>
      </c>
      <c r="AB126">
        <v>12</v>
      </c>
      <c r="AC126">
        <v>-3.4203414341906491E-3</v>
      </c>
      <c r="AD126">
        <v>9</v>
      </c>
      <c r="AE126">
        <v>-2.5280000000000031</v>
      </c>
      <c r="AF126">
        <v>9</v>
      </c>
      <c r="AG126">
        <v>-2.64</v>
      </c>
      <c r="AH126">
        <v>-2.9200000000000004</v>
      </c>
      <c r="AI126">
        <v>2.7999999999999994</v>
      </c>
      <c r="AJ126">
        <v>1.8799999999999997</v>
      </c>
      <c r="AK126">
        <v>-0.40000000000001135</v>
      </c>
      <c r="AL126">
        <v>32.159999999999989</v>
      </c>
      <c r="AM126">
        <v>-19.2</v>
      </c>
      <c r="AN126">
        <v>-4.4799999999999995</v>
      </c>
      <c r="AO126">
        <v>-8.879999999999999</v>
      </c>
      <c r="AP126">
        <v>3</v>
      </c>
      <c r="AQ126">
        <v>10.578200000000001</v>
      </c>
      <c r="AR126">
        <v>6.4175399999999998</v>
      </c>
      <c r="AS126">
        <v>51.359999999999985</v>
      </c>
      <c r="AT126">
        <v>-10.578200000000001</v>
      </c>
      <c r="AU126">
        <v>1.0566500000000001</v>
      </c>
      <c r="AV126">
        <v>0.8408374999999999</v>
      </c>
      <c r="AW126">
        <v>2.0863999999999998</v>
      </c>
      <c r="AX126" t="s">
        <v>296</v>
      </c>
      <c r="AY126">
        <v>5</v>
      </c>
      <c r="AZ126">
        <v>-0.98479999999999923</v>
      </c>
      <c r="BA126">
        <v>1.548</v>
      </c>
      <c r="BB126">
        <v>22.6</v>
      </c>
      <c r="BC126">
        <v>-0.7599999999999999</v>
      </c>
      <c r="BD126">
        <v>-6.3610000000000015</v>
      </c>
      <c r="BE126">
        <v>-21.5</v>
      </c>
      <c r="BF126">
        <v>-3.0199999999999996</v>
      </c>
      <c r="BG126">
        <v>2</v>
      </c>
      <c r="BH126">
        <v>3</v>
      </c>
      <c r="BI126">
        <v>5.16</v>
      </c>
      <c r="BJ126">
        <v>29</v>
      </c>
      <c r="BK126">
        <v>24</v>
      </c>
      <c r="BL126">
        <v>11</v>
      </c>
      <c r="BM126">
        <v>-4.2820537678745038E-2</v>
      </c>
      <c r="BN126">
        <v>27</v>
      </c>
      <c r="BO126">
        <v>6.5839455554950761E-3</v>
      </c>
      <c r="BP126">
        <v>31</v>
      </c>
      <c r="BQ126">
        <v>-16.175999999999998</v>
      </c>
      <c r="BR126">
        <v>27</v>
      </c>
      <c r="BS126">
        <v>2.96</v>
      </c>
      <c r="BT126">
        <v>-0.52000000000000168</v>
      </c>
      <c r="BU126">
        <v>-1.6399999999999995</v>
      </c>
      <c r="BV126">
        <v>1.92</v>
      </c>
      <c r="BW126">
        <v>15.160000000000002</v>
      </c>
      <c r="BX126">
        <v>-2.5199999999999987</v>
      </c>
      <c r="BY126">
        <v>25</v>
      </c>
      <c r="BZ126">
        <v>-4.6399999999999988</v>
      </c>
      <c r="CA126">
        <v>-2.6799999999999997</v>
      </c>
      <c r="CB126">
        <v>23</v>
      </c>
      <c r="CC126">
        <v>-2.5327999999999995</v>
      </c>
      <c r="CD126">
        <v>-2.24316</v>
      </c>
      <c r="CE126">
        <v>-27.52</v>
      </c>
      <c r="CF126">
        <v>-0.40472500000000011</v>
      </c>
    </row>
    <row r="127" spans="1:84" x14ac:dyDescent="0.2">
      <c r="A127" s="39">
        <v>43765</v>
      </c>
      <c r="B127" s="22" t="s">
        <v>248</v>
      </c>
      <c r="C127" s="41" t="s">
        <v>300</v>
      </c>
      <c r="D127" s="22" t="s">
        <v>288</v>
      </c>
      <c r="E127" s="3">
        <v>1.4</v>
      </c>
      <c r="F127" s="30">
        <v>1.7</v>
      </c>
      <c r="G127" s="3">
        <v>9.1999999999999993</v>
      </c>
      <c r="H127">
        <v>7.1</v>
      </c>
      <c r="I127">
        <v>-5</v>
      </c>
      <c r="J127">
        <v>48</v>
      </c>
      <c r="L127" s="4" t="s">
        <v>300</v>
      </c>
      <c r="M127" s="3">
        <v>5</v>
      </c>
      <c r="N127" s="3">
        <v>5.0407999999999991</v>
      </c>
      <c r="O127">
        <v>8.8120000000000012</v>
      </c>
      <c r="P127">
        <v>1.6000000000000014</v>
      </c>
      <c r="Q127">
        <v>2.1399999999999997</v>
      </c>
      <c r="R127">
        <v>1.6559999999999975</v>
      </c>
      <c r="S127">
        <v>33.879999999999995</v>
      </c>
      <c r="T127">
        <v>-1.3199999999999998</v>
      </c>
      <c r="U127">
        <v>31</v>
      </c>
      <c r="V127">
        <v>31</v>
      </c>
      <c r="W127">
        <v>-1.1199999999999999</v>
      </c>
      <c r="X127">
        <v>16</v>
      </c>
      <c r="Y127">
        <v>14.5</v>
      </c>
      <c r="Z127">
        <v>17</v>
      </c>
      <c r="AA127">
        <v>-3.3968888077655635E-3</v>
      </c>
      <c r="AB127">
        <v>14</v>
      </c>
      <c r="AC127">
        <v>-3.3662240210221447E-2</v>
      </c>
      <c r="AD127">
        <v>3</v>
      </c>
      <c r="AE127">
        <v>13.067999999999998</v>
      </c>
      <c r="AF127">
        <v>24</v>
      </c>
      <c r="AG127">
        <v>-5.08</v>
      </c>
      <c r="AH127">
        <v>-0.6</v>
      </c>
      <c r="AI127">
        <v>7.1599999999999993</v>
      </c>
      <c r="AJ127">
        <v>-1.1199999999999999</v>
      </c>
      <c r="AK127">
        <v>55.760000000000005</v>
      </c>
      <c r="AL127">
        <v>63.199999999999989</v>
      </c>
      <c r="AM127">
        <v>-5.1199999999999992</v>
      </c>
      <c r="AN127">
        <v>-0.52000000000000013</v>
      </c>
      <c r="AO127">
        <v>-1.8</v>
      </c>
      <c r="AP127">
        <v>25</v>
      </c>
      <c r="AQ127">
        <v>-3.7712000000000026</v>
      </c>
      <c r="AR127">
        <v>-3.0666400000000014</v>
      </c>
      <c r="AS127">
        <v>68.319999999999993</v>
      </c>
      <c r="AT127">
        <v>3.7712000000000021</v>
      </c>
      <c r="AU127">
        <v>2.1335999999999995</v>
      </c>
      <c r="AV127">
        <v>0.28010208333333331</v>
      </c>
      <c r="AW127">
        <v>0.73383750000000003</v>
      </c>
      <c r="AX127" t="s">
        <v>288</v>
      </c>
      <c r="AY127">
        <v>7</v>
      </c>
      <c r="AZ127">
        <v>-1.7703999999999998</v>
      </c>
      <c r="BA127">
        <v>10.323999999999998</v>
      </c>
      <c r="BB127">
        <v>42.76</v>
      </c>
      <c r="BC127">
        <v>0.90000000000000013</v>
      </c>
      <c r="BD127">
        <v>-8.3426666666666662</v>
      </c>
      <c r="BE127">
        <v>-25.706666666666663</v>
      </c>
      <c r="BF127">
        <v>0.89333333333333353</v>
      </c>
      <c r="BG127">
        <v>20</v>
      </c>
      <c r="BH127">
        <v>21</v>
      </c>
      <c r="BI127">
        <v>-2.4</v>
      </c>
      <c r="BJ127">
        <v>2</v>
      </c>
      <c r="BK127">
        <v>7.25</v>
      </c>
      <c r="BL127">
        <v>4</v>
      </c>
      <c r="BM127">
        <v>6.3573982616987323E-3</v>
      </c>
      <c r="BN127">
        <v>13</v>
      </c>
      <c r="BO127">
        <v>4.7370009484787104E-3</v>
      </c>
      <c r="BP127">
        <v>3</v>
      </c>
      <c r="BQ127">
        <v>-7.892000000000003</v>
      </c>
      <c r="BR127">
        <v>9</v>
      </c>
      <c r="BS127">
        <v>2.4799999999999995</v>
      </c>
      <c r="BT127">
        <v>9.1199999999999992</v>
      </c>
      <c r="BU127">
        <v>-0.23999999999999985</v>
      </c>
      <c r="BV127">
        <v>-1.48</v>
      </c>
      <c r="BW127">
        <v>23.839999999999996</v>
      </c>
      <c r="BX127">
        <v>-14.960000000000008</v>
      </c>
      <c r="BY127">
        <v>43.2</v>
      </c>
      <c r="BZ127">
        <v>0.91999999999999993</v>
      </c>
      <c r="CA127">
        <v>-5.32</v>
      </c>
      <c r="CB127">
        <v>32</v>
      </c>
      <c r="CC127">
        <v>-12.094399999999998</v>
      </c>
      <c r="CD127">
        <v>-7.1846133333333322</v>
      </c>
      <c r="CE127">
        <v>-58.160000000000011</v>
      </c>
      <c r="CF127">
        <v>-0.17363333333333347</v>
      </c>
    </row>
    <row r="128" spans="1:84" x14ac:dyDescent="0.2">
      <c r="A128" s="39">
        <v>43765</v>
      </c>
      <c r="B128" s="22" t="s">
        <v>248</v>
      </c>
      <c r="C128" s="41" t="s">
        <v>311</v>
      </c>
      <c r="D128" s="22" t="s">
        <v>303</v>
      </c>
      <c r="E128">
        <v>24.9</v>
      </c>
      <c r="F128">
        <v>5.2</v>
      </c>
      <c r="G128">
        <v>5.6</v>
      </c>
      <c r="H128">
        <f>23.8+3.1</f>
        <v>26.900000000000002</v>
      </c>
      <c r="I128">
        <v>-5</v>
      </c>
      <c r="J128">
        <v>52</v>
      </c>
      <c r="K128" t="s">
        <v>109</v>
      </c>
      <c r="L128" s="1" t="s">
        <v>311</v>
      </c>
      <c r="M128">
        <v>1</v>
      </c>
      <c r="N128">
        <v>7.2992000000000008</v>
      </c>
      <c r="O128">
        <v>-4.9279999999999999</v>
      </c>
      <c r="P128">
        <v>-0.92000000000000348</v>
      </c>
      <c r="Q128">
        <v>-2.08</v>
      </c>
      <c r="R128">
        <v>16.048000000000002</v>
      </c>
      <c r="S128">
        <v>66.319999999999993</v>
      </c>
      <c r="T128">
        <v>5.4</v>
      </c>
      <c r="U128">
        <v>22</v>
      </c>
      <c r="V128">
        <v>20.5</v>
      </c>
      <c r="W128">
        <v>0.51999999999999991</v>
      </c>
      <c r="X128">
        <v>20</v>
      </c>
      <c r="Y128">
        <v>17.5</v>
      </c>
      <c r="Z128">
        <v>1</v>
      </c>
      <c r="AA128">
        <v>7.7494903344480113E-3</v>
      </c>
      <c r="AB128">
        <v>24</v>
      </c>
      <c r="AC128">
        <v>-1.0054165258744795E-2</v>
      </c>
      <c r="AD128">
        <v>15</v>
      </c>
      <c r="AE128">
        <v>1.4079999999999984</v>
      </c>
      <c r="AF128">
        <v>30</v>
      </c>
      <c r="AG128">
        <v>-0.92000000000000015</v>
      </c>
      <c r="AH128">
        <v>0.6</v>
      </c>
      <c r="AI128">
        <v>3.28</v>
      </c>
      <c r="AJ128">
        <v>0.28000000000000008</v>
      </c>
      <c r="AK128">
        <v>46.080000000000005</v>
      </c>
      <c r="AL128">
        <v>44.680000000000007</v>
      </c>
      <c r="AM128">
        <v>-8.1199999999999992</v>
      </c>
      <c r="AN128">
        <v>-2.9200000000000004</v>
      </c>
      <c r="AO128">
        <v>12.440000000000001</v>
      </c>
      <c r="AP128">
        <v>1</v>
      </c>
      <c r="AQ128">
        <v>12.227200000000002</v>
      </c>
      <c r="AR128">
        <v>7.1334400000000002</v>
      </c>
      <c r="AS128">
        <v>52.800000000000004</v>
      </c>
      <c r="AT128">
        <v>-12.2272</v>
      </c>
      <c r="AU128">
        <v>2.2424000000000004</v>
      </c>
      <c r="AV128">
        <v>0.46405000000000007</v>
      </c>
      <c r="AW128">
        <v>0.65090000000000003</v>
      </c>
      <c r="AX128" t="s">
        <v>303</v>
      </c>
      <c r="AY128">
        <v>13</v>
      </c>
      <c r="AZ128">
        <v>3.3936000000000006</v>
      </c>
      <c r="BA128">
        <v>0.38000000000000078</v>
      </c>
      <c r="BB128">
        <v>-12.92</v>
      </c>
      <c r="BC128">
        <v>0.24</v>
      </c>
      <c r="BD128">
        <v>-0.5160000000000009</v>
      </c>
      <c r="BE128">
        <v>-17.599999999999998</v>
      </c>
      <c r="BF128">
        <v>-0.87999999999999923</v>
      </c>
      <c r="BG128">
        <v>27</v>
      </c>
      <c r="BH128">
        <v>25.5</v>
      </c>
      <c r="BI128">
        <v>-3.5200000000000005</v>
      </c>
      <c r="BJ128">
        <v>10</v>
      </c>
      <c r="BK128">
        <v>13.25</v>
      </c>
      <c r="BL128">
        <v>12</v>
      </c>
      <c r="BM128">
        <v>-2.2692274928291033E-2</v>
      </c>
      <c r="BN128">
        <v>11</v>
      </c>
      <c r="BO128">
        <v>-6.5543210291941975E-3</v>
      </c>
      <c r="BP128">
        <v>12</v>
      </c>
      <c r="BQ128">
        <v>4.1400000000000006</v>
      </c>
      <c r="BR128">
        <v>18</v>
      </c>
      <c r="BS128">
        <v>-1.1999999999999997</v>
      </c>
      <c r="BT128">
        <v>-2.72</v>
      </c>
      <c r="BU128">
        <v>3.84</v>
      </c>
      <c r="BV128">
        <v>-1</v>
      </c>
      <c r="BW128">
        <v>-9.4800000000000182</v>
      </c>
      <c r="BX128">
        <v>-1.9600000000000022</v>
      </c>
      <c r="BY128">
        <v>-9.1999999999999993</v>
      </c>
      <c r="BZ128">
        <v>-2.6799999999999997</v>
      </c>
      <c r="CA128">
        <v>4.3600000000000003</v>
      </c>
      <c r="CB128">
        <v>9</v>
      </c>
      <c r="CC128">
        <v>3.0135999999999994</v>
      </c>
      <c r="CD128">
        <v>0.38551999999999964</v>
      </c>
      <c r="CE128">
        <v>7.2399999999999967</v>
      </c>
      <c r="CF128">
        <v>0.27720000000000011</v>
      </c>
    </row>
    <row r="129" spans="1:84" x14ac:dyDescent="0.2">
      <c r="A129" s="39">
        <v>43765</v>
      </c>
      <c r="B129" s="22" t="s">
        <v>248</v>
      </c>
      <c r="C129" s="41" t="s">
        <v>289</v>
      </c>
      <c r="D129" s="22" t="s">
        <v>278</v>
      </c>
      <c r="E129">
        <v>7.4</v>
      </c>
      <c r="F129">
        <v>1.6</v>
      </c>
      <c r="G129">
        <v>1.7</v>
      </c>
      <c r="H129">
        <v>15.7</v>
      </c>
      <c r="I129">
        <v>-6</v>
      </c>
      <c r="J129">
        <v>41</v>
      </c>
      <c r="L129" s="1" t="s">
        <v>289</v>
      </c>
      <c r="M129">
        <v>21</v>
      </c>
      <c r="N129">
        <v>-1.6384000000000003</v>
      </c>
      <c r="O129">
        <v>-5.4399999999999995</v>
      </c>
      <c r="P129">
        <v>-13.760000000000002</v>
      </c>
      <c r="Q129">
        <v>-0.88</v>
      </c>
      <c r="R129">
        <v>5.9999999999999609E-2</v>
      </c>
      <c r="S129">
        <v>-8.4000000000000057</v>
      </c>
      <c r="T129">
        <v>-0.55999999999999917</v>
      </c>
      <c r="U129">
        <v>19</v>
      </c>
      <c r="V129">
        <v>19.5</v>
      </c>
      <c r="W129">
        <v>-0.60000000000000031</v>
      </c>
      <c r="X129">
        <v>3</v>
      </c>
      <c r="Y129">
        <v>7.75</v>
      </c>
      <c r="Z129">
        <v>4</v>
      </c>
      <c r="AA129">
        <v>5.9954348099916274E-2</v>
      </c>
      <c r="AB129">
        <v>8</v>
      </c>
      <c r="AC129">
        <v>-1.1966677225321751E-2</v>
      </c>
      <c r="AD129">
        <v>13</v>
      </c>
      <c r="AE129">
        <v>-4.3080000000000025</v>
      </c>
      <c r="AF129">
        <v>6</v>
      </c>
      <c r="AG129">
        <v>-0.71999999999999975</v>
      </c>
      <c r="AH129">
        <v>0.87999999999999834</v>
      </c>
      <c r="AI129">
        <v>-2.4000000000000008</v>
      </c>
      <c r="AJ129">
        <v>-0.79999999999999993</v>
      </c>
      <c r="AK129">
        <v>-21.76</v>
      </c>
      <c r="AL129">
        <v>-16.760000000000009</v>
      </c>
      <c r="AM129">
        <v>-6.919999999999999</v>
      </c>
      <c r="AN129">
        <v>1</v>
      </c>
      <c r="AO129">
        <v>0.9199999999999996</v>
      </c>
      <c r="AP129">
        <v>13</v>
      </c>
      <c r="AQ129">
        <v>3.8015999999999988</v>
      </c>
      <c r="AR129">
        <v>2.4043199999999998</v>
      </c>
      <c r="AS129">
        <v>-9.8400000000000105</v>
      </c>
      <c r="AT129">
        <v>-3.8015999999999992</v>
      </c>
      <c r="AU129">
        <v>-0.77729999999999999</v>
      </c>
      <c r="AV129">
        <v>-1.5876999999999999</v>
      </c>
      <c r="AW129">
        <v>-0.85980000000000012</v>
      </c>
      <c r="AX129" t="s">
        <v>278</v>
      </c>
      <c r="AY129">
        <v>15</v>
      </c>
      <c r="AZ129">
        <v>-8.1808000000000014</v>
      </c>
      <c r="BA129">
        <v>-1.3999999999999997</v>
      </c>
      <c r="BB129">
        <v>14.84</v>
      </c>
      <c r="BC129">
        <v>0.6399999999999999</v>
      </c>
      <c r="BD129">
        <v>-9.7040000000000006</v>
      </c>
      <c r="BE129">
        <v>-58.679999999999993</v>
      </c>
      <c r="BF129">
        <v>-1.1199999999999997</v>
      </c>
      <c r="BG129">
        <v>9</v>
      </c>
      <c r="BH129">
        <v>9.5</v>
      </c>
      <c r="BI129">
        <v>4.08</v>
      </c>
      <c r="BJ129">
        <v>12</v>
      </c>
      <c r="BK129">
        <v>14.5</v>
      </c>
      <c r="BL129">
        <v>25</v>
      </c>
      <c r="BM129">
        <v>-9.9861140482495944E-3</v>
      </c>
      <c r="BN129">
        <v>6</v>
      </c>
      <c r="BO129">
        <v>6.5598232409404709E-3</v>
      </c>
      <c r="BP129">
        <v>10</v>
      </c>
      <c r="BQ129">
        <v>1.1999999999999034E-2</v>
      </c>
      <c r="BR129">
        <v>17</v>
      </c>
      <c r="BS129">
        <v>2</v>
      </c>
      <c r="BT129">
        <v>-0.56000000000000083</v>
      </c>
      <c r="BU129">
        <v>-5.160000000000001</v>
      </c>
      <c r="BV129">
        <v>1.6800000000000002</v>
      </c>
      <c r="BW129">
        <v>-67.240000000000009</v>
      </c>
      <c r="BX129">
        <v>-69</v>
      </c>
      <c r="BY129">
        <v>15.920000000000002</v>
      </c>
      <c r="BZ129">
        <v>-2.44</v>
      </c>
      <c r="CA129">
        <v>-11.719999999999999</v>
      </c>
      <c r="CB129">
        <v>31</v>
      </c>
      <c r="CC129">
        <v>-6.780800000000001</v>
      </c>
      <c r="CD129">
        <v>-2.8769600000000008</v>
      </c>
      <c r="CE129">
        <v>-84.92</v>
      </c>
      <c r="CF129">
        <v>-2.3155999999999999</v>
      </c>
    </row>
    <row r="130" spans="1:84" x14ac:dyDescent="0.2">
      <c r="A130" s="39">
        <v>43765</v>
      </c>
      <c r="B130" s="22" t="s">
        <v>248</v>
      </c>
      <c r="C130" s="41" t="s">
        <v>297</v>
      </c>
      <c r="D130" s="22" t="s">
        <v>298</v>
      </c>
      <c r="E130">
        <v>19.899999999999999</v>
      </c>
      <c r="F130">
        <v>23.3</v>
      </c>
      <c r="G130">
        <v>9.1999999999999993</v>
      </c>
      <c r="H130">
        <v>3.7</v>
      </c>
      <c r="I130">
        <v>-7</v>
      </c>
      <c r="J130">
        <v>39.5</v>
      </c>
      <c r="L130" s="1" t="s">
        <v>297</v>
      </c>
      <c r="M130">
        <v>15</v>
      </c>
      <c r="N130">
        <v>-0.36800000000000066</v>
      </c>
      <c r="O130">
        <v>3.8399999999999324E-2</v>
      </c>
      <c r="P130">
        <v>48.12</v>
      </c>
      <c r="Q130">
        <v>-2</v>
      </c>
      <c r="R130">
        <v>3.4319999999999999</v>
      </c>
      <c r="S130">
        <v>22.439999999999994</v>
      </c>
      <c r="T130">
        <v>1.4</v>
      </c>
      <c r="U130">
        <v>27</v>
      </c>
      <c r="V130">
        <v>27</v>
      </c>
      <c r="W130">
        <v>0.15999999999999998</v>
      </c>
      <c r="X130">
        <v>7</v>
      </c>
      <c r="Y130">
        <v>11.25</v>
      </c>
      <c r="Z130">
        <v>7</v>
      </c>
      <c r="AA130">
        <v>2.9196602007746375E-2</v>
      </c>
      <c r="AB130">
        <v>17</v>
      </c>
      <c r="AC130">
        <v>-4.4360530813069357E-3</v>
      </c>
      <c r="AD130">
        <v>18</v>
      </c>
      <c r="AE130">
        <v>-12.839999999999998</v>
      </c>
      <c r="AF130">
        <v>3</v>
      </c>
      <c r="AG130">
        <v>-1.56</v>
      </c>
      <c r="AH130">
        <v>2.12</v>
      </c>
      <c r="AI130">
        <v>-0.11999999999999958</v>
      </c>
      <c r="AJ130">
        <v>0.27999999999999992</v>
      </c>
      <c r="AK130">
        <v>39.959999999999994</v>
      </c>
      <c r="AL130">
        <v>-3.3999999999999941</v>
      </c>
      <c r="AM130">
        <v>42.68</v>
      </c>
      <c r="AN130">
        <v>2.48</v>
      </c>
      <c r="AO130">
        <v>-1.8000000000000003</v>
      </c>
      <c r="AP130">
        <v>18</v>
      </c>
      <c r="AQ130">
        <v>-0.40639999999999965</v>
      </c>
      <c r="AR130">
        <v>0.59360000000000024</v>
      </c>
      <c r="AS130">
        <v>-46.079999999999991</v>
      </c>
      <c r="AT130">
        <v>0.40639999999999998</v>
      </c>
      <c r="AU130">
        <v>0.67779999999999996</v>
      </c>
      <c r="AV130">
        <v>0.46137499999999976</v>
      </c>
      <c r="AW130">
        <v>0.17029999999999987</v>
      </c>
      <c r="AX130" t="s">
        <v>298</v>
      </c>
      <c r="AY130">
        <v>9</v>
      </c>
      <c r="AZ130">
        <v>-0.54240000000000033</v>
      </c>
      <c r="BA130">
        <v>0.19200000000000084</v>
      </c>
      <c r="BB130">
        <v>-21.680000000000003</v>
      </c>
      <c r="BC130">
        <v>-0.20000000000000023</v>
      </c>
      <c r="BD130">
        <v>4.8499999999999961</v>
      </c>
      <c r="BE130">
        <v>2.6099999999999994</v>
      </c>
      <c r="BF130">
        <v>1.1900000000000004</v>
      </c>
      <c r="BG130">
        <v>24</v>
      </c>
      <c r="BH130">
        <v>23</v>
      </c>
      <c r="BI130">
        <v>4.5600000000000005</v>
      </c>
      <c r="BJ130">
        <v>23</v>
      </c>
      <c r="BK130">
        <v>20</v>
      </c>
      <c r="BL130">
        <v>32</v>
      </c>
      <c r="BM130">
        <v>5.928439353199022E-2</v>
      </c>
      <c r="BN130">
        <v>22</v>
      </c>
      <c r="BO130">
        <v>-2.1720117517807998E-2</v>
      </c>
      <c r="BP130">
        <v>11</v>
      </c>
      <c r="BQ130">
        <v>5.9559999999999986</v>
      </c>
      <c r="BR130">
        <v>15</v>
      </c>
      <c r="BS130">
        <v>-1.8400000000000003</v>
      </c>
      <c r="BT130">
        <v>2.8799999999999981</v>
      </c>
      <c r="BU130">
        <v>2.7599999999999993</v>
      </c>
      <c r="BV130">
        <v>0.51999999999999991</v>
      </c>
      <c r="BW130">
        <v>-28.079999999999995</v>
      </c>
      <c r="BX130">
        <v>0.32000000000000456</v>
      </c>
      <c r="BY130">
        <v>-25.199999999999996</v>
      </c>
      <c r="BZ130">
        <v>8.0000000000000251E-2</v>
      </c>
      <c r="CA130">
        <v>-3.28</v>
      </c>
      <c r="CB130">
        <v>19</v>
      </c>
      <c r="CC130">
        <v>-0.73440000000000127</v>
      </c>
      <c r="CD130">
        <v>0.76551999999999865</v>
      </c>
      <c r="CE130">
        <v>25.52</v>
      </c>
      <c r="CF130">
        <v>0.75244999999999962</v>
      </c>
    </row>
    <row r="131" spans="1:84" x14ac:dyDescent="0.2">
      <c r="A131" s="39">
        <v>43765</v>
      </c>
      <c r="B131" s="28" t="s">
        <v>248</v>
      </c>
      <c r="C131" s="41" t="s">
        <v>288</v>
      </c>
      <c r="D131" s="28" t="s">
        <v>300</v>
      </c>
      <c r="E131" s="3">
        <v>14.1</v>
      </c>
      <c r="F131" s="3">
        <v>9.5</v>
      </c>
      <c r="G131" s="30">
        <v>13.5</v>
      </c>
      <c r="H131" s="3">
        <v>16.3</v>
      </c>
      <c r="I131" s="3">
        <v>5</v>
      </c>
      <c r="J131" s="3">
        <v>48</v>
      </c>
      <c r="K131" s="3"/>
      <c r="L131" s="1" t="s">
        <v>288</v>
      </c>
      <c r="M131">
        <v>8</v>
      </c>
      <c r="N131">
        <v>2.4783999999999997</v>
      </c>
      <c r="O131">
        <v>-1.6743999999999988</v>
      </c>
      <c r="P131">
        <v>-19.959999999999997</v>
      </c>
      <c r="Q131">
        <v>-0.4800000000000002</v>
      </c>
      <c r="R131">
        <v>0.52000000000000224</v>
      </c>
      <c r="S131">
        <v>21.479999999999997</v>
      </c>
      <c r="T131">
        <v>0.60000000000000009</v>
      </c>
      <c r="U131">
        <v>15</v>
      </c>
      <c r="V131">
        <v>14.5</v>
      </c>
      <c r="W131">
        <v>2.4799999999999995</v>
      </c>
      <c r="X131">
        <v>29</v>
      </c>
      <c r="Y131">
        <v>25</v>
      </c>
      <c r="Z131">
        <v>26</v>
      </c>
      <c r="AA131">
        <v>-3.3503086626750424E-2</v>
      </c>
      <c r="AB131">
        <v>23</v>
      </c>
      <c r="AC131">
        <v>-1.7784629696574784E-2</v>
      </c>
      <c r="AD131">
        <v>25</v>
      </c>
      <c r="AE131">
        <v>3.9639999999999973</v>
      </c>
      <c r="AF131">
        <v>26</v>
      </c>
      <c r="AG131">
        <v>-2.4</v>
      </c>
      <c r="AH131">
        <v>-4.1999999999999984</v>
      </c>
      <c r="AI131">
        <v>1.4800000000000011</v>
      </c>
      <c r="AJ131">
        <v>1.3199999999999998</v>
      </c>
      <c r="AK131">
        <v>8.4</v>
      </c>
      <c r="AL131">
        <v>25.560000000000002</v>
      </c>
      <c r="AM131">
        <v>-19.199999999999996</v>
      </c>
      <c r="AN131">
        <v>-3.72</v>
      </c>
      <c r="AO131">
        <v>5.76</v>
      </c>
      <c r="AP131">
        <v>12</v>
      </c>
      <c r="AQ131">
        <v>4.1527999999999992</v>
      </c>
      <c r="AR131">
        <v>1.4368799999999999</v>
      </c>
      <c r="AS131">
        <v>44.76</v>
      </c>
      <c r="AT131">
        <v>-4.1527999999999983</v>
      </c>
      <c r="AU131">
        <v>0.29550000000000043</v>
      </c>
      <c r="AV131">
        <v>0.28010208333333331</v>
      </c>
      <c r="AW131">
        <v>-0.17363333333333347</v>
      </c>
      <c r="AX131" t="s">
        <v>300</v>
      </c>
      <c r="AY131">
        <v>21</v>
      </c>
      <c r="AZ131">
        <v>0.5152000000000001</v>
      </c>
      <c r="BA131">
        <v>3.028</v>
      </c>
      <c r="BB131">
        <v>10.280000000000001</v>
      </c>
      <c r="BC131">
        <v>-9.9999999999999867E-2</v>
      </c>
      <c r="BD131">
        <v>1.9674999999999994</v>
      </c>
      <c r="BE131">
        <v>15.379999999999995</v>
      </c>
      <c r="BF131">
        <v>-1.1250000000000002</v>
      </c>
      <c r="BG131">
        <v>6</v>
      </c>
      <c r="BH131">
        <v>5</v>
      </c>
      <c r="BI131">
        <v>-5.08</v>
      </c>
      <c r="BJ131">
        <v>29</v>
      </c>
      <c r="BK131">
        <v>24</v>
      </c>
      <c r="BL131">
        <v>17</v>
      </c>
      <c r="BM131">
        <v>4.6596320041308644E-3</v>
      </c>
      <c r="BN131">
        <v>23</v>
      </c>
      <c r="BO131">
        <v>3.066171605189369E-3</v>
      </c>
      <c r="BP131">
        <v>27</v>
      </c>
      <c r="BQ131">
        <v>0.27199999999999991</v>
      </c>
      <c r="BR131">
        <v>29</v>
      </c>
      <c r="BS131">
        <v>-1.1199999999999999</v>
      </c>
      <c r="BT131">
        <v>0.83999999999999919</v>
      </c>
      <c r="BU131">
        <v>2.12</v>
      </c>
      <c r="BV131">
        <v>-1.4</v>
      </c>
      <c r="BW131">
        <v>38.720000000000006</v>
      </c>
      <c r="BX131">
        <v>30.959999999999997</v>
      </c>
      <c r="BY131">
        <v>7.5199999999999987</v>
      </c>
      <c r="BZ131">
        <v>-2.2400000000000002</v>
      </c>
      <c r="CA131">
        <v>2.48</v>
      </c>
      <c r="CB131">
        <v>22</v>
      </c>
      <c r="CC131">
        <v>-2.5127999999999999</v>
      </c>
      <c r="CD131">
        <v>-1.0174600000000003</v>
      </c>
      <c r="CE131">
        <v>23.439999999999998</v>
      </c>
      <c r="CF131">
        <v>0.73383750000000003</v>
      </c>
    </row>
    <row r="132" spans="1:84" x14ac:dyDescent="0.2">
      <c r="A132" s="39">
        <v>43765</v>
      </c>
      <c r="B132" s="22" t="s">
        <v>248</v>
      </c>
      <c r="C132" s="41" t="s">
        <v>303</v>
      </c>
      <c r="D132" s="22" t="s">
        <v>311</v>
      </c>
      <c r="E132">
        <v>18.100000000000001</v>
      </c>
      <c r="F132">
        <v>18.8</v>
      </c>
      <c r="G132">
        <v>4.7</v>
      </c>
      <c r="H132">
        <v>11.1</v>
      </c>
      <c r="I132">
        <v>5</v>
      </c>
      <c r="J132">
        <v>52</v>
      </c>
      <c r="K132" t="s">
        <v>109</v>
      </c>
      <c r="L132" s="1" t="s">
        <v>303</v>
      </c>
      <c r="M132">
        <v>22</v>
      </c>
      <c r="N132">
        <v>-1.6623999999999994</v>
      </c>
      <c r="O132">
        <v>0.31900000000000067</v>
      </c>
      <c r="P132">
        <v>24.980000000000004</v>
      </c>
      <c r="Q132">
        <v>-1.2399999999999998</v>
      </c>
      <c r="R132">
        <v>2.1040000000000028</v>
      </c>
      <c r="S132">
        <v>-17.75</v>
      </c>
      <c r="T132">
        <v>-2.6400000000000006</v>
      </c>
      <c r="U132">
        <v>19</v>
      </c>
      <c r="V132">
        <v>19.5</v>
      </c>
      <c r="W132">
        <v>-1.1999999999999997</v>
      </c>
      <c r="X132">
        <v>19</v>
      </c>
      <c r="Y132">
        <v>17.25</v>
      </c>
      <c r="Z132">
        <v>14</v>
      </c>
      <c r="AA132">
        <v>-0.12902486826144766</v>
      </c>
      <c r="AB132">
        <v>21</v>
      </c>
      <c r="AC132">
        <v>-3.0990551032092185E-2</v>
      </c>
      <c r="AD132">
        <v>32</v>
      </c>
      <c r="AE132">
        <v>9.4799999999999986</v>
      </c>
      <c r="AF132">
        <v>2</v>
      </c>
      <c r="AG132">
        <v>-3.5200000000000005</v>
      </c>
      <c r="AH132">
        <v>-1</v>
      </c>
      <c r="AI132">
        <v>1.0800000000000005</v>
      </c>
      <c r="AJ132">
        <v>0.96</v>
      </c>
      <c r="AK132">
        <v>25.360000000000003</v>
      </c>
      <c r="AL132">
        <v>-16.360000000000003</v>
      </c>
      <c r="AM132">
        <v>37.279999999999994</v>
      </c>
      <c r="AN132">
        <v>11.56</v>
      </c>
      <c r="AO132">
        <v>-7.12</v>
      </c>
      <c r="AP132">
        <v>21</v>
      </c>
      <c r="AQ132">
        <v>-1.9814000000000001</v>
      </c>
      <c r="AR132">
        <v>-7.117999999999941E-2</v>
      </c>
      <c r="AS132">
        <v>-53.64</v>
      </c>
      <c r="AT132">
        <v>1.9814000000000001</v>
      </c>
      <c r="AU132">
        <v>-4.4924999999999521E-2</v>
      </c>
      <c r="AV132">
        <v>0.46405000000000007</v>
      </c>
      <c r="AW132">
        <v>0.27720000000000011</v>
      </c>
      <c r="AX132" t="s">
        <v>311</v>
      </c>
      <c r="AY132">
        <v>6</v>
      </c>
      <c r="AZ132">
        <v>3.6311999999999984</v>
      </c>
      <c r="BA132">
        <v>-3.6080000000000005</v>
      </c>
      <c r="BB132">
        <v>-17</v>
      </c>
      <c r="BC132">
        <v>0.24000000000000016</v>
      </c>
      <c r="BD132">
        <v>6.144000000000001</v>
      </c>
      <c r="BE132">
        <v>12.960000000000004</v>
      </c>
      <c r="BF132">
        <v>1.6400000000000003</v>
      </c>
      <c r="BG132">
        <v>22</v>
      </c>
      <c r="BH132">
        <v>21.5</v>
      </c>
      <c r="BI132">
        <v>-0.92000000000000015</v>
      </c>
      <c r="BJ132">
        <v>27</v>
      </c>
      <c r="BK132">
        <v>22.75</v>
      </c>
      <c r="BL132">
        <v>31</v>
      </c>
      <c r="BM132">
        <v>5.1431923551284918E-2</v>
      </c>
      <c r="BN132">
        <v>30</v>
      </c>
      <c r="BO132">
        <v>3.0480101374834589E-3</v>
      </c>
      <c r="BP132">
        <v>2</v>
      </c>
      <c r="BQ132">
        <v>0.22400000000000092</v>
      </c>
      <c r="BR132">
        <v>28</v>
      </c>
      <c r="BS132">
        <v>0.51999999999999991</v>
      </c>
      <c r="BT132">
        <v>0.55999999999999805</v>
      </c>
      <c r="BU132">
        <v>1.4399999999999991</v>
      </c>
      <c r="BV132">
        <v>-0.88000000000000012</v>
      </c>
      <c r="BW132">
        <v>-4.5600000000000138</v>
      </c>
      <c r="BX132">
        <v>20</v>
      </c>
      <c r="BY132">
        <v>-19.279999999999998</v>
      </c>
      <c r="BZ132">
        <v>-1.52</v>
      </c>
      <c r="CA132">
        <v>-3.7599999999999993</v>
      </c>
      <c r="CB132">
        <v>2</v>
      </c>
      <c r="CC132">
        <v>7.2391999999999985</v>
      </c>
      <c r="CD132">
        <v>3.7590400000000006</v>
      </c>
      <c r="CE132">
        <v>39.28</v>
      </c>
      <c r="CF132">
        <v>0.65090000000000003</v>
      </c>
    </row>
    <row r="133" spans="1:84" x14ac:dyDescent="0.2">
      <c r="A133" s="39">
        <v>43765</v>
      </c>
      <c r="B133" s="22" t="s">
        <v>248</v>
      </c>
      <c r="C133" s="41" t="s">
        <v>287</v>
      </c>
      <c r="D133" s="22" t="s">
        <v>265</v>
      </c>
      <c r="E133">
        <v>12.3</v>
      </c>
      <c r="F133">
        <v>9.9</v>
      </c>
      <c r="G133">
        <v>0</v>
      </c>
      <c r="H133">
        <v>10.7</v>
      </c>
      <c r="I133">
        <v>3.5</v>
      </c>
      <c r="J133">
        <v>41</v>
      </c>
      <c r="K133" t="s">
        <v>110</v>
      </c>
      <c r="L133" s="1" t="s">
        <v>287</v>
      </c>
      <c r="M133">
        <v>9</v>
      </c>
      <c r="N133">
        <v>2.3751999999999995</v>
      </c>
      <c r="O133">
        <v>5.968</v>
      </c>
      <c r="P133">
        <v>-34.480000000000004</v>
      </c>
      <c r="Q133">
        <v>4.4000000000000004</v>
      </c>
      <c r="R133">
        <v>1.7200000000000013</v>
      </c>
      <c r="S133">
        <v>24.68</v>
      </c>
      <c r="T133">
        <v>1.8400000000000003</v>
      </c>
      <c r="U133">
        <v>4</v>
      </c>
      <c r="V133">
        <v>7</v>
      </c>
      <c r="W133">
        <v>-1.52</v>
      </c>
      <c r="X133">
        <v>10</v>
      </c>
      <c r="Y133">
        <v>12.75</v>
      </c>
      <c r="Z133">
        <v>24</v>
      </c>
      <c r="AA133">
        <v>5.4761741282063923E-2</v>
      </c>
      <c r="AB133">
        <v>12</v>
      </c>
      <c r="AC133">
        <v>-2.2113676610795479E-2</v>
      </c>
      <c r="AD133">
        <v>7</v>
      </c>
      <c r="AE133">
        <v>1.9639999999999957</v>
      </c>
      <c r="AF133">
        <v>8</v>
      </c>
      <c r="AG133">
        <v>0.48000000000000015</v>
      </c>
      <c r="AH133">
        <v>0.63999999999999913</v>
      </c>
      <c r="AI133">
        <v>-1.2</v>
      </c>
      <c r="AJ133">
        <v>0.48000000000000009</v>
      </c>
      <c r="AK133">
        <v>6.3599999999999905</v>
      </c>
      <c r="AL133">
        <v>52.4</v>
      </c>
      <c r="AM133">
        <v>-37.239999999999995</v>
      </c>
      <c r="AN133">
        <v>-0.28000000000000003</v>
      </c>
      <c r="AO133">
        <v>-8.52</v>
      </c>
      <c r="AP133">
        <v>24</v>
      </c>
      <c r="AQ133">
        <v>-3.5928000000000004</v>
      </c>
      <c r="AR133">
        <v>-2.1649599999999998</v>
      </c>
      <c r="AS133">
        <v>89.639999999999986</v>
      </c>
      <c r="AT133">
        <v>3.5928000000000004</v>
      </c>
      <c r="AU133">
        <v>1.4129000000000003</v>
      </c>
      <c r="AV133">
        <v>-0.46067500000000006</v>
      </c>
      <c r="AW133">
        <v>-0.41915000000000019</v>
      </c>
      <c r="AX133" t="s">
        <v>265</v>
      </c>
      <c r="AY133">
        <v>29</v>
      </c>
      <c r="AZ133">
        <v>-2.2767999999999997</v>
      </c>
      <c r="BA133">
        <v>1.3791999999999993</v>
      </c>
      <c r="BB133">
        <v>-12.120000000000001</v>
      </c>
      <c r="BC133">
        <v>4.0000000000000036E-2</v>
      </c>
      <c r="BD133">
        <v>-1.1599999999999984</v>
      </c>
      <c r="BE133">
        <v>21.180000000000003</v>
      </c>
      <c r="BF133">
        <v>1.9600000000000002</v>
      </c>
      <c r="BG133">
        <v>15</v>
      </c>
      <c r="BH133">
        <v>13</v>
      </c>
      <c r="BI133">
        <v>-0.20000000000000018</v>
      </c>
      <c r="BJ133">
        <v>32</v>
      </c>
      <c r="BK133">
        <v>29.25</v>
      </c>
      <c r="BL133">
        <v>28</v>
      </c>
      <c r="BM133">
        <v>-1.8124464133477809E-2</v>
      </c>
      <c r="BN133">
        <v>29</v>
      </c>
      <c r="BO133">
        <v>2.2028165379901323E-3</v>
      </c>
      <c r="BP133">
        <v>29</v>
      </c>
      <c r="BQ133">
        <v>4.4359999999999999</v>
      </c>
      <c r="BR133">
        <v>31</v>
      </c>
      <c r="BS133">
        <v>3.3600000000000003</v>
      </c>
      <c r="BT133">
        <v>1.4799999999999998</v>
      </c>
      <c r="BU133">
        <v>-0.80000000000000038</v>
      </c>
      <c r="BV133">
        <v>-0.88000000000000012</v>
      </c>
      <c r="BW133">
        <v>-12.600000000000012</v>
      </c>
      <c r="BX133">
        <v>6.6799999999999953</v>
      </c>
      <c r="BY133">
        <v>-12.120000000000005</v>
      </c>
      <c r="BZ133">
        <v>-7.6400000000000006</v>
      </c>
      <c r="CA133">
        <v>0.48000000000000043</v>
      </c>
      <c r="CB133">
        <v>26</v>
      </c>
      <c r="CC133">
        <v>-3.6559999999999988</v>
      </c>
      <c r="CD133">
        <v>-1.3769599999999993</v>
      </c>
      <c r="CE133">
        <v>18.8</v>
      </c>
      <c r="CF133">
        <v>-0.50219999999999987</v>
      </c>
    </row>
    <row r="134" spans="1:84" x14ac:dyDescent="0.2">
      <c r="A134" s="39">
        <v>43765</v>
      </c>
      <c r="B134" s="22" t="s">
        <v>248</v>
      </c>
      <c r="C134" s="41" t="s">
        <v>304</v>
      </c>
      <c r="D134" s="22" t="s">
        <v>272</v>
      </c>
      <c r="E134" s="14">
        <v>38</v>
      </c>
      <c r="F134">
        <v>6.2</v>
      </c>
      <c r="G134">
        <v>16.2</v>
      </c>
      <c r="H134">
        <f>3.5+1.8</f>
        <v>5.3</v>
      </c>
      <c r="I134">
        <v>-12</v>
      </c>
      <c r="J134">
        <v>48.5</v>
      </c>
      <c r="K134" t="s">
        <v>109</v>
      </c>
      <c r="L134" s="1" t="s">
        <v>304</v>
      </c>
      <c r="M134">
        <v>25</v>
      </c>
      <c r="N134">
        <v>-2.0536000000000016</v>
      </c>
      <c r="O134">
        <v>-5.1327999999999996</v>
      </c>
      <c r="P134">
        <v>-26.919999999999995</v>
      </c>
      <c r="Q134">
        <v>-0.55999999999999994</v>
      </c>
      <c r="R134">
        <v>17.388000000000002</v>
      </c>
      <c r="S134">
        <v>79.919999999999987</v>
      </c>
      <c r="T134">
        <v>12.84</v>
      </c>
      <c r="U134">
        <v>16</v>
      </c>
      <c r="V134">
        <v>15.5</v>
      </c>
      <c r="W134">
        <v>-4.0000000000000216E-2</v>
      </c>
      <c r="X134">
        <v>23</v>
      </c>
      <c r="Y134">
        <v>20.5</v>
      </c>
      <c r="Z134">
        <v>32</v>
      </c>
      <c r="AA134">
        <v>4.6529296223672134E-2</v>
      </c>
      <c r="AB134">
        <v>29</v>
      </c>
      <c r="AC134">
        <v>-1.7486415337316485E-2</v>
      </c>
      <c r="AD134">
        <v>8</v>
      </c>
      <c r="AE134">
        <v>-13.900000000000006</v>
      </c>
      <c r="AF134">
        <v>13</v>
      </c>
      <c r="AG134">
        <v>0.43999999999999967</v>
      </c>
      <c r="AH134">
        <v>5.4399999999999995</v>
      </c>
      <c r="AI134">
        <v>0.11999999999999958</v>
      </c>
      <c r="AJ134">
        <v>0.48000000000000009</v>
      </c>
      <c r="AK134">
        <v>21.639999999999997</v>
      </c>
      <c r="AL134">
        <v>56.64</v>
      </c>
      <c r="AM134">
        <v>-28.479999999999997</v>
      </c>
      <c r="AN134">
        <v>8.92</v>
      </c>
      <c r="AO134">
        <v>-15.440000000000003</v>
      </c>
      <c r="AP134">
        <v>15</v>
      </c>
      <c r="AQ134">
        <v>3.0791999999999975</v>
      </c>
      <c r="AR134">
        <v>5.6332799999999992</v>
      </c>
      <c r="AS134">
        <v>85.12</v>
      </c>
      <c r="AT134">
        <v>-3.0791999999999979</v>
      </c>
      <c r="AU134">
        <v>1.6351999999999998</v>
      </c>
      <c r="AV134">
        <v>0.12783333333333302</v>
      </c>
      <c r="AW134">
        <v>-0.6726000000000002</v>
      </c>
      <c r="AX134" t="s">
        <v>272</v>
      </c>
      <c r="AY134">
        <v>10</v>
      </c>
      <c r="AZ134">
        <v>4.1487999999999996</v>
      </c>
      <c r="BA134">
        <v>4.3479999999999981</v>
      </c>
      <c r="BB134">
        <v>11.8</v>
      </c>
      <c r="BC134">
        <v>1.1199999999999999</v>
      </c>
      <c r="BD134">
        <v>-3.3906666666666667</v>
      </c>
      <c r="BE134">
        <v>-4.8666666666666671</v>
      </c>
      <c r="BF134">
        <v>-3.8666666666666667</v>
      </c>
      <c r="BG134">
        <v>20</v>
      </c>
      <c r="BH134">
        <v>21</v>
      </c>
      <c r="BI134">
        <v>2.6</v>
      </c>
      <c r="BJ134">
        <v>22</v>
      </c>
      <c r="BK134">
        <v>18.25</v>
      </c>
      <c r="BL134">
        <v>13</v>
      </c>
      <c r="BM134">
        <v>3.243864813714914E-3</v>
      </c>
      <c r="BN134">
        <v>15</v>
      </c>
      <c r="BO134">
        <v>-3.3227979926275651E-2</v>
      </c>
      <c r="BP134">
        <v>19</v>
      </c>
      <c r="BQ134">
        <v>-5.2720000000000002</v>
      </c>
      <c r="BR134">
        <v>26</v>
      </c>
      <c r="BS134">
        <v>-3.28</v>
      </c>
      <c r="BT134">
        <v>6.4399999999999977</v>
      </c>
      <c r="BU134">
        <v>2.2000000000000002</v>
      </c>
      <c r="BV134">
        <v>0</v>
      </c>
      <c r="BW134">
        <v>74.239999999999995</v>
      </c>
      <c r="BX134">
        <v>24.32</v>
      </c>
      <c r="BY134">
        <v>15.520000000000005</v>
      </c>
      <c r="BZ134">
        <v>8.24</v>
      </c>
      <c r="CA134">
        <v>26.160000000000004</v>
      </c>
      <c r="CB134">
        <v>17</v>
      </c>
      <c r="CC134">
        <v>-0.19919999999999849</v>
      </c>
      <c r="CD134">
        <v>-2.0223733333333325</v>
      </c>
      <c r="CE134">
        <v>8.7999999999999954</v>
      </c>
      <c r="CF134">
        <v>0.92826666666666624</v>
      </c>
    </row>
    <row r="135" spans="1:84" x14ac:dyDescent="0.2">
      <c r="A135" s="39">
        <v>43765</v>
      </c>
      <c r="B135" s="22" t="s">
        <v>248</v>
      </c>
      <c r="C135" s="41" t="s">
        <v>293</v>
      </c>
      <c r="D135" s="22" t="s">
        <v>309</v>
      </c>
      <c r="E135" s="14">
        <v>8.1999999999999993</v>
      </c>
      <c r="F135">
        <v>11.9</v>
      </c>
      <c r="G135">
        <v>8.1999999999999993</v>
      </c>
      <c r="H135">
        <v>3</v>
      </c>
      <c r="I135">
        <v>14</v>
      </c>
      <c r="J135">
        <v>44</v>
      </c>
      <c r="L135" s="1" t="s">
        <v>293</v>
      </c>
      <c r="M135">
        <v>17</v>
      </c>
      <c r="N135">
        <v>-0.83359999999999945</v>
      </c>
      <c r="O135">
        <v>-6.2</v>
      </c>
      <c r="P135">
        <v>-18.319999999999993</v>
      </c>
      <c r="Q135">
        <v>2.0000000000000004</v>
      </c>
      <c r="R135">
        <v>-1.7640000000000029</v>
      </c>
      <c r="S135">
        <v>-13.24</v>
      </c>
      <c r="T135">
        <v>0.96000000000000085</v>
      </c>
      <c r="U135">
        <v>13</v>
      </c>
      <c r="V135">
        <v>12</v>
      </c>
      <c r="W135">
        <v>-6.7199999999999989</v>
      </c>
      <c r="X135">
        <v>16</v>
      </c>
      <c r="Y135">
        <v>14.5</v>
      </c>
      <c r="Z135">
        <v>12</v>
      </c>
      <c r="AA135">
        <v>2.8946055090405275E-2</v>
      </c>
      <c r="AB135">
        <v>10</v>
      </c>
      <c r="AC135">
        <v>4.9853409515472624E-3</v>
      </c>
      <c r="AD135">
        <v>14</v>
      </c>
      <c r="AE135">
        <v>-4.452</v>
      </c>
      <c r="AF135">
        <v>22</v>
      </c>
      <c r="AG135">
        <v>2.4400000000000004</v>
      </c>
      <c r="AH135">
        <v>-0.36000000000000087</v>
      </c>
      <c r="AI135">
        <v>-4.6399999999999997</v>
      </c>
      <c r="AJ135">
        <v>-1.1199999999999999</v>
      </c>
      <c r="AK135">
        <v>-33.839999999999996</v>
      </c>
      <c r="AL135">
        <v>-7.3200000000000047</v>
      </c>
      <c r="AM135">
        <v>-21.119999999999997</v>
      </c>
      <c r="AN135">
        <v>-2.7600000000000002</v>
      </c>
      <c r="AO135">
        <v>-2.6400000000000006</v>
      </c>
      <c r="AP135">
        <v>9</v>
      </c>
      <c r="AQ135">
        <v>5.3664000000000005</v>
      </c>
      <c r="AR135">
        <v>2.5804799999999997</v>
      </c>
      <c r="AS135">
        <v>13.799999999999994</v>
      </c>
      <c r="AT135">
        <v>-5.3664000000000005</v>
      </c>
      <c r="AU135">
        <v>-1.4197000000000002</v>
      </c>
      <c r="AV135">
        <v>9.2083333333333184E-2</v>
      </c>
      <c r="AW135">
        <v>1.84785</v>
      </c>
      <c r="AX135" t="s">
        <v>309</v>
      </c>
      <c r="AY135">
        <v>31</v>
      </c>
      <c r="AZ135">
        <v>-3.6628000000000016</v>
      </c>
      <c r="BA135">
        <v>-7.3279999999999976</v>
      </c>
      <c r="BB135">
        <v>-10.200000000000001</v>
      </c>
      <c r="BC135">
        <v>-8.0000000000000071E-2</v>
      </c>
      <c r="BD135">
        <v>-1.1586666666666683</v>
      </c>
      <c r="BE135">
        <v>-14.866666666666658</v>
      </c>
      <c r="BF135">
        <v>-1.7866666666666666</v>
      </c>
      <c r="BG135">
        <v>30</v>
      </c>
      <c r="BH135">
        <v>27.5</v>
      </c>
      <c r="BI135">
        <v>-2.12</v>
      </c>
      <c r="BJ135">
        <v>1</v>
      </c>
      <c r="BK135">
        <v>5.25</v>
      </c>
      <c r="BL135">
        <v>2</v>
      </c>
      <c r="BM135">
        <v>4.9765878361423529E-2</v>
      </c>
      <c r="BN135">
        <v>1</v>
      </c>
      <c r="BO135">
        <v>2.4410625011643754E-2</v>
      </c>
      <c r="BP135">
        <v>16</v>
      </c>
      <c r="BQ135">
        <v>-5.6320000000000032</v>
      </c>
      <c r="BR135">
        <v>2</v>
      </c>
      <c r="BS135">
        <v>5.0400000000000009</v>
      </c>
      <c r="BT135">
        <v>0.27999999999999969</v>
      </c>
      <c r="BU135">
        <v>-2.5200000000000005</v>
      </c>
      <c r="BV135">
        <v>-1.1199999999999999</v>
      </c>
      <c r="BW135">
        <v>-31.080000000000005</v>
      </c>
      <c r="BX135">
        <v>-10.88</v>
      </c>
      <c r="BY135">
        <v>-13.48</v>
      </c>
      <c r="BZ135">
        <v>-3.4</v>
      </c>
      <c r="CA135">
        <v>-3.3200000000000003</v>
      </c>
      <c r="CB135">
        <v>8</v>
      </c>
      <c r="CC135">
        <v>3.6651999999999965</v>
      </c>
      <c r="CD135">
        <v>2.6997066666666649</v>
      </c>
      <c r="CE135">
        <v>2.5999999999999996</v>
      </c>
      <c r="CF135">
        <v>-1.6636833333333336</v>
      </c>
    </row>
    <row r="136" spans="1:84" x14ac:dyDescent="0.2">
      <c r="A136" s="39">
        <v>43765</v>
      </c>
      <c r="B136" s="22" t="s">
        <v>248</v>
      </c>
      <c r="C136" s="41" t="s">
        <v>312</v>
      </c>
      <c r="D136" s="22" t="s">
        <v>306</v>
      </c>
      <c r="E136" s="3">
        <v>23.3</v>
      </c>
      <c r="F136">
        <v>4.7</v>
      </c>
      <c r="G136">
        <v>1.1000000000000001</v>
      </c>
      <c r="H136">
        <f>5.1+4.7</f>
        <v>9.8000000000000007</v>
      </c>
      <c r="I136">
        <v>-16.5</v>
      </c>
      <c r="J136">
        <v>42</v>
      </c>
      <c r="L136" s="1" t="s">
        <v>312</v>
      </c>
      <c r="M136">
        <v>14</v>
      </c>
      <c r="N136">
        <v>0.86319999999999941</v>
      </c>
      <c r="O136">
        <v>4.0460000000000012</v>
      </c>
      <c r="P136">
        <v>42.16</v>
      </c>
      <c r="Q136">
        <v>-1.4600000000000002</v>
      </c>
      <c r="R136">
        <v>7.7149999999999972</v>
      </c>
      <c r="S136">
        <v>24.98</v>
      </c>
      <c r="T136">
        <v>-3.7699999999999996</v>
      </c>
      <c r="U136">
        <v>26</v>
      </c>
      <c r="V136">
        <v>25</v>
      </c>
      <c r="W136">
        <v>-1.0399999999999998</v>
      </c>
      <c r="X136">
        <v>28</v>
      </c>
      <c r="Y136">
        <v>24.5</v>
      </c>
      <c r="Z136">
        <v>22</v>
      </c>
      <c r="AA136">
        <v>2.5572912803833937E-2</v>
      </c>
      <c r="AB136">
        <v>27</v>
      </c>
      <c r="AC136">
        <v>-3.269698447080195E-3</v>
      </c>
      <c r="AD136">
        <v>22</v>
      </c>
      <c r="AE136">
        <v>20.055999999999997</v>
      </c>
      <c r="AF136">
        <v>27</v>
      </c>
      <c r="AG136">
        <v>-4.5600000000000005</v>
      </c>
      <c r="AH136">
        <v>-0.95999999999999941</v>
      </c>
      <c r="AI136">
        <v>4.3199999999999994</v>
      </c>
      <c r="AJ136">
        <v>-0.88000000000000012</v>
      </c>
      <c r="AK136">
        <v>41.720000000000006</v>
      </c>
      <c r="AL136">
        <v>6.5599999999999969</v>
      </c>
      <c r="AM136">
        <v>47</v>
      </c>
      <c r="AN136">
        <v>0.11999999999999988</v>
      </c>
      <c r="AO136">
        <v>-11.959999999999999</v>
      </c>
      <c r="AP136">
        <v>22</v>
      </c>
      <c r="AQ136">
        <v>-3.1828000000000021</v>
      </c>
      <c r="AR136">
        <v>-0.30736000000000141</v>
      </c>
      <c r="AS136">
        <v>-40.440000000000005</v>
      </c>
      <c r="AT136">
        <v>3.1828000000000016</v>
      </c>
      <c r="AU136">
        <v>1.6780249999999999</v>
      </c>
      <c r="AV136">
        <v>0.31806250000000003</v>
      </c>
      <c r="AW136">
        <v>0.37019999999999986</v>
      </c>
      <c r="AX136" t="s">
        <v>306</v>
      </c>
      <c r="AY136">
        <v>22</v>
      </c>
      <c r="AZ136">
        <v>0.5763999999999998</v>
      </c>
      <c r="BA136">
        <v>0.60400000000000187</v>
      </c>
      <c r="BB136">
        <v>10.509999999999998</v>
      </c>
      <c r="BC136">
        <v>1.3699999999999999</v>
      </c>
      <c r="BD136">
        <v>-0.17299999999999982</v>
      </c>
      <c r="BE136">
        <v>-6.6599999999999966</v>
      </c>
      <c r="BF136">
        <v>-2.0199999999999996</v>
      </c>
      <c r="BG136">
        <v>12</v>
      </c>
      <c r="BH136">
        <v>12.5</v>
      </c>
      <c r="BI136">
        <v>3.4800000000000004</v>
      </c>
      <c r="BJ136">
        <v>3</v>
      </c>
      <c r="BK136">
        <v>8</v>
      </c>
      <c r="BL136">
        <v>13</v>
      </c>
      <c r="BM136">
        <v>-2.3986938232246846E-2</v>
      </c>
      <c r="BN136">
        <v>2</v>
      </c>
      <c r="BO136">
        <v>4.5405359244135605E-3</v>
      </c>
      <c r="BP136">
        <v>9</v>
      </c>
      <c r="BQ136">
        <v>10.428000000000001</v>
      </c>
      <c r="BR136">
        <v>8</v>
      </c>
      <c r="BS136">
        <v>-1.8</v>
      </c>
      <c r="BT136">
        <v>0.71999999999999886</v>
      </c>
      <c r="BU136">
        <v>-0.24000000000000021</v>
      </c>
      <c r="BV136">
        <v>0.48000000000000009</v>
      </c>
      <c r="BW136">
        <v>18.199999999999989</v>
      </c>
      <c r="BX136">
        <v>1.4800000000000011</v>
      </c>
      <c r="BY136">
        <v>11.4</v>
      </c>
      <c r="BZ136">
        <v>1.4400000000000002</v>
      </c>
      <c r="CA136">
        <v>3.88</v>
      </c>
      <c r="CB136">
        <v>15</v>
      </c>
      <c r="CC136">
        <v>-2.7600000000001845E-2</v>
      </c>
      <c r="CD136">
        <v>-0.22132000000000099</v>
      </c>
      <c r="CE136">
        <v>-9.92</v>
      </c>
      <c r="CF136">
        <v>0.26592500000000024</v>
      </c>
    </row>
    <row r="137" spans="1:84" x14ac:dyDescent="0.2">
      <c r="A137" s="39">
        <v>43765</v>
      </c>
      <c r="B137" s="22" t="s">
        <v>248</v>
      </c>
      <c r="C137" s="41" t="s">
        <v>302</v>
      </c>
      <c r="D137" s="22" t="s">
        <v>281</v>
      </c>
      <c r="E137">
        <v>27.5</v>
      </c>
      <c r="F137">
        <v>7.3</v>
      </c>
      <c r="G137">
        <v>4.3</v>
      </c>
      <c r="H137">
        <v>3.6</v>
      </c>
      <c r="I137">
        <v>-9.5</v>
      </c>
      <c r="J137">
        <v>43</v>
      </c>
      <c r="L137" s="1" t="s">
        <v>302</v>
      </c>
      <c r="M137">
        <v>10</v>
      </c>
      <c r="N137">
        <v>2.1988000000000008</v>
      </c>
      <c r="O137">
        <v>3.1479999999999997</v>
      </c>
      <c r="P137">
        <v>-16.68</v>
      </c>
      <c r="Q137">
        <v>3.44</v>
      </c>
      <c r="R137">
        <v>2.2999999999999998</v>
      </c>
      <c r="S137">
        <v>8.2799999999999994</v>
      </c>
      <c r="T137">
        <v>2.1599999999999984</v>
      </c>
      <c r="U137">
        <v>2</v>
      </c>
      <c r="V137">
        <v>5</v>
      </c>
      <c r="W137">
        <v>5.4</v>
      </c>
      <c r="X137">
        <v>27</v>
      </c>
      <c r="Y137">
        <v>23.25</v>
      </c>
      <c r="Z137">
        <v>23</v>
      </c>
      <c r="AA137">
        <v>-8.9979439067244177E-2</v>
      </c>
      <c r="AB137">
        <v>26</v>
      </c>
      <c r="AC137">
        <v>-1.9611903991862328E-2</v>
      </c>
      <c r="AD137">
        <v>23</v>
      </c>
      <c r="AE137">
        <v>-8.3800000000000026</v>
      </c>
      <c r="AF137">
        <v>21</v>
      </c>
      <c r="AG137">
        <v>-4.0000000000000216E-2</v>
      </c>
      <c r="AH137">
        <v>6.2399999999999993</v>
      </c>
      <c r="AI137">
        <v>2.7999999999999994</v>
      </c>
      <c r="AJ137">
        <v>1.8400000000000005</v>
      </c>
      <c r="AK137">
        <v>16.519999999999992</v>
      </c>
      <c r="AL137">
        <v>36.04</v>
      </c>
      <c r="AM137">
        <v>-11.839999999999998</v>
      </c>
      <c r="AN137">
        <v>2.7199999999999998</v>
      </c>
      <c r="AO137">
        <v>-10.4</v>
      </c>
      <c r="AP137">
        <v>19</v>
      </c>
      <c r="AQ137">
        <v>-0.94919999999999849</v>
      </c>
      <c r="AR137">
        <v>-0.67423999999999962</v>
      </c>
      <c r="AS137">
        <v>47.879999999999995</v>
      </c>
      <c r="AT137">
        <v>0.94919999999999893</v>
      </c>
      <c r="AU137">
        <v>0.75085000000000024</v>
      </c>
      <c r="AV137">
        <v>-1.2156791666666666</v>
      </c>
      <c r="AW137">
        <v>-2.5135999999999998</v>
      </c>
      <c r="AX137" t="s">
        <v>281</v>
      </c>
      <c r="AY137">
        <v>11</v>
      </c>
      <c r="AZ137">
        <v>0.90559999999999863</v>
      </c>
      <c r="BA137">
        <v>-0.47999999999999865</v>
      </c>
      <c r="BB137">
        <v>20.999999999999996</v>
      </c>
      <c r="BC137">
        <v>-1.6400000000000001</v>
      </c>
      <c r="BD137">
        <v>0.59233333333333338</v>
      </c>
      <c r="BE137">
        <v>-24.896666666666668</v>
      </c>
      <c r="BF137">
        <v>-3.2366666666666664</v>
      </c>
      <c r="BG137">
        <v>29</v>
      </c>
      <c r="BH137">
        <v>27</v>
      </c>
      <c r="BI137">
        <v>0.44000000000000022</v>
      </c>
      <c r="BJ137">
        <v>9</v>
      </c>
      <c r="BK137">
        <v>12.5</v>
      </c>
      <c r="BL137">
        <v>8</v>
      </c>
      <c r="BM137">
        <v>3.0813975435656466E-2</v>
      </c>
      <c r="BN137">
        <v>16</v>
      </c>
      <c r="BO137">
        <v>2.0100071350142478E-2</v>
      </c>
      <c r="BP137">
        <v>7</v>
      </c>
      <c r="BQ137">
        <v>3.6359999999999983</v>
      </c>
      <c r="BR137">
        <v>19</v>
      </c>
      <c r="BS137">
        <v>-0.92000000000000015</v>
      </c>
      <c r="BT137">
        <v>-1.2800000000000011</v>
      </c>
      <c r="BU137">
        <v>0.75999999999999945</v>
      </c>
      <c r="BV137">
        <v>-0.91999999999999993</v>
      </c>
      <c r="BW137">
        <v>12.920000000000005</v>
      </c>
      <c r="BX137">
        <v>-8.1599999999999966</v>
      </c>
      <c r="BY137">
        <v>20.2</v>
      </c>
      <c r="BZ137">
        <v>4.76</v>
      </c>
      <c r="CA137">
        <v>-3.88</v>
      </c>
      <c r="CB137">
        <v>12</v>
      </c>
      <c r="CC137">
        <v>1.3855999999999971</v>
      </c>
      <c r="CD137">
        <v>0.53958666666666555</v>
      </c>
      <c r="CE137">
        <v>-28.359999999999996</v>
      </c>
      <c r="CF137">
        <v>8.2241666666666588E-2</v>
      </c>
    </row>
    <row r="138" spans="1:84" x14ac:dyDescent="0.2">
      <c r="A138" s="39">
        <v>43765</v>
      </c>
      <c r="B138" s="22" t="s">
        <v>248</v>
      </c>
      <c r="C138" s="41" t="s">
        <v>307</v>
      </c>
      <c r="D138" s="22" t="s">
        <v>285</v>
      </c>
      <c r="E138">
        <v>30.3</v>
      </c>
      <c r="F138">
        <v>6.2</v>
      </c>
      <c r="G138">
        <v>3.7</v>
      </c>
      <c r="H138">
        <f>6.9+4.5</f>
        <v>11.4</v>
      </c>
      <c r="I138">
        <v>-12.5</v>
      </c>
      <c r="J138">
        <v>47.5</v>
      </c>
      <c r="K138" t="s">
        <v>110</v>
      </c>
      <c r="L138" s="1" t="s">
        <v>307</v>
      </c>
      <c r="M138">
        <v>11</v>
      </c>
      <c r="N138">
        <v>1.7223999999999997</v>
      </c>
      <c r="O138">
        <v>3.2292000000000023</v>
      </c>
      <c r="P138">
        <v>13.48</v>
      </c>
      <c r="Q138">
        <v>1.6800000000000002</v>
      </c>
      <c r="R138">
        <v>-0.82499999999999907</v>
      </c>
      <c r="S138">
        <v>-26.46</v>
      </c>
      <c r="T138">
        <v>-3.4899999999999998</v>
      </c>
      <c r="U138">
        <v>4</v>
      </c>
      <c r="V138">
        <v>7</v>
      </c>
      <c r="W138">
        <v>3.04</v>
      </c>
      <c r="X138">
        <v>32</v>
      </c>
      <c r="Y138">
        <v>29.5</v>
      </c>
      <c r="Z138">
        <v>30</v>
      </c>
      <c r="AA138">
        <v>-1.8999449690132141E-2</v>
      </c>
      <c r="AB138">
        <v>28</v>
      </c>
      <c r="AC138">
        <v>-1.246779131224739E-2</v>
      </c>
      <c r="AD138">
        <v>31</v>
      </c>
      <c r="AE138">
        <v>5.7319999999999993</v>
      </c>
      <c r="AF138">
        <v>29</v>
      </c>
      <c r="AG138">
        <v>-2.6399999999999997</v>
      </c>
      <c r="AH138">
        <v>1.2</v>
      </c>
      <c r="AI138">
        <v>7.1054273576010023E-16</v>
      </c>
      <c r="AJ138">
        <v>1.4400000000000002</v>
      </c>
      <c r="AK138">
        <v>-4.0399999999999974</v>
      </c>
      <c r="AL138">
        <v>-18.560000000000002</v>
      </c>
      <c r="AM138">
        <v>10.52</v>
      </c>
      <c r="AN138">
        <v>-0.59999999999999987</v>
      </c>
      <c r="AO138">
        <v>4.5999999999999996</v>
      </c>
      <c r="AP138">
        <v>20</v>
      </c>
      <c r="AQ138">
        <v>-1.5068000000000024</v>
      </c>
      <c r="AR138">
        <v>-1.4351200000000008</v>
      </c>
      <c r="AS138">
        <v>-29.080000000000002</v>
      </c>
      <c r="AT138">
        <v>1.5068000000000026</v>
      </c>
      <c r="AU138">
        <v>0.67082500000000045</v>
      </c>
      <c r="AV138">
        <v>-0.52557500000000024</v>
      </c>
      <c r="AW138">
        <v>-2.7686500000000001</v>
      </c>
      <c r="AX138" t="s">
        <v>285</v>
      </c>
      <c r="AY138">
        <v>1</v>
      </c>
      <c r="AZ138">
        <v>1.6319999999999975</v>
      </c>
      <c r="BA138">
        <v>1.9440000000000004</v>
      </c>
      <c r="BB138">
        <v>24.630000000000003</v>
      </c>
      <c r="BC138">
        <v>-1.9899999999999998</v>
      </c>
      <c r="BD138">
        <v>8.4039999999999999</v>
      </c>
      <c r="BE138">
        <v>15.230000000000004</v>
      </c>
      <c r="BF138">
        <v>-1.95</v>
      </c>
      <c r="BG138">
        <v>19</v>
      </c>
      <c r="BH138">
        <v>20.5</v>
      </c>
      <c r="BI138">
        <v>1.08</v>
      </c>
      <c r="BJ138">
        <v>26</v>
      </c>
      <c r="BK138">
        <v>22</v>
      </c>
      <c r="BL138">
        <v>5</v>
      </c>
      <c r="BM138">
        <v>-4.3532916082351545E-3</v>
      </c>
      <c r="BN138">
        <v>31</v>
      </c>
      <c r="BO138">
        <v>1.5463369961718765E-2</v>
      </c>
      <c r="BP138">
        <v>20</v>
      </c>
      <c r="BQ138">
        <v>15.796000000000001</v>
      </c>
      <c r="BR138">
        <v>32</v>
      </c>
      <c r="BS138">
        <v>-5.6</v>
      </c>
      <c r="BT138">
        <v>-1.3600000000000008</v>
      </c>
      <c r="BU138">
        <v>5.08</v>
      </c>
      <c r="BV138">
        <v>1.04</v>
      </c>
      <c r="BW138">
        <v>31.400000000000013</v>
      </c>
      <c r="BX138">
        <v>10.8</v>
      </c>
      <c r="BY138">
        <v>26.720000000000006</v>
      </c>
      <c r="BZ138">
        <v>-2.5200000000000005</v>
      </c>
      <c r="CA138">
        <v>-3.6</v>
      </c>
      <c r="CB138">
        <v>18</v>
      </c>
      <c r="CC138">
        <v>-0.31200000000000294</v>
      </c>
      <c r="CD138">
        <v>1.035199999999999</v>
      </c>
      <c r="CE138">
        <v>-15.920000000000005</v>
      </c>
      <c r="CF138">
        <v>1.7174999999999996</v>
      </c>
    </row>
    <row r="139" spans="1:84" x14ac:dyDescent="0.2">
      <c r="A139" s="39">
        <v>43765</v>
      </c>
      <c r="B139" s="22" t="s">
        <v>248</v>
      </c>
      <c r="C139" s="41" t="s">
        <v>296</v>
      </c>
      <c r="D139" s="22" t="s">
        <v>299</v>
      </c>
      <c r="E139">
        <v>16.5</v>
      </c>
      <c r="F139">
        <v>19</v>
      </c>
      <c r="G139">
        <v>4.8</v>
      </c>
      <c r="H139">
        <v>14.9</v>
      </c>
      <c r="I139">
        <v>6.5</v>
      </c>
      <c r="J139">
        <v>49</v>
      </c>
      <c r="K139" t="s">
        <v>109</v>
      </c>
      <c r="L139" s="1" t="s">
        <v>296</v>
      </c>
      <c r="M139">
        <v>16</v>
      </c>
      <c r="N139">
        <v>-0.66879999999999984</v>
      </c>
      <c r="O139">
        <v>-5.9127999999999989</v>
      </c>
      <c r="P139">
        <v>-21.24</v>
      </c>
      <c r="Q139">
        <v>-2.12</v>
      </c>
      <c r="R139">
        <v>-3.488</v>
      </c>
      <c r="S139">
        <v>-4.5600000000000023</v>
      </c>
      <c r="T139">
        <v>0.56000000000000039</v>
      </c>
      <c r="U139">
        <v>28</v>
      </c>
      <c r="V139">
        <v>27.5</v>
      </c>
      <c r="W139">
        <v>2.8</v>
      </c>
      <c r="X139">
        <v>2</v>
      </c>
      <c r="Y139">
        <v>7.5</v>
      </c>
      <c r="Z139">
        <v>3</v>
      </c>
      <c r="AA139">
        <v>8.1233809770880835E-2</v>
      </c>
      <c r="AB139">
        <v>16</v>
      </c>
      <c r="AC139">
        <v>5.0895119444456351E-3</v>
      </c>
      <c r="AD139">
        <v>10</v>
      </c>
      <c r="AE139">
        <v>-4.5840000000000014</v>
      </c>
      <c r="AF139">
        <v>1</v>
      </c>
      <c r="AG139">
        <v>5.16</v>
      </c>
      <c r="AH139">
        <v>-1.7199999999999989</v>
      </c>
      <c r="AI139">
        <v>-4.0400000000000009</v>
      </c>
      <c r="AJ139">
        <v>1.9599999999999997</v>
      </c>
      <c r="AK139">
        <v>-26.68</v>
      </c>
      <c r="AL139">
        <v>-21.040000000000003</v>
      </c>
      <c r="AM139">
        <v>-20.48</v>
      </c>
      <c r="AN139">
        <v>1.56</v>
      </c>
      <c r="AO139">
        <v>13.280000000000001</v>
      </c>
      <c r="AP139">
        <v>10</v>
      </c>
      <c r="AQ139">
        <v>5.2439999999999989</v>
      </c>
      <c r="AR139">
        <v>2.1250399999999994</v>
      </c>
      <c r="AS139">
        <v>-0.56000000000000227</v>
      </c>
      <c r="AT139">
        <v>-5.2439999999999989</v>
      </c>
      <c r="AU139">
        <v>-1.6187</v>
      </c>
      <c r="AV139">
        <v>0.8408374999999999</v>
      </c>
      <c r="AW139">
        <v>-0.40472500000000011</v>
      </c>
      <c r="AX139" t="s">
        <v>299</v>
      </c>
      <c r="AY139">
        <v>3</v>
      </c>
      <c r="AZ139">
        <v>4.7991999999999999</v>
      </c>
      <c r="BA139">
        <v>7.6760000000000002</v>
      </c>
      <c r="BB139">
        <v>17.79</v>
      </c>
      <c r="BC139">
        <v>1.0000000000000037E-2</v>
      </c>
      <c r="BD139">
        <v>4.3759999999999986</v>
      </c>
      <c r="BE139">
        <v>15.559999999999995</v>
      </c>
      <c r="BF139">
        <v>2.8800000000000003</v>
      </c>
      <c r="BG139">
        <v>12</v>
      </c>
      <c r="BH139">
        <v>12.5</v>
      </c>
      <c r="BI139">
        <v>-2.6</v>
      </c>
      <c r="BJ139">
        <v>24</v>
      </c>
      <c r="BK139">
        <v>21</v>
      </c>
      <c r="BL139">
        <v>26</v>
      </c>
      <c r="BM139">
        <v>-6.0675730733644573E-2</v>
      </c>
      <c r="BN139">
        <v>23</v>
      </c>
      <c r="BO139">
        <v>-1.5127900761252797E-2</v>
      </c>
      <c r="BP139">
        <v>5</v>
      </c>
      <c r="BQ139">
        <v>-3.7399999999999962</v>
      </c>
      <c r="BR139">
        <v>30</v>
      </c>
      <c r="BS139">
        <v>4.0000000000000036E-2</v>
      </c>
      <c r="BT139">
        <v>7.2799999999999994</v>
      </c>
      <c r="BU139">
        <v>4.24</v>
      </c>
      <c r="BV139">
        <v>-0.64</v>
      </c>
      <c r="BW139">
        <v>58.879999999999995</v>
      </c>
      <c r="BX139">
        <v>35.28</v>
      </c>
      <c r="BY139">
        <v>17.679999999999996</v>
      </c>
      <c r="BZ139">
        <v>-1.48</v>
      </c>
      <c r="CA139">
        <v>7.4</v>
      </c>
      <c r="CB139">
        <v>24</v>
      </c>
      <c r="CC139">
        <v>-2.8767999999999998</v>
      </c>
      <c r="CD139">
        <v>-2.0029599999999999</v>
      </c>
      <c r="CE139">
        <v>17.600000000000005</v>
      </c>
      <c r="CF139">
        <v>2.0863999999999998</v>
      </c>
    </row>
    <row r="140" spans="1:84" x14ac:dyDescent="0.2">
      <c r="A140" s="39">
        <v>43765</v>
      </c>
      <c r="B140" s="22" t="s">
        <v>248</v>
      </c>
      <c r="C140" s="41" t="s">
        <v>298</v>
      </c>
      <c r="D140" s="22" t="s">
        <v>297</v>
      </c>
      <c r="E140">
        <v>5.4</v>
      </c>
      <c r="F140">
        <v>8.3000000000000007</v>
      </c>
      <c r="G140">
        <v>11.3</v>
      </c>
      <c r="H140">
        <v>24.6</v>
      </c>
      <c r="I140">
        <v>7</v>
      </c>
      <c r="J140">
        <v>39.5</v>
      </c>
      <c r="L140" s="1" t="s">
        <v>298</v>
      </c>
      <c r="M140">
        <v>29</v>
      </c>
      <c r="N140">
        <v>-4.0815999999999999</v>
      </c>
      <c r="O140">
        <v>-6.8</v>
      </c>
      <c r="P140">
        <v>-21.6</v>
      </c>
      <c r="Q140">
        <v>-0.46000000000000008</v>
      </c>
      <c r="R140">
        <v>-3.248000000000002</v>
      </c>
      <c r="S140">
        <v>-26.4</v>
      </c>
      <c r="T140">
        <v>-3.64</v>
      </c>
      <c r="U140">
        <v>14</v>
      </c>
      <c r="V140">
        <v>13.5</v>
      </c>
      <c r="W140">
        <v>-1.8400000000000003</v>
      </c>
      <c r="X140">
        <v>8</v>
      </c>
      <c r="Y140">
        <v>12</v>
      </c>
      <c r="Z140">
        <v>2</v>
      </c>
      <c r="AA140">
        <v>5.9736888022691371E-2</v>
      </c>
      <c r="AB140">
        <v>17</v>
      </c>
      <c r="AC140">
        <v>5.3430020228438992E-2</v>
      </c>
      <c r="AD140">
        <v>12</v>
      </c>
      <c r="AE140">
        <v>0.95999999999999663</v>
      </c>
      <c r="AF140">
        <v>17</v>
      </c>
      <c r="AG140">
        <v>4.5600000000000005</v>
      </c>
      <c r="AH140">
        <v>-7.2</v>
      </c>
      <c r="AI140">
        <v>-5.5200000000000005</v>
      </c>
      <c r="AJ140">
        <v>0.56000000000000016</v>
      </c>
      <c r="AK140">
        <v>-82.160000000000011</v>
      </c>
      <c r="AL140">
        <v>-39.760000000000012</v>
      </c>
      <c r="AM140">
        <v>-26.639999999999997</v>
      </c>
      <c r="AN140">
        <v>-3.3200000000000003</v>
      </c>
      <c r="AO140">
        <v>-12.44</v>
      </c>
      <c r="AP140">
        <v>16</v>
      </c>
      <c r="AQ140">
        <v>2.7183999999999999</v>
      </c>
      <c r="AR140">
        <v>1.9340799999999996</v>
      </c>
      <c r="AS140">
        <v>-13.120000000000015</v>
      </c>
      <c r="AT140">
        <v>-2.7183999999999999</v>
      </c>
      <c r="AU140">
        <v>-2.1661999999999999</v>
      </c>
      <c r="AV140">
        <v>0.46137499999999976</v>
      </c>
      <c r="AW140">
        <v>0.75244999999999962</v>
      </c>
      <c r="AX140" t="s">
        <v>297</v>
      </c>
      <c r="AY140">
        <v>20</v>
      </c>
      <c r="AZ140">
        <v>3.2751999999999994</v>
      </c>
      <c r="BA140">
        <v>1.1431999999999989</v>
      </c>
      <c r="BB140">
        <v>-7.9999999999998295E-2</v>
      </c>
      <c r="BC140">
        <v>0.40000000000000019</v>
      </c>
      <c r="BD140">
        <v>-1.2559999999999989</v>
      </c>
      <c r="BE140">
        <v>10.600000000000003</v>
      </c>
      <c r="BF140">
        <v>2.4</v>
      </c>
      <c r="BG140">
        <v>26</v>
      </c>
      <c r="BH140">
        <v>25</v>
      </c>
      <c r="BI140">
        <v>-1.56</v>
      </c>
      <c r="BJ140">
        <v>20</v>
      </c>
      <c r="BK140">
        <v>16.75</v>
      </c>
      <c r="BL140">
        <v>21</v>
      </c>
      <c r="BM140">
        <v>2.6720151429531058E-2</v>
      </c>
      <c r="BN140">
        <v>5</v>
      </c>
      <c r="BO140">
        <v>-8.4222800222777949E-3</v>
      </c>
      <c r="BP140">
        <v>32</v>
      </c>
      <c r="BQ140">
        <v>-5.8640000000000017</v>
      </c>
      <c r="BR140">
        <v>9</v>
      </c>
      <c r="BS140">
        <v>0.15999999999999998</v>
      </c>
      <c r="BT140">
        <v>1.9999999999999987</v>
      </c>
      <c r="BU140">
        <v>1.64</v>
      </c>
      <c r="BV140">
        <v>0.12000000000000011</v>
      </c>
      <c r="BW140">
        <v>38.120000000000005</v>
      </c>
      <c r="BX140">
        <v>28.96</v>
      </c>
      <c r="BY140">
        <v>-0.75999999999999657</v>
      </c>
      <c r="BZ140">
        <v>2.84</v>
      </c>
      <c r="CA140">
        <v>7.080000000000001</v>
      </c>
      <c r="CB140">
        <v>11</v>
      </c>
      <c r="CC140">
        <v>2.1320000000000006</v>
      </c>
      <c r="CD140">
        <v>-0.16775999999999941</v>
      </c>
      <c r="CE140">
        <v>29.72</v>
      </c>
      <c r="CF140">
        <v>0.17029999999999987</v>
      </c>
    </row>
    <row r="141" spans="1:84" x14ac:dyDescent="0.2">
      <c r="A141" s="39">
        <v>43765</v>
      </c>
      <c r="B141" s="22" t="s">
        <v>248</v>
      </c>
      <c r="C141" s="41" t="s">
        <v>294</v>
      </c>
      <c r="D141" s="22" t="s">
        <v>276</v>
      </c>
      <c r="E141">
        <v>10.4</v>
      </c>
      <c r="F141">
        <v>5.4</v>
      </c>
      <c r="G141">
        <v>0</v>
      </c>
      <c r="H141">
        <v>15.2</v>
      </c>
      <c r="I141">
        <v>1</v>
      </c>
      <c r="J141">
        <v>39.5</v>
      </c>
      <c r="L141" s="1" t="s">
        <v>294</v>
      </c>
      <c r="M141">
        <v>19</v>
      </c>
      <c r="N141">
        <v>-1.1632000000000002</v>
      </c>
      <c r="O141">
        <v>-1.3629999999999993</v>
      </c>
      <c r="P141">
        <v>3.3400000000000007</v>
      </c>
      <c r="Q141">
        <v>-1.92</v>
      </c>
      <c r="R141">
        <v>-7.7310000000000016</v>
      </c>
      <c r="S141">
        <v>-42.650000000000006</v>
      </c>
      <c r="T141">
        <v>-0.30999999999999961</v>
      </c>
      <c r="U141">
        <v>23</v>
      </c>
      <c r="V141">
        <v>22.5</v>
      </c>
      <c r="W141">
        <v>1.9600000000000002</v>
      </c>
      <c r="X141">
        <v>6</v>
      </c>
      <c r="Y141">
        <v>10.25</v>
      </c>
      <c r="Z141">
        <v>16</v>
      </c>
      <c r="AA141">
        <v>3.7906424129798423E-2</v>
      </c>
      <c r="AB141">
        <v>4</v>
      </c>
      <c r="AC141">
        <v>-2.6866019252633168E-3</v>
      </c>
      <c r="AD141">
        <v>6</v>
      </c>
      <c r="AE141">
        <v>-5.2960000000000012</v>
      </c>
      <c r="AF141">
        <v>15</v>
      </c>
      <c r="AG141">
        <v>1.56</v>
      </c>
      <c r="AH141">
        <v>-3.72</v>
      </c>
      <c r="AI141">
        <v>-1.6799999999999997</v>
      </c>
      <c r="AJ141">
        <v>1.8800000000000001</v>
      </c>
      <c r="AK141">
        <v>-35.04</v>
      </c>
      <c r="AL141">
        <v>-48.88000000000001</v>
      </c>
      <c r="AM141">
        <v>11.680000000000001</v>
      </c>
      <c r="AN141">
        <v>-3.12</v>
      </c>
      <c r="AO141">
        <v>5.2799999999999994</v>
      </c>
      <c r="AP141">
        <v>17</v>
      </c>
      <c r="AQ141">
        <v>0.19979999999999909</v>
      </c>
      <c r="AR141">
        <v>-1.0973400000000004</v>
      </c>
      <c r="AS141">
        <v>-60.560000000000009</v>
      </c>
      <c r="AT141">
        <v>-0.19979999999999909</v>
      </c>
      <c r="AU141">
        <v>-1.4971500000000002</v>
      </c>
      <c r="AV141">
        <v>-0.72533749999999997</v>
      </c>
      <c r="AW141">
        <v>-0.18744999999999978</v>
      </c>
      <c r="AX141" t="s">
        <v>276</v>
      </c>
      <c r="AY141">
        <v>24</v>
      </c>
      <c r="AZ141">
        <v>-2.8608000000000002</v>
      </c>
      <c r="BA141">
        <v>3.2200000000000015</v>
      </c>
      <c r="BB141">
        <v>23.84</v>
      </c>
      <c r="BC141">
        <v>-1.1599999999999999</v>
      </c>
      <c r="BD141">
        <v>-9.1850000000000023</v>
      </c>
      <c r="BE141">
        <v>-30.86</v>
      </c>
      <c r="BF141">
        <v>-3.0200000000000005</v>
      </c>
      <c r="BG141">
        <v>32</v>
      </c>
      <c r="BH141">
        <v>32</v>
      </c>
      <c r="BI141">
        <v>2</v>
      </c>
      <c r="BJ141">
        <v>7</v>
      </c>
      <c r="BK141">
        <v>12.25</v>
      </c>
      <c r="BL141">
        <v>24</v>
      </c>
      <c r="BM141">
        <v>1.6496533760181287E-2</v>
      </c>
      <c r="BN141">
        <v>3</v>
      </c>
      <c r="BO141">
        <v>-5.9058641278462521E-3</v>
      </c>
      <c r="BP141">
        <v>17</v>
      </c>
      <c r="BQ141">
        <v>1.1519999999999981</v>
      </c>
      <c r="BR141">
        <v>5</v>
      </c>
      <c r="BS141">
        <v>-1.6</v>
      </c>
      <c r="BT141">
        <v>-2.5600000000000009</v>
      </c>
      <c r="BU141">
        <v>-0.6</v>
      </c>
      <c r="BV141">
        <v>-0.35999999999999988</v>
      </c>
      <c r="BW141">
        <v>-9.8399999999999981</v>
      </c>
      <c r="BX141">
        <v>-33.999999999999993</v>
      </c>
      <c r="BY141">
        <v>22.080000000000002</v>
      </c>
      <c r="BZ141">
        <v>0.96000000000000019</v>
      </c>
      <c r="CA141">
        <v>1.1200000000000003</v>
      </c>
      <c r="CB141">
        <v>30</v>
      </c>
      <c r="CC141">
        <v>-6.0808000000000018</v>
      </c>
      <c r="CD141">
        <v>-4.0191600000000012</v>
      </c>
      <c r="CE141">
        <v>-56.08</v>
      </c>
      <c r="CF141">
        <v>-1.263225</v>
      </c>
    </row>
    <row r="142" spans="1:84" x14ac:dyDescent="0.2">
      <c r="A142" s="39">
        <v>43765</v>
      </c>
      <c r="B142" s="22" t="s">
        <v>248</v>
      </c>
      <c r="C142" s="41" t="s">
        <v>309</v>
      </c>
      <c r="D142" s="22" t="s">
        <v>293</v>
      </c>
      <c r="E142">
        <v>24.3</v>
      </c>
      <c r="F142">
        <v>19.399999999999999</v>
      </c>
      <c r="G142">
        <v>3.1</v>
      </c>
      <c r="H142">
        <f>4.9+2.5</f>
        <v>7.4</v>
      </c>
      <c r="I142">
        <v>-14</v>
      </c>
      <c r="J142">
        <v>44</v>
      </c>
      <c r="L142" s="1" t="s">
        <v>309</v>
      </c>
      <c r="M142">
        <v>26</v>
      </c>
      <c r="N142">
        <v>-2.2775999999999992</v>
      </c>
      <c r="O142">
        <v>3.8879999999999986</v>
      </c>
      <c r="P142">
        <v>-17.04</v>
      </c>
      <c r="Q142">
        <v>2.4000000000000004</v>
      </c>
      <c r="R142">
        <v>-1.7079999999999984</v>
      </c>
      <c r="S142">
        <v>-19.199999999999996</v>
      </c>
      <c r="T142">
        <v>-1.36</v>
      </c>
      <c r="U142">
        <v>3</v>
      </c>
      <c r="V142">
        <v>5.5</v>
      </c>
      <c r="W142">
        <v>5.0400000000000009</v>
      </c>
      <c r="X142">
        <v>12</v>
      </c>
      <c r="Y142">
        <v>13.25</v>
      </c>
      <c r="Z142">
        <v>9</v>
      </c>
      <c r="AA142">
        <v>-1.7903872541377798E-2</v>
      </c>
      <c r="AB142">
        <v>20</v>
      </c>
      <c r="AC142">
        <v>-3.3259935942645612E-2</v>
      </c>
      <c r="AD142">
        <v>19</v>
      </c>
      <c r="AE142">
        <v>6.1360000000000001</v>
      </c>
      <c r="AF142">
        <v>5</v>
      </c>
      <c r="AG142">
        <v>-2.12</v>
      </c>
      <c r="AH142">
        <v>-3.28</v>
      </c>
      <c r="AI142">
        <v>2.5600000000000009</v>
      </c>
      <c r="AJ142">
        <v>0.1999999999999999</v>
      </c>
      <c r="AK142">
        <v>-55.64</v>
      </c>
      <c r="AL142">
        <v>-24.32</v>
      </c>
      <c r="AM142">
        <v>-16.439999999999998</v>
      </c>
      <c r="AN142">
        <v>-2.96</v>
      </c>
      <c r="AO142">
        <v>-11.920000000000002</v>
      </c>
      <c r="AP142">
        <v>27</v>
      </c>
      <c r="AQ142">
        <v>-6.1655999999999977</v>
      </c>
      <c r="AR142">
        <v>-2.7411199999999987</v>
      </c>
      <c r="AS142">
        <v>-7.8800000000000026</v>
      </c>
      <c r="AT142">
        <v>6.1655999999999977</v>
      </c>
      <c r="AU142">
        <v>0.24780000000000002</v>
      </c>
      <c r="AV142">
        <v>9.2083333333333184E-2</v>
      </c>
      <c r="AW142">
        <v>-1.6636833333333336</v>
      </c>
      <c r="AX142" t="s">
        <v>293</v>
      </c>
      <c r="AY142">
        <v>2</v>
      </c>
      <c r="AZ142">
        <v>3.6887999999999992</v>
      </c>
      <c r="BA142">
        <v>5.1959999999999997</v>
      </c>
      <c r="BB142">
        <v>49.64</v>
      </c>
      <c r="BC142">
        <v>-2.12</v>
      </c>
      <c r="BD142">
        <v>2.9779999999999998</v>
      </c>
      <c r="BE142">
        <v>3.8</v>
      </c>
      <c r="BF142">
        <v>-1.0999999999999999</v>
      </c>
      <c r="BG142">
        <v>1</v>
      </c>
      <c r="BH142">
        <v>1.5</v>
      </c>
      <c r="BI142">
        <v>2.4400000000000004</v>
      </c>
      <c r="BJ142">
        <v>31</v>
      </c>
      <c r="BK142">
        <v>29</v>
      </c>
      <c r="BL142">
        <v>29</v>
      </c>
      <c r="BM142">
        <v>-6.6559601691520948E-2</v>
      </c>
      <c r="BN142">
        <v>32</v>
      </c>
      <c r="BO142">
        <v>-2.3019583879496652E-2</v>
      </c>
      <c r="BP142">
        <v>30</v>
      </c>
      <c r="BQ142">
        <v>3.2919999999999989</v>
      </c>
      <c r="BR142">
        <v>25</v>
      </c>
      <c r="BS142">
        <v>-6.7199999999999989</v>
      </c>
      <c r="BT142">
        <v>1.1199999999999988</v>
      </c>
      <c r="BU142">
        <v>7.6</v>
      </c>
      <c r="BV142">
        <v>0.55999999999999983</v>
      </c>
      <c r="BW142">
        <v>43.11999999999999</v>
      </c>
      <c r="BX142">
        <v>1.3200000000000045</v>
      </c>
      <c r="BY142">
        <v>51.8</v>
      </c>
      <c r="BZ142">
        <v>-5.4799999999999995</v>
      </c>
      <c r="CA142">
        <v>-4.5200000000000005</v>
      </c>
      <c r="CB142">
        <v>20</v>
      </c>
      <c r="CC142">
        <v>-1.5072000000000005</v>
      </c>
      <c r="CD142">
        <v>-1.2646400000000002</v>
      </c>
      <c r="CE142">
        <v>-50.47999999999999</v>
      </c>
      <c r="CF142">
        <v>1.84785</v>
      </c>
    </row>
    <row r="143" spans="1:84" x14ac:dyDescent="0.2">
      <c r="A143" s="39">
        <v>43765</v>
      </c>
      <c r="B143" s="22" t="s">
        <v>248</v>
      </c>
      <c r="C143" s="40" t="s">
        <v>256</v>
      </c>
      <c r="D143" s="22" t="s">
        <v>301</v>
      </c>
      <c r="E143">
        <v>12.5</v>
      </c>
      <c r="F143">
        <v>13.8</v>
      </c>
      <c r="G143">
        <v>2.2000000000000002</v>
      </c>
      <c r="H143">
        <v>14.6</v>
      </c>
      <c r="I143">
        <v>-4.5</v>
      </c>
      <c r="J143">
        <v>41</v>
      </c>
      <c r="K143" t="s">
        <v>110</v>
      </c>
      <c r="L143" s="1" t="s">
        <v>256</v>
      </c>
      <c r="M143">
        <v>30</v>
      </c>
      <c r="N143">
        <v>-5.4263999999999992</v>
      </c>
      <c r="O143">
        <v>7.9479999999999977</v>
      </c>
      <c r="P143">
        <v>45.84</v>
      </c>
      <c r="Q143">
        <v>-2.2400000000000002</v>
      </c>
      <c r="R143">
        <v>-9.0920000000000023</v>
      </c>
      <c r="S143">
        <v>-38.479999999999997</v>
      </c>
      <c r="T143">
        <v>-5.0799999999999992</v>
      </c>
      <c r="U143">
        <v>17</v>
      </c>
      <c r="V143">
        <v>16</v>
      </c>
      <c r="W143">
        <v>4.92</v>
      </c>
      <c r="X143">
        <v>21</v>
      </c>
      <c r="Y143">
        <v>17.75</v>
      </c>
      <c r="Z143">
        <v>19</v>
      </c>
      <c r="AA143">
        <v>-9.3844976958613852E-2</v>
      </c>
      <c r="AB143">
        <v>3</v>
      </c>
      <c r="AC143">
        <v>-1.4109084910725428E-2</v>
      </c>
      <c r="AD143">
        <v>29</v>
      </c>
      <c r="AE143">
        <v>5.0199999999999978</v>
      </c>
      <c r="AF143">
        <v>20</v>
      </c>
      <c r="AG143">
        <v>-3.4400000000000004</v>
      </c>
      <c r="AH143">
        <v>1.7599999999999967</v>
      </c>
      <c r="AI143">
        <v>4.3599999999999994</v>
      </c>
      <c r="AJ143">
        <v>-1.1199999999999999</v>
      </c>
      <c r="AK143">
        <v>20.840000000000011</v>
      </c>
      <c r="AL143">
        <v>-40.159999999999997</v>
      </c>
      <c r="AM143">
        <v>66.92</v>
      </c>
      <c r="AN143">
        <v>6.76</v>
      </c>
      <c r="AO143">
        <v>-12.68</v>
      </c>
      <c r="AP143">
        <v>31</v>
      </c>
      <c r="AQ143">
        <v>-13.374399999999996</v>
      </c>
      <c r="AR143">
        <v>-6.8776799999999989</v>
      </c>
      <c r="AS143">
        <v>-107.08</v>
      </c>
      <c r="AT143">
        <v>13.374399999999998</v>
      </c>
      <c r="AU143">
        <v>-0.7613000000000002</v>
      </c>
      <c r="AV143">
        <v>-2.4981000000000004</v>
      </c>
      <c r="AW143">
        <v>-5.0018000000000002</v>
      </c>
      <c r="AX143" t="s">
        <v>301</v>
      </c>
      <c r="AY143">
        <v>14</v>
      </c>
      <c r="AZ143">
        <v>-1.8271999999999995</v>
      </c>
      <c r="BA143">
        <v>2.1879999999999984</v>
      </c>
      <c r="BB143">
        <v>-20.079999999999998</v>
      </c>
      <c r="BC143">
        <v>1.6799999999999997</v>
      </c>
      <c r="BD143">
        <v>1.5639999999999987</v>
      </c>
      <c r="BE143">
        <v>4.0400000000000027</v>
      </c>
      <c r="BF143">
        <v>2.92</v>
      </c>
      <c r="BG143">
        <v>10</v>
      </c>
      <c r="BH143">
        <v>11.5</v>
      </c>
      <c r="BI143">
        <v>-1.64</v>
      </c>
      <c r="BJ143">
        <v>18</v>
      </c>
      <c r="BK143">
        <v>16.25</v>
      </c>
      <c r="BL143">
        <v>18</v>
      </c>
      <c r="BM143">
        <v>3.0762896835275756E-2</v>
      </c>
      <c r="BN143">
        <v>16</v>
      </c>
      <c r="BO143">
        <v>4.3762436481062976E-2</v>
      </c>
      <c r="BP143">
        <v>8</v>
      </c>
      <c r="BQ143">
        <v>2.919999999999999</v>
      </c>
      <c r="BR143">
        <v>23</v>
      </c>
      <c r="BS143">
        <v>5.5600000000000005</v>
      </c>
      <c r="BT143">
        <v>2.3599999999999994</v>
      </c>
      <c r="BU143">
        <v>1.2000000000000006</v>
      </c>
      <c r="BV143">
        <v>-0.83999999999999986</v>
      </c>
      <c r="BW143">
        <v>-12.320000000000004</v>
      </c>
      <c r="BX143">
        <v>-5.2800000000000011</v>
      </c>
      <c r="BY143">
        <v>-8.1599999999999966</v>
      </c>
      <c r="BZ143">
        <v>0.95999999999999974</v>
      </c>
      <c r="CA143">
        <v>0.16000000000000086</v>
      </c>
      <c r="CB143">
        <v>28</v>
      </c>
      <c r="CC143">
        <v>-4.0151999999999983</v>
      </c>
      <c r="CD143">
        <v>-1.1466399999999992</v>
      </c>
      <c r="CE143">
        <v>2.8799999999999955</v>
      </c>
      <c r="CF143">
        <v>5.5999999999997441E-3</v>
      </c>
    </row>
    <row r="144" spans="1:84" x14ac:dyDescent="0.2">
      <c r="A144" s="39">
        <v>43765</v>
      </c>
      <c r="B144" s="22" t="s">
        <v>248</v>
      </c>
      <c r="C144" s="41" t="s">
        <v>308</v>
      </c>
      <c r="D144" s="22" t="s">
        <v>295</v>
      </c>
      <c r="E144">
        <v>19</v>
      </c>
      <c r="F144">
        <v>16.3</v>
      </c>
      <c r="G144">
        <v>3.5</v>
      </c>
      <c r="H144">
        <f>3.8+1.7</f>
        <v>5.5</v>
      </c>
      <c r="I144">
        <v>-7.5</v>
      </c>
      <c r="J144">
        <v>48.5</v>
      </c>
      <c r="L144" s="1" t="s">
        <v>308</v>
      </c>
      <c r="M144">
        <v>3</v>
      </c>
      <c r="N144">
        <v>6.4984000000000011</v>
      </c>
      <c r="O144">
        <v>0.75759999999999983</v>
      </c>
      <c r="P144">
        <v>13.36</v>
      </c>
      <c r="Q144">
        <v>-8.0000000000000127E-2</v>
      </c>
      <c r="R144">
        <v>-4.0000000000002256E-3</v>
      </c>
      <c r="S144">
        <v>8.9200000000000017</v>
      </c>
      <c r="T144">
        <v>-1.6800000000000002</v>
      </c>
      <c r="U144">
        <v>8</v>
      </c>
      <c r="V144">
        <v>8.5</v>
      </c>
      <c r="W144">
        <v>-1.2000000000000004</v>
      </c>
      <c r="X144">
        <v>12</v>
      </c>
      <c r="Y144">
        <v>13.25</v>
      </c>
      <c r="Z144">
        <v>11</v>
      </c>
      <c r="AA144">
        <v>9.2253046239783906E-2</v>
      </c>
      <c r="AB144">
        <v>5</v>
      </c>
      <c r="AC144">
        <v>-1.5249652433166897E-2</v>
      </c>
      <c r="AD144">
        <v>21</v>
      </c>
      <c r="AE144">
        <v>8.7359999999999971</v>
      </c>
      <c r="AF144">
        <v>16</v>
      </c>
      <c r="AG144">
        <v>1.3999999999999997</v>
      </c>
      <c r="AH144">
        <v>5.4399999999999977</v>
      </c>
      <c r="AI144">
        <v>1.64</v>
      </c>
      <c r="AJ144">
        <v>-0.2799999999999998</v>
      </c>
      <c r="AK144">
        <v>49.359999999999992</v>
      </c>
      <c r="AL144">
        <v>28.160000000000007</v>
      </c>
      <c r="AM144">
        <v>8.7199999999999989</v>
      </c>
      <c r="AN144">
        <v>-4.04</v>
      </c>
      <c r="AO144">
        <v>16.52</v>
      </c>
      <c r="AP144">
        <v>8</v>
      </c>
      <c r="AQ144">
        <v>5.7408000000000019</v>
      </c>
      <c r="AR144">
        <v>0.92008000000000034</v>
      </c>
      <c r="AS144">
        <v>19.440000000000008</v>
      </c>
      <c r="AT144">
        <v>-5.740800000000001</v>
      </c>
      <c r="AU144">
        <v>0.83150000000000002</v>
      </c>
      <c r="AV144">
        <v>1.2281333333333331</v>
      </c>
      <c r="AW144">
        <v>-0.93223333333333325</v>
      </c>
      <c r="AX144" t="s">
        <v>295</v>
      </c>
      <c r="AY144">
        <v>27</v>
      </c>
      <c r="AZ144">
        <v>9.1039999999999992</v>
      </c>
      <c r="BA144">
        <v>3.6519999999999992</v>
      </c>
      <c r="BB144">
        <v>10</v>
      </c>
      <c r="BC144">
        <v>7.9999999999999877E-2</v>
      </c>
      <c r="BD144">
        <v>11.432</v>
      </c>
      <c r="BE144">
        <v>44.47999999999999</v>
      </c>
      <c r="BF144">
        <v>-1.1999999999999997</v>
      </c>
      <c r="BG144">
        <v>17</v>
      </c>
      <c r="BH144">
        <v>14.5</v>
      </c>
      <c r="BI144">
        <v>2.5199999999999996</v>
      </c>
      <c r="BJ144">
        <v>19</v>
      </c>
      <c r="BK144">
        <v>16.5</v>
      </c>
      <c r="BL144">
        <v>10</v>
      </c>
      <c r="BM144">
        <v>-0.10455144616674801</v>
      </c>
      <c r="BN144">
        <v>20</v>
      </c>
      <c r="BO144">
        <v>-5.5735340818474963E-2</v>
      </c>
      <c r="BP144">
        <v>25</v>
      </c>
      <c r="BQ144">
        <v>9.5039999999999996</v>
      </c>
      <c r="BR144">
        <v>11</v>
      </c>
      <c r="BS144">
        <v>-8.32</v>
      </c>
      <c r="BT144">
        <v>0.43999999999999917</v>
      </c>
      <c r="BU144">
        <v>9.8000000000000007</v>
      </c>
      <c r="BV144">
        <v>1.8800000000000001</v>
      </c>
      <c r="BW144">
        <v>51.48</v>
      </c>
      <c r="BX144">
        <v>48.2</v>
      </c>
      <c r="BY144">
        <v>8.6400000000000041</v>
      </c>
      <c r="BZ144">
        <v>-3.9199999999999995</v>
      </c>
      <c r="CA144">
        <v>-1.4399999999999995</v>
      </c>
      <c r="CB144">
        <v>4</v>
      </c>
      <c r="CC144">
        <v>5.452</v>
      </c>
      <c r="CD144">
        <v>2.281200000000001</v>
      </c>
      <c r="CE144">
        <v>39.56</v>
      </c>
      <c r="CF144">
        <v>3.3884999999999996</v>
      </c>
    </row>
    <row r="145" spans="1:84" x14ac:dyDescent="0.2">
      <c r="A145" s="39">
        <v>43765</v>
      </c>
      <c r="B145" s="22" t="s">
        <v>248</v>
      </c>
      <c r="C145" s="41" t="s">
        <v>284</v>
      </c>
      <c r="D145" s="23" t="s">
        <v>310</v>
      </c>
      <c r="E145">
        <v>45.8</v>
      </c>
      <c r="F145">
        <v>10.3</v>
      </c>
      <c r="G145">
        <v>0</v>
      </c>
      <c r="H145">
        <v>6.2</v>
      </c>
      <c r="I145">
        <v>2</v>
      </c>
      <c r="J145">
        <v>45.5</v>
      </c>
      <c r="L145" s="1" t="s">
        <v>284</v>
      </c>
      <c r="M145">
        <v>2</v>
      </c>
      <c r="N145">
        <v>6.8551999999999991</v>
      </c>
      <c r="O145">
        <v>-5.2520000000000016</v>
      </c>
      <c r="P145">
        <v>-9.0800000000000054</v>
      </c>
      <c r="Q145">
        <v>-2.76</v>
      </c>
      <c r="R145">
        <v>23.435999999999996</v>
      </c>
      <c r="S145">
        <v>93.92</v>
      </c>
      <c r="T145">
        <v>6.3999999999999995</v>
      </c>
      <c r="U145">
        <v>18</v>
      </c>
      <c r="V145">
        <v>17.5</v>
      </c>
      <c r="W145">
        <v>-2.7600000000000007</v>
      </c>
      <c r="X145">
        <v>14</v>
      </c>
      <c r="Y145">
        <v>14</v>
      </c>
      <c r="Z145">
        <v>29</v>
      </c>
      <c r="AA145">
        <v>2.8462332955277735E-2</v>
      </c>
      <c r="AB145">
        <v>22</v>
      </c>
      <c r="AC145">
        <v>2.1739908498920164E-2</v>
      </c>
      <c r="AD145">
        <v>1</v>
      </c>
      <c r="AE145">
        <v>7.2119999999999989</v>
      </c>
      <c r="AF145">
        <v>4</v>
      </c>
      <c r="AG145">
        <v>0.4799999999999997</v>
      </c>
      <c r="AH145">
        <v>5.76</v>
      </c>
      <c r="AI145">
        <v>9.2799999999999994</v>
      </c>
      <c r="AJ145">
        <v>0.19999999999999982</v>
      </c>
      <c r="AK145">
        <v>67.47999999999999</v>
      </c>
      <c r="AL145">
        <v>76.47999999999999</v>
      </c>
      <c r="AM145">
        <v>-10.919999999999998</v>
      </c>
      <c r="AN145">
        <v>2.2400000000000002</v>
      </c>
      <c r="AO145">
        <v>-0.31999999999999995</v>
      </c>
      <c r="AP145">
        <v>2</v>
      </c>
      <c r="AQ145">
        <v>12.107199999999999</v>
      </c>
      <c r="AR145">
        <v>8.6842400000000008</v>
      </c>
      <c r="AS145">
        <v>87.399999999999991</v>
      </c>
      <c r="AT145">
        <v>-12.107200000000001</v>
      </c>
      <c r="AU145">
        <v>3.4998999999999993</v>
      </c>
      <c r="AV145">
        <v>1.7466499999999998</v>
      </c>
      <c r="AW145">
        <v>4.1190499999999997</v>
      </c>
      <c r="AX145" t="s">
        <v>310</v>
      </c>
      <c r="AY145">
        <v>11</v>
      </c>
      <c r="AZ145">
        <v>-0.26200000000000079</v>
      </c>
      <c r="BA145">
        <v>-0.13999999999999968</v>
      </c>
      <c r="BB145">
        <v>-24.88</v>
      </c>
      <c r="BC145">
        <v>1.8</v>
      </c>
      <c r="BD145">
        <v>-5.1639999999999997</v>
      </c>
      <c r="BE145">
        <v>-18.239999999999998</v>
      </c>
      <c r="BF145">
        <v>-2.2399999999999989</v>
      </c>
      <c r="BG145">
        <v>3</v>
      </c>
      <c r="BH145">
        <v>3.5</v>
      </c>
      <c r="BI145">
        <v>3.96</v>
      </c>
      <c r="BJ145">
        <v>15</v>
      </c>
      <c r="BK145">
        <v>15.75</v>
      </c>
      <c r="BL145">
        <v>16</v>
      </c>
      <c r="BM145">
        <v>-3.4823897882496159E-2</v>
      </c>
      <c r="BN145">
        <v>21</v>
      </c>
      <c r="BO145">
        <v>-1.6006916114496356E-2</v>
      </c>
      <c r="BP145">
        <v>13</v>
      </c>
      <c r="BQ145">
        <v>-3.3200000000000047</v>
      </c>
      <c r="BR145">
        <v>13</v>
      </c>
      <c r="BS145">
        <v>-3.08</v>
      </c>
      <c r="BT145">
        <v>-1.7200000000000002</v>
      </c>
      <c r="BU145">
        <v>-2.72</v>
      </c>
      <c r="BV145">
        <v>-0.83999999999999986</v>
      </c>
      <c r="BW145">
        <v>-15.080000000000007</v>
      </c>
      <c r="BX145">
        <v>7.6400000000000032</v>
      </c>
      <c r="BY145">
        <v>-25.839999999999996</v>
      </c>
      <c r="BZ145">
        <v>-0.44000000000000006</v>
      </c>
      <c r="CA145">
        <v>3.56</v>
      </c>
      <c r="CB145">
        <v>16</v>
      </c>
      <c r="CC145">
        <v>-0.12200000000000122</v>
      </c>
      <c r="CD145">
        <v>-1.0152000000000001</v>
      </c>
      <c r="CE145">
        <v>33.479999999999997</v>
      </c>
      <c r="CF145">
        <v>-0.62575000000000003</v>
      </c>
    </row>
    <row r="146" spans="1:84" x14ac:dyDescent="0.2">
      <c r="A146" s="39">
        <v>43765</v>
      </c>
      <c r="B146" s="22" t="s">
        <v>248</v>
      </c>
      <c r="C146" s="41" t="s">
        <v>310</v>
      </c>
      <c r="D146" s="22" t="s">
        <v>284</v>
      </c>
      <c r="E146">
        <v>2.9</v>
      </c>
      <c r="F146">
        <v>9.1</v>
      </c>
      <c r="G146">
        <v>10.8</v>
      </c>
      <c r="H146">
        <f>19.8+7.3</f>
        <v>27.1</v>
      </c>
      <c r="I146">
        <v>-2</v>
      </c>
      <c r="J146">
        <v>45.5</v>
      </c>
      <c r="L146" s="1" t="s">
        <v>310</v>
      </c>
      <c r="M146">
        <v>23</v>
      </c>
      <c r="N146">
        <v>-2.0020000000000002</v>
      </c>
      <c r="O146">
        <v>-8.2040000000000006</v>
      </c>
      <c r="P146">
        <v>-17.359999999999996</v>
      </c>
      <c r="Q146">
        <v>-1.9200000000000002</v>
      </c>
      <c r="R146">
        <v>1.1039999999999996</v>
      </c>
      <c r="S146">
        <v>20.240000000000002</v>
      </c>
      <c r="T146">
        <v>-0.8</v>
      </c>
      <c r="U146">
        <v>29</v>
      </c>
      <c r="V146">
        <v>29</v>
      </c>
      <c r="W146">
        <v>-3.4799999999999995</v>
      </c>
      <c r="X146">
        <v>25</v>
      </c>
      <c r="Y146">
        <v>21</v>
      </c>
      <c r="Z146">
        <v>27</v>
      </c>
      <c r="AA146">
        <v>5.8830122368742519E-3</v>
      </c>
      <c r="AB146">
        <v>2</v>
      </c>
      <c r="AC146">
        <v>5.5526763606842756E-2</v>
      </c>
      <c r="AD146">
        <v>30</v>
      </c>
      <c r="AE146">
        <v>3.1960000000000006</v>
      </c>
      <c r="AF146">
        <v>25</v>
      </c>
      <c r="AG146">
        <v>4.3600000000000003</v>
      </c>
      <c r="AH146">
        <v>0.88000000000000111</v>
      </c>
      <c r="AI146">
        <v>-6.24</v>
      </c>
      <c r="AJ146">
        <v>-1.9599999999999997</v>
      </c>
      <c r="AK146">
        <v>-14.960000000000003</v>
      </c>
      <c r="AL146">
        <v>1.5199999999999989</v>
      </c>
      <c r="AM146">
        <v>-18.599999999999998</v>
      </c>
      <c r="AN146">
        <v>-2.96</v>
      </c>
      <c r="AO146">
        <v>5.08</v>
      </c>
      <c r="AP146">
        <v>7</v>
      </c>
      <c r="AQ146">
        <v>6.202</v>
      </c>
      <c r="AR146">
        <v>3.9224000000000001</v>
      </c>
      <c r="AS146">
        <v>20.119999999999997</v>
      </c>
      <c r="AT146">
        <v>-6.202</v>
      </c>
      <c r="AU146">
        <v>-1.6477499999999998</v>
      </c>
      <c r="AV146">
        <v>1.7466499999999998</v>
      </c>
      <c r="AW146">
        <v>-0.62575000000000003</v>
      </c>
      <c r="AX146" t="s">
        <v>284</v>
      </c>
      <c r="AY146">
        <v>4</v>
      </c>
      <c r="AZ146">
        <v>9.8824000000000005</v>
      </c>
      <c r="BA146">
        <v>-3.8060000000000009</v>
      </c>
      <c r="BB146">
        <v>-31.15</v>
      </c>
      <c r="BC146">
        <v>0.70000000000000018</v>
      </c>
      <c r="BD146">
        <v>22.556000000000001</v>
      </c>
      <c r="BE146">
        <v>74.320000000000007</v>
      </c>
      <c r="BF146">
        <v>5.44</v>
      </c>
      <c r="BG146">
        <v>16</v>
      </c>
      <c r="BH146">
        <v>14</v>
      </c>
      <c r="BI146">
        <v>0.31999999999999995</v>
      </c>
      <c r="BJ146">
        <v>10</v>
      </c>
      <c r="BK146">
        <v>13.25</v>
      </c>
      <c r="BL146">
        <v>9</v>
      </c>
      <c r="BM146">
        <v>-2.0926775614072923E-2</v>
      </c>
      <c r="BN146">
        <v>26</v>
      </c>
      <c r="BO146">
        <v>-1.8393524376987026E-2</v>
      </c>
      <c r="BP146">
        <v>6</v>
      </c>
      <c r="BQ146">
        <v>17.839999999999996</v>
      </c>
      <c r="BR146">
        <v>12</v>
      </c>
      <c r="BS146">
        <v>-2.7600000000000007</v>
      </c>
      <c r="BT146">
        <v>2.3599999999999981</v>
      </c>
      <c r="BU146">
        <v>11.559999999999999</v>
      </c>
      <c r="BV146">
        <v>-1</v>
      </c>
      <c r="BW146">
        <v>37.520000000000003</v>
      </c>
      <c r="BX146">
        <v>74.240000000000009</v>
      </c>
      <c r="BY146">
        <v>-33.04</v>
      </c>
      <c r="BZ146">
        <v>-0.15999999999999978</v>
      </c>
      <c r="CA146">
        <v>-3.5199999999999996</v>
      </c>
      <c r="CB146">
        <v>1</v>
      </c>
      <c r="CC146">
        <v>13.688400000000001</v>
      </c>
      <c r="CD146">
        <v>8.3906799999999997</v>
      </c>
      <c r="CE146">
        <v>107.28</v>
      </c>
      <c r="CF146">
        <v>4.1190499999999997</v>
      </c>
    </row>
    <row r="147" spans="1:84" x14ac:dyDescent="0.2">
      <c r="A147" s="39">
        <v>43765</v>
      </c>
      <c r="B147" s="22" t="s">
        <v>248</v>
      </c>
      <c r="C147" s="41" t="s">
        <v>306</v>
      </c>
      <c r="D147" s="22" t="s">
        <v>312</v>
      </c>
      <c r="E147">
        <v>7.9</v>
      </c>
      <c r="F147" s="14">
        <v>6.4</v>
      </c>
      <c r="G147">
        <v>2.5</v>
      </c>
      <c r="H147">
        <v>5.5</v>
      </c>
      <c r="I147">
        <v>16.5</v>
      </c>
      <c r="J147">
        <v>42</v>
      </c>
      <c r="L147" s="1" t="s">
        <v>306</v>
      </c>
      <c r="M147">
        <v>27</v>
      </c>
      <c r="N147">
        <v>-3.4840000000000004</v>
      </c>
      <c r="O147">
        <v>-6.782</v>
      </c>
      <c r="P147">
        <v>-20.200000000000003</v>
      </c>
      <c r="Q147">
        <v>-0.32000000000000006</v>
      </c>
      <c r="R147">
        <v>-7.0809999999999995</v>
      </c>
      <c r="S147">
        <v>-44.220000000000006</v>
      </c>
      <c r="T147">
        <v>-3.17</v>
      </c>
      <c r="U147">
        <v>1</v>
      </c>
      <c r="V147">
        <v>1</v>
      </c>
      <c r="W147">
        <v>-1.8</v>
      </c>
      <c r="X147">
        <v>1</v>
      </c>
      <c r="Y147">
        <v>5.25</v>
      </c>
      <c r="Z147">
        <v>9</v>
      </c>
      <c r="AA147">
        <v>-2.0538882432292117E-2</v>
      </c>
      <c r="AB147">
        <v>1</v>
      </c>
      <c r="AC147">
        <v>2.6175491257688942E-2</v>
      </c>
      <c r="AD147">
        <v>2</v>
      </c>
      <c r="AE147">
        <v>-1.6400000000000006</v>
      </c>
      <c r="AF147">
        <v>9</v>
      </c>
      <c r="AG147">
        <v>3.4400000000000004</v>
      </c>
      <c r="AH147">
        <v>-5.12</v>
      </c>
      <c r="AI147">
        <v>-7.5200000000000014</v>
      </c>
      <c r="AJ147">
        <v>-1.92</v>
      </c>
      <c r="AK147">
        <v>-45</v>
      </c>
      <c r="AL147">
        <v>-34.68</v>
      </c>
      <c r="AM147">
        <v>-19.48</v>
      </c>
      <c r="AN147">
        <v>7.6399999999999988</v>
      </c>
      <c r="AO147">
        <v>1.52</v>
      </c>
      <c r="AP147">
        <v>14</v>
      </c>
      <c r="AQ147">
        <v>3.2979999999999996</v>
      </c>
      <c r="AR147">
        <v>1.2779999999999996</v>
      </c>
      <c r="AS147">
        <v>-15.2</v>
      </c>
      <c r="AT147">
        <v>-3.2979999999999996</v>
      </c>
      <c r="AU147">
        <v>-2.6383750000000004</v>
      </c>
      <c r="AV147">
        <v>0.31806250000000003</v>
      </c>
      <c r="AW147">
        <v>0.26592500000000024</v>
      </c>
      <c r="AX147" t="s">
        <v>312</v>
      </c>
      <c r="AY147">
        <v>7</v>
      </c>
      <c r="AZ147">
        <v>1.6936</v>
      </c>
      <c r="BA147">
        <v>-3.8600000000000012</v>
      </c>
      <c r="BB147">
        <v>-16.77</v>
      </c>
      <c r="BC147">
        <v>-5.00000000000001E-2</v>
      </c>
      <c r="BD147">
        <v>5.6879999999999997</v>
      </c>
      <c r="BE147">
        <v>10.64</v>
      </c>
      <c r="BF147">
        <v>6.0000000000000009</v>
      </c>
      <c r="BG147">
        <v>11</v>
      </c>
      <c r="BH147">
        <v>12</v>
      </c>
      <c r="BI147">
        <v>-4.5200000000000005</v>
      </c>
      <c r="BJ147">
        <v>7</v>
      </c>
      <c r="BK147">
        <v>12.25</v>
      </c>
      <c r="BL147">
        <v>19</v>
      </c>
      <c r="BM147">
        <v>1.8834216370345824E-2</v>
      </c>
      <c r="BN147">
        <v>13</v>
      </c>
      <c r="BO147">
        <v>4.111114625563024E-3</v>
      </c>
      <c r="BP147">
        <v>1</v>
      </c>
      <c r="BQ147">
        <v>-5.2439999999999971</v>
      </c>
      <c r="BR147">
        <v>16</v>
      </c>
      <c r="BS147">
        <v>-1.0399999999999998</v>
      </c>
      <c r="BT147">
        <v>1.6799999999999984</v>
      </c>
      <c r="BU147">
        <v>-2.6399999999999997</v>
      </c>
      <c r="BV147">
        <v>-2.8000000000000003</v>
      </c>
      <c r="BW147">
        <v>-8</v>
      </c>
      <c r="BX147">
        <v>14.039999999999992</v>
      </c>
      <c r="BY147">
        <v>-15.320000000000002</v>
      </c>
      <c r="BZ147">
        <v>-4.5200000000000005</v>
      </c>
      <c r="CA147">
        <v>-2.2000000000000002</v>
      </c>
      <c r="CB147">
        <v>3</v>
      </c>
      <c r="CC147">
        <v>5.5536000000000012</v>
      </c>
      <c r="CD147">
        <v>3.4063200000000005</v>
      </c>
      <c r="CE147">
        <v>29.359999999999992</v>
      </c>
      <c r="CF147">
        <v>0.37019999999999986</v>
      </c>
    </row>
    <row r="148" spans="1:84" x14ac:dyDescent="0.2">
      <c r="A148" s="39">
        <v>43772</v>
      </c>
      <c r="B148" s="22" t="s">
        <v>246</v>
      </c>
      <c r="C148" s="41" t="s">
        <v>285</v>
      </c>
      <c r="D148" s="22" t="s">
        <v>256</v>
      </c>
      <c r="E148">
        <v>7.8</v>
      </c>
      <c r="F148">
        <v>3.6</v>
      </c>
      <c r="G148">
        <v>15.8</v>
      </c>
      <c r="H148">
        <v>3.8</v>
      </c>
      <c r="I148">
        <v>10.5</v>
      </c>
      <c r="J148">
        <v>43.5</v>
      </c>
      <c r="L148" s="1" t="s">
        <v>285</v>
      </c>
      <c r="M148">
        <v>25</v>
      </c>
      <c r="N148">
        <v>-2.7752000000000008</v>
      </c>
      <c r="O148">
        <v>5.0073999999999996</v>
      </c>
      <c r="P148">
        <v>-1.1500000000000012</v>
      </c>
      <c r="Q148">
        <v>0.37000000000000033</v>
      </c>
      <c r="R148">
        <v>-13.328000000000001</v>
      </c>
      <c r="S148">
        <v>-57.120000000000005</v>
      </c>
      <c r="T148">
        <v>-3.92</v>
      </c>
      <c r="U148">
        <v>21</v>
      </c>
      <c r="V148">
        <v>20</v>
      </c>
      <c r="W148">
        <v>-5.04</v>
      </c>
      <c r="X148">
        <v>9</v>
      </c>
      <c r="Y148">
        <v>12.25</v>
      </c>
      <c r="Z148">
        <v>20</v>
      </c>
      <c r="AA148">
        <v>-5.8818242040862376E-2</v>
      </c>
      <c r="AB148">
        <v>7</v>
      </c>
      <c r="AC148">
        <v>4.7430882321975124E-3</v>
      </c>
      <c r="AD148">
        <v>4</v>
      </c>
      <c r="AE148">
        <v>-4.9480000000000004</v>
      </c>
      <c r="AF148">
        <v>18</v>
      </c>
      <c r="AG148">
        <v>0.67999999999999994</v>
      </c>
      <c r="AH148">
        <v>-1.3599999999999981</v>
      </c>
      <c r="AI148">
        <v>-0.88000000000000078</v>
      </c>
      <c r="AJ148">
        <v>-2.6</v>
      </c>
      <c r="AK148">
        <v>-17.120000000000005</v>
      </c>
      <c r="AL148">
        <v>-31.080000000000005</v>
      </c>
      <c r="AM148">
        <v>-1.4399999999999977</v>
      </c>
      <c r="AN148">
        <v>3.5200000000000005</v>
      </c>
      <c r="AO148">
        <v>11.88</v>
      </c>
      <c r="AP148">
        <v>29</v>
      </c>
      <c r="AQ148">
        <v>-7.7826000000000004</v>
      </c>
      <c r="AR148">
        <v>-5.7243399999999998</v>
      </c>
      <c r="AS148">
        <v>-29.640000000000008</v>
      </c>
      <c r="AT148">
        <v>7.7826000000000004</v>
      </c>
      <c r="AU148">
        <v>-1.2969750000000002</v>
      </c>
      <c r="AV148">
        <v>-1.5024875</v>
      </c>
      <c r="AW148">
        <v>1.5286500000000005</v>
      </c>
      <c r="AX148" t="s">
        <v>256</v>
      </c>
      <c r="AY148">
        <v>22</v>
      </c>
      <c r="AZ148">
        <v>-7.652000000000001</v>
      </c>
      <c r="BA148">
        <v>-7.7890000000000015</v>
      </c>
      <c r="BB148">
        <v>-0.15999999999999925</v>
      </c>
      <c r="BC148">
        <v>-2.8600000000000003</v>
      </c>
      <c r="BD148">
        <v>-15.508000000000001</v>
      </c>
      <c r="BE148">
        <v>-80.88</v>
      </c>
      <c r="BF148">
        <v>-6.0400000000000009</v>
      </c>
      <c r="BG148">
        <v>18</v>
      </c>
      <c r="BH148">
        <v>20</v>
      </c>
      <c r="BI148">
        <v>-3.56</v>
      </c>
      <c r="BJ148">
        <v>13</v>
      </c>
      <c r="BK148">
        <v>14.75</v>
      </c>
      <c r="BL148">
        <v>23</v>
      </c>
      <c r="BM148">
        <v>5.882043592723242E-2</v>
      </c>
      <c r="BN148">
        <v>8</v>
      </c>
      <c r="BO148">
        <v>7.723412502438616E-2</v>
      </c>
      <c r="BP148">
        <v>24</v>
      </c>
      <c r="BQ148">
        <v>0.42400000000000232</v>
      </c>
      <c r="BR148">
        <v>4</v>
      </c>
      <c r="BS148">
        <v>4.32</v>
      </c>
      <c r="BT148">
        <v>-9.8000000000000007</v>
      </c>
      <c r="BU148">
        <v>-10.360000000000001</v>
      </c>
      <c r="BV148">
        <v>-0.51999999999999991</v>
      </c>
      <c r="BW148">
        <v>-97.11999999999999</v>
      </c>
      <c r="BX148">
        <v>-95.12</v>
      </c>
      <c r="BY148">
        <v>3.0400000000000005</v>
      </c>
      <c r="BZ148">
        <v>1.0800000000000005</v>
      </c>
      <c r="CA148">
        <v>-6.12</v>
      </c>
      <c r="CB148">
        <v>20</v>
      </c>
      <c r="CC148">
        <v>0.1370000000000009</v>
      </c>
      <c r="CD148">
        <v>-0.73749999999999982</v>
      </c>
      <c r="CE148">
        <v>-98.160000000000011</v>
      </c>
      <c r="CF148">
        <v>-4.5336250000000007</v>
      </c>
    </row>
    <row r="149" spans="1:84" x14ac:dyDescent="0.2">
      <c r="A149" s="39">
        <v>43772</v>
      </c>
      <c r="B149" s="22" t="s">
        <v>246</v>
      </c>
      <c r="C149" s="41" t="s">
        <v>305</v>
      </c>
      <c r="D149" s="22" t="s">
        <v>302</v>
      </c>
      <c r="E149">
        <v>7.8</v>
      </c>
      <c r="F149">
        <v>3.5</v>
      </c>
      <c r="G149">
        <v>0</v>
      </c>
      <c r="H149">
        <f>13.7+4.1+3.5</f>
        <v>21.299999999999997</v>
      </c>
      <c r="I149">
        <v>3</v>
      </c>
      <c r="J149">
        <v>44.5</v>
      </c>
      <c r="L149" s="1" t="s">
        <v>305</v>
      </c>
      <c r="M149">
        <v>1</v>
      </c>
      <c r="N149">
        <v>7.6088000000000022</v>
      </c>
      <c r="O149">
        <v>-4.2296000000000014</v>
      </c>
      <c r="P149">
        <v>2.680000000000001</v>
      </c>
      <c r="Q149">
        <v>-3.4000000000000004</v>
      </c>
      <c r="R149">
        <v>1.3333333333322983E-3</v>
      </c>
      <c r="S149">
        <v>-1.5999999999999979</v>
      </c>
      <c r="T149">
        <v>-1.4400000000000004</v>
      </c>
      <c r="U149">
        <v>8</v>
      </c>
      <c r="V149">
        <v>8.5</v>
      </c>
      <c r="W149">
        <v>0.80000000000000038</v>
      </c>
      <c r="X149">
        <v>31</v>
      </c>
      <c r="Y149">
        <v>29.25</v>
      </c>
      <c r="Z149">
        <v>27</v>
      </c>
      <c r="AA149">
        <v>-2.9471632578081476E-2</v>
      </c>
      <c r="AB149">
        <v>31</v>
      </c>
      <c r="AC149">
        <v>-2.9897145400756163E-3</v>
      </c>
      <c r="AD149">
        <v>27</v>
      </c>
      <c r="AE149">
        <v>5.8520000000000039</v>
      </c>
      <c r="AF149">
        <v>32</v>
      </c>
      <c r="AG149">
        <v>-3.5200000000000005</v>
      </c>
      <c r="AH149">
        <v>4.5999999999999996</v>
      </c>
      <c r="AI149">
        <v>5.0400000000000009</v>
      </c>
      <c r="AJ149">
        <v>2.7199999999999993</v>
      </c>
      <c r="AK149">
        <v>16.120000000000005</v>
      </c>
      <c r="AL149">
        <v>-46.680000000000007</v>
      </c>
      <c r="AM149">
        <v>8.4</v>
      </c>
      <c r="AN149">
        <v>-8.76</v>
      </c>
      <c r="AO149">
        <v>63.160000000000004</v>
      </c>
      <c r="AP149">
        <v>1</v>
      </c>
      <c r="AQ149">
        <v>11.838400000000004</v>
      </c>
      <c r="AR149">
        <v>3.6368266666666673</v>
      </c>
      <c r="AS149">
        <v>-55.080000000000005</v>
      </c>
      <c r="AT149">
        <v>-11.838400000000004</v>
      </c>
      <c r="AU149">
        <v>0.88756666666666661</v>
      </c>
      <c r="AV149">
        <v>-0.99959999999999982</v>
      </c>
      <c r="AW149">
        <v>0.11270000000000036</v>
      </c>
      <c r="AX149" t="s">
        <v>302</v>
      </c>
      <c r="AY149">
        <v>28</v>
      </c>
      <c r="AZ149">
        <v>-5.1511999999999993</v>
      </c>
      <c r="BA149">
        <v>-4.2639999999999985</v>
      </c>
      <c r="BB149">
        <v>0.39999999999999902</v>
      </c>
      <c r="BC149">
        <v>0.12000000000000033</v>
      </c>
      <c r="BD149">
        <v>-5.84</v>
      </c>
      <c r="BE149">
        <v>-17.880000000000006</v>
      </c>
      <c r="BF149">
        <v>2.7199999999999998</v>
      </c>
      <c r="BG149">
        <v>24</v>
      </c>
      <c r="BH149">
        <v>23</v>
      </c>
      <c r="BI149">
        <v>-1.8400000000000003</v>
      </c>
      <c r="BJ149">
        <v>5</v>
      </c>
      <c r="BK149">
        <v>9.75</v>
      </c>
      <c r="BL149">
        <v>1</v>
      </c>
      <c r="BM149">
        <v>7.322773101870142E-2</v>
      </c>
      <c r="BN149">
        <v>12</v>
      </c>
      <c r="BO149">
        <v>-2.7425137223959645E-3</v>
      </c>
      <c r="BP149">
        <v>23</v>
      </c>
      <c r="BQ149">
        <v>-7.903999999999999</v>
      </c>
      <c r="BR149">
        <v>3</v>
      </c>
      <c r="BS149">
        <v>9.4400000000000013</v>
      </c>
      <c r="BT149">
        <v>-0.72000000000000031</v>
      </c>
      <c r="BU149">
        <v>-6.9599999999999991</v>
      </c>
      <c r="BV149">
        <v>0.2</v>
      </c>
      <c r="BW149">
        <v>-21.839999999999996</v>
      </c>
      <c r="BX149">
        <v>-31.8</v>
      </c>
      <c r="BY149">
        <v>4.0399999999999974</v>
      </c>
      <c r="BZ149">
        <v>7.56</v>
      </c>
      <c r="CA149">
        <v>-1.6399999999999995</v>
      </c>
      <c r="CB149">
        <v>22</v>
      </c>
      <c r="CC149">
        <v>-0.88720000000000065</v>
      </c>
      <c r="CD149">
        <v>-6.6240000000000521E-2</v>
      </c>
      <c r="CE149">
        <v>-35.839999999999996</v>
      </c>
      <c r="CF149">
        <v>-2.1118999999999999</v>
      </c>
    </row>
    <row r="150" spans="1:84" x14ac:dyDescent="0.2">
      <c r="A150" s="39">
        <v>43772</v>
      </c>
      <c r="B150" s="22" t="s">
        <v>246</v>
      </c>
      <c r="C150" s="41" t="s">
        <v>276</v>
      </c>
      <c r="D150" s="22" t="s">
        <v>306</v>
      </c>
      <c r="E150">
        <v>11.6</v>
      </c>
      <c r="F150">
        <v>9.3000000000000007</v>
      </c>
      <c r="G150">
        <v>4.2</v>
      </c>
      <c r="H150">
        <v>3.4</v>
      </c>
      <c r="I150">
        <v>-10.5</v>
      </c>
      <c r="J150">
        <v>37</v>
      </c>
      <c r="L150" s="1" t="s">
        <v>276</v>
      </c>
      <c r="M150">
        <v>9</v>
      </c>
      <c r="N150">
        <v>2.2383999999999999</v>
      </c>
      <c r="O150">
        <v>-3.6920000000000002</v>
      </c>
      <c r="P150">
        <v>-0.7200000000000002</v>
      </c>
      <c r="Q150">
        <v>-2.4800000000000004</v>
      </c>
      <c r="R150">
        <v>-4.968</v>
      </c>
      <c r="S150">
        <v>-27.72</v>
      </c>
      <c r="T150">
        <v>-1.52</v>
      </c>
      <c r="U150">
        <v>25</v>
      </c>
      <c r="V150">
        <v>23</v>
      </c>
      <c r="W150">
        <v>-1.2799999999999998</v>
      </c>
      <c r="X150">
        <v>24</v>
      </c>
      <c r="Y150">
        <v>20.75</v>
      </c>
      <c r="Z150">
        <v>25</v>
      </c>
      <c r="AA150">
        <v>-2.7702843592410785E-2</v>
      </c>
      <c r="AB150">
        <v>25</v>
      </c>
      <c r="AC150">
        <v>1.4178125094536198E-2</v>
      </c>
      <c r="AD150">
        <v>5</v>
      </c>
      <c r="AE150">
        <v>-24.352</v>
      </c>
      <c r="AF150">
        <v>28</v>
      </c>
      <c r="AG150">
        <v>-0.79999999999999982</v>
      </c>
      <c r="AH150">
        <v>-2.319999999999999</v>
      </c>
      <c r="AI150">
        <v>-0.96000000000000052</v>
      </c>
      <c r="AJ150">
        <v>0.48000000000000009</v>
      </c>
      <c r="AK150">
        <v>-28.320000000000004</v>
      </c>
      <c r="AL150">
        <v>-32.64</v>
      </c>
      <c r="AM150">
        <v>-3.6799999999999984</v>
      </c>
      <c r="AN150">
        <v>-5.0399999999999991</v>
      </c>
      <c r="AO150">
        <v>13.040000000000001</v>
      </c>
      <c r="AP150">
        <v>8</v>
      </c>
      <c r="AQ150">
        <v>5.9303999999999997</v>
      </c>
      <c r="AR150">
        <v>1.3000799999999999</v>
      </c>
      <c r="AS150">
        <v>-28.96</v>
      </c>
      <c r="AT150">
        <v>-5.9304000000000006</v>
      </c>
      <c r="AU150">
        <v>-1.0577000000000001</v>
      </c>
      <c r="AV150">
        <v>-0.84267499999999973</v>
      </c>
      <c r="AW150">
        <v>-1.1100499999999998</v>
      </c>
      <c r="AX150" t="s">
        <v>306</v>
      </c>
      <c r="AY150">
        <v>22</v>
      </c>
      <c r="AZ150">
        <v>-3.2203999999999993</v>
      </c>
      <c r="BA150">
        <v>3.0400000000000009</v>
      </c>
      <c r="BB150">
        <v>18.119999999999997</v>
      </c>
      <c r="BC150">
        <v>2.68</v>
      </c>
      <c r="BD150">
        <v>-7.0619999999999985</v>
      </c>
      <c r="BE150">
        <v>-13.939999999999998</v>
      </c>
      <c r="BF150">
        <v>-2.57</v>
      </c>
      <c r="BG150">
        <v>12</v>
      </c>
      <c r="BH150">
        <v>12.5</v>
      </c>
      <c r="BI150">
        <v>1.7200000000000002</v>
      </c>
      <c r="BJ150">
        <v>3</v>
      </c>
      <c r="BK150">
        <v>8</v>
      </c>
      <c r="BL150">
        <v>13</v>
      </c>
      <c r="BM150">
        <v>-1.4308428241602745E-2</v>
      </c>
      <c r="BN150">
        <v>2</v>
      </c>
      <c r="BO150">
        <v>4.1108550784361318E-3</v>
      </c>
      <c r="BP150">
        <v>9</v>
      </c>
      <c r="BQ150">
        <v>9.4160000000000004</v>
      </c>
      <c r="BR150">
        <v>8</v>
      </c>
      <c r="BS150">
        <v>-0.23999999999999985</v>
      </c>
      <c r="BT150">
        <v>2.4399999999999991</v>
      </c>
      <c r="BU150">
        <v>-2.9200000000000004</v>
      </c>
      <c r="BV150">
        <v>-0.8</v>
      </c>
      <c r="BW150">
        <v>19.439999999999998</v>
      </c>
      <c r="BX150">
        <v>-1.6400000000000035</v>
      </c>
      <c r="BY150">
        <v>16.080000000000005</v>
      </c>
      <c r="BZ150">
        <v>-0.43999999999999984</v>
      </c>
      <c r="CA150">
        <v>5.44</v>
      </c>
      <c r="CB150">
        <v>27</v>
      </c>
      <c r="CC150">
        <v>-6.2604000000000006</v>
      </c>
      <c r="CD150">
        <v>-3.5764800000000001</v>
      </c>
      <c r="CE150">
        <v>-17.72000000000001</v>
      </c>
      <c r="CF150">
        <v>-0.5752999999999997</v>
      </c>
    </row>
    <row r="151" spans="1:84" x14ac:dyDescent="0.2">
      <c r="A151" s="39">
        <v>43772</v>
      </c>
      <c r="B151" s="22" t="s">
        <v>246</v>
      </c>
      <c r="C151" s="41" t="s">
        <v>301</v>
      </c>
      <c r="D151" s="22" t="s">
        <v>310</v>
      </c>
      <c r="E151">
        <v>20.100000000000001</v>
      </c>
      <c r="F151">
        <v>16.399999999999999</v>
      </c>
      <c r="G151">
        <v>0</v>
      </c>
      <c r="H151">
        <v>7</v>
      </c>
      <c r="I151">
        <v>-3.5</v>
      </c>
      <c r="J151">
        <v>43</v>
      </c>
      <c r="L151" s="1" t="s">
        <v>301</v>
      </c>
      <c r="M151">
        <v>32</v>
      </c>
      <c r="N151">
        <v>-8.0239999999999991</v>
      </c>
      <c r="O151">
        <v>17.251200000000001</v>
      </c>
      <c r="P151">
        <v>55.120000000000005</v>
      </c>
      <c r="Q151">
        <v>0.75999999999999979</v>
      </c>
      <c r="R151">
        <v>-12.208000000000002</v>
      </c>
      <c r="S151">
        <v>-44.84</v>
      </c>
      <c r="T151">
        <v>-1.0400000000000003</v>
      </c>
      <c r="U151">
        <v>32</v>
      </c>
      <c r="V151">
        <v>31.5</v>
      </c>
      <c r="W151">
        <v>5.6</v>
      </c>
      <c r="X151">
        <v>4</v>
      </c>
      <c r="Y151">
        <v>8.5</v>
      </c>
      <c r="Z151">
        <v>4</v>
      </c>
      <c r="AA151">
        <v>-4.5831716221445086E-2</v>
      </c>
      <c r="AB151">
        <v>6</v>
      </c>
      <c r="AC151">
        <v>2.0147274473730589E-2</v>
      </c>
      <c r="AD151">
        <v>17</v>
      </c>
      <c r="AE151">
        <v>-5.492</v>
      </c>
      <c r="AF151">
        <v>7</v>
      </c>
      <c r="AG151">
        <v>-0.36000000000000032</v>
      </c>
      <c r="AH151">
        <v>3.3200000000000003</v>
      </c>
      <c r="AI151">
        <v>3.5199999999999996</v>
      </c>
      <c r="AJ151">
        <v>1.0799999999999998</v>
      </c>
      <c r="AK151">
        <v>1.3199999999999874</v>
      </c>
      <c r="AL151">
        <v>-49.519999999999996</v>
      </c>
      <c r="AM151">
        <v>55.359999999999992</v>
      </c>
      <c r="AN151">
        <v>4.3600000000000003</v>
      </c>
      <c r="AO151">
        <v>-8.879999999999999</v>
      </c>
      <c r="AP151">
        <v>32</v>
      </c>
      <c r="AQ151">
        <v>-25.275200000000002</v>
      </c>
      <c r="AR151">
        <v>-12.672000000000001</v>
      </c>
      <c r="AS151">
        <v>-104.88</v>
      </c>
      <c r="AT151">
        <v>25.275199999999998</v>
      </c>
      <c r="AU151">
        <v>-0.18760000000000007</v>
      </c>
      <c r="AV151">
        <v>-5.1324999999999926E-2</v>
      </c>
      <c r="AW151">
        <v>0.29580000000000012</v>
      </c>
      <c r="AX151" t="s">
        <v>310</v>
      </c>
      <c r="AY151">
        <v>11</v>
      </c>
      <c r="AZ151">
        <v>1.0044000000000017</v>
      </c>
      <c r="BA151">
        <v>0.20800000000000018</v>
      </c>
      <c r="BB151">
        <v>-11.040000000000003</v>
      </c>
      <c r="BC151">
        <v>2.12</v>
      </c>
      <c r="BD151">
        <v>-4.9600000000000026</v>
      </c>
      <c r="BE151">
        <v>-12.679999999999996</v>
      </c>
      <c r="BF151">
        <v>-1.3200000000000012</v>
      </c>
      <c r="BG151">
        <v>3</v>
      </c>
      <c r="BH151">
        <v>3.5</v>
      </c>
      <c r="BI151">
        <v>2.48</v>
      </c>
      <c r="BJ151">
        <v>15</v>
      </c>
      <c r="BK151">
        <v>15.75</v>
      </c>
      <c r="BL151">
        <v>16</v>
      </c>
      <c r="BM151">
        <v>1.4311507272322077E-2</v>
      </c>
      <c r="BN151">
        <v>21</v>
      </c>
      <c r="BO151">
        <v>-9.4933580643614627E-3</v>
      </c>
      <c r="BP151">
        <v>13</v>
      </c>
      <c r="BQ151">
        <v>-2.6120000000000045</v>
      </c>
      <c r="BR151">
        <v>13</v>
      </c>
      <c r="BS151">
        <v>-1.4</v>
      </c>
      <c r="BT151">
        <v>4</v>
      </c>
      <c r="BU151">
        <v>-3.8800000000000012</v>
      </c>
      <c r="BV151">
        <v>-0.83999999999999986</v>
      </c>
      <c r="BW151">
        <v>11.360000000000003</v>
      </c>
      <c r="BX151">
        <v>14.6</v>
      </c>
      <c r="BY151">
        <v>-14.479999999999999</v>
      </c>
      <c r="BZ151">
        <v>-0.59999999999999987</v>
      </c>
      <c r="CA151">
        <v>11.84</v>
      </c>
      <c r="CB151">
        <v>18</v>
      </c>
      <c r="CC151">
        <v>0.79640000000000155</v>
      </c>
      <c r="CD151">
        <v>-0.89512000000000014</v>
      </c>
      <c r="CE151">
        <v>29.08</v>
      </c>
      <c r="CF151">
        <v>-0.39844999999999997</v>
      </c>
    </row>
    <row r="152" spans="1:84" x14ac:dyDescent="0.2">
      <c r="A152" s="39">
        <v>43772</v>
      </c>
      <c r="B152" s="22" t="s">
        <v>246</v>
      </c>
      <c r="C152" s="41" t="s">
        <v>265</v>
      </c>
      <c r="D152" s="22" t="s">
        <v>294</v>
      </c>
      <c r="E152">
        <v>1.6</v>
      </c>
      <c r="F152">
        <v>9.9</v>
      </c>
      <c r="G152">
        <v>1.5</v>
      </c>
      <c r="H152">
        <v>0</v>
      </c>
      <c r="I152">
        <v>5</v>
      </c>
      <c r="J152">
        <v>41</v>
      </c>
      <c r="L152" s="1" t="s">
        <v>265</v>
      </c>
      <c r="M152">
        <v>29</v>
      </c>
      <c r="N152">
        <v>-5.4992000000000019</v>
      </c>
      <c r="O152">
        <v>2.1209999999999996</v>
      </c>
      <c r="P152">
        <v>-11.229999999999997</v>
      </c>
      <c r="Q152">
        <v>3.17</v>
      </c>
      <c r="R152">
        <v>-8.4480000000000022</v>
      </c>
      <c r="S152">
        <v>-27.920000000000005</v>
      </c>
      <c r="T152">
        <v>-2.08</v>
      </c>
      <c r="U152">
        <v>30</v>
      </c>
      <c r="V152">
        <v>29.5</v>
      </c>
      <c r="W152">
        <v>1.92</v>
      </c>
      <c r="X152">
        <v>18</v>
      </c>
      <c r="Y152">
        <v>15.5</v>
      </c>
      <c r="Z152">
        <v>20</v>
      </c>
      <c r="AA152">
        <v>7.7630743629281684E-3</v>
      </c>
      <c r="AB152">
        <v>11</v>
      </c>
      <c r="AC152">
        <v>1.9757048563729838E-3</v>
      </c>
      <c r="AD152">
        <v>20</v>
      </c>
      <c r="AE152">
        <v>-3.4000000000000012</v>
      </c>
      <c r="AF152">
        <v>11</v>
      </c>
      <c r="AG152">
        <v>-1.1199999999999997</v>
      </c>
      <c r="AH152">
        <v>-0.16000000000000086</v>
      </c>
      <c r="AI152">
        <v>-2.88</v>
      </c>
      <c r="AJ152">
        <v>0.83999999999999986</v>
      </c>
      <c r="AK152">
        <v>-55.640000000000008</v>
      </c>
      <c r="AL152">
        <v>-36.519999999999996</v>
      </c>
      <c r="AM152">
        <v>-11.199999999999998</v>
      </c>
      <c r="AN152">
        <v>-2.0800000000000005</v>
      </c>
      <c r="AO152">
        <v>-5.84</v>
      </c>
      <c r="AP152">
        <v>28</v>
      </c>
      <c r="AQ152">
        <v>-7.6202000000000014</v>
      </c>
      <c r="AR152">
        <v>-3.8499400000000006</v>
      </c>
      <c r="AS152">
        <v>-25.32</v>
      </c>
      <c r="AT152">
        <v>7.6202000000000014</v>
      </c>
      <c r="AU152">
        <v>-1.5982750000000003</v>
      </c>
      <c r="AV152">
        <v>-0.82331249999999989</v>
      </c>
      <c r="AW152">
        <v>-1.5564749999999998</v>
      </c>
      <c r="AX152" t="s">
        <v>294</v>
      </c>
      <c r="AY152">
        <v>30</v>
      </c>
      <c r="AZ152">
        <v>1.1888000000000016</v>
      </c>
      <c r="BA152">
        <v>-4.9000000000000012</v>
      </c>
      <c r="BB152">
        <v>-20.319999999999997</v>
      </c>
      <c r="BC152">
        <v>-8.0000000000000071E-2</v>
      </c>
      <c r="BD152">
        <v>4.0699999999999994</v>
      </c>
      <c r="BE152">
        <v>4.5999999999999979</v>
      </c>
      <c r="BF152">
        <v>0.77999999999999936</v>
      </c>
      <c r="BG152">
        <v>31</v>
      </c>
      <c r="BH152">
        <v>28.5</v>
      </c>
      <c r="BI152">
        <v>-0.12000000000000011</v>
      </c>
      <c r="BJ152">
        <v>4</v>
      </c>
      <c r="BK152">
        <v>8.75</v>
      </c>
      <c r="BL152">
        <v>3</v>
      </c>
      <c r="BM152">
        <v>3.2704413136276547E-2</v>
      </c>
      <c r="BN152">
        <v>4</v>
      </c>
      <c r="BO152">
        <v>2.4607405123617577E-2</v>
      </c>
      <c r="BP152">
        <v>14</v>
      </c>
      <c r="BQ152">
        <v>4.0839999999999987</v>
      </c>
      <c r="BR152">
        <v>14</v>
      </c>
      <c r="BS152">
        <v>2.8800000000000003</v>
      </c>
      <c r="BT152">
        <v>1.1200000000000003</v>
      </c>
      <c r="BU152">
        <v>1.9600000000000002</v>
      </c>
      <c r="BV152">
        <v>-0.72</v>
      </c>
      <c r="BW152">
        <v>-13.2</v>
      </c>
      <c r="BX152">
        <v>-10.999999999999995</v>
      </c>
      <c r="BY152">
        <v>-21.92</v>
      </c>
      <c r="BZ152">
        <v>8.4</v>
      </c>
      <c r="CA152">
        <v>11.320000000000002</v>
      </c>
      <c r="CB152">
        <v>5</v>
      </c>
      <c r="CC152">
        <v>6.0888000000000027</v>
      </c>
      <c r="CD152">
        <v>3.5017600000000009</v>
      </c>
      <c r="CE152">
        <v>10.920000000000007</v>
      </c>
      <c r="CF152">
        <v>-9.0150000000000036E-2</v>
      </c>
    </row>
    <row r="153" spans="1:84" x14ac:dyDescent="0.2">
      <c r="A153" s="39">
        <v>43772</v>
      </c>
      <c r="B153" s="22" t="s">
        <v>246</v>
      </c>
      <c r="C153" s="41" t="s">
        <v>281</v>
      </c>
      <c r="D153" s="22" t="s">
        <v>278</v>
      </c>
      <c r="E153">
        <v>13.2</v>
      </c>
      <c r="F153">
        <v>17.100000000000001</v>
      </c>
      <c r="G153">
        <v>9.6</v>
      </c>
      <c r="H153">
        <v>8.6999999999999993</v>
      </c>
      <c r="I153">
        <v>-4</v>
      </c>
      <c r="J153">
        <v>39</v>
      </c>
      <c r="K153" t="s">
        <v>110</v>
      </c>
      <c r="L153" s="1" t="s">
        <v>281</v>
      </c>
      <c r="M153">
        <v>12</v>
      </c>
      <c r="N153">
        <v>1.7999999999999994</v>
      </c>
      <c r="O153">
        <v>8.041599999999999</v>
      </c>
      <c r="P153">
        <v>34.559999999999995</v>
      </c>
      <c r="Q153">
        <v>0.19999999999999993</v>
      </c>
      <c r="R153">
        <v>5.4639999999999986</v>
      </c>
      <c r="S153">
        <v>32.559999999999995</v>
      </c>
      <c r="T153">
        <v>0.5199999999999998</v>
      </c>
      <c r="U153">
        <v>4</v>
      </c>
      <c r="V153">
        <v>7</v>
      </c>
      <c r="W153">
        <v>-1.1599999999999999</v>
      </c>
      <c r="X153">
        <v>30</v>
      </c>
      <c r="Y153">
        <v>29</v>
      </c>
      <c r="Z153">
        <v>31</v>
      </c>
      <c r="AA153">
        <v>-3.312043740286718E-2</v>
      </c>
      <c r="AB153">
        <v>30</v>
      </c>
      <c r="AC153">
        <v>-6.7575523219360152E-3</v>
      </c>
      <c r="AD153">
        <v>24</v>
      </c>
      <c r="AE153">
        <v>3.0360000000000014</v>
      </c>
      <c r="AF153">
        <v>31</v>
      </c>
      <c r="AG153">
        <v>-1.9199999999999995</v>
      </c>
      <c r="AH153">
        <v>1.1200000000000003</v>
      </c>
      <c r="AI153">
        <v>6</v>
      </c>
      <c r="AJ153">
        <v>-1.7599999999999998</v>
      </c>
      <c r="AK153">
        <v>46.800000000000004</v>
      </c>
      <c r="AL153">
        <v>19.2</v>
      </c>
      <c r="AM153">
        <v>32.160000000000004</v>
      </c>
      <c r="AN153">
        <v>-4.8800000000000008</v>
      </c>
      <c r="AO153">
        <v>0.32000000000000028</v>
      </c>
      <c r="AP153">
        <v>26</v>
      </c>
      <c r="AQ153">
        <v>-6.2416</v>
      </c>
      <c r="AR153">
        <v>-2.5680000000000001</v>
      </c>
      <c r="AS153">
        <v>-12.960000000000004</v>
      </c>
      <c r="AT153">
        <v>6.2416</v>
      </c>
      <c r="AU153">
        <v>2.0331999999999999</v>
      </c>
      <c r="AV153">
        <v>-0.6213166666666663</v>
      </c>
      <c r="AW153">
        <v>0.62826666666666708</v>
      </c>
      <c r="AX153" t="s">
        <v>278</v>
      </c>
      <c r="AY153">
        <v>15</v>
      </c>
      <c r="AZ153">
        <v>-7.2151999999999985</v>
      </c>
      <c r="BA153">
        <v>2.14</v>
      </c>
      <c r="BB153">
        <v>19.159999999999997</v>
      </c>
      <c r="BC153">
        <v>2</v>
      </c>
      <c r="BD153">
        <v>-11.331999999999999</v>
      </c>
      <c r="BE153">
        <v>-46.519999999999996</v>
      </c>
      <c r="BF153">
        <v>-1.5200000000000005</v>
      </c>
      <c r="BG153">
        <v>9</v>
      </c>
      <c r="BH153">
        <v>9.5</v>
      </c>
      <c r="BI153">
        <v>1.8399999999999999</v>
      </c>
      <c r="BJ153">
        <v>12</v>
      </c>
      <c r="BK153">
        <v>14.5</v>
      </c>
      <c r="BL153">
        <v>25</v>
      </c>
      <c r="BM153">
        <v>-6.532277197427239E-3</v>
      </c>
      <c r="BN153">
        <v>6</v>
      </c>
      <c r="BO153">
        <v>2.701052365360207E-2</v>
      </c>
      <c r="BP153">
        <v>10</v>
      </c>
      <c r="BQ153">
        <v>6.3399999999999963</v>
      </c>
      <c r="BR153">
        <v>17</v>
      </c>
      <c r="BS153">
        <v>2.4800000000000004</v>
      </c>
      <c r="BT153">
        <v>1.4799999999999998</v>
      </c>
      <c r="BU153">
        <v>-5.92</v>
      </c>
      <c r="BV153">
        <v>1.52</v>
      </c>
      <c r="BW153">
        <v>-36.040000000000006</v>
      </c>
      <c r="BX153">
        <v>-47.760000000000005</v>
      </c>
      <c r="BY153">
        <v>18.639999999999997</v>
      </c>
      <c r="BZ153">
        <v>-3</v>
      </c>
      <c r="CA153">
        <v>-3.9200000000000004</v>
      </c>
      <c r="CB153">
        <v>31</v>
      </c>
      <c r="CC153">
        <v>-9.3551999999999982</v>
      </c>
      <c r="CD153">
        <v>-4.7794400000000001</v>
      </c>
      <c r="CE153">
        <v>-66.400000000000006</v>
      </c>
      <c r="CF153">
        <v>-1.8708999999999996</v>
      </c>
    </row>
    <row r="154" spans="1:84" x14ac:dyDescent="0.2">
      <c r="A154" s="39">
        <v>43772</v>
      </c>
      <c r="B154" s="22" t="s">
        <v>246</v>
      </c>
      <c r="C154" s="41" t="s">
        <v>291</v>
      </c>
      <c r="D154" s="22" t="s">
        <v>296</v>
      </c>
      <c r="E154">
        <v>18</v>
      </c>
      <c r="F154">
        <v>11.3</v>
      </c>
      <c r="G154">
        <v>8.5</v>
      </c>
      <c r="H154">
        <f>13.8+11.2</f>
        <v>25</v>
      </c>
      <c r="I154">
        <v>-6.5</v>
      </c>
      <c r="J154">
        <v>48.5</v>
      </c>
      <c r="K154" t="s">
        <v>109</v>
      </c>
      <c r="L154" s="1" t="s">
        <v>291</v>
      </c>
      <c r="M154">
        <v>10</v>
      </c>
      <c r="N154">
        <v>2.0679999999999996</v>
      </c>
      <c r="O154">
        <v>2.1609999999999996</v>
      </c>
      <c r="P154">
        <v>28.12</v>
      </c>
      <c r="Q154">
        <v>-0.8999999999999998</v>
      </c>
      <c r="R154">
        <v>9.5180000000000007</v>
      </c>
      <c r="S154">
        <v>60.517499999999998</v>
      </c>
      <c r="T154">
        <v>4.5375000000000005</v>
      </c>
      <c r="U154">
        <v>11</v>
      </c>
      <c r="V154">
        <v>9.5</v>
      </c>
      <c r="W154">
        <v>0.5600000000000005</v>
      </c>
      <c r="X154">
        <v>26</v>
      </c>
      <c r="Y154">
        <v>22.25</v>
      </c>
      <c r="Z154">
        <v>18</v>
      </c>
      <c r="AA154">
        <v>5.0204316853718955E-2</v>
      </c>
      <c r="AB154">
        <v>32</v>
      </c>
      <c r="AC154">
        <v>-2.5271908380889385E-2</v>
      </c>
      <c r="AD154">
        <v>16</v>
      </c>
      <c r="AE154">
        <v>11.395999999999997</v>
      </c>
      <c r="AF154">
        <v>23</v>
      </c>
      <c r="AG154">
        <v>-2.72</v>
      </c>
      <c r="AH154">
        <v>3.3599999999999981</v>
      </c>
      <c r="AI154">
        <v>2.9999999999999996</v>
      </c>
      <c r="AJ154">
        <v>-0.51999999999999991</v>
      </c>
      <c r="AK154">
        <v>71.16</v>
      </c>
      <c r="AL154">
        <v>37.88000000000001</v>
      </c>
      <c r="AM154">
        <v>26.480000000000008</v>
      </c>
      <c r="AN154">
        <v>1.7199999999999995</v>
      </c>
      <c r="AO154">
        <v>5.08</v>
      </c>
      <c r="AP154">
        <v>18</v>
      </c>
      <c r="AQ154">
        <v>-9.2999999999999972E-2</v>
      </c>
      <c r="AR154">
        <v>1.2366999999999999</v>
      </c>
      <c r="AS154">
        <v>11.400000000000002</v>
      </c>
      <c r="AT154">
        <v>9.2999999999999972E-2</v>
      </c>
      <c r="AU154">
        <v>2.0683750000000001</v>
      </c>
      <c r="AV154">
        <v>-0.77348750000000011</v>
      </c>
      <c r="AW154">
        <v>-0.89929999999999999</v>
      </c>
      <c r="AX154" t="s">
        <v>296</v>
      </c>
      <c r="AY154">
        <v>5</v>
      </c>
      <c r="AZ154">
        <v>-0.12639999999999904</v>
      </c>
      <c r="BA154">
        <v>-1.0770000000000004</v>
      </c>
      <c r="BB154">
        <v>3.6800000000000006</v>
      </c>
      <c r="BC154">
        <v>-0.70000000000000007</v>
      </c>
      <c r="BD154">
        <v>-4.338000000000001</v>
      </c>
      <c r="BE154">
        <v>-17.979999999999997</v>
      </c>
      <c r="BF154">
        <v>-3.45</v>
      </c>
      <c r="BG154">
        <v>2</v>
      </c>
      <c r="BH154">
        <v>3</v>
      </c>
      <c r="BI154">
        <v>5.4799999999999995</v>
      </c>
      <c r="BJ154">
        <v>29</v>
      </c>
      <c r="BK154">
        <v>24</v>
      </c>
      <c r="BL154">
        <v>11</v>
      </c>
      <c r="BM154">
        <v>-8.7501011985524846E-2</v>
      </c>
      <c r="BN154">
        <v>27</v>
      </c>
      <c r="BO154">
        <v>6.3520324490133288E-3</v>
      </c>
      <c r="BP154">
        <v>31</v>
      </c>
      <c r="BQ154">
        <v>-11.528</v>
      </c>
      <c r="BR154">
        <v>27</v>
      </c>
      <c r="BS154">
        <v>4.4400000000000004</v>
      </c>
      <c r="BT154">
        <v>0.4</v>
      </c>
      <c r="BU154">
        <v>-0.47999999999999987</v>
      </c>
      <c r="BV154">
        <v>3.04</v>
      </c>
      <c r="BW154">
        <v>-2.1599999999999908</v>
      </c>
      <c r="BX154">
        <v>-7.2800000000000065</v>
      </c>
      <c r="BY154">
        <v>11.16</v>
      </c>
      <c r="BZ154">
        <v>-6.5200000000000005</v>
      </c>
      <c r="CA154">
        <v>0.4799999999999997</v>
      </c>
      <c r="CB154">
        <v>17</v>
      </c>
      <c r="CC154">
        <v>0.95060000000000144</v>
      </c>
      <c r="CD154">
        <v>-0.35437999999999992</v>
      </c>
      <c r="CE154">
        <v>-18.440000000000005</v>
      </c>
      <c r="CF154">
        <v>-0.64767500000000011</v>
      </c>
    </row>
    <row r="155" spans="1:84" x14ac:dyDescent="0.2">
      <c r="A155" s="39">
        <v>43772</v>
      </c>
      <c r="B155" t="s">
        <v>246</v>
      </c>
      <c r="C155" s="41" t="s">
        <v>278</v>
      </c>
      <c r="D155" t="s">
        <v>281</v>
      </c>
      <c r="E155">
        <v>17.3</v>
      </c>
      <c r="F155">
        <v>0</v>
      </c>
      <c r="G155">
        <v>0</v>
      </c>
      <c r="H155">
        <v>25.4</v>
      </c>
      <c r="I155">
        <v>4</v>
      </c>
      <c r="J155">
        <v>39</v>
      </c>
      <c r="K155" t="s">
        <v>110</v>
      </c>
      <c r="L155" s="1" t="s">
        <v>278</v>
      </c>
      <c r="M155">
        <v>30</v>
      </c>
      <c r="N155">
        <v>-5.6088000000000013</v>
      </c>
      <c r="O155">
        <v>-1.0600000000000009</v>
      </c>
      <c r="P155">
        <v>11.24</v>
      </c>
      <c r="Q155">
        <v>-0.43999999999999995</v>
      </c>
      <c r="R155">
        <v>-4.2000000000000011</v>
      </c>
      <c r="S155">
        <v>-16.040000000000006</v>
      </c>
      <c r="T155">
        <v>-1.48</v>
      </c>
      <c r="U155">
        <v>10</v>
      </c>
      <c r="V155">
        <v>9</v>
      </c>
      <c r="W155">
        <v>2.4800000000000004</v>
      </c>
      <c r="X155">
        <v>22</v>
      </c>
      <c r="Y155">
        <v>20.25</v>
      </c>
      <c r="Z155">
        <v>15</v>
      </c>
      <c r="AA155">
        <v>2.918042563169443E-3</v>
      </c>
      <c r="AB155">
        <v>19</v>
      </c>
      <c r="AC155">
        <v>1.2308372957031254E-2</v>
      </c>
      <c r="AD155">
        <v>28</v>
      </c>
      <c r="AE155">
        <v>-0.48799999999999955</v>
      </c>
      <c r="AF155">
        <v>19</v>
      </c>
      <c r="AG155">
        <v>1.8399999999999999</v>
      </c>
      <c r="AH155">
        <v>-4.6399999999999988</v>
      </c>
      <c r="AI155">
        <v>-3.1199999999999997</v>
      </c>
      <c r="AJ155">
        <v>-1.1199999999999999</v>
      </c>
      <c r="AK155">
        <v>-39.56</v>
      </c>
      <c r="AL155">
        <v>-35.120000000000005</v>
      </c>
      <c r="AM155">
        <v>9.879999999999999</v>
      </c>
      <c r="AN155">
        <v>-3.4799999999999995</v>
      </c>
      <c r="AO155">
        <v>-10.84</v>
      </c>
      <c r="AP155">
        <v>24</v>
      </c>
      <c r="AQ155">
        <v>-4.5488</v>
      </c>
      <c r="AR155">
        <v>-1.4317599999999999</v>
      </c>
      <c r="AS155">
        <v>-45</v>
      </c>
      <c r="AT155">
        <v>4.5488</v>
      </c>
      <c r="AU155">
        <v>-1.4286000000000005</v>
      </c>
      <c r="AV155">
        <v>-0.6213166666666663</v>
      </c>
      <c r="AW155">
        <v>-1.8708999999999996</v>
      </c>
      <c r="AX155" t="s">
        <v>281</v>
      </c>
      <c r="AY155">
        <v>11</v>
      </c>
      <c r="AZ155">
        <v>2.5848000000000004</v>
      </c>
      <c r="BA155">
        <v>1.0680000000000012</v>
      </c>
      <c r="BB155">
        <v>21.159999999999997</v>
      </c>
      <c r="BC155">
        <v>-1.9200000000000002</v>
      </c>
      <c r="BD155">
        <v>2.0933333333333346</v>
      </c>
      <c r="BE155">
        <v>-8.2099999999999955</v>
      </c>
      <c r="BF155">
        <v>-1.82</v>
      </c>
      <c r="BG155">
        <v>29</v>
      </c>
      <c r="BH155">
        <v>27</v>
      </c>
      <c r="BI155">
        <v>-1.9199999999999995</v>
      </c>
      <c r="BJ155">
        <v>9</v>
      </c>
      <c r="BK155">
        <v>12.5</v>
      </c>
      <c r="BL155">
        <v>8</v>
      </c>
      <c r="BM155">
        <v>1.5885996202414092E-2</v>
      </c>
      <c r="BN155">
        <v>16</v>
      </c>
      <c r="BO155">
        <v>2.0890214540285675E-2</v>
      </c>
      <c r="BP155">
        <v>7</v>
      </c>
      <c r="BQ155">
        <v>8.0520000000000014</v>
      </c>
      <c r="BR155">
        <v>19</v>
      </c>
      <c r="BS155">
        <v>-1.1599999999999999</v>
      </c>
      <c r="BT155">
        <v>-2.0399999999999978</v>
      </c>
      <c r="BU155">
        <v>3.3199999999999994</v>
      </c>
      <c r="BV155">
        <v>-0.91999999999999993</v>
      </c>
      <c r="BW155">
        <v>32.160000000000004</v>
      </c>
      <c r="BX155">
        <v>9.7199999999999989</v>
      </c>
      <c r="BY155">
        <v>20.680000000000003</v>
      </c>
      <c r="BZ155">
        <v>4.4000000000000004</v>
      </c>
      <c r="CA155">
        <v>-2.6399999999999997</v>
      </c>
      <c r="CB155">
        <v>14</v>
      </c>
      <c r="CC155">
        <v>1.5167999999999995</v>
      </c>
      <c r="CD155">
        <v>0.40162666666666647</v>
      </c>
      <c r="CE155">
        <v>-10.960000000000004</v>
      </c>
      <c r="CF155">
        <v>0.62826666666666708</v>
      </c>
    </row>
    <row r="156" spans="1:84" x14ac:dyDescent="0.2">
      <c r="A156" s="39">
        <v>43772</v>
      </c>
      <c r="B156" s="22" t="s">
        <v>246</v>
      </c>
      <c r="C156" s="41" t="s">
        <v>299</v>
      </c>
      <c r="D156" s="22" t="s">
        <v>303</v>
      </c>
      <c r="E156">
        <v>26.2</v>
      </c>
      <c r="F156" s="14">
        <v>29.6</v>
      </c>
      <c r="G156">
        <v>5.9</v>
      </c>
      <c r="H156">
        <f>8.6+2.3+1.3</f>
        <v>12.2</v>
      </c>
      <c r="I156">
        <v>2.5</v>
      </c>
      <c r="J156">
        <v>51.5</v>
      </c>
      <c r="L156" s="1" t="s">
        <v>299</v>
      </c>
      <c r="M156">
        <v>5</v>
      </c>
      <c r="N156">
        <v>4.1111999999999984</v>
      </c>
      <c r="O156">
        <v>-5.8559999999999999</v>
      </c>
      <c r="P156">
        <v>-9.2500000000000018</v>
      </c>
      <c r="Q156">
        <v>9.0000000000000135E-2</v>
      </c>
      <c r="R156">
        <v>15.211</v>
      </c>
      <c r="S156">
        <v>66.56</v>
      </c>
      <c r="T156">
        <v>1.8400000000000005</v>
      </c>
      <c r="U156">
        <v>23</v>
      </c>
      <c r="V156">
        <v>22.5</v>
      </c>
      <c r="W156">
        <v>-2.12</v>
      </c>
      <c r="X156">
        <v>5</v>
      </c>
      <c r="Y156">
        <v>9</v>
      </c>
      <c r="Z156">
        <v>6</v>
      </c>
      <c r="AA156">
        <v>2.8759616369712516E-2</v>
      </c>
      <c r="AB156">
        <v>12</v>
      </c>
      <c r="AC156">
        <v>1.0972093802472802E-2</v>
      </c>
      <c r="AD156">
        <v>9</v>
      </c>
      <c r="AE156">
        <v>7.5119999999999987</v>
      </c>
      <c r="AF156">
        <v>9</v>
      </c>
      <c r="AG156">
        <v>-0.96000000000000019</v>
      </c>
      <c r="AH156">
        <v>0.32000000000000173</v>
      </c>
      <c r="AI156">
        <v>3.28</v>
      </c>
      <c r="AJ156">
        <v>0.48000000000000009</v>
      </c>
      <c r="AK156">
        <v>45.240000000000009</v>
      </c>
      <c r="AL156">
        <v>62.160000000000004</v>
      </c>
      <c r="AM156">
        <v>-9.64</v>
      </c>
      <c r="AN156">
        <v>-0.40000000000000008</v>
      </c>
      <c r="AO156">
        <v>-6.8800000000000008</v>
      </c>
      <c r="AP156">
        <v>3</v>
      </c>
      <c r="AQ156">
        <v>9.9671999999999983</v>
      </c>
      <c r="AR156">
        <v>6.7924399999999991</v>
      </c>
      <c r="AS156">
        <v>71.800000000000011</v>
      </c>
      <c r="AT156">
        <v>-9.9671999999999983</v>
      </c>
      <c r="AU156">
        <v>2.1332749999999994</v>
      </c>
      <c r="AV156">
        <v>1.6730499999999997</v>
      </c>
      <c r="AW156">
        <v>2.1371999999999995</v>
      </c>
      <c r="AX156" t="s">
        <v>303</v>
      </c>
      <c r="AY156">
        <v>13</v>
      </c>
      <c r="AZ156">
        <v>6.2551999999999994</v>
      </c>
      <c r="BA156">
        <v>-2.36</v>
      </c>
      <c r="BB156">
        <v>-27.199999999999996</v>
      </c>
      <c r="BC156">
        <v>3.9999999999999813E-2</v>
      </c>
      <c r="BD156">
        <v>8.3360000000000003</v>
      </c>
      <c r="BE156">
        <v>30.24</v>
      </c>
      <c r="BF156">
        <v>3.3200000000000003</v>
      </c>
      <c r="BG156">
        <v>27</v>
      </c>
      <c r="BH156">
        <v>25.5</v>
      </c>
      <c r="BI156">
        <v>-3.2400000000000007</v>
      </c>
      <c r="BJ156">
        <v>10</v>
      </c>
      <c r="BK156">
        <v>13.25</v>
      </c>
      <c r="BL156">
        <v>12</v>
      </c>
      <c r="BM156">
        <v>-2.123157984726597E-2</v>
      </c>
      <c r="BN156">
        <v>11</v>
      </c>
      <c r="BO156">
        <v>-1.2894092188901538E-2</v>
      </c>
      <c r="BP156">
        <v>12</v>
      </c>
      <c r="BQ156">
        <v>5.5399999999999974</v>
      </c>
      <c r="BR156">
        <v>18</v>
      </c>
      <c r="BS156">
        <v>-1.2799999999999998</v>
      </c>
      <c r="BT156">
        <v>-2.7200000000000015</v>
      </c>
      <c r="BU156">
        <v>2.96</v>
      </c>
      <c r="BV156">
        <v>-0.99999999999999978</v>
      </c>
      <c r="BW156">
        <v>13.880000000000006</v>
      </c>
      <c r="BX156">
        <v>40.679999999999993</v>
      </c>
      <c r="BY156">
        <v>-24.6</v>
      </c>
      <c r="BZ156">
        <v>-1.24</v>
      </c>
      <c r="CA156">
        <v>-0.95999999999999908</v>
      </c>
      <c r="CB156">
        <v>3</v>
      </c>
      <c r="CC156">
        <v>8.6151999999999997</v>
      </c>
      <c r="CD156">
        <v>4.0982399999999997</v>
      </c>
      <c r="CE156">
        <v>65.28</v>
      </c>
      <c r="CF156">
        <v>1.2088999999999999</v>
      </c>
    </row>
    <row r="157" spans="1:84" x14ac:dyDescent="0.2">
      <c r="A157" s="39">
        <v>43772</v>
      </c>
      <c r="B157" s="22" t="s">
        <v>246</v>
      </c>
      <c r="C157" s="41" t="s">
        <v>300</v>
      </c>
      <c r="D157" s="22" t="s">
        <v>287</v>
      </c>
      <c r="E157">
        <v>11.1</v>
      </c>
      <c r="F157">
        <v>7.4</v>
      </c>
      <c r="G157">
        <v>4.0999999999999996</v>
      </c>
      <c r="H157">
        <v>5.7</v>
      </c>
      <c r="I157">
        <v>-4</v>
      </c>
      <c r="J157">
        <v>50</v>
      </c>
      <c r="K157" t="s">
        <v>110</v>
      </c>
      <c r="L157" s="1" t="s">
        <v>300</v>
      </c>
      <c r="M157">
        <v>2</v>
      </c>
      <c r="N157">
        <v>5.4895999999999985</v>
      </c>
      <c r="O157">
        <v>14.080000000000002</v>
      </c>
      <c r="P157">
        <v>1.0000000000000018</v>
      </c>
      <c r="Q157">
        <v>3.84</v>
      </c>
      <c r="R157">
        <v>-3.4999999999999996</v>
      </c>
      <c r="S157">
        <v>10.119999999999997</v>
      </c>
      <c r="T157">
        <v>-2.64</v>
      </c>
      <c r="U157">
        <v>31</v>
      </c>
      <c r="V157">
        <v>31</v>
      </c>
      <c r="W157">
        <v>-1.2</v>
      </c>
      <c r="X157">
        <v>16</v>
      </c>
      <c r="Y157">
        <v>14.5</v>
      </c>
      <c r="Z157">
        <v>17</v>
      </c>
      <c r="AA157">
        <v>-2.2978140316701735E-2</v>
      </c>
      <c r="AB157">
        <v>14</v>
      </c>
      <c r="AC157">
        <v>-1.9656028919711754E-2</v>
      </c>
      <c r="AD157">
        <v>3</v>
      </c>
      <c r="AE157">
        <v>13.559999999999999</v>
      </c>
      <c r="AF157">
        <v>24</v>
      </c>
      <c r="AG157">
        <v>-5.0000000000000009</v>
      </c>
      <c r="AH157">
        <v>-7.9999999999998295E-2</v>
      </c>
      <c r="AI157">
        <v>6.3199999999999994</v>
      </c>
      <c r="AJ157">
        <v>-0.27999999999999997</v>
      </c>
      <c r="AK157">
        <v>53.879999999999995</v>
      </c>
      <c r="AL157">
        <v>61.52</v>
      </c>
      <c r="AM157">
        <v>-3.5200000000000018</v>
      </c>
      <c r="AN157">
        <v>-3</v>
      </c>
      <c r="AO157">
        <v>-1.1200000000000003</v>
      </c>
      <c r="AP157">
        <v>30</v>
      </c>
      <c r="AQ157">
        <v>-8.5904000000000025</v>
      </c>
      <c r="AR157">
        <v>-6.6420800000000009</v>
      </c>
      <c r="AS157">
        <v>65.040000000000006</v>
      </c>
      <c r="AT157">
        <v>8.5904000000000025</v>
      </c>
      <c r="AU157">
        <v>2.1637000000000004</v>
      </c>
      <c r="AV157">
        <v>0.30745625000000021</v>
      </c>
      <c r="AW157">
        <v>1.0215625000000004</v>
      </c>
      <c r="AX157" t="s">
        <v>287</v>
      </c>
      <c r="AY157">
        <v>26</v>
      </c>
      <c r="AZ157">
        <v>-1.7331999999999996</v>
      </c>
      <c r="BA157">
        <v>7.1360000000000001</v>
      </c>
      <c r="BB157">
        <v>38</v>
      </c>
      <c r="BC157">
        <v>-1.3999999999999995</v>
      </c>
      <c r="BD157">
        <v>-9.8159999999999989</v>
      </c>
      <c r="BE157">
        <v>-30.839999999999996</v>
      </c>
      <c r="BF157">
        <v>-5.88</v>
      </c>
      <c r="BG157">
        <v>3</v>
      </c>
      <c r="BH157">
        <v>3.5</v>
      </c>
      <c r="BI157">
        <v>-1.5999999999999999</v>
      </c>
      <c r="BJ157">
        <v>25</v>
      </c>
      <c r="BK157">
        <v>21.5</v>
      </c>
      <c r="BL157">
        <v>20</v>
      </c>
      <c r="BM157">
        <v>-1.6180654778187108E-2</v>
      </c>
      <c r="BN157">
        <v>25</v>
      </c>
      <c r="BO157">
        <v>1.0760578244582613E-2</v>
      </c>
      <c r="BP157">
        <v>18</v>
      </c>
      <c r="BQ157">
        <v>-3.3840000000000003</v>
      </c>
      <c r="BR157">
        <v>23</v>
      </c>
      <c r="BS157">
        <v>0.12000000000000029</v>
      </c>
      <c r="BT157">
        <v>-0.16000000000000086</v>
      </c>
      <c r="BU157">
        <v>-0.52000000000000024</v>
      </c>
      <c r="BV157">
        <v>0.48000000000000009</v>
      </c>
      <c r="BW157">
        <v>36.04</v>
      </c>
      <c r="BX157">
        <v>-3.960000000000008</v>
      </c>
      <c r="BY157">
        <v>39.24</v>
      </c>
      <c r="BZ157">
        <v>0.91999999999999993</v>
      </c>
      <c r="CA157">
        <v>-0.16000000000000014</v>
      </c>
      <c r="CB157">
        <v>30</v>
      </c>
      <c r="CC157">
        <v>-8.8691999999999993</v>
      </c>
      <c r="CD157">
        <v>-5.8778399999999991</v>
      </c>
      <c r="CE157">
        <v>-43.20000000000001</v>
      </c>
      <c r="CF157">
        <v>-0.40665000000000001</v>
      </c>
    </row>
    <row r="158" spans="1:84" x14ac:dyDescent="0.2">
      <c r="A158" s="39">
        <v>43772</v>
      </c>
      <c r="B158" s="22" t="s">
        <v>246</v>
      </c>
      <c r="C158" s="41" t="s">
        <v>311</v>
      </c>
      <c r="D158" s="22" t="s">
        <v>297</v>
      </c>
      <c r="E158">
        <v>19.399999999999999</v>
      </c>
      <c r="F158">
        <v>9.1999999999999993</v>
      </c>
      <c r="G158">
        <v>1.8</v>
      </c>
      <c r="H158">
        <v>12.6</v>
      </c>
      <c r="I158">
        <v>1</v>
      </c>
      <c r="J158">
        <v>46</v>
      </c>
      <c r="K158" t="s">
        <v>109</v>
      </c>
      <c r="L158" s="1" t="s">
        <v>311</v>
      </c>
      <c r="M158">
        <v>4</v>
      </c>
      <c r="N158">
        <v>4.6983999999999995</v>
      </c>
      <c r="O158">
        <v>-4.1759999999999993</v>
      </c>
      <c r="P158">
        <v>18.239999999999995</v>
      </c>
      <c r="Q158">
        <v>-2.04</v>
      </c>
      <c r="R158">
        <v>12.208000000000002</v>
      </c>
      <c r="S158">
        <v>42.2</v>
      </c>
      <c r="T158">
        <v>4.84</v>
      </c>
      <c r="U158">
        <v>22</v>
      </c>
      <c r="V158">
        <v>20.5</v>
      </c>
      <c r="W158">
        <v>-1.3999999999999997</v>
      </c>
      <c r="X158">
        <v>20</v>
      </c>
      <c r="Y158">
        <v>17.5</v>
      </c>
      <c r="Z158">
        <v>1</v>
      </c>
      <c r="AA158">
        <v>-9.1439768124593479E-3</v>
      </c>
      <c r="AB158">
        <v>24</v>
      </c>
      <c r="AC158">
        <v>-5.3759730560500622E-3</v>
      </c>
      <c r="AD158">
        <v>15</v>
      </c>
      <c r="AE158">
        <v>-0.36799999999999927</v>
      </c>
      <c r="AF158">
        <v>30</v>
      </c>
      <c r="AG158">
        <v>-0.92000000000000015</v>
      </c>
      <c r="AH158">
        <v>3.8000000000000016</v>
      </c>
      <c r="AI158">
        <v>1.3599999999999994</v>
      </c>
      <c r="AJ158">
        <v>0.28000000000000008</v>
      </c>
      <c r="AK158">
        <v>39</v>
      </c>
      <c r="AL158">
        <v>13.959999999999997</v>
      </c>
      <c r="AM158">
        <v>9.879999999999999</v>
      </c>
      <c r="AN158">
        <v>-3.2800000000000002</v>
      </c>
      <c r="AO158">
        <v>18.440000000000005</v>
      </c>
      <c r="AP158">
        <v>5</v>
      </c>
      <c r="AQ158">
        <v>8.8743999999999996</v>
      </c>
      <c r="AR158">
        <v>5.4692799999999995</v>
      </c>
      <c r="AS158">
        <v>4.0799999999999983</v>
      </c>
      <c r="AT158">
        <v>-8.8743999999999978</v>
      </c>
      <c r="AU158">
        <v>1.6763000000000003</v>
      </c>
      <c r="AV158">
        <v>0.33815000000000017</v>
      </c>
      <c r="AW158">
        <v>0.51790000000000036</v>
      </c>
      <c r="AX158" t="s">
        <v>297</v>
      </c>
      <c r="AY158">
        <v>20</v>
      </c>
      <c r="AZ158">
        <v>3.5640000000000001</v>
      </c>
      <c r="BA158">
        <v>-4.0799999999999947E-2</v>
      </c>
      <c r="BB158">
        <v>-3.1199999999999992</v>
      </c>
      <c r="BC158">
        <v>0.4</v>
      </c>
      <c r="BD158">
        <v>-0.13600000000000012</v>
      </c>
      <c r="BE158">
        <v>2.9599999999999937</v>
      </c>
      <c r="BF158">
        <v>-0.76000000000000034</v>
      </c>
      <c r="BG158">
        <v>26</v>
      </c>
      <c r="BH158">
        <v>25</v>
      </c>
      <c r="BI158">
        <v>-0.43999999999999967</v>
      </c>
      <c r="BJ158">
        <v>20</v>
      </c>
      <c r="BK158">
        <v>16.75</v>
      </c>
      <c r="BL158">
        <v>21</v>
      </c>
      <c r="BM158">
        <v>3.4689955699712102E-2</v>
      </c>
      <c r="BN158">
        <v>5</v>
      </c>
      <c r="BO158">
        <v>-6.0570354333695673E-3</v>
      </c>
      <c r="BP158">
        <v>32</v>
      </c>
      <c r="BQ158">
        <v>-3.8760000000000003</v>
      </c>
      <c r="BR158">
        <v>9</v>
      </c>
      <c r="BS158">
        <v>-1.0799999999999996</v>
      </c>
      <c r="BT158">
        <v>-2.72</v>
      </c>
      <c r="BU158">
        <v>1.4000000000000004</v>
      </c>
      <c r="BV158">
        <v>0.60000000000000009</v>
      </c>
      <c r="BW158">
        <v>15.879999999999995</v>
      </c>
      <c r="BX158">
        <v>11.879999999999995</v>
      </c>
      <c r="BY158">
        <v>-4.599999999999997</v>
      </c>
      <c r="BZ158">
        <v>4.4799999999999995</v>
      </c>
      <c r="CA158">
        <v>4.1199999999999992</v>
      </c>
      <c r="CB158">
        <v>8</v>
      </c>
      <c r="CC158">
        <v>3.6047999999999996</v>
      </c>
      <c r="CD158">
        <v>0.70599999999999985</v>
      </c>
      <c r="CE158">
        <v>16.479999999999993</v>
      </c>
      <c r="CF158">
        <v>0.15839999999999999</v>
      </c>
    </row>
    <row r="159" spans="1:84" x14ac:dyDescent="0.2">
      <c r="A159" s="39">
        <v>43772</v>
      </c>
      <c r="B159" s="28" t="s">
        <v>246</v>
      </c>
      <c r="C159" s="41" t="s">
        <v>289</v>
      </c>
      <c r="D159" s="28" t="s">
        <v>309</v>
      </c>
      <c r="E159" s="3">
        <v>18.600000000000001</v>
      </c>
      <c r="F159" s="3">
        <v>13</v>
      </c>
      <c r="G159" s="3">
        <v>10.199999999999999</v>
      </c>
      <c r="H159" s="3">
        <f>11.2+3.6+2.1</f>
        <v>16.899999999999999</v>
      </c>
      <c r="I159" s="3">
        <v>1</v>
      </c>
      <c r="J159" s="3">
        <v>39.5</v>
      </c>
      <c r="K159" s="3" t="s">
        <v>110</v>
      </c>
      <c r="L159" s="1" t="s">
        <v>289</v>
      </c>
      <c r="M159">
        <v>18</v>
      </c>
      <c r="N159">
        <v>-0.36960000000000015</v>
      </c>
      <c r="O159">
        <v>-4.863999999999999</v>
      </c>
      <c r="P159">
        <v>2.5200000000000031</v>
      </c>
      <c r="Q159">
        <v>-1.9200000000000002</v>
      </c>
      <c r="R159">
        <v>3.5640000000000009</v>
      </c>
      <c r="S159">
        <v>-3.4800000000000058</v>
      </c>
      <c r="T159">
        <v>-0.75999999999999979</v>
      </c>
      <c r="U159">
        <v>19</v>
      </c>
      <c r="V159">
        <v>19.5</v>
      </c>
      <c r="W159">
        <v>1.8800000000000003</v>
      </c>
      <c r="X159">
        <v>3</v>
      </c>
      <c r="Y159">
        <v>7.75</v>
      </c>
      <c r="Z159">
        <v>4</v>
      </c>
      <c r="AA159">
        <v>8.230597285490307E-2</v>
      </c>
      <c r="AB159">
        <v>8</v>
      </c>
      <c r="AC159">
        <v>-1.688074856093446E-2</v>
      </c>
      <c r="AD159">
        <v>13</v>
      </c>
      <c r="AE159">
        <v>3.9639999999999986</v>
      </c>
      <c r="AF159">
        <v>6</v>
      </c>
      <c r="AG159">
        <v>-0.72000000000000008</v>
      </c>
      <c r="AH159">
        <v>2.680000000000001</v>
      </c>
      <c r="AI159">
        <v>0.4</v>
      </c>
      <c r="AJ159">
        <v>8.0000000000000071E-2</v>
      </c>
      <c r="AK159">
        <v>-3.6799999999999953</v>
      </c>
      <c r="AL159">
        <v>-21.439999999999998</v>
      </c>
      <c r="AM159">
        <v>9.9999999999999964</v>
      </c>
      <c r="AN159">
        <v>5.5600000000000005</v>
      </c>
      <c r="AO159">
        <v>2.2000000000000002</v>
      </c>
      <c r="AP159">
        <v>9</v>
      </c>
      <c r="AQ159">
        <v>4.4943999999999988</v>
      </c>
      <c r="AR159">
        <v>3.0708799999999998</v>
      </c>
      <c r="AS159">
        <v>-31.439999999999994</v>
      </c>
      <c r="AT159">
        <v>-4.4943999999999988</v>
      </c>
      <c r="AU159">
        <v>-0.12369999999999989</v>
      </c>
      <c r="AV159">
        <v>-1.1319416666666666</v>
      </c>
      <c r="AW159">
        <v>-0.97729999999999984</v>
      </c>
      <c r="AX159" t="s">
        <v>309</v>
      </c>
      <c r="AY159">
        <v>31</v>
      </c>
      <c r="AZ159">
        <v>-3.9739999999999993</v>
      </c>
      <c r="BA159">
        <v>-5.0319999999999991</v>
      </c>
      <c r="BB159">
        <v>-8.92</v>
      </c>
      <c r="BC159">
        <v>-0.11999999999999983</v>
      </c>
      <c r="BD159">
        <v>0.19333333333333202</v>
      </c>
      <c r="BE159">
        <v>-13.399999999999999</v>
      </c>
      <c r="BF159">
        <v>-1.1200000000000001</v>
      </c>
      <c r="BG159">
        <v>30</v>
      </c>
      <c r="BH159">
        <v>27.5</v>
      </c>
      <c r="BI159">
        <v>-1.44</v>
      </c>
      <c r="BJ159">
        <v>1</v>
      </c>
      <c r="BK159">
        <v>5.25</v>
      </c>
      <c r="BL159">
        <v>2</v>
      </c>
      <c r="BM159">
        <v>8.9486215052522758E-2</v>
      </c>
      <c r="BN159">
        <v>1</v>
      </c>
      <c r="BO159">
        <v>4.8317468704985933E-2</v>
      </c>
      <c r="BP159">
        <v>16</v>
      </c>
      <c r="BQ159">
        <v>-3.1200000000000032</v>
      </c>
      <c r="BR159">
        <v>2</v>
      </c>
      <c r="BS159">
        <v>6.6800000000000015</v>
      </c>
      <c r="BT159">
        <v>-3.9999999999999147E-2</v>
      </c>
      <c r="BU159">
        <v>-2.2400000000000002</v>
      </c>
      <c r="BV159">
        <v>-1.2399999999999998</v>
      </c>
      <c r="BW159">
        <v>-36.000000000000014</v>
      </c>
      <c r="BX159">
        <v>-23.360000000000003</v>
      </c>
      <c r="BY159">
        <v>-11.520000000000001</v>
      </c>
      <c r="BZ159">
        <v>3.12</v>
      </c>
      <c r="CA159">
        <v>-4.24</v>
      </c>
      <c r="CB159">
        <v>16</v>
      </c>
      <c r="CC159">
        <v>1.0579999999999998</v>
      </c>
      <c r="CD159">
        <v>1.759866666666666</v>
      </c>
      <c r="CE159">
        <v>-11.840000000000002</v>
      </c>
      <c r="CF159">
        <v>-1.2865833333333332</v>
      </c>
    </row>
    <row r="160" spans="1:84" x14ac:dyDescent="0.2">
      <c r="A160" s="39">
        <v>43772</v>
      </c>
      <c r="B160" s="22" t="s">
        <v>246</v>
      </c>
      <c r="C160" s="41" t="s">
        <v>297</v>
      </c>
      <c r="D160" s="22" t="s">
        <v>311</v>
      </c>
      <c r="E160">
        <v>7.2</v>
      </c>
      <c r="F160">
        <v>5.2</v>
      </c>
      <c r="G160">
        <v>13</v>
      </c>
      <c r="H160">
        <v>9.5</v>
      </c>
      <c r="I160">
        <v>-1</v>
      </c>
      <c r="J160">
        <v>46</v>
      </c>
      <c r="K160" t="s">
        <v>109</v>
      </c>
      <c r="L160" s="4" t="s">
        <v>297</v>
      </c>
      <c r="M160" s="3">
        <v>13</v>
      </c>
      <c r="N160" s="3">
        <v>1.6976000000000013</v>
      </c>
      <c r="O160">
        <v>1.2114000000000011</v>
      </c>
      <c r="P160">
        <v>49.009999999999991</v>
      </c>
      <c r="Q160">
        <v>-1.5899999999999999</v>
      </c>
      <c r="R160">
        <v>4.9400000000000004</v>
      </c>
      <c r="S160">
        <v>22.640000000000008</v>
      </c>
      <c r="T160">
        <v>1.92</v>
      </c>
      <c r="U160">
        <v>27</v>
      </c>
      <c r="V160">
        <v>27</v>
      </c>
      <c r="W160">
        <v>-1.0799999999999996</v>
      </c>
      <c r="X160">
        <v>7</v>
      </c>
      <c r="Y160">
        <v>11.25</v>
      </c>
      <c r="Z160">
        <v>7</v>
      </c>
      <c r="AA160">
        <v>5.2463964242660165E-2</v>
      </c>
      <c r="AB160">
        <v>17</v>
      </c>
      <c r="AC160">
        <v>2.3827813112807295E-3</v>
      </c>
      <c r="AD160">
        <v>18</v>
      </c>
      <c r="AE160">
        <v>-13.884</v>
      </c>
      <c r="AF160">
        <v>3</v>
      </c>
      <c r="AG160">
        <v>-0.43999999999999967</v>
      </c>
      <c r="AH160">
        <v>6.2799999999999985</v>
      </c>
      <c r="AI160">
        <v>0.63999999999999946</v>
      </c>
      <c r="AJ160">
        <v>-0.44000000000000006</v>
      </c>
      <c r="AK160">
        <v>59.919999999999995</v>
      </c>
      <c r="AL160">
        <v>10.640000000000009</v>
      </c>
      <c r="AM160">
        <v>44.239999999999995</v>
      </c>
      <c r="AN160">
        <v>0.95999999999999963</v>
      </c>
      <c r="AO160">
        <v>4.08</v>
      </c>
      <c r="AP160">
        <v>15</v>
      </c>
      <c r="AQ160">
        <v>0.48620000000000019</v>
      </c>
      <c r="AR160">
        <v>0.72181999999999968</v>
      </c>
      <c r="AS160">
        <v>-33.599999999999987</v>
      </c>
      <c r="AT160">
        <v>-0.48620000000000019</v>
      </c>
      <c r="AU160">
        <v>1.2811250000000003</v>
      </c>
      <c r="AV160">
        <v>0.33815000000000017</v>
      </c>
      <c r="AW160">
        <v>0.15839999999999999</v>
      </c>
      <c r="AX160" t="s">
        <v>311</v>
      </c>
      <c r="AY160">
        <v>6</v>
      </c>
      <c r="AZ160">
        <v>4.975200000000001</v>
      </c>
      <c r="BA160">
        <v>-4.4560000000000004</v>
      </c>
      <c r="BB160">
        <v>-27.119999999999997</v>
      </c>
      <c r="BC160">
        <v>0.56000000000000005</v>
      </c>
      <c r="BD160">
        <v>4.0240000000000027</v>
      </c>
      <c r="BE160">
        <v>9.8799999999999955</v>
      </c>
      <c r="BF160">
        <v>0.19999999999999923</v>
      </c>
      <c r="BG160">
        <v>22</v>
      </c>
      <c r="BH160">
        <v>21.5</v>
      </c>
      <c r="BI160">
        <v>-0.92000000000000015</v>
      </c>
      <c r="BJ160">
        <v>27</v>
      </c>
      <c r="BK160">
        <v>22.75</v>
      </c>
      <c r="BL160">
        <v>31</v>
      </c>
      <c r="BM160">
        <v>3.9547142809869262E-3</v>
      </c>
      <c r="BN160">
        <v>30</v>
      </c>
      <c r="BO160">
        <v>-1.8775390776615147E-2</v>
      </c>
      <c r="BP160">
        <v>2</v>
      </c>
      <c r="BQ160">
        <v>-1.3640000000000043</v>
      </c>
      <c r="BR160">
        <v>28</v>
      </c>
      <c r="BS160">
        <v>-1.3999999999999997</v>
      </c>
      <c r="BT160">
        <v>-3.6</v>
      </c>
      <c r="BU160">
        <v>1.9200000000000004</v>
      </c>
      <c r="BV160">
        <v>-0.96</v>
      </c>
      <c r="BW160">
        <v>-16.720000000000006</v>
      </c>
      <c r="BX160">
        <v>22.880000000000006</v>
      </c>
      <c r="BY160">
        <v>-27.32</v>
      </c>
      <c r="BZ160">
        <v>-6.8800000000000008</v>
      </c>
      <c r="CA160">
        <v>-5.4</v>
      </c>
      <c r="CB160">
        <v>2</v>
      </c>
      <c r="CC160">
        <v>9.4312000000000022</v>
      </c>
      <c r="CD160">
        <v>4.0278400000000012</v>
      </c>
      <c r="CE160">
        <v>50.2</v>
      </c>
      <c r="CF160">
        <v>0.51790000000000036</v>
      </c>
    </row>
    <row r="161" spans="1:84" x14ac:dyDescent="0.2">
      <c r="A161" s="39">
        <v>43772</v>
      </c>
      <c r="B161" s="28" t="s">
        <v>246</v>
      </c>
      <c r="C161" s="41" t="s">
        <v>288</v>
      </c>
      <c r="D161" s="28" t="s">
        <v>312</v>
      </c>
      <c r="E161" s="3">
        <v>29.5</v>
      </c>
      <c r="F161" s="3">
        <v>13.3</v>
      </c>
      <c r="G161" s="3">
        <v>1.5</v>
      </c>
      <c r="H161" s="3">
        <v>14.4</v>
      </c>
      <c r="I161" s="3">
        <v>5.5</v>
      </c>
      <c r="J161" s="3">
        <v>46</v>
      </c>
      <c r="K161" s="3"/>
      <c r="L161" s="1" t="s">
        <v>288</v>
      </c>
      <c r="M161">
        <v>16</v>
      </c>
      <c r="N161">
        <v>0.60000000000000175</v>
      </c>
      <c r="O161">
        <v>-5.9759999999999982</v>
      </c>
      <c r="P161">
        <v>-33.01</v>
      </c>
      <c r="Q161">
        <v>-1.1499999999999999</v>
      </c>
      <c r="R161">
        <v>-1.2169999999999999</v>
      </c>
      <c r="S161">
        <v>9.5599999999999969</v>
      </c>
      <c r="T161">
        <v>1.8000000000000003</v>
      </c>
      <c r="U161">
        <v>15</v>
      </c>
      <c r="V161">
        <v>14.5</v>
      </c>
      <c r="W161">
        <v>3.08</v>
      </c>
      <c r="X161">
        <v>29</v>
      </c>
      <c r="Y161">
        <v>25</v>
      </c>
      <c r="Z161">
        <v>26</v>
      </c>
      <c r="AA161">
        <v>-4.3275666234810696E-2</v>
      </c>
      <c r="AB161">
        <v>23</v>
      </c>
      <c r="AC161">
        <v>-1.4420400380535653E-2</v>
      </c>
      <c r="AD161">
        <v>25</v>
      </c>
      <c r="AE161">
        <v>-5.7760000000000016</v>
      </c>
      <c r="AF161">
        <v>26</v>
      </c>
      <c r="AG161">
        <v>-0.95999999999999963</v>
      </c>
      <c r="AH161">
        <v>-5.4799999999999995</v>
      </c>
      <c r="AI161">
        <v>-0.32000000000000028</v>
      </c>
      <c r="AJ161">
        <v>1.3199999999999998</v>
      </c>
      <c r="AK161">
        <v>-27.559999999999992</v>
      </c>
      <c r="AL161">
        <v>6.4000000000000057</v>
      </c>
      <c r="AM161">
        <v>-33.92</v>
      </c>
      <c r="AN161">
        <v>-5.08</v>
      </c>
      <c r="AO161">
        <v>5.0400000000000009</v>
      </c>
      <c r="AP161">
        <v>7</v>
      </c>
      <c r="AQ161">
        <v>6.5759999999999996</v>
      </c>
      <c r="AR161">
        <v>2.8645999999999994</v>
      </c>
      <c r="AS161">
        <v>40.320000000000007</v>
      </c>
      <c r="AT161">
        <v>-6.5759999999999996</v>
      </c>
      <c r="AU161">
        <v>-0.83412499999999967</v>
      </c>
      <c r="AV161">
        <v>3.4750000000000336E-2</v>
      </c>
      <c r="AW161">
        <v>-0.71259999999999957</v>
      </c>
      <c r="AX161" t="s">
        <v>312</v>
      </c>
      <c r="AY161">
        <v>7</v>
      </c>
      <c r="AZ161">
        <v>1.8528000000000007</v>
      </c>
      <c r="BA161">
        <v>-3.4839999999999987</v>
      </c>
      <c r="BB161">
        <v>-11.080000000000002</v>
      </c>
      <c r="BC161">
        <v>-0.15999999999999995</v>
      </c>
      <c r="BD161">
        <v>5.8879999999999999</v>
      </c>
      <c r="BE161">
        <v>14.479999999999993</v>
      </c>
      <c r="BF161">
        <v>5.8800000000000008</v>
      </c>
      <c r="BG161">
        <v>11</v>
      </c>
      <c r="BH161">
        <v>12</v>
      </c>
      <c r="BI161">
        <v>-3.2</v>
      </c>
      <c r="BJ161">
        <v>7</v>
      </c>
      <c r="BK161">
        <v>12.25</v>
      </c>
      <c r="BL161">
        <v>19</v>
      </c>
      <c r="BM161">
        <v>1.6317244017244749E-2</v>
      </c>
      <c r="BN161">
        <v>13</v>
      </c>
      <c r="BO161">
        <v>-6.6993142915921424E-3</v>
      </c>
      <c r="BP161">
        <v>1</v>
      </c>
      <c r="BQ161">
        <v>-13.960000000000003</v>
      </c>
      <c r="BR161">
        <v>16</v>
      </c>
      <c r="BS161">
        <v>-1.9199999999999995</v>
      </c>
      <c r="BT161">
        <v>1.2</v>
      </c>
      <c r="BU161">
        <v>-0.47999999999999987</v>
      </c>
      <c r="BV161">
        <v>-1.9599999999999997</v>
      </c>
      <c r="BW161">
        <v>3.5600000000000023</v>
      </c>
      <c r="BX161">
        <v>22.999999999999993</v>
      </c>
      <c r="BY161">
        <v>-11.2</v>
      </c>
      <c r="BZ161">
        <v>-4.24</v>
      </c>
      <c r="CA161">
        <v>-3.9999999999999991</v>
      </c>
      <c r="CB161">
        <v>6</v>
      </c>
      <c r="CC161">
        <v>5.3367999999999984</v>
      </c>
      <c r="CD161">
        <v>3.2901599999999993</v>
      </c>
      <c r="CE161">
        <v>34.199999999999989</v>
      </c>
      <c r="CF161">
        <v>0.78210000000000024</v>
      </c>
    </row>
    <row r="162" spans="1:84" x14ac:dyDescent="0.2">
      <c r="A162" s="39">
        <v>43772</v>
      </c>
      <c r="B162" s="22" t="s">
        <v>246</v>
      </c>
      <c r="C162" s="41" t="s">
        <v>303</v>
      </c>
      <c r="D162" s="22" t="s">
        <v>299</v>
      </c>
      <c r="E162">
        <v>7.8</v>
      </c>
      <c r="F162">
        <v>17.399999999999999</v>
      </c>
      <c r="G162">
        <v>5.4</v>
      </c>
      <c r="H162">
        <f>7.3+7.2+2.7</f>
        <v>17.2</v>
      </c>
      <c r="I162">
        <v>-2.5</v>
      </c>
      <c r="J162">
        <v>51.5</v>
      </c>
      <c r="L162" s="4" t="s">
        <v>303</v>
      </c>
      <c r="M162" s="3">
        <v>22</v>
      </c>
      <c r="N162" s="3">
        <v>-1.8191999999999982</v>
      </c>
      <c r="O162">
        <v>2.1189999999999998</v>
      </c>
      <c r="P162">
        <v>29.98</v>
      </c>
      <c r="Q162">
        <v>-0.69</v>
      </c>
      <c r="R162">
        <v>0.2889999999999997</v>
      </c>
      <c r="S162">
        <v>-31.130000000000006</v>
      </c>
      <c r="T162">
        <v>-3.4599999999999995</v>
      </c>
      <c r="U162">
        <v>19</v>
      </c>
      <c r="V162">
        <v>19.5</v>
      </c>
      <c r="W162">
        <v>-1.2799999999999998</v>
      </c>
      <c r="X162">
        <v>19</v>
      </c>
      <c r="Y162">
        <v>17.25</v>
      </c>
      <c r="Z162">
        <v>14</v>
      </c>
      <c r="AA162">
        <v>-7.2629886826685919E-2</v>
      </c>
      <c r="AB162">
        <v>21</v>
      </c>
      <c r="AC162">
        <v>-3.0891204484768741E-2</v>
      </c>
      <c r="AD162">
        <v>32</v>
      </c>
      <c r="AE162">
        <v>9.5279999999999969</v>
      </c>
      <c r="AF162">
        <v>2</v>
      </c>
      <c r="AG162">
        <v>-3.2400000000000007</v>
      </c>
      <c r="AH162">
        <v>0.60000000000000142</v>
      </c>
      <c r="AI162">
        <v>1.5599999999999994</v>
      </c>
      <c r="AJ162">
        <v>0.40000000000000008</v>
      </c>
      <c r="AK162">
        <v>35.440000000000012</v>
      </c>
      <c r="AL162">
        <v>-9.4799999999999951</v>
      </c>
      <c r="AM162">
        <v>38.64</v>
      </c>
      <c r="AN162">
        <v>14.919999999999998</v>
      </c>
      <c r="AO162">
        <v>-8.64</v>
      </c>
      <c r="AP162">
        <v>22</v>
      </c>
      <c r="AQ162">
        <v>-3.9381999999999984</v>
      </c>
      <c r="AR162">
        <v>-1.3655399999999998</v>
      </c>
      <c r="AS162">
        <v>-48.12</v>
      </c>
      <c r="AT162">
        <v>3.9381999999999979</v>
      </c>
      <c r="AU162">
        <v>-5.1399999999999946E-2</v>
      </c>
      <c r="AV162">
        <v>1.6730499999999997</v>
      </c>
      <c r="AW162">
        <v>1.2088999999999999</v>
      </c>
      <c r="AX162" t="s">
        <v>299</v>
      </c>
      <c r="AY162">
        <v>3</v>
      </c>
      <c r="AZ162">
        <v>4.4336000000000011</v>
      </c>
      <c r="BA162">
        <v>8.5479999999999983</v>
      </c>
      <c r="BB162">
        <v>22.439999999999998</v>
      </c>
      <c r="BC162">
        <v>-0.11999999999999988</v>
      </c>
      <c r="BD162">
        <v>3.9159999999999999</v>
      </c>
      <c r="BE162">
        <v>15.839999999999995</v>
      </c>
      <c r="BF162">
        <v>1.7199999999999993</v>
      </c>
      <c r="BG162">
        <v>12</v>
      </c>
      <c r="BH162">
        <v>12.5</v>
      </c>
      <c r="BI162">
        <v>-0.96000000000000019</v>
      </c>
      <c r="BJ162">
        <v>24</v>
      </c>
      <c r="BK162">
        <v>21</v>
      </c>
      <c r="BL162">
        <v>26</v>
      </c>
      <c r="BM162">
        <v>-4.8465809089449693E-3</v>
      </c>
      <c r="BN162">
        <v>23</v>
      </c>
      <c r="BO162">
        <v>-2.3910628779315567E-2</v>
      </c>
      <c r="BP162">
        <v>5</v>
      </c>
      <c r="BQ162">
        <v>-2.9920000000000044</v>
      </c>
      <c r="BR162">
        <v>30</v>
      </c>
      <c r="BS162">
        <v>-2.12</v>
      </c>
      <c r="BT162">
        <v>5.8799999999999981</v>
      </c>
      <c r="BU162">
        <v>5.8400000000000007</v>
      </c>
      <c r="BV162">
        <v>-0.36</v>
      </c>
      <c r="BW162">
        <v>57.919999999999995</v>
      </c>
      <c r="BX162">
        <v>30.240000000000002</v>
      </c>
      <c r="BY162">
        <v>22.32</v>
      </c>
      <c r="BZ162">
        <v>1.3599999999999999</v>
      </c>
      <c r="CA162">
        <v>4.0000000000000009</v>
      </c>
      <c r="CB162">
        <v>26</v>
      </c>
      <c r="CC162">
        <v>-4.1143999999999981</v>
      </c>
      <c r="CD162">
        <v>-2.6040799999999988</v>
      </c>
      <c r="CE162">
        <v>7.9200000000000017</v>
      </c>
      <c r="CF162">
        <v>2.1371999999999995</v>
      </c>
    </row>
    <row r="163" spans="1:84" x14ac:dyDescent="0.2">
      <c r="A163" s="39">
        <v>43772</v>
      </c>
      <c r="B163" s="22" t="s">
        <v>246</v>
      </c>
      <c r="C163" s="41" t="s">
        <v>287</v>
      </c>
      <c r="D163" s="22" t="s">
        <v>300</v>
      </c>
      <c r="E163">
        <v>7</v>
      </c>
      <c r="F163">
        <v>17.3</v>
      </c>
      <c r="G163">
        <v>0</v>
      </c>
      <c r="H163">
        <v>15.4</v>
      </c>
      <c r="I163" s="3">
        <v>4</v>
      </c>
      <c r="J163" s="3">
        <v>50</v>
      </c>
      <c r="K163" t="s">
        <v>110</v>
      </c>
      <c r="L163" s="1" t="s">
        <v>287</v>
      </c>
      <c r="M163">
        <v>15</v>
      </c>
      <c r="N163">
        <v>1.5479999999999998</v>
      </c>
      <c r="O163">
        <v>5.9829999999999988</v>
      </c>
      <c r="P163">
        <v>-38.369999999999997</v>
      </c>
      <c r="Q163">
        <v>3.54</v>
      </c>
      <c r="R163">
        <v>-2.2380000000000004</v>
      </c>
      <c r="S163">
        <v>7.9900000000000038</v>
      </c>
      <c r="T163">
        <v>0.7000000000000004</v>
      </c>
      <c r="U163">
        <v>4</v>
      </c>
      <c r="V163">
        <v>7</v>
      </c>
      <c r="W163">
        <v>0.12000000000000029</v>
      </c>
      <c r="X163">
        <v>10</v>
      </c>
      <c r="Y163">
        <v>12.75</v>
      </c>
      <c r="Z163">
        <v>24</v>
      </c>
      <c r="AA163">
        <v>8.5172136087458775E-3</v>
      </c>
      <c r="AB163">
        <v>12</v>
      </c>
      <c r="AC163">
        <v>-4.7836355183798508E-2</v>
      </c>
      <c r="AD163">
        <v>7</v>
      </c>
      <c r="AE163">
        <v>-5.0839999999999979</v>
      </c>
      <c r="AF163">
        <v>8</v>
      </c>
      <c r="AG163">
        <v>-1.5999999999999999</v>
      </c>
      <c r="AH163">
        <v>-5.9199999999999973</v>
      </c>
      <c r="AI163">
        <v>-8.0000000000000432E-2</v>
      </c>
      <c r="AJ163">
        <v>0.32000000000000006</v>
      </c>
      <c r="AK163">
        <v>-17.160000000000004</v>
      </c>
      <c r="AL163">
        <v>39.72</v>
      </c>
      <c r="AM163">
        <v>-41.080000000000005</v>
      </c>
      <c r="AN163">
        <v>-1.44</v>
      </c>
      <c r="AO163">
        <v>-14.36</v>
      </c>
      <c r="AP163">
        <v>23</v>
      </c>
      <c r="AQ163">
        <v>-4.4349999999999987</v>
      </c>
      <c r="AR163">
        <v>-3.1294999999999997</v>
      </c>
      <c r="AS163">
        <v>80.800000000000011</v>
      </c>
      <c r="AT163">
        <v>4.4349999999999987</v>
      </c>
      <c r="AU163">
        <v>0.71662499999999962</v>
      </c>
      <c r="AV163">
        <v>0.30745625000000021</v>
      </c>
      <c r="AW163">
        <v>-0.40665000000000001</v>
      </c>
      <c r="AX163" t="s">
        <v>300</v>
      </c>
      <c r="AY163">
        <v>21</v>
      </c>
      <c r="AZ163">
        <v>0.752000000000001</v>
      </c>
      <c r="BA163">
        <v>-0.65600000000000014</v>
      </c>
      <c r="BB163">
        <v>1.0799999999999981</v>
      </c>
      <c r="BC163">
        <v>-0.92</v>
      </c>
      <c r="BD163">
        <v>8.0765000000000011</v>
      </c>
      <c r="BE163">
        <v>41.890000000000008</v>
      </c>
      <c r="BF163">
        <v>2.0750000000000006</v>
      </c>
      <c r="BG163">
        <v>6</v>
      </c>
      <c r="BH163">
        <v>5</v>
      </c>
      <c r="BI163">
        <v>-5.0000000000000009</v>
      </c>
      <c r="BJ163">
        <v>29</v>
      </c>
      <c r="BK163">
        <v>24</v>
      </c>
      <c r="BL163">
        <v>17</v>
      </c>
      <c r="BM163">
        <v>-3.241910566433133E-2</v>
      </c>
      <c r="BN163">
        <v>23</v>
      </c>
      <c r="BO163">
        <v>-5.0046623695844828E-3</v>
      </c>
      <c r="BP163">
        <v>27</v>
      </c>
      <c r="BQ163">
        <v>-7.3000000000000025</v>
      </c>
      <c r="BR163">
        <v>29</v>
      </c>
      <c r="BS163">
        <v>-1.2</v>
      </c>
      <c r="BT163">
        <v>-1.8399999999999976</v>
      </c>
      <c r="BU163">
        <v>1.4800000000000004</v>
      </c>
      <c r="BV163">
        <v>-1.9600000000000002</v>
      </c>
      <c r="BW163">
        <v>22.519999999999992</v>
      </c>
      <c r="BX163">
        <v>23.48</v>
      </c>
      <c r="BY163">
        <v>2.4799999999999995</v>
      </c>
      <c r="BZ163">
        <v>-2.4800000000000004</v>
      </c>
      <c r="CA163">
        <v>-0.95999999999999974</v>
      </c>
      <c r="CB163">
        <v>15</v>
      </c>
      <c r="CC163">
        <v>1.4080000000000013</v>
      </c>
      <c r="CD163">
        <v>2.0937000000000001</v>
      </c>
      <c r="CE163">
        <v>21</v>
      </c>
      <c r="CF163">
        <v>1.0215625000000004</v>
      </c>
    </row>
    <row r="164" spans="1:84" x14ac:dyDescent="0.2">
      <c r="A164" s="39">
        <v>43772</v>
      </c>
      <c r="B164" s="22" t="s">
        <v>246</v>
      </c>
      <c r="C164" s="41" t="s">
        <v>293</v>
      </c>
      <c r="D164" s="22" t="s">
        <v>298</v>
      </c>
      <c r="E164" s="14">
        <v>24.2</v>
      </c>
      <c r="F164">
        <v>15.7</v>
      </c>
      <c r="G164">
        <v>6.3</v>
      </c>
      <c r="H164">
        <v>15.5</v>
      </c>
      <c r="I164">
        <v>3.5</v>
      </c>
      <c r="J164">
        <v>42.5</v>
      </c>
      <c r="L164" s="1" t="s">
        <v>293</v>
      </c>
      <c r="M164">
        <v>11</v>
      </c>
      <c r="N164">
        <v>1.9520000000000004</v>
      </c>
      <c r="O164">
        <v>-9.1999999999999993</v>
      </c>
      <c r="P164">
        <v>-27.759999999999998</v>
      </c>
      <c r="Q164">
        <v>1.04</v>
      </c>
      <c r="R164">
        <v>4.1719999999999997</v>
      </c>
      <c r="S164">
        <v>9.68</v>
      </c>
      <c r="T164">
        <v>0.96</v>
      </c>
      <c r="U164">
        <v>13</v>
      </c>
      <c r="V164">
        <v>12</v>
      </c>
      <c r="W164">
        <v>-7.4399999999999995</v>
      </c>
      <c r="X164">
        <v>16</v>
      </c>
      <c r="Y164">
        <v>14.5</v>
      </c>
      <c r="Z164">
        <v>12</v>
      </c>
      <c r="AA164">
        <v>-2.6449883368263864E-2</v>
      </c>
      <c r="AB164">
        <v>10</v>
      </c>
      <c r="AC164">
        <v>9.7003088577328721E-3</v>
      </c>
      <c r="AD164">
        <v>14</v>
      </c>
      <c r="AE164">
        <v>1.5080000000000027</v>
      </c>
      <c r="AF164">
        <v>22</v>
      </c>
      <c r="AG164">
        <v>1.9200000000000004</v>
      </c>
      <c r="AH164">
        <v>-3.4000000000000012</v>
      </c>
      <c r="AI164">
        <v>-1.48</v>
      </c>
      <c r="AJ164">
        <v>-1.2399999999999998</v>
      </c>
      <c r="AK164">
        <v>-30</v>
      </c>
      <c r="AL164">
        <v>8.7200000000000042</v>
      </c>
      <c r="AM164">
        <v>-29.919999999999998</v>
      </c>
      <c r="AN164">
        <v>-4.24</v>
      </c>
      <c r="AO164">
        <v>-4.5599999999999996</v>
      </c>
      <c r="AP164">
        <v>2</v>
      </c>
      <c r="AQ164">
        <v>11.151999999999999</v>
      </c>
      <c r="AR164">
        <v>5.8247999999999998</v>
      </c>
      <c r="AS164">
        <v>38.64</v>
      </c>
      <c r="AT164">
        <v>-11.151999999999999</v>
      </c>
      <c r="AU164">
        <v>-0.81949999999999967</v>
      </c>
      <c r="AV164">
        <v>1.8949375000000002</v>
      </c>
      <c r="AW164">
        <v>2.6902000000000004</v>
      </c>
      <c r="AX164" t="s">
        <v>298</v>
      </c>
      <c r="AY164">
        <v>9</v>
      </c>
      <c r="AZ164">
        <v>0.44840000000000052</v>
      </c>
      <c r="BA164">
        <v>-9.5999999999999197E-2</v>
      </c>
      <c r="BB164">
        <v>-24.12</v>
      </c>
      <c r="BC164">
        <v>0</v>
      </c>
      <c r="BD164">
        <v>6.9249999999999998</v>
      </c>
      <c r="BE164">
        <v>13.860000000000001</v>
      </c>
      <c r="BF164">
        <v>2.0299999999999998</v>
      </c>
      <c r="BG164">
        <v>24</v>
      </c>
      <c r="BH164">
        <v>23</v>
      </c>
      <c r="BI164">
        <v>6.44</v>
      </c>
      <c r="BJ164">
        <v>23</v>
      </c>
      <c r="BK164">
        <v>20</v>
      </c>
      <c r="BL164">
        <v>32</v>
      </c>
      <c r="BM164">
        <v>2.7206080711737562E-2</v>
      </c>
      <c r="BN164">
        <v>22</v>
      </c>
      <c r="BO164">
        <v>-1.8796208233225968E-2</v>
      </c>
      <c r="BP164">
        <v>11</v>
      </c>
      <c r="BQ164">
        <v>8.708000000000002</v>
      </c>
      <c r="BR164">
        <v>15</v>
      </c>
      <c r="BS164">
        <v>-3.7199999999999998</v>
      </c>
      <c r="BT164">
        <v>3.2000000000000015</v>
      </c>
      <c r="BU164">
        <v>2.9199999999999995</v>
      </c>
      <c r="BV164">
        <v>1.2</v>
      </c>
      <c r="BW164">
        <v>-24.240000000000009</v>
      </c>
      <c r="BX164">
        <v>6.1600000000000019</v>
      </c>
      <c r="BY164">
        <v>-25.879999999999995</v>
      </c>
      <c r="BZ164">
        <v>-0.11999999999999984</v>
      </c>
      <c r="CA164">
        <v>-4.3999999999999995</v>
      </c>
      <c r="CB164">
        <v>19</v>
      </c>
      <c r="CC164">
        <v>0.54439999999999977</v>
      </c>
      <c r="CD164">
        <v>1.5226799999999998</v>
      </c>
      <c r="CE164">
        <v>32.04</v>
      </c>
      <c r="CF164">
        <v>1.0996750000000002</v>
      </c>
    </row>
    <row r="165" spans="1:84" x14ac:dyDescent="0.2">
      <c r="A165" s="39">
        <v>43772</v>
      </c>
      <c r="B165" s="22" t="s">
        <v>246</v>
      </c>
      <c r="C165" s="41" t="s">
        <v>312</v>
      </c>
      <c r="D165" s="22" t="s">
        <v>288</v>
      </c>
      <c r="E165" s="3">
        <v>2.6</v>
      </c>
      <c r="F165">
        <v>8.8000000000000007</v>
      </c>
      <c r="G165">
        <v>7.4</v>
      </c>
      <c r="H165">
        <v>18.600000000000001</v>
      </c>
      <c r="I165">
        <v>-5.5</v>
      </c>
      <c r="J165">
        <v>46</v>
      </c>
      <c r="L165" s="1" t="s">
        <v>312</v>
      </c>
      <c r="M165">
        <v>8</v>
      </c>
      <c r="N165">
        <v>2.9352000000000009</v>
      </c>
      <c r="O165">
        <v>2.7789999999999999</v>
      </c>
      <c r="P165">
        <v>30.509999999999998</v>
      </c>
      <c r="Q165">
        <v>-1.3000000000000003</v>
      </c>
      <c r="R165">
        <v>12.141999999999999</v>
      </c>
      <c r="S165">
        <v>49.910000000000004</v>
      </c>
      <c r="T165">
        <v>-1.38</v>
      </c>
      <c r="U165">
        <v>26</v>
      </c>
      <c r="V165">
        <v>25</v>
      </c>
      <c r="W165">
        <v>-1.9199999999999995</v>
      </c>
      <c r="X165">
        <v>28</v>
      </c>
      <c r="Y165">
        <v>24.5</v>
      </c>
      <c r="Z165">
        <v>22</v>
      </c>
      <c r="AA165">
        <v>3.5876719008731559E-2</v>
      </c>
      <c r="AB165">
        <v>27</v>
      </c>
      <c r="AC165">
        <v>7.1404949056232099E-3</v>
      </c>
      <c r="AD165">
        <v>22</v>
      </c>
      <c r="AE165">
        <v>19.591999999999999</v>
      </c>
      <c r="AF165">
        <v>27</v>
      </c>
      <c r="AG165">
        <v>-3.2</v>
      </c>
      <c r="AH165">
        <v>-0.43999999999999773</v>
      </c>
      <c r="AI165">
        <v>3.4799999999999995</v>
      </c>
      <c r="AJ165">
        <v>-1.1599999999999999</v>
      </c>
      <c r="AK165">
        <v>57.320000000000007</v>
      </c>
      <c r="AL165">
        <v>40.160000000000011</v>
      </c>
      <c r="AM165">
        <v>32.68</v>
      </c>
      <c r="AN165">
        <v>-1.44</v>
      </c>
      <c r="AO165">
        <v>-14.079999999999998</v>
      </c>
      <c r="AP165">
        <v>16</v>
      </c>
      <c r="AQ165">
        <v>0.156200000000001</v>
      </c>
      <c r="AR165">
        <v>1.6259400000000004</v>
      </c>
      <c r="AS165">
        <v>7.4800000000000111</v>
      </c>
      <c r="AT165">
        <v>-0.156200000000001</v>
      </c>
      <c r="AU165">
        <v>2.4320250000000003</v>
      </c>
      <c r="AV165">
        <v>3.4750000000000336E-2</v>
      </c>
      <c r="AW165">
        <v>0.78210000000000024</v>
      </c>
      <c r="AX165" t="s">
        <v>288</v>
      </c>
      <c r="AY165">
        <v>7</v>
      </c>
      <c r="AZ165">
        <v>-1.0728000000000002</v>
      </c>
      <c r="BA165">
        <v>9.6720000000000006</v>
      </c>
      <c r="BB165">
        <v>27.519999999999996</v>
      </c>
      <c r="BC165">
        <v>0.44000000000000011</v>
      </c>
      <c r="BD165">
        <v>-13.539999999999997</v>
      </c>
      <c r="BE165">
        <v>-58.720000000000006</v>
      </c>
      <c r="BF165">
        <v>-1.9199999999999995</v>
      </c>
      <c r="BG165">
        <v>20</v>
      </c>
      <c r="BH165">
        <v>21</v>
      </c>
      <c r="BI165">
        <v>-0.95999999999999963</v>
      </c>
      <c r="BJ165">
        <v>2</v>
      </c>
      <c r="BK165">
        <v>7.25</v>
      </c>
      <c r="BL165">
        <v>4</v>
      </c>
      <c r="BM165">
        <v>2.6954343508280632E-3</v>
      </c>
      <c r="BN165">
        <v>13</v>
      </c>
      <c r="BO165">
        <v>1.7999252690423632E-2</v>
      </c>
      <c r="BP165">
        <v>3</v>
      </c>
      <c r="BQ165">
        <v>-14.972000000000003</v>
      </c>
      <c r="BR165">
        <v>9</v>
      </c>
      <c r="BS165">
        <v>3.08</v>
      </c>
      <c r="BT165">
        <v>6.6799999999999979</v>
      </c>
      <c r="BU165">
        <v>-1.2</v>
      </c>
      <c r="BV165">
        <v>-0.72</v>
      </c>
      <c r="BW165">
        <v>1.4400000000000091</v>
      </c>
      <c r="BX165">
        <v>-32.720000000000006</v>
      </c>
      <c r="BY165">
        <v>31.24</v>
      </c>
      <c r="BZ165">
        <v>-1.2</v>
      </c>
      <c r="CA165">
        <v>4.12</v>
      </c>
      <c r="CB165">
        <v>32</v>
      </c>
      <c r="CC165">
        <v>-10.744800000000001</v>
      </c>
      <c r="CD165">
        <v>-7.7585600000000001</v>
      </c>
      <c r="CE165">
        <v>-63.960000000000008</v>
      </c>
      <c r="CF165">
        <v>-0.71259999999999957</v>
      </c>
    </row>
    <row r="166" spans="1:84" x14ac:dyDescent="0.2">
      <c r="A166" s="39">
        <v>43772</v>
      </c>
      <c r="B166" s="22" t="s">
        <v>246</v>
      </c>
      <c r="C166" s="41" t="s">
        <v>302</v>
      </c>
      <c r="D166" s="22" t="s">
        <v>305</v>
      </c>
      <c r="E166">
        <v>17.899999999999999</v>
      </c>
      <c r="F166">
        <v>24.1</v>
      </c>
      <c r="G166">
        <v>3.3</v>
      </c>
      <c r="H166">
        <v>6.8</v>
      </c>
      <c r="I166">
        <v>-3</v>
      </c>
      <c r="J166">
        <v>44.5</v>
      </c>
      <c r="L166" s="1" t="s">
        <v>302</v>
      </c>
      <c r="M166">
        <v>14</v>
      </c>
      <c r="N166">
        <v>1.5708000000000004</v>
      </c>
      <c r="O166">
        <v>2.492</v>
      </c>
      <c r="P166">
        <v>-25.12</v>
      </c>
      <c r="Q166">
        <v>3.6</v>
      </c>
      <c r="R166">
        <v>0.95599999999999818</v>
      </c>
      <c r="S166">
        <v>-0.43999999999999773</v>
      </c>
      <c r="T166">
        <v>3.4000000000000004</v>
      </c>
      <c r="U166">
        <v>2</v>
      </c>
      <c r="V166">
        <v>5</v>
      </c>
      <c r="W166">
        <v>9.4400000000000013</v>
      </c>
      <c r="X166">
        <v>27</v>
      </c>
      <c r="Y166">
        <v>23.25</v>
      </c>
      <c r="Z166">
        <v>23</v>
      </c>
      <c r="AA166">
        <v>-3.0481742380379317E-2</v>
      </c>
      <c r="AB166">
        <v>26</v>
      </c>
      <c r="AC166">
        <v>-2.5887151161410847E-2</v>
      </c>
      <c r="AD166">
        <v>23</v>
      </c>
      <c r="AE166">
        <v>-13.527999999999997</v>
      </c>
      <c r="AF166">
        <v>21</v>
      </c>
      <c r="AG166">
        <v>-1.8400000000000003</v>
      </c>
      <c r="AH166">
        <v>7.0399999999999991</v>
      </c>
      <c r="AI166">
        <v>1.72</v>
      </c>
      <c r="AJ166">
        <v>3.5200000000000005</v>
      </c>
      <c r="AK166">
        <v>1.4799999999999955</v>
      </c>
      <c r="AL166">
        <v>34.240000000000009</v>
      </c>
      <c r="AM166">
        <v>-20.399999999999999</v>
      </c>
      <c r="AN166">
        <v>1.0799999999999998</v>
      </c>
      <c r="AO166">
        <v>-13.439999999999998</v>
      </c>
      <c r="AP166">
        <v>20</v>
      </c>
      <c r="AQ166">
        <v>-0.9211999999999998</v>
      </c>
      <c r="AR166">
        <v>-0.7406400000000003</v>
      </c>
      <c r="AS166">
        <v>54.640000000000008</v>
      </c>
      <c r="AT166">
        <v>0.92119999999999957</v>
      </c>
      <c r="AU166">
        <v>0.51234999999999986</v>
      </c>
      <c r="AV166">
        <v>-0.99959999999999982</v>
      </c>
      <c r="AW166">
        <v>-2.1118999999999999</v>
      </c>
      <c r="AX166" t="s">
        <v>305</v>
      </c>
      <c r="AY166">
        <v>32</v>
      </c>
      <c r="AZ166">
        <v>-1.0943999999999996</v>
      </c>
      <c r="BA166">
        <v>-2.9959999999999982</v>
      </c>
      <c r="BB166">
        <v>-13.96</v>
      </c>
      <c r="BC166">
        <v>-1.7600000000000002</v>
      </c>
      <c r="BD166">
        <v>3.9920000000000013</v>
      </c>
      <c r="BE166">
        <v>24.030000000000005</v>
      </c>
      <c r="BF166">
        <v>4.22</v>
      </c>
      <c r="BG166">
        <v>23</v>
      </c>
      <c r="BH166">
        <v>22.5</v>
      </c>
      <c r="BI166">
        <v>-3.5200000000000005</v>
      </c>
      <c r="BJ166">
        <v>5</v>
      </c>
      <c r="BK166">
        <v>9.75</v>
      </c>
      <c r="BL166">
        <v>15</v>
      </c>
      <c r="BM166">
        <v>-3.8834537496163349E-2</v>
      </c>
      <c r="BN166">
        <v>8</v>
      </c>
      <c r="BO166">
        <v>-2.1449092569761196E-2</v>
      </c>
      <c r="BP166">
        <v>15</v>
      </c>
      <c r="BQ166">
        <v>-12.651999999999997</v>
      </c>
      <c r="BR166">
        <v>1</v>
      </c>
      <c r="BS166">
        <v>0.80000000000000038</v>
      </c>
      <c r="BT166">
        <v>-3.8799999999999981</v>
      </c>
      <c r="BU166">
        <v>1.0799999999999994</v>
      </c>
      <c r="BV166">
        <v>-0.92000000000000015</v>
      </c>
      <c r="BW166">
        <v>5.5600000000000023</v>
      </c>
      <c r="BX166">
        <v>20.440000000000005</v>
      </c>
      <c r="BY166">
        <v>-14.839999999999998</v>
      </c>
      <c r="BZ166">
        <v>0.36000000000000021</v>
      </c>
      <c r="CA166">
        <v>-0.4</v>
      </c>
      <c r="CB166">
        <v>12</v>
      </c>
      <c r="CC166">
        <v>1.9015999999999984</v>
      </c>
      <c r="CD166">
        <v>2.0775199999999994</v>
      </c>
      <c r="CE166">
        <v>35.28</v>
      </c>
      <c r="CF166">
        <v>0.11270000000000036</v>
      </c>
    </row>
    <row r="167" spans="1:84" x14ac:dyDescent="0.2">
      <c r="A167" s="39">
        <v>43772</v>
      </c>
      <c r="B167" s="22" t="s">
        <v>246</v>
      </c>
      <c r="C167" s="41" t="s">
        <v>296</v>
      </c>
      <c r="D167" s="22" t="s">
        <v>291</v>
      </c>
      <c r="E167">
        <v>11.8</v>
      </c>
      <c r="F167">
        <v>8.8000000000000007</v>
      </c>
      <c r="G167">
        <v>5.2</v>
      </c>
      <c r="H167">
        <v>14.7</v>
      </c>
      <c r="I167">
        <v>6.5</v>
      </c>
      <c r="J167">
        <v>48.5</v>
      </c>
      <c r="K167" t="s">
        <v>109</v>
      </c>
      <c r="L167" s="1" t="s">
        <v>296</v>
      </c>
      <c r="M167">
        <v>20</v>
      </c>
      <c r="N167">
        <v>-1.3399999999999992</v>
      </c>
      <c r="O167">
        <v>-5.5759999999999996</v>
      </c>
      <c r="P167">
        <v>-30.28</v>
      </c>
      <c r="Q167">
        <v>-2.2800000000000002</v>
      </c>
      <c r="R167">
        <v>-1.2959999999999985</v>
      </c>
      <c r="S167">
        <v>-15.920000000000002</v>
      </c>
      <c r="T167">
        <v>1.8399999999999999</v>
      </c>
      <c r="U167">
        <v>28</v>
      </c>
      <c r="V167">
        <v>27.5</v>
      </c>
      <c r="W167">
        <v>4.4400000000000004</v>
      </c>
      <c r="X167">
        <v>2</v>
      </c>
      <c r="Y167">
        <v>7.5</v>
      </c>
      <c r="Z167">
        <v>3</v>
      </c>
      <c r="AA167">
        <v>4.639523895036575E-2</v>
      </c>
      <c r="AB167">
        <v>16</v>
      </c>
      <c r="AC167">
        <v>4.4179332375002961E-3</v>
      </c>
      <c r="AD167">
        <v>10</v>
      </c>
      <c r="AE167">
        <v>-3.0000000000000027</v>
      </c>
      <c r="AF167">
        <v>1</v>
      </c>
      <c r="AG167">
        <v>5.4799999999999995</v>
      </c>
      <c r="AH167">
        <v>-1.3599999999999994</v>
      </c>
      <c r="AI167">
        <v>-4.6399999999999997</v>
      </c>
      <c r="AJ167">
        <v>2.8</v>
      </c>
      <c r="AK167">
        <v>-53.839999999999989</v>
      </c>
      <c r="AL167">
        <v>-28.919999999999998</v>
      </c>
      <c r="AM167">
        <v>-32.92</v>
      </c>
      <c r="AN167">
        <v>-0.6</v>
      </c>
      <c r="AO167">
        <v>8.6</v>
      </c>
      <c r="AP167">
        <v>10</v>
      </c>
      <c r="AQ167">
        <v>4.2360000000000007</v>
      </c>
      <c r="AR167">
        <v>2.2608000000000006</v>
      </c>
      <c r="AS167">
        <v>4.0000000000000036</v>
      </c>
      <c r="AT167">
        <v>-4.2360000000000007</v>
      </c>
      <c r="AU167">
        <v>-1.5014999999999996</v>
      </c>
      <c r="AV167">
        <v>-0.77348750000000011</v>
      </c>
      <c r="AW167">
        <v>-0.64767500000000011</v>
      </c>
      <c r="AX167" t="s">
        <v>291</v>
      </c>
      <c r="AY167">
        <v>19</v>
      </c>
      <c r="AZ167">
        <v>-5.1655999999999995</v>
      </c>
      <c r="BA167">
        <v>-2.1567999999999992</v>
      </c>
      <c r="BB167">
        <v>-13.24</v>
      </c>
      <c r="BC167">
        <v>-0.6399999999999999</v>
      </c>
      <c r="BD167">
        <v>-2.7919999999999998</v>
      </c>
      <c r="BE167">
        <v>3.9999999999997371E-2</v>
      </c>
      <c r="BF167">
        <v>-0.76</v>
      </c>
      <c r="BG167">
        <v>7</v>
      </c>
      <c r="BH167">
        <v>7</v>
      </c>
      <c r="BI167">
        <v>-2.72</v>
      </c>
      <c r="BJ167">
        <v>15</v>
      </c>
      <c r="BK167">
        <v>15.75</v>
      </c>
      <c r="BL167">
        <v>7</v>
      </c>
      <c r="BM167">
        <v>-1.9316011211576466E-2</v>
      </c>
      <c r="BN167">
        <v>7</v>
      </c>
      <c r="BO167">
        <v>2.0049431907943848E-2</v>
      </c>
      <c r="BP167">
        <v>28</v>
      </c>
      <c r="BQ167">
        <v>12.255999999999997</v>
      </c>
      <c r="BR167">
        <v>21</v>
      </c>
      <c r="BS167">
        <v>0.5600000000000005</v>
      </c>
      <c r="BT167">
        <v>-1.4000000000000015</v>
      </c>
      <c r="BU167">
        <v>-1.3599999999999994</v>
      </c>
      <c r="BV167">
        <v>-1.56</v>
      </c>
      <c r="BW167">
        <v>-22.24</v>
      </c>
      <c r="BX167">
        <v>-15.959999999999997</v>
      </c>
      <c r="BY167">
        <v>-11.84</v>
      </c>
      <c r="BZ167">
        <v>2</v>
      </c>
      <c r="CA167">
        <v>3.5599999999999996</v>
      </c>
      <c r="CB167">
        <v>24</v>
      </c>
      <c r="CC167">
        <v>-3.0087999999999999</v>
      </c>
      <c r="CD167">
        <v>-0.51312000000000002</v>
      </c>
      <c r="CE167">
        <v>-4.1199999999999974</v>
      </c>
      <c r="CF167">
        <v>-0.89929999999999999</v>
      </c>
    </row>
    <row r="168" spans="1:84" x14ac:dyDescent="0.2">
      <c r="A168" s="39">
        <v>43772</v>
      </c>
      <c r="B168" s="22" t="s">
        <v>246</v>
      </c>
      <c r="C168" s="41" t="s">
        <v>298</v>
      </c>
      <c r="D168" s="22" t="s">
        <v>293</v>
      </c>
      <c r="E168">
        <v>22.3</v>
      </c>
      <c r="F168">
        <v>5.3</v>
      </c>
      <c r="G168">
        <v>3.9</v>
      </c>
      <c r="H168">
        <v>11</v>
      </c>
      <c r="I168">
        <v>-3.5</v>
      </c>
      <c r="J168">
        <v>42.5</v>
      </c>
      <c r="L168" s="1" t="s">
        <v>298</v>
      </c>
      <c r="M168">
        <v>28</v>
      </c>
      <c r="N168">
        <v>-5.0680000000000023</v>
      </c>
      <c r="O168">
        <v>-7.452</v>
      </c>
      <c r="P168">
        <v>-24.92</v>
      </c>
      <c r="Q168">
        <v>0.19999999999999973</v>
      </c>
      <c r="R168">
        <v>-2.0400000000000014</v>
      </c>
      <c r="S168">
        <v>-14.160000000000005</v>
      </c>
      <c r="T168">
        <v>-1.3999999999999992</v>
      </c>
      <c r="U168">
        <v>14</v>
      </c>
      <c r="V168">
        <v>13.5</v>
      </c>
      <c r="W168">
        <v>-3.7199999999999998</v>
      </c>
      <c r="X168">
        <v>8</v>
      </c>
      <c r="Y168">
        <v>12</v>
      </c>
      <c r="Z168">
        <v>2</v>
      </c>
      <c r="AA168">
        <v>8.1819623587972817E-2</v>
      </c>
      <c r="AB168">
        <v>17</v>
      </c>
      <c r="AC168">
        <v>3.9080413848829793E-2</v>
      </c>
      <c r="AD168">
        <v>12</v>
      </c>
      <c r="AE168">
        <v>-2.2719999999999998</v>
      </c>
      <c r="AF168">
        <v>17</v>
      </c>
      <c r="AG168">
        <v>6.44</v>
      </c>
      <c r="AH168">
        <v>-4.7600000000000007</v>
      </c>
      <c r="AI168">
        <v>-6.44</v>
      </c>
      <c r="AJ168">
        <v>-0.51999999999999991</v>
      </c>
      <c r="AK168">
        <v>-66.84</v>
      </c>
      <c r="AL168">
        <v>-23.799999999999994</v>
      </c>
      <c r="AM168">
        <v>-26.439999999999998</v>
      </c>
      <c r="AN168">
        <v>-1.8400000000000003</v>
      </c>
      <c r="AO168">
        <v>-14.76</v>
      </c>
      <c r="AP168">
        <v>14</v>
      </c>
      <c r="AQ168">
        <v>2.3839999999999981</v>
      </c>
      <c r="AR168">
        <v>2.3043999999999993</v>
      </c>
      <c r="AS168">
        <v>2.6400000000000041</v>
      </c>
      <c r="AT168">
        <v>-2.3839999999999977</v>
      </c>
      <c r="AU168">
        <v>-2.2050000000000005</v>
      </c>
      <c r="AV168">
        <v>1.8949375000000002</v>
      </c>
      <c r="AW168">
        <v>1.0996750000000002</v>
      </c>
      <c r="AX168" t="s">
        <v>293</v>
      </c>
      <c r="AY168">
        <v>2</v>
      </c>
      <c r="AZ168">
        <v>4.9576000000000011</v>
      </c>
      <c r="BA168">
        <v>3.0200000000000005</v>
      </c>
      <c r="BB168">
        <v>31.52</v>
      </c>
      <c r="BC168">
        <v>-1.52</v>
      </c>
      <c r="BD168">
        <v>8.7439999999999998</v>
      </c>
      <c r="BE168">
        <v>29.359999999999992</v>
      </c>
      <c r="BF168">
        <v>1.5599999999999996</v>
      </c>
      <c r="BG168">
        <v>1</v>
      </c>
      <c r="BH168">
        <v>1.5</v>
      </c>
      <c r="BI168">
        <v>1.9200000000000004</v>
      </c>
      <c r="BJ168">
        <v>31</v>
      </c>
      <c r="BK168">
        <v>29</v>
      </c>
      <c r="BL168">
        <v>29</v>
      </c>
      <c r="BM168">
        <v>-4.3242412407643552E-2</v>
      </c>
      <c r="BN168">
        <v>32</v>
      </c>
      <c r="BO168">
        <v>-3.118140422194653E-2</v>
      </c>
      <c r="BP168">
        <v>30</v>
      </c>
      <c r="BQ168">
        <v>7.4679999999999991</v>
      </c>
      <c r="BR168">
        <v>25</v>
      </c>
      <c r="BS168">
        <v>-7.4399999999999995</v>
      </c>
      <c r="BT168">
        <v>4.6399999999999988</v>
      </c>
      <c r="BU168">
        <v>7.4</v>
      </c>
      <c r="BV168">
        <v>0.60000000000000009</v>
      </c>
      <c r="BW168">
        <v>64.080000000000013</v>
      </c>
      <c r="BX168">
        <v>35.039999999999992</v>
      </c>
      <c r="BY168">
        <v>33.32</v>
      </c>
      <c r="BZ168">
        <v>-4.08</v>
      </c>
      <c r="CA168">
        <v>-0.19999999999999979</v>
      </c>
      <c r="CB168">
        <v>11</v>
      </c>
      <c r="CC168">
        <v>1.9376000000000009</v>
      </c>
      <c r="CD168">
        <v>1.2303199999999999</v>
      </c>
      <c r="CE168">
        <v>1.7199999999999918</v>
      </c>
      <c r="CF168">
        <v>2.6902000000000004</v>
      </c>
    </row>
    <row r="169" spans="1:84" x14ac:dyDescent="0.2">
      <c r="A169" s="39">
        <v>43772</v>
      </c>
      <c r="B169" s="22" t="s">
        <v>246</v>
      </c>
      <c r="C169" s="41" t="s">
        <v>294</v>
      </c>
      <c r="D169" s="22" t="s">
        <v>265</v>
      </c>
      <c r="E169">
        <v>7.6</v>
      </c>
      <c r="F169">
        <v>5.0999999999999996</v>
      </c>
      <c r="G169">
        <v>1.5</v>
      </c>
      <c r="H169">
        <f>28.3+7.9</f>
        <v>36.200000000000003</v>
      </c>
      <c r="I169">
        <v>-5</v>
      </c>
      <c r="J169">
        <v>41</v>
      </c>
      <c r="L169" s="1" t="s">
        <v>294</v>
      </c>
      <c r="M169">
        <v>17</v>
      </c>
      <c r="N169">
        <v>-4.0400000000000699E-2</v>
      </c>
      <c r="O169">
        <v>5.6599999999999984</v>
      </c>
      <c r="P169">
        <v>23.15</v>
      </c>
      <c r="Q169">
        <v>-1.3099999999999998</v>
      </c>
      <c r="R169">
        <v>-6.9010000000000007</v>
      </c>
      <c r="S169">
        <v>-40.64</v>
      </c>
      <c r="T169">
        <v>-0.87999999999999901</v>
      </c>
      <c r="U169">
        <v>23</v>
      </c>
      <c r="V169">
        <v>22.5</v>
      </c>
      <c r="W169">
        <v>2.8800000000000003</v>
      </c>
      <c r="X169">
        <v>6</v>
      </c>
      <c r="Y169">
        <v>10.25</v>
      </c>
      <c r="Z169">
        <v>16</v>
      </c>
      <c r="AA169">
        <v>3.5532068397901531E-2</v>
      </c>
      <c r="AB169">
        <v>4</v>
      </c>
      <c r="AC169">
        <v>-9.7883016348527512E-3</v>
      </c>
      <c r="AD169">
        <v>6</v>
      </c>
      <c r="AE169">
        <v>-4.6199999999999974</v>
      </c>
      <c r="AF169">
        <v>15</v>
      </c>
      <c r="AG169">
        <v>-0.12000000000000011</v>
      </c>
      <c r="AH169">
        <v>-0.48000000000000115</v>
      </c>
      <c r="AI169">
        <v>1.9599999999999991</v>
      </c>
      <c r="AJ169">
        <v>1.8</v>
      </c>
      <c r="AK169">
        <v>-4.4000000000000004</v>
      </c>
      <c r="AL169">
        <v>-39.959999999999994</v>
      </c>
      <c r="AM169">
        <v>32.279999999999994</v>
      </c>
      <c r="AN169">
        <v>-2</v>
      </c>
      <c r="AO169">
        <v>5.2799999999999994</v>
      </c>
      <c r="AP169">
        <v>25</v>
      </c>
      <c r="AQ169">
        <v>-5.7003999999999992</v>
      </c>
      <c r="AR169">
        <v>-4.2182799999999991</v>
      </c>
      <c r="AS169">
        <v>-72.239999999999981</v>
      </c>
      <c r="AT169">
        <v>5.7003999999999992</v>
      </c>
      <c r="AU169">
        <v>-0.40517500000000028</v>
      </c>
      <c r="AV169">
        <v>-0.82331249999999989</v>
      </c>
      <c r="AW169">
        <v>-9.0150000000000036E-2</v>
      </c>
      <c r="AX169" t="s">
        <v>265</v>
      </c>
      <c r="AY169">
        <v>29</v>
      </c>
      <c r="AZ169">
        <v>-4.4999999999999973</v>
      </c>
      <c r="BA169">
        <v>-1.0328000000000013</v>
      </c>
      <c r="BB169">
        <v>-11.16</v>
      </c>
      <c r="BC169">
        <v>-0.63999999999999979</v>
      </c>
      <c r="BD169">
        <v>-5.278999999999999</v>
      </c>
      <c r="BE169">
        <v>-0.6399999999999979</v>
      </c>
      <c r="BF169">
        <v>1.0799999999999998</v>
      </c>
      <c r="BG169">
        <v>15</v>
      </c>
      <c r="BH169">
        <v>13</v>
      </c>
      <c r="BI169">
        <v>-1.1199999999999997</v>
      </c>
      <c r="BJ169">
        <v>32</v>
      </c>
      <c r="BK169">
        <v>29.25</v>
      </c>
      <c r="BL169">
        <v>28</v>
      </c>
      <c r="BM169">
        <v>-3.8113487894282129E-2</v>
      </c>
      <c r="BN169">
        <v>29</v>
      </c>
      <c r="BO169">
        <v>1.5648822183262391E-2</v>
      </c>
      <c r="BP169">
        <v>29</v>
      </c>
      <c r="BQ169">
        <v>6.591999999999997</v>
      </c>
      <c r="BR169">
        <v>31</v>
      </c>
      <c r="BS169">
        <v>1.92</v>
      </c>
      <c r="BT169">
        <v>1.3200000000000003</v>
      </c>
      <c r="BU169">
        <v>-2.6399999999999992</v>
      </c>
      <c r="BV169">
        <v>-0.87999999999999989</v>
      </c>
      <c r="BW169">
        <v>-41.240000000000009</v>
      </c>
      <c r="BX169">
        <v>-28.600000000000005</v>
      </c>
      <c r="BY169">
        <v>-10</v>
      </c>
      <c r="BZ169">
        <v>-5.6800000000000006</v>
      </c>
      <c r="CA169">
        <v>3.04</v>
      </c>
      <c r="CB169">
        <v>25</v>
      </c>
      <c r="CC169">
        <v>-3.4671999999999961</v>
      </c>
      <c r="CD169">
        <v>-1.4393999999999987</v>
      </c>
      <c r="CE169">
        <v>-18.600000000000005</v>
      </c>
      <c r="CF169">
        <v>-1.5564749999999998</v>
      </c>
    </row>
    <row r="170" spans="1:84" x14ac:dyDescent="0.2">
      <c r="A170" s="39">
        <v>43772</v>
      </c>
      <c r="B170" s="22" t="s">
        <v>246</v>
      </c>
      <c r="C170" s="41" t="s">
        <v>309</v>
      </c>
      <c r="D170" s="22" t="s">
        <v>289</v>
      </c>
      <c r="E170">
        <v>4.5999999999999996</v>
      </c>
      <c r="F170">
        <v>10.9</v>
      </c>
      <c r="G170">
        <v>1.5</v>
      </c>
      <c r="H170">
        <v>14</v>
      </c>
      <c r="I170">
        <v>-1</v>
      </c>
      <c r="J170">
        <v>39.5</v>
      </c>
      <c r="K170" t="s">
        <v>110</v>
      </c>
      <c r="L170" s="1" t="s">
        <v>309</v>
      </c>
      <c r="M170">
        <v>26</v>
      </c>
      <c r="N170">
        <v>-3.5368000000000008</v>
      </c>
      <c r="O170">
        <v>7.8159999999999989</v>
      </c>
      <c r="P170">
        <v>-3.1600000000000019</v>
      </c>
      <c r="Q170">
        <v>3.32</v>
      </c>
      <c r="R170">
        <v>-6.3320000000000007</v>
      </c>
      <c r="S170">
        <v>-34.44</v>
      </c>
      <c r="T170">
        <v>-2.88</v>
      </c>
      <c r="U170">
        <v>3</v>
      </c>
      <c r="V170">
        <v>5.5</v>
      </c>
      <c r="W170">
        <v>6.6800000000000015</v>
      </c>
      <c r="X170">
        <v>12</v>
      </c>
      <c r="Y170">
        <v>13.25</v>
      </c>
      <c r="Z170">
        <v>9</v>
      </c>
      <c r="AA170">
        <v>-6.1436483155306362E-3</v>
      </c>
      <c r="AB170">
        <v>20</v>
      </c>
      <c r="AC170">
        <v>-2.6677649240851725E-2</v>
      </c>
      <c r="AD170">
        <v>19</v>
      </c>
      <c r="AE170">
        <v>15.98</v>
      </c>
      <c r="AF170">
        <v>5</v>
      </c>
      <c r="AG170">
        <v>-1.44</v>
      </c>
      <c r="AH170">
        <v>-3.6</v>
      </c>
      <c r="AI170">
        <v>1.7600000000000002</v>
      </c>
      <c r="AJ170">
        <v>1.0399999999999998</v>
      </c>
      <c r="AK170">
        <v>-66.52000000000001</v>
      </c>
      <c r="AL170">
        <v>-42.999999999999993</v>
      </c>
      <c r="AM170">
        <v>-4.5999999999999996</v>
      </c>
      <c r="AN170">
        <v>-5.88</v>
      </c>
      <c r="AO170">
        <v>-13.040000000000001</v>
      </c>
      <c r="AP170">
        <v>31</v>
      </c>
      <c r="AQ170">
        <v>-11.3528</v>
      </c>
      <c r="AR170">
        <v>-5.8817599999999999</v>
      </c>
      <c r="AS170">
        <v>-38.399999999999991</v>
      </c>
      <c r="AT170">
        <v>11.3528</v>
      </c>
      <c r="AU170">
        <v>-2.6600000000000401E-2</v>
      </c>
      <c r="AV170">
        <v>-1.1319416666666666</v>
      </c>
      <c r="AW170">
        <v>-1.2865833333333332</v>
      </c>
      <c r="AX170" t="s">
        <v>289</v>
      </c>
      <c r="AY170">
        <v>25</v>
      </c>
      <c r="AZ170">
        <v>-2.9023999999999992</v>
      </c>
      <c r="BA170">
        <v>-7.032</v>
      </c>
      <c r="BB170">
        <v>-21.680000000000007</v>
      </c>
      <c r="BC170">
        <v>0</v>
      </c>
      <c r="BD170">
        <v>1.0360000000000011</v>
      </c>
      <c r="BE170">
        <v>2.7600000000000007</v>
      </c>
      <c r="BF170">
        <v>-0.44000000000000017</v>
      </c>
      <c r="BG170">
        <v>5</v>
      </c>
      <c r="BH170">
        <v>4.5</v>
      </c>
      <c r="BI170">
        <v>-0.72000000000000008</v>
      </c>
      <c r="BJ170">
        <v>28</v>
      </c>
      <c r="BK170">
        <v>23</v>
      </c>
      <c r="BL170">
        <v>27</v>
      </c>
      <c r="BM170">
        <v>3.1757923867217937E-2</v>
      </c>
      <c r="BN170">
        <v>18</v>
      </c>
      <c r="BO170">
        <v>1.8996538660106241E-2</v>
      </c>
      <c r="BP170">
        <v>26</v>
      </c>
      <c r="BQ170">
        <v>-1.7040000000000006</v>
      </c>
      <c r="BR170">
        <v>21</v>
      </c>
      <c r="BS170">
        <v>1.8800000000000003</v>
      </c>
      <c r="BT170">
        <v>-0.32000000000000173</v>
      </c>
      <c r="BU170">
        <v>-4.2799999999999994</v>
      </c>
      <c r="BV170">
        <v>1.1199999999999999</v>
      </c>
      <c r="BW170">
        <v>-20.839999999999996</v>
      </c>
      <c r="BX170">
        <v>-11.160000000000007</v>
      </c>
      <c r="BY170">
        <v>-20.28</v>
      </c>
      <c r="BZ170">
        <v>10.36</v>
      </c>
      <c r="CA170">
        <v>0.24000000000000049</v>
      </c>
      <c r="CB170">
        <v>7</v>
      </c>
      <c r="CC170">
        <v>4.1296000000000017</v>
      </c>
      <c r="CD170">
        <v>3.1427200000000006</v>
      </c>
      <c r="CE170">
        <v>9.1199999999999939</v>
      </c>
      <c r="CF170">
        <v>-0.97729999999999984</v>
      </c>
    </row>
    <row r="171" spans="1:84" x14ac:dyDescent="0.2">
      <c r="A171" s="39">
        <v>43772</v>
      </c>
      <c r="B171" s="22" t="s">
        <v>246</v>
      </c>
      <c r="C171" s="40" t="s">
        <v>256</v>
      </c>
      <c r="D171" s="22" t="s">
        <v>285</v>
      </c>
      <c r="E171">
        <v>27.2</v>
      </c>
      <c r="F171">
        <v>8</v>
      </c>
      <c r="G171">
        <v>9.1</v>
      </c>
      <c r="H171">
        <f>19.9+6.9</f>
        <v>26.799999999999997</v>
      </c>
      <c r="I171">
        <v>-10.5</v>
      </c>
      <c r="J171">
        <v>43.5</v>
      </c>
      <c r="L171" s="1" t="s">
        <v>256</v>
      </c>
      <c r="M171">
        <v>27</v>
      </c>
      <c r="N171">
        <v>-3.5944000000000003</v>
      </c>
      <c r="O171">
        <v>3.279999999999998</v>
      </c>
      <c r="P171">
        <v>22.560000000000006</v>
      </c>
      <c r="Q171">
        <v>-1.4800000000000002</v>
      </c>
      <c r="R171">
        <v>-4.5040000000000013</v>
      </c>
      <c r="S171">
        <v>-34.44</v>
      </c>
      <c r="T171">
        <v>-3.1199999999999988</v>
      </c>
      <c r="U171">
        <v>17</v>
      </c>
      <c r="V171">
        <v>16</v>
      </c>
      <c r="W171">
        <v>4.32</v>
      </c>
      <c r="X171">
        <v>21</v>
      </c>
      <c r="Y171">
        <v>17.75</v>
      </c>
      <c r="Z171">
        <v>19</v>
      </c>
      <c r="AA171">
        <v>-8.3247670432860382E-2</v>
      </c>
      <c r="AB171">
        <v>3</v>
      </c>
      <c r="AC171">
        <v>-1.3131046048901173E-2</v>
      </c>
      <c r="AD171">
        <v>29</v>
      </c>
      <c r="AE171">
        <v>-3.447999999999996</v>
      </c>
      <c r="AF171">
        <v>20</v>
      </c>
      <c r="AG171">
        <v>-3.56</v>
      </c>
      <c r="AH171">
        <v>1.3599999999999994</v>
      </c>
      <c r="AI171">
        <v>3.44</v>
      </c>
      <c r="AJ171">
        <v>-1.4</v>
      </c>
      <c r="AK171">
        <v>-17.399999999999999</v>
      </c>
      <c r="AL171">
        <v>-56.36</v>
      </c>
      <c r="AM171">
        <v>40.320000000000007</v>
      </c>
      <c r="AN171">
        <v>8.6</v>
      </c>
      <c r="AO171">
        <v>-9.9599999999999991</v>
      </c>
      <c r="AP171">
        <v>27</v>
      </c>
      <c r="AQ171">
        <v>-6.8743999999999978</v>
      </c>
      <c r="AR171">
        <v>-3.2596799999999995</v>
      </c>
      <c r="AS171">
        <v>-96.68</v>
      </c>
      <c r="AT171">
        <v>6.8743999999999978</v>
      </c>
      <c r="AU171">
        <v>-0.61730000000000029</v>
      </c>
      <c r="AV171">
        <v>-1.5024875</v>
      </c>
      <c r="AW171">
        <v>-4.5336250000000007</v>
      </c>
      <c r="AX171" t="s">
        <v>285</v>
      </c>
      <c r="AY171">
        <v>1</v>
      </c>
      <c r="AZ171">
        <v>1.6920000000000002</v>
      </c>
      <c r="BA171">
        <v>4.3672000000000022</v>
      </c>
      <c r="BB171">
        <v>23.440000000000005</v>
      </c>
      <c r="BC171">
        <v>-0.71999999999999964</v>
      </c>
      <c r="BD171">
        <v>4.8500000000000005</v>
      </c>
      <c r="BE171">
        <v>9.5699999999999985</v>
      </c>
      <c r="BF171">
        <v>-1.2900000000000003</v>
      </c>
      <c r="BG171">
        <v>19</v>
      </c>
      <c r="BH171">
        <v>20.5</v>
      </c>
      <c r="BI171">
        <v>0.67999999999999994</v>
      </c>
      <c r="BJ171">
        <v>26</v>
      </c>
      <c r="BK171">
        <v>22</v>
      </c>
      <c r="BL171">
        <v>5</v>
      </c>
      <c r="BM171">
        <v>-2.5121957842891375E-2</v>
      </c>
      <c r="BN171">
        <v>31</v>
      </c>
      <c r="BO171">
        <v>6.0801317715168416E-3</v>
      </c>
      <c r="BP171">
        <v>20</v>
      </c>
      <c r="BQ171">
        <v>11.687999999999995</v>
      </c>
      <c r="BR171">
        <v>32</v>
      </c>
      <c r="BS171">
        <v>-5.04</v>
      </c>
      <c r="BT171">
        <v>-0.95999999999999941</v>
      </c>
      <c r="BU171">
        <v>4.68</v>
      </c>
      <c r="BV171">
        <v>1.3199999999999998</v>
      </c>
      <c r="BW171">
        <v>34.56</v>
      </c>
      <c r="BX171">
        <v>18.880000000000006</v>
      </c>
      <c r="BY171">
        <v>24.48</v>
      </c>
      <c r="BZ171">
        <v>-4.2</v>
      </c>
      <c r="CA171">
        <v>-4.5999999999999996</v>
      </c>
      <c r="CB171">
        <v>23</v>
      </c>
      <c r="CC171">
        <v>-2.6752000000000016</v>
      </c>
      <c r="CD171">
        <v>-0.87520000000000087</v>
      </c>
      <c r="CE171">
        <v>-5.5999999999999943</v>
      </c>
      <c r="CF171">
        <v>1.5286500000000005</v>
      </c>
    </row>
    <row r="172" spans="1:84" x14ac:dyDescent="0.2">
      <c r="A172" s="39">
        <v>43772</v>
      </c>
      <c r="B172" s="22" t="s">
        <v>246</v>
      </c>
      <c r="C172" s="41" t="s">
        <v>308</v>
      </c>
      <c r="D172" s="22" t="s">
        <v>284</v>
      </c>
      <c r="E172">
        <v>43.2</v>
      </c>
      <c r="F172">
        <v>30</v>
      </c>
      <c r="G172">
        <v>3.8</v>
      </c>
      <c r="H172">
        <v>23.7</v>
      </c>
      <c r="I172">
        <v>-4</v>
      </c>
      <c r="J172">
        <v>50.5</v>
      </c>
      <c r="K172" t="s">
        <v>109</v>
      </c>
      <c r="L172" s="1" t="s">
        <v>308</v>
      </c>
      <c r="M172">
        <v>19</v>
      </c>
      <c r="N172">
        <v>-0.90880000000000083</v>
      </c>
      <c r="O172">
        <v>-7.0399999999999352E-2</v>
      </c>
      <c r="P172">
        <v>20.68</v>
      </c>
      <c r="Q172">
        <v>-0.55999999999999994</v>
      </c>
      <c r="R172">
        <v>-7.3880000000000008</v>
      </c>
      <c r="S172">
        <v>-32.799999999999997</v>
      </c>
      <c r="T172">
        <v>-4.879999999999999</v>
      </c>
      <c r="U172">
        <v>8</v>
      </c>
      <c r="V172">
        <v>8.5</v>
      </c>
      <c r="W172">
        <v>-3.9999999999999855E-2</v>
      </c>
      <c r="X172">
        <v>12</v>
      </c>
      <c r="Y172">
        <v>13.25</v>
      </c>
      <c r="Z172">
        <v>11</v>
      </c>
      <c r="AA172">
        <v>0.15288668773701455</v>
      </c>
      <c r="AB172">
        <v>5</v>
      </c>
      <c r="AC172">
        <v>8.6727803065072221E-3</v>
      </c>
      <c r="AD172">
        <v>21</v>
      </c>
      <c r="AE172">
        <v>7.3760000000000003</v>
      </c>
      <c r="AF172">
        <v>16</v>
      </c>
      <c r="AG172">
        <v>0.87999999999999989</v>
      </c>
      <c r="AH172">
        <v>8.000000000000114E-2</v>
      </c>
      <c r="AI172">
        <v>-0.64000000000000057</v>
      </c>
      <c r="AJ172">
        <v>-0.55999999999999994</v>
      </c>
      <c r="AK172">
        <v>-8.3200000000000038</v>
      </c>
      <c r="AL172">
        <v>-27.720000000000006</v>
      </c>
      <c r="AM172">
        <v>14.960000000000003</v>
      </c>
      <c r="AN172">
        <v>-1.4800000000000002</v>
      </c>
      <c r="AO172">
        <v>5.92</v>
      </c>
      <c r="AP172">
        <v>19</v>
      </c>
      <c r="AQ172">
        <v>-0.83840000000000137</v>
      </c>
      <c r="AR172">
        <v>-1.6241600000000005</v>
      </c>
      <c r="AS172">
        <v>-42.680000000000007</v>
      </c>
      <c r="AT172">
        <v>0.83840000000000148</v>
      </c>
      <c r="AU172">
        <v>-1.0059</v>
      </c>
      <c r="AV172">
        <v>2.2484083333333338</v>
      </c>
      <c r="AW172">
        <v>2.9466666666666613E-2</v>
      </c>
      <c r="AX172" t="s">
        <v>284</v>
      </c>
      <c r="AY172">
        <v>4</v>
      </c>
      <c r="AZ172">
        <v>9.3496000000000006</v>
      </c>
      <c r="BA172">
        <v>-5.2167999999999992</v>
      </c>
      <c r="BB172">
        <v>-30.639999999999997</v>
      </c>
      <c r="BC172">
        <v>0.24</v>
      </c>
      <c r="BD172">
        <v>28.246000000000002</v>
      </c>
      <c r="BE172">
        <v>76.930000000000007</v>
      </c>
      <c r="BF172">
        <v>8.9099999999999984</v>
      </c>
      <c r="BG172">
        <v>16</v>
      </c>
      <c r="BH172">
        <v>14</v>
      </c>
      <c r="BI172">
        <v>0.20000000000000018</v>
      </c>
      <c r="BJ172">
        <v>10</v>
      </c>
      <c r="BK172">
        <v>13.25</v>
      </c>
      <c r="BL172">
        <v>9</v>
      </c>
      <c r="BM172">
        <v>-4.6855978736132495E-2</v>
      </c>
      <c r="BN172">
        <v>26</v>
      </c>
      <c r="BO172">
        <v>-2.017832115926951E-2</v>
      </c>
      <c r="BP172">
        <v>6</v>
      </c>
      <c r="BQ172">
        <v>10.819999999999997</v>
      </c>
      <c r="BR172">
        <v>12</v>
      </c>
      <c r="BS172">
        <v>-2</v>
      </c>
      <c r="BT172">
        <v>2.9200000000000017</v>
      </c>
      <c r="BU172">
        <v>10.760000000000002</v>
      </c>
      <c r="BV172">
        <v>0.12000000000000002</v>
      </c>
      <c r="BW172">
        <v>39.760000000000005</v>
      </c>
      <c r="BX172">
        <v>72.320000000000007</v>
      </c>
      <c r="BY172">
        <v>-31.24</v>
      </c>
      <c r="BZ172">
        <v>7.999999999999971E-2</v>
      </c>
      <c r="CA172">
        <v>-1.4000000000000001</v>
      </c>
      <c r="CB172">
        <v>1</v>
      </c>
      <c r="CC172">
        <v>14.5664</v>
      </c>
      <c r="CD172">
        <v>10.127520000000001</v>
      </c>
      <c r="CE172">
        <v>103.56</v>
      </c>
      <c r="CF172">
        <v>4.4673500000000006</v>
      </c>
    </row>
    <row r="173" spans="1:84" x14ac:dyDescent="0.2">
      <c r="A173" s="39">
        <v>43772</v>
      </c>
      <c r="B173" s="22" t="s">
        <v>246</v>
      </c>
      <c r="C173" s="41" t="s">
        <v>284</v>
      </c>
      <c r="D173" s="22" t="s">
        <v>308</v>
      </c>
      <c r="E173">
        <v>39</v>
      </c>
      <c r="F173">
        <v>13.9</v>
      </c>
      <c r="G173">
        <v>14.2</v>
      </c>
      <c r="H173">
        <v>4.3</v>
      </c>
      <c r="I173">
        <v>4</v>
      </c>
      <c r="J173">
        <v>50.5</v>
      </c>
      <c r="K173" t="s">
        <v>109</v>
      </c>
      <c r="L173" s="1" t="s">
        <v>284</v>
      </c>
      <c r="M173">
        <v>3</v>
      </c>
      <c r="N173">
        <v>5.1863999999999999</v>
      </c>
      <c r="O173">
        <v>-4.5270000000000001</v>
      </c>
      <c r="P173">
        <v>-15.309999999999999</v>
      </c>
      <c r="Q173">
        <v>-2.79</v>
      </c>
      <c r="R173">
        <v>21.507999999999999</v>
      </c>
      <c r="S173">
        <v>72.52</v>
      </c>
      <c r="T173">
        <v>4.4800000000000004</v>
      </c>
      <c r="U173">
        <v>18</v>
      </c>
      <c r="V173">
        <v>17.5</v>
      </c>
      <c r="W173">
        <v>-2</v>
      </c>
      <c r="X173">
        <v>14</v>
      </c>
      <c r="Y173">
        <v>14</v>
      </c>
      <c r="Z173">
        <v>29</v>
      </c>
      <c r="AA173">
        <v>-4.6269555265333231E-2</v>
      </c>
      <c r="AB173">
        <v>22</v>
      </c>
      <c r="AC173">
        <v>1.6179984640325853E-2</v>
      </c>
      <c r="AD173">
        <v>1</v>
      </c>
      <c r="AE173">
        <v>-14.491999999999999</v>
      </c>
      <c r="AF173">
        <v>4</v>
      </c>
      <c r="AG173">
        <v>0.20000000000000018</v>
      </c>
      <c r="AH173">
        <v>5.7200000000000015</v>
      </c>
      <c r="AI173">
        <v>11.599999999999998</v>
      </c>
      <c r="AJ173">
        <v>0.28000000000000008</v>
      </c>
      <c r="AK173">
        <v>36.559999999999988</v>
      </c>
      <c r="AL173">
        <v>50.559999999999988</v>
      </c>
      <c r="AM173">
        <v>-10.639999999999997</v>
      </c>
      <c r="AN173">
        <v>-0.56000000000000005</v>
      </c>
      <c r="AO173">
        <v>-2.7999999999999994</v>
      </c>
      <c r="AP173">
        <v>4</v>
      </c>
      <c r="AQ173">
        <v>9.7134</v>
      </c>
      <c r="AR173">
        <v>7.6023800000000001</v>
      </c>
      <c r="AS173">
        <v>61.199999999999989</v>
      </c>
      <c r="AT173">
        <v>-9.7134</v>
      </c>
      <c r="AU173">
        <v>3.1159250000000003</v>
      </c>
      <c r="AV173">
        <v>2.2484083333333338</v>
      </c>
      <c r="AW173">
        <v>4.4673500000000006</v>
      </c>
      <c r="AX173" t="s">
        <v>308</v>
      </c>
      <c r="AY173">
        <v>17</v>
      </c>
      <c r="AZ173">
        <v>2.0224000000000011</v>
      </c>
      <c r="BA173">
        <v>-2.8000000000000913E-2</v>
      </c>
      <c r="BB173">
        <v>3.8400000000000012</v>
      </c>
      <c r="BC173">
        <v>0.36000000000000032</v>
      </c>
      <c r="BD173">
        <v>-0.35866666666666758</v>
      </c>
      <c r="BE173">
        <v>4.7200000000000042</v>
      </c>
      <c r="BF173">
        <v>-0.36000000000000043</v>
      </c>
      <c r="BG173">
        <v>12</v>
      </c>
      <c r="BH173">
        <v>12.5</v>
      </c>
      <c r="BI173">
        <v>8.0000000000000071E-2</v>
      </c>
      <c r="BJ173">
        <v>21</v>
      </c>
      <c r="BK173">
        <v>17.25</v>
      </c>
      <c r="BL173">
        <v>30</v>
      </c>
      <c r="BM173">
        <v>-2.7923767022392455E-2</v>
      </c>
      <c r="BN173">
        <v>28</v>
      </c>
      <c r="BO173">
        <v>-1.7540682526739008E-2</v>
      </c>
      <c r="BP173">
        <v>4</v>
      </c>
      <c r="BQ173">
        <v>8.6480000000000015</v>
      </c>
      <c r="BR173">
        <v>7</v>
      </c>
      <c r="BS173">
        <v>-3.9999999999999855E-2</v>
      </c>
      <c r="BT173">
        <v>-0.63999999999999768</v>
      </c>
      <c r="BU173">
        <v>-1.0400000000000005</v>
      </c>
      <c r="BV173">
        <v>1.1200000000000003</v>
      </c>
      <c r="BW173">
        <v>40.96</v>
      </c>
      <c r="BX173">
        <v>22.28</v>
      </c>
      <c r="BY173">
        <v>1.0399999999999978</v>
      </c>
      <c r="BZ173">
        <v>4.8</v>
      </c>
      <c r="CA173">
        <v>12.84</v>
      </c>
      <c r="CB173">
        <v>10</v>
      </c>
      <c r="CC173">
        <v>2.050400000000002</v>
      </c>
      <c r="CD173">
        <v>0.34674666666666715</v>
      </c>
      <c r="CE173">
        <v>21.240000000000002</v>
      </c>
      <c r="CF173">
        <v>2.9466666666666613E-2</v>
      </c>
    </row>
    <row r="174" spans="1:84" x14ac:dyDescent="0.2">
      <c r="A174" s="39">
        <v>43772</v>
      </c>
      <c r="B174" s="22" t="s">
        <v>246</v>
      </c>
      <c r="C174" s="41" t="s">
        <v>310</v>
      </c>
      <c r="D174" s="22" t="s">
        <v>301</v>
      </c>
      <c r="E174">
        <v>8.8000000000000007</v>
      </c>
      <c r="F174">
        <v>12.1</v>
      </c>
      <c r="G174">
        <v>10.5</v>
      </c>
      <c r="H174">
        <v>4.8</v>
      </c>
      <c r="I174">
        <v>3.5</v>
      </c>
      <c r="J174">
        <v>43</v>
      </c>
      <c r="L174" s="1" t="s">
        <v>310</v>
      </c>
      <c r="M174">
        <v>23</v>
      </c>
      <c r="N174">
        <v>-1.9316000000000009</v>
      </c>
      <c r="O174">
        <v>-8.7167999999999992</v>
      </c>
      <c r="P174">
        <v>-19.16</v>
      </c>
      <c r="Q174">
        <v>-1.9200000000000004</v>
      </c>
      <c r="R174">
        <v>-1.5440000000000011</v>
      </c>
      <c r="S174">
        <v>1.6000000000000014</v>
      </c>
      <c r="T174">
        <v>-2.160000000000001</v>
      </c>
      <c r="U174">
        <v>29</v>
      </c>
      <c r="V174">
        <v>29</v>
      </c>
      <c r="W174">
        <v>-1.8</v>
      </c>
      <c r="X174">
        <v>25</v>
      </c>
      <c r="Y174">
        <v>21</v>
      </c>
      <c r="Z174">
        <v>27</v>
      </c>
      <c r="AA174">
        <v>-1.6236540238399933E-3</v>
      </c>
      <c r="AB174">
        <v>2</v>
      </c>
      <c r="AC174">
        <v>3.1665901132557586E-2</v>
      </c>
      <c r="AD174">
        <v>30</v>
      </c>
      <c r="AE174">
        <v>0.1880000000000038</v>
      </c>
      <c r="AF174">
        <v>25</v>
      </c>
      <c r="AG174">
        <v>2.88</v>
      </c>
      <c r="AH174">
        <v>-3.9599999999999995</v>
      </c>
      <c r="AI174">
        <v>-6.2800000000000011</v>
      </c>
      <c r="AJ174">
        <v>-1.9600000000000002</v>
      </c>
      <c r="AK174">
        <v>-45.92</v>
      </c>
      <c r="AL174">
        <v>-19.839999999999996</v>
      </c>
      <c r="AM174">
        <v>-21.04</v>
      </c>
      <c r="AN174">
        <v>-2.9200000000000004</v>
      </c>
      <c r="AO174">
        <v>-2.1200000000000006</v>
      </c>
      <c r="AP174">
        <v>6</v>
      </c>
      <c r="AQ174">
        <v>6.7851999999999979</v>
      </c>
      <c r="AR174">
        <v>3.663279999999999</v>
      </c>
      <c r="AS174">
        <v>1.2000000000000028</v>
      </c>
      <c r="AT174">
        <v>-6.7851999999999979</v>
      </c>
      <c r="AU174">
        <v>-2.0090499999999998</v>
      </c>
      <c r="AV174">
        <v>-5.1324999999999926E-2</v>
      </c>
      <c r="AW174">
        <v>-0.39844999999999997</v>
      </c>
      <c r="AX174" t="s">
        <v>301</v>
      </c>
      <c r="AY174">
        <v>14</v>
      </c>
      <c r="AZ174">
        <v>-0.12559999999999896</v>
      </c>
      <c r="BA174">
        <v>7.4319999999999986</v>
      </c>
      <c r="BB174">
        <v>-9.4400000000000048</v>
      </c>
      <c r="BC174">
        <v>1.88</v>
      </c>
      <c r="BD174">
        <v>-2.3799999999999994</v>
      </c>
      <c r="BE174">
        <v>7.8800000000000008</v>
      </c>
      <c r="BF174">
        <v>1.3600000000000003</v>
      </c>
      <c r="BG174">
        <v>10</v>
      </c>
      <c r="BH174">
        <v>11.5</v>
      </c>
      <c r="BI174">
        <v>-0.36000000000000032</v>
      </c>
      <c r="BJ174">
        <v>18</v>
      </c>
      <c r="BK174">
        <v>16.25</v>
      </c>
      <c r="BL174">
        <v>18</v>
      </c>
      <c r="BM174">
        <v>1.9395181383897266E-2</v>
      </c>
      <c r="BN174">
        <v>16</v>
      </c>
      <c r="BO174">
        <v>2.558335648383343E-2</v>
      </c>
      <c r="BP174">
        <v>8</v>
      </c>
      <c r="BQ174">
        <v>5.3239999999999998</v>
      </c>
      <c r="BR174">
        <v>23</v>
      </c>
      <c r="BS174">
        <v>5.6</v>
      </c>
      <c r="BT174">
        <v>0.5999999999999972</v>
      </c>
      <c r="BU174">
        <v>3.7599999999999993</v>
      </c>
      <c r="BV174">
        <v>-0.83999999999999986</v>
      </c>
      <c r="BW174">
        <v>31.320000000000004</v>
      </c>
      <c r="BX174">
        <v>25.95999999999999</v>
      </c>
      <c r="BY174">
        <v>2.6000000000000028</v>
      </c>
      <c r="BZ174">
        <v>2.4799999999999995</v>
      </c>
      <c r="CA174">
        <v>0.28000000000000042</v>
      </c>
      <c r="CB174">
        <v>29</v>
      </c>
      <c r="CC174">
        <v>-7.5575999999999972</v>
      </c>
      <c r="CD174">
        <v>-4.2171199999999986</v>
      </c>
      <c r="CE174">
        <v>23.359999999999989</v>
      </c>
      <c r="CF174">
        <v>0.29580000000000012</v>
      </c>
    </row>
    <row r="175" spans="1:84" x14ac:dyDescent="0.2">
      <c r="A175" s="39">
        <v>43772</v>
      </c>
      <c r="B175" s="22" t="s">
        <v>246</v>
      </c>
      <c r="C175" s="41" t="s">
        <v>306</v>
      </c>
      <c r="D175" s="22" t="s">
        <v>276</v>
      </c>
      <c r="E175">
        <v>7.9</v>
      </c>
      <c r="F175">
        <v>8.1999999999999993</v>
      </c>
      <c r="G175">
        <v>2.2000000000000002</v>
      </c>
      <c r="H175">
        <v>2.6</v>
      </c>
      <c r="I175">
        <v>10.5</v>
      </c>
      <c r="J175">
        <v>37</v>
      </c>
      <c r="L175" s="1" t="s">
        <v>306</v>
      </c>
      <c r="M175">
        <v>31</v>
      </c>
      <c r="N175">
        <v>-7.031200000000001</v>
      </c>
      <c r="O175">
        <v>-5.4600000000000009</v>
      </c>
      <c r="P175">
        <v>-12.280000000000001</v>
      </c>
      <c r="Q175">
        <v>-0.80000000000000027</v>
      </c>
      <c r="R175">
        <v>-14.620000000000001</v>
      </c>
      <c r="S175">
        <v>-63.88</v>
      </c>
      <c r="T175">
        <v>-6.8000000000000007</v>
      </c>
      <c r="U175">
        <v>1</v>
      </c>
      <c r="V175">
        <v>1</v>
      </c>
      <c r="W175">
        <v>-0.23999999999999985</v>
      </c>
      <c r="X175">
        <v>1</v>
      </c>
      <c r="Y175">
        <v>5.25</v>
      </c>
      <c r="Z175">
        <v>9</v>
      </c>
      <c r="AA175">
        <v>-3.3600295669370173E-2</v>
      </c>
      <c r="AB175">
        <v>1</v>
      </c>
      <c r="AC175">
        <v>3.5505563290478603E-2</v>
      </c>
      <c r="AD175">
        <v>2</v>
      </c>
      <c r="AE175">
        <v>-11.656000000000001</v>
      </c>
      <c r="AF175">
        <v>9</v>
      </c>
      <c r="AG175">
        <v>1.7200000000000002</v>
      </c>
      <c r="AH175">
        <v>-9.84</v>
      </c>
      <c r="AI175">
        <v>-8.1199999999999992</v>
      </c>
      <c r="AJ175">
        <v>-1.64</v>
      </c>
      <c r="AK175">
        <v>-74.559999999999988</v>
      </c>
      <c r="AL175">
        <v>-71.28</v>
      </c>
      <c r="AM175">
        <v>-11.559999999999999</v>
      </c>
      <c r="AN175">
        <v>8.36</v>
      </c>
      <c r="AO175">
        <v>-8.0000000000000071E-2</v>
      </c>
      <c r="AP175">
        <v>21</v>
      </c>
      <c r="AQ175">
        <v>-1.5712000000000004</v>
      </c>
      <c r="AR175">
        <v>-1.6002399999999994</v>
      </c>
      <c r="AS175">
        <v>-59.72</v>
      </c>
      <c r="AT175">
        <v>1.5712000000000002</v>
      </c>
      <c r="AU175">
        <v>-3.7688999999999999</v>
      </c>
      <c r="AV175">
        <v>-0.84267499999999973</v>
      </c>
      <c r="AW175">
        <v>-0.5752999999999997</v>
      </c>
      <c r="AX175" t="s">
        <v>276</v>
      </c>
      <c r="AY175">
        <v>24</v>
      </c>
      <c r="AZ175">
        <v>-3.2943999999999996</v>
      </c>
      <c r="BA175">
        <v>3.0760000000000023</v>
      </c>
      <c r="BB175">
        <v>23.200000000000003</v>
      </c>
      <c r="BC175">
        <v>-0.5199999999999998</v>
      </c>
      <c r="BD175">
        <v>-7.9420000000000002</v>
      </c>
      <c r="BE175">
        <v>-20.379999999999995</v>
      </c>
      <c r="BF175">
        <v>-2.0100000000000007</v>
      </c>
      <c r="BG175">
        <v>32</v>
      </c>
      <c r="BH175">
        <v>32</v>
      </c>
      <c r="BI175">
        <v>-0.79999999999999982</v>
      </c>
      <c r="BJ175">
        <v>7</v>
      </c>
      <c r="BK175">
        <v>12.25</v>
      </c>
      <c r="BL175">
        <v>24</v>
      </c>
      <c r="BM175">
        <v>2.8091401786934346E-2</v>
      </c>
      <c r="BN175">
        <v>3</v>
      </c>
      <c r="BO175">
        <v>-1.9331248122945969E-3</v>
      </c>
      <c r="BP175">
        <v>17</v>
      </c>
      <c r="BQ175">
        <v>0.66000000000000081</v>
      </c>
      <c r="BR175">
        <v>5</v>
      </c>
      <c r="BS175">
        <v>-1.2799999999999998</v>
      </c>
      <c r="BT175">
        <v>-0.4799999999999997</v>
      </c>
      <c r="BU175">
        <v>-1.7199999999999995</v>
      </c>
      <c r="BV175">
        <v>-0.43999999999999995</v>
      </c>
      <c r="BW175">
        <v>-1.4</v>
      </c>
      <c r="BX175">
        <v>-26.160000000000004</v>
      </c>
      <c r="BY175">
        <v>19.880000000000003</v>
      </c>
      <c r="BZ175">
        <v>-0.59999999999999987</v>
      </c>
      <c r="CA175">
        <v>5.4799999999999995</v>
      </c>
      <c r="CB175">
        <v>28</v>
      </c>
      <c r="CC175">
        <v>-6.3704000000000018</v>
      </c>
      <c r="CD175">
        <v>-3.7852800000000011</v>
      </c>
      <c r="CE175">
        <v>-46.040000000000006</v>
      </c>
      <c r="CF175">
        <v>-1.1100499999999998</v>
      </c>
    </row>
    <row r="176" spans="1:84" x14ac:dyDescent="0.2">
      <c r="A176" s="39">
        <v>43779</v>
      </c>
      <c r="B176" s="22" t="s">
        <v>244</v>
      </c>
      <c r="C176" s="41" t="s">
        <v>285</v>
      </c>
      <c r="D176" s="22" t="s">
        <v>284</v>
      </c>
      <c r="E176">
        <v>15.1</v>
      </c>
      <c r="F176">
        <v>40.799999999999997</v>
      </c>
      <c r="G176">
        <v>10.8</v>
      </c>
      <c r="H176">
        <v>4</v>
      </c>
      <c r="I176">
        <v>5.5</v>
      </c>
      <c r="J176">
        <v>51</v>
      </c>
      <c r="K176" t="s">
        <v>109</v>
      </c>
      <c r="L176" s="1" t="s">
        <v>285</v>
      </c>
      <c r="M176">
        <v>18</v>
      </c>
      <c r="N176">
        <v>-0.39280000000000043</v>
      </c>
      <c r="O176">
        <v>7.8089999999999993</v>
      </c>
      <c r="P176">
        <v>-2.3900000000000015</v>
      </c>
      <c r="Q176">
        <v>0.1399999999999999</v>
      </c>
      <c r="R176">
        <v>-11.596000000000002</v>
      </c>
      <c r="S176">
        <v>-40.559999999999995</v>
      </c>
      <c r="T176">
        <v>-4.28</v>
      </c>
      <c r="U176">
        <v>21</v>
      </c>
      <c r="V176">
        <v>20</v>
      </c>
      <c r="W176">
        <v>-6.2799999999999994</v>
      </c>
      <c r="X176">
        <v>9</v>
      </c>
      <c r="Y176">
        <v>12.25</v>
      </c>
      <c r="Z176">
        <v>20</v>
      </c>
      <c r="AA176">
        <v>-8.762492788711268E-2</v>
      </c>
      <c r="AB176">
        <v>7</v>
      </c>
      <c r="AC176">
        <v>-1.7538886644204603E-2</v>
      </c>
      <c r="AD176">
        <v>4</v>
      </c>
      <c r="AE176">
        <v>-8.5879999999999992</v>
      </c>
      <c r="AF176">
        <v>18</v>
      </c>
      <c r="AG176">
        <v>-2.04</v>
      </c>
      <c r="AH176">
        <v>-2.6799999999999984</v>
      </c>
      <c r="AI176">
        <v>2.2799999999999994</v>
      </c>
      <c r="AJ176">
        <v>-3.2399999999999998</v>
      </c>
      <c r="AK176">
        <v>2.2000000000000002</v>
      </c>
      <c r="AL176">
        <v>-9.5200000000000049</v>
      </c>
      <c r="AM176">
        <v>-4.8399999999999981</v>
      </c>
      <c r="AN176">
        <v>2.04</v>
      </c>
      <c r="AO176">
        <v>14.52</v>
      </c>
      <c r="AP176">
        <v>31</v>
      </c>
      <c r="AQ176">
        <v>-8.2017999999999986</v>
      </c>
      <c r="AR176">
        <v>-6.3022600000000004</v>
      </c>
      <c r="AS176">
        <v>-4.6800000000000068</v>
      </c>
      <c r="AT176">
        <v>8.2018000000000004</v>
      </c>
      <c r="AU176">
        <v>-0.44247500000000034</v>
      </c>
      <c r="AV176">
        <v>2.7249625000000006</v>
      </c>
      <c r="AW176">
        <v>2.3819000000000004</v>
      </c>
      <c r="AX176" t="s">
        <v>284</v>
      </c>
      <c r="AY176">
        <v>4</v>
      </c>
      <c r="AZ176">
        <v>8.1640000000000015</v>
      </c>
      <c r="BA176">
        <v>-12.313799999999999</v>
      </c>
      <c r="BB176">
        <v>-37.169999999999995</v>
      </c>
      <c r="BC176">
        <v>-1.1099999999999999</v>
      </c>
      <c r="BD176">
        <v>25.814000000000007</v>
      </c>
      <c r="BE176">
        <v>63.790000000000006</v>
      </c>
      <c r="BF176">
        <v>4.8899999999999988</v>
      </c>
      <c r="BG176">
        <v>16</v>
      </c>
      <c r="BH176">
        <v>14</v>
      </c>
      <c r="BI176">
        <v>3.4400000000000004</v>
      </c>
      <c r="BJ176">
        <v>10</v>
      </c>
      <c r="BK176">
        <v>13.25</v>
      </c>
      <c r="BL176">
        <v>9</v>
      </c>
      <c r="BM176">
        <v>-3.0167122108181364E-2</v>
      </c>
      <c r="BN176">
        <v>26</v>
      </c>
      <c r="BO176">
        <v>-2.0434255764417812E-2</v>
      </c>
      <c r="BP176">
        <v>6</v>
      </c>
      <c r="BQ176">
        <v>5.1759999999999993</v>
      </c>
      <c r="BR176">
        <v>12</v>
      </c>
      <c r="BS176">
        <v>-3.8800000000000003</v>
      </c>
      <c r="BT176">
        <v>0.31999999999999884</v>
      </c>
      <c r="BU176">
        <v>8.7200000000000006</v>
      </c>
      <c r="BV176">
        <v>-0.44000000000000006</v>
      </c>
      <c r="BW176">
        <v>-7.999999999999545E-2</v>
      </c>
      <c r="BX176">
        <v>35.480000000000004</v>
      </c>
      <c r="BY176">
        <v>-34.119999999999997</v>
      </c>
      <c r="BZ176">
        <v>1.3599999999999999</v>
      </c>
      <c r="CA176">
        <v>-2.8</v>
      </c>
      <c r="CB176">
        <v>1</v>
      </c>
      <c r="CC176">
        <v>20.477800000000002</v>
      </c>
      <c r="CD176">
        <v>12.952500000000001</v>
      </c>
      <c r="CE176">
        <v>69.599999999999994</v>
      </c>
      <c r="CF176">
        <v>3.0680250000000009</v>
      </c>
    </row>
    <row r="177" spans="1:84" x14ac:dyDescent="0.2">
      <c r="A177" s="39">
        <v>43779</v>
      </c>
      <c r="B177" s="22" t="s">
        <v>244</v>
      </c>
      <c r="C177" s="41" t="s">
        <v>295</v>
      </c>
      <c r="D177" s="22" t="s">
        <v>307</v>
      </c>
      <c r="E177">
        <v>10.9</v>
      </c>
      <c r="F177">
        <v>7.7</v>
      </c>
      <c r="G177">
        <v>6.3</v>
      </c>
      <c r="H177">
        <v>11.7</v>
      </c>
      <c r="I177">
        <v>14</v>
      </c>
      <c r="J177">
        <v>51.5</v>
      </c>
      <c r="K177" t="s">
        <v>109</v>
      </c>
      <c r="L177" s="1" t="s">
        <v>295</v>
      </c>
      <c r="M177">
        <v>9</v>
      </c>
      <c r="N177">
        <v>3.0727999999999982</v>
      </c>
      <c r="O177">
        <v>2.0649999999999986</v>
      </c>
      <c r="P177">
        <v>-6.0299999999999985</v>
      </c>
      <c r="Q177">
        <v>0.17999999999999994</v>
      </c>
      <c r="R177">
        <v>6.6240000000000006</v>
      </c>
      <c r="S177">
        <v>23</v>
      </c>
      <c r="T177">
        <v>1.8400000000000005</v>
      </c>
      <c r="U177">
        <v>4</v>
      </c>
      <c r="V177">
        <v>7</v>
      </c>
      <c r="W177">
        <v>-4.08</v>
      </c>
      <c r="X177">
        <v>14</v>
      </c>
      <c r="Y177">
        <v>14</v>
      </c>
      <c r="Z177">
        <v>7</v>
      </c>
      <c r="AA177">
        <v>4.0686899449590121E-2</v>
      </c>
      <c r="AB177">
        <v>9</v>
      </c>
      <c r="AC177">
        <v>8.5774395740100817E-3</v>
      </c>
      <c r="AD177">
        <v>26</v>
      </c>
      <c r="AE177">
        <v>6.3079999999999981</v>
      </c>
      <c r="AF177">
        <v>14</v>
      </c>
      <c r="AG177">
        <v>1.6400000000000001</v>
      </c>
      <c r="AH177">
        <v>1.2399999999999991</v>
      </c>
      <c r="AI177">
        <v>2.7599999999999993</v>
      </c>
      <c r="AJ177">
        <v>-1.48</v>
      </c>
      <c r="AK177">
        <v>21.280000000000008</v>
      </c>
      <c r="AL177">
        <v>31.920000000000005</v>
      </c>
      <c r="AM177">
        <v>-3.2399999999999975</v>
      </c>
      <c r="AN177">
        <v>0.31999999999999995</v>
      </c>
      <c r="AO177">
        <v>-7.7199999999999989</v>
      </c>
      <c r="AP177">
        <v>17</v>
      </c>
      <c r="AQ177">
        <v>1.0077999999999994</v>
      </c>
      <c r="AR177">
        <v>0.90686000000000067</v>
      </c>
      <c r="AS177">
        <v>35.160000000000004</v>
      </c>
      <c r="AT177">
        <v>-1.0077999999999996</v>
      </c>
      <c r="AU177">
        <v>1.6552249999999997</v>
      </c>
      <c r="AV177">
        <v>-0.55761249999999962</v>
      </c>
      <c r="AW177">
        <v>1.233225</v>
      </c>
      <c r="AX177" t="s">
        <v>307</v>
      </c>
      <c r="AY177">
        <v>18</v>
      </c>
      <c r="AZ177">
        <v>-6.0775999999999994</v>
      </c>
      <c r="BA177">
        <v>-4.3899999999999988</v>
      </c>
      <c r="BB177">
        <v>-5.1000000000000014</v>
      </c>
      <c r="BC177">
        <v>0.55000000000000027</v>
      </c>
      <c r="BD177">
        <v>-8.9600000000000009</v>
      </c>
      <c r="BE177">
        <v>-46.12</v>
      </c>
      <c r="BF177">
        <v>-0.35999999999999988</v>
      </c>
      <c r="BG177">
        <v>8</v>
      </c>
      <c r="BH177">
        <v>8.5</v>
      </c>
      <c r="BI177">
        <v>0.6399999999999999</v>
      </c>
      <c r="BJ177">
        <v>17</v>
      </c>
      <c r="BK177">
        <v>16</v>
      </c>
      <c r="BL177">
        <v>6</v>
      </c>
      <c r="BM177">
        <v>2.8169295768126757E-2</v>
      </c>
      <c r="BN177">
        <v>18</v>
      </c>
      <c r="BO177">
        <v>2.7441354763366082E-3</v>
      </c>
      <c r="BP177">
        <v>21</v>
      </c>
      <c r="BQ177">
        <v>-3.0640000000000014</v>
      </c>
      <c r="BR177">
        <v>19</v>
      </c>
      <c r="BS177">
        <v>-0.48000000000000009</v>
      </c>
      <c r="BT177">
        <v>-5.9600000000000009</v>
      </c>
      <c r="BU177">
        <v>-5.76</v>
      </c>
      <c r="BV177">
        <v>0.83999999999999986</v>
      </c>
      <c r="BW177">
        <v>-94.88</v>
      </c>
      <c r="BX177">
        <v>-64.84</v>
      </c>
      <c r="BY177">
        <v>-22.560000000000002</v>
      </c>
      <c r="BZ177">
        <v>5.76</v>
      </c>
      <c r="CA177">
        <v>-13.24</v>
      </c>
      <c r="CB177">
        <v>20</v>
      </c>
      <c r="CC177">
        <v>-1.6876000000000007</v>
      </c>
      <c r="CD177">
        <v>-0.81252000000000058</v>
      </c>
      <c r="CE177">
        <v>-42.28</v>
      </c>
      <c r="CF177">
        <v>-2.3484499999999993</v>
      </c>
    </row>
    <row r="178" spans="1:84" x14ac:dyDescent="0.2">
      <c r="A178" s="39">
        <v>43779</v>
      </c>
      <c r="B178" s="22" t="s">
        <v>244</v>
      </c>
      <c r="C178" s="41" t="s">
        <v>305</v>
      </c>
      <c r="D178" s="22" t="s">
        <v>272</v>
      </c>
      <c r="E178">
        <v>18</v>
      </c>
      <c r="F178">
        <v>3.2</v>
      </c>
      <c r="G178">
        <v>0</v>
      </c>
      <c r="H178">
        <f>23.3+11.8+4</f>
        <v>39.1</v>
      </c>
      <c r="I178">
        <v>-10.5</v>
      </c>
      <c r="J178">
        <v>44</v>
      </c>
      <c r="L178" s="1" t="s">
        <v>305</v>
      </c>
      <c r="M178">
        <v>2</v>
      </c>
      <c r="N178">
        <v>6.1575999999999995</v>
      </c>
      <c r="O178">
        <v>-2.0000000000000009</v>
      </c>
      <c r="P178">
        <v>-3.7600000000000042</v>
      </c>
      <c r="Q178">
        <v>-2.5200000000000005</v>
      </c>
      <c r="R178">
        <v>-1.0613333333333355</v>
      </c>
      <c r="S178">
        <v>-16.54666666666666</v>
      </c>
      <c r="T178">
        <v>-2.7066666666666652</v>
      </c>
      <c r="U178">
        <v>8</v>
      </c>
      <c r="V178">
        <v>8.5</v>
      </c>
      <c r="W178">
        <v>4.4400000000000004</v>
      </c>
      <c r="X178">
        <v>31</v>
      </c>
      <c r="Y178">
        <v>29.25</v>
      </c>
      <c r="Z178">
        <v>27</v>
      </c>
      <c r="AA178">
        <v>-1.6755866736370795E-2</v>
      </c>
      <c r="AB178">
        <v>31</v>
      </c>
      <c r="AC178">
        <v>-1.864633314740724E-3</v>
      </c>
      <c r="AD178">
        <v>27</v>
      </c>
      <c r="AE178">
        <v>17.432000000000002</v>
      </c>
      <c r="AF178">
        <v>32</v>
      </c>
      <c r="AG178">
        <v>-3.839999999999999</v>
      </c>
      <c r="AH178">
        <v>1.4210854715202005E-15</v>
      </c>
      <c r="AI178">
        <v>4.88</v>
      </c>
      <c r="AJ178">
        <v>3.7600000000000002</v>
      </c>
      <c r="AK178">
        <v>-14.160000000000014</v>
      </c>
      <c r="AL178">
        <v>-57.359999999999992</v>
      </c>
      <c r="AM178">
        <v>1.2799999999999983</v>
      </c>
      <c r="AN178">
        <v>-9</v>
      </c>
      <c r="AO178">
        <v>50.92</v>
      </c>
      <c r="AP178">
        <v>4</v>
      </c>
      <c r="AQ178">
        <v>8.1576000000000004</v>
      </c>
      <c r="AR178">
        <v>2.0192533333333333</v>
      </c>
      <c r="AS178">
        <v>-58.639999999999993</v>
      </c>
      <c r="AT178">
        <v>-8.1576000000000004</v>
      </c>
      <c r="AU178">
        <v>0.76203333333333301</v>
      </c>
      <c r="AV178">
        <v>-0.49357499999999987</v>
      </c>
      <c r="AW178">
        <v>-2.0768249999999999</v>
      </c>
      <c r="AX178" t="s">
        <v>272</v>
      </c>
      <c r="AY178">
        <v>10</v>
      </c>
      <c r="AZ178">
        <v>6.0583999999999989</v>
      </c>
      <c r="BA178">
        <v>-0.47299999999999831</v>
      </c>
      <c r="BB178">
        <v>14.75</v>
      </c>
      <c r="BC178">
        <v>-0.42999999999999994</v>
      </c>
      <c r="BD178">
        <v>2.1719999999999988</v>
      </c>
      <c r="BE178">
        <v>26.279999999999983</v>
      </c>
      <c r="BF178">
        <v>-2.9066666666666672</v>
      </c>
      <c r="BG178">
        <v>20</v>
      </c>
      <c r="BH178">
        <v>21</v>
      </c>
      <c r="BI178">
        <v>1.08</v>
      </c>
      <c r="BJ178">
        <v>22</v>
      </c>
      <c r="BK178">
        <v>18.25</v>
      </c>
      <c r="BL178">
        <v>13</v>
      </c>
      <c r="BM178">
        <v>-3.0530006037428246E-2</v>
      </c>
      <c r="BN178">
        <v>15</v>
      </c>
      <c r="BO178">
        <v>-2.7245205774960625E-2</v>
      </c>
      <c r="BP178">
        <v>19</v>
      </c>
      <c r="BQ178">
        <v>-5.923999999999995</v>
      </c>
      <c r="BR178">
        <v>26</v>
      </c>
      <c r="BS178">
        <v>-3.96</v>
      </c>
      <c r="BT178">
        <v>2.0400000000000005</v>
      </c>
      <c r="BU178">
        <v>3.2399999999999998</v>
      </c>
      <c r="BV178">
        <v>0.4799999999999997</v>
      </c>
      <c r="BW178">
        <v>88.879999999999981</v>
      </c>
      <c r="BX178">
        <v>40.360000000000007</v>
      </c>
      <c r="BY178">
        <v>22.68</v>
      </c>
      <c r="BZ178">
        <v>4.5999999999999996</v>
      </c>
      <c r="CA178">
        <v>21.240000000000002</v>
      </c>
      <c r="CB178">
        <v>3</v>
      </c>
      <c r="CC178">
        <v>6.531399999999997</v>
      </c>
      <c r="CD178">
        <v>1.8825799999999981</v>
      </c>
      <c r="CE178">
        <v>17.680000000000007</v>
      </c>
      <c r="CF178">
        <v>1.0896750000000002</v>
      </c>
    </row>
    <row r="179" spans="1:84" x14ac:dyDescent="0.2">
      <c r="A179" s="39">
        <v>43779</v>
      </c>
      <c r="B179" s="22" t="s">
        <v>244</v>
      </c>
      <c r="C179" s="41" t="s">
        <v>276</v>
      </c>
      <c r="D179" s="22" t="s">
        <v>281</v>
      </c>
      <c r="E179">
        <v>12.7</v>
      </c>
      <c r="F179">
        <v>11.4</v>
      </c>
      <c r="G179">
        <v>3.9</v>
      </c>
      <c r="H179">
        <v>9.5</v>
      </c>
      <c r="I179">
        <v>3</v>
      </c>
      <c r="J179">
        <v>42</v>
      </c>
      <c r="K179" t="s">
        <v>110</v>
      </c>
      <c r="L179" s="1" t="s">
        <v>276</v>
      </c>
      <c r="M179">
        <v>8</v>
      </c>
      <c r="N179">
        <v>3.1328000000000014</v>
      </c>
      <c r="O179">
        <v>-8.2240000000000002</v>
      </c>
      <c r="P179">
        <v>-24.959999999999997</v>
      </c>
      <c r="Q179">
        <v>-1.4000000000000001</v>
      </c>
      <c r="R179">
        <v>-3.6239999999999997</v>
      </c>
      <c r="S179">
        <v>-11.36</v>
      </c>
      <c r="T179">
        <v>-0.71999999999999964</v>
      </c>
      <c r="U179">
        <v>25</v>
      </c>
      <c r="V179">
        <v>23</v>
      </c>
      <c r="W179">
        <v>-2.0000000000000004</v>
      </c>
      <c r="X179">
        <v>24</v>
      </c>
      <c r="Y179">
        <v>20.75</v>
      </c>
      <c r="Z179">
        <v>25</v>
      </c>
      <c r="AA179">
        <v>-1.2758798067550514E-2</v>
      </c>
      <c r="AB179">
        <v>25</v>
      </c>
      <c r="AC179">
        <v>-3.6485535119917438E-3</v>
      </c>
      <c r="AD179">
        <v>5</v>
      </c>
      <c r="AE179">
        <v>-22.643999999999998</v>
      </c>
      <c r="AF179">
        <v>28</v>
      </c>
      <c r="AG179">
        <v>-1.6800000000000002</v>
      </c>
      <c r="AH179">
        <v>-3.12</v>
      </c>
      <c r="AI179">
        <v>-3.3600000000000003</v>
      </c>
      <c r="AJ179">
        <v>1.08</v>
      </c>
      <c r="AK179">
        <v>-39.08</v>
      </c>
      <c r="AL179">
        <v>-24</v>
      </c>
      <c r="AM179">
        <v>-28.159999999999997</v>
      </c>
      <c r="AN179">
        <v>-3.0800000000000005</v>
      </c>
      <c r="AO179">
        <v>16.16</v>
      </c>
      <c r="AP179">
        <v>2</v>
      </c>
      <c r="AQ179">
        <v>11.356800000000002</v>
      </c>
      <c r="AR179">
        <v>4.0137600000000004</v>
      </c>
      <c r="AS179">
        <v>4.1599999999999966</v>
      </c>
      <c r="AT179">
        <v>-11.356800000000002</v>
      </c>
      <c r="AU179">
        <v>-1.4343999999999997</v>
      </c>
      <c r="AV179">
        <v>0.26013749999999985</v>
      </c>
      <c r="AW179">
        <v>0.41299999999999976</v>
      </c>
      <c r="AX179" t="s">
        <v>281</v>
      </c>
      <c r="AY179">
        <v>11</v>
      </c>
      <c r="AZ179">
        <v>2.4471999999999983</v>
      </c>
      <c r="BA179">
        <v>2.2360000000000007</v>
      </c>
      <c r="BB179">
        <v>20.559999999999995</v>
      </c>
      <c r="BC179">
        <v>-0.92</v>
      </c>
      <c r="BD179">
        <v>-3.145</v>
      </c>
      <c r="BE179">
        <v>-13.180000000000001</v>
      </c>
      <c r="BF179">
        <v>-2.1900000000000004</v>
      </c>
      <c r="BG179">
        <v>29</v>
      </c>
      <c r="BH179">
        <v>27</v>
      </c>
      <c r="BI179">
        <v>0.76</v>
      </c>
      <c r="BJ179">
        <v>9</v>
      </c>
      <c r="BK179">
        <v>12.5</v>
      </c>
      <c r="BL179">
        <v>8</v>
      </c>
      <c r="BM179">
        <v>2.5066245895236643E-2</v>
      </c>
      <c r="BN179">
        <v>16</v>
      </c>
      <c r="BO179">
        <v>-2.1488701380310655E-3</v>
      </c>
      <c r="BP179">
        <v>7</v>
      </c>
      <c r="BQ179">
        <v>5.6</v>
      </c>
      <c r="BR179">
        <v>19</v>
      </c>
      <c r="BS179">
        <v>-3.2800000000000002</v>
      </c>
      <c r="BT179">
        <v>-1</v>
      </c>
      <c r="BU179">
        <v>1.6799999999999997</v>
      </c>
      <c r="BV179">
        <v>0.24000000000000013</v>
      </c>
      <c r="BW179">
        <v>28.639999999999997</v>
      </c>
      <c r="BX179">
        <v>1.6799999999999955</v>
      </c>
      <c r="BY179">
        <v>20.439999999999998</v>
      </c>
      <c r="BZ179">
        <v>5.32</v>
      </c>
      <c r="CA179">
        <v>1.2000000000000002</v>
      </c>
      <c r="CB179">
        <v>15</v>
      </c>
      <c r="CC179">
        <v>0.21119999999999761</v>
      </c>
      <c r="CD179">
        <v>-1.2575600000000007</v>
      </c>
      <c r="CE179">
        <v>-18.760000000000002</v>
      </c>
      <c r="CF179">
        <v>0.10727499999999997</v>
      </c>
    </row>
    <row r="180" spans="1:84" x14ac:dyDescent="0.2">
      <c r="A180" s="39">
        <v>43779</v>
      </c>
      <c r="B180" s="22" t="s">
        <v>244</v>
      </c>
      <c r="C180" s="41" t="s">
        <v>301</v>
      </c>
      <c r="D180" s="22" t="s">
        <v>300</v>
      </c>
      <c r="E180">
        <v>24</v>
      </c>
      <c r="F180">
        <v>13.5</v>
      </c>
      <c r="G180">
        <v>3.1</v>
      </c>
      <c r="H180">
        <v>17.8</v>
      </c>
      <c r="I180">
        <v>5</v>
      </c>
      <c r="J180">
        <v>49</v>
      </c>
      <c r="L180" s="1" t="s">
        <v>301</v>
      </c>
      <c r="M180">
        <v>30</v>
      </c>
      <c r="N180">
        <v>-5.0303999999999984</v>
      </c>
      <c r="O180">
        <v>14.714199999999998</v>
      </c>
      <c r="P180">
        <v>41.85</v>
      </c>
      <c r="Q180">
        <v>0.92999999999999972</v>
      </c>
      <c r="R180">
        <v>-7.1719999999999997</v>
      </c>
      <c r="S180">
        <v>-26.090000000000003</v>
      </c>
      <c r="T180">
        <v>1.45</v>
      </c>
      <c r="U180">
        <v>32</v>
      </c>
      <c r="V180">
        <v>31.5</v>
      </c>
      <c r="W180">
        <v>1.9999999999999996</v>
      </c>
      <c r="X180">
        <v>4</v>
      </c>
      <c r="Y180">
        <v>8.5</v>
      </c>
      <c r="Z180">
        <v>4</v>
      </c>
      <c r="AA180">
        <v>7.7824173438987175E-3</v>
      </c>
      <c r="AB180">
        <v>6</v>
      </c>
      <c r="AC180">
        <v>1.2815883339807243E-2</v>
      </c>
      <c r="AD180">
        <v>17</v>
      </c>
      <c r="AE180">
        <v>-4.5439999999999996</v>
      </c>
      <c r="AF180">
        <v>7</v>
      </c>
      <c r="AG180">
        <v>-0.16000000000000014</v>
      </c>
      <c r="AH180">
        <v>3.1599999999999993</v>
      </c>
      <c r="AI180">
        <v>2.36</v>
      </c>
      <c r="AJ180">
        <v>1.1599999999999999</v>
      </c>
      <c r="AK180">
        <v>5.9600000000000026</v>
      </c>
      <c r="AL180">
        <v>-28.28</v>
      </c>
      <c r="AM180">
        <v>42.480000000000004</v>
      </c>
      <c r="AN180">
        <v>3.6</v>
      </c>
      <c r="AO180">
        <v>-11.84</v>
      </c>
      <c r="AP180">
        <v>32</v>
      </c>
      <c r="AQ180">
        <v>-19.744599999999995</v>
      </c>
      <c r="AR180">
        <v>-9.79758</v>
      </c>
      <c r="AS180">
        <v>-70.760000000000005</v>
      </c>
      <c r="AT180">
        <v>19.744599999999998</v>
      </c>
      <c r="AU180">
        <v>0.18897499999999973</v>
      </c>
      <c r="AV180">
        <v>1.2423781250000006</v>
      </c>
      <c r="AW180">
        <v>1.7532000000000005</v>
      </c>
      <c r="AX180" t="s">
        <v>300</v>
      </c>
      <c r="AY180">
        <v>21</v>
      </c>
      <c r="AZ180">
        <v>-0.91279999999999895</v>
      </c>
      <c r="BA180">
        <v>-9.1999999999998749E-2</v>
      </c>
      <c r="BB180">
        <v>10.92</v>
      </c>
      <c r="BC180">
        <v>-1.3599999999999999</v>
      </c>
      <c r="BD180">
        <v>5.2172500000000035</v>
      </c>
      <c r="BE180">
        <v>44.152500000000003</v>
      </c>
      <c r="BF180">
        <v>-0.13999999999999979</v>
      </c>
      <c r="BG180">
        <v>6</v>
      </c>
      <c r="BH180">
        <v>5</v>
      </c>
      <c r="BI180">
        <v>-3.3200000000000003</v>
      </c>
      <c r="BJ180">
        <v>29</v>
      </c>
      <c r="BK180">
        <v>24</v>
      </c>
      <c r="BL180">
        <v>17</v>
      </c>
      <c r="BM180">
        <v>-5.3560739412721971E-2</v>
      </c>
      <c r="BN180">
        <v>23</v>
      </c>
      <c r="BO180">
        <v>8.5568622260432832E-3</v>
      </c>
      <c r="BP180">
        <v>27</v>
      </c>
      <c r="BQ180">
        <v>-3.2719999999999998</v>
      </c>
      <c r="BR180">
        <v>29</v>
      </c>
      <c r="BS180">
        <v>-0.4</v>
      </c>
      <c r="BT180">
        <v>0.4</v>
      </c>
      <c r="BU180">
        <v>1.2800000000000005</v>
      </c>
      <c r="BV180">
        <v>-1.4</v>
      </c>
      <c r="BW180">
        <v>50.4</v>
      </c>
      <c r="BX180">
        <v>31.160000000000004</v>
      </c>
      <c r="BY180">
        <v>16.119999999999997</v>
      </c>
      <c r="BZ180">
        <v>0.48000000000000026</v>
      </c>
      <c r="CA180">
        <v>2.6399999999999997</v>
      </c>
      <c r="CB180">
        <v>18</v>
      </c>
      <c r="CC180">
        <v>-0.8208000000000002</v>
      </c>
      <c r="CD180">
        <v>0.90689000000000031</v>
      </c>
      <c r="CE180">
        <v>15.040000000000006</v>
      </c>
      <c r="CF180">
        <v>0.73155625000000069</v>
      </c>
    </row>
    <row r="181" spans="1:84" x14ac:dyDescent="0.2">
      <c r="A181" s="39">
        <v>43779</v>
      </c>
      <c r="B181" s="22" t="s">
        <v>244</v>
      </c>
      <c r="C181" s="41" t="s">
        <v>265</v>
      </c>
      <c r="D181" s="22" t="s">
        <v>299</v>
      </c>
      <c r="E181">
        <v>14.6</v>
      </c>
      <c r="F181">
        <v>13.8</v>
      </c>
      <c r="G181">
        <v>1.7</v>
      </c>
      <c r="H181">
        <v>8.8000000000000007</v>
      </c>
      <c r="I181">
        <v>-6</v>
      </c>
      <c r="J181">
        <v>38</v>
      </c>
      <c r="L181" s="1" t="s">
        <v>265</v>
      </c>
      <c r="M181">
        <v>29</v>
      </c>
      <c r="N181">
        <v>-4.5792000000000002</v>
      </c>
      <c r="O181">
        <v>-2.4910000000000005</v>
      </c>
      <c r="P181">
        <v>-25.189999999999998</v>
      </c>
      <c r="Q181">
        <v>2.06</v>
      </c>
      <c r="R181">
        <v>-6.1040000000000001</v>
      </c>
      <c r="S181">
        <v>-23.28</v>
      </c>
      <c r="T181">
        <v>-0.55999999999999972</v>
      </c>
      <c r="U181">
        <v>30</v>
      </c>
      <c r="V181">
        <v>29.5</v>
      </c>
      <c r="W181">
        <v>-0.27999999999999997</v>
      </c>
      <c r="X181">
        <v>18</v>
      </c>
      <c r="Y181">
        <v>15.5</v>
      </c>
      <c r="Z181">
        <v>20</v>
      </c>
      <c r="AA181">
        <v>1.560854732544995E-2</v>
      </c>
      <c r="AB181">
        <v>11</v>
      </c>
      <c r="AC181">
        <v>2.6367696093076133E-2</v>
      </c>
      <c r="AD181">
        <v>20</v>
      </c>
      <c r="AE181">
        <v>-7.8320000000000025</v>
      </c>
      <c r="AF181">
        <v>11</v>
      </c>
      <c r="AG181">
        <v>0.55999999999999994</v>
      </c>
      <c r="AH181">
        <v>-3.5199999999999987</v>
      </c>
      <c r="AI181">
        <v>-4.5200000000000005</v>
      </c>
      <c r="AJ181">
        <v>0.83999999999999986</v>
      </c>
      <c r="AK181">
        <v>-66.11999999999999</v>
      </c>
      <c r="AL181">
        <v>-33.4</v>
      </c>
      <c r="AM181">
        <v>-23.96</v>
      </c>
      <c r="AN181">
        <v>-5.68</v>
      </c>
      <c r="AO181">
        <v>-3.08</v>
      </c>
      <c r="AP181">
        <v>18</v>
      </c>
      <c r="AQ181">
        <v>-2.0881999999999996</v>
      </c>
      <c r="AR181">
        <v>-0.8911399999999996</v>
      </c>
      <c r="AS181">
        <v>-9.4399999999999977</v>
      </c>
      <c r="AT181">
        <v>2.0881999999999996</v>
      </c>
      <c r="AU181">
        <v>-1.931775</v>
      </c>
      <c r="AV181">
        <v>0.70042500000000019</v>
      </c>
      <c r="AW181">
        <v>-0.83259999999999956</v>
      </c>
      <c r="AX181" t="s">
        <v>299</v>
      </c>
      <c r="AY181">
        <v>3</v>
      </c>
      <c r="AZ181">
        <v>5.4871999999999996</v>
      </c>
      <c r="BA181">
        <v>4.2044000000000015</v>
      </c>
      <c r="BB181">
        <v>23.799999999999997</v>
      </c>
      <c r="BC181">
        <v>-1.88</v>
      </c>
      <c r="BD181">
        <v>9.3359999999999985</v>
      </c>
      <c r="BE181">
        <v>28.800000000000004</v>
      </c>
      <c r="BF181">
        <v>1.1200000000000006</v>
      </c>
      <c r="BG181">
        <v>12</v>
      </c>
      <c r="BH181">
        <v>12.5</v>
      </c>
      <c r="BI181">
        <v>-0.8</v>
      </c>
      <c r="BJ181">
        <v>24</v>
      </c>
      <c r="BK181">
        <v>21</v>
      </c>
      <c r="BL181">
        <v>26</v>
      </c>
      <c r="BM181">
        <v>-1.3540330282671997E-2</v>
      </c>
      <c r="BN181">
        <v>23</v>
      </c>
      <c r="BO181">
        <v>-7.9522555368686833E-3</v>
      </c>
      <c r="BP181">
        <v>5</v>
      </c>
      <c r="BQ181">
        <v>3.7479999999999962</v>
      </c>
      <c r="BR181">
        <v>30</v>
      </c>
      <c r="BS181">
        <v>-2.3199999999999994</v>
      </c>
      <c r="BT181">
        <v>4.0000000000000018</v>
      </c>
      <c r="BU181">
        <v>5.32</v>
      </c>
      <c r="BV181">
        <v>-1.2</v>
      </c>
      <c r="BW181">
        <v>51.360000000000014</v>
      </c>
      <c r="BX181">
        <v>25.680000000000007</v>
      </c>
      <c r="BY181">
        <v>25.119999999999997</v>
      </c>
      <c r="BZ181">
        <v>3.84</v>
      </c>
      <c r="CA181">
        <v>-3.28</v>
      </c>
      <c r="CB181">
        <v>11</v>
      </c>
      <c r="CC181">
        <v>1.2827999999999982</v>
      </c>
      <c r="CD181">
        <v>0.86243999999999943</v>
      </c>
      <c r="CE181">
        <v>0.56000000000000938</v>
      </c>
      <c r="CF181">
        <v>2.2334499999999999</v>
      </c>
    </row>
    <row r="182" spans="1:84" x14ac:dyDescent="0.2">
      <c r="A182" s="39">
        <v>43779</v>
      </c>
      <c r="B182" s="28" t="s">
        <v>244</v>
      </c>
      <c r="C182" s="17" t="s">
        <v>272</v>
      </c>
      <c r="D182" s="28" t="s">
        <v>305</v>
      </c>
      <c r="E182" s="3">
        <v>12.2</v>
      </c>
      <c r="F182" s="3">
        <v>6.6</v>
      </c>
      <c r="G182" s="3">
        <v>1.9</v>
      </c>
      <c r="H182" s="3">
        <v>11.3</v>
      </c>
      <c r="I182" s="3">
        <v>10.5</v>
      </c>
      <c r="J182" s="3">
        <v>44</v>
      </c>
      <c r="K182" s="3"/>
      <c r="L182" s="1" t="s">
        <v>272</v>
      </c>
      <c r="M182">
        <v>17</v>
      </c>
      <c r="N182">
        <v>-0.16720000000000113</v>
      </c>
      <c r="O182">
        <v>-4.2808000000000002</v>
      </c>
      <c r="P182">
        <v>-15.599999999999998</v>
      </c>
      <c r="Q182">
        <v>-0.84</v>
      </c>
      <c r="R182">
        <v>0.95199999999999907</v>
      </c>
      <c r="S182">
        <v>19.760000000000005</v>
      </c>
      <c r="T182">
        <v>5.52</v>
      </c>
      <c r="U182">
        <v>12</v>
      </c>
      <c r="V182">
        <v>11.5</v>
      </c>
      <c r="W182">
        <v>-3.96</v>
      </c>
      <c r="X182">
        <v>10</v>
      </c>
      <c r="Y182">
        <v>12.75</v>
      </c>
      <c r="Z182">
        <v>13</v>
      </c>
      <c r="AA182">
        <v>-3.6277966185013416E-2</v>
      </c>
      <c r="AB182">
        <v>15</v>
      </c>
      <c r="AC182">
        <v>-8.0484146466201587E-3</v>
      </c>
      <c r="AD182">
        <v>11</v>
      </c>
      <c r="AE182">
        <v>-4.484</v>
      </c>
      <c r="AF182">
        <v>12</v>
      </c>
      <c r="AG182">
        <v>1.08</v>
      </c>
      <c r="AH182">
        <v>2.4799999999999995</v>
      </c>
      <c r="AI182">
        <v>-4.24</v>
      </c>
      <c r="AJ182">
        <v>8.8817841970012528E-17</v>
      </c>
      <c r="AK182">
        <v>-10.039999999999997</v>
      </c>
      <c r="AL182">
        <v>5.5200000000000049</v>
      </c>
      <c r="AM182">
        <v>-18.04</v>
      </c>
      <c r="AN182">
        <v>2.04</v>
      </c>
      <c r="AO182">
        <v>0.44000000000000022</v>
      </c>
      <c r="AP182">
        <v>11</v>
      </c>
      <c r="AQ182">
        <v>4.113599999999999</v>
      </c>
      <c r="AR182">
        <v>2.2973599999999998</v>
      </c>
      <c r="AS182">
        <v>23.560000000000002</v>
      </c>
      <c r="AT182">
        <v>-4.113599999999999</v>
      </c>
      <c r="AU182">
        <v>-0.49200000000000027</v>
      </c>
      <c r="AV182">
        <v>-0.49357499999999987</v>
      </c>
      <c r="AW182">
        <v>1.0896750000000002</v>
      </c>
      <c r="AX182" t="s">
        <v>305</v>
      </c>
      <c r="AY182">
        <v>32</v>
      </c>
      <c r="AZ182">
        <v>-5.0191999999999997</v>
      </c>
      <c r="BA182">
        <v>-5.7263999999999982</v>
      </c>
      <c r="BB182">
        <v>-17.68</v>
      </c>
      <c r="BC182">
        <v>-1.4</v>
      </c>
      <c r="BD182">
        <v>-6.2689999999999984</v>
      </c>
      <c r="BE182">
        <v>-28.18</v>
      </c>
      <c r="BF182">
        <v>0.65</v>
      </c>
      <c r="BG182">
        <v>23</v>
      </c>
      <c r="BH182">
        <v>22.5</v>
      </c>
      <c r="BI182">
        <v>-3.839999999999999</v>
      </c>
      <c r="BJ182">
        <v>5</v>
      </c>
      <c r="BK182">
        <v>9.75</v>
      </c>
      <c r="BL182">
        <v>15</v>
      </c>
      <c r="BM182">
        <v>1.1435172095658752E-2</v>
      </c>
      <c r="BN182">
        <v>8</v>
      </c>
      <c r="BO182">
        <v>-9.8586575028799753E-3</v>
      </c>
      <c r="BP182">
        <v>15</v>
      </c>
      <c r="BQ182">
        <v>-10.872</v>
      </c>
      <c r="BR182">
        <v>1</v>
      </c>
      <c r="BS182">
        <v>4.4400000000000004</v>
      </c>
      <c r="BT182">
        <v>-4.32</v>
      </c>
      <c r="BU182">
        <v>-4.08</v>
      </c>
      <c r="BV182">
        <v>-0.92000000000000015</v>
      </c>
      <c r="BW182">
        <v>-45.320000000000007</v>
      </c>
      <c r="BX182">
        <v>-30.280000000000008</v>
      </c>
      <c r="BY182">
        <v>-19.52</v>
      </c>
      <c r="BZ182">
        <v>1.6</v>
      </c>
      <c r="CA182">
        <v>2.88</v>
      </c>
      <c r="CB182">
        <v>14</v>
      </c>
      <c r="CC182">
        <v>0.70719999999999805</v>
      </c>
      <c r="CD182">
        <v>0.60555999999999965</v>
      </c>
      <c r="CE182">
        <v>-10.760000000000009</v>
      </c>
      <c r="CF182">
        <v>-2.0768249999999999</v>
      </c>
    </row>
    <row r="183" spans="1:84" x14ac:dyDescent="0.2">
      <c r="A183" s="39">
        <v>43779</v>
      </c>
      <c r="B183" s="22" t="s">
        <v>244</v>
      </c>
      <c r="C183" s="41" t="s">
        <v>281</v>
      </c>
      <c r="D183" s="22" t="s">
        <v>276</v>
      </c>
      <c r="E183">
        <v>10.7</v>
      </c>
      <c r="F183">
        <v>24.7</v>
      </c>
      <c r="G183">
        <v>7.7</v>
      </c>
      <c r="H183">
        <v>4.8</v>
      </c>
      <c r="I183">
        <v>-3</v>
      </c>
      <c r="J183">
        <v>42</v>
      </c>
      <c r="K183" t="s">
        <v>110</v>
      </c>
      <c r="L183" s="1" t="s">
        <v>281</v>
      </c>
      <c r="M183">
        <v>15</v>
      </c>
      <c r="N183">
        <v>0.23960000000000009</v>
      </c>
      <c r="O183">
        <v>3.3760000000000003</v>
      </c>
      <c r="P183">
        <v>23.92</v>
      </c>
      <c r="Q183">
        <v>1.44</v>
      </c>
      <c r="R183">
        <v>3.3159999999999972</v>
      </c>
      <c r="S183">
        <v>11.8</v>
      </c>
      <c r="T183">
        <v>2.2400000000000002</v>
      </c>
      <c r="U183">
        <v>4</v>
      </c>
      <c r="V183">
        <v>7</v>
      </c>
      <c r="W183">
        <v>-3.2800000000000002</v>
      </c>
      <c r="X183">
        <v>30</v>
      </c>
      <c r="Y183">
        <v>29</v>
      </c>
      <c r="Z183">
        <v>31</v>
      </c>
      <c r="AA183">
        <v>-2.3078384150267493E-2</v>
      </c>
      <c r="AB183">
        <v>30</v>
      </c>
      <c r="AC183">
        <v>-4.2080969707410723E-3</v>
      </c>
      <c r="AD183">
        <v>24</v>
      </c>
      <c r="AE183">
        <v>-1.5639999999999972</v>
      </c>
      <c r="AF183">
        <v>31</v>
      </c>
      <c r="AG183">
        <v>0.76</v>
      </c>
      <c r="AH183">
        <v>0.75999999999999945</v>
      </c>
      <c r="AI183">
        <v>0.28000000000000008</v>
      </c>
      <c r="AJ183">
        <v>-2.04</v>
      </c>
      <c r="AK183">
        <v>15.4</v>
      </c>
      <c r="AL183">
        <v>2.960000000000008</v>
      </c>
      <c r="AM183">
        <v>20.36</v>
      </c>
      <c r="AN183">
        <v>-3.7999999999999994</v>
      </c>
      <c r="AO183">
        <v>-4.12</v>
      </c>
      <c r="AP183">
        <v>22</v>
      </c>
      <c r="AQ183">
        <v>-3.1364000000000001</v>
      </c>
      <c r="AR183">
        <v>-0.97688000000000064</v>
      </c>
      <c r="AS183">
        <v>-17.399999999999991</v>
      </c>
      <c r="AT183">
        <v>3.1364000000000001</v>
      </c>
      <c r="AU183">
        <v>0.93144999999999989</v>
      </c>
      <c r="AV183">
        <v>0.26013749999999985</v>
      </c>
      <c r="AW183">
        <v>0.10727499999999997</v>
      </c>
      <c r="AX183" t="s">
        <v>276</v>
      </c>
      <c r="AY183">
        <v>24</v>
      </c>
      <c r="AZ183">
        <v>-0.18799999999999989</v>
      </c>
      <c r="BA183">
        <v>5.8840000000000003</v>
      </c>
      <c r="BB183">
        <v>32.56</v>
      </c>
      <c r="BC183">
        <v>0.6399999999999999</v>
      </c>
      <c r="BD183">
        <v>-1.8320000000000025</v>
      </c>
      <c r="BE183">
        <v>-5.6799999999999979</v>
      </c>
      <c r="BF183">
        <v>-2.4000000000000004</v>
      </c>
      <c r="BG183">
        <v>32</v>
      </c>
      <c r="BH183">
        <v>32</v>
      </c>
      <c r="BI183">
        <v>-1.6800000000000002</v>
      </c>
      <c r="BJ183">
        <v>7</v>
      </c>
      <c r="BK183">
        <v>12.25</v>
      </c>
      <c r="BL183">
        <v>24</v>
      </c>
      <c r="BM183">
        <v>-2.9424667121040306E-3</v>
      </c>
      <c r="BN183">
        <v>3</v>
      </c>
      <c r="BO183">
        <v>-4.4215036144920981E-3</v>
      </c>
      <c r="BP183">
        <v>17</v>
      </c>
      <c r="BQ183">
        <v>-0.92000000000000171</v>
      </c>
      <c r="BR183">
        <v>5</v>
      </c>
      <c r="BS183">
        <v>-2.0000000000000004</v>
      </c>
      <c r="BT183">
        <v>1.0399999999999991</v>
      </c>
      <c r="BU183">
        <v>1.3200000000000003</v>
      </c>
      <c r="BV183">
        <v>-0.6399999999999999</v>
      </c>
      <c r="BW183">
        <v>27.240000000000002</v>
      </c>
      <c r="BX183">
        <v>-4</v>
      </c>
      <c r="BY183">
        <v>30.919999999999998</v>
      </c>
      <c r="BZ183">
        <v>-1.8399999999999999</v>
      </c>
      <c r="CA183">
        <v>2.1599999999999997</v>
      </c>
      <c r="CB183">
        <v>26</v>
      </c>
      <c r="CC183">
        <v>-6.0720000000000001</v>
      </c>
      <c r="CD183">
        <v>-3.3460000000000005</v>
      </c>
      <c r="CE183">
        <v>-34.92</v>
      </c>
      <c r="CF183">
        <v>0.41299999999999976</v>
      </c>
    </row>
    <row r="184" spans="1:84" x14ac:dyDescent="0.2">
      <c r="A184" s="39">
        <v>43779</v>
      </c>
      <c r="B184" s="22" t="s">
        <v>244</v>
      </c>
      <c r="C184" s="41" t="s">
        <v>291</v>
      </c>
      <c r="D184" s="22" t="s">
        <v>312</v>
      </c>
      <c r="E184">
        <v>34.700000000000003</v>
      </c>
      <c r="F184">
        <v>17.600000000000001</v>
      </c>
      <c r="G184">
        <v>25.6</v>
      </c>
      <c r="H184">
        <f>6.5+3.7</f>
        <v>10.199999999999999</v>
      </c>
      <c r="I184">
        <v>-3.5</v>
      </c>
      <c r="J184">
        <v>48.5</v>
      </c>
      <c r="L184" s="1" t="s">
        <v>291</v>
      </c>
      <c r="M184">
        <v>4</v>
      </c>
      <c r="N184">
        <v>4.9191999999999991</v>
      </c>
      <c r="O184">
        <v>-0.11699999999999999</v>
      </c>
      <c r="P184">
        <v>21.090000000000003</v>
      </c>
      <c r="Q184">
        <v>-1.2299999999999998</v>
      </c>
      <c r="R184">
        <v>18.700500000000002</v>
      </c>
      <c r="S184">
        <v>92.112499999999997</v>
      </c>
      <c r="T184">
        <v>7.8800000000000008</v>
      </c>
      <c r="U184">
        <v>11</v>
      </c>
      <c r="V184">
        <v>9.5</v>
      </c>
      <c r="W184">
        <v>-0.23999999999999969</v>
      </c>
      <c r="X184">
        <v>26</v>
      </c>
      <c r="Y184">
        <v>22.25</v>
      </c>
      <c r="Z184">
        <v>18</v>
      </c>
      <c r="AA184">
        <v>5.560643233842881E-2</v>
      </c>
      <c r="AB184">
        <v>32</v>
      </c>
      <c r="AC184">
        <v>-3.7083501232900842E-2</v>
      </c>
      <c r="AD184">
        <v>16</v>
      </c>
      <c r="AE184">
        <v>7.3119999999999958</v>
      </c>
      <c r="AF184">
        <v>23</v>
      </c>
      <c r="AG184">
        <v>-4</v>
      </c>
      <c r="AH184">
        <v>5.9999999999999982</v>
      </c>
      <c r="AI184">
        <v>4.0399999999999991</v>
      </c>
      <c r="AJ184">
        <v>3.9999999999999994E-2</v>
      </c>
      <c r="AK184">
        <v>85.4</v>
      </c>
      <c r="AL184">
        <v>60.639999999999986</v>
      </c>
      <c r="AM184">
        <v>15.76</v>
      </c>
      <c r="AN184">
        <v>3.88</v>
      </c>
      <c r="AO184">
        <v>5.12</v>
      </c>
      <c r="AP184">
        <v>10</v>
      </c>
      <c r="AQ184">
        <v>5.0361999999999991</v>
      </c>
      <c r="AR184">
        <v>4.7824400000000011</v>
      </c>
      <c r="AS184">
        <v>44.879999999999988</v>
      </c>
      <c r="AT184">
        <v>-5.0361999999999991</v>
      </c>
      <c r="AU184">
        <v>3.2078375000000006</v>
      </c>
      <c r="AV184">
        <v>0.55797499999999989</v>
      </c>
      <c r="AW184">
        <v>-0.26125000000000037</v>
      </c>
      <c r="AX184" t="s">
        <v>312</v>
      </c>
      <c r="AY184">
        <v>7</v>
      </c>
      <c r="AZ184">
        <v>1.4576000000000007</v>
      </c>
      <c r="BA184">
        <v>0.52400000000000047</v>
      </c>
      <c r="BB184">
        <v>6.24</v>
      </c>
      <c r="BC184">
        <v>-0.48000000000000009</v>
      </c>
      <c r="BD184">
        <v>6.6759999999999993</v>
      </c>
      <c r="BE184">
        <v>16.200000000000006</v>
      </c>
      <c r="BF184">
        <v>5.68</v>
      </c>
      <c r="BG184">
        <v>11</v>
      </c>
      <c r="BH184">
        <v>12</v>
      </c>
      <c r="BI184">
        <v>-5.44</v>
      </c>
      <c r="BJ184">
        <v>7</v>
      </c>
      <c r="BK184">
        <v>12.25</v>
      </c>
      <c r="BL184">
        <v>19</v>
      </c>
      <c r="BM184">
        <v>1.9234712710372647E-2</v>
      </c>
      <c r="BN184">
        <v>13</v>
      </c>
      <c r="BO184">
        <v>9.0903818360350171E-3</v>
      </c>
      <c r="BP184">
        <v>1</v>
      </c>
      <c r="BQ184">
        <v>-17.284000000000002</v>
      </c>
      <c r="BR184">
        <v>16</v>
      </c>
      <c r="BS184">
        <v>-0.31999999999999973</v>
      </c>
      <c r="BT184">
        <v>-0.56000000000000227</v>
      </c>
      <c r="BU184">
        <v>1.3999999999999997</v>
      </c>
      <c r="BV184">
        <v>-1.6799999999999997</v>
      </c>
      <c r="BW184">
        <v>24.32</v>
      </c>
      <c r="BX184">
        <v>24.919999999999998</v>
      </c>
      <c r="BY184">
        <v>6.3199999999999985</v>
      </c>
      <c r="BZ184">
        <v>-2.4</v>
      </c>
      <c r="CA184">
        <v>-4.5200000000000005</v>
      </c>
      <c r="CB184">
        <v>13</v>
      </c>
      <c r="CC184">
        <v>0.93360000000000021</v>
      </c>
      <c r="CD184">
        <v>1.3647199999999999</v>
      </c>
      <c r="CE184">
        <v>18.600000000000001</v>
      </c>
      <c r="CF184">
        <v>1.3772000000000002</v>
      </c>
    </row>
    <row r="185" spans="1:84" x14ac:dyDescent="0.2">
      <c r="A185" s="39">
        <v>43779</v>
      </c>
      <c r="B185" s="22" t="s">
        <v>244</v>
      </c>
      <c r="C185" s="41" t="s">
        <v>299</v>
      </c>
      <c r="D185" s="22" t="s">
        <v>265</v>
      </c>
      <c r="E185">
        <v>14.7</v>
      </c>
      <c r="F185">
        <v>12.7</v>
      </c>
      <c r="G185">
        <v>6.9</v>
      </c>
      <c r="H185">
        <f>7.7+3.9</f>
        <v>11.6</v>
      </c>
      <c r="I185">
        <v>6</v>
      </c>
      <c r="J185">
        <v>38</v>
      </c>
      <c r="L185" s="4" t="s">
        <v>299</v>
      </c>
      <c r="M185" s="3">
        <v>6</v>
      </c>
      <c r="N185" s="3">
        <v>3.8008000000000011</v>
      </c>
      <c r="O185">
        <v>-7.9880000000000013</v>
      </c>
      <c r="P185">
        <v>-35.67</v>
      </c>
      <c r="Q185">
        <v>1.03</v>
      </c>
      <c r="R185">
        <v>8.9419999999999966</v>
      </c>
      <c r="S185">
        <v>39.849999999999994</v>
      </c>
      <c r="T185">
        <v>2.1500000000000004</v>
      </c>
      <c r="U185">
        <v>23</v>
      </c>
      <c r="V185">
        <v>22.5</v>
      </c>
      <c r="W185">
        <v>-2.3199999999999994</v>
      </c>
      <c r="X185">
        <v>5</v>
      </c>
      <c r="Y185">
        <v>9</v>
      </c>
      <c r="Z185">
        <v>6</v>
      </c>
      <c r="AA185">
        <v>5.0837549520596839E-2</v>
      </c>
      <c r="AB185">
        <v>12</v>
      </c>
      <c r="AC185">
        <v>-4.9129936961431891E-4</v>
      </c>
      <c r="AD185">
        <v>9</v>
      </c>
      <c r="AE185">
        <v>0.81999999999999884</v>
      </c>
      <c r="AF185">
        <v>9</v>
      </c>
      <c r="AG185">
        <v>-0.8</v>
      </c>
      <c r="AH185">
        <v>0.92000000000000026</v>
      </c>
      <c r="AI185">
        <v>-1.0400000000000005</v>
      </c>
      <c r="AJ185">
        <v>0.12</v>
      </c>
      <c r="AK185">
        <v>5.3199999999999932</v>
      </c>
      <c r="AL185">
        <v>48.199999999999989</v>
      </c>
      <c r="AM185">
        <v>-36.239999999999995</v>
      </c>
      <c r="AN185">
        <v>-1.2</v>
      </c>
      <c r="AO185">
        <v>-5.4399999999999995</v>
      </c>
      <c r="AP185">
        <v>1</v>
      </c>
      <c r="AQ185">
        <v>11.788800000000002</v>
      </c>
      <c r="AR185">
        <v>6.5425599999999999</v>
      </c>
      <c r="AS185">
        <v>84.439999999999984</v>
      </c>
      <c r="AT185">
        <v>-11.788800000000002</v>
      </c>
      <c r="AU185">
        <v>0.73434999999999984</v>
      </c>
      <c r="AV185">
        <v>0.70042500000000019</v>
      </c>
      <c r="AW185">
        <v>2.2334499999999999</v>
      </c>
      <c r="AX185" t="s">
        <v>265</v>
      </c>
      <c r="AY185">
        <v>29</v>
      </c>
      <c r="AZ185">
        <v>-2.399999999999999</v>
      </c>
      <c r="BA185">
        <v>0.35920000000000041</v>
      </c>
      <c r="BB185">
        <v>6.6400000000000006</v>
      </c>
      <c r="BC185">
        <v>-1.5999999999999996</v>
      </c>
      <c r="BD185">
        <v>-4.379999999999999</v>
      </c>
      <c r="BE185">
        <v>-6.5999999999999943</v>
      </c>
      <c r="BF185">
        <v>2.2500000000000004</v>
      </c>
      <c r="BG185">
        <v>15</v>
      </c>
      <c r="BH185">
        <v>13</v>
      </c>
      <c r="BI185">
        <v>0.55999999999999994</v>
      </c>
      <c r="BJ185">
        <v>32</v>
      </c>
      <c r="BK185">
        <v>29.25</v>
      </c>
      <c r="BL185">
        <v>28</v>
      </c>
      <c r="BM185">
        <v>-4.4517409564758165E-2</v>
      </c>
      <c r="BN185">
        <v>29</v>
      </c>
      <c r="BO185">
        <v>-9.4807369723878369E-3</v>
      </c>
      <c r="BP185">
        <v>29</v>
      </c>
      <c r="BQ185">
        <v>1.7319999999999993</v>
      </c>
      <c r="BR185">
        <v>31</v>
      </c>
      <c r="BS185">
        <v>-0.27999999999999997</v>
      </c>
      <c r="BT185">
        <v>4.3599999999999977</v>
      </c>
      <c r="BU185">
        <v>0.43999999999999984</v>
      </c>
      <c r="BV185">
        <v>-1.0799999999999998</v>
      </c>
      <c r="BW185">
        <v>-24.199999999999989</v>
      </c>
      <c r="BX185">
        <v>-35.32</v>
      </c>
      <c r="BY185">
        <v>9.32</v>
      </c>
      <c r="BZ185">
        <v>-2.3199999999999998</v>
      </c>
      <c r="CA185">
        <v>4.1199999999999992</v>
      </c>
      <c r="CB185">
        <v>23</v>
      </c>
      <c r="CC185">
        <v>-2.759199999999999</v>
      </c>
      <c r="CD185">
        <v>-1.5355999999999994</v>
      </c>
      <c r="CE185">
        <v>-44.64</v>
      </c>
      <c r="CF185">
        <v>-0.83259999999999956</v>
      </c>
    </row>
    <row r="186" spans="1:84" x14ac:dyDescent="0.2">
      <c r="A186" s="39">
        <v>43779</v>
      </c>
      <c r="B186" s="22" t="s">
        <v>244</v>
      </c>
      <c r="C186" s="41" t="s">
        <v>300</v>
      </c>
      <c r="D186" s="22" t="s">
        <v>301</v>
      </c>
      <c r="E186">
        <v>21.8</v>
      </c>
      <c r="F186">
        <v>5.7</v>
      </c>
      <c r="G186">
        <v>4.3</v>
      </c>
      <c r="H186">
        <v>7.9</v>
      </c>
      <c r="I186">
        <v>-5</v>
      </c>
      <c r="J186">
        <v>49</v>
      </c>
      <c r="L186" s="1" t="s">
        <v>300</v>
      </c>
      <c r="M186">
        <v>7</v>
      </c>
      <c r="N186">
        <v>3.7248000000000006</v>
      </c>
      <c r="O186">
        <v>11.5124</v>
      </c>
      <c r="P186">
        <v>-7.3599999999999994</v>
      </c>
      <c r="Q186">
        <v>4.04</v>
      </c>
      <c r="R186">
        <v>-7.5679999999999996</v>
      </c>
      <c r="S186">
        <v>-11.519999999999996</v>
      </c>
      <c r="T186">
        <v>-3.68</v>
      </c>
      <c r="U186">
        <v>31</v>
      </c>
      <c r="V186">
        <v>31</v>
      </c>
      <c r="W186">
        <v>-0.4</v>
      </c>
      <c r="X186">
        <v>16</v>
      </c>
      <c r="Y186">
        <v>14.5</v>
      </c>
      <c r="Z186">
        <v>17</v>
      </c>
      <c r="AA186">
        <v>-3.6591674581538815E-2</v>
      </c>
      <c r="AB186">
        <v>14</v>
      </c>
      <c r="AC186">
        <v>-7.2249624499932264E-3</v>
      </c>
      <c r="AD186">
        <v>3</v>
      </c>
      <c r="AE186">
        <v>14.747999999999999</v>
      </c>
      <c r="AF186">
        <v>24</v>
      </c>
      <c r="AG186">
        <v>-3.3200000000000003</v>
      </c>
      <c r="AH186">
        <v>-3.5599999999999996</v>
      </c>
      <c r="AI186">
        <v>4.28</v>
      </c>
      <c r="AJ186">
        <v>-0.27999999999999997</v>
      </c>
      <c r="AK186">
        <v>13.240000000000009</v>
      </c>
      <c r="AL186">
        <v>28.72</v>
      </c>
      <c r="AM186">
        <v>-10.48</v>
      </c>
      <c r="AN186">
        <v>-3.0799999999999996</v>
      </c>
      <c r="AO186">
        <v>-1.92</v>
      </c>
      <c r="AP186">
        <v>29</v>
      </c>
      <c r="AQ186">
        <v>-7.7875999999999994</v>
      </c>
      <c r="AR186">
        <v>-6.5248399999999993</v>
      </c>
      <c r="AS186">
        <v>39.200000000000003</v>
      </c>
      <c r="AT186">
        <v>7.7875999999999994</v>
      </c>
      <c r="AU186">
        <v>1.0986500000000001</v>
      </c>
      <c r="AV186">
        <v>1.2423781250000006</v>
      </c>
      <c r="AW186">
        <v>0.73155625000000069</v>
      </c>
      <c r="AX186" t="s">
        <v>301</v>
      </c>
      <c r="AY186">
        <v>14</v>
      </c>
      <c r="AZ186">
        <v>0.46159999999999923</v>
      </c>
      <c r="BA186">
        <v>6.9400000000000013</v>
      </c>
      <c r="BB186">
        <v>19</v>
      </c>
      <c r="BC186">
        <v>-1.56</v>
      </c>
      <c r="BD186">
        <v>7.8240000000000016</v>
      </c>
      <c r="BE186">
        <v>47.12</v>
      </c>
      <c r="BF186">
        <v>3.1199999999999992</v>
      </c>
      <c r="BG186">
        <v>10</v>
      </c>
      <c r="BH186">
        <v>11.5</v>
      </c>
      <c r="BI186">
        <v>-0.16000000000000014</v>
      </c>
      <c r="BJ186">
        <v>18</v>
      </c>
      <c r="BK186">
        <v>16.25</v>
      </c>
      <c r="BL186">
        <v>18</v>
      </c>
      <c r="BM186">
        <v>-2.6091785233425126E-2</v>
      </c>
      <c r="BN186">
        <v>16</v>
      </c>
      <c r="BO186">
        <v>5.60386769240377E-3</v>
      </c>
      <c r="BP186">
        <v>8</v>
      </c>
      <c r="BQ186">
        <v>-5.38</v>
      </c>
      <c r="BR186">
        <v>23</v>
      </c>
      <c r="BS186">
        <v>1.9999999999999996</v>
      </c>
      <c r="BT186">
        <v>1.4</v>
      </c>
      <c r="BU186">
        <v>8.4</v>
      </c>
      <c r="BV186">
        <v>-0.55999999999999994</v>
      </c>
      <c r="BW186">
        <v>66.64</v>
      </c>
      <c r="BX186">
        <v>32.44</v>
      </c>
      <c r="BY186">
        <v>31.320000000000004</v>
      </c>
      <c r="BZ186">
        <v>2</v>
      </c>
      <c r="CA186">
        <v>0.87999999999999967</v>
      </c>
      <c r="CB186">
        <v>30</v>
      </c>
      <c r="CC186">
        <v>-6.4784000000000024</v>
      </c>
      <c r="CD186">
        <v>-1.8128800000000003</v>
      </c>
      <c r="CE186">
        <v>1.1199999999999939</v>
      </c>
      <c r="CF186">
        <v>1.7532000000000005</v>
      </c>
    </row>
    <row r="187" spans="1:84" x14ac:dyDescent="0.2">
      <c r="A187" s="39">
        <v>43779</v>
      </c>
      <c r="B187" s="28" t="s">
        <v>244</v>
      </c>
      <c r="C187" s="41" t="s">
        <v>289</v>
      </c>
      <c r="D187" s="28" t="s">
        <v>293</v>
      </c>
      <c r="E187" s="3"/>
      <c r="F187" s="3">
        <v>5.0999999999999996</v>
      </c>
      <c r="G187" s="3">
        <v>1.9</v>
      </c>
      <c r="H187" s="3">
        <f>13.4+10.6</f>
        <v>24</v>
      </c>
      <c r="I187">
        <v>-11</v>
      </c>
      <c r="J187">
        <v>44.5</v>
      </c>
      <c r="K187" t="s">
        <v>110</v>
      </c>
      <c r="L187" s="1" t="s">
        <v>289</v>
      </c>
      <c r="M187">
        <v>19</v>
      </c>
      <c r="N187">
        <v>-0.84320000000000017</v>
      </c>
      <c r="O187">
        <v>-2.0796000000000001</v>
      </c>
      <c r="P187">
        <v>13.719999999999999</v>
      </c>
      <c r="Q187">
        <v>-1.36</v>
      </c>
      <c r="R187">
        <v>2.0080000000000009</v>
      </c>
      <c r="S187">
        <v>-1.4399999999999942</v>
      </c>
      <c r="T187">
        <v>-1.7199999999999995</v>
      </c>
      <c r="U187">
        <v>19</v>
      </c>
      <c r="V187">
        <v>19.5</v>
      </c>
      <c r="W187">
        <v>0.87999999999999989</v>
      </c>
      <c r="X187">
        <v>3</v>
      </c>
      <c r="Y187">
        <v>7.75</v>
      </c>
      <c r="Z187">
        <v>4</v>
      </c>
      <c r="AA187">
        <v>0.10009669115890515</v>
      </c>
      <c r="AB187">
        <v>8</v>
      </c>
      <c r="AC187">
        <v>3.9521205152000526E-4</v>
      </c>
      <c r="AD187">
        <v>13</v>
      </c>
      <c r="AE187">
        <v>7.4960000000000022</v>
      </c>
      <c r="AF187">
        <v>6</v>
      </c>
      <c r="AG187">
        <v>-0.59999999999999964</v>
      </c>
      <c r="AH187">
        <v>3</v>
      </c>
      <c r="AI187">
        <v>0.6400000000000009</v>
      </c>
      <c r="AJ187">
        <v>-0.6399999999999999</v>
      </c>
      <c r="AK187">
        <v>7.880000000000007</v>
      </c>
      <c r="AL187">
        <v>-18.080000000000002</v>
      </c>
      <c r="AM187">
        <v>21.840000000000003</v>
      </c>
      <c r="AN187">
        <v>5.76</v>
      </c>
      <c r="AO187">
        <v>-1.6400000000000006</v>
      </c>
      <c r="AP187">
        <v>15</v>
      </c>
      <c r="AQ187">
        <v>1.2363999999999997</v>
      </c>
      <c r="AR187">
        <v>1.2727600000000001</v>
      </c>
      <c r="AS187">
        <v>-39.92</v>
      </c>
      <c r="AT187">
        <v>-1.2363999999999999</v>
      </c>
      <c r="AU187">
        <v>-9.3499999999998584E-3</v>
      </c>
      <c r="AV187">
        <v>0.24352499999999999</v>
      </c>
      <c r="AW187">
        <v>-0.95724999999999993</v>
      </c>
      <c r="AX187" t="s">
        <v>293</v>
      </c>
      <c r="AY187">
        <v>2</v>
      </c>
      <c r="AZ187">
        <v>1.024799999999999</v>
      </c>
      <c r="BA187">
        <v>2.2576000000000009</v>
      </c>
      <c r="BB187">
        <v>24.439999999999998</v>
      </c>
      <c r="BC187">
        <v>8.0000000000000071E-2</v>
      </c>
      <c r="BD187">
        <v>5.7519999999999989</v>
      </c>
      <c r="BE187">
        <v>14.080000000000002</v>
      </c>
      <c r="BF187">
        <v>3.6400000000000006</v>
      </c>
      <c r="BG187">
        <v>1</v>
      </c>
      <c r="BH187">
        <v>1.5</v>
      </c>
      <c r="BI187">
        <v>0.76000000000000012</v>
      </c>
      <c r="BJ187">
        <v>31</v>
      </c>
      <c r="BK187">
        <v>29</v>
      </c>
      <c r="BL187">
        <v>29</v>
      </c>
      <c r="BM187">
        <v>-5.8930359512332262E-2</v>
      </c>
      <c r="BN187">
        <v>32</v>
      </c>
      <c r="BO187">
        <v>-3.4165538160251439E-2</v>
      </c>
      <c r="BP187">
        <v>30</v>
      </c>
      <c r="BQ187">
        <v>-1.2479999999999962</v>
      </c>
      <c r="BR187">
        <v>25</v>
      </c>
      <c r="BS187">
        <v>-3.3200000000000003</v>
      </c>
      <c r="BT187">
        <v>3.080000000000001</v>
      </c>
      <c r="BU187">
        <v>3.0000000000000004</v>
      </c>
      <c r="BV187">
        <v>7.9999999999999891E-2</v>
      </c>
      <c r="BW187">
        <v>37.760000000000005</v>
      </c>
      <c r="BX187">
        <v>18.8</v>
      </c>
      <c r="BY187">
        <v>27.320000000000004</v>
      </c>
      <c r="BZ187">
        <v>-5.0400000000000009</v>
      </c>
      <c r="CA187">
        <v>-3.3200000000000003</v>
      </c>
      <c r="CB187">
        <v>19</v>
      </c>
      <c r="CC187">
        <v>-1.2328000000000017</v>
      </c>
      <c r="CD187">
        <v>0.22655999999999921</v>
      </c>
      <c r="CE187">
        <v>-8.5200000000000031</v>
      </c>
      <c r="CF187">
        <v>1.4442999999999999</v>
      </c>
    </row>
    <row r="188" spans="1:84" x14ac:dyDescent="0.2">
      <c r="A188" s="39">
        <v>43779</v>
      </c>
      <c r="B188" s="22" t="s">
        <v>244</v>
      </c>
      <c r="C188" s="41" t="s">
        <v>288</v>
      </c>
      <c r="D188" s="22" t="s">
        <v>310</v>
      </c>
      <c r="E188">
        <v>36</v>
      </c>
      <c r="F188">
        <v>13.3</v>
      </c>
      <c r="G188">
        <v>10.1</v>
      </c>
      <c r="H188">
        <v>22.2</v>
      </c>
      <c r="I188">
        <v>-5</v>
      </c>
      <c r="J188">
        <v>49</v>
      </c>
      <c r="L188" s="4" t="s">
        <v>288</v>
      </c>
      <c r="M188" s="3">
        <v>13</v>
      </c>
      <c r="N188" s="3">
        <v>0.82399999999999918</v>
      </c>
      <c r="O188">
        <v>-3.085</v>
      </c>
      <c r="P188">
        <v>-1.2300000000000011</v>
      </c>
      <c r="Q188">
        <v>-2.1900000000000004</v>
      </c>
      <c r="R188">
        <v>3.2959999999999989</v>
      </c>
      <c r="S188">
        <v>12.950000000000003</v>
      </c>
      <c r="T188">
        <v>0.41000000000000048</v>
      </c>
      <c r="U188">
        <v>15</v>
      </c>
      <c r="V188">
        <v>14.5</v>
      </c>
      <c r="W188">
        <v>1.7599999999999998</v>
      </c>
      <c r="X188">
        <v>29</v>
      </c>
      <c r="Y188">
        <v>25</v>
      </c>
      <c r="Z188">
        <v>26</v>
      </c>
      <c r="AA188">
        <v>-5.4039157212903775E-2</v>
      </c>
      <c r="AB188">
        <v>23</v>
      </c>
      <c r="AC188">
        <v>-3.1736584970451622E-3</v>
      </c>
      <c r="AD188">
        <v>25</v>
      </c>
      <c r="AE188">
        <v>7.6240000000000023</v>
      </c>
      <c r="AF188">
        <v>26</v>
      </c>
      <c r="AG188">
        <v>-2.12</v>
      </c>
      <c r="AH188">
        <v>-5.44</v>
      </c>
      <c r="AI188">
        <v>3.0799999999999996</v>
      </c>
      <c r="AJ188">
        <v>0.48000000000000009</v>
      </c>
      <c r="AK188">
        <v>-8.1199999999999939</v>
      </c>
      <c r="AL188">
        <v>-1.5200000000000102</v>
      </c>
      <c r="AM188">
        <v>-1.3999999999999986</v>
      </c>
      <c r="AN188">
        <v>1.6</v>
      </c>
      <c r="AO188">
        <v>-6.8</v>
      </c>
      <c r="AP188">
        <v>12</v>
      </c>
      <c r="AQ188">
        <v>3.9089999999999994</v>
      </c>
      <c r="AR188">
        <v>2.3664999999999994</v>
      </c>
      <c r="AS188">
        <v>-0.12000000000001165</v>
      </c>
      <c r="AT188">
        <v>-3.9089999999999989</v>
      </c>
      <c r="AU188">
        <v>0.20937499999999967</v>
      </c>
      <c r="AV188">
        <v>-0.61262500000000009</v>
      </c>
      <c r="AW188">
        <v>-1.2677</v>
      </c>
      <c r="AX188" t="s">
        <v>310</v>
      </c>
      <c r="AY188">
        <v>11</v>
      </c>
      <c r="AZ188">
        <v>3.3236000000000003</v>
      </c>
      <c r="BA188">
        <v>-0.74400000000000066</v>
      </c>
      <c r="BB188">
        <v>-11.399999999999999</v>
      </c>
      <c r="BC188">
        <v>0.3600000000000001</v>
      </c>
      <c r="BD188">
        <v>-2.8000000000000007</v>
      </c>
      <c r="BE188">
        <v>-11.120000000000001</v>
      </c>
      <c r="BF188">
        <v>-2.08</v>
      </c>
      <c r="BG188">
        <v>3</v>
      </c>
      <c r="BH188">
        <v>3.5</v>
      </c>
      <c r="BI188">
        <v>3.96</v>
      </c>
      <c r="BJ188">
        <v>15</v>
      </c>
      <c r="BK188">
        <v>15.75</v>
      </c>
      <c r="BL188">
        <v>16</v>
      </c>
      <c r="BM188">
        <v>3.3596238614569021E-2</v>
      </c>
      <c r="BN188">
        <v>21</v>
      </c>
      <c r="BO188">
        <v>-2.1773822270562012E-2</v>
      </c>
      <c r="BP188">
        <v>13</v>
      </c>
      <c r="BQ188">
        <v>-2.5</v>
      </c>
      <c r="BR188">
        <v>13</v>
      </c>
      <c r="BS188">
        <v>-2.16</v>
      </c>
      <c r="BT188">
        <v>2.8</v>
      </c>
      <c r="BU188">
        <v>-3.9999999999999855E-2</v>
      </c>
      <c r="BV188">
        <v>-0.64</v>
      </c>
      <c r="BW188">
        <v>-0.2</v>
      </c>
      <c r="BX188">
        <v>10.95999999999999</v>
      </c>
      <c r="BY188">
        <v>-14.799999999999997</v>
      </c>
      <c r="BZ188">
        <v>-2.08</v>
      </c>
      <c r="CA188">
        <v>5.7200000000000006</v>
      </c>
      <c r="CB188">
        <v>6</v>
      </c>
      <c r="CC188">
        <v>4.0676000000000005</v>
      </c>
      <c r="CD188">
        <v>0.47672000000000025</v>
      </c>
      <c r="CE188">
        <v>25.759999999999987</v>
      </c>
      <c r="CF188">
        <v>4.2449999999999821E-2</v>
      </c>
    </row>
    <row r="189" spans="1:84" x14ac:dyDescent="0.2">
      <c r="A189" s="39">
        <v>43779</v>
      </c>
      <c r="B189" s="22" t="s">
        <v>244</v>
      </c>
      <c r="C189" s="41" t="s">
        <v>303</v>
      </c>
      <c r="D189" s="22" t="s">
        <v>287</v>
      </c>
      <c r="E189">
        <v>5.5</v>
      </c>
      <c r="F189">
        <v>8.1999999999999993</v>
      </c>
      <c r="G189">
        <v>2</v>
      </c>
      <c r="H189">
        <v>7</v>
      </c>
      <c r="I189">
        <v>1</v>
      </c>
      <c r="J189">
        <v>49</v>
      </c>
      <c r="L189" s="1" t="s">
        <v>303</v>
      </c>
      <c r="M189">
        <v>22</v>
      </c>
      <c r="N189">
        <v>-2.0384000000000011</v>
      </c>
      <c r="O189">
        <v>2.9879999999999982</v>
      </c>
      <c r="P189">
        <v>18.649999999999999</v>
      </c>
      <c r="Q189">
        <v>-5.0000000000000044E-2</v>
      </c>
      <c r="R189">
        <v>-3.1300000000000017</v>
      </c>
      <c r="S189">
        <v>-27.510000000000012</v>
      </c>
      <c r="T189">
        <v>-3.0500000000000003</v>
      </c>
      <c r="U189">
        <v>19</v>
      </c>
      <c r="V189">
        <v>19.5</v>
      </c>
      <c r="W189">
        <v>0.64000000000000024</v>
      </c>
      <c r="X189">
        <v>19</v>
      </c>
      <c r="Y189">
        <v>17.25</v>
      </c>
      <c r="Z189">
        <v>14</v>
      </c>
      <c r="AA189">
        <v>-5.3930569344292675E-2</v>
      </c>
      <c r="AB189">
        <v>21</v>
      </c>
      <c r="AC189">
        <v>-2.6245175946971566E-2</v>
      </c>
      <c r="AD189">
        <v>32</v>
      </c>
      <c r="AE189">
        <v>18.78</v>
      </c>
      <c r="AF189">
        <v>2</v>
      </c>
      <c r="AG189">
        <v>-3.2</v>
      </c>
      <c r="AH189">
        <v>-1.3200000000000003</v>
      </c>
      <c r="AI189">
        <v>1.6000000000000008</v>
      </c>
      <c r="AJ189">
        <v>0.95999999999999974</v>
      </c>
      <c r="AK189">
        <v>19.520000000000003</v>
      </c>
      <c r="AL189">
        <v>-2.1600000000000135</v>
      </c>
      <c r="AM189">
        <v>24.8</v>
      </c>
      <c r="AN189">
        <v>2.84</v>
      </c>
      <c r="AO189">
        <v>-5.96</v>
      </c>
      <c r="AP189">
        <v>26</v>
      </c>
      <c r="AQ189">
        <v>-5.0263999999999989</v>
      </c>
      <c r="AR189">
        <v>-2.5276799999999997</v>
      </c>
      <c r="AS189">
        <v>-26.960000000000015</v>
      </c>
      <c r="AT189">
        <v>5.0263999999999989</v>
      </c>
      <c r="AU189">
        <v>-0.31755000000000033</v>
      </c>
      <c r="AV189">
        <v>0.31630000000000014</v>
      </c>
      <c r="AW189">
        <v>1.3752000000000004</v>
      </c>
      <c r="AX189" t="s">
        <v>287</v>
      </c>
      <c r="AY189">
        <v>26</v>
      </c>
      <c r="AZ189">
        <v>-2.6624000000000003</v>
      </c>
      <c r="BA189">
        <v>3.5415999999999994</v>
      </c>
      <c r="BB189">
        <v>28.4</v>
      </c>
      <c r="BC189">
        <v>-0.72</v>
      </c>
      <c r="BD189">
        <v>-8.02</v>
      </c>
      <c r="BE189">
        <v>-31.8</v>
      </c>
      <c r="BF189">
        <v>-3.9600000000000004</v>
      </c>
      <c r="BG189">
        <v>3</v>
      </c>
      <c r="BH189">
        <v>3.5</v>
      </c>
      <c r="BI189">
        <v>-1.1199999999999997</v>
      </c>
      <c r="BJ189">
        <v>25</v>
      </c>
      <c r="BK189">
        <v>21.5</v>
      </c>
      <c r="BL189">
        <v>20</v>
      </c>
      <c r="BM189">
        <v>-1.5040928549718635E-2</v>
      </c>
      <c r="BN189">
        <v>25</v>
      </c>
      <c r="BO189">
        <v>-1.4132125181737749E-2</v>
      </c>
      <c r="BP189">
        <v>18</v>
      </c>
      <c r="BQ189">
        <v>-7.2759999999999989</v>
      </c>
      <c r="BR189">
        <v>23</v>
      </c>
      <c r="BS189">
        <v>-0.68000000000000027</v>
      </c>
      <c r="BT189">
        <v>0.72000000000000031</v>
      </c>
      <c r="BU189">
        <v>-2.2399999999999998</v>
      </c>
      <c r="BV189">
        <v>0.27999999999999997</v>
      </c>
      <c r="BW189">
        <v>10.880000000000006</v>
      </c>
      <c r="BX189">
        <v>-17.159999999999997</v>
      </c>
      <c r="BY189">
        <v>28.160000000000004</v>
      </c>
      <c r="BZ189">
        <v>0.72</v>
      </c>
      <c r="CA189">
        <v>-0.83999999999999986</v>
      </c>
      <c r="CB189">
        <v>27</v>
      </c>
      <c r="CC189">
        <v>-6.2039999999999997</v>
      </c>
      <c r="CD189">
        <v>-3.9072799999999992</v>
      </c>
      <c r="CE189">
        <v>-45.32</v>
      </c>
      <c r="CF189">
        <v>-0.74260000000000015</v>
      </c>
    </row>
    <row r="190" spans="1:84" x14ac:dyDescent="0.2">
      <c r="A190" s="39">
        <v>43779</v>
      </c>
      <c r="B190" s="22" t="s">
        <v>244</v>
      </c>
      <c r="C190" s="41" t="s">
        <v>287</v>
      </c>
      <c r="D190" s="22" t="s">
        <v>303</v>
      </c>
      <c r="E190">
        <v>16.600000000000001</v>
      </c>
      <c r="F190">
        <v>7.5</v>
      </c>
      <c r="G190">
        <v>0</v>
      </c>
      <c r="H190">
        <v>13</v>
      </c>
      <c r="I190">
        <v>-1</v>
      </c>
      <c r="J190">
        <v>49</v>
      </c>
      <c r="L190" s="1" t="s">
        <v>287</v>
      </c>
      <c r="M190">
        <v>20</v>
      </c>
      <c r="N190">
        <v>-1.2671999999999992</v>
      </c>
      <c r="O190">
        <v>6.9159999999999968</v>
      </c>
      <c r="P190">
        <v>-21.47</v>
      </c>
      <c r="Q190">
        <v>4.3099999999999996</v>
      </c>
      <c r="R190">
        <v>-6.5900000000000025</v>
      </c>
      <c r="S190">
        <v>-12.269999999999996</v>
      </c>
      <c r="T190">
        <v>-1.7299999999999993</v>
      </c>
      <c r="U190">
        <v>4</v>
      </c>
      <c r="V190">
        <v>7</v>
      </c>
      <c r="W190">
        <v>-0.68000000000000027</v>
      </c>
      <c r="X190">
        <v>10</v>
      </c>
      <c r="Y190">
        <v>12.75</v>
      </c>
      <c r="Z190">
        <v>24</v>
      </c>
      <c r="AA190">
        <v>1.093744639398409E-2</v>
      </c>
      <c r="AB190">
        <v>12</v>
      </c>
      <c r="AC190">
        <v>-3.1902072279750011E-2</v>
      </c>
      <c r="AD190">
        <v>7</v>
      </c>
      <c r="AE190">
        <v>-3.9999999999992038E-3</v>
      </c>
      <c r="AF190">
        <v>8</v>
      </c>
      <c r="AG190">
        <v>-1.1199999999999997</v>
      </c>
      <c r="AH190">
        <v>-6.08</v>
      </c>
      <c r="AI190">
        <v>-1.92</v>
      </c>
      <c r="AJ190">
        <v>0.32</v>
      </c>
      <c r="AK190">
        <v>-20.6</v>
      </c>
      <c r="AL190">
        <v>18.119999999999997</v>
      </c>
      <c r="AM190">
        <v>-23.04</v>
      </c>
      <c r="AN190">
        <v>-1.6800000000000002</v>
      </c>
      <c r="AO190">
        <v>-14</v>
      </c>
      <c r="AP190">
        <v>30</v>
      </c>
      <c r="AQ190">
        <v>-8.1831999999999958</v>
      </c>
      <c r="AR190">
        <v>-5.0294399999999992</v>
      </c>
      <c r="AS190">
        <v>41.16</v>
      </c>
      <c r="AT190">
        <v>8.1831999999999958</v>
      </c>
      <c r="AU190">
        <v>-9.7650000000000403E-2</v>
      </c>
      <c r="AV190">
        <v>0.31630000000000014</v>
      </c>
      <c r="AW190">
        <v>-0.74260000000000015</v>
      </c>
      <c r="AX190" t="s">
        <v>303</v>
      </c>
      <c r="AY190">
        <v>13</v>
      </c>
      <c r="AZ190">
        <v>5.5055999999999994</v>
      </c>
      <c r="BA190">
        <v>-0.47599999999999953</v>
      </c>
      <c r="BB190">
        <v>-5.4</v>
      </c>
      <c r="BC190">
        <v>-1.5599999999999996</v>
      </c>
      <c r="BD190">
        <v>8.2120000000000033</v>
      </c>
      <c r="BE190">
        <v>27.08</v>
      </c>
      <c r="BF190">
        <v>2.12</v>
      </c>
      <c r="BG190">
        <v>27</v>
      </c>
      <c r="BH190">
        <v>25.5</v>
      </c>
      <c r="BI190">
        <v>-3.2</v>
      </c>
      <c r="BJ190">
        <v>10</v>
      </c>
      <c r="BK190">
        <v>13.25</v>
      </c>
      <c r="BL190">
        <v>12</v>
      </c>
      <c r="BM190">
        <v>2.8620976853145862E-2</v>
      </c>
      <c r="BN190">
        <v>11</v>
      </c>
      <c r="BO190">
        <v>1.8972995743218618E-2</v>
      </c>
      <c r="BP190">
        <v>12</v>
      </c>
      <c r="BQ190">
        <v>-1.7839999999999976</v>
      </c>
      <c r="BR190">
        <v>18</v>
      </c>
      <c r="BS190">
        <v>0.64000000000000024</v>
      </c>
      <c r="BT190">
        <v>-0.15999999999999942</v>
      </c>
      <c r="BU190">
        <v>4.3599999999999994</v>
      </c>
      <c r="BV190">
        <v>-1.1199999999999999</v>
      </c>
      <c r="BW190">
        <v>32.760000000000005</v>
      </c>
      <c r="BX190">
        <v>32.64</v>
      </c>
      <c r="BY190">
        <v>-3.7199999999999989</v>
      </c>
      <c r="BZ190">
        <v>4.5200000000000005</v>
      </c>
      <c r="CA190">
        <v>-0.67999999999999938</v>
      </c>
      <c r="CB190">
        <v>4</v>
      </c>
      <c r="CC190">
        <v>5.9815999999999985</v>
      </c>
      <c r="CD190">
        <v>2.9815200000000006</v>
      </c>
      <c r="CE190">
        <v>36.36</v>
      </c>
      <c r="CF190">
        <v>1.3752000000000004</v>
      </c>
    </row>
    <row r="191" spans="1:84" x14ac:dyDescent="0.2">
      <c r="A191" s="39">
        <v>43779</v>
      </c>
      <c r="B191" s="22" t="s">
        <v>244</v>
      </c>
      <c r="C191" s="41" t="s">
        <v>304</v>
      </c>
      <c r="D191" s="22" t="s">
        <v>309</v>
      </c>
      <c r="E191" s="14">
        <v>0</v>
      </c>
      <c r="F191">
        <v>16.5</v>
      </c>
      <c r="G191">
        <v>7.9</v>
      </c>
      <c r="H191">
        <f>14.8+5.2+1.9</f>
        <v>21.9</v>
      </c>
      <c r="I191">
        <v>-4</v>
      </c>
      <c r="J191">
        <v>43</v>
      </c>
      <c r="K191" t="s">
        <v>110</v>
      </c>
      <c r="L191" s="1" t="s">
        <v>304</v>
      </c>
      <c r="M191">
        <v>27</v>
      </c>
      <c r="N191">
        <v>-4.3488000000000016</v>
      </c>
      <c r="O191">
        <v>-5.3760000000000012</v>
      </c>
      <c r="P191">
        <v>-10.920000000000002</v>
      </c>
      <c r="Q191">
        <v>-1.2400000000000004</v>
      </c>
      <c r="R191">
        <v>7.395999999999999</v>
      </c>
      <c r="S191">
        <v>47.56</v>
      </c>
      <c r="T191">
        <v>7.5600000000000005</v>
      </c>
      <c r="U191">
        <v>16</v>
      </c>
      <c r="V191">
        <v>15.5</v>
      </c>
      <c r="W191">
        <v>3.5599999999999996</v>
      </c>
      <c r="X191">
        <v>23</v>
      </c>
      <c r="Y191">
        <v>20.5</v>
      </c>
      <c r="Z191">
        <v>32</v>
      </c>
      <c r="AA191">
        <v>1.6062355010023333E-2</v>
      </c>
      <c r="AB191">
        <v>29</v>
      </c>
      <c r="AC191">
        <v>-1.8271563851232735E-2</v>
      </c>
      <c r="AD191">
        <v>8</v>
      </c>
      <c r="AE191">
        <v>-16.255999999999997</v>
      </c>
      <c r="AF191">
        <v>13</v>
      </c>
      <c r="AG191">
        <v>-0.72</v>
      </c>
      <c r="AH191">
        <v>0.16000000000000086</v>
      </c>
      <c r="AI191">
        <v>-3.4799999999999995</v>
      </c>
      <c r="AJ191">
        <v>0.44000000000000006</v>
      </c>
      <c r="AK191">
        <v>-22.04000000000001</v>
      </c>
      <c r="AL191">
        <v>15.680000000000007</v>
      </c>
      <c r="AM191">
        <v>-13.040000000000001</v>
      </c>
      <c r="AN191">
        <v>6.6800000000000015</v>
      </c>
      <c r="AO191">
        <v>-31.360000000000003</v>
      </c>
      <c r="AP191">
        <v>16</v>
      </c>
      <c r="AQ191">
        <v>1.0271999999999994</v>
      </c>
      <c r="AR191">
        <v>3.2974400000000004</v>
      </c>
      <c r="AS191">
        <v>28.720000000000006</v>
      </c>
      <c r="AT191">
        <v>-1.0271999999999997</v>
      </c>
      <c r="AU191">
        <v>-0.39110000000000034</v>
      </c>
      <c r="AV191">
        <v>-1.1518999999999997</v>
      </c>
      <c r="AW191">
        <v>-1.3088499999999992</v>
      </c>
      <c r="AX191" t="s">
        <v>309</v>
      </c>
      <c r="AY191">
        <v>31</v>
      </c>
      <c r="AZ191">
        <v>-3.1476000000000011</v>
      </c>
      <c r="BA191">
        <v>-6.3159999999999989</v>
      </c>
      <c r="BB191">
        <v>-11.12</v>
      </c>
      <c r="BC191">
        <v>-0.92000000000000015</v>
      </c>
      <c r="BD191">
        <v>3.5439999999999992</v>
      </c>
      <c r="BE191">
        <v>-2.000000000000004</v>
      </c>
      <c r="BF191">
        <v>1.9466666666666665</v>
      </c>
      <c r="BG191">
        <v>30</v>
      </c>
      <c r="BH191">
        <v>27.5</v>
      </c>
      <c r="BI191">
        <v>-1.28</v>
      </c>
      <c r="BJ191">
        <v>1</v>
      </c>
      <c r="BK191">
        <v>5.25</v>
      </c>
      <c r="BL191">
        <v>2</v>
      </c>
      <c r="BM191">
        <v>7.8838823260693039E-2</v>
      </c>
      <c r="BN191">
        <v>1</v>
      </c>
      <c r="BO191">
        <v>4.1244940367669729E-2</v>
      </c>
      <c r="BP191">
        <v>16</v>
      </c>
      <c r="BQ191">
        <v>-3.1679999999999966</v>
      </c>
      <c r="BR191">
        <v>2</v>
      </c>
      <c r="BS191">
        <v>8.9999999999999982</v>
      </c>
      <c r="BT191">
        <v>1.4</v>
      </c>
      <c r="BU191">
        <v>-3.44</v>
      </c>
      <c r="BV191">
        <v>-0.36000000000000015</v>
      </c>
      <c r="BW191">
        <v>-25.360000000000003</v>
      </c>
      <c r="BX191">
        <v>-8.3199999999999932</v>
      </c>
      <c r="BY191">
        <v>-13.719999999999999</v>
      </c>
      <c r="BZ191">
        <v>0.95999999999999974</v>
      </c>
      <c r="CA191">
        <v>-4.2799999999999994</v>
      </c>
      <c r="CB191">
        <v>7</v>
      </c>
      <c r="CC191">
        <v>3.1683999999999979</v>
      </c>
      <c r="CD191">
        <v>3.2372799999999988</v>
      </c>
      <c r="CE191">
        <v>5.4000000000000057</v>
      </c>
      <c r="CF191">
        <v>-0.99495000000000022</v>
      </c>
    </row>
    <row r="192" spans="1:84" x14ac:dyDescent="0.2">
      <c r="A192" s="39">
        <v>43779</v>
      </c>
      <c r="B192" s="22" t="s">
        <v>244</v>
      </c>
      <c r="C192" s="41" t="s">
        <v>293</v>
      </c>
      <c r="D192" s="22" t="s">
        <v>289</v>
      </c>
      <c r="E192">
        <v>11.9</v>
      </c>
      <c r="F192">
        <v>5.2</v>
      </c>
      <c r="G192">
        <v>3.5</v>
      </c>
      <c r="H192">
        <f>4.8+1.8</f>
        <v>6.6</v>
      </c>
      <c r="I192">
        <v>11</v>
      </c>
      <c r="J192">
        <v>44.5</v>
      </c>
      <c r="K192" t="s">
        <v>110</v>
      </c>
      <c r="L192" s="1" t="s">
        <v>293</v>
      </c>
      <c r="M192">
        <v>14</v>
      </c>
      <c r="N192">
        <v>0.5991999999999994</v>
      </c>
      <c r="O192">
        <v>-6.7799999999999994</v>
      </c>
      <c r="P192">
        <v>-22.439999999999994</v>
      </c>
      <c r="Q192">
        <v>0.99999999999999978</v>
      </c>
      <c r="R192">
        <v>-2.516</v>
      </c>
      <c r="S192">
        <v>-10.6</v>
      </c>
      <c r="T192">
        <v>0.68000000000000038</v>
      </c>
      <c r="U192">
        <v>13</v>
      </c>
      <c r="V192">
        <v>12</v>
      </c>
      <c r="W192">
        <v>-3.3200000000000003</v>
      </c>
      <c r="X192">
        <v>16</v>
      </c>
      <c r="Y192">
        <v>14.5</v>
      </c>
      <c r="Z192">
        <v>12</v>
      </c>
      <c r="AA192">
        <v>3.4493755995173847E-3</v>
      </c>
      <c r="AB192">
        <v>10</v>
      </c>
      <c r="AC192">
        <v>-6.3704847837137927E-3</v>
      </c>
      <c r="AD192">
        <v>14</v>
      </c>
      <c r="AE192">
        <v>2.2919999999999989</v>
      </c>
      <c r="AF192">
        <v>22</v>
      </c>
      <c r="AG192">
        <v>0.76000000000000012</v>
      </c>
      <c r="AH192">
        <v>-0.95999999999999797</v>
      </c>
      <c r="AI192">
        <v>-1.2799999999999998</v>
      </c>
      <c r="AJ192">
        <v>-0.48000000000000009</v>
      </c>
      <c r="AK192">
        <v>-35.679999999999993</v>
      </c>
      <c r="AL192">
        <v>-6.199999999999994</v>
      </c>
      <c r="AM192">
        <v>-25.24</v>
      </c>
      <c r="AN192">
        <v>-2.3600000000000003</v>
      </c>
      <c r="AO192">
        <v>-1.8800000000000003</v>
      </c>
      <c r="AP192">
        <v>6</v>
      </c>
      <c r="AQ192">
        <v>7.3791999999999991</v>
      </c>
      <c r="AR192">
        <v>3.0066399999999995</v>
      </c>
      <c r="AS192">
        <v>19.040000000000006</v>
      </c>
      <c r="AT192">
        <v>-7.3791999999999991</v>
      </c>
      <c r="AU192">
        <v>-1.3721000000000001</v>
      </c>
      <c r="AV192">
        <v>0.24352499999999999</v>
      </c>
      <c r="AW192">
        <v>1.4442999999999999</v>
      </c>
      <c r="AX192" t="s">
        <v>289</v>
      </c>
      <c r="AY192">
        <v>25</v>
      </c>
      <c r="AZ192">
        <v>-2.3596000000000004</v>
      </c>
      <c r="BA192">
        <v>-3.9183999999999997</v>
      </c>
      <c r="BB192">
        <v>-25.08</v>
      </c>
      <c r="BC192">
        <v>0.55999999999999983</v>
      </c>
      <c r="BD192">
        <v>-3.54</v>
      </c>
      <c r="BE192">
        <v>6.0800000000000018</v>
      </c>
      <c r="BF192">
        <v>-0.52</v>
      </c>
      <c r="BG192">
        <v>5</v>
      </c>
      <c r="BH192">
        <v>4.5</v>
      </c>
      <c r="BI192">
        <v>-0.59999999999999964</v>
      </c>
      <c r="BJ192">
        <v>28</v>
      </c>
      <c r="BK192">
        <v>23</v>
      </c>
      <c r="BL192">
        <v>27</v>
      </c>
      <c r="BM192">
        <v>5.2152986537197091E-2</v>
      </c>
      <c r="BN192">
        <v>18</v>
      </c>
      <c r="BO192">
        <v>7.664536553447442E-3</v>
      </c>
      <c r="BP192">
        <v>26</v>
      </c>
      <c r="BQ192">
        <v>-0.47599999999999909</v>
      </c>
      <c r="BR192">
        <v>21</v>
      </c>
      <c r="BS192">
        <v>0.87999999999999989</v>
      </c>
      <c r="BT192">
        <v>-0.43999999999999917</v>
      </c>
      <c r="BU192">
        <v>-4.3600000000000003</v>
      </c>
      <c r="BV192">
        <v>-7.9999999999999988E-2</v>
      </c>
      <c r="BW192">
        <v>-27.240000000000009</v>
      </c>
      <c r="BX192">
        <v>-4.3200000000000047</v>
      </c>
      <c r="BY192">
        <v>-25.240000000000002</v>
      </c>
      <c r="BZ192">
        <v>-1</v>
      </c>
      <c r="CA192">
        <v>3.3200000000000003</v>
      </c>
      <c r="CB192">
        <v>10</v>
      </c>
      <c r="CC192">
        <v>1.5587999999999993</v>
      </c>
      <c r="CD192">
        <v>0.77927999999999975</v>
      </c>
      <c r="CE192">
        <v>20.919999999999998</v>
      </c>
      <c r="CF192">
        <v>-0.95724999999999993</v>
      </c>
    </row>
    <row r="193" spans="1:84" x14ac:dyDescent="0.2">
      <c r="A193" s="39">
        <v>43779</v>
      </c>
      <c r="B193" s="22" t="s">
        <v>244</v>
      </c>
      <c r="C193" s="41" t="s">
        <v>312</v>
      </c>
      <c r="D193" s="22" t="s">
        <v>291</v>
      </c>
      <c r="E193" s="3">
        <v>7.9</v>
      </c>
      <c r="F193">
        <v>4.5</v>
      </c>
      <c r="G193">
        <v>2</v>
      </c>
      <c r="H193">
        <f>19.4+8.4</f>
        <v>27.799999999999997</v>
      </c>
      <c r="I193">
        <v>3.5</v>
      </c>
      <c r="J193">
        <v>48.5</v>
      </c>
      <c r="L193" s="1" t="s">
        <v>312</v>
      </c>
      <c r="M193">
        <v>5</v>
      </c>
      <c r="N193">
        <v>4.4951999999999996</v>
      </c>
      <c r="O193">
        <v>2.5864000000000011</v>
      </c>
      <c r="P193">
        <v>27.88</v>
      </c>
      <c r="Q193">
        <v>-0.83999999999999975</v>
      </c>
      <c r="R193">
        <v>15.731999999999999</v>
      </c>
      <c r="S193">
        <v>58.52000000000001</v>
      </c>
      <c r="T193">
        <v>1.5200000000000005</v>
      </c>
      <c r="U193">
        <v>26</v>
      </c>
      <c r="V193">
        <v>25</v>
      </c>
      <c r="W193">
        <v>-0.31999999999999973</v>
      </c>
      <c r="X193">
        <v>28</v>
      </c>
      <c r="Y193">
        <v>24.5</v>
      </c>
      <c r="Z193">
        <v>22</v>
      </c>
      <c r="AA193">
        <v>1.2431762360654441E-2</v>
      </c>
      <c r="AB193">
        <v>27</v>
      </c>
      <c r="AC193">
        <v>-2.9209728561713215E-2</v>
      </c>
      <c r="AD193">
        <v>22</v>
      </c>
      <c r="AE193">
        <v>15.215999999999998</v>
      </c>
      <c r="AF193">
        <v>27</v>
      </c>
      <c r="AG193">
        <v>-5.44</v>
      </c>
      <c r="AH193">
        <v>1.5200000000000018</v>
      </c>
      <c r="AI193">
        <v>6.5600000000000005</v>
      </c>
      <c r="AJ193">
        <v>-0.8</v>
      </c>
      <c r="AK193">
        <v>76.600000000000009</v>
      </c>
      <c r="AL193">
        <v>53.759999999999991</v>
      </c>
      <c r="AM193">
        <v>31.720000000000006</v>
      </c>
      <c r="AN193">
        <v>1.24</v>
      </c>
      <c r="AO193">
        <v>-10.119999999999999</v>
      </c>
      <c r="AP193">
        <v>14</v>
      </c>
      <c r="AQ193">
        <v>1.9087999999999987</v>
      </c>
      <c r="AR193">
        <v>2.7522399999999996</v>
      </c>
      <c r="AS193">
        <v>22.039999999999985</v>
      </c>
      <c r="AT193">
        <v>-1.9087999999999985</v>
      </c>
      <c r="AU193">
        <v>3.1967000000000008</v>
      </c>
      <c r="AV193">
        <v>0.55797499999999989</v>
      </c>
      <c r="AW193">
        <v>1.3772000000000002</v>
      </c>
      <c r="AX193" t="s">
        <v>291</v>
      </c>
      <c r="AY193">
        <v>19</v>
      </c>
      <c r="AZ193">
        <v>-3.2944000000000004</v>
      </c>
      <c r="BA193">
        <v>2.9763999999999999</v>
      </c>
      <c r="BB193">
        <v>2.7999999999999994</v>
      </c>
      <c r="BC193">
        <v>0.92000000000000026</v>
      </c>
      <c r="BD193">
        <v>-2.4920000000000027</v>
      </c>
      <c r="BE193">
        <v>-6.6399999999999988</v>
      </c>
      <c r="BF193">
        <v>-0.83999999999999964</v>
      </c>
      <c r="BG193">
        <v>7</v>
      </c>
      <c r="BH193">
        <v>7</v>
      </c>
      <c r="BI193">
        <v>-4</v>
      </c>
      <c r="BJ193">
        <v>15</v>
      </c>
      <c r="BK193">
        <v>15.75</v>
      </c>
      <c r="BL193">
        <v>7</v>
      </c>
      <c r="BM193">
        <v>-3.5023574975489137E-3</v>
      </c>
      <c r="BN193">
        <v>7</v>
      </c>
      <c r="BO193">
        <v>-3.8916349313731597E-3</v>
      </c>
      <c r="BP193">
        <v>28</v>
      </c>
      <c r="BQ193">
        <v>6.5479999999999965</v>
      </c>
      <c r="BR193">
        <v>21</v>
      </c>
      <c r="BS193">
        <v>-0.23999999999999969</v>
      </c>
      <c r="BT193">
        <v>0.32000000000000028</v>
      </c>
      <c r="BU193">
        <v>0.88000000000000045</v>
      </c>
      <c r="BV193">
        <v>-1.56</v>
      </c>
      <c r="BW193">
        <v>-9.4</v>
      </c>
      <c r="BX193">
        <v>-9.5599999999999969</v>
      </c>
      <c r="BY193">
        <v>-3.0400000000000018</v>
      </c>
      <c r="BZ193">
        <v>0.52000000000000013</v>
      </c>
      <c r="CA193">
        <v>2.6800000000000006</v>
      </c>
      <c r="CB193">
        <v>28</v>
      </c>
      <c r="CC193">
        <v>-6.2708000000000013</v>
      </c>
      <c r="CD193">
        <v>-2.6454800000000009</v>
      </c>
      <c r="CE193">
        <v>-6.5199999999999951</v>
      </c>
      <c r="CF193">
        <v>-0.26125000000000037</v>
      </c>
    </row>
    <row r="194" spans="1:84" x14ac:dyDescent="0.2">
      <c r="A194" s="39">
        <v>43779</v>
      </c>
      <c r="B194" s="22" t="s">
        <v>244</v>
      </c>
      <c r="C194" s="41" t="s">
        <v>307</v>
      </c>
      <c r="D194" s="22" t="s">
        <v>295</v>
      </c>
      <c r="E194">
        <v>31.2</v>
      </c>
      <c r="F194">
        <v>2.2999999999999998</v>
      </c>
      <c r="G194">
        <v>0.5</v>
      </c>
      <c r="H194">
        <v>13.4</v>
      </c>
      <c r="I194">
        <v>-14</v>
      </c>
      <c r="J194">
        <v>51.5</v>
      </c>
      <c r="K194" t="s">
        <v>109</v>
      </c>
      <c r="L194" s="1" t="s">
        <v>307</v>
      </c>
      <c r="M194">
        <v>12</v>
      </c>
      <c r="N194">
        <v>1.2088000000000001</v>
      </c>
      <c r="O194">
        <v>5.1441999999999997</v>
      </c>
      <c r="P194">
        <v>0.23999999999999977</v>
      </c>
      <c r="Q194">
        <v>4.46</v>
      </c>
      <c r="R194">
        <v>-2.2539999999999982</v>
      </c>
      <c r="S194">
        <v>2.3399999999999972</v>
      </c>
      <c r="T194">
        <v>-2.2200000000000002</v>
      </c>
      <c r="U194">
        <v>4</v>
      </c>
      <c r="V194">
        <v>7</v>
      </c>
      <c r="W194">
        <v>-0.48000000000000009</v>
      </c>
      <c r="X194">
        <v>32</v>
      </c>
      <c r="Y194">
        <v>29.5</v>
      </c>
      <c r="Z194">
        <v>30</v>
      </c>
      <c r="AA194">
        <v>-8.0426012715275608E-3</v>
      </c>
      <c r="AB194">
        <v>28</v>
      </c>
      <c r="AC194">
        <v>-9.3418432055118808E-3</v>
      </c>
      <c r="AD194">
        <v>31</v>
      </c>
      <c r="AE194">
        <v>3.1280000000000001</v>
      </c>
      <c r="AF194">
        <v>29</v>
      </c>
      <c r="AG194">
        <v>0.6399999999999999</v>
      </c>
      <c r="AH194">
        <v>3.28</v>
      </c>
      <c r="AI194">
        <v>-2.2000000000000002</v>
      </c>
      <c r="AJ194">
        <v>-0.79999999999999982</v>
      </c>
      <c r="AK194">
        <v>34.560000000000016</v>
      </c>
      <c r="AL194">
        <v>32.4</v>
      </c>
      <c r="AM194">
        <v>3.8000000000000029</v>
      </c>
      <c r="AN194">
        <v>-1.7200000000000002</v>
      </c>
      <c r="AO194">
        <v>8.0000000000000432E-2</v>
      </c>
      <c r="AP194">
        <v>25</v>
      </c>
      <c r="AQ194">
        <v>-3.9353999999999996</v>
      </c>
      <c r="AR194">
        <v>-2.7811399999999993</v>
      </c>
      <c r="AS194">
        <v>28.599999999999994</v>
      </c>
      <c r="AT194">
        <v>3.9353999999999996</v>
      </c>
      <c r="AU194">
        <v>0.46737500000000004</v>
      </c>
      <c r="AV194">
        <v>-0.55761249999999962</v>
      </c>
      <c r="AW194">
        <v>-2.3484499999999993</v>
      </c>
      <c r="AX194" t="s">
        <v>295</v>
      </c>
      <c r="AY194">
        <v>27</v>
      </c>
      <c r="AZ194">
        <v>3.3736000000000006</v>
      </c>
      <c r="BA194">
        <v>-1.8377999999999992</v>
      </c>
      <c r="BB194">
        <v>-17.25</v>
      </c>
      <c r="BC194">
        <v>-0.26999999999999991</v>
      </c>
      <c r="BD194">
        <v>5.4099999999999993</v>
      </c>
      <c r="BE194">
        <v>23.35</v>
      </c>
      <c r="BF194">
        <v>0.44999999999999996</v>
      </c>
      <c r="BG194">
        <v>17</v>
      </c>
      <c r="BH194">
        <v>14.5</v>
      </c>
      <c r="BI194">
        <v>1.6400000000000001</v>
      </c>
      <c r="BJ194">
        <v>19</v>
      </c>
      <c r="BK194">
        <v>16.5</v>
      </c>
      <c r="BL194">
        <v>10</v>
      </c>
      <c r="BM194">
        <v>-6.4113716823648151E-2</v>
      </c>
      <c r="BN194">
        <v>20</v>
      </c>
      <c r="BO194">
        <v>-5.8074681239015779E-3</v>
      </c>
      <c r="BP194">
        <v>25</v>
      </c>
      <c r="BQ194">
        <v>17.167999999999999</v>
      </c>
      <c r="BR194">
        <v>11</v>
      </c>
      <c r="BS194">
        <v>-4.08</v>
      </c>
      <c r="BT194">
        <v>-0.4</v>
      </c>
      <c r="BU194">
        <v>3.9999999999999991</v>
      </c>
      <c r="BV194">
        <v>1.8</v>
      </c>
      <c r="BW194">
        <v>13.159999999999991</v>
      </c>
      <c r="BX194">
        <v>27.919999999999998</v>
      </c>
      <c r="BY194">
        <v>-7.5199999999999987</v>
      </c>
      <c r="BZ194">
        <v>-2.6799999999999997</v>
      </c>
      <c r="CA194">
        <v>-4.5599999999999996</v>
      </c>
      <c r="CB194">
        <v>5</v>
      </c>
      <c r="CC194">
        <v>5.2114000000000003</v>
      </c>
      <c r="CD194">
        <v>2.6756199999999994</v>
      </c>
      <c r="CE194">
        <v>35.44</v>
      </c>
      <c r="CF194">
        <v>1.233225</v>
      </c>
    </row>
    <row r="195" spans="1:84" x14ac:dyDescent="0.2">
      <c r="A195" s="39">
        <v>43779</v>
      </c>
      <c r="B195" s="22" t="s">
        <v>244</v>
      </c>
      <c r="C195" s="41" t="s">
        <v>296</v>
      </c>
      <c r="D195" s="22" t="s">
        <v>298</v>
      </c>
      <c r="E195">
        <v>24.5</v>
      </c>
      <c r="F195">
        <v>37.1</v>
      </c>
      <c r="G195">
        <v>5.6</v>
      </c>
      <c r="H195">
        <v>8.3000000000000007</v>
      </c>
      <c r="I195">
        <v>-3</v>
      </c>
      <c r="J195">
        <v>43</v>
      </c>
      <c r="K195" t="s">
        <v>109</v>
      </c>
      <c r="L195" s="1" t="s">
        <v>296</v>
      </c>
      <c r="M195">
        <v>25</v>
      </c>
      <c r="N195">
        <v>-2.7000000000000006</v>
      </c>
      <c r="O195">
        <v>-8.2639999999999993</v>
      </c>
      <c r="P195">
        <v>-43.8</v>
      </c>
      <c r="Q195">
        <v>-1.6400000000000001</v>
      </c>
      <c r="R195">
        <v>-2.9959999999999996</v>
      </c>
      <c r="S195">
        <v>-24.439999999999998</v>
      </c>
      <c r="T195">
        <v>2.7600000000000002</v>
      </c>
      <c r="U195">
        <v>28</v>
      </c>
      <c r="V195">
        <v>27.5</v>
      </c>
      <c r="W195">
        <v>3.16</v>
      </c>
      <c r="X195">
        <v>2</v>
      </c>
      <c r="Y195">
        <v>7.5</v>
      </c>
      <c r="Z195">
        <v>3</v>
      </c>
      <c r="AA195">
        <v>5.0476433695917075E-2</v>
      </c>
      <c r="AB195">
        <v>16</v>
      </c>
      <c r="AC195">
        <v>2.1023893892934041E-2</v>
      </c>
      <c r="AD195">
        <v>10</v>
      </c>
      <c r="AE195">
        <v>-3.3320000000000021</v>
      </c>
      <c r="AF195">
        <v>1</v>
      </c>
      <c r="AG195">
        <v>8.0399999999999991</v>
      </c>
      <c r="AH195">
        <v>0.52000000000000024</v>
      </c>
      <c r="AI195">
        <v>-6.4799999999999995</v>
      </c>
      <c r="AJ195">
        <v>1.9600000000000002</v>
      </c>
      <c r="AK195">
        <v>-62.159999999999989</v>
      </c>
      <c r="AL195">
        <v>-26.320000000000004</v>
      </c>
      <c r="AM195">
        <v>-47.32</v>
      </c>
      <c r="AN195">
        <v>-1.6799999999999997</v>
      </c>
      <c r="AO195">
        <v>13.16</v>
      </c>
      <c r="AP195">
        <v>9</v>
      </c>
      <c r="AQ195">
        <v>5.5639999999999992</v>
      </c>
      <c r="AR195">
        <v>2.9927999999999995</v>
      </c>
      <c r="AS195">
        <v>20.999999999999996</v>
      </c>
      <c r="AT195">
        <v>-5.5639999999999983</v>
      </c>
      <c r="AU195">
        <v>-2.0300000000000002</v>
      </c>
      <c r="AV195">
        <v>0.65072500000000044</v>
      </c>
      <c r="AW195">
        <v>-0.82192499999999991</v>
      </c>
      <c r="AX195" t="s">
        <v>298</v>
      </c>
      <c r="AY195">
        <v>9</v>
      </c>
      <c r="AZ195">
        <v>3.6019999999999994</v>
      </c>
      <c r="BA195">
        <v>0.98000000000000109</v>
      </c>
      <c r="BB195">
        <v>-18.200000000000003</v>
      </c>
      <c r="BC195">
        <v>0.6399999999999999</v>
      </c>
      <c r="BD195">
        <v>11.924999999999999</v>
      </c>
      <c r="BE195">
        <v>27.479999999999997</v>
      </c>
      <c r="BF195">
        <v>1.0000000000000002</v>
      </c>
      <c r="BG195">
        <v>24</v>
      </c>
      <c r="BH195">
        <v>23</v>
      </c>
      <c r="BI195">
        <v>1.0000000000000004</v>
      </c>
      <c r="BJ195">
        <v>23</v>
      </c>
      <c r="BK195">
        <v>20</v>
      </c>
      <c r="BL195">
        <v>32</v>
      </c>
      <c r="BM195">
        <v>-9.2647044723449708E-3</v>
      </c>
      <c r="BN195">
        <v>22</v>
      </c>
      <c r="BO195">
        <v>-3.5948545155516836E-3</v>
      </c>
      <c r="BP195">
        <v>11</v>
      </c>
      <c r="BQ195">
        <v>6.5640000000000001</v>
      </c>
      <c r="BR195">
        <v>15</v>
      </c>
      <c r="BS195">
        <v>-3.88</v>
      </c>
      <c r="BT195">
        <v>2.9599999999999982</v>
      </c>
      <c r="BU195">
        <v>6.08</v>
      </c>
      <c r="BV195">
        <v>-1.3199999999999998</v>
      </c>
      <c r="BW195">
        <v>-12.160000000000002</v>
      </c>
      <c r="BX195">
        <v>11.000000000000005</v>
      </c>
      <c r="BY195">
        <v>-18.32</v>
      </c>
      <c r="BZ195">
        <v>-0.35999999999999943</v>
      </c>
      <c r="CA195">
        <v>-4.4799999999999995</v>
      </c>
      <c r="CB195">
        <v>9</v>
      </c>
      <c r="CC195">
        <v>2.6219999999999981</v>
      </c>
      <c r="CD195">
        <v>2.6153999999999988</v>
      </c>
      <c r="CE195">
        <v>29.320000000000007</v>
      </c>
      <c r="CF195">
        <v>2.1233750000000007</v>
      </c>
    </row>
    <row r="196" spans="1:84" x14ac:dyDescent="0.2">
      <c r="A196" s="39">
        <v>43779</v>
      </c>
      <c r="B196" s="22" t="s">
        <v>244</v>
      </c>
      <c r="C196" s="41" t="s">
        <v>298</v>
      </c>
      <c r="D196" s="22" t="s">
        <v>296</v>
      </c>
      <c r="E196">
        <v>19.100000000000001</v>
      </c>
      <c r="F196">
        <v>2.1</v>
      </c>
      <c r="G196">
        <v>14.4</v>
      </c>
      <c r="H196">
        <v>4.4000000000000004</v>
      </c>
      <c r="I196">
        <v>3</v>
      </c>
      <c r="J196">
        <v>43</v>
      </c>
      <c r="K196" t="s">
        <v>109</v>
      </c>
      <c r="L196" s="1" t="s">
        <v>298</v>
      </c>
      <c r="M196">
        <v>21</v>
      </c>
      <c r="N196">
        <v>-1.3432000000000006</v>
      </c>
      <c r="O196">
        <v>-8.9480000000000004</v>
      </c>
      <c r="P196">
        <v>-44.000000000000007</v>
      </c>
      <c r="Q196">
        <v>-0.71999999999999986</v>
      </c>
      <c r="R196">
        <v>3.0400000000000018</v>
      </c>
      <c r="S196">
        <v>20.320000000000007</v>
      </c>
      <c r="T196">
        <v>0.64000000000000057</v>
      </c>
      <c r="U196">
        <v>14</v>
      </c>
      <c r="V196">
        <v>13.5</v>
      </c>
      <c r="W196">
        <v>-3.88</v>
      </c>
      <c r="X196">
        <v>8</v>
      </c>
      <c r="Y196">
        <v>12</v>
      </c>
      <c r="Z196">
        <v>2</v>
      </c>
      <c r="AA196">
        <v>7.0286562519176685E-2</v>
      </c>
      <c r="AB196">
        <v>17</v>
      </c>
      <c r="AC196">
        <v>1.2769658450059068E-2</v>
      </c>
      <c r="AD196">
        <v>12</v>
      </c>
      <c r="AE196">
        <v>1.2640000000000029</v>
      </c>
      <c r="AF196">
        <v>17</v>
      </c>
      <c r="AG196">
        <v>1.0000000000000004</v>
      </c>
      <c r="AH196">
        <v>-4.5599999999999996</v>
      </c>
      <c r="AI196">
        <v>-3.3200000000000012</v>
      </c>
      <c r="AJ196">
        <v>-0.6</v>
      </c>
      <c r="AK196">
        <v>-51.279999999999994</v>
      </c>
      <c r="AL196">
        <v>7.919999999999999</v>
      </c>
      <c r="AM196">
        <v>-47.679999999999993</v>
      </c>
      <c r="AN196">
        <v>-2.52</v>
      </c>
      <c r="AO196">
        <v>-9</v>
      </c>
      <c r="AP196">
        <v>5</v>
      </c>
      <c r="AQ196">
        <v>7.6047999999999991</v>
      </c>
      <c r="AR196">
        <v>4.8133600000000003</v>
      </c>
      <c r="AS196">
        <v>55.599999999999994</v>
      </c>
      <c r="AT196">
        <v>-7.6048</v>
      </c>
      <c r="AU196">
        <v>-1.0563999999999998</v>
      </c>
      <c r="AV196">
        <v>0.65072500000000044</v>
      </c>
      <c r="AW196">
        <v>2.1233750000000007</v>
      </c>
      <c r="AX196" t="s">
        <v>296</v>
      </c>
      <c r="AY196">
        <v>5</v>
      </c>
      <c r="AZ196">
        <v>-0.91680000000000061</v>
      </c>
      <c r="BA196">
        <v>-0.98859999999999837</v>
      </c>
      <c r="BB196">
        <v>24.349999999999998</v>
      </c>
      <c r="BC196">
        <v>-0.78999999999999992</v>
      </c>
      <c r="BD196">
        <v>-5.7899999999999991</v>
      </c>
      <c r="BE196">
        <v>-28.599999999999994</v>
      </c>
      <c r="BF196">
        <v>-5.28</v>
      </c>
      <c r="BG196">
        <v>2</v>
      </c>
      <c r="BH196">
        <v>3</v>
      </c>
      <c r="BI196">
        <v>8.0399999999999991</v>
      </c>
      <c r="BJ196">
        <v>29</v>
      </c>
      <c r="BK196">
        <v>24</v>
      </c>
      <c r="BL196">
        <v>11</v>
      </c>
      <c r="BM196">
        <v>-7.1035453438702587E-2</v>
      </c>
      <c r="BN196">
        <v>27</v>
      </c>
      <c r="BO196">
        <v>1.0470336599360077E-2</v>
      </c>
      <c r="BP196">
        <v>31</v>
      </c>
      <c r="BQ196">
        <v>-1.8399999999999976</v>
      </c>
      <c r="BR196">
        <v>27</v>
      </c>
      <c r="BS196">
        <v>3.16</v>
      </c>
      <c r="BT196">
        <v>-0.4799999999999997</v>
      </c>
      <c r="BU196">
        <v>-0.27999999999999969</v>
      </c>
      <c r="BV196">
        <v>4.4400000000000004</v>
      </c>
      <c r="BW196">
        <v>-2.6799999999999953</v>
      </c>
      <c r="BX196">
        <v>-27.039999999999992</v>
      </c>
      <c r="BY196">
        <v>33.08</v>
      </c>
      <c r="BZ196">
        <v>-5.4799999999999995</v>
      </c>
      <c r="CA196">
        <v>-3.2399999999999998</v>
      </c>
      <c r="CB196">
        <v>16</v>
      </c>
      <c r="CC196">
        <v>7.1799999999997866E-2</v>
      </c>
      <c r="CD196">
        <v>-0.84706000000000115</v>
      </c>
      <c r="CE196">
        <v>-60.11999999999999</v>
      </c>
      <c r="CF196">
        <v>-0.82192499999999991</v>
      </c>
    </row>
    <row r="197" spans="1:84" x14ac:dyDescent="0.2">
      <c r="A197" s="39">
        <v>43779</v>
      </c>
      <c r="B197" s="22" t="s">
        <v>244</v>
      </c>
      <c r="C197" s="41" t="s">
        <v>309</v>
      </c>
      <c r="D197" s="22" t="s">
        <v>304</v>
      </c>
      <c r="E197">
        <v>7.4</v>
      </c>
      <c r="F197">
        <v>20</v>
      </c>
      <c r="G197">
        <v>10.4</v>
      </c>
      <c r="H197">
        <f>4.3+1.8</f>
        <v>6.1</v>
      </c>
      <c r="I197">
        <v>4</v>
      </c>
      <c r="J197">
        <v>43</v>
      </c>
      <c r="K197" t="s">
        <v>110</v>
      </c>
      <c r="L197" s="1" t="s">
        <v>309</v>
      </c>
      <c r="M197">
        <v>23</v>
      </c>
      <c r="N197">
        <v>-2.0424000000000007</v>
      </c>
      <c r="O197">
        <v>4.0896000000000008</v>
      </c>
      <c r="P197">
        <v>1.4400000000000004</v>
      </c>
      <c r="Q197">
        <v>2.16</v>
      </c>
      <c r="R197">
        <v>-2.6520000000000001</v>
      </c>
      <c r="S197">
        <v>-12.399999999999997</v>
      </c>
      <c r="T197">
        <v>-2.16</v>
      </c>
      <c r="U197">
        <v>3</v>
      </c>
      <c r="V197">
        <v>5.5</v>
      </c>
      <c r="W197">
        <v>8.9999999999999982</v>
      </c>
      <c r="X197">
        <v>12</v>
      </c>
      <c r="Y197">
        <v>13.25</v>
      </c>
      <c r="Z197">
        <v>9</v>
      </c>
      <c r="AA197">
        <v>-2.8533052296364114E-2</v>
      </c>
      <c r="AB197">
        <v>20</v>
      </c>
      <c r="AC197">
        <v>-2.3865411905743449E-2</v>
      </c>
      <c r="AD197">
        <v>19</v>
      </c>
      <c r="AE197">
        <v>8.9880000000000013</v>
      </c>
      <c r="AF197">
        <v>5</v>
      </c>
      <c r="AG197">
        <v>-1.28</v>
      </c>
      <c r="AH197">
        <v>-1.9599999999999995</v>
      </c>
      <c r="AI197">
        <v>2.0400000000000005</v>
      </c>
      <c r="AJ197">
        <v>2.7199999999999998</v>
      </c>
      <c r="AK197">
        <v>-29.439999999999998</v>
      </c>
      <c r="AL197">
        <v>-25.759999999999998</v>
      </c>
      <c r="AM197">
        <v>2.2000000000000028</v>
      </c>
      <c r="AN197">
        <v>-1.2</v>
      </c>
      <c r="AO197">
        <v>-4.6799999999999988</v>
      </c>
      <c r="AP197">
        <v>27</v>
      </c>
      <c r="AQ197">
        <v>-6.1320000000000014</v>
      </c>
      <c r="AR197">
        <v>-2.9836800000000006</v>
      </c>
      <c r="AS197">
        <v>-27.96</v>
      </c>
      <c r="AT197">
        <v>6.1320000000000014</v>
      </c>
      <c r="AU197">
        <v>0.18939999999999996</v>
      </c>
      <c r="AV197">
        <v>-1.1518999999999997</v>
      </c>
      <c r="AW197">
        <v>-0.99495000000000022</v>
      </c>
      <c r="AX197" t="s">
        <v>304</v>
      </c>
      <c r="AY197">
        <v>16</v>
      </c>
      <c r="AZ197">
        <v>-1.4623999999999993</v>
      </c>
      <c r="BA197">
        <v>-2.4863999999999975</v>
      </c>
      <c r="BB197">
        <v>-13.120000000000001</v>
      </c>
      <c r="BC197">
        <v>0.64000000000000012</v>
      </c>
      <c r="BD197">
        <v>-3.7619999999999982</v>
      </c>
      <c r="BE197">
        <v>7.9900000000000055</v>
      </c>
      <c r="BF197">
        <v>-0.18999999999999972</v>
      </c>
      <c r="BG197">
        <v>28</v>
      </c>
      <c r="BH197">
        <v>26.5</v>
      </c>
      <c r="BI197">
        <v>-0.72</v>
      </c>
      <c r="BJ197">
        <v>14</v>
      </c>
      <c r="BK197">
        <v>15</v>
      </c>
      <c r="BL197">
        <v>22</v>
      </c>
      <c r="BM197">
        <v>3.5559502529351847E-2</v>
      </c>
      <c r="BN197">
        <v>10</v>
      </c>
      <c r="BO197">
        <v>2.4172318154540063E-2</v>
      </c>
      <c r="BP197">
        <v>22</v>
      </c>
      <c r="BQ197">
        <v>0.83999999999999775</v>
      </c>
      <c r="BR197">
        <v>6</v>
      </c>
      <c r="BS197">
        <v>3.5599999999999996</v>
      </c>
      <c r="BT197">
        <v>2.9600000000000009</v>
      </c>
      <c r="BU197">
        <v>-6.4</v>
      </c>
      <c r="BV197">
        <v>0</v>
      </c>
      <c r="BW197">
        <v>-11</v>
      </c>
      <c r="BX197">
        <v>7.8399999999999981</v>
      </c>
      <c r="BY197">
        <v>-13.360000000000003</v>
      </c>
      <c r="BZ197">
        <v>-2.88</v>
      </c>
      <c r="CA197">
        <v>-2.6000000000000005</v>
      </c>
      <c r="CB197">
        <v>12</v>
      </c>
      <c r="CC197">
        <v>1.0239999999999982</v>
      </c>
      <c r="CD197">
        <v>0.19831999999999916</v>
      </c>
      <c r="CE197">
        <v>21.200000000000003</v>
      </c>
      <c r="CF197">
        <v>-1.3088499999999992</v>
      </c>
    </row>
    <row r="198" spans="1:84" x14ac:dyDescent="0.2">
      <c r="A198" s="39">
        <v>43779</v>
      </c>
      <c r="B198" s="22" t="s">
        <v>244</v>
      </c>
      <c r="C198" s="40" t="s">
        <v>256</v>
      </c>
      <c r="D198" s="22" t="s">
        <v>308</v>
      </c>
      <c r="E198">
        <v>22.2</v>
      </c>
      <c r="F198">
        <v>16.2</v>
      </c>
      <c r="G198">
        <v>4.4000000000000004</v>
      </c>
      <c r="H198">
        <v>5.4</v>
      </c>
      <c r="I198">
        <v>-6.5</v>
      </c>
      <c r="J198">
        <v>47</v>
      </c>
      <c r="L198" s="1" t="s">
        <v>256</v>
      </c>
      <c r="M198">
        <v>28</v>
      </c>
      <c r="N198">
        <v>-4.5048000000000012</v>
      </c>
      <c r="O198">
        <v>-1.7680000000000029</v>
      </c>
      <c r="P198">
        <v>1.7199999999999989</v>
      </c>
      <c r="Q198">
        <v>-1.2</v>
      </c>
      <c r="R198">
        <v>-4.5360000000000014</v>
      </c>
      <c r="S198">
        <v>-38.959999999999994</v>
      </c>
      <c r="T198">
        <v>-2.7599999999999989</v>
      </c>
      <c r="U198">
        <v>17</v>
      </c>
      <c r="V198">
        <v>16</v>
      </c>
      <c r="W198">
        <v>6.1199999999999992</v>
      </c>
      <c r="X198">
        <v>21</v>
      </c>
      <c r="Y198">
        <v>17.75</v>
      </c>
      <c r="Z198">
        <v>19</v>
      </c>
      <c r="AA198">
        <v>-1.8121324894158564E-2</v>
      </c>
      <c r="AB198">
        <v>3</v>
      </c>
      <c r="AC198">
        <v>8.6883642314618467E-3</v>
      </c>
      <c r="AD198">
        <v>29</v>
      </c>
      <c r="AE198">
        <v>4.8320000000000007</v>
      </c>
      <c r="AF198">
        <v>20</v>
      </c>
      <c r="AG198">
        <v>-0.11999999999999975</v>
      </c>
      <c r="AH198">
        <v>2.7599999999999993</v>
      </c>
      <c r="AI198">
        <v>0.95999999999999941</v>
      </c>
      <c r="AJ198">
        <v>0.28000000000000008</v>
      </c>
      <c r="AK198">
        <v>-43.839999999999996</v>
      </c>
      <c r="AL198">
        <v>-56.919999999999995</v>
      </c>
      <c r="AM198">
        <v>19.600000000000001</v>
      </c>
      <c r="AN198">
        <v>3.5199999999999996</v>
      </c>
      <c r="AO198">
        <v>-10.040000000000001</v>
      </c>
      <c r="AP198">
        <v>20</v>
      </c>
      <c r="AQ198">
        <v>-2.7367999999999983</v>
      </c>
      <c r="AR198">
        <v>-0.92415999999999898</v>
      </c>
      <c r="AS198">
        <v>-76.52</v>
      </c>
      <c r="AT198">
        <v>2.7367999999999983</v>
      </c>
      <c r="AU198">
        <v>-1.2461000000000007</v>
      </c>
      <c r="AV198">
        <v>-0.88423750000000034</v>
      </c>
      <c r="AW198">
        <v>-3.5282750000000003</v>
      </c>
      <c r="AX198" t="s">
        <v>308</v>
      </c>
      <c r="AY198">
        <v>17</v>
      </c>
      <c r="AZ198">
        <v>3.130399999999999</v>
      </c>
      <c r="BA198">
        <v>3.448</v>
      </c>
      <c r="BB198">
        <v>-1.1999999999999984</v>
      </c>
      <c r="BC198">
        <v>0.24</v>
      </c>
      <c r="BD198">
        <v>7.3000000000000007</v>
      </c>
      <c r="BE198">
        <v>42.959999999999994</v>
      </c>
      <c r="BF198">
        <v>2.2666666666666666</v>
      </c>
      <c r="BG198">
        <v>12</v>
      </c>
      <c r="BH198">
        <v>12.5</v>
      </c>
      <c r="BI198">
        <v>-0.99999999999999978</v>
      </c>
      <c r="BJ198">
        <v>21</v>
      </c>
      <c r="BK198">
        <v>17.25</v>
      </c>
      <c r="BL198">
        <v>30</v>
      </c>
      <c r="BM198">
        <v>-6.318744995534363E-2</v>
      </c>
      <c r="BN198">
        <v>28</v>
      </c>
      <c r="BO198">
        <v>-4.0318877608038754E-2</v>
      </c>
      <c r="BP198">
        <v>4</v>
      </c>
      <c r="BQ198">
        <v>-3.7639999999999985</v>
      </c>
      <c r="BR198">
        <v>7</v>
      </c>
      <c r="BS198">
        <v>-3.16</v>
      </c>
      <c r="BT198">
        <v>0.64000000000000057</v>
      </c>
      <c r="BU198">
        <v>3.84</v>
      </c>
      <c r="BV198">
        <v>0.76</v>
      </c>
      <c r="BW198">
        <v>59.719999999999992</v>
      </c>
      <c r="BX198">
        <v>56.160000000000004</v>
      </c>
      <c r="BY198">
        <v>-3.0000000000000013</v>
      </c>
      <c r="BZ198">
        <v>2.48</v>
      </c>
      <c r="CA198">
        <v>4.080000000000001</v>
      </c>
      <c r="CB198">
        <v>17</v>
      </c>
      <c r="CC198">
        <v>-0.31760000000000099</v>
      </c>
      <c r="CD198">
        <v>0.36207999999999996</v>
      </c>
      <c r="CE198">
        <v>59.160000000000004</v>
      </c>
      <c r="CF198">
        <v>1.7597999999999996</v>
      </c>
    </row>
    <row r="199" spans="1:84" x14ac:dyDescent="0.2">
      <c r="A199" s="39">
        <v>43779</v>
      </c>
      <c r="B199" s="22" t="s">
        <v>244</v>
      </c>
      <c r="C199" s="41" t="s">
        <v>308</v>
      </c>
      <c r="D199" s="22" t="s">
        <v>256</v>
      </c>
      <c r="E199">
        <v>5.9</v>
      </c>
      <c r="F199">
        <v>12</v>
      </c>
      <c r="G199">
        <v>5.5</v>
      </c>
      <c r="H199">
        <v>20.2</v>
      </c>
      <c r="I199">
        <v>6.5</v>
      </c>
      <c r="J199">
        <v>47</v>
      </c>
      <c r="L199" s="1" t="s">
        <v>308</v>
      </c>
      <c r="M199">
        <v>3</v>
      </c>
      <c r="N199">
        <v>4.9511999999999992</v>
      </c>
      <c r="O199">
        <v>2.1208</v>
      </c>
      <c r="P199">
        <v>39.159999999999989</v>
      </c>
      <c r="Q199">
        <v>-1.3600000000000003</v>
      </c>
      <c r="R199">
        <v>4.1320000000000023</v>
      </c>
      <c r="S199">
        <v>2.2000000000000011</v>
      </c>
      <c r="T199">
        <v>-2.1200000000000006</v>
      </c>
      <c r="U199">
        <v>8</v>
      </c>
      <c r="V199">
        <v>8.5</v>
      </c>
      <c r="W199">
        <v>-3.16</v>
      </c>
      <c r="X199">
        <v>12</v>
      </c>
      <c r="Y199">
        <v>13.25</v>
      </c>
      <c r="Z199">
        <v>11</v>
      </c>
      <c r="AA199">
        <v>0.13329081320837433</v>
      </c>
      <c r="AB199">
        <v>5</v>
      </c>
      <c r="AC199">
        <v>-1.1437240256541887E-3</v>
      </c>
      <c r="AD199">
        <v>21</v>
      </c>
      <c r="AE199">
        <v>6.4560000000000013</v>
      </c>
      <c r="AF199">
        <v>16</v>
      </c>
      <c r="AG199">
        <v>-0.99999999999999978</v>
      </c>
      <c r="AH199">
        <v>1.6400000000000006</v>
      </c>
      <c r="AI199">
        <v>5.3600000000000012</v>
      </c>
      <c r="AJ199">
        <v>-1.4799999999999998</v>
      </c>
      <c r="AK199">
        <v>47.680000000000007</v>
      </c>
      <c r="AL199">
        <v>8.7599999999999962</v>
      </c>
      <c r="AM199">
        <v>32.6</v>
      </c>
      <c r="AN199">
        <v>-2.4</v>
      </c>
      <c r="AO199">
        <v>8.7200000000000006</v>
      </c>
      <c r="AP199">
        <v>13</v>
      </c>
      <c r="AQ199">
        <v>2.8303999999999991</v>
      </c>
      <c r="AR199">
        <v>0.75624000000000002</v>
      </c>
      <c r="AS199">
        <v>-23.840000000000003</v>
      </c>
      <c r="AT199">
        <v>-2.8303999999999991</v>
      </c>
      <c r="AU199">
        <v>1.4255</v>
      </c>
      <c r="AV199">
        <v>-0.88423750000000034</v>
      </c>
      <c r="AW199">
        <v>1.7597999999999996</v>
      </c>
      <c r="AX199" t="s">
        <v>256</v>
      </c>
      <c r="AY199">
        <v>22</v>
      </c>
      <c r="AZ199">
        <v>-6.7032000000000007</v>
      </c>
      <c r="BA199">
        <v>-4.7530000000000001</v>
      </c>
      <c r="BB199">
        <v>-7.4899999999999984</v>
      </c>
      <c r="BC199">
        <v>-1.23</v>
      </c>
      <c r="BD199">
        <v>-13.250000000000002</v>
      </c>
      <c r="BE199">
        <v>-68.610000000000014</v>
      </c>
      <c r="BF199">
        <v>-3.67</v>
      </c>
      <c r="BG199">
        <v>18</v>
      </c>
      <c r="BH199">
        <v>20</v>
      </c>
      <c r="BI199">
        <v>-0.11999999999999975</v>
      </c>
      <c r="BJ199">
        <v>13</v>
      </c>
      <c r="BK199">
        <v>14.75</v>
      </c>
      <c r="BL199">
        <v>23</v>
      </c>
      <c r="BM199">
        <v>3.8331540169107225E-3</v>
      </c>
      <c r="BN199">
        <v>8</v>
      </c>
      <c r="BO199">
        <v>6.9136544446713979E-2</v>
      </c>
      <c r="BP199">
        <v>24</v>
      </c>
      <c r="BQ199">
        <v>1.7759999999999976</v>
      </c>
      <c r="BR199">
        <v>4</v>
      </c>
      <c r="BS199">
        <v>6.1199999999999992</v>
      </c>
      <c r="BT199">
        <v>-5.08</v>
      </c>
      <c r="BU199">
        <v>-8.2799999999999994</v>
      </c>
      <c r="BV199">
        <v>0.8</v>
      </c>
      <c r="BW199">
        <v>-70.960000000000008</v>
      </c>
      <c r="BX199">
        <v>-69</v>
      </c>
      <c r="BY199">
        <v>-3.1199999999999988</v>
      </c>
      <c r="BZ199">
        <v>-1.3200000000000003</v>
      </c>
      <c r="CA199">
        <v>2.48</v>
      </c>
      <c r="CB199">
        <v>21</v>
      </c>
      <c r="CC199">
        <v>-1.9502000000000015</v>
      </c>
      <c r="CD199">
        <v>-1.6141400000000004</v>
      </c>
      <c r="CE199">
        <v>-65.88</v>
      </c>
      <c r="CF199">
        <v>-3.5282750000000003</v>
      </c>
    </row>
    <row r="200" spans="1:84" x14ac:dyDescent="0.2">
      <c r="A200" s="39">
        <v>43779</v>
      </c>
      <c r="B200" s="22" t="s">
        <v>244</v>
      </c>
      <c r="C200" s="41" t="s">
        <v>284</v>
      </c>
      <c r="D200" s="22" t="s">
        <v>285</v>
      </c>
      <c r="E200">
        <v>12.2</v>
      </c>
      <c r="F200">
        <v>13.4</v>
      </c>
      <c r="G200">
        <v>5.3</v>
      </c>
      <c r="H200">
        <v>14.7</v>
      </c>
      <c r="I200">
        <v>-5.5</v>
      </c>
      <c r="J200">
        <v>51</v>
      </c>
      <c r="K200" t="s">
        <v>109</v>
      </c>
      <c r="L200" s="1" t="s">
        <v>284</v>
      </c>
      <c r="M200">
        <v>10</v>
      </c>
      <c r="N200">
        <v>2.1896000000000004</v>
      </c>
      <c r="O200">
        <v>-3.8430000000000013</v>
      </c>
      <c r="P200">
        <v>-29.029999999999994</v>
      </c>
      <c r="Q200">
        <v>-0.62000000000000011</v>
      </c>
      <c r="R200">
        <v>10.404</v>
      </c>
      <c r="S200">
        <v>44.919999999999995</v>
      </c>
      <c r="T200">
        <v>3.6400000000000006</v>
      </c>
      <c r="U200">
        <v>18</v>
      </c>
      <c r="V200">
        <v>17.5</v>
      </c>
      <c r="W200">
        <v>-3.8800000000000003</v>
      </c>
      <c r="X200">
        <v>14</v>
      </c>
      <c r="Y200">
        <v>14</v>
      </c>
      <c r="Z200">
        <v>29</v>
      </c>
      <c r="AA200">
        <v>-1.5389751345299763E-2</v>
      </c>
      <c r="AB200">
        <v>22</v>
      </c>
      <c r="AC200">
        <v>3.1269387411979245E-2</v>
      </c>
      <c r="AD200">
        <v>1</v>
      </c>
      <c r="AE200">
        <v>-19.916000000000004</v>
      </c>
      <c r="AF200">
        <v>4</v>
      </c>
      <c r="AG200">
        <v>3.4400000000000004</v>
      </c>
      <c r="AH200">
        <v>6.6799999999999971</v>
      </c>
      <c r="AI200">
        <v>4.3599999999999985</v>
      </c>
      <c r="AJ200">
        <v>-1.1199999999999999</v>
      </c>
      <c r="AK200">
        <v>24.96</v>
      </c>
      <c r="AL200">
        <v>43.440000000000005</v>
      </c>
      <c r="AM200">
        <v>-24.919999999999995</v>
      </c>
      <c r="AN200">
        <v>-0.28000000000000008</v>
      </c>
      <c r="AO200">
        <v>6.7200000000000006</v>
      </c>
      <c r="AP200">
        <v>8</v>
      </c>
      <c r="AQ200">
        <v>6.0326000000000022</v>
      </c>
      <c r="AR200">
        <v>4.4402200000000009</v>
      </c>
      <c r="AS200">
        <v>68.36</v>
      </c>
      <c r="AT200">
        <v>-6.0326000000000022</v>
      </c>
      <c r="AU200">
        <v>1.3188250000000001</v>
      </c>
      <c r="AV200">
        <v>2.7249625000000006</v>
      </c>
      <c r="AW200">
        <v>3.0680250000000009</v>
      </c>
      <c r="AX200" t="s">
        <v>285</v>
      </c>
      <c r="AY200">
        <v>1</v>
      </c>
      <c r="AZ200">
        <v>5.8879999999999999</v>
      </c>
      <c r="BA200">
        <v>2.8752000000000031</v>
      </c>
      <c r="BB200">
        <v>27</v>
      </c>
      <c r="BC200">
        <v>-0.19999999999999984</v>
      </c>
      <c r="BD200">
        <v>10.492000000000001</v>
      </c>
      <c r="BE200">
        <v>34.24</v>
      </c>
      <c r="BF200">
        <v>0.16000000000000059</v>
      </c>
      <c r="BG200">
        <v>19</v>
      </c>
      <c r="BH200">
        <v>20.5</v>
      </c>
      <c r="BI200">
        <v>-2.04</v>
      </c>
      <c r="BJ200">
        <v>26</v>
      </c>
      <c r="BK200">
        <v>22</v>
      </c>
      <c r="BL200">
        <v>5</v>
      </c>
      <c r="BM200">
        <v>-3.9123818515458486E-2</v>
      </c>
      <c r="BN200">
        <v>31</v>
      </c>
      <c r="BO200">
        <v>-1.0509881961917045E-2</v>
      </c>
      <c r="BP200">
        <v>20</v>
      </c>
      <c r="BQ200">
        <v>10.907999999999998</v>
      </c>
      <c r="BR200">
        <v>32</v>
      </c>
      <c r="BS200">
        <v>-6.2799999999999994</v>
      </c>
      <c r="BT200">
        <v>-0.11999999999999886</v>
      </c>
      <c r="BU200">
        <v>5.32</v>
      </c>
      <c r="BV200">
        <v>0.20000000000000009</v>
      </c>
      <c r="BW200">
        <v>54.840000000000011</v>
      </c>
      <c r="BX200">
        <v>42.88</v>
      </c>
      <c r="BY200">
        <v>21.2</v>
      </c>
      <c r="BZ200">
        <v>-6.04</v>
      </c>
      <c r="CA200">
        <v>-3.1999999999999997</v>
      </c>
      <c r="CB200">
        <v>8</v>
      </c>
      <c r="CC200">
        <v>3.0127999999999968</v>
      </c>
      <c r="CD200">
        <v>1.8383999999999991</v>
      </c>
      <c r="CE200">
        <v>21.680000000000003</v>
      </c>
      <c r="CF200">
        <v>2.3819000000000004</v>
      </c>
    </row>
    <row r="201" spans="1:84" x14ac:dyDescent="0.2">
      <c r="A201" s="39">
        <v>43779</v>
      </c>
      <c r="B201" s="22" t="s">
        <v>244</v>
      </c>
      <c r="C201" s="41" t="s">
        <v>310</v>
      </c>
      <c r="D201" s="22" t="s">
        <v>288</v>
      </c>
      <c r="E201">
        <v>2.7</v>
      </c>
      <c r="F201" s="14">
        <v>9.3000000000000007</v>
      </c>
      <c r="G201">
        <v>3</v>
      </c>
      <c r="H201">
        <f>12.6+7</f>
        <v>19.600000000000001</v>
      </c>
      <c r="I201">
        <v>5</v>
      </c>
      <c r="J201">
        <v>49</v>
      </c>
      <c r="L201" s="1" t="s">
        <v>310</v>
      </c>
      <c r="M201">
        <v>16</v>
      </c>
      <c r="N201">
        <v>-0.13720000000000016</v>
      </c>
      <c r="O201">
        <v>-6.6568000000000005</v>
      </c>
      <c r="P201">
        <v>-19.679999999999996</v>
      </c>
      <c r="Q201">
        <v>-2.04</v>
      </c>
      <c r="R201">
        <v>-3.8799999999999981</v>
      </c>
      <c r="S201">
        <v>-1.2000000000000028</v>
      </c>
      <c r="T201">
        <v>-1.0399999999999996</v>
      </c>
      <c r="U201">
        <v>29</v>
      </c>
      <c r="V201">
        <v>29</v>
      </c>
      <c r="W201">
        <v>-1.56</v>
      </c>
      <c r="X201">
        <v>25</v>
      </c>
      <c r="Y201">
        <v>21</v>
      </c>
      <c r="Z201">
        <v>27</v>
      </c>
      <c r="AA201">
        <v>-5.6218922573214149E-3</v>
      </c>
      <c r="AB201">
        <v>2</v>
      </c>
      <c r="AC201">
        <v>3.9191081372193293E-2</v>
      </c>
      <c r="AD201">
        <v>30</v>
      </c>
      <c r="AE201">
        <v>8.1840000000000028</v>
      </c>
      <c r="AF201">
        <v>25</v>
      </c>
      <c r="AG201">
        <v>3.3600000000000003</v>
      </c>
      <c r="AH201">
        <v>-3.4000000000000012</v>
      </c>
      <c r="AI201">
        <v>-4.88</v>
      </c>
      <c r="AJ201">
        <v>-0.83999999999999986</v>
      </c>
      <c r="AK201">
        <v>-27.759999999999991</v>
      </c>
      <c r="AL201">
        <v>0.7199999999999932</v>
      </c>
      <c r="AM201">
        <v>-24.479999999999997</v>
      </c>
      <c r="AN201">
        <v>-3.28</v>
      </c>
      <c r="AO201">
        <v>-0.72000000000000031</v>
      </c>
      <c r="AP201">
        <v>7</v>
      </c>
      <c r="AQ201">
        <v>6.5196000000000005</v>
      </c>
      <c r="AR201">
        <v>2.5249600000000005</v>
      </c>
      <c r="AS201">
        <v>25.199999999999989</v>
      </c>
      <c r="AT201">
        <v>-6.5196000000000005</v>
      </c>
      <c r="AU201">
        <v>-1.8092500000000005</v>
      </c>
      <c r="AV201">
        <v>-0.61262500000000009</v>
      </c>
      <c r="AW201">
        <v>4.2449999999999821E-2</v>
      </c>
      <c r="AX201" t="s">
        <v>288</v>
      </c>
      <c r="AY201">
        <v>7</v>
      </c>
      <c r="AZ201">
        <v>-0.12000000000000063</v>
      </c>
      <c r="BA201">
        <v>6.2224000000000004</v>
      </c>
      <c r="BB201">
        <v>-6.08</v>
      </c>
      <c r="BC201">
        <v>1.8800000000000001</v>
      </c>
      <c r="BD201">
        <v>-13.604000000000001</v>
      </c>
      <c r="BE201">
        <v>-60.519999999999996</v>
      </c>
      <c r="BF201">
        <v>0.12</v>
      </c>
      <c r="BG201">
        <v>20</v>
      </c>
      <c r="BH201">
        <v>21</v>
      </c>
      <c r="BI201">
        <v>-2.12</v>
      </c>
      <c r="BJ201">
        <v>2</v>
      </c>
      <c r="BK201">
        <v>7.25</v>
      </c>
      <c r="BL201">
        <v>4</v>
      </c>
      <c r="BM201">
        <v>2.5478000483529151E-2</v>
      </c>
      <c r="BN201">
        <v>13</v>
      </c>
      <c r="BO201">
        <v>4.4638370251939398E-3</v>
      </c>
      <c r="BP201">
        <v>3</v>
      </c>
      <c r="BQ201">
        <v>-21.403999999999996</v>
      </c>
      <c r="BR201">
        <v>9</v>
      </c>
      <c r="BS201">
        <v>1.7599999999999998</v>
      </c>
      <c r="BT201">
        <v>6.1200000000000028</v>
      </c>
      <c r="BU201">
        <v>-2.3600000000000003</v>
      </c>
      <c r="BV201">
        <v>-0.51999999999999991</v>
      </c>
      <c r="BW201">
        <v>-24.8</v>
      </c>
      <c r="BX201">
        <v>-23.8</v>
      </c>
      <c r="BY201">
        <v>-4.6800000000000015</v>
      </c>
      <c r="BZ201">
        <v>0.44000000000000006</v>
      </c>
      <c r="CA201">
        <v>3.2400000000000011</v>
      </c>
      <c r="CB201">
        <v>29</v>
      </c>
      <c r="CC201">
        <v>-6.3424000000000014</v>
      </c>
      <c r="CD201">
        <v>-5.8560000000000008</v>
      </c>
      <c r="CE201">
        <v>-19.119999999999997</v>
      </c>
      <c r="CF201">
        <v>-1.2677</v>
      </c>
    </row>
    <row r="202" spans="1:84" x14ac:dyDescent="0.2">
      <c r="A202" s="39">
        <v>43786</v>
      </c>
      <c r="B202" s="22" t="s">
        <v>259</v>
      </c>
      <c r="C202" s="41" t="s">
        <v>285</v>
      </c>
      <c r="D202" s="22" t="s">
        <v>256</v>
      </c>
      <c r="E202">
        <v>13.7</v>
      </c>
      <c r="F202">
        <v>10.199999999999999</v>
      </c>
      <c r="G202">
        <v>12.5</v>
      </c>
      <c r="H202">
        <v>1.4</v>
      </c>
      <c r="I202">
        <v>10</v>
      </c>
      <c r="J202">
        <v>44</v>
      </c>
      <c r="L202" s="1" t="s">
        <v>285</v>
      </c>
      <c r="M202">
        <v>12</v>
      </c>
      <c r="N202">
        <v>1.2112000000000023</v>
      </c>
      <c r="O202">
        <v>3.5649999999999999</v>
      </c>
      <c r="P202">
        <v>-9.9699999999999989</v>
      </c>
      <c r="Q202">
        <v>-1.36</v>
      </c>
      <c r="R202">
        <v>-5.0920000000000005</v>
      </c>
      <c r="S202">
        <v>-8.8800000000000026</v>
      </c>
      <c r="T202">
        <v>-5.3599999999999994</v>
      </c>
      <c r="U202">
        <v>21</v>
      </c>
      <c r="V202">
        <v>20</v>
      </c>
      <c r="W202">
        <v>-4.6399999999999997</v>
      </c>
      <c r="X202">
        <v>9</v>
      </c>
      <c r="Y202">
        <v>12.25</v>
      </c>
      <c r="Z202">
        <v>20</v>
      </c>
      <c r="AA202">
        <v>-7.0512924245924369E-2</v>
      </c>
      <c r="AB202">
        <v>7</v>
      </c>
      <c r="AC202">
        <v>-1.5783531433996977E-2</v>
      </c>
      <c r="AD202">
        <v>4</v>
      </c>
      <c r="AE202">
        <v>-7.1400000000000023</v>
      </c>
      <c r="AF202">
        <v>18</v>
      </c>
      <c r="AG202">
        <v>-2.6399999999999997</v>
      </c>
      <c r="AH202">
        <v>-4.1199999999999992</v>
      </c>
      <c r="AI202">
        <v>2.4799999999999995</v>
      </c>
      <c r="AJ202">
        <v>-2.6</v>
      </c>
      <c r="AK202">
        <v>9.5200000000000049</v>
      </c>
      <c r="AL202">
        <v>4.8799999999999955</v>
      </c>
      <c r="AM202">
        <v>-10.680000000000001</v>
      </c>
      <c r="AN202">
        <v>1.92</v>
      </c>
      <c r="AO202">
        <v>13.4</v>
      </c>
      <c r="AP202">
        <v>19</v>
      </c>
      <c r="AQ202">
        <v>-2.3537999999999974</v>
      </c>
      <c r="AR202">
        <v>-2.5586599999999997</v>
      </c>
      <c r="AS202">
        <v>15.559999999999997</v>
      </c>
      <c r="AT202">
        <v>2.3537999999999979</v>
      </c>
      <c r="AU202">
        <v>-9.4749999999996434E-3</v>
      </c>
      <c r="AV202">
        <v>-0.33264999999999978</v>
      </c>
      <c r="AW202">
        <v>1.9850000000000001</v>
      </c>
      <c r="AX202" t="s">
        <v>256</v>
      </c>
      <c r="AY202">
        <v>22</v>
      </c>
      <c r="AZ202">
        <v>-2.9064000000000005</v>
      </c>
      <c r="BA202">
        <v>-4.6360000000000001</v>
      </c>
      <c r="BB202">
        <v>3.0199999999999996</v>
      </c>
      <c r="BC202">
        <v>-0.96</v>
      </c>
      <c r="BD202">
        <v>-11.260000000000002</v>
      </c>
      <c r="BE202">
        <v>-53.8</v>
      </c>
      <c r="BF202">
        <v>-2.72</v>
      </c>
      <c r="BG202">
        <v>18</v>
      </c>
      <c r="BH202">
        <v>20</v>
      </c>
      <c r="BI202">
        <v>0.36000000000000015</v>
      </c>
      <c r="BJ202">
        <v>13</v>
      </c>
      <c r="BK202">
        <v>14.75</v>
      </c>
      <c r="BL202">
        <v>23</v>
      </c>
      <c r="BM202">
        <v>-1.3953058888773028E-2</v>
      </c>
      <c r="BN202">
        <v>8</v>
      </c>
      <c r="BO202">
        <v>5.7933214711236504E-2</v>
      </c>
      <c r="BP202">
        <v>24</v>
      </c>
      <c r="BQ202">
        <v>1.1839999999999975</v>
      </c>
      <c r="BR202">
        <v>4</v>
      </c>
      <c r="BS202">
        <v>5.68</v>
      </c>
      <c r="BT202">
        <v>-2.319999999999999</v>
      </c>
      <c r="BU202">
        <v>-4.7199999999999989</v>
      </c>
      <c r="BV202">
        <v>1.44</v>
      </c>
      <c r="BW202">
        <v>-39.199999999999989</v>
      </c>
      <c r="BX202">
        <v>-60.480000000000018</v>
      </c>
      <c r="BY202">
        <v>10.959999999999997</v>
      </c>
      <c r="BZ202">
        <v>-1.56</v>
      </c>
      <c r="CA202">
        <v>11.88</v>
      </c>
      <c r="CB202">
        <v>11</v>
      </c>
      <c r="CC202">
        <v>1.7295999999999996</v>
      </c>
      <c r="CD202">
        <v>-0.51528000000000063</v>
      </c>
      <c r="CE202">
        <v>-71.440000000000012</v>
      </c>
      <c r="CF202">
        <v>-2.6502999999999997</v>
      </c>
    </row>
    <row r="203" spans="1:84" x14ac:dyDescent="0.2">
      <c r="A203" s="39">
        <v>43786</v>
      </c>
      <c r="B203" s="22" t="s">
        <v>259</v>
      </c>
      <c r="C203" s="41" t="s">
        <v>295</v>
      </c>
      <c r="D203" s="22" t="s">
        <v>301</v>
      </c>
      <c r="E203">
        <v>14.7</v>
      </c>
      <c r="F203">
        <v>31.3</v>
      </c>
      <c r="G203">
        <v>5.2</v>
      </c>
      <c r="H203">
        <v>4.3</v>
      </c>
      <c r="I203">
        <v>3.5</v>
      </c>
      <c r="J203">
        <v>49</v>
      </c>
      <c r="K203" t="s">
        <v>109</v>
      </c>
      <c r="L203" s="1" t="s">
        <v>295</v>
      </c>
      <c r="M203">
        <v>11</v>
      </c>
      <c r="N203">
        <v>1.5895999999999986</v>
      </c>
      <c r="O203">
        <v>-2.7350000000000012</v>
      </c>
      <c r="P203">
        <v>-6.9300000000000006</v>
      </c>
      <c r="Q203">
        <v>-1.1599999999999999</v>
      </c>
      <c r="R203">
        <v>8.104000000000001</v>
      </c>
      <c r="S203">
        <v>34.519999999999996</v>
      </c>
      <c r="T203">
        <v>0</v>
      </c>
      <c r="U203">
        <v>4</v>
      </c>
      <c r="V203">
        <v>7</v>
      </c>
      <c r="W203">
        <v>-0.99999999999999978</v>
      </c>
      <c r="X203">
        <v>14</v>
      </c>
      <c r="Y203">
        <v>14</v>
      </c>
      <c r="Z203">
        <v>7</v>
      </c>
      <c r="AA203">
        <v>5.6287993945918116E-2</v>
      </c>
      <c r="AB203">
        <v>9</v>
      </c>
      <c r="AC203">
        <v>6.358214553195715E-3</v>
      </c>
      <c r="AD203">
        <v>26</v>
      </c>
      <c r="AE203">
        <v>9.0079999999999991</v>
      </c>
      <c r="AF203">
        <v>14</v>
      </c>
      <c r="AG203">
        <v>-1.4400000000000002</v>
      </c>
      <c r="AH203">
        <v>-2.0399999999999991</v>
      </c>
      <c r="AI203">
        <v>0.59999999999999964</v>
      </c>
      <c r="AJ203">
        <v>-0.56000000000000016</v>
      </c>
      <c r="AK203">
        <v>17.720000000000006</v>
      </c>
      <c r="AL203">
        <v>32.839999999999989</v>
      </c>
      <c r="AM203">
        <v>-5.4800000000000013</v>
      </c>
      <c r="AN203">
        <v>0.12000000000000002</v>
      </c>
      <c r="AO203">
        <v>-9.76</v>
      </c>
      <c r="AP203">
        <v>10</v>
      </c>
      <c r="AQ203">
        <v>4.3245999999999993</v>
      </c>
      <c r="AR203">
        <v>3.3062200000000006</v>
      </c>
      <c r="AS203">
        <v>38.319999999999993</v>
      </c>
      <c r="AT203">
        <v>-4.3246000000000002</v>
      </c>
      <c r="AU203">
        <v>1.1898249999999999</v>
      </c>
      <c r="AV203">
        <v>0.28627500000000028</v>
      </c>
      <c r="AW203">
        <v>0.34705000000000008</v>
      </c>
      <c r="AX203" t="s">
        <v>301</v>
      </c>
      <c r="AY203">
        <v>14</v>
      </c>
      <c r="AZ203">
        <v>-3.0319999999999991</v>
      </c>
      <c r="BA203">
        <v>5.2160000000000011</v>
      </c>
      <c r="BB203">
        <v>8.9600000000000044</v>
      </c>
      <c r="BC203">
        <v>-1.56</v>
      </c>
      <c r="BD203">
        <v>0.4600000000000013</v>
      </c>
      <c r="BE203">
        <v>21.959999999999994</v>
      </c>
      <c r="BF203">
        <v>0.47999999999999932</v>
      </c>
      <c r="BG203">
        <v>10</v>
      </c>
      <c r="BH203">
        <v>11.5</v>
      </c>
      <c r="BI203">
        <v>4.5999999999999996</v>
      </c>
      <c r="BJ203">
        <v>18</v>
      </c>
      <c r="BK203">
        <v>16.25</v>
      </c>
      <c r="BL203">
        <v>18</v>
      </c>
      <c r="BM203">
        <v>-1.6612738603690492E-2</v>
      </c>
      <c r="BN203">
        <v>16</v>
      </c>
      <c r="BO203">
        <v>1.7043735430308935E-2</v>
      </c>
      <c r="BP203">
        <v>8</v>
      </c>
      <c r="BQ203">
        <v>1.4360000000000042</v>
      </c>
      <c r="BR203">
        <v>23</v>
      </c>
      <c r="BS203">
        <v>-3.9999999999999855E-2</v>
      </c>
      <c r="BT203">
        <v>-4.000000000000057E-2</v>
      </c>
      <c r="BU203">
        <v>5.84</v>
      </c>
      <c r="BV203">
        <v>0.27999999999999992</v>
      </c>
      <c r="BW203">
        <v>24.439999999999998</v>
      </c>
      <c r="BX203">
        <v>2.4</v>
      </c>
      <c r="BY203">
        <v>23.6</v>
      </c>
      <c r="BZ203">
        <v>2.6399999999999997</v>
      </c>
      <c r="CA203">
        <v>-4.2</v>
      </c>
      <c r="CB203">
        <v>31</v>
      </c>
      <c r="CC203">
        <v>-8.2479999999999993</v>
      </c>
      <c r="CD203">
        <v>-3.1223999999999998</v>
      </c>
      <c r="CE203">
        <v>-21.200000000000003</v>
      </c>
      <c r="CF203">
        <v>0.22550000000000042</v>
      </c>
    </row>
    <row r="204" spans="1:84" x14ac:dyDescent="0.2">
      <c r="A204" s="39">
        <v>43786</v>
      </c>
      <c r="B204" s="22" t="s">
        <v>259</v>
      </c>
      <c r="C204" s="41" t="s">
        <v>305</v>
      </c>
      <c r="D204" s="22" t="s">
        <v>311</v>
      </c>
      <c r="E204">
        <v>4.3</v>
      </c>
      <c r="F204">
        <v>3.3</v>
      </c>
      <c r="G204">
        <v>8.5</v>
      </c>
      <c r="H204">
        <f>17.5+4+3.6</f>
        <v>25.1</v>
      </c>
      <c r="I204">
        <v>-4</v>
      </c>
      <c r="J204">
        <v>51</v>
      </c>
      <c r="L204" s="1" t="s">
        <v>305</v>
      </c>
      <c r="M204">
        <v>1</v>
      </c>
      <c r="N204">
        <v>8.4575999999999993</v>
      </c>
      <c r="O204">
        <v>3.056</v>
      </c>
      <c r="P204">
        <v>16.68</v>
      </c>
      <c r="Q204">
        <v>-2.04</v>
      </c>
      <c r="R204">
        <v>-4.3279999999999976</v>
      </c>
      <c r="S204">
        <v>-30.439999999999984</v>
      </c>
      <c r="T204">
        <v>-4.5599999999999987</v>
      </c>
      <c r="U204">
        <v>8</v>
      </c>
      <c r="V204">
        <v>8.5</v>
      </c>
      <c r="W204">
        <v>4.9999999999999982</v>
      </c>
      <c r="X204">
        <v>31</v>
      </c>
      <c r="Y204">
        <v>29.25</v>
      </c>
      <c r="Z204">
        <v>27</v>
      </c>
      <c r="AA204">
        <v>-3.2843124265690214E-2</v>
      </c>
      <c r="AB204">
        <v>31</v>
      </c>
      <c r="AC204">
        <v>-1.8820762357118777E-2</v>
      </c>
      <c r="AD204">
        <v>27</v>
      </c>
      <c r="AE204">
        <v>14.231999999999999</v>
      </c>
      <c r="AF204">
        <v>32</v>
      </c>
      <c r="AG204">
        <v>-5.32</v>
      </c>
      <c r="AH204">
        <v>-1.3199999999999974</v>
      </c>
      <c r="AI204">
        <v>7.44</v>
      </c>
      <c r="AJ204">
        <v>3.8400000000000007</v>
      </c>
      <c r="AK204">
        <v>24.520000000000003</v>
      </c>
      <c r="AL204">
        <v>-54.760000000000012</v>
      </c>
      <c r="AM204">
        <v>22.240000000000002</v>
      </c>
      <c r="AN204">
        <v>-3.08</v>
      </c>
      <c r="AO204">
        <v>60.120000000000005</v>
      </c>
      <c r="AP204">
        <v>6</v>
      </c>
      <c r="AQ204">
        <v>5.4015999999999993</v>
      </c>
      <c r="AR204">
        <v>-0.70208000000000004</v>
      </c>
      <c r="AS204">
        <v>-77.000000000000014</v>
      </c>
      <c r="AT204">
        <v>-5.4015999999999993</v>
      </c>
      <c r="AU204">
        <v>1.2332000000000001</v>
      </c>
      <c r="AV204">
        <v>-0.75787500000000008</v>
      </c>
      <c r="AW204">
        <v>-2.2881499999999999</v>
      </c>
      <c r="AX204" t="s">
        <v>311</v>
      </c>
      <c r="AY204">
        <v>6</v>
      </c>
      <c r="AZ204">
        <v>3.5551999999999979</v>
      </c>
      <c r="BA204">
        <v>0.19200000000000061</v>
      </c>
      <c r="BB204">
        <v>-21.92</v>
      </c>
      <c r="BC204">
        <v>0.7200000000000002</v>
      </c>
      <c r="BD204">
        <v>4.4320000000000004</v>
      </c>
      <c r="BE204">
        <v>15.466666666666665</v>
      </c>
      <c r="BF204">
        <v>0.96</v>
      </c>
      <c r="BG204">
        <v>22</v>
      </c>
      <c r="BH204">
        <v>21.5</v>
      </c>
      <c r="BI204">
        <v>-2.2799999999999998</v>
      </c>
      <c r="BJ204">
        <v>27</v>
      </c>
      <c r="BK204">
        <v>22.75</v>
      </c>
      <c r="BL204">
        <v>31</v>
      </c>
      <c r="BM204">
        <v>-4.81555335803351E-2</v>
      </c>
      <c r="BN204">
        <v>30</v>
      </c>
      <c r="BO204">
        <v>-2.6886412194979437E-2</v>
      </c>
      <c r="BP204">
        <v>2</v>
      </c>
      <c r="BQ204">
        <v>-12.496</v>
      </c>
      <c r="BR204">
        <v>28</v>
      </c>
      <c r="BS204">
        <v>-1.2</v>
      </c>
      <c r="BT204">
        <v>-3.0799999999999996</v>
      </c>
      <c r="BU204">
        <v>1.2</v>
      </c>
      <c r="BV204">
        <v>-2.0000000000000004</v>
      </c>
      <c r="BW204">
        <v>8.7999999999999883</v>
      </c>
      <c r="BX204">
        <v>34.08</v>
      </c>
      <c r="BY204">
        <v>-18.2</v>
      </c>
      <c r="BZ204">
        <v>-5.2</v>
      </c>
      <c r="CA204">
        <v>-1.8799999999999986</v>
      </c>
      <c r="CB204">
        <v>7</v>
      </c>
      <c r="CC204">
        <v>3.3631999999999977</v>
      </c>
      <c r="CD204">
        <v>1.5014399999999992</v>
      </c>
      <c r="CE204">
        <v>52.28</v>
      </c>
      <c r="CF204">
        <v>0.77239999999999975</v>
      </c>
    </row>
    <row r="205" spans="1:84" x14ac:dyDescent="0.2">
      <c r="A205" s="39">
        <v>43786</v>
      </c>
      <c r="B205" s="22" t="s">
        <v>259</v>
      </c>
      <c r="C205" s="41" t="s">
        <v>276</v>
      </c>
      <c r="D205" s="22" t="s">
        <v>293</v>
      </c>
      <c r="E205">
        <v>37.700000000000003</v>
      </c>
      <c r="F205">
        <v>7.8</v>
      </c>
      <c r="G205">
        <v>6.1</v>
      </c>
      <c r="H205">
        <v>12.8</v>
      </c>
      <c r="I205">
        <v>-7</v>
      </c>
      <c r="J205">
        <v>41.5</v>
      </c>
      <c r="K205" t="s">
        <v>110</v>
      </c>
      <c r="L205" s="1" t="s">
        <v>276</v>
      </c>
      <c r="M205">
        <v>4</v>
      </c>
      <c r="N205">
        <v>5.2952000000000021</v>
      </c>
      <c r="O205">
        <v>-5.1439999999999992</v>
      </c>
      <c r="P205">
        <v>-14.399999999999997</v>
      </c>
      <c r="Q205">
        <v>-1.7999999999999998</v>
      </c>
      <c r="R205">
        <v>-2.7189999999999994</v>
      </c>
      <c r="S205">
        <v>-11.700000000000003</v>
      </c>
      <c r="T205">
        <v>-0.2300000000000002</v>
      </c>
      <c r="U205">
        <v>25</v>
      </c>
      <c r="V205">
        <v>23</v>
      </c>
      <c r="W205">
        <v>-1.3199999999999998</v>
      </c>
      <c r="X205">
        <v>24</v>
      </c>
      <c r="Y205">
        <v>20.75</v>
      </c>
      <c r="Z205">
        <v>25</v>
      </c>
      <c r="AA205">
        <v>-3.4739172914955617E-2</v>
      </c>
      <c r="AB205">
        <v>25</v>
      </c>
      <c r="AC205">
        <v>-9.9553279086046845E-3</v>
      </c>
      <c r="AD205">
        <v>5</v>
      </c>
      <c r="AE205">
        <v>-19.027999999999999</v>
      </c>
      <c r="AF205">
        <v>28</v>
      </c>
      <c r="AG205">
        <v>-1.6800000000000004</v>
      </c>
      <c r="AH205">
        <v>-2.3599999999999994</v>
      </c>
      <c r="AI205">
        <v>0.40000000000000069</v>
      </c>
      <c r="AJ205">
        <v>0.72</v>
      </c>
      <c r="AK205">
        <v>-20.320000000000004</v>
      </c>
      <c r="AL205">
        <v>-20.04</v>
      </c>
      <c r="AM205">
        <v>-18.2</v>
      </c>
      <c r="AN205">
        <v>-1.0799999999999998</v>
      </c>
      <c r="AO205">
        <v>19</v>
      </c>
      <c r="AP205">
        <v>2</v>
      </c>
      <c r="AQ205">
        <v>10.439200000000003</v>
      </c>
      <c r="AR205">
        <v>3.0872400000000004</v>
      </c>
      <c r="AS205">
        <v>-1.8399999999999999</v>
      </c>
      <c r="AT205">
        <v>-10.439200000000001</v>
      </c>
      <c r="AU205">
        <v>-0.46097499999999958</v>
      </c>
      <c r="AV205">
        <v>1.110625</v>
      </c>
      <c r="AW205">
        <v>0.88115000000000032</v>
      </c>
      <c r="AX205" t="s">
        <v>293</v>
      </c>
      <c r="AY205">
        <v>2</v>
      </c>
      <c r="AZ205">
        <v>0.68079999999999996</v>
      </c>
      <c r="BA205">
        <v>-0.75600000000000023</v>
      </c>
      <c r="BB205">
        <v>14.76</v>
      </c>
      <c r="BC205">
        <v>-0.35999999999999988</v>
      </c>
      <c r="BD205">
        <v>6.5559999999999974</v>
      </c>
      <c r="BE205">
        <v>20.329999999999998</v>
      </c>
      <c r="BF205">
        <v>3.6100000000000003</v>
      </c>
      <c r="BG205">
        <v>1</v>
      </c>
      <c r="BH205">
        <v>1.5</v>
      </c>
      <c r="BI205">
        <v>0.6</v>
      </c>
      <c r="BJ205">
        <v>31</v>
      </c>
      <c r="BK205">
        <v>29</v>
      </c>
      <c r="BL205">
        <v>29</v>
      </c>
      <c r="BM205">
        <v>-8.1261440817176289E-2</v>
      </c>
      <c r="BN205">
        <v>32</v>
      </c>
      <c r="BO205">
        <v>-2.0590863867861221E-2</v>
      </c>
      <c r="BP205">
        <v>30</v>
      </c>
      <c r="BQ205">
        <v>9.5240000000000009</v>
      </c>
      <c r="BR205">
        <v>25</v>
      </c>
      <c r="BS205">
        <v>-2.2800000000000002</v>
      </c>
      <c r="BT205">
        <v>1.7199999999999989</v>
      </c>
      <c r="BU205">
        <v>2.9600000000000009</v>
      </c>
      <c r="BV205">
        <v>-0.28000000000000008</v>
      </c>
      <c r="BW205">
        <v>38.04</v>
      </c>
      <c r="BX205">
        <v>21.119999999999997</v>
      </c>
      <c r="BY205">
        <v>18.639999999999997</v>
      </c>
      <c r="BZ205">
        <v>-1.3599999999999999</v>
      </c>
      <c r="CA205">
        <v>-0.36000000000000065</v>
      </c>
      <c r="CB205">
        <v>13</v>
      </c>
      <c r="CC205">
        <v>1.4368000000000001</v>
      </c>
      <c r="CD205">
        <v>1.8253599999999999</v>
      </c>
      <c r="CE205">
        <v>2.4800000000000004</v>
      </c>
      <c r="CF205">
        <v>1.3400999999999996</v>
      </c>
    </row>
    <row r="206" spans="1:84" x14ac:dyDescent="0.2">
      <c r="A206" s="39">
        <v>43786</v>
      </c>
      <c r="B206" s="22" t="s">
        <v>259</v>
      </c>
      <c r="C206" s="41" t="s">
        <v>301</v>
      </c>
      <c r="D206" s="22" t="s">
        <v>295</v>
      </c>
      <c r="E206">
        <v>17.5</v>
      </c>
      <c r="F206">
        <v>6.5</v>
      </c>
      <c r="G206">
        <v>2.9</v>
      </c>
      <c r="H206">
        <v>10.7</v>
      </c>
      <c r="I206">
        <v>-3.5</v>
      </c>
      <c r="J206">
        <v>49</v>
      </c>
      <c r="K206" t="s">
        <v>109</v>
      </c>
      <c r="L206" s="1" t="s">
        <v>301</v>
      </c>
      <c r="M206">
        <v>30</v>
      </c>
      <c r="N206">
        <v>-6.1863999999999981</v>
      </c>
      <c r="O206">
        <v>8.4420000000000019</v>
      </c>
      <c r="P206">
        <v>9.1599999999999966</v>
      </c>
      <c r="Q206">
        <v>1.65</v>
      </c>
      <c r="R206">
        <v>-5.104000000000001</v>
      </c>
      <c r="S206">
        <v>-11.890000000000006</v>
      </c>
      <c r="T206">
        <v>3.1400000000000006</v>
      </c>
      <c r="U206">
        <v>32</v>
      </c>
      <c r="V206">
        <v>31.5</v>
      </c>
      <c r="W206">
        <v>-3.9999999999999855E-2</v>
      </c>
      <c r="X206">
        <v>4</v>
      </c>
      <c r="Y206">
        <v>8.5</v>
      </c>
      <c r="Z206">
        <v>4</v>
      </c>
      <c r="AA206">
        <v>6.5213301754995068E-2</v>
      </c>
      <c r="AB206">
        <v>6</v>
      </c>
      <c r="AC206">
        <v>2.1875557310148584E-2</v>
      </c>
      <c r="AD206">
        <v>17</v>
      </c>
      <c r="AE206">
        <v>-5.5959999999999992</v>
      </c>
      <c r="AF206">
        <v>7</v>
      </c>
      <c r="AG206">
        <v>4.5999999999999996</v>
      </c>
      <c r="AH206">
        <v>3.1200000000000019</v>
      </c>
      <c r="AI206">
        <v>-3.6399999999999997</v>
      </c>
      <c r="AJ206">
        <v>-0.51999999999999991</v>
      </c>
      <c r="AK206">
        <v>-13.439999999999987</v>
      </c>
      <c r="AL206">
        <v>-13.159999999999997</v>
      </c>
      <c r="AM206">
        <v>8.2800000000000011</v>
      </c>
      <c r="AN206">
        <v>1.6</v>
      </c>
      <c r="AO206">
        <v>-10.16</v>
      </c>
      <c r="AP206">
        <v>32</v>
      </c>
      <c r="AQ206">
        <v>-14.628399999999999</v>
      </c>
      <c r="AR206">
        <v>-6.4790800000000015</v>
      </c>
      <c r="AS206">
        <v>-21.439999999999998</v>
      </c>
      <c r="AT206">
        <v>14.628399999999999</v>
      </c>
      <c r="AU206">
        <v>-0.74104999999999965</v>
      </c>
      <c r="AV206">
        <v>0.28627500000000028</v>
      </c>
      <c r="AW206">
        <v>0.22550000000000042</v>
      </c>
      <c r="AX206" t="s">
        <v>295</v>
      </c>
      <c r="AY206">
        <v>27</v>
      </c>
      <c r="AZ206">
        <v>1.3343999999999998</v>
      </c>
      <c r="BA206">
        <v>1.0180000000000002</v>
      </c>
      <c r="BB206">
        <v>-17.749999999999996</v>
      </c>
      <c r="BC206">
        <v>1.7799999999999998</v>
      </c>
      <c r="BD206">
        <v>-1.2959999999999994</v>
      </c>
      <c r="BE206">
        <v>2.4400000000000022</v>
      </c>
      <c r="BF206">
        <v>1.4</v>
      </c>
      <c r="BG206">
        <v>17</v>
      </c>
      <c r="BH206">
        <v>14.5</v>
      </c>
      <c r="BI206">
        <v>-1.56</v>
      </c>
      <c r="BJ206">
        <v>19</v>
      </c>
      <c r="BK206">
        <v>16.5</v>
      </c>
      <c r="BL206">
        <v>10</v>
      </c>
      <c r="BM206">
        <v>-1.3306066293360624E-2</v>
      </c>
      <c r="BN206">
        <v>20</v>
      </c>
      <c r="BO206">
        <v>-3.221877102249175E-3</v>
      </c>
      <c r="BP206">
        <v>25</v>
      </c>
      <c r="BQ206">
        <v>12.979999999999995</v>
      </c>
      <c r="BR206">
        <v>11</v>
      </c>
      <c r="BS206">
        <v>-0.87999999999999989</v>
      </c>
      <c r="BT206">
        <v>1.5200000000000031</v>
      </c>
      <c r="BU206">
        <v>-1.3599999999999994</v>
      </c>
      <c r="BV206">
        <v>3.9999999999999945E-2</v>
      </c>
      <c r="BW206">
        <v>14.920000000000005</v>
      </c>
      <c r="BX206">
        <v>29.159999999999989</v>
      </c>
      <c r="BY206">
        <v>-9.6400000000000041</v>
      </c>
      <c r="BZ206">
        <v>-1.52</v>
      </c>
      <c r="CA206">
        <v>-3.0799999999999996</v>
      </c>
      <c r="CB206">
        <v>17</v>
      </c>
      <c r="CC206">
        <v>0.31639999999999935</v>
      </c>
      <c r="CD206">
        <v>-0.50131999999999999</v>
      </c>
      <c r="CE206">
        <v>38.799999999999997</v>
      </c>
      <c r="CF206">
        <v>0.34705000000000008</v>
      </c>
    </row>
    <row r="207" spans="1:84" x14ac:dyDescent="0.2">
      <c r="A207" s="39">
        <v>43786</v>
      </c>
      <c r="B207" s="22" t="s">
        <v>259</v>
      </c>
      <c r="C207" s="41" t="s">
        <v>265</v>
      </c>
      <c r="D207" s="22" t="s">
        <v>304</v>
      </c>
      <c r="E207">
        <v>5.5</v>
      </c>
      <c r="F207">
        <v>12.7</v>
      </c>
      <c r="G207">
        <v>11.4</v>
      </c>
      <c r="H207">
        <v>1.8</v>
      </c>
      <c r="I207">
        <v>5</v>
      </c>
      <c r="J207">
        <v>40</v>
      </c>
      <c r="L207" s="1" t="s">
        <v>265</v>
      </c>
      <c r="M207">
        <v>28</v>
      </c>
      <c r="N207">
        <v>-4.1024000000000012</v>
      </c>
      <c r="O207">
        <v>0.26499999999999968</v>
      </c>
      <c r="P207">
        <v>-5.65</v>
      </c>
      <c r="Q207">
        <v>2</v>
      </c>
      <c r="R207">
        <v>-9.4040000000000017</v>
      </c>
      <c r="S207">
        <v>-40.760000000000005</v>
      </c>
      <c r="T207">
        <v>-0.87999999999999989</v>
      </c>
      <c r="U207">
        <v>30</v>
      </c>
      <c r="V207">
        <v>29.5</v>
      </c>
      <c r="W207">
        <v>-1.4799999999999995</v>
      </c>
      <c r="X207">
        <v>18</v>
      </c>
      <c r="Y207">
        <v>15.5</v>
      </c>
      <c r="Z207">
        <v>20</v>
      </c>
      <c r="AA207">
        <v>2.2917733476831702E-2</v>
      </c>
      <c r="AB207">
        <v>11</v>
      </c>
      <c r="AC207">
        <v>2.4751229942798519E-2</v>
      </c>
      <c r="AD207">
        <v>20</v>
      </c>
      <c r="AE207">
        <v>-6.3320000000000034</v>
      </c>
      <c r="AF207">
        <v>11</v>
      </c>
      <c r="AG207">
        <v>0.99999999999999967</v>
      </c>
      <c r="AH207">
        <v>-1.5200000000000002</v>
      </c>
      <c r="AI207">
        <v>-4.68</v>
      </c>
      <c r="AJ207">
        <v>0.28000000000000008</v>
      </c>
      <c r="AK207">
        <v>-54.92</v>
      </c>
      <c r="AL207">
        <v>-43.279999999999994</v>
      </c>
      <c r="AM207">
        <v>-6.2399999999999975</v>
      </c>
      <c r="AN207">
        <v>-3.9599999999999995</v>
      </c>
      <c r="AO207">
        <v>-1.4400000000000002</v>
      </c>
      <c r="AP207">
        <v>22</v>
      </c>
      <c r="AQ207">
        <v>-4.3674000000000008</v>
      </c>
      <c r="AR207">
        <v>-2.83378</v>
      </c>
      <c r="AS207">
        <v>-37.04</v>
      </c>
      <c r="AT207">
        <v>4.3674000000000008</v>
      </c>
      <c r="AU207">
        <v>-1.9651750000000003</v>
      </c>
      <c r="AV207">
        <v>-0.97109999999999985</v>
      </c>
      <c r="AW207">
        <v>-0.90109999999999979</v>
      </c>
      <c r="AX207" t="s">
        <v>304</v>
      </c>
      <c r="AY207">
        <v>16</v>
      </c>
      <c r="AZ207">
        <v>-2.1128</v>
      </c>
      <c r="BA207">
        <v>-3.2560000000000011</v>
      </c>
      <c r="BB207">
        <v>-13.52</v>
      </c>
      <c r="BC207">
        <v>0.59999999999999987</v>
      </c>
      <c r="BD207">
        <v>-0.51999999999999913</v>
      </c>
      <c r="BE207">
        <v>8.0100000000000051</v>
      </c>
      <c r="BF207">
        <v>4.33</v>
      </c>
      <c r="BG207">
        <v>28</v>
      </c>
      <c r="BH207">
        <v>26.5</v>
      </c>
      <c r="BI207">
        <v>-1.52</v>
      </c>
      <c r="BJ207">
        <v>14</v>
      </c>
      <c r="BK207">
        <v>15</v>
      </c>
      <c r="BL207">
        <v>22</v>
      </c>
      <c r="BM207">
        <v>-6.6439737741890992E-3</v>
      </c>
      <c r="BN207">
        <v>10</v>
      </c>
      <c r="BO207">
        <v>7.6921269192743334E-3</v>
      </c>
      <c r="BP207">
        <v>22</v>
      </c>
      <c r="BQ207">
        <v>2.8480000000000003</v>
      </c>
      <c r="BR207">
        <v>6</v>
      </c>
      <c r="BS207">
        <v>3.8800000000000003</v>
      </c>
      <c r="BT207">
        <v>5.6400000000000006</v>
      </c>
      <c r="BU207">
        <v>-7</v>
      </c>
      <c r="BV207">
        <v>-0.83999999999999986</v>
      </c>
      <c r="BW207">
        <v>-16.359999999999992</v>
      </c>
      <c r="BX207">
        <v>7.0799999999999956</v>
      </c>
      <c r="BY207">
        <v>-14.520000000000001</v>
      </c>
      <c r="BZ207">
        <v>-2.5599999999999996</v>
      </c>
      <c r="CA207">
        <v>-6.3600000000000012</v>
      </c>
      <c r="CB207">
        <v>14</v>
      </c>
      <c r="CC207">
        <v>1.1432000000000009</v>
      </c>
      <c r="CD207">
        <v>1.1014400000000006</v>
      </c>
      <c r="CE207">
        <v>21.599999999999998</v>
      </c>
      <c r="CF207">
        <v>-1.0410999999999999</v>
      </c>
    </row>
    <row r="208" spans="1:84" x14ac:dyDescent="0.2">
      <c r="A208" s="39">
        <v>43786</v>
      </c>
      <c r="B208" s="28" t="s">
        <v>259</v>
      </c>
      <c r="C208" s="17" t="s">
        <v>272</v>
      </c>
      <c r="D208" s="28" t="s">
        <v>303</v>
      </c>
      <c r="E208" s="3">
        <v>2</v>
      </c>
      <c r="F208" s="3">
        <v>9.6</v>
      </c>
      <c r="G208" s="3">
        <v>1</v>
      </c>
      <c r="H208" s="3">
        <v>2.6</v>
      </c>
      <c r="I208" s="3">
        <v>13</v>
      </c>
      <c r="J208" s="3">
        <v>48</v>
      </c>
      <c r="K208" t="s">
        <v>110</v>
      </c>
      <c r="L208" s="1" t="s">
        <v>272</v>
      </c>
      <c r="M208">
        <v>18</v>
      </c>
      <c r="N208">
        <v>-1.2119999999999993</v>
      </c>
      <c r="O208">
        <v>-3.2879999999999989</v>
      </c>
      <c r="P208">
        <v>-10.719999999999999</v>
      </c>
      <c r="Q208">
        <v>-0.3999999999999998</v>
      </c>
      <c r="R208">
        <v>-4.7139999999999986</v>
      </c>
      <c r="S208">
        <v>0.71999999999999753</v>
      </c>
      <c r="T208">
        <v>3.0400000000000005</v>
      </c>
      <c r="U208">
        <v>12</v>
      </c>
      <c r="V208">
        <v>11.5</v>
      </c>
      <c r="W208">
        <v>-1.1600000000000004</v>
      </c>
      <c r="X208">
        <v>10</v>
      </c>
      <c r="Y208">
        <v>12.75</v>
      </c>
      <c r="Z208">
        <v>13</v>
      </c>
      <c r="AA208">
        <v>-4.2474291775310542E-2</v>
      </c>
      <c r="AB208">
        <v>15</v>
      </c>
      <c r="AC208">
        <v>-2.9795017574596626E-3</v>
      </c>
      <c r="AD208">
        <v>11</v>
      </c>
      <c r="AE208">
        <v>1.7679999999999978</v>
      </c>
      <c r="AF208">
        <v>12</v>
      </c>
      <c r="AG208">
        <v>1.56</v>
      </c>
      <c r="AH208">
        <v>1.4400000000000006</v>
      </c>
      <c r="AI208">
        <v>-4.8</v>
      </c>
      <c r="AJ208">
        <v>0.55999999999999994</v>
      </c>
      <c r="AK208">
        <v>-16.920000000000005</v>
      </c>
      <c r="AL208">
        <v>-13.6</v>
      </c>
      <c r="AM208">
        <v>-14.000000000000004</v>
      </c>
      <c r="AN208">
        <v>2.52</v>
      </c>
      <c r="AO208">
        <v>8.16</v>
      </c>
      <c r="AP208">
        <v>13</v>
      </c>
      <c r="AQ208">
        <v>2.0759999999999996</v>
      </c>
      <c r="AR208">
        <v>0.45879999999999987</v>
      </c>
      <c r="AS208">
        <v>0.40000000000000391</v>
      </c>
      <c r="AT208">
        <v>-2.0759999999999996</v>
      </c>
      <c r="AU208">
        <v>-1.2417499999999995</v>
      </c>
      <c r="AV208">
        <v>1.0511000000000001</v>
      </c>
      <c r="AW208">
        <v>0.98389999999999989</v>
      </c>
      <c r="AX208" t="s">
        <v>303</v>
      </c>
      <c r="AY208">
        <v>13</v>
      </c>
      <c r="AZ208">
        <v>4.3024000000000004</v>
      </c>
      <c r="BA208">
        <v>1.7400000000000009</v>
      </c>
      <c r="BB208">
        <v>3.799999999999998</v>
      </c>
      <c r="BC208">
        <v>-3.9999999999999925E-2</v>
      </c>
      <c r="BD208">
        <v>3.5040000000000013</v>
      </c>
      <c r="BE208">
        <v>9.8399999999999981</v>
      </c>
      <c r="BF208">
        <v>0.40000000000000036</v>
      </c>
      <c r="BG208">
        <v>27</v>
      </c>
      <c r="BH208">
        <v>25.5</v>
      </c>
      <c r="BI208">
        <v>-0.83999999999999986</v>
      </c>
      <c r="BJ208">
        <v>10</v>
      </c>
      <c r="BK208">
        <v>13.25</v>
      </c>
      <c r="BL208">
        <v>12</v>
      </c>
      <c r="BM208">
        <v>2.2682625349539708E-2</v>
      </c>
      <c r="BN208">
        <v>11</v>
      </c>
      <c r="BO208">
        <v>1.7265658483249326E-2</v>
      </c>
      <c r="BP208">
        <v>12</v>
      </c>
      <c r="BQ208">
        <v>8.5200000000000014</v>
      </c>
      <c r="BR208">
        <v>18</v>
      </c>
      <c r="BS208">
        <v>-0.43999999999999984</v>
      </c>
      <c r="BT208">
        <v>2.8421709430404009E-15</v>
      </c>
      <c r="BU208">
        <v>4.3599999999999994</v>
      </c>
      <c r="BV208">
        <v>-0.55999999999999994</v>
      </c>
      <c r="BW208">
        <v>32.480000000000004</v>
      </c>
      <c r="BX208">
        <v>18.760000000000002</v>
      </c>
      <c r="BY208">
        <v>5.3199999999999985</v>
      </c>
      <c r="BZ208">
        <v>3.7199999999999998</v>
      </c>
      <c r="CA208">
        <v>4.6800000000000006</v>
      </c>
      <c r="CB208">
        <v>10</v>
      </c>
      <c r="CC208">
        <v>2.5623999999999998</v>
      </c>
      <c r="CD208">
        <v>0.69127999999999978</v>
      </c>
      <c r="CE208">
        <v>13.440000000000003</v>
      </c>
      <c r="CF208">
        <v>1.1183000000000003</v>
      </c>
    </row>
    <row r="209" spans="1:84" x14ac:dyDescent="0.2">
      <c r="A209" s="39">
        <v>43786</v>
      </c>
      <c r="B209" s="22" t="s">
        <v>259</v>
      </c>
      <c r="C209" s="41" t="s">
        <v>281</v>
      </c>
      <c r="D209" s="22" t="s">
        <v>309</v>
      </c>
      <c r="E209">
        <v>10</v>
      </c>
      <c r="F209">
        <v>14.3</v>
      </c>
      <c r="G209">
        <v>5.0999999999999996</v>
      </c>
      <c r="H209">
        <v>7.8</v>
      </c>
      <c r="I209">
        <v>-3</v>
      </c>
      <c r="J209">
        <v>41.5</v>
      </c>
      <c r="L209" s="1" t="s">
        <v>281</v>
      </c>
      <c r="M209">
        <v>10</v>
      </c>
      <c r="N209">
        <v>1.9307999999999996</v>
      </c>
      <c r="O209">
        <v>7.104000000000001</v>
      </c>
      <c r="P209">
        <v>35.319999999999993</v>
      </c>
      <c r="Q209">
        <v>2.6799999999999997</v>
      </c>
      <c r="R209">
        <v>0.25600000000000156</v>
      </c>
      <c r="S209">
        <v>-1.5600000000000058</v>
      </c>
      <c r="T209">
        <v>0.88000000000000034</v>
      </c>
      <c r="U209">
        <v>4</v>
      </c>
      <c r="V209">
        <v>7</v>
      </c>
      <c r="W209">
        <v>-1.2000000000000002</v>
      </c>
      <c r="X209">
        <v>30</v>
      </c>
      <c r="Y209">
        <v>29</v>
      </c>
      <c r="Z209">
        <v>31</v>
      </c>
      <c r="AA209">
        <v>-6.3466727730403905E-2</v>
      </c>
      <c r="AB209">
        <v>30</v>
      </c>
      <c r="AC209">
        <v>-1.9804354691977624E-2</v>
      </c>
      <c r="AD209">
        <v>24</v>
      </c>
      <c r="AE209">
        <v>7.1639999999999988</v>
      </c>
      <c r="AF209">
        <v>31</v>
      </c>
      <c r="AG209">
        <v>-3.4800000000000004</v>
      </c>
      <c r="AH209">
        <v>2.3600000000000008</v>
      </c>
      <c r="AI209">
        <v>2.5999999999999996</v>
      </c>
      <c r="AJ209">
        <v>-2.4</v>
      </c>
      <c r="AK209">
        <v>25.320000000000014</v>
      </c>
      <c r="AL209">
        <v>-1.7600000000000022</v>
      </c>
      <c r="AM209">
        <v>31.439999999999998</v>
      </c>
      <c r="AN209">
        <v>-2.84</v>
      </c>
      <c r="AO209">
        <v>-1.52</v>
      </c>
      <c r="AP209">
        <v>24</v>
      </c>
      <c r="AQ209">
        <v>-5.1732000000000014</v>
      </c>
      <c r="AR209">
        <v>-3.1146400000000005</v>
      </c>
      <c r="AS209">
        <v>-33.200000000000003</v>
      </c>
      <c r="AT209">
        <v>5.1732000000000014</v>
      </c>
      <c r="AU209">
        <v>1.2413500000000002</v>
      </c>
      <c r="AV209">
        <v>-0.79776250000000004</v>
      </c>
      <c r="AW209">
        <v>-0.51947500000000013</v>
      </c>
      <c r="AX209" t="s">
        <v>309</v>
      </c>
      <c r="AY209">
        <v>31</v>
      </c>
      <c r="AZ209">
        <v>0.10759999999999917</v>
      </c>
      <c r="BA209">
        <v>-8.7879999999999985</v>
      </c>
      <c r="BB209">
        <v>-16.519999999999996</v>
      </c>
      <c r="BC209">
        <v>4.0000000000000022E-2</v>
      </c>
      <c r="BD209">
        <v>3.1920000000000002</v>
      </c>
      <c r="BE209">
        <v>-1.7600000000000007</v>
      </c>
      <c r="BF209">
        <v>1.1200000000000003</v>
      </c>
      <c r="BG209">
        <v>30</v>
      </c>
      <c r="BH209">
        <v>27.5</v>
      </c>
      <c r="BI209">
        <v>2.3199999999999998</v>
      </c>
      <c r="BJ209">
        <v>1</v>
      </c>
      <c r="BK209">
        <v>5.25</v>
      </c>
      <c r="BL209">
        <v>2</v>
      </c>
      <c r="BM209">
        <v>9.8323110752909143E-2</v>
      </c>
      <c r="BN209">
        <v>1</v>
      </c>
      <c r="BO209">
        <v>1.015920470018312E-2</v>
      </c>
      <c r="BP209">
        <v>16</v>
      </c>
      <c r="BQ209">
        <v>-0.37599999999999911</v>
      </c>
      <c r="BR209">
        <v>2</v>
      </c>
      <c r="BS209">
        <v>6.04</v>
      </c>
      <c r="BT209">
        <v>1.1600000000000008</v>
      </c>
      <c r="BU209">
        <v>-3.9200000000000004</v>
      </c>
      <c r="BV209">
        <v>1.04</v>
      </c>
      <c r="BW209">
        <v>-23.600000000000012</v>
      </c>
      <c r="BX209">
        <v>-5.0400000000000036</v>
      </c>
      <c r="BY209">
        <v>-17.360000000000003</v>
      </c>
      <c r="BZ209">
        <v>1.28</v>
      </c>
      <c r="CA209">
        <v>-2.48</v>
      </c>
      <c r="CB209">
        <v>2</v>
      </c>
      <c r="CC209">
        <v>8.8955999999999982</v>
      </c>
      <c r="CD209">
        <v>5.0539199999999989</v>
      </c>
      <c r="CE209">
        <v>12.32</v>
      </c>
      <c r="CF209">
        <v>-1.07605</v>
      </c>
    </row>
    <row r="210" spans="1:84" x14ac:dyDescent="0.2">
      <c r="A210" s="39">
        <v>43786</v>
      </c>
      <c r="B210" s="22" t="s">
        <v>259</v>
      </c>
      <c r="C210" s="41" t="s">
        <v>291</v>
      </c>
      <c r="D210" s="22" t="s">
        <v>299</v>
      </c>
      <c r="E210">
        <v>6.8</v>
      </c>
      <c r="F210">
        <v>26.8</v>
      </c>
      <c r="G210">
        <v>24.5</v>
      </c>
      <c r="H210">
        <f>8.3+5.8</f>
        <v>14.100000000000001</v>
      </c>
      <c r="I210">
        <v>-7.5</v>
      </c>
      <c r="J210">
        <v>46.5</v>
      </c>
      <c r="K210" t="s">
        <v>109</v>
      </c>
      <c r="L210" s="1" t="s">
        <v>291</v>
      </c>
      <c r="M210">
        <v>5</v>
      </c>
      <c r="N210">
        <v>3.3167999999999993</v>
      </c>
      <c r="O210">
        <v>2.996</v>
      </c>
      <c r="P210">
        <v>24.92</v>
      </c>
      <c r="Q210">
        <v>-0.27999999999999992</v>
      </c>
      <c r="R210">
        <v>13.292000000000002</v>
      </c>
      <c r="S210">
        <v>79.53</v>
      </c>
      <c r="T210">
        <v>7.12</v>
      </c>
      <c r="U210">
        <v>11</v>
      </c>
      <c r="V210">
        <v>9.5</v>
      </c>
      <c r="W210">
        <v>-0.59999999999999987</v>
      </c>
      <c r="X210">
        <v>26</v>
      </c>
      <c r="Y210">
        <v>22.25</v>
      </c>
      <c r="Z210">
        <v>18</v>
      </c>
      <c r="AA210">
        <v>3.8730094177784252E-2</v>
      </c>
      <c r="AB210">
        <v>32</v>
      </c>
      <c r="AC210">
        <v>-3.6937959384844454E-2</v>
      </c>
      <c r="AD210">
        <v>16</v>
      </c>
      <c r="AE210">
        <v>8.7559999999999949</v>
      </c>
      <c r="AF210">
        <v>23</v>
      </c>
      <c r="AG210">
        <v>-4.08</v>
      </c>
      <c r="AH210">
        <v>5.5599999999999978</v>
      </c>
      <c r="AI210">
        <v>4.0399999999999991</v>
      </c>
      <c r="AJ210">
        <v>-0.16</v>
      </c>
      <c r="AK210">
        <v>75.839999999999989</v>
      </c>
      <c r="AL210">
        <v>52.08</v>
      </c>
      <c r="AM210">
        <v>19.68</v>
      </c>
      <c r="AN210">
        <v>0.76000000000000012</v>
      </c>
      <c r="AO210">
        <v>3.3200000000000003</v>
      </c>
      <c r="AP210">
        <v>15</v>
      </c>
      <c r="AQ210">
        <v>0.32079999999999931</v>
      </c>
      <c r="AR210">
        <v>1.8237600000000003</v>
      </c>
      <c r="AS210">
        <v>32.4</v>
      </c>
      <c r="AT210">
        <v>-0.32079999999999931</v>
      </c>
      <c r="AU210">
        <v>2.9606000000000003</v>
      </c>
      <c r="AV210">
        <v>0.87498749999999992</v>
      </c>
      <c r="AW210">
        <v>-0.9960500000000001</v>
      </c>
      <c r="AX210" t="s">
        <v>299</v>
      </c>
      <c r="AY210">
        <v>3</v>
      </c>
      <c r="AZ210">
        <v>7.1568000000000014</v>
      </c>
      <c r="BA210">
        <v>8.5643999999999991</v>
      </c>
      <c r="BB210">
        <v>4.2</v>
      </c>
      <c r="BC210">
        <v>-1.9599999999999997</v>
      </c>
      <c r="BD210">
        <v>8.1670000000000016</v>
      </c>
      <c r="BE210">
        <v>32.129999999999995</v>
      </c>
      <c r="BF210">
        <v>1.1000000000000001</v>
      </c>
      <c r="BG210">
        <v>12</v>
      </c>
      <c r="BH210">
        <v>12.5</v>
      </c>
      <c r="BI210">
        <v>-1.24</v>
      </c>
      <c r="BJ210">
        <v>24</v>
      </c>
      <c r="BK210">
        <v>21</v>
      </c>
      <c r="BL210">
        <v>26</v>
      </c>
      <c r="BM210">
        <v>-8.3218223965267346E-3</v>
      </c>
      <c r="BN210">
        <v>23</v>
      </c>
      <c r="BO210">
        <v>-1.5286251779972726E-3</v>
      </c>
      <c r="BP210">
        <v>5</v>
      </c>
      <c r="BQ210">
        <v>-3.3080000000000025</v>
      </c>
      <c r="BR210">
        <v>30</v>
      </c>
      <c r="BS210">
        <v>-3.72</v>
      </c>
      <c r="BT210">
        <v>1.6400000000000006</v>
      </c>
      <c r="BU210">
        <v>7.4799999999999995</v>
      </c>
      <c r="BV210">
        <v>-1.4</v>
      </c>
      <c r="BW210">
        <v>54.36</v>
      </c>
      <c r="BX210">
        <v>47.2</v>
      </c>
      <c r="BY210">
        <v>8.52</v>
      </c>
      <c r="BZ210">
        <v>1.5200000000000007</v>
      </c>
      <c r="CA210">
        <v>-2.88</v>
      </c>
      <c r="CB210">
        <v>21</v>
      </c>
      <c r="CC210">
        <v>-1.4075999999999969</v>
      </c>
      <c r="CD210">
        <v>-1.217439999999999</v>
      </c>
      <c r="CE210">
        <v>38.680000000000007</v>
      </c>
      <c r="CF210">
        <v>2.7460249999999999</v>
      </c>
    </row>
    <row r="211" spans="1:84" x14ac:dyDescent="0.2">
      <c r="A211" s="39">
        <v>43786</v>
      </c>
      <c r="B211" t="s">
        <v>259</v>
      </c>
      <c r="C211" s="41" t="s">
        <v>278</v>
      </c>
      <c r="D211" t="s">
        <v>312</v>
      </c>
      <c r="E211">
        <v>21.82</v>
      </c>
      <c r="F211">
        <v>11.7</v>
      </c>
      <c r="G211">
        <v>0</v>
      </c>
      <c r="H211">
        <v>16.600000000000001</v>
      </c>
      <c r="I211">
        <v>10</v>
      </c>
      <c r="J211">
        <v>40.5</v>
      </c>
      <c r="L211" s="4" t="s">
        <v>278</v>
      </c>
      <c r="M211" s="3">
        <v>32</v>
      </c>
      <c r="N211" s="3">
        <v>-9.2216000000000005</v>
      </c>
      <c r="O211">
        <v>-3.0476000000000028</v>
      </c>
      <c r="P211">
        <v>9.7600000000000016</v>
      </c>
      <c r="Q211">
        <v>-1.3599999999999999</v>
      </c>
      <c r="R211">
        <v>-10.479000000000001</v>
      </c>
      <c r="S211">
        <v>-27.419999999999995</v>
      </c>
      <c r="T211">
        <v>-3.7900000000000005</v>
      </c>
      <c r="U211">
        <v>10</v>
      </c>
      <c r="V211">
        <v>9</v>
      </c>
      <c r="W211">
        <v>2.04</v>
      </c>
      <c r="X211">
        <v>22</v>
      </c>
      <c r="Y211">
        <v>20.25</v>
      </c>
      <c r="Z211">
        <v>15</v>
      </c>
      <c r="AA211">
        <v>-3.2912960937462064E-2</v>
      </c>
      <c r="AB211">
        <v>19</v>
      </c>
      <c r="AC211">
        <v>2.2541249377095285E-2</v>
      </c>
      <c r="AD211">
        <v>28</v>
      </c>
      <c r="AE211">
        <v>2.7199999999999975</v>
      </c>
      <c r="AF211">
        <v>19</v>
      </c>
      <c r="AG211">
        <v>1.4799999999999995</v>
      </c>
      <c r="AH211">
        <v>-2.6400000000000019</v>
      </c>
      <c r="AI211">
        <v>-4.88</v>
      </c>
      <c r="AJ211">
        <v>-0.91999999999999993</v>
      </c>
      <c r="AK211">
        <v>-57.719999999999992</v>
      </c>
      <c r="AL211">
        <v>-63.160000000000011</v>
      </c>
      <c r="AM211">
        <v>11.079999999999998</v>
      </c>
      <c r="AN211">
        <v>0.16000000000000006</v>
      </c>
      <c r="AO211">
        <v>-5.8</v>
      </c>
      <c r="AP211">
        <v>28</v>
      </c>
      <c r="AQ211">
        <v>-6.1739999999999977</v>
      </c>
      <c r="AR211">
        <v>-2.416319999999998</v>
      </c>
      <c r="AS211">
        <v>-74.240000000000009</v>
      </c>
      <c r="AT211">
        <v>6.1739999999999977</v>
      </c>
      <c r="AU211">
        <v>-2.8585250000000002</v>
      </c>
      <c r="AV211">
        <v>-0.28638749999999991</v>
      </c>
      <c r="AW211">
        <v>-1.9458499999999996</v>
      </c>
      <c r="AX211" t="s">
        <v>312</v>
      </c>
      <c r="AY211">
        <v>7</v>
      </c>
      <c r="AZ211">
        <v>1.6215999999999995</v>
      </c>
      <c r="BA211">
        <v>-1.7320000000000004</v>
      </c>
      <c r="BB211">
        <v>-8.2000000000000011</v>
      </c>
      <c r="BC211">
        <v>-0.47999999999999987</v>
      </c>
      <c r="BD211">
        <v>9.4550000000000001</v>
      </c>
      <c r="BE211">
        <v>30.530000000000005</v>
      </c>
      <c r="BF211">
        <v>5.7799999999999994</v>
      </c>
      <c r="BG211">
        <v>11</v>
      </c>
      <c r="BH211">
        <v>12</v>
      </c>
      <c r="BI211">
        <v>-4.9599999999999991</v>
      </c>
      <c r="BJ211">
        <v>7</v>
      </c>
      <c r="BK211">
        <v>12.25</v>
      </c>
      <c r="BL211">
        <v>19</v>
      </c>
      <c r="BM211">
        <v>4.4516385770170329E-2</v>
      </c>
      <c r="BN211">
        <v>13</v>
      </c>
      <c r="BO211">
        <v>6.8789585251140765E-3</v>
      </c>
      <c r="BP211">
        <v>1</v>
      </c>
      <c r="BQ211">
        <v>-12.955999999999994</v>
      </c>
      <c r="BR211">
        <v>16</v>
      </c>
      <c r="BS211">
        <v>0.76000000000000012</v>
      </c>
      <c r="BT211">
        <v>-1.9199999999999988</v>
      </c>
      <c r="BU211">
        <v>0.19999999999999893</v>
      </c>
      <c r="BV211">
        <v>-0.83999999999999986</v>
      </c>
      <c r="BW211">
        <v>27.080000000000005</v>
      </c>
      <c r="BX211">
        <v>39.799999999999997</v>
      </c>
      <c r="BY211">
        <v>-7.5200000000000014</v>
      </c>
      <c r="BZ211">
        <v>0.87999999999999967</v>
      </c>
      <c r="CA211">
        <v>-6.08</v>
      </c>
      <c r="CB211">
        <v>8</v>
      </c>
      <c r="CC211">
        <v>3.3536000000000001</v>
      </c>
      <c r="CD211">
        <v>3.0813199999999998</v>
      </c>
      <c r="CE211">
        <v>47.32</v>
      </c>
      <c r="CF211">
        <v>1.3730749999999998</v>
      </c>
    </row>
    <row r="212" spans="1:84" x14ac:dyDescent="0.2">
      <c r="A212" s="39">
        <v>43786</v>
      </c>
      <c r="B212" s="22" t="s">
        <v>259</v>
      </c>
      <c r="C212" s="41" t="s">
        <v>299</v>
      </c>
      <c r="D212" s="22" t="s">
        <v>291</v>
      </c>
      <c r="E212">
        <v>4.4000000000000004</v>
      </c>
      <c r="F212">
        <v>19.899999999999999</v>
      </c>
      <c r="G212">
        <v>8.6999999999999993</v>
      </c>
      <c r="H212">
        <v>1.6</v>
      </c>
      <c r="I212">
        <v>7.5</v>
      </c>
      <c r="J212">
        <v>46.5</v>
      </c>
      <c r="K212" t="s">
        <v>109</v>
      </c>
      <c r="L212" s="1" t="s">
        <v>299</v>
      </c>
      <c r="M212">
        <v>2</v>
      </c>
      <c r="N212">
        <v>6.7496000000000009</v>
      </c>
      <c r="O212">
        <v>-5.8160000000000007</v>
      </c>
      <c r="P212">
        <v>-22.44</v>
      </c>
      <c r="Q212">
        <v>0.76</v>
      </c>
      <c r="R212">
        <v>12.668000000000001</v>
      </c>
      <c r="S212">
        <v>46.360000000000007</v>
      </c>
      <c r="T212">
        <v>2.3999999999999995</v>
      </c>
      <c r="U212">
        <v>23</v>
      </c>
      <c r="V212">
        <v>22.5</v>
      </c>
      <c r="W212">
        <v>-3.72</v>
      </c>
      <c r="X212">
        <v>5</v>
      </c>
      <c r="Y212">
        <v>9</v>
      </c>
      <c r="Z212">
        <v>6</v>
      </c>
      <c r="AA212">
        <v>5.8564648081675233E-2</v>
      </c>
      <c r="AB212">
        <v>12</v>
      </c>
      <c r="AC212">
        <v>-5.5739160079465856E-4</v>
      </c>
      <c r="AD212">
        <v>9</v>
      </c>
      <c r="AE212">
        <v>2.4599999999999951</v>
      </c>
      <c r="AF212">
        <v>9</v>
      </c>
      <c r="AG212">
        <v>-1.24</v>
      </c>
      <c r="AH212">
        <v>1.8399999999999976</v>
      </c>
      <c r="AI212">
        <v>0.6</v>
      </c>
      <c r="AJ212">
        <v>-0.08</v>
      </c>
      <c r="AK212">
        <v>32.359999999999992</v>
      </c>
      <c r="AL212">
        <v>56.320000000000007</v>
      </c>
      <c r="AM212">
        <v>-19.399999999999999</v>
      </c>
      <c r="AN212">
        <v>-2.16</v>
      </c>
      <c r="AO212">
        <v>-2.4000000000000004</v>
      </c>
      <c r="AP212">
        <v>1</v>
      </c>
      <c r="AQ212">
        <v>12.565600000000002</v>
      </c>
      <c r="AR212">
        <v>6.7915200000000002</v>
      </c>
      <c r="AS212">
        <v>75.72</v>
      </c>
      <c r="AT212">
        <v>-12.565600000000002</v>
      </c>
      <c r="AU212">
        <v>1.5152000000000005</v>
      </c>
      <c r="AV212">
        <v>0.87498749999999992</v>
      </c>
      <c r="AW212">
        <v>2.7460249999999999</v>
      </c>
      <c r="AX212" t="s">
        <v>291</v>
      </c>
      <c r="AY212">
        <v>19</v>
      </c>
      <c r="AZ212">
        <v>-1.3008000000000006</v>
      </c>
      <c r="BA212">
        <v>0.19639999999999969</v>
      </c>
      <c r="BB212">
        <v>-1.879999999999999</v>
      </c>
      <c r="BC212">
        <v>4.0000000000000147E-2</v>
      </c>
      <c r="BD212">
        <v>-7.0240000000000018</v>
      </c>
      <c r="BE212">
        <v>-29.880000000000003</v>
      </c>
      <c r="BF212">
        <v>-3.3199999999999994</v>
      </c>
      <c r="BG212">
        <v>7</v>
      </c>
      <c r="BH212">
        <v>7</v>
      </c>
      <c r="BI212">
        <v>-4.08</v>
      </c>
      <c r="BJ212">
        <v>15</v>
      </c>
      <c r="BK212">
        <v>15.75</v>
      </c>
      <c r="BL212">
        <v>7</v>
      </c>
      <c r="BM212">
        <v>-1.10062807038527E-2</v>
      </c>
      <c r="BN212">
        <v>7</v>
      </c>
      <c r="BO212">
        <v>5.4145879874209772E-4</v>
      </c>
      <c r="BP212">
        <v>28</v>
      </c>
      <c r="BQ212">
        <v>3.8360000000000012</v>
      </c>
      <c r="BR212">
        <v>21</v>
      </c>
      <c r="BS212">
        <v>-0.59999999999999987</v>
      </c>
      <c r="BT212">
        <v>-3.1199999999999974</v>
      </c>
      <c r="BU212">
        <v>-0.52000000000000024</v>
      </c>
      <c r="BV212">
        <v>-1.1999999999999997</v>
      </c>
      <c r="BW212">
        <v>-17.480000000000008</v>
      </c>
      <c r="BX212">
        <v>-23.120000000000005</v>
      </c>
      <c r="BY212">
        <v>-5.9200000000000017</v>
      </c>
      <c r="BZ212">
        <v>-7.9999999999999988E-2</v>
      </c>
      <c r="CA212">
        <v>11.640000000000002</v>
      </c>
      <c r="CB212">
        <v>22</v>
      </c>
      <c r="CC212">
        <v>-1.4972000000000001</v>
      </c>
      <c r="CD212">
        <v>-1.7631600000000001</v>
      </c>
      <c r="CE212">
        <v>-17.200000000000003</v>
      </c>
      <c r="CF212">
        <v>-0.9960500000000001</v>
      </c>
    </row>
    <row r="213" spans="1:84" x14ac:dyDescent="0.2">
      <c r="A213" s="39">
        <v>43786</v>
      </c>
      <c r="B213" s="22" t="s">
        <v>259</v>
      </c>
      <c r="C213" s="41" t="s">
        <v>311</v>
      </c>
      <c r="D213" s="22" t="s">
        <v>305</v>
      </c>
      <c r="E213">
        <v>15</v>
      </c>
      <c r="F213">
        <v>6.7</v>
      </c>
      <c r="G213">
        <v>5.5</v>
      </c>
      <c r="H213">
        <v>5.3</v>
      </c>
      <c r="I213">
        <v>4</v>
      </c>
      <c r="J213">
        <v>51</v>
      </c>
      <c r="L213" s="1" t="s">
        <v>311</v>
      </c>
      <c r="M213">
        <v>7</v>
      </c>
      <c r="N213">
        <v>2.7991999999999999</v>
      </c>
      <c r="O213">
        <v>6.0400000000000897E-2</v>
      </c>
      <c r="P213">
        <v>25.64</v>
      </c>
      <c r="Q213">
        <v>-2.4</v>
      </c>
      <c r="R213">
        <v>10.218</v>
      </c>
      <c r="S213">
        <v>28.64</v>
      </c>
      <c r="T213">
        <v>3.36</v>
      </c>
      <c r="U213">
        <v>22</v>
      </c>
      <c r="V213">
        <v>20.5</v>
      </c>
      <c r="W213">
        <v>-1.2</v>
      </c>
      <c r="X213">
        <v>20</v>
      </c>
      <c r="Y213">
        <v>17.5</v>
      </c>
      <c r="Z213">
        <v>1</v>
      </c>
      <c r="AA213">
        <v>-2.1861064242943873E-2</v>
      </c>
      <c r="AB213">
        <v>24</v>
      </c>
      <c r="AC213">
        <v>-1.2799478491069794E-2</v>
      </c>
      <c r="AD213">
        <v>15</v>
      </c>
      <c r="AE213">
        <v>-1.9120000000000048</v>
      </c>
      <c r="AF213">
        <v>30</v>
      </c>
      <c r="AG213">
        <v>-2.2799999999999998</v>
      </c>
      <c r="AH213">
        <v>4.68</v>
      </c>
      <c r="AI213">
        <v>2.72</v>
      </c>
      <c r="AJ213">
        <v>-0.83999999999999986</v>
      </c>
      <c r="AK213">
        <v>47.760000000000005</v>
      </c>
      <c r="AL213">
        <v>9.2800000000000011</v>
      </c>
      <c r="AM213">
        <v>25.679999999999996</v>
      </c>
      <c r="AN213">
        <v>-3.28</v>
      </c>
      <c r="AO213">
        <v>16.080000000000002</v>
      </c>
      <c r="AP213">
        <v>12</v>
      </c>
      <c r="AQ213">
        <v>2.7387999999999986</v>
      </c>
      <c r="AR213">
        <v>2.5732399999999993</v>
      </c>
      <c r="AS213">
        <v>-16.399999999999995</v>
      </c>
      <c r="AT213">
        <v>-2.738799999999999</v>
      </c>
      <c r="AU213">
        <v>1.7997000000000003</v>
      </c>
      <c r="AV213">
        <v>-0.75787500000000008</v>
      </c>
      <c r="AW213">
        <v>0.77239999999999975</v>
      </c>
      <c r="AX213" t="s">
        <v>305</v>
      </c>
      <c r="AY213">
        <v>32</v>
      </c>
      <c r="AZ213">
        <v>-6.039200000000001</v>
      </c>
      <c r="BA213">
        <v>-4.2639999999999993</v>
      </c>
      <c r="BB213">
        <v>-10.439999999999998</v>
      </c>
      <c r="BC213">
        <v>-0.84000000000000008</v>
      </c>
      <c r="BD213">
        <v>-7.161999999999999</v>
      </c>
      <c r="BE213">
        <v>-24.979999999999997</v>
      </c>
      <c r="BF213">
        <v>-0.20000000000000007</v>
      </c>
      <c r="BG213">
        <v>23</v>
      </c>
      <c r="BH213">
        <v>22.5</v>
      </c>
      <c r="BI213">
        <v>-5.32</v>
      </c>
      <c r="BJ213">
        <v>5</v>
      </c>
      <c r="BK213">
        <v>9.75</v>
      </c>
      <c r="BL213">
        <v>15</v>
      </c>
      <c r="BM213">
        <v>1.7893576589196426E-2</v>
      </c>
      <c r="BN213">
        <v>8</v>
      </c>
      <c r="BO213">
        <v>1.2117779732636654E-3</v>
      </c>
      <c r="BP213">
        <v>15</v>
      </c>
      <c r="BQ213">
        <v>-14</v>
      </c>
      <c r="BR213">
        <v>1</v>
      </c>
      <c r="BS213">
        <v>4.9999999999999982</v>
      </c>
      <c r="BT213">
        <v>-4.3199999999999958</v>
      </c>
      <c r="BU213">
        <v>-5.92</v>
      </c>
      <c r="BV213">
        <v>-0.36000000000000015</v>
      </c>
      <c r="BW213">
        <v>-45.839999999999989</v>
      </c>
      <c r="BX213">
        <v>-26.680000000000014</v>
      </c>
      <c r="BY213">
        <v>-10.880000000000004</v>
      </c>
      <c r="BZ213">
        <v>8.0000000000000432E-2</v>
      </c>
      <c r="CA213">
        <v>-8.36</v>
      </c>
      <c r="CB213">
        <v>23</v>
      </c>
      <c r="CC213">
        <v>-1.7752000000000012</v>
      </c>
      <c r="CD213">
        <v>-0.50824000000000069</v>
      </c>
      <c r="CE213">
        <v>-15.80000000000001</v>
      </c>
      <c r="CF213">
        <v>-2.2881499999999999</v>
      </c>
    </row>
    <row r="214" spans="1:84" x14ac:dyDescent="0.2">
      <c r="A214" s="39">
        <v>43786</v>
      </c>
      <c r="B214" s="22" t="s">
        <v>259</v>
      </c>
      <c r="C214" s="41" t="s">
        <v>289</v>
      </c>
      <c r="D214" s="22" t="s">
        <v>297</v>
      </c>
      <c r="E214" s="3">
        <v>3.7</v>
      </c>
      <c r="F214" s="3">
        <v>13.8</v>
      </c>
      <c r="G214" s="3">
        <v>3.9</v>
      </c>
      <c r="H214">
        <v>6.7</v>
      </c>
      <c r="I214">
        <v>-2.5</v>
      </c>
      <c r="J214">
        <v>41.5</v>
      </c>
      <c r="K214" t="s">
        <v>110</v>
      </c>
      <c r="L214" s="1" t="s">
        <v>289</v>
      </c>
      <c r="M214">
        <v>17</v>
      </c>
      <c r="N214">
        <v>-1.1967999999999996</v>
      </c>
      <c r="O214">
        <v>4.0839999999999987</v>
      </c>
      <c r="P214">
        <v>29.960000000000008</v>
      </c>
      <c r="Q214">
        <v>-0.88000000000000056</v>
      </c>
      <c r="R214">
        <v>0.25600000000000156</v>
      </c>
      <c r="S214">
        <v>-4.8500000000000014</v>
      </c>
      <c r="T214">
        <v>3.0000000000000027E-2</v>
      </c>
      <c r="U214">
        <v>19</v>
      </c>
      <c r="V214">
        <v>19.5</v>
      </c>
      <c r="W214">
        <v>-0.56000000000000016</v>
      </c>
      <c r="X214">
        <v>3</v>
      </c>
      <c r="Y214">
        <v>7.75</v>
      </c>
      <c r="Z214">
        <v>4</v>
      </c>
      <c r="AA214">
        <v>0.11544767095331565</v>
      </c>
      <c r="AB214">
        <v>8</v>
      </c>
      <c r="AC214">
        <v>1.7540622060725319E-2</v>
      </c>
      <c r="AD214">
        <v>13</v>
      </c>
      <c r="AE214">
        <v>9.6159999999999961</v>
      </c>
      <c r="AF214">
        <v>6</v>
      </c>
      <c r="AG214">
        <v>0.44000000000000006</v>
      </c>
      <c r="AH214">
        <v>2.72</v>
      </c>
      <c r="AI214">
        <v>1.9599999999999997</v>
      </c>
      <c r="AJ214">
        <v>-0.36</v>
      </c>
      <c r="AK214">
        <v>13.920000000000005</v>
      </c>
      <c r="AL214">
        <v>-20.72</v>
      </c>
      <c r="AM214">
        <v>33.120000000000005</v>
      </c>
      <c r="AN214">
        <v>5.7200000000000006</v>
      </c>
      <c r="AO214">
        <v>-4.2000000000000011</v>
      </c>
      <c r="AP214">
        <v>25</v>
      </c>
      <c r="AQ214">
        <v>-5.2807999999999984</v>
      </c>
      <c r="AR214">
        <v>-2.2301599999999988</v>
      </c>
      <c r="AS214">
        <v>-53.84</v>
      </c>
      <c r="AT214">
        <v>5.2807999999999984</v>
      </c>
      <c r="AU214">
        <v>0.3529000000000001</v>
      </c>
      <c r="AV214">
        <v>-0.11206250000000036</v>
      </c>
      <c r="AW214">
        <v>-0.20695000000000013</v>
      </c>
      <c r="AX214" t="s">
        <v>297</v>
      </c>
      <c r="AY214">
        <v>20</v>
      </c>
      <c r="AZ214">
        <v>-0.49840000000000162</v>
      </c>
      <c r="BA214">
        <v>3.5919999999999992</v>
      </c>
      <c r="BB214">
        <v>10.760000000000003</v>
      </c>
      <c r="BC214">
        <v>0</v>
      </c>
      <c r="BD214">
        <v>-2.5110000000000023</v>
      </c>
      <c r="BE214">
        <v>-13.510000000000003</v>
      </c>
      <c r="BF214">
        <v>-1.5399999999999998</v>
      </c>
      <c r="BG214">
        <v>26</v>
      </c>
      <c r="BH214">
        <v>25</v>
      </c>
      <c r="BI214">
        <v>2.3199999999999998</v>
      </c>
      <c r="BJ214">
        <v>20</v>
      </c>
      <c r="BK214">
        <v>16.75</v>
      </c>
      <c r="BL214">
        <v>21</v>
      </c>
      <c r="BM214">
        <v>3.0336658561128237E-2</v>
      </c>
      <c r="BN214">
        <v>5</v>
      </c>
      <c r="BO214">
        <v>1.8321588381752189E-2</v>
      </c>
      <c r="BP214">
        <v>32</v>
      </c>
      <c r="BQ214">
        <v>-3.0320000000000009</v>
      </c>
      <c r="BR214">
        <v>9</v>
      </c>
      <c r="BS214">
        <v>0.87999999999999989</v>
      </c>
      <c r="BT214">
        <v>-3.1999999999999971</v>
      </c>
      <c r="BU214">
        <v>1.2</v>
      </c>
      <c r="BV214">
        <v>-1.1599999999999999</v>
      </c>
      <c r="BW214">
        <v>-7.8</v>
      </c>
      <c r="BX214">
        <v>-22.560000000000002</v>
      </c>
      <c r="BY214">
        <v>7.4799999999999986</v>
      </c>
      <c r="BZ214">
        <v>4.6400000000000006</v>
      </c>
      <c r="CA214">
        <v>2.6400000000000006</v>
      </c>
      <c r="CB214">
        <v>26</v>
      </c>
      <c r="CC214">
        <v>-4.0904000000000007</v>
      </c>
      <c r="CD214">
        <v>-2.3978800000000007</v>
      </c>
      <c r="CE214">
        <v>-30.04</v>
      </c>
      <c r="CF214">
        <v>-1.7175000000000579E-2</v>
      </c>
    </row>
    <row r="215" spans="1:84" x14ac:dyDescent="0.2">
      <c r="A215" s="39">
        <v>43786</v>
      </c>
      <c r="B215" s="22" t="s">
        <v>259</v>
      </c>
      <c r="C215" s="41" t="s">
        <v>297</v>
      </c>
      <c r="D215" s="22" t="s">
        <v>289</v>
      </c>
      <c r="E215">
        <v>7.2</v>
      </c>
      <c r="F215">
        <v>33.4</v>
      </c>
      <c r="G215">
        <v>11.8</v>
      </c>
      <c r="H215">
        <f>1.9+1.5</f>
        <v>3.4</v>
      </c>
      <c r="I215">
        <v>2.5</v>
      </c>
      <c r="J215">
        <v>41.5</v>
      </c>
      <c r="K215" t="s">
        <v>110</v>
      </c>
      <c r="L215" s="1" t="s">
        <v>297</v>
      </c>
      <c r="M215">
        <v>26</v>
      </c>
      <c r="N215">
        <v>-3.7008000000000001</v>
      </c>
      <c r="O215">
        <v>1.1290000000000009</v>
      </c>
      <c r="P215">
        <v>6.0300000000000047</v>
      </c>
      <c r="Q215">
        <v>1.1599999999999999</v>
      </c>
      <c r="R215">
        <v>-4.5480000000000009</v>
      </c>
      <c r="S215">
        <v>-15.800000000000004</v>
      </c>
      <c r="T215">
        <v>1.7999999999999998</v>
      </c>
      <c r="U215">
        <v>27</v>
      </c>
      <c r="V215">
        <v>27</v>
      </c>
      <c r="W215">
        <v>0.87999999999999989</v>
      </c>
      <c r="X215">
        <v>7</v>
      </c>
      <c r="Y215">
        <v>11.25</v>
      </c>
      <c r="Z215">
        <v>7</v>
      </c>
      <c r="AA215">
        <v>2.0348552281940137E-2</v>
      </c>
      <c r="AB215">
        <v>17</v>
      </c>
      <c r="AC215">
        <v>2.348890997539578E-3</v>
      </c>
      <c r="AD215">
        <v>18</v>
      </c>
      <c r="AE215">
        <v>-18.632000000000005</v>
      </c>
      <c r="AF215">
        <v>3</v>
      </c>
      <c r="AG215">
        <v>2.3199999999999998</v>
      </c>
      <c r="AH215">
        <v>2.9599999999999995</v>
      </c>
      <c r="AI215">
        <v>-6.8800000000000008</v>
      </c>
      <c r="AJ215">
        <v>-0.23999999999999994</v>
      </c>
      <c r="AK215">
        <v>7.119999999999993</v>
      </c>
      <c r="AL215">
        <v>3.0799999999999899</v>
      </c>
      <c r="AM215">
        <v>2.2400000000000007</v>
      </c>
      <c r="AN215">
        <v>2.56</v>
      </c>
      <c r="AO215">
        <v>-0.76000000000000012</v>
      </c>
      <c r="AP215">
        <v>23</v>
      </c>
      <c r="AQ215">
        <v>-4.8298000000000005</v>
      </c>
      <c r="AR215">
        <v>-2.2142600000000003</v>
      </c>
      <c r="AS215">
        <v>0.8399999999999892</v>
      </c>
      <c r="AT215">
        <v>4.8298000000000005</v>
      </c>
      <c r="AU215">
        <v>-1.004975</v>
      </c>
      <c r="AV215">
        <v>-0.11206250000000036</v>
      </c>
      <c r="AW215">
        <v>-1.7175000000000579E-2</v>
      </c>
      <c r="AX215" t="s">
        <v>289</v>
      </c>
      <c r="AY215">
        <v>25</v>
      </c>
      <c r="AZ215">
        <v>-1.2908000000000004</v>
      </c>
      <c r="BA215">
        <v>-3.0080000000000005</v>
      </c>
      <c r="BB215">
        <v>-17.600000000000001</v>
      </c>
      <c r="BC215">
        <v>0.4800000000000002</v>
      </c>
      <c r="BD215">
        <v>0.20320000000000016</v>
      </c>
      <c r="BE215">
        <v>1.7300000000000013</v>
      </c>
      <c r="BF215">
        <v>-0.71000000000000052</v>
      </c>
      <c r="BG215">
        <v>5</v>
      </c>
      <c r="BH215">
        <v>4.5</v>
      </c>
      <c r="BI215">
        <v>0.44000000000000006</v>
      </c>
      <c r="BJ215">
        <v>28</v>
      </c>
      <c r="BK215">
        <v>23</v>
      </c>
      <c r="BL215">
        <v>27</v>
      </c>
      <c r="BM215">
        <v>-3.7918095056881816E-3</v>
      </c>
      <c r="BN215">
        <v>18</v>
      </c>
      <c r="BO215">
        <v>-7.4073366605073732E-3</v>
      </c>
      <c r="BP215">
        <v>26</v>
      </c>
      <c r="BQ215">
        <v>7.7280000000000015</v>
      </c>
      <c r="BR215">
        <v>21</v>
      </c>
      <c r="BS215">
        <v>-0.56000000000000016</v>
      </c>
      <c r="BT215">
        <v>-2.9599999999999995</v>
      </c>
      <c r="BU215">
        <v>-0.6</v>
      </c>
      <c r="BV215">
        <v>-8.0000000000000071E-2</v>
      </c>
      <c r="BW215">
        <v>-26.079999999999995</v>
      </c>
      <c r="BX215">
        <v>-5.4</v>
      </c>
      <c r="BY215">
        <v>-17.68</v>
      </c>
      <c r="BZ215">
        <v>-0.64</v>
      </c>
      <c r="CA215">
        <v>-2.3599999999999994</v>
      </c>
      <c r="CB215">
        <v>12</v>
      </c>
      <c r="CC215">
        <v>1.7172000000000001</v>
      </c>
      <c r="CD215">
        <v>1.2864800000000003</v>
      </c>
      <c r="CE215">
        <v>12.28</v>
      </c>
      <c r="CF215">
        <v>-0.20695000000000013</v>
      </c>
    </row>
    <row r="216" spans="1:84" x14ac:dyDescent="0.2">
      <c r="A216" s="39">
        <v>43786</v>
      </c>
      <c r="B216" s="22" t="s">
        <v>259</v>
      </c>
      <c r="C216" s="41" t="s">
        <v>288</v>
      </c>
      <c r="D216" s="22" t="s">
        <v>287</v>
      </c>
      <c r="E216">
        <v>4.5999999999999996</v>
      </c>
      <c r="F216">
        <v>3.3</v>
      </c>
      <c r="G216">
        <v>1.9</v>
      </c>
      <c r="H216">
        <v>22.2</v>
      </c>
      <c r="I216">
        <v>-5.5</v>
      </c>
      <c r="J216">
        <v>52.5</v>
      </c>
      <c r="L216" s="1" t="s">
        <v>288</v>
      </c>
      <c r="M216">
        <v>14</v>
      </c>
      <c r="N216">
        <v>0.8424000000000007</v>
      </c>
      <c r="O216">
        <v>-4.1340000000000003</v>
      </c>
      <c r="P216">
        <v>1.3200000000000016</v>
      </c>
      <c r="Q216">
        <v>-1.6300000000000001</v>
      </c>
      <c r="R216">
        <v>6.0239999999999991</v>
      </c>
      <c r="S216">
        <v>18.189999999999998</v>
      </c>
      <c r="T216">
        <v>1.6600000000000001</v>
      </c>
      <c r="U216">
        <v>15</v>
      </c>
      <c r="V216">
        <v>14.5</v>
      </c>
      <c r="W216">
        <v>1.8</v>
      </c>
      <c r="X216">
        <v>29</v>
      </c>
      <c r="Y216">
        <v>25</v>
      </c>
      <c r="Z216">
        <v>26</v>
      </c>
      <c r="AA216">
        <v>-8.3026552482433263E-2</v>
      </c>
      <c r="AB216">
        <v>23</v>
      </c>
      <c r="AC216">
        <v>-9.4904745288558467E-3</v>
      </c>
      <c r="AD216">
        <v>25</v>
      </c>
      <c r="AE216">
        <v>9.208000000000002</v>
      </c>
      <c r="AF216">
        <v>26</v>
      </c>
      <c r="AG216">
        <v>-0.67999999999999994</v>
      </c>
      <c r="AH216">
        <v>-2.680000000000001</v>
      </c>
      <c r="AI216">
        <v>3.96</v>
      </c>
      <c r="AJ216">
        <v>1.0399999999999998</v>
      </c>
      <c r="AK216">
        <v>2.4800000000000066</v>
      </c>
      <c r="AL216">
        <v>7.6399999999999979</v>
      </c>
      <c r="AM216">
        <v>0.20000000000000284</v>
      </c>
      <c r="AN216">
        <v>5.5200000000000005</v>
      </c>
      <c r="AO216">
        <v>-10.88</v>
      </c>
      <c r="AP216">
        <v>7</v>
      </c>
      <c r="AQ216">
        <v>4.9764000000000017</v>
      </c>
      <c r="AR216">
        <v>3.44028</v>
      </c>
      <c r="AS216">
        <v>7.4399999999999951</v>
      </c>
      <c r="AT216">
        <v>-4.9764000000000008</v>
      </c>
      <c r="AU216">
        <v>0.63155000000000006</v>
      </c>
      <c r="AV216">
        <v>-0.66089999999999982</v>
      </c>
      <c r="AW216">
        <v>-6.8099999999999716E-2</v>
      </c>
      <c r="AX216" t="s">
        <v>287</v>
      </c>
      <c r="AY216">
        <v>26</v>
      </c>
      <c r="AZ216">
        <v>-4.2695999999999996</v>
      </c>
      <c r="BA216">
        <v>1.6839999999999995</v>
      </c>
      <c r="BB216">
        <v>2.0399999999999991</v>
      </c>
      <c r="BC216">
        <v>4.0000000000000091E-2</v>
      </c>
      <c r="BD216">
        <v>-9.0839999999999996</v>
      </c>
      <c r="BE216">
        <v>-29.910000000000004</v>
      </c>
      <c r="BF216">
        <v>-2.87</v>
      </c>
      <c r="BG216">
        <v>3</v>
      </c>
      <c r="BH216">
        <v>3.5</v>
      </c>
      <c r="BI216">
        <v>0.51999999999999991</v>
      </c>
      <c r="BJ216">
        <v>25</v>
      </c>
      <c r="BK216">
        <v>21.5</v>
      </c>
      <c r="BL216">
        <v>20</v>
      </c>
      <c r="BM216">
        <v>-2.0743720300055724E-2</v>
      </c>
      <c r="BN216">
        <v>25</v>
      </c>
      <c r="BO216">
        <v>-6.0171898673039249E-3</v>
      </c>
      <c r="BP216">
        <v>18</v>
      </c>
      <c r="BQ216">
        <v>2.2239999999999993</v>
      </c>
      <c r="BR216">
        <v>23</v>
      </c>
      <c r="BS216">
        <v>-1.44</v>
      </c>
      <c r="BT216">
        <v>-1.0400000000000005</v>
      </c>
      <c r="BU216">
        <v>-3.12</v>
      </c>
      <c r="BV216">
        <v>1.1199999999999999</v>
      </c>
      <c r="BW216">
        <v>-29.76</v>
      </c>
      <c r="BX216">
        <v>-28.240000000000002</v>
      </c>
      <c r="BY216">
        <v>1.2800000000000011</v>
      </c>
      <c r="BZ216">
        <v>-1.1200000000000001</v>
      </c>
      <c r="CA216">
        <v>-1.6800000000000004</v>
      </c>
      <c r="CB216">
        <v>28</v>
      </c>
      <c r="CC216">
        <v>-5.9535999999999989</v>
      </c>
      <c r="CD216">
        <v>-3.5127199999999998</v>
      </c>
      <c r="CE216">
        <v>-29.520000000000003</v>
      </c>
      <c r="CF216">
        <v>-1.2536999999999998</v>
      </c>
    </row>
    <row r="217" spans="1:84" x14ac:dyDescent="0.2">
      <c r="A217" s="39">
        <v>43786</v>
      </c>
      <c r="B217" s="22" t="s">
        <v>259</v>
      </c>
      <c r="C217" s="41" t="s">
        <v>303</v>
      </c>
      <c r="D217" s="22" t="s">
        <v>272</v>
      </c>
      <c r="E217">
        <v>12.2</v>
      </c>
      <c r="F217">
        <v>11.6</v>
      </c>
      <c r="G217">
        <v>5.5</v>
      </c>
      <c r="H217">
        <f>12.6+8.8</f>
        <v>21.4</v>
      </c>
      <c r="I217">
        <v>-13</v>
      </c>
      <c r="J217">
        <v>48</v>
      </c>
      <c r="K217" t="s">
        <v>110</v>
      </c>
      <c r="L217" s="1" t="s">
        <v>303</v>
      </c>
      <c r="M217">
        <v>22</v>
      </c>
      <c r="N217">
        <v>-1.9296000000000006</v>
      </c>
      <c r="O217">
        <v>-0.57399999999999995</v>
      </c>
      <c r="P217">
        <v>15.280000000000005</v>
      </c>
      <c r="Q217">
        <v>0.5299999999999998</v>
      </c>
      <c r="R217">
        <v>-0.22400000000000109</v>
      </c>
      <c r="S217">
        <v>-14.130000000000004</v>
      </c>
      <c r="T217">
        <v>-1.9799999999999998</v>
      </c>
      <c r="U217">
        <v>19</v>
      </c>
      <c r="V217">
        <v>19.5</v>
      </c>
      <c r="W217">
        <v>-0.43999999999999984</v>
      </c>
      <c r="X217">
        <v>19</v>
      </c>
      <c r="Y217">
        <v>17.25</v>
      </c>
      <c r="Z217">
        <v>14</v>
      </c>
      <c r="AA217">
        <v>-3.2368640291027456E-2</v>
      </c>
      <c r="AB217">
        <v>21</v>
      </c>
      <c r="AC217">
        <v>-4.740563263367286E-3</v>
      </c>
      <c r="AD217">
        <v>32</v>
      </c>
      <c r="AE217">
        <v>21.143999999999998</v>
      </c>
      <c r="AF217">
        <v>2</v>
      </c>
      <c r="AG217">
        <v>-0.83999999999999986</v>
      </c>
      <c r="AH217">
        <v>-1.6399999999999992</v>
      </c>
      <c r="AI217">
        <v>-0.6399999999999999</v>
      </c>
      <c r="AJ217">
        <v>-0.08</v>
      </c>
      <c r="AK217">
        <v>6.1600000000000019</v>
      </c>
      <c r="AL217">
        <v>5.3600000000000021</v>
      </c>
      <c r="AM217">
        <v>17.280000000000005</v>
      </c>
      <c r="AN217">
        <v>2.2399999999999998</v>
      </c>
      <c r="AO217">
        <v>-18.72</v>
      </c>
      <c r="AP217">
        <v>18</v>
      </c>
      <c r="AQ217">
        <v>-1.3556000000000008</v>
      </c>
      <c r="AR217">
        <v>-0.14372000000000035</v>
      </c>
      <c r="AS217">
        <v>-11.920000000000002</v>
      </c>
      <c r="AT217">
        <v>1.3556000000000008</v>
      </c>
      <c r="AU217">
        <v>-0.4609500000000003</v>
      </c>
      <c r="AV217">
        <v>1.0511000000000001</v>
      </c>
      <c r="AW217">
        <v>1.1183000000000003</v>
      </c>
      <c r="AX217" t="s">
        <v>272</v>
      </c>
      <c r="AY217">
        <v>10</v>
      </c>
      <c r="AZ217">
        <v>4.4591999999999983</v>
      </c>
      <c r="BA217">
        <v>-3.1799999999999988</v>
      </c>
      <c r="BB217">
        <v>4.0000000000000036E-2</v>
      </c>
      <c r="BC217">
        <v>-1.0799999999999998</v>
      </c>
      <c r="BD217">
        <v>5.911999999999999</v>
      </c>
      <c r="BE217">
        <v>51.773333333333333</v>
      </c>
      <c r="BF217">
        <v>-1.3199999999999998</v>
      </c>
      <c r="BG217">
        <v>20</v>
      </c>
      <c r="BH217">
        <v>21</v>
      </c>
      <c r="BI217">
        <v>1.56</v>
      </c>
      <c r="BJ217">
        <v>22</v>
      </c>
      <c r="BK217">
        <v>18.25</v>
      </c>
      <c r="BL217">
        <v>13</v>
      </c>
      <c r="BM217">
        <v>6.7333504337807378E-3</v>
      </c>
      <c r="BN217">
        <v>15</v>
      </c>
      <c r="BO217">
        <v>-3.2140710988679626E-3</v>
      </c>
      <c r="BP217">
        <v>19</v>
      </c>
      <c r="BQ217">
        <v>-0.77200000000000268</v>
      </c>
      <c r="BR217">
        <v>26</v>
      </c>
      <c r="BS217">
        <v>-1.1600000000000004</v>
      </c>
      <c r="BT217">
        <v>2.839999999999999</v>
      </c>
      <c r="BU217">
        <v>1.5200000000000002</v>
      </c>
      <c r="BV217">
        <v>0.19999999999999982</v>
      </c>
      <c r="BW217">
        <v>59.759999999999991</v>
      </c>
      <c r="BX217">
        <v>43.879999999999995</v>
      </c>
      <c r="BY217">
        <v>1.5199999999999989</v>
      </c>
      <c r="BZ217">
        <v>3.3200000000000003</v>
      </c>
      <c r="CA217">
        <v>11.040000000000003</v>
      </c>
      <c r="CB217">
        <v>3</v>
      </c>
      <c r="CC217">
        <v>7.6391999999999971</v>
      </c>
      <c r="CD217">
        <v>3.6642399999999986</v>
      </c>
      <c r="CE217">
        <v>42.36</v>
      </c>
      <c r="CF217">
        <v>0.98389999999999989</v>
      </c>
    </row>
    <row r="218" spans="1:84" x14ac:dyDescent="0.2">
      <c r="A218" s="39">
        <v>43786</v>
      </c>
      <c r="B218" s="22" t="s">
        <v>259</v>
      </c>
      <c r="C218" s="41" t="s">
        <v>287</v>
      </c>
      <c r="D218" s="22" t="s">
        <v>288</v>
      </c>
      <c r="E218">
        <v>21.1</v>
      </c>
      <c r="F218">
        <v>9.6</v>
      </c>
      <c r="G218">
        <v>0</v>
      </c>
      <c r="H218">
        <f>14.9+1.8</f>
        <v>16.7</v>
      </c>
      <c r="I218">
        <v>5.5</v>
      </c>
      <c r="J218">
        <v>52.5</v>
      </c>
      <c r="L218" s="1" t="s">
        <v>287</v>
      </c>
      <c r="M218">
        <v>25</v>
      </c>
      <c r="N218">
        <v>-2.9343999999999992</v>
      </c>
      <c r="O218">
        <v>5.9780000000000006</v>
      </c>
      <c r="P218">
        <v>-11.360000000000005</v>
      </c>
      <c r="Q218">
        <v>0.85</v>
      </c>
      <c r="R218">
        <v>-5.9799999999999986</v>
      </c>
      <c r="S218">
        <v>-9.0100000000000033</v>
      </c>
      <c r="T218">
        <v>-1.2199999999999995</v>
      </c>
      <c r="U218">
        <v>4</v>
      </c>
      <c r="V218">
        <v>7</v>
      </c>
      <c r="W218">
        <v>-1.44</v>
      </c>
      <c r="X218">
        <v>10</v>
      </c>
      <c r="Y218">
        <v>12.75</v>
      </c>
      <c r="Z218">
        <v>24</v>
      </c>
      <c r="AA218">
        <v>1.3439200716429562E-2</v>
      </c>
      <c r="AB218">
        <v>12</v>
      </c>
      <c r="AC218">
        <v>-1.7329094092174314E-3</v>
      </c>
      <c r="AD218">
        <v>7</v>
      </c>
      <c r="AE218">
        <v>-9.1439999999999984</v>
      </c>
      <c r="AF218">
        <v>8</v>
      </c>
      <c r="AG218">
        <v>0.51999999999999991</v>
      </c>
      <c r="AH218">
        <v>-5.3200000000000021</v>
      </c>
      <c r="AI218">
        <v>-0.7999999999999996</v>
      </c>
      <c r="AJ218">
        <v>-0.52</v>
      </c>
      <c r="AK218">
        <v>-20.079999999999995</v>
      </c>
      <c r="AL218">
        <v>1.4400000000000091</v>
      </c>
      <c r="AM218">
        <v>-12.039999999999997</v>
      </c>
      <c r="AN218">
        <v>0.75999999999999979</v>
      </c>
      <c r="AO218">
        <v>-10.24</v>
      </c>
      <c r="AP218">
        <v>30</v>
      </c>
      <c r="AQ218">
        <v>-8.9123999999999999</v>
      </c>
      <c r="AR218">
        <v>-4.7718800000000003</v>
      </c>
      <c r="AS218">
        <v>13.480000000000006</v>
      </c>
      <c r="AT218">
        <v>8.9123999999999999</v>
      </c>
      <c r="AU218">
        <v>-0.32204999999999956</v>
      </c>
      <c r="AV218">
        <v>-0.66089999999999982</v>
      </c>
      <c r="AW218">
        <v>-1.2536999999999998</v>
      </c>
      <c r="AX218" t="s">
        <v>288</v>
      </c>
      <c r="AY218">
        <v>7</v>
      </c>
      <c r="AZ218">
        <v>2.4576000000000007</v>
      </c>
      <c r="BA218">
        <v>8.8904000000000014</v>
      </c>
      <c r="BB218">
        <v>7.16</v>
      </c>
      <c r="BC218">
        <v>1.4400000000000002</v>
      </c>
      <c r="BD218">
        <v>-8.7727999999999984</v>
      </c>
      <c r="BE218">
        <v>-48.6</v>
      </c>
      <c r="BF218">
        <v>0.19999999999999996</v>
      </c>
      <c r="BG218">
        <v>20</v>
      </c>
      <c r="BH218">
        <v>21</v>
      </c>
      <c r="BI218">
        <v>-0.67999999999999994</v>
      </c>
      <c r="BJ218">
        <v>2</v>
      </c>
      <c r="BK218">
        <v>7.25</v>
      </c>
      <c r="BL218">
        <v>4</v>
      </c>
      <c r="BM218">
        <v>3.5932519114541463E-2</v>
      </c>
      <c r="BN218">
        <v>13</v>
      </c>
      <c r="BO218">
        <v>2.5074277143146122E-2</v>
      </c>
      <c r="BP218">
        <v>3</v>
      </c>
      <c r="BQ218">
        <v>-18.571999999999999</v>
      </c>
      <c r="BR218">
        <v>9</v>
      </c>
      <c r="BS218">
        <v>1.8</v>
      </c>
      <c r="BT218">
        <v>2.4800000000000026</v>
      </c>
      <c r="BU218">
        <v>0.71999999999999953</v>
      </c>
      <c r="BV218">
        <v>1.1199999999999999</v>
      </c>
      <c r="BW218">
        <v>4.8</v>
      </c>
      <c r="BX218">
        <v>-10.760000000000002</v>
      </c>
      <c r="BY218">
        <v>7.4399999999999977</v>
      </c>
      <c r="BZ218">
        <v>-7.9999999999999891E-2</v>
      </c>
      <c r="CA218">
        <v>8.1999999999999993</v>
      </c>
      <c r="CB218">
        <v>29</v>
      </c>
      <c r="CC218">
        <v>-6.4328000000000012</v>
      </c>
      <c r="CD218">
        <v>-5.70824</v>
      </c>
      <c r="CE218">
        <v>-18.2</v>
      </c>
      <c r="CF218">
        <v>-6.8099999999999716E-2</v>
      </c>
    </row>
    <row r="219" spans="1:84" x14ac:dyDescent="0.2">
      <c r="A219" s="39">
        <v>43786</v>
      </c>
      <c r="B219" s="22" t="s">
        <v>259</v>
      </c>
      <c r="C219" s="41" t="s">
        <v>304</v>
      </c>
      <c r="D219" s="22" t="s">
        <v>265</v>
      </c>
      <c r="E219" s="14">
        <v>8.3000000000000007</v>
      </c>
      <c r="F219">
        <v>8</v>
      </c>
      <c r="G219">
        <v>1.9</v>
      </c>
      <c r="H219">
        <v>3</v>
      </c>
      <c r="I219">
        <v>-5</v>
      </c>
      <c r="J219">
        <v>40</v>
      </c>
      <c r="L219" s="1" t="s">
        <v>304</v>
      </c>
      <c r="M219">
        <v>29</v>
      </c>
      <c r="N219">
        <v>-5.7175999999999991</v>
      </c>
      <c r="O219">
        <v>-4.4399999999999995</v>
      </c>
      <c r="P219">
        <v>1.2800000000000029</v>
      </c>
      <c r="Q219">
        <v>-2.68</v>
      </c>
      <c r="R219">
        <v>0.97200000000000042</v>
      </c>
      <c r="S219">
        <v>16.759999999999998</v>
      </c>
      <c r="T219">
        <v>2.5600000000000005</v>
      </c>
      <c r="U219">
        <v>16</v>
      </c>
      <c r="V219">
        <v>15.5</v>
      </c>
      <c r="W219">
        <v>3.8800000000000003</v>
      </c>
      <c r="X219">
        <v>23</v>
      </c>
      <c r="Y219">
        <v>20.5</v>
      </c>
      <c r="Z219">
        <v>32</v>
      </c>
      <c r="AA219">
        <v>-4.8757507568143975E-2</v>
      </c>
      <c r="AB219">
        <v>29</v>
      </c>
      <c r="AC219">
        <v>-2.1764342402346405E-2</v>
      </c>
      <c r="AD219">
        <v>8</v>
      </c>
      <c r="AE219">
        <v>-14.892000000000001</v>
      </c>
      <c r="AF219">
        <v>13</v>
      </c>
      <c r="AG219">
        <v>-1.52</v>
      </c>
      <c r="AH219">
        <v>-2.7999999999999985</v>
      </c>
      <c r="AI219">
        <v>-3.16</v>
      </c>
      <c r="AJ219">
        <v>1.1999999999999997</v>
      </c>
      <c r="AK219">
        <v>-31.95999999999999</v>
      </c>
      <c r="AL219">
        <v>-13.640000000000004</v>
      </c>
      <c r="AM219">
        <v>-0.79999999999999716</v>
      </c>
      <c r="AN219">
        <v>3.8</v>
      </c>
      <c r="AO219">
        <v>-21.32</v>
      </c>
      <c r="AP219">
        <v>17</v>
      </c>
      <c r="AQ219">
        <v>-1.2776000000000001</v>
      </c>
      <c r="AR219">
        <v>1.27088</v>
      </c>
      <c r="AS219">
        <v>-12.840000000000007</v>
      </c>
      <c r="AT219">
        <v>1.2775999999999996</v>
      </c>
      <c r="AU219">
        <v>-1.2731999999999997</v>
      </c>
      <c r="AV219">
        <v>-0.97109999999999985</v>
      </c>
      <c r="AW219">
        <v>-1.0410999999999999</v>
      </c>
      <c r="AX219" t="s">
        <v>265</v>
      </c>
      <c r="AY219">
        <v>29</v>
      </c>
      <c r="AZ219">
        <v>-2.6248000000000005</v>
      </c>
      <c r="BA219">
        <v>2.2800000000000002</v>
      </c>
      <c r="BB219">
        <v>4.759999999999998</v>
      </c>
      <c r="BC219">
        <v>-0.39999999999999974</v>
      </c>
      <c r="BD219">
        <v>-7.1839999999999993</v>
      </c>
      <c r="BE219">
        <v>-18.399999999999999</v>
      </c>
      <c r="BF219">
        <v>-1.32</v>
      </c>
      <c r="BG219">
        <v>15</v>
      </c>
      <c r="BH219">
        <v>13</v>
      </c>
      <c r="BI219">
        <v>0.99999999999999967</v>
      </c>
      <c r="BJ219">
        <v>32</v>
      </c>
      <c r="BK219">
        <v>29.25</v>
      </c>
      <c r="BL219">
        <v>28</v>
      </c>
      <c r="BM219">
        <v>-7.0895088979815099E-2</v>
      </c>
      <c r="BN219">
        <v>29</v>
      </c>
      <c r="BO219">
        <v>-2.2622690200616954E-2</v>
      </c>
      <c r="BP219">
        <v>29</v>
      </c>
      <c r="BQ219">
        <v>10.704000000000001</v>
      </c>
      <c r="BR219">
        <v>31</v>
      </c>
      <c r="BS219">
        <v>-1.4799999999999995</v>
      </c>
      <c r="BT219">
        <v>0.52000000000000313</v>
      </c>
      <c r="BU219">
        <v>0.19999999999999929</v>
      </c>
      <c r="BV219">
        <v>-0.87999999999999989</v>
      </c>
      <c r="BW219">
        <v>-32.680000000000007</v>
      </c>
      <c r="BX219">
        <v>-32.32</v>
      </c>
      <c r="BY219">
        <v>2.0399999999999978</v>
      </c>
      <c r="BZ219">
        <v>-4.12</v>
      </c>
      <c r="CA219">
        <v>1.7200000000000002</v>
      </c>
      <c r="CB219">
        <v>27</v>
      </c>
      <c r="CC219">
        <v>-4.9048000000000007</v>
      </c>
      <c r="CD219">
        <v>-3.1017600000000001</v>
      </c>
      <c r="CE219">
        <v>-34.36</v>
      </c>
      <c r="CF219">
        <v>-0.90109999999999979</v>
      </c>
    </row>
    <row r="220" spans="1:84" x14ac:dyDescent="0.2">
      <c r="A220" s="39">
        <v>43786</v>
      </c>
      <c r="B220" s="22" t="s">
        <v>259</v>
      </c>
      <c r="C220" s="41" t="s">
        <v>293</v>
      </c>
      <c r="D220" s="22" t="s">
        <v>276</v>
      </c>
      <c r="E220">
        <v>23.5</v>
      </c>
      <c r="F220">
        <v>8.3000000000000007</v>
      </c>
      <c r="G220">
        <v>18.899999999999999</v>
      </c>
      <c r="H220">
        <v>5.8</v>
      </c>
      <c r="I220">
        <v>7</v>
      </c>
      <c r="J220">
        <v>41.5</v>
      </c>
      <c r="K220" t="s">
        <v>110</v>
      </c>
      <c r="L220" s="1" t="s">
        <v>293</v>
      </c>
      <c r="M220">
        <v>13</v>
      </c>
      <c r="N220">
        <v>1.0091999999999994</v>
      </c>
      <c r="O220">
        <v>-6.2560000000000002</v>
      </c>
      <c r="P220">
        <v>-30.76</v>
      </c>
      <c r="Q220">
        <v>-8.0000000000000071E-2</v>
      </c>
      <c r="R220">
        <v>-0.10800000000000054</v>
      </c>
      <c r="S220">
        <v>10.28</v>
      </c>
      <c r="T220">
        <v>0.2</v>
      </c>
      <c r="U220">
        <v>13</v>
      </c>
      <c r="V220">
        <v>12</v>
      </c>
      <c r="W220">
        <v>-2.2800000000000002</v>
      </c>
      <c r="X220">
        <v>16</v>
      </c>
      <c r="Y220">
        <v>14.5</v>
      </c>
      <c r="Z220">
        <v>12</v>
      </c>
      <c r="AA220">
        <v>3.0079780870742728E-2</v>
      </c>
      <c r="AB220">
        <v>10</v>
      </c>
      <c r="AC220">
        <v>3.8073036525563485E-3</v>
      </c>
      <c r="AD220">
        <v>14</v>
      </c>
      <c r="AE220">
        <v>5.0839999999999979</v>
      </c>
      <c r="AF220">
        <v>22</v>
      </c>
      <c r="AG220">
        <v>0.6</v>
      </c>
      <c r="AH220">
        <v>-0.72000000000000031</v>
      </c>
      <c r="AI220">
        <v>-1.400000000000001</v>
      </c>
      <c r="AJ220">
        <v>0.35999999999999988</v>
      </c>
      <c r="AK220">
        <v>-21.719999999999992</v>
      </c>
      <c r="AL220">
        <v>11.719999999999994</v>
      </c>
      <c r="AM220">
        <v>-31.76</v>
      </c>
      <c r="AN220">
        <v>-2.04</v>
      </c>
      <c r="AO220">
        <v>0.35999999999999976</v>
      </c>
      <c r="AP220">
        <v>3</v>
      </c>
      <c r="AQ220">
        <v>7.2652000000000001</v>
      </c>
      <c r="AR220">
        <v>3.3082400000000001</v>
      </c>
      <c r="AS220">
        <v>43.48</v>
      </c>
      <c r="AT220">
        <v>-7.2652000000000001</v>
      </c>
      <c r="AU220">
        <v>-0.77435000000000009</v>
      </c>
      <c r="AV220">
        <v>1.110625</v>
      </c>
      <c r="AW220">
        <v>1.3400999999999996</v>
      </c>
      <c r="AX220" t="s">
        <v>276</v>
      </c>
      <c r="AY220">
        <v>24</v>
      </c>
      <c r="AZ220">
        <v>-0.48679999999999984</v>
      </c>
      <c r="BA220">
        <v>7.4240000000000013</v>
      </c>
      <c r="BB220">
        <v>25.080000000000002</v>
      </c>
      <c r="BC220">
        <v>1.7199999999999998</v>
      </c>
      <c r="BD220">
        <v>0.63199999999999967</v>
      </c>
      <c r="BE220">
        <v>-0.32000000000000384</v>
      </c>
      <c r="BF220">
        <v>-1.7600000000000002</v>
      </c>
      <c r="BG220">
        <v>32</v>
      </c>
      <c r="BH220">
        <v>32</v>
      </c>
      <c r="BI220">
        <v>-1.6800000000000004</v>
      </c>
      <c r="BJ220">
        <v>7</v>
      </c>
      <c r="BK220">
        <v>12.25</v>
      </c>
      <c r="BL220">
        <v>24</v>
      </c>
      <c r="BM220">
        <v>-2.8830014979980057E-3</v>
      </c>
      <c r="BN220">
        <v>3</v>
      </c>
      <c r="BO220">
        <v>-1.6720881859146469E-3</v>
      </c>
      <c r="BP220">
        <v>17</v>
      </c>
      <c r="BQ220">
        <v>-8.0759999999999952</v>
      </c>
      <c r="BR220">
        <v>5</v>
      </c>
      <c r="BS220">
        <v>-1.3199999999999998</v>
      </c>
      <c r="BT220">
        <v>1.2800000000000011</v>
      </c>
      <c r="BU220">
        <v>1.7599999999999991</v>
      </c>
      <c r="BV220">
        <v>0.68</v>
      </c>
      <c r="BW220">
        <v>36.480000000000004</v>
      </c>
      <c r="BX220">
        <v>10.199999999999994</v>
      </c>
      <c r="BY220">
        <v>24.32</v>
      </c>
      <c r="BZ220">
        <v>2.12</v>
      </c>
      <c r="CA220">
        <v>-0.15999999999999978</v>
      </c>
      <c r="CB220">
        <v>30</v>
      </c>
      <c r="CC220">
        <v>-7.9108000000000001</v>
      </c>
      <c r="CD220">
        <v>-3.6829600000000005</v>
      </c>
      <c r="CE220">
        <v>-14.120000000000006</v>
      </c>
      <c r="CF220">
        <v>0.88115000000000032</v>
      </c>
    </row>
    <row r="221" spans="1:84" x14ac:dyDescent="0.2">
      <c r="A221" s="39">
        <v>43786</v>
      </c>
      <c r="B221" s="22" t="s">
        <v>259</v>
      </c>
      <c r="C221" s="41" t="s">
        <v>312</v>
      </c>
      <c r="D221" s="22" t="s">
        <v>278</v>
      </c>
      <c r="E221" s="3">
        <v>26.1</v>
      </c>
      <c r="F221">
        <v>9.5</v>
      </c>
      <c r="G221">
        <v>0</v>
      </c>
      <c r="H221">
        <f>17.7+11+4.8</f>
        <v>33.5</v>
      </c>
      <c r="I221">
        <v>-10</v>
      </c>
      <c r="J221">
        <v>40.5</v>
      </c>
      <c r="L221" s="1" t="s">
        <v>312</v>
      </c>
      <c r="M221">
        <v>6</v>
      </c>
      <c r="N221">
        <v>2.9999999999999991</v>
      </c>
      <c r="O221">
        <v>4.2464000000000004</v>
      </c>
      <c r="P221">
        <v>37.56</v>
      </c>
      <c r="Q221">
        <v>0.32000000000000006</v>
      </c>
      <c r="R221">
        <v>11.295999999999999</v>
      </c>
      <c r="S221">
        <v>35.64</v>
      </c>
      <c r="T221">
        <v>1.1999999999999997</v>
      </c>
      <c r="U221">
        <v>26</v>
      </c>
      <c r="V221">
        <v>25</v>
      </c>
      <c r="W221">
        <v>0.76000000000000012</v>
      </c>
      <c r="X221">
        <v>28</v>
      </c>
      <c r="Y221">
        <v>24.5</v>
      </c>
      <c r="Z221">
        <v>22</v>
      </c>
      <c r="AA221">
        <v>1.2926265661550274E-2</v>
      </c>
      <c r="AB221">
        <v>27</v>
      </c>
      <c r="AC221">
        <v>-4.0830687268239498E-2</v>
      </c>
      <c r="AD221">
        <v>22</v>
      </c>
      <c r="AE221">
        <v>12.679999999999998</v>
      </c>
      <c r="AF221">
        <v>27</v>
      </c>
      <c r="AG221">
        <v>-4.9599999999999991</v>
      </c>
      <c r="AH221">
        <v>4.08</v>
      </c>
      <c r="AI221">
        <v>6.4800000000000013</v>
      </c>
      <c r="AJ221">
        <v>-0.27999999999999997</v>
      </c>
      <c r="AK221">
        <v>54.879999999999995</v>
      </c>
      <c r="AL221">
        <v>34.28</v>
      </c>
      <c r="AM221">
        <v>32.720000000000006</v>
      </c>
      <c r="AN221">
        <v>1.9600000000000002</v>
      </c>
      <c r="AO221">
        <v>-14.080000000000002</v>
      </c>
      <c r="AP221">
        <v>16</v>
      </c>
      <c r="AQ221">
        <v>-1.2464000000000011</v>
      </c>
      <c r="AR221">
        <v>0.73599999999999888</v>
      </c>
      <c r="AS221">
        <v>1.5599999999999952</v>
      </c>
      <c r="AT221">
        <v>1.2464000000000013</v>
      </c>
      <c r="AU221">
        <v>2.6177999999999995</v>
      </c>
      <c r="AV221">
        <v>-0.28638749999999991</v>
      </c>
      <c r="AW221">
        <v>1.3730749999999998</v>
      </c>
      <c r="AX221" t="s">
        <v>278</v>
      </c>
      <c r="AY221">
        <v>15</v>
      </c>
      <c r="AZ221">
        <v>-4.491200000000001</v>
      </c>
      <c r="BA221">
        <v>-7.7475999999999985</v>
      </c>
      <c r="BB221">
        <v>-49.2</v>
      </c>
      <c r="BC221">
        <v>0.36000000000000015</v>
      </c>
      <c r="BD221">
        <v>-3.968</v>
      </c>
      <c r="BE221">
        <v>-2.5600000000000023</v>
      </c>
      <c r="BF221">
        <v>-0.31999999999999917</v>
      </c>
      <c r="BG221">
        <v>9</v>
      </c>
      <c r="BH221">
        <v>9.5</v>
      </c>
      <c r="BI221">
        <v>1.4799999999999995</v>
      </c>
      <c r="BJ221">
        <v>12</v>
      </c>
      <c r="BK221">
        <v>14.5</v>
      </c>
      <c r="BL221">
        <v>25</v>
      </c>
      <c r="BM221">
        <v>-6.0139210865432689E-2</v>
      </c>
      <c r="BN221">
        <v>6</v>
      </c>
      <c r="BO221">
        <v>2.3434299961670423E-2</v>
      </c>
      <c r="BP221">
        <v>10</v>
      </c>
      <c r="BQ221">
        <v>-9.2239999999999984</v>
      </c>
      <c r="BR221">
        <v>17</v>
      </c>
      <c r="BS221">
        <v>2.04</v>
      </c>
      <c r="BT221">
        <v>-0.99999999999999856</v>
      </c>
      <c r="BU221">
        <v>-7.2</v>
      </c>
      <c r="BV221">
        <v>0.67999999999999994</v>
      </c>
      <c r="BW221">
        <v>-62.720000000000013</v>
      </c>
      <c r="BX221">
        <v>-14.280000000000006</v>
      </c>
      <c r="BY221">
        <v>-47.36</v>
      </c>
      <c r="BZ221">
        <v>-5.16</v>
      </c>
      <c r="CA221">
        <v>4.08</v>
      </c>
      <c r="CB221">
        <v>9</v>
      </c>
      <c r="CC221">
        <v>3.2563999999999975</v>
      </c>
      <c r="CD221">
        <v>2.1819599999999992</v>
      </c>
      <c r="CE221">
        <v>33.079999999999991</v>
      </c>
      <c r="CF221">
        <v>-1.9458499999999996</v>
      </c>
    </row>
    <row r="222" spans="1:84" x14ac:dyDescent="0.2">
      <c r="A222" s="39">
        <v>43786</v>
      </c>
      <c r="B222" s="22" t="s">
        <v>259</v>
      </c>
      <c r="C222" s="41" t="s">
        <v>302</v>
      </c>
      <c r="D222" s="22" t="s">
        <v>294</v>
      </c>
      <c r="E222">
        <v>14.9</v>
      </c>
      <c r="F222">
        <v>3.2</v>
      </c>
      <c r="G222">
        <v>12.3</v>
      </c>
      <c r="H222">
        <v>10.5</v>
      </c>
      <c r="I222">
        <v>-4.5</v>
      </c>
      <c r="J222">
        <v>45</v>
      </c>
      <c r="L222" s="1" t="s">
        <v>302</v>
      </c>
      <c r="M222">
        <v>24</v>
      </c>
      <c r="N222">
        <v>-2.4328000000000003</v>
      </c>
      <c r="O222">
        <v>3.3840000000000003</v>
      </c>
      <c r="P222">
        <v>-13.159999999999997</v>
      </c>
      <c r="Q222">
        <v>2.6</v>
      </c>
      <c r="R222">
        <v>-0.71100000000000119</v>
      </c>
      <c r="S222">
        <v>-13.5</v>
      </c>
      <c r="T222">
        <v>3.0500000000000007</v>
      </c>
      <c r="U222">
        <v>2</v>
      </c>
      <c r="V222">
        <v>5</v>
      </c>
      <c r="W222">
        <v>8.2799999999999994</v>
      </c>
      <c r="X222">
        <v>27</v>
      </c>
      <c r="Y222">
        <v>23.25</v>
      </c>
      <c r="Z222">
        <v>23</v>
      </c>
      <c r="AA222">
        <v>-4.2854847409853958E-2</v>
      </c>
      <c r="AB222">
        <v>26</v>
      </c>
      <c r="AC222">
        <v>-2.869380473277109E-2</v>
      </c>
      <c r="AD222">
        <v>23</v>
      </c>
      <c r="AE222">
        <v>-0.72400000000000087</v>
      </c>
      <c r="AF222">
        <v>21</v>
      </c>
      <c r="AG222">
        <v>-1.32</v>
      </c>
      <c r="AH222">
        <v>7.9999999999999982</v>
      </c>
      <c r="AI222">
        <v>0.23999999999999985</v>
      </c>
      <c r="AJ222">
        <v>2.4</v>
      </c>
      <c r="AK222">
        <v>13.479999999999995</v>
      </c>
      <c r="AL222">
        <v>27.95999999999999</v>
      </c>
      <c r="AM222">
        <v>-1.3200000000000016</v>
      </c>
      <c r="AN222">
        <v>0.7599999999999999</v>
      </c>
      <c r="AO222">
        <v>-13.919999999999998</v>
      </c>
      <c r="AP222">
        <v>27</v>
      </c>
      <c r="AQ222">
        <v>-5.8168000000000006</v>
      </c>
      <c r="AR222">
        <v>-2.3207600000000004</v>
      </c>
      <c r="AS222">
        <v>29.27999999999999</v>
      </c>
      <c r="AT222">
        <v>5.8168000000000006</v>
      </c>
      <c r="AU222">
        <v>0.10502499999999985</v>
      </c>
      <c r="AV222">
        <v>-2.3284625000000001</v>
      </c>
      <c r="AW222">
        <v>-3.2124000000000001</v>
      </c>
      <c r="AX222" t="s">
        <v>294</v>
      </c>
      <c r="AY222">
        <v>30</v>
      </c>
      <c r="AZ222">
        <v>-3.033599999999999</v>
      </c>
      <c r="BA222">
        <v>-1.7796000000000007</v>
      </c>
      <c r="BB222">
        <v>-10.879999999999999</v>
      </c>
      <c r="BC222">
        <v>0.32000000000000006</v>
      </c>
      <c r="BD222">
        <v>-5.7830000000000004</v>
      </c>
      <c r="BE222">
        <v>-30.290000000000003</v>
      </c>
      <c r="BF222">
        <v>-5.66</v>
      </c>
      <c r="BG222">
        <v>31</v>
      </c>
      <c r="BH222">
        <v>28.5</v>
      </c>
      <c r="BI222">
        <v>-0.48000000000000026</v>
      </c>
      <c r="BJ222">
        <v>4</v>
      </c>
      <c r="BK222">
        <v>8.75</v>
      </c>
      <c r="BL222">
        <v>3</v>
      </c>
      <c r="BM222">
        <v>7.5955663524353064E-3</v>
      </c>
      <c r="BN222">
        <v>4</v>
      </c>
      <c r="BO222">
        <v>2.1717556885565419E-2</v>
      </c>
      <c r="BP222">
        <v>14</v>
      </c>
      <c r="BQ222">
        <v>5.9800000000000013</v>
      </c>
      <c r="BR222">
        <v>14</v>
      </c>
      <c r="BS222">
        <v>0.27999999999999992</v>
      </c>
      <c r="BT222">
        <v>-5.8</v>
      </c>
      <c r="BU222">
        <v>-8.0000000000000432E-2</v>
      </c>
      <c r="BV222">
        <v>-1.8399999999999999</v>
      </c>
      <c r="BW222">
        <v>-39.879999999999995</v>
      </c>
      <c r="BX222">
        <v>-40.159999999999997</v>
      </c>
      <c r="BY222">
        <v>-11.120000000000005</v>
      </c>
      <c r="BZ222">
        <v>5.32</v>
      </c>
      <c r="CA222">
        <v>6.08</v>
      </c>
      <c r="CB222">
        <v>19</v>
      </c>
      <c r="CC222">
        <v>-1.2539999999999987</v>
      </c>
      <c r="CD222">
        <v>-0.87351999999999941</v>
      </c>
      <c r="CE222">
        <v>-29.039999999999992</v>
      </c>
      <c r="CF222">
        <v>-1.4445250000000001</v>
      </c>
    </row>
    <row r="223" spans="1:84" x14ac:dyDescent="0.2">
      <c r="A223" s="39">
        <v>43786</v>
      </c>
      <c r="B223" s="22" t="s">
        <v>259</v>
      </c>
      <c r="C223" s="41" t="s">
        <v>307</v>
      </c>
      <c r="D223" s="22" t="s">
        <v>284</v>
      </c>
      <c r="E223">
        <v>28.4</v>
      </c>
      <c r="F223">
        <v>9.4</v>
      </c>
      <c r="G223">
        <v>0</v>
      </c>
      <c r="H223">
        <f>11.3+2.8</f>
        <v>14.100000000000001</v>
      </c>
      <c r="I223">
        <v>-5</v>
      </c>
      <c r="J223">
        <v>50.5</v>
      </c>
      <c r="K223" t="s">
        <v>109</v>
      </c>
      <c r="L223" s="1" t="s">
        <v>307</v>
      </c>
      <c r="M223">
        <v>15</v>
      </c>
      <c r="N223">
        <v>0.32720000000000127</v>
      </c>
      <c r="O223">
        <v>6.5080000000000009</v>
      </c>
      <c r="P223">
        <v>8.6399999999999988</v>
      </c>
      <c r="Q223">
        <v>4.68</v>
      </c>
      <c r="R223">
        <v>-3.714</v>
      </c>
      <c r="S223">
        <v>-11.239999999999997</v>
      </c>
      <c r="T223">
        <v>-2.2799999999999998</v>
      </c>
      <c r="U223">
        <v>4</v>
      </c>
      <c r="V223">
        <v>7</v>
      </c>
      <c r="W223">
        <v>1.36</v>
      </c>
      <c r="X223">
        <v>32</v>
      </c>
      <c r="Y223">
        <v>29.5</v>
      </c>
      <c r="Z223">
        <v>30</v>
      </c>
      <c r="AA223">
        <v>-2.1218997726417877E-2</v>
      </c>
      <c r="AB223">
        <v>28</v>
      </c>
      <c r="AC223">
        <v>-1.4235280455858913E-2</v>
      </c>
      <c r="AD223">
        <v>31</v>
      </c>
      <c r="AE223">
        <v>1.547999999999996</v>
      </c>
      <c r="AF223">
        <v>29</v>
      </c>
      <c r="AG223">
        <v>-0.96000000000000019</v>
      </c>
      <c r="AH223">
        <v>3.240000000000002</v>
      </c>
      <c r="AI223">
        <v>-1.2400000000000013</v>
      </c>
      <c r="AJ223">
        <v>0.87999999999999989</v>
      </c>
      <c r="AK223">
        <v>30.480000000000008</v>
      </c>
      <c r="AL223">
        <v>20.879999999999995</v>
      </c>
      <c r="AM223">
        <v>13.719999999999999</v>
      </c>
      <c r="AN223">
        <v>-1.4000000000000004</v>
      </c>
      <c r="AO223">
        <v>-2.72</v>
      </c>
      <c r="AP223">
        <v>29</v>
      </c>
      <c r="AQ223">
        <v>-6.1807999999999996</v>
      </c>
      <c r="AR223">
        <v>-3.9313600000000002</v>
      </c>
      <c r="AS223">
        <v>7.1599999999999966</v>
      </c>
      <c r="AT223">
        <v>6.1807999999999996</v>
      </c>
      <c r="AU223">
        <v>0.47515000000000029</v>
      </c>
      <c r="AV223">
        <v>0.24851249999999991</v>
      </c>
      <c r="AW223">
        <v>-1.9575250000000004</v>
      </c>
      <c r="AX223" t="s">
        <v>284</v>
      </c>
      <c r="AY223">
        <v>4</v>
      </c>
      <c r="AZ223">
        <v>6.3263999999999996</v>
      </c>
      <c r="BA223">
        <v>-9.3819999999999997</v>
      </c>
      <c r="BB223">
        <v>-23.79</v>
      </c>
      <c r="BC223">
        <v>-0.61999999999999988</v>
      </c>
      <c r="BD223">
        <v>19.251999999999999</v>
      </c>
      <c r="BE223">
        <v>36.4</v>
      </c>
      <c r="BF223">
        <v>3</v>
      </c>
      <c r="BG223">
        <v>16</v>
      </c>
      <c r="BH223">
        <v>14</v>
      </c>
      <c r="BI223">
        <v>4.5999999999999996</v>
      </c>
      <c r="BJ223">
        <v>10</v>
      </c>
      <c r="BK223">
        <v>13.25</v>
      </c>
      <c r="BL223">
        <v>9</v>
      </c>
      <c r="BM223">
        <v>-3.2258835740738866E-2</v>
      </c>
      <c r="BN223">
        <v>26</v>
      </c>
      <c r="BO223">
        <v>-2.4264800203707401E-2</v>
      </c>
      <c r="BP223">
        <v>6</v>
      </c>
      <c r="BQ223">
        <v>4.535999999999996</v>
      </c>
      <c r="BR223">
        <v>12</v>
      </c>
      <c r="BS223">
        <v>-5.56</v>
      </c>
      <c r="BT223">
        <v>-0.31999999999999745</v>
      </c>
      <c r="BU223">
        <v>8.5599999999999987</v>
      </c>
      <c r="BV223">
        <v>0.40000000000000008</v>
      </c>
      <c r="BW223">
        <v>-12.439999999999998</v>
      </c>
      <c r="BX223">
        <v>11.759999999999991</v>
      </c>
      <c r="BY223">
        <v>-21.240000000000002</v>
      </c>
      <c r="BZ223">
        <v>2.5999999999999996</v>
      </c>
      <c r="CA223">
        <v>-5.5600000000000005</v>
      </c>
      <c r="CB223">
        <v>1</v>
      </c>
      <c r="CC223">
        <v>15.708399999999999</v>
      </c>
      <c r="CD223">
        <v>9.8066800000000001</v>
      </c>
      <c r="CE223">
        <v>32.999999999999993</v>
      </c>
      <c r="CF223">
        <v>2.4545500000000002</v>
      </c>
    </row>
    <row r="224" spans="1:84" x14ac:dyDescent="0.2">
      <c r="A224" s="39">
        <v>43786</v>
      </c>
      <c r="B224" s="22" t="s">
        <v>259</v>
      </c>
      <c r="C224" s="41" t="s">
        <v>298</v>
      </c>
      <c r="D224" s="22" t="s">
        <v>306</v>
      </c>
      <c r="E224">
        <v>18.600000000000001</v>
      </c>
      <c r="F224">
        <v>7.6</v>
      </c>
      <c r="G224">
        <v>8.4</v>
      </c>
      <c r="H224">
        <f>24.9+9</f>
        <v>33.9</v>
      </c>
      <c r="I224">
        <v>1</v>
      </c>
      <c r="J224">
        <v>37.5</v>
      </c>
      <c r="L224" s="1" t="s">
        <v>298</v>
      </c>
      <c r="M224">
        <v>21</v>
      </c>
      <c r="N224">
        <v>-1.8151999999999995</v>
      </c>
      <c r="O224">
        <v>-5.1080000000000005</v>
      </c>
      <c r="P224">
        <v>-31.52</v>
      </c>
      <c r="Q224">
        <v>-0.19999999999999996</v>
      </c>
      <c r="R224">
        <v>2.0620000000000025</v>
      </c>
      <c r="S224">
        <v>0.71999999999999353</v>
      </c>
      <c r="T224">
        <v>-0.59999999999999964</v>
      </c>
      <c r="U224">
        <v>14</v>
      </c>
      <c r="V224">
        <v>13.5</v>
      </c>
      <c r="W224">
        <v>-3.28</v>
      </c>
      <c r="X224">
        <v>8</v>
      </c>
      <c r="Y224">
        <v>12</v>
      </c>
      <c r="Z224">
        <v>2</v>
      </c>
      <c r="AA224">
        <v>0.10832909945927871</v>
      </c>
      <c r="AB224">
        <v>17</v>
      </c>
      <c r="AC224">
        <v>1.36051905153008E-2</v>
      </c>
      <c r="AD224">
        <v>12</v>
      </c>
      <c r="AE224">
        <v>-1.5120000000000005</v>
      </c>
      <c r="AF224">
        <v>17</v>
      </c>
      <c r="AG224">
        <v>1.64</v>
      </c>
      <c r="AH224">
        <v>-3.4799999999999995</v>
      </c>
      <c r="AI224">
        <v>-2.04</v>
      </c>
      <c r="AJ224">
        <v>-0.51999999999999991</v>
      </c>
      <c r="AK224">
        <v>-43.36</v>
      </c>
      <c r="AL224">
        <v>-0.47999999999999543</v>
      </c>
      <c r="AM224">
        <v>-32.04</v>
      </c>
      <c r="AN224">
        <v>0.6399999999999999</v>
      </c>
      <c r="AO224">
        <v>-11.48</v>
      </c>
      <c r="AP224">
        <v>11</v>
      </c>
      <c r="AQ224">
        <v>3.2928000000000006</v>
      </c>
      <c r="AR224">
        <v>2.6033600000000008</v>
      </c>
      <c r="AS224">
        <v>31.560000000000002</v>
      </c>
      <c r="AT224">
        <v>-3.2928000000000011</v>
      </c>
      <c r="AU224">
        <v>-0.8726499999999997</v>
      </c>
      <c r="AV224">
        <v>0.72310000000000019</v>
      </c>
      <c r="AW224">
        <v>2.5169000000000001</v>
      </c>
      <c r="AX224" t="s">
        <v>306</v>
      </c>
      <c r="AY224">
        <v>22</v>
      </c>
      <c r="AZ224">
        <v>-5.1579999999999986</v>
      </c>
      <c r="BA224">
        <v>3.6443999999999996</v>
      </c>
      <c r="BB224">
        <v>27</v>
      </c>
      <c r="BC224">
        <v>1.1599999999999999</v>
      </c>
      <c r="BD224">
        <v>-7.9319999999999995</v>
      </c>
      <c r="BE224">
        <v>-23.72</v>
      </c>
      <c r="BF224">
        <v>-4.5199999999999996</v>
      </c>
      <c r="BG224">
        <v>12</v>
      </c>
      <c r="BH224">
        <v>12.5</v>
      </c>
      <c r="BI224">
        <v>0.96</v>
      </c>
      <c r="BJ224">
        <v>3</v>
      </c>
      <c r="BK224">
        <v>8</v>
      </c>
      <c r="BL224">
        <v>13</v>
      </c>
      <c r="BM224">
        <v>-3.4511208393495127E-2</v>
      </c>
      <c r="BN224">
        <v>2</v>
      </c>
      <c r="BO224">
        <v>2.1252396387227632E-2</v>
      </c>
      <c r="BP224">
        <v>9</v>
      </c>
      <c r="BQ224">
        <v>-0.74000000000000055</v>
      </c>
      <c r="BR224">
        <v>8</v>
      </c>
      <c r="BS224">
        <v>-0.15999999999999998</v>
      </c>
      <c r="BT224">
        <v>1.4400000000000019</v>
      </c>
      <c r="BU224">
        <v>-2.7600000000000002</v>
      </c>
      <c r="BV224">
        <v>-1.6400000000000001</v>
      </c>
      <c r="BW224">
        <v>-2.7600000000000025</v>
      </c>
      <c r="BX224">
        <v>-22.880000000000003</v>
      </c>
      <c r="BY224">
        <v>28.079999999999995</v>
      </c>
      <c r="BZ224">
        <v>-3.6399999999999997</v>
      </c>
      <c r="CA224">
        <v>-4.32</v>
      </c>
      <c r="CB224">
        <v>32</v>
      </c>
      <c r="CC224">
        <v>-8.8023999999999987</v>
      </c>
      <c r="CD224">
        <v>-4.440199999999999</v>
      </c>
      <c r="CE224">
        <v>-50.959999999999994</v>
      </c>
      <c r="CF224">
        <v>-1.0706999999999998</v>
      </c>
    </row>
    <row r="225" spans="1:84" x14ac:dyDescent="0.2">
      <c r="A225" s="39">
        <v>43786</v>
      </c>
      <c r="B225" s="22" t="s">
        <v>259</v>
      </c>
      <c r="C225" s="41" t="s">
        <v>294</v>
      </c>
      <c r="D225" s="22" t="s">
        <v>302</v>
      </c>
      <c r="E225">
        <v>8</v>
      </c>
      <c r="F225">
        <v>1.6</v>
      </c>
      <c r="G225">
        <v>3.9</v>
      </c>
      <c r="H225">
        <f>18.4+12.6</f>
        <v>31</v>
      </c>
      <c r="I225">
        <v>4.5</v>
      </c>
      <c r="J225">
        <v>45</v>
      </c>
      <c r="L225" s="1" t="s">
        <v>294</v>
      </c>
      <c r="M225">
        <v>20</v>
      </c>
      <c r="N225">
        <v>-1.3956000000000006</v>
      </c>
      <c r="O225">
        <v>1.2960000000000007</v>
      </c>
      <c r="P225">
        <v>7.04</v>
      </c>
      <c r="Q225">
        <v>-1.3200000000000003</v>
      </c>
      <c r="R225">
        <v>-1.3959999999999972</v>
      </c>
      <c r="S225">
        <v>-5.9199999999999946</v>
      </c>
      <c r="T225">
        <v>3.48</v>
      </c>
      <c r="U225">
        <v>23</v>
      </c>
      <c r="V225">
        <v>22.5</v>
      </c>
      <c r="W225">
        <v>0.27999999999999992</v>
      </c>
      <c r="X225">
        <v>6</v>
      </c>
      <c r="Y225">
        <v>10.25</v>
      </c>
      <c r="Z225">
        <v>16</v>
      </c>
      <c r="AA225">
        <v>1.8768061802141411E-3</v>
      </c>
      <c r="AB225">
        <v>4</v>
      </c>
      <c r="AC225">
        <v>1.8320573882257028E-2</v>
      </c>
      <c r="AD225">
        <v>6</v>
      </c>
      <c r="AE225">
        <v>-9.200000000000301E-2</v>
      </c>
      <c r="AF225">
        <v>15</v>
      </c>
      <c r="AG225">
        <v>-0.48000000000000026</v>
      </c>
      <c r="AH225">
        <v>5.56</v>
      </c>
      <c r="AI225">
        <v>-0.28000000000000042</v>
      </c>
      <c r="AJ225">
        <v>-0.91999999999999993</v>
      </c>
      <c r="AK225">
        <v>14.6</v>
      </c>
      <c r="AL225">
        <v>-8.2400000000000038</v>
      </c>
      <c r="AM225">
        <v>17.360000000000003</v>
      </c>
      <c r="AN225">
        <v>-0.23999999999999985</v>
      </c>
      <c r="AO225">
        <v>5.7199999999999989</v>
      </c>
      <c r="AP225">
        <v>20</v>
      </c>
      <c r="AQ225">
        <v>-2.6916000000000011</v>
      </c>
      <c r="AR225">
        <v>-1.2063200000000003</v>
      </c>
      <c r="AS225">
        <v>-25.600000000000009</v>
      </c>
      <c r="AT225">
        <v>2.6916000000000011</v>
      </c>
      <c r="AU225">
        <v>-0.19694999999999971</v>
      </c>
      <c r="AV225">
        <v>-2.3284625000000001</v>
      </c>
      <c r="AW225">
        <v>-1.4445250000000001</v>
      </c>
      <c r="AX225" t="s">
        <v>302</v>
      </c>
      <c r="AY225">
        <v>28</v>
      </c>
      <c r="AZ225">
        <v>-7.9032000000000027</v>
      </c>
      <c r="BA225">
        <v>-5.42</v>
      </c>
      <c r="BB225">
        <v>8.1600000000000019</v>
      </c>
      <c r="BC225">
        <v>-0.79999999999999993</v>
      </c>
      <c r="BD225">
        <v>-10.016</v>
      </c>
      <c r="BE225">
        <v>-36.613333333333337</v>
      </c>
      <c r="BF225">
        <v>-3.9999999999999702E-2</v>
      </c>
      <c r="BG225">
        <v>24</v>
      </c>
      <c r="BH225">
        <v>23</v>
      </c>
      <c r="BI225">
        <v>-1.32</v>
      </c>
      <c r="BJ225">
        <v>5</v>
      </c>
      <c r="BK225">
        <v>9.75</v>
      </c>
      <c r="BL225">
        <v>1</v>
      </c>
      <c r="BM225">
        <v>9.3555593840792109E-2</v>
      </c>
      <c r="BN225">
        <v>12</v>
      </c>
      <c r="BO225">
        <v>-9.9404251500156976E-5</v>
      </c>
      <c r="BP225">
        <v>23</v>
      </c>
      <c r="BQ225">
        <v>-11.915999999999995</v>
      </c>
      <c r="BR225">
        <v>3</v>
      </c>
      <c r="BS225">
        <v>8.2799999999999994</v>
      </c>
      <c r="BT225">
        <v>-5.0400000000000009</v>
      </c>
      <c r="BU225">
        <v>-8.879999999999999</v>
      </c>
      <c r="BV225">
        <v>0.48000000000000009</v>
      </c>
      <c r="BW225">
        <v>-70.16</v>
      </c>
      <c r="BX225">
        <v>-60.480000000000004</v>
      </c>
      <c r="BY225">
        <v>3.919999999999999</v>
      </c>
      <c r="BZ225">
        <v>-1.48</v>
      </c>
      <c r="CA225">
        <v>-12.12</v>
      </c>
      <c r="CB225">
        <v>24</v>
      </c>
      <c r="CC225">
        <v>-2.4832000000000036</v>
      </c>
      <c r="CD225">
        <v>-0.87384000000000084</v>
      </c>
      <c r="CE225">
        <v>-64.400000000000006</v>
      </c>
      <c r="CF225">
        <v>-3.2124000000000001</v>
      </c>
    </row>
    <row r="226" spans="1:84" x14ac:dyDescent="0.2">
      <c r="A226" s="39">
        <v>43786</v>
      </c>
      <c r="B226" s="22" t="s">
        <v>259</v>
      </c>
      <c r="C226" s="41" t="s">
        <v>309</v>
      </c>
      <c r="D226" s="22" t="s">
        <v>281</v>
      </c>
      <c r="F226">
        <v>7.9</v>
      </c>
      <c r="G226">
        <v>4.4000000000000004</v>
      </c>
      <c r="H226">
        <v>8</v>
      </c>
      <c r="I226">
        <v>3</v>
      </c>
      <c r="J226">
        <v>41.5</v>
      </c>
      <c r="L226" s="1" t="s">
        <v>309</v>
      </c>
      <c r="M226">
        <v>27</v>
      </c>
      <c r="N226">
        <v>-4.0048000000000004</v>
      </c>
      <c r="O226">
        <v>5.7</v>
      </c>
      <c r="P226">
        <v>3.6399999999999988</v>
      </c>
      <c r="Q226">
        <v>2.8799999999999994</v>
      </c>
      <c r="R226">
        <v>-5.375</v>
      </c>
      <c r="S226">
        <v>-15.66</v>
      </c>
      <c r="T226">
        <v>-2.4600000000000004</v>
      </c>
      <c r="U226">
        <v>3</v>
      </c>
      <c r="V226">
        <v>5.5</v>
      </c>
      <c r="W226">
        <v>6.04</v>
      </c>
      <c r="X226">
        <v>12</v>
      </c>
      <c r="Y226">
        <v>13.25</v>
      </c>
      <c r="Z226">
        <v>9</v>
      </c>
      <c r="AA226">
        <v>9.6360620797413914E-3</v>
      </c>
      <c r="AB226">
        <v>20</v>
      </c>
      <c r="AC226">
        <v>-1.7173311716397001E-2</v>
      </c>
      <c r="AD226">
        <v>19</v>
      </c>
      <c r="AE226">
        <v>0.76399999999999868</v>
      </c>
      <c r="AF226">
        <v>5</v>
      </c>
      <c r="AG226">
        <v>2.3199999999999998</v>
      </c>
      <c r="AH226">
        <v>-0.12000000000000029</v>
      </c>
      <c r="AI226">
        <v>-1.5999999999999996</v>
      </c>
      <c r="AJ226">
        <v>2.36</v>
      </c>
      <c r="AK226">
        <v>-30.04</v>
      </c>
      <c r="AL226">
        <v>-26.919999999999998</v>
      </c>
      <c r="AM226">
        <v>3.9599999999999995</v>
      </c>
      <c r="AN226">
        <v>-0.84000000000000008</v>
      </c>
      <c r="AO226">
        <v>-6.24</v>
      </c>
      <c r="AP226">
        <v>31</v>
      </c>
      <c r="AQ226">
        <v>-9.7048000000000005</v>
      </c>
      <c r="AR226">
        <v>-4.7259600000000006</v>
      </c>
      <c r="AS226">
        <v>-30.88</v>
      </c>
      <c r="AT226">
        <v>9.7048000000000005</v>
      </c>
      <c r="AU226">
        <v>-0.37497500000000006</v>
      </c>
      <c r="AV226">
        <v>-0.79776250000000004</v>
      </c>
      <c r="AW226">
        <v>-1.07605</v>
      </c>
      <c r="AX226" t="s">
        <v>281</v>
      </c>
      <c r="AY226">
        <v>11</v>
      </c>
      <c r="AZ226">
        <v>2.7591999999999999</v>
      </c>
      <c r="BA226">
        <v>-0.7240000000000002</v>
      </c>
      <c r="BB226">
        <v>-3.5599999999999969</v>
      </c>
      <c r="BC226">
        <v>7.999999999999996E-2</v>
      </c>
      <c r="BD226">
        <v>-3.2710000000000008</v>
      </c>
      <c r="BE226">
        <v>-2.4500000000000011</v>
      </c>
      <c r="BF226">
        <v>-3.09</v>
      </c>
      <c r="BG226">
        <v>29</v>
      </c>
      <c r="BH226">
        <v>27</v>
      </c>
      <c r="BI226">
        <v>-3.4800000000000004</v>
      </c>
      <c r="BJ226">
        <v>9</v>
      </c>
      <c r="BK226">
        <v>12.5</v>
      </c>
      <c r="BL226">
        <v>8</v>
      </c>
      <c r="BM226">
        <v>8.1164569191846794E-2</v>
      </c>
      <c r="BN226">
        <v>16</v>
      </c>
      <c r="BO226">
        <v>1.3174747035974663E-2</v>
      </c>
      <c r="BP226">
        <v>7</v>
      </c>
      <c r="BQ226">
        <v>5.3360000000000012</v>
      </c>
      <c r="BR226">
        <v>19</v>
      </c>
      <c r="BS226">
        <v>-1.2000000000000002</v>
      </c>
      <c r="BT226">
        <v>-2.1999999999999984</v>
      </c>
      <c r="BU226">
        <v>-1.3199999999999996</v>
      </c>
      <c r="BV226">
        <v>-0.59999999999999987</v>
      </c>
      <c r="BW226">
        <v>10.760000000000002</v>
      </c>
      <c r="BX226">
        <v>16.47999999999999</v>
      </c>
      <c r="BY226">
        <v>-7.400000000000003</v>
      </c>
      <c r="BZ226">
        <v>-0.6</v>
      </c>
      <c r="CA226">
        <v>2.2800000000000002</v>
      </c>
      <c r="CB226">
        <v>6</v>
      </c>
      <c r="CC226">
        <v>3.4832000000000001</v>
      </c>
      <c r="CD226">
        <v>0.25963999999999987</v>
      </c>
      <c r="CE226">
        <v>23.879999999999992</v>
      </c>
      <c r="CF226">
        <v>-0.51947500000000013</v>
      </c>
    </row>
    <row r="227" spans="1:84" x14ac:dyDescent="0.2">
      <c r="A227" s="39">
        <v>43786</v>
      </c>
      <c r="B227" s="22" t="s">
        <v>259</v>
      </c>
      <c r="C227" s="40" t="s">
        <v>256</v>
      </c>
      <c r="D227" s="22" t="s">
        <v>285</v>
      </c>
      <c r="E227">
        <v>24.4</v>
      </c>
      <c r="F227">
        <v>13.1</v>
      </c>
      <c r="G227">
        <v>6.7</v>
      </c>
      <c r="H227">
        <v>17.399999999999999</v>
      </c>
      <c r="I227">
        <v>-10</v>
      </c>
      <c r="J227">
        <v>44</v>
      </c>
      <c r="L227" s="1" t="s">
        <v>256</v>
      </c>
      <c r="M227">
        <v>23</v>
      </c>
      <c r="N227">
        <v>-2.1072000000000024</v>
      </c>
      <c r="O227">
        <v>-3.0600000000000014</v>
      </c>
      <c r="P227">
        <v>-6.1199999999999992</v>
      </c>
      <c r="Q227">
        <v>-1.0000000000000002</v>
      </c>
      <c r="R227">
        <v>-2.8719999999999999</v>
      </c>
      <c r="S227">
        <v>-33.919999999999995</v>
      </c>
      <c r="T227">
        <v>-1.92</v>
      </c>
      <c r="U227">
        <v>17</v>
      </c>
      <c r="V227">
        <v>16</v>
      </c>
      <c r="W227">
        <v>5.4399999999999995</v>
      </c>
      <c r="X227">
        <v>21</v>
      </c>
      <c r="Y227">
        <v>17.75</v>
      </c>
      <c r="Z227">
        <v>19</v>
      </c>
      <c r="AA227">
        <v>8.1494987618955465E-3</v>
      </c>
      <c r="AB227">
        <v>3</v>
      </c>
      <c r="AC227">
        <v>4.4570213667647378E-3</v>
      </c>
      <c r="AD227">
        <v>29</v>
      </c>
      <c r="AE227">
        <v>6.5080000000000009</v>
      </c>
      <c r="AF227">
        <v>20</v>
      </c>
      <c r="AG227">
        <v>0.6</v>
      </c>
      <c r="AH227">
        <v>1.5200000000000018</v>
      </c>
      <c r="AI227">
        <v>1.1199999999999997</v>
      </c>
      <c r="AJ227">
        <v>1.1199999999999997</v>
      </c>
      <c r="AK227">
        <v>-21.399999999999988</v>
      </c>
      <c r="AL227">
        <v>-24.080000000000005</v>
      </c>
      <c r="AM227">
        <v>8.0799999999999983</v>
      </c>
      <c r="AN227">
        <v>5.12</v>
      </c>
      <c r="AO227">
        <v>-10.520000000000001</v>
      </c>
      <c r="AP227">
        <v>14</v>
      </c>
      <c r="AQ227">
        <v>0.95279999999999876</v>
      </c>
      <c r="AR227">
        <v>0.53416000000000019</v>
      </c>
      <c r="AS227">
        <v>-32.160000000000004</v>
      </c>
      <c r="AT227">
        <v>-0.95279999999999898</v>
      </c>
      <c r="AU227">
        <v>-0.92990000000000061</v>
      </c>
      <c r="AV227">
        <v>-0.33264999999999978</v>
      </c>
      <c r="AW227">
        <v>-2.6502999999999997</v>
      </c>
      <c r="AX227" t="s">
        <v>285</v>
      </c>
      <c r="AY227">
        <v>1</v>
      </c>
      <c r="AZ227">
        <v>6.3800000000000008</v>
      </c>
      <c r="BA227">
        <v>1.7720000000000007</v>
      </c>
      <c r="BB227">
        <v>21.96</v>
      </c>
      <c r="BC227">
        <v>0.35999999999999988</v>
      </c>
      <c r="BD227">
        <v>8.8079999999999963</v>
      </c>
      <c r="BE227">
        <v>34.400000000000006</v>
      </c>
      <c r="BF227">
        <v>-0.40000000000000058</v>
      </c>
      <c r="BG227">
        <v>19</v>
      </c>
      <c r="BH227">
        <v>20.5</v>
      </c>
      <c r="BI227">
        <v>-2.04</v>
      </c>
      <c r="BJ227">
        <v>26</v>
      </c>
      <c r="BK227">
        <v>22</v>
      </c>
      <c r="BL227">
        <v>5</v>
      </c>
      <c r="BM227">
        <v>-2.3472970240729484E-2</v>
      </c>
      <c r="BN227">
        <v>31</v>
      </c>
      <c r="BO227">
        <v>-1.2049216420421347E-2</v>
      </c>
      <c r="BP227">
        <v>20</v>
      </c>
      <c r="BQ227">
        <v>8.2040000000000024</v>
      </c>
      <c r="BR227">
        <v>32</v>
      </c>
      <c r="BS227">
        <v>-5.24</v>
      </c>
      <c r="BT227">
        <v>8.000000000000114E-2</v>
      </c>
      <c r="BU227">
        <v>3.12</v>
      </c>
      <c r="BV227">
        <v>-0.35999999999999988</v>
      </c>
      <c r="BW227">
        <v>41.4</v>
      </c>
      <c r="BX227">
        <v>30.4</v>
      </c>
      <c r="BY227">
        <v>14.239999999999998</v>
      </c>
      <c r="BZ227">
        <v>-4.92</v>
      </c>
      <c r="CA227">
        <v>1.6800000000000002</v>
      </c>
      <c r="CB227">
        <v>5</v>
      </c>
      <c r="CC227">
        <v>4.6080000000000005</v>
      </c>
      <c r="CD227">
        <v>2.1515999999999993</v>
      </c>
      <c r="CE227">
        <v>16.16</v>
      </c>
      <c r="CF227">
        <v>1.9850000000000001</v>
      </c>
    </row>
    <row r="228" spans="1:84" x14ac:dyDescent="0.2">
      <c r="A228" s="39">
        <v>43786</v>
      </c>
      <c r="B228" s="22" t="s">
        <v>259</v>
      </c>
      <c r="C228" s="41" t="s">
        <v>284</v>
      </c>
      <c r="D228" s="22" t="s">
        <v>307</v>
      </c>
      <c r="E228">
        <v>10.9</v>
      </c>
      <c r="F228">
        <v>13.7</v>
      </c>
      <c r="G228">
        <v>11.1</v>
      </c>
      <c r="H228">
        <v>17.3</v>
      </c>
      <c r="I228">
        <v>5</v>
      </c>
      <c r="J228">
        <v>50.5</v>
      </c>
      <c r="K228" t="s">
        <v>109</v>
      </c>
      <c r="L228" s="1" t="s">
        <v>284</v>
      </c>
      <c r="M228">
        <v>8</v>
      </c>
      <c r="N228">
        <v>2.5047999999999999</v>
      </c>
      <c r="O228">
        <v>-3.6070000000000007</v>
      </c>
      <c r="P228">
        <v>-32.33</v>
      </c>
      <c r="Q228">
        <v>-0.32000000000000023</v>
      </c>
      <c r="R228">
        <v>11.700000000000001</v>
      </c>
      <c r="S228">
        <v>59.839999999999989</v>
      </c>
      <c r="T228">
        <v>6.6000000000000005</v>
      </c>
      <c r="U228">
        <v>18</v>
      </c>
      <c r="V228">
        <v>17.5</v>
      </c>
      <c r="W228">
        <v>-5.68</v>
      </c>
      <c r="X228">
        <v>14</v>
      </c>
      <c r="Y228">
        <v>14</v>
      </c>
      <c r="Z228">
        <v>29</v>
      </c>
      <c r="AA228">
        <v>1.5787203177761056E-3</v>
      </c>
      <c r="AB228">
        <v>22</v>
      </c>
      <c r="AC228">
        <v>6.296781806849153E-3</v>
      </c>
      <c r="AD228">
        <v>1</v>
      </c>
      <c r="AE228">
        <v>-17.288000000000004</v>
      </c>
      <c r="AF228">
        <v>4</v>
      </c>
      <c r="AG228">
        <v>4.72</v>
      </c>
      <c r="AH228">
        <v>7.12</v>
      </c>
      <c r="AI228">
        <v>3.04</v>
      </c>
      <c r="AJ228">
        <v>-1.6800000000000002</v>
      </c>
      <c r="AK228">
        <v>35.840000000000011</v>
      </c>
      <c r="AL228">
        <v>57.719999999999992</v>
      </c>
      <c r="AM228">
        <v>-29.920000000000005</v>
      </c>
      <c r="AN228">
        <v>-1.7600000000000002</v>
      </c>
      <c r="AO228">
        <v>9.8000000000000007</v>
      </c>
      <c r="AP228">
        <v>4</v>
      </c>
      <c r="AQ228">
        <v>6.1118000000000006</v>
      </c>
      <c r="AR228">
        <v>4.6444600000000005</v>
      </c>
      <c r="AS228">
        <v>87.64</v>
      </c>
      <c r="AT228">
        <v>-6.1118000000000006</v>
      </c>
      <c r="AU228">
        <v>1.4147250000000002</v>
      </c>
      <c r="AV228">
        <v>0.24851249999999991</v>
      </c>
      <c r="AW228">
        <v>2.4545500000000002</v>
      </c>
      <c r="AX228" t="s">
        <v>307</v>
      </c>
      <c r="AY228">
        <v>18</v>
      </c>
      <c r="AZ228">
        <v>-4.4392000000000005</v>
      </c>
      <c r="BA228">
        <v>-4.0649999999999995</v>
      </c>
      <c r="BB228">
        <v>-13.350000000000001</v>
      </c>
      <c r="BC228">
        <v>1.2</v>
      </c>
      <c r="BD228">
        <v>-7.6359999999999992</v>
      </c>
      <c r="BE228">
        <v>-31.399999999999991</v>
      </c>
      <c r="BF228">
        <v>1.9199999999999995</v>
      </c>
      <c r="BG228">
        <v>8</v>
      </c>
      <c r="BH228">
        <v>8.5</v>
      </c>
      <c r="BI228">
        <v>-1.08</v>
      </c>
      <c r="BJ228">
        <v>17</v>
      </c>
      <c r="BK228">
        <v>16</v>
      </c>
      <c r="BL228">
        <v>6</v>
      </c>
      <c r="BM228">
        <v>4.0831763653831774E-2</v>
      </c>
      <c r="BN228">
        <v>18</v>
      </c>
      <c r="BO228">
        <v>-1.7029853346245565E-2</v>
      </c>
      <c r="BP228">
        <v>21</v>
      </c>
      <c r="BQ228">
        <v>-2.6519999999999984</v>
      </c>
      <c r="BR228">
        <v>19</v>
      </c>
      <c r="BS228">
        <v>1.48</v>
      </c>
      <c r="BT228">
        <v>-4.6400000000000032</v>
      </c>
      <c r="BU228">
        <v>-5.3999999999999995</v>
      </c>
      <c r="BV228">
        <v>0.55999999999999983</v>
      </c>
      <c r="BW228">
        <v>-72.64</v>
      </c>
      <c r="BX228">
        <v>-45.08</v>
      </c>
      <c r="BY228">
        <v>-24.36</v>
      </c>
      <c r="BZ228">
        <v>4.32</v>
      </c>
      <c r="CA228">
        <v>-7.5199999999999987</v>
      </c>
      <c r="CB228">
        <v>18</v>
      </c>
      <c r="CC228">
        <v>-0.37420000000000053</v>
      </c>
      <c r="CD228">
        <v>-0.38254000000000055</v>
      </c>
      <c r="CE228">
        <v>-20.72</v>
      </c>
      <c r="CF228">
        <v>-1.9575250000000004</v>
      </c>
    </row>
    <row r="229" spans="1:84" x14ac:dyDescent="0.2">
      <c r="A229" s="39">
        <v>43786</v>
      </c>
      <c r="B229" s="22" t="s">
        <v>259</v>
      </c>
      <c r="C229" s="41" t="s">
        <v>306</v>
      </c>
      <c r="D229" s="22" t="s">
        <v>298</v>
      </c>
      <c r="E229">
        <v>9.9</v>
      </c>
      <c r="F229">
        <v>10.3</v>
      </c>
      <c r="G229">
        <v>4.9000000000000004</v>
      </c>
      <c r="H229">
        <v>10.6</v>
      </c>
      <c r="I229">
        <v>-1</v>
      </c>
      <c r="J229">
        <v>37.5</v>
      </c>
      <c r="L229" s="1" t="s">
        <v>306</v>
      </c>
      <c r="M229">
        <v>31</v>
      </c>
      <c r="N229">
        <v>-8.9475999999999996</v>
      </c>
      <c r="O229">
        <v>-3.1679999999999993</v>
      </c>
      <c r="P229">
        <v>10.120000000000001</v>
      </c>
      <c r="Q229">
        <v>-2.16</v>
      </c>
      <c r="R229">
        <v>-20.975999999999999</v>
      </c>
      <c r="S229">
        <v>-80.2</v>
      </c>
      <c r="T229">
        <v>-9.6000000000000014</v>
      </c>
      <c r="U229">
        <v>1</v>
      </c>
      <c r="V229">
        <v>1</v>
      </c>
      <c r="W229">
        <v>-0.15999999999999998</v>
      </c>
      <c r="X229">
        <v>1</v>
      </c>
      <c r="Y229">
        <v>5.25</v>
      </c>
      <c r="Z229">
        <v>9</v>
      </c>
      <c r="AA229">
        <v>-2.2720987078639419E-2</v>
      </c>
      <c r="AB229">
        <v>1</v>
      </c>
      <c r="AC229">
        <v>4.2542658077380349E-2</v>
      </c>
      <c r="AD229">
        <v>2</v>
      </c>
      <c r="AE229">
        <v>-4.7240000000000038</v>
      </c>
      <c r="AF229">
        <v>9</v>
      </c>
      <c r="AG229">
        <v>0.96</v>
      </c>
      <c r="AH229">
        <v>-12.32</v>
      </c>
      <c r="AI229">
        <v>-10.720000000000002</v>
      </c>
      <c r="AJ229">
        <v>-1.1599999999999999</v>
      </c>
      <c r="AK229">
        <v>-93.56</v>
      </c>
      <c r="AL229">
        <v>-88.04</v>
      </c>
      <c r="AM229">
        <v>6.9200000000000017</v>
      </c>
      <c r="AN229">
        <v>-2.8</v>
      </c>
      <c r="AO229">
        <v>-9.64</v>
      </c>
      <c r="AP229">
        <v>26</v>
      </c>
      <c r="AQ229">
        <v>-5.7796000000000003</v>
      </c>
      <c r="AR229">
        <v>-4.4007200000000006</v>
      </c>
      <c r="AS229">
        <v>-94.960000000000008</v>
      </c>
      <c r="AT229">
        <v>5.7796000000000003</v>
      </c>
      <c r="AU229">
        <v>-4.4114500000000003</v>
      </c>
      <c r="AV229">
        <v>0.72310000000000019</v>
      </c>
      <c r="AW229">
        <v>-1.0706999999999998</v>
      </c>
      <c r="AX229" t="s">
        <v>298</v>
      </c>
      <c r="AY229">
        <v>9</v>
      </c>
      <c r="AZ229">
        <v>6.4971999999999994</v>
      </c>
      <c r="BA229">
        <v>0.55199999999999982</v>
      </c>
      <c r="BB229">
        <v>-19.240000000000002</v>
      </c>
      <c r="BC229">
        <v>0.4</v>
      </c>
      <c r="BD229">
        <v>12.965999999999999</v>
      </c>
      <c r="BE229">
        <v>33.54</v>
      </c>
      <c r="BF229">
        <v>1.3599999999999994</v>
      </c>
      <c r="BG229">
        <v>24</v>
      </c>
      <c r="BH229">
        <v>23</v>
      </c>
      <c r="BI229">
        <v>1.64</v>
      </c>
      <c r="BJ229">
        <v>23</v>
      </c>
      <c r="BK229">
        <v>20</v>
      </c>
      <c r="BL229">
        <v>32</v>
      </c>
      <c r="BM229">
        <v>-3.7299018427534344E-2</v>
      </c>
      <c r="BN229">
        <v>22</v>
      </c>
      <c r="BO229">
        <v>2.077783866148074E-3</v>
      </c>
      <c r="BP229">
        <v>11</v>
      </c>
      <c r="BQ229">
        <v>4.8840000000000048</v>
      </c>
      <c r="BR229">
        <v>15</v>
      </c>
      <c r="BS229">
        <v>-3.28</v>
      </c>
      <c r="BT229">
        <v>4.92</v>
      </c>
      <c r="BU229">
        <v>9.120000000000001</v>
      </c>
      <c r="BV229">
        <v>-1.3199999999999998</v>
      </c>
      <c r="BW229">
        <v>10.720000000000004</v>
      </c>
      <c r="BX229">
        <v>32.08</v>
      </c>
      <c r="BY229">
        <v>-19.880000000000003</v>
      </c>
      <c r="BZ229">
        <v>0.56000000000000016</v>
      </c>
      <c r="CA229">
        <v>-2.0399999999999996</v>
      </c>
      <c r="CB229">
        <v>4</v>
      </c>
      <c r="CC229">
        <v>5.9451999999999998</v>
      </c>
      <c r="CD229">
        <v>3.6166400000000003</v>
      </c>
      <c r="CE229">
        <v>51.96</v>
      </c>
      <c r="CF229">
        <v>2.5169000000000001</v>
      </c>
    </row>
    <row r="230" spans="1:84" x14ac:dyDescent="0.2">
      <c r="A230" s="39">
        <v>43793</v>
      </c>
      <c r="B230" s="22" t="s">
        <v>242</v>
      </c>
      <c r="C230" s="41" t="s">
        <v>295</v>
      </c>
      <c r="D230" s="22" t="s">
        <v>284</v>
      </c>
      <c r="E230">
        <v>11.8</v>
      </c>
      <c r="F230">
        <v>22</v>
      </c>
      <c r="G230">
        <v>15.6</v>
      </c>
      <c r="H230">
        <v>6.3</v>
      </c>
      <c r="I230">
        <v>-3.5</v>
      </c>
      <c r="J230">
        <v>51.5</v>
      </c>
      <c r="K230" s="20" t="s">
        <v>109</v>
      </c>
      <c r="L230" s="1" t="s">
        <v>295</v>
      </c>
      <c r="M230">
        <v>25</v>
      </c>
      <c r="N230">
        <v>-4.0592000000000015</v>
      </c>
      <c r="O230">
        <v>-4.5429999999999993</v>
      </c>
      <c r="P230">
        <v>-21.200000000000003</v>
      </c>
      <c r="Q230">
        <v>-0.55000000000000004</v>
      </c>
      <c r="R230">
        <v>0.57299999999999984</v>
      </c>
      <c r="S230">
        <v>28.777200000000001</v>
      </c>
      <c r="T230">
        <v>1.02</v>
      </c>
      <c r="U230">
        <v>4</v>
      </c>
      <c r="V230">
        <v>7</v>
      </c>
      <c r="W230">
        <v>-0.88000000000000012</v>
      </c>
      <c r="X230">
        <v>14</v>
      </c>
      <c r="Y230">
        <v>14</v>
      </c>
      <c r="Z230">
        <v>7</v>
      </c>
      <c r="AA230">
        <v>6.7851665922197504E-2</v>
      </c>
      <c r="AB230">
        <v>9</v>
      </c>
      <c r="AC230">
        <v>1.3684955967097911E-2</v>
      </c>
      <c r="AD230">
        <v>26</v>
      </c>
      <c r="AE230">
        <v>0.1160000000000025</v>
      </c>
      <c r="AF230">
        <v>14</v>
      </c>
      <c r="AG230">
        <v>2.2799999999999998</v>
      </c>
      <c r="AH230">
        <v>1.1200000000000032</v>
      </c>
      <c r="AI230">
        <v>-3.56</v>
      </c>
      <c r="AJ230">
        <v>-0.56000000000000016</v>
      </c>
      <c r="AK230">
        <v>1.5200000000000045</v>
      </c>
      <c r="AL230">
        <v>33.56</v>
      </c>
      <c r="AM230">
        <v>-19.600000000000001</v>
      </c>
      <c r="AN230">
        <v>4.0000000000000216E-2</v>
      </c>
      <c r="AO230">
        <v>-12.48</v>
      </c>
      <c r="AP230">
        <v>14</v>
      </c>
      <c r="AQ230">
        <v>0.48379999999999823</v>
      </c>
      <c r="AR230">
        <v>1.5742599999999993</v>
      </c>
      <c r="AS230">
        <v>53.160000000000004</v>
      </c>
      <c r="AT230">
        <v>-0.48379999999999779</v>
      </c>
      <c r="AU230">
        <v>-0.80365000000000031</v>
      </c>
      <c r="AV230">
        <v>0.74778750000000005</v>
      </c>
      <c r="AW230">
        <v>-0.51569999999999994</v>
      </c>
      <c r="AX230" t="s">
        <v>284</v>
      </c>
      <c r="AY230">
        <v>4</v>
      </c>
      <c r="AZ230">
        <v>3.6152000000000015</v>
      </c>
      <c r="BA230">
        <v>-7.6129999999999995</v>
      </c>
      <c r="BB230">
        <v>-24.14</v>
      </c>
      <c r="BC230">
        <v>0.32999999999999974</v>
      </c>
      <c r="BD230">
        <v>18.288</v>
      </c>
      <c r="BE230">
        <v>43.08</v>
      </c>
      <c r="BF230">
        <v>5.3199999999999994</v>
      </c>
      <c r="BG230">
        <v>16</v>
      </c>
      <c r="BH230">
        <v>14</v>
      </c>
      <c r="BI230">
        <v>1.08</v>
      </c>
      <c r="BJ230">
        <v>10</v>
      </c>
      <c r="BK230">
        <v>13.25</v>
      </c>
      <c r="BL230">
        <v>9</v>
      </c>
      <c r="BM230">
        <v>4.0707053066628583E-3</v>
      </c>
      <c r="BN230">
        <v>26</v>
      </c>
      <c r="BO230">
        <v>-1.7679525409801385E-2</v>
      </c>
      <c r="BP230">
        <v>6</v>
      </c>
      <c r="BQ230">
        <v>-5.4200000000000035</v>
      </c>
      <c r="BR230">
        <v>12</v>
      </c>
      <c r="BS230">
        <v>-1.9599999999999995</v>
      </c>
      <c r="BT230">
        <v>4.4799999999999986</v>
      </c>
      <c r="BU230">
        <v>3.84</v>
      </c>
      <c r="BV230">
        <v>0.20000000000000009</v>
      </c>
      <c r="BW230">
        <v>1.0799999999999954</v>
      </c>
      <c r="BX230">
        <v>27.880000000000003</v>
      </c>
      <c r="BY230">
        <v>-22.68</v>
      </c>
      <c r="BZ230">
        <v>1.8400000000000003</v>
      </c>
      <c r="CA230">
        <v>-5.96</v>
      </c>
      <c r="CB230">
        <v>1</v>
      </c>
      <c r="CC230">
        <v>11.228200000000003</v>
      </c>
      <c r="CD230">
        <v>8.1871400000000012</v>
      </c>
      <c r="CE230">
        <v>50.56</v>
      </c>
      <c r="CF230">
        <v>2.0112749999999999</v>
      </c>
    </row>
    <row r="231" spans="1:84" x14ac:dyDescent="0.2">
      <c r="A231" s="39">
        <v>43793</v>
      </c>
      <c r="B231" s="22" t="s">
        <v>242</v>
      </c>
      <c r="C231" s="41" t="s">
        <v>305</v>
      </c>
      <c r="D231" s="22" t="s">
        <v>304</v>
      </c>
      <c r="E231">
        <v>21.2</v>
      </c>
      <c r="F231">
        <v>15.4</v>
      </c>
      <c r="G231">
        <v>7.4</v>
      </c>
      <c r="H231">
        <v>8.1999999999999993</v>
      </c>
      <c r="I231">
        <v>-3.5</v>
      </c>
      <c r="J231">
        <v>47</v>
      </c>
      <c r="L231" s="1" t="s">
        <v>305</v>
      </c>
      <c r="M231">
        <v>1</v>
      </c>
      <c r="N231">
        <v>12.212</v>
      </c>
      <c r="O231">
        <v>5.152000000000001</v>
      </c>
      <c r="P231">
        <v>30.32</v>
      </c>
      <c r="Q231">
        <v>-3.2399999999999998</v>
      </c>
      <c r="R231">
        <v>0.62600000000000033</v>
      </c>
      <c r="S231">
        <v>-30.922800000000009</v>
      </c>
      <c r="T231">
        <v>-6.55</v>
      </c>
      <c r="U231">
        <v>8</v>
      </c>
      <c r="V231">
        <v>8.5</v>
      </c>
      <c r="W231">
        <v>7.4800000000000013</v>
      </c>
      <c r="X231">
        <v>31</v>
      </c>
      <c r="Y231">
        <v>29.25</v>
      </c>
      <c r="Z231">
        <v>27</v>
      </c>
      <c r="AA231">
        <v>-2.0965913621392974E-2</v>
      </c>
      <c r="AB231">
        <v>31</v>
      </c>
      <c r="AC231">
        <v>-2.2153357237747095E-2</v>
      </c>
      <c r="AD231">
        <v>27</v>
      </c>
      <c r="AE231">
        <v>14.720000000000002</v>
      </c>
      <c r="AF231">
        <v>32</v>
      </c>
      <c r="AG231">
        <v>-8.1999999999999993</v>
      </c>
      <c r="AH231">
        <v>-4.0799999999999983</v>
      </c>
      <c r="AI231">
        <v>14.4</v>
      </c>
      <c r="AJ231">
        <v>4.68</v>
      </c>
      <c r="AK231">
        <v>45.519999999999996</v>
      </c>
      <c r="AL231">
        <v>-47.76</v>
      </c>
      <c r="AM231">
        <v>34.32</v>
      </c>
      <c r="AN231">
        <v>-1.6400000000000001</v>
      </c>
      <c r="AO231">
        <v>60.6</v>
      </c>
      <c r="AP231">
        <v>5</v>
      </c>
      <c r="AQ231">
        <v>7.0599999999999987</v>
      </c>
      <c r="AR231">
        <v>-8.4000000000004071E-3</v>
      </c>
      <c r="AS231">
        <v>-82.08</v>
      </c>
      <c r="AT231">
        <v>-7.0599999999999987</v>
      </c>
      <c r="AU231">
        <v>2.55375</v>
      </c>
      <c r="AV231">
        <v>-0.99776249999999989</v>
      </c>
      <c r="AW231">
        <v>-2.0482999999999998</v>
      </c>
      <c r="AX231" t="s">
        <v>304</v>
      </c>
      <c r="AY231">
        <v>16</v>
      </c>
      <c r="AZ231">
        <v>0.97119999999999929</v>
      </c>
      <c r="BA231">
        <v>-1.0800000000000005</v>
      </c>
      <c r="BB231">
        <v>-4.5200000000000022</v>
      </c>
      <c r="BC231">
        <v>0.32000000000000006</v>
      </c>
      <c r="BD231">
        <v>3.0910000000000006</v>
      </c>
      <c r="BE231">
        <v>4.5400000000000009</v>
      </c>
      <c r="BF231">
        <v>4.17</v>
      </c>
      <c r="BG231">
        <v>28</v>
      </c>
      <c r="BH231">
        <v>26.5</v>
      </c>
      <c r="BI231">
        <v>-1.4800000000000004</v>
      </c>
      <c r="BJ231">
        <v>14</v>
      </c>
      <c r="BK231">
        <v>15</v>
      </c>
      <c r="BL231">
        <v>22</v>
      </c>
      <c r="BM231">
        <v>-1.2539128095067381E-2</v>
      </c>
      <c r="BN231">
        <v>10</v>
      </c>
      <c r="BO231">
        <v>1.1341474546594076E-2</v>
      </c>
      <c r="BP231">
        <v>22</v>
      </c>
      <c r="BQ231">
        <v>5.251999999999998</v>
      </c>
      <c r="BR231">
        <v>6</v>
      </c>
      <c r="BS231">
        <v>2.72</v>
      </c>
      <c r="BT231">
        <v>5.3200000000000021</v>
      </c>
      <c r="BU231">
        <v>-2.88</v>
      </c>
      <c r="BV231">
        <v>-0.83999999999999986</v>
      </c>
      <c r="BW231">
        <v>1.9600000000000137</v>
      </c>
      <c r="BX231">
        <v>11.919999999999993</v>
      </c>
      <c r="BY231">
        <v>-2.6799999999999984</v>
      </c>
      <c r="BZ231">
        <v>-1.56</v>
      </c>
      <c r="CA231">
        <v>-5.7199999999999989</v>
      </c>
      <c r="CB231">
        <v>12</v>
      </c>
      <c r="CC231">
        <v>2.0512000000000001</v>
      </c>
      <c r="CD231">
        <v>1.3524400000000005</v>
      </c>
      <c r="CE231">
        <v>14.599999999999991</v>
      </c>
      <c r="CF231">
        <v>5.2774999999999905E-2</v>
      </c>
    </row>
    <row r="232" spans="1:84" x14ac:dyDescent="0.2">
      <c r="A232" s="39">
        <v>43793</v>
      </c>
      <c r="B232" s="22" t="s">
        <v>242</v>
      </c>
      <c r="C232" s="41" t="s">
        <v>276</v>
      </c>
      <c r="D232" s="22" t="s">
        <v>278</v>
      </c>
      <c r="E232">
        <v>11.9</v>
      </c>
      <c r="F232">
        <v>19.600000000000001</v>
      </c>
      <c r="G232">
        <v>5.6</v>
      </c>
      <c r="H232">
        <f>3.1+2.4</f>
        <v>5.5</v>
      </c>
      <c r="I232">
        <v>-3.5</v>
      </c>
      <c r="J232">
        <v>37</v>
      </c>
      <c r="K232" t="s">
        <v>110</v>
      </c>
      <c r="L232" s="1" t="s">
        <v>276</v>
      </c>
      <c r="M232">
        <v>4</v>
      </c>
      <c r="N232">
        <v>5.7392000000000012</v>
      </c>
      <c r="O232">
        <v>-3.2759999999999998</v>
      </c>
      <c r="P232">
        <v>4.9599999999999973</v>
      </c>
      <c r="Q232">
        <v>-1.2400000000000002</v>
      </c>
      <c r="R232">
        <v>-1.3420000000000001</v>
      </c>
      <c r="S232">
        <v>-9.6199999999999974</v>
      </c>
      <c r="T232">
        <v>-0.49000000000000021</v>
      </c>
      <c r="U232">
        <v>25</v>
      </c>
      <c r="V232">
        <v>23</v>
      </c>
      <c r="W232">
        <v>-1.1999999999999997</v>
      </c>
      <c r="X232">
        <v>24</v>
      </c>
      <c r="Y232">
        <v>20.75</v>
      </c>
      <c r="Z232">
        <v>25</v>
      </c>
      <c r="AA232">
        <v>-2.1273936880978467E-2</v>
      </c>
      <c r="AB232">
        <v>25</v>
      </c>
      <c r="AC232">
        <v>-2.7270330051635837E-2</v>
      </c>
      <c r="AD232">
        <v>5</v>
      </c>
      <c r="AE232">
        <v>-10.512000000000002</v>
      </c>
      <c r="AF232">
        <v>28</v>
      </c>
      <c r="AG232">
        <v>-1.9200000000000004</v>
      </c>
      <c r="AH232">
        <v>1.8799999999999997</v>
      </c>
      <c r="AI232">
        <v>0.55999999999999939</v>
      </c>
      <c r="AJ232">
        <v>-0.31999999999999995</v>
      </c>
      <c r="AK232">
        <v>4.1599999999999913</v>
      </c>
      <c r="AL232">
        <v>-19.440000000000005</v>
      </c>
      <c r="AM232">
        <v>0.23999999999999772</v>
      </c>
      <c r="AN232">
        <v>2.92</v>
      </c>
      <c r="AO232">
        <v>20.440000000000001</v>
      </c>
      <c r="AP232">
        <v>2</v>
      </c>
      <c r="AQ232">
        <v>9.0152000000000001</v>
      </c>
      <c r="AR232">
        <v>2.5174400000000001</v>
      </c>
      <c r="AS232">
        <v>-19.680000000000003</v>
      </c>
      <c r="AT232">
        <v>-9.0152000000000001</v>
      </c>
      <c r="AU232">
        <v>-8.9849999999999819E-2</v>
      </c>
      <c r="AV232">
        <v>-0.37003750000000002</v>
      </c>
      <c r="AW232">
        <v>-2.9124999999999984E-2</v>
      </c>
      <c r="AX232" t="s">
        <v>278</v>
      </c>
      <c r="AY232">
        <v>15</v>
      </c>
      <c r="AZ232">
        <v>-1.5799999999999996</v>
      </c>
      <c r="BA232">
        <v>-6.0595999999999997</v>
      </c>
      <c r="BB232">
        <v>-24.200000000000003</v>
      </c>
      <c r="BC232">
        <v>-1</v>
      </c>
      <c r="BD232">
        <v>0.35199999999999981</v>
      </c>
      <c r="BE232">
        <v>6.8800000000000008</v>
      </c>
      <c r="BF232">
        <v>-0.88000000000000023</v>
      </c>
      <c r="BG232">
        <v>9</v>
      </c>
      <c r="BH232">
        <v>9.5</v>
      </c>
      <c r="BI232">
        <v>3.12</v>
      </c>
      <c r="BJ232">
        <v>12</v>
      </c>
      <c r="BK232">
        <v>14.5</v>
      </c>
      <c r="BL232">
        <v>25</v>
      </c>
      <c r="BM232">
        <v>-5.4069663992870755E-2</v>
      </c>
      <c r="BN232">
        <v>6</v>
      </c>
      <c r="BO232">
        <v>5.8741029572076274E-3</v>
      </c>
      <c r="BP232">
        <v>10</v>
      </c>
      <c r="BQ232">
        <v>0.90799999999999981</v>
      </c>
      <c r="BR232">
        <v>17</v>
      </c>
      <c r="BS232">
        <v>-0.56000000000000016</v>
      </c>
      <c r="BT232">
        <v>-0.48000000000000254</v>
      </c>
      <c r="BU232">
        <v>-2.8400000000000007</v>
      </c>
      <c r="BV232">
        <v>0.96</v>
      </c>
      <c r="BW232">
        <v>-19.920000000000005</v>
      </c>
      <c r="BX232">
        <v>-2.2000000000000002</v>
      </c>
      <c r="BY232">
        <v>-22.880000000000003</v>
      </c>
      <c r="BZ232">
        <v>-2.04</v>
      </c>
      <c r="CA232">
        <v>7.2</v>
      </c>
      <c r="CB232">
        <v>8</v>
      </c>
      <c r="CC232">
        <v>4.4796000000000005</v>
      </c>
      <c r="CD232">
        <v>2.7841999999999998</v>
      </c>
      <c r="CE232">
        <v>20.680000000000003</v>
      </c>
      <c r="CF232">
        <v>-0.71095000000000008</v>
      </c>
    </row>
    <row r="233" spans="1:84" x14ac:dyDescent="0.2">
      <c r="A233" s="39">
        <v>43793</v>
      </c>
      <c r="B233" s="22" t="s">
        <v>242</v>
      </c>
      <c r="C233" s="41" t="s">
        <v>301</v>
      </c>
      <c r="D233" s="22" t="s">
        <v>307</v>
      </c>
      <c r="E233">
        <v>34.4</v>
      </c>
      <c r="F233">
        <v>5.9</v>
      </c>
      <c r="G233">
        <v>1.4</v>
      </c>
      <c r="H233">
        <v>10.8</v>
      </c>
      <c r="I233">
        <v>10</v>
      </c>
      <c r="J233">
        <v>46</v>
      </c>
      <c r="L233" s="1" t="s">
        <v>301</v>
      </c>
      <c r="M233">
        <v>26</v>
      </c>
      <c r="N233">
        <v>-4.2463999999999986</v>
      </c>
      <c r="O233">
        <v>10.113</v>
      </c>
      <c r="P233">
        <v>18.270000000000003</v>
      </c>
      <c r="Q233">
        <v>1.66</v>
      </c>
      <c r="R233">
        <v>-3.8650000000000011</v>
      </c>
      <c r="S233">
        <v>-16.96</v>
      </c>
      <c r="T233">
        <v>1.5300000000000007</v>
      </c>
      <c r="U233">
        <v>32</v>
      </c>
      <c r="V233">
        <v>31.5</v>
      </c>
      <c r="W233">
        <v>-1.5199999999999998</v>
      </c>
      <c r="X233">
        <v>4</v>
      </c>
      <c r="Y233">
        <v>8.5</v>
      </c>
      <c r="Z233">
        <v>4</v>
      </c>
      <c r="AA233">
        <v>7.1021000083851246E-2</v>
      </c>
      <c r="AB233">
        <v>6</v>
      </c>
      <c r="AC233">
        <v>2.8969581800927881E-2</v>
      </c>
      <c r="AD233">
        <v>17</v>
      </c>
      <c r="AE233">
        <v>-7.5880000000000027</v>
      </c>
      <c r="AF233">
        <v>7</v>
      </c>
      <c r="AG233">
        <v>4.3600000000000003</v>
      </c>
      <c r="AH233">
        <v>3.160000000000001</v>
      </c>
      <c r="AI233">
        <v>-3.3999999999999995</v>
      </c>
      <c r="AJ233">
        <v>-0.79999999999999982</v>
      </c>
      <c r="AK233">
        <v>5.1600000000000019</v>
      </c>
      <c r="AL233">
        <v>-6.1599999999999966</v>
      </c>
      <c r="AM233">
        <v>17.48</v>
      </c>
      <c r="AN233">
        <v>3.9600000000000009</v>
      </c>
      <c r="AO233">
        <v>-10.119999999999999</v>
      </c>
      <c r="AP233">
        <v>32</v>
      </c>
      <c r="AQ233">
        <v>-14.359399999999997</v>
      </c>
      <c r="AR233">
        <v>-6.6787799999999997</v>
      </c>
      <c r="AS233">
        <v>-23.639999999999997</v>
      </c>
      <c r="AT233">
        <v>14.359399999999997</v>
      </c>
      <c r="AU233">
        <v>-0.12479999999999958</v>
      </c>
      <c r="AV233">
        <v>0.14551250000000024</v>
      </c>
      <c r="AW233">
        <v>0.44350000000000034</v>
      </c>
      <c r="AX233" t="s">
        <v>307</v>
      </c>
      <c r="AY233">
        <v>18</v>
      </c>
      <c r="AZ233">
        <v>0.34319999999999984</v>
      </c>
      <c r="BA233">
        <v>-3.2749999999999999</v>
      </c>
      <c r="BB233">
        <v>-25.450000000000003</v>
      </c>
      <c r="BC233">
        <v>1.5500000000000003</v>
      </c>
      <c r="BD233">
        <v>0.19200000000000106</v>
      </c>
      <c r="BE233">
        <v>-11.959999999999997</v>
      </c>
      <c r="BF233">
        <v>2.9199999999999995</v>
      </c>
      <c r="BG233">
        <v>8</v>
      </c>
      <c r="BH233">
        <v>8.5</v>
      </c>
      <c r="BI233">
        <v>-1.6799999999999997</v>
      </c>
      <c r="BJ233">
        <v>17</v>
      </c>
      <c r="BK233">
        <v>16</v>
      </c>
      <c r="BL233">
        <v>6</v>
      </c>
      <c r="BM233">
        <v>4.2113593803773289E-2</v>
      </c>
      <c r="BN233">
        <v>18</v>
      </c>
      <c r="BO233">
        <v>-2.1467360856892041E-2</v>
      </c>
      <c r="BP233">
        <v>21</v>
      </c>
      <c r="BQ233">
        <v>2.4159999999999981</v>
      </c>
      <c r="BR233">
        <v>19</v>
      </c>
      <c r="BS233">
        <v>-0.83999999999999986</v>
      </c>
      <c r="BT233">
        <v>-2.5599999999999978</v>
      </c>
      <c r="BU233">
        <v>-0.56000000000000016</v>
      </c>
      <c r="BV233">
        <v>0.76</v>
      </c>
      <c r="BW233">
        <v>-41.319999999999993</v>
      </c>
      <c r="BX233">
        <v>-14.320000000000004</v>
      </c>
      <c r="BY233">
        <v>-33.56</v>
      </c>
      <c r="BZ233">
        <v>12.639999999999999</v>
      </c>
      <c r="CA233">
        <v>-6.08</v>
      </c>
      <c r="CB233">
        <v>10</v>
      </c>
      <c r="CC233">
        <v>3.6181999999999994</v>
      </c>
      <c r="CD233">
        <v>1.7445400000000002</v>
      </c>
      <c r="CE233">
        <v>19.239999999999998</v>
      </c>
      <c r="CF233">
        <v>-0.15247499999999986</v>
      </c>
    </row>
    <row r="234" spans="1:84" x14ac:dyDescent="0.2">
      <c r="A234" s="39">
        <v>43793</v>
      </c>
      <c r="B234" s="22" t="s">
        <v>242</v>
      </c>
      <c r="C234" s="41" t="s">
        <v>265</v>
      </c>
      <c r="D234" s="22" t="s">
        <v>296</v>
      </c>
      <c r="E234">
        <v>28.1</v>
      </c>
      <c r="F234">
        <v>13.7</v>
      </c>
      <c r="G234">
        <v>2.9</v>
      </c>
      <c r="H234">
        <f>2.9+1.4</f>
        <v>4.3</v>
      </c>
      <c r="I234">
        <v>-6</v>
      </c>
      <c r="J234">
        <v>41</v>
      </c>
      <c r="L234" s="1" t="s">
        <v>265</v>
      </c>
      <c r="M234">
        <v>27</v>
      </c>
      <c r="N234">
        <v>-4.3487999999999998</v>
      </c>
      <c r="O234">
        <v>0.61200000000000143</v>
      </c>
      <c r="P234">
        <v>-5.7120000000000006</v>
      </c>
      <c r="Q234">
        <v>2.2000000000000002</v>
      </c>
      <c r="R234">
        <v>-7.6600000000000019</v>
      </c>
      <c r="S234">
        <v>-24.4</v>
      </c>
      <c r="T234">
        <v>-0.35999999999999988</v>
      </c>
      <c r="U234">
        <v>30</v>
      </c>
      <c r="V234">
        <v>29.5</v>
      </c>
      <c r="W234">
        <v>-4.4799999999999995</v>
      </c>
      <c r="X234">
        <v>18</v>
      </c>
      <c r="Y234">
        <v>15.5</v>
      </c>
      <c r="Z234">
        <v>20</v>
      </c>
      <c r="AA234">
        <v>5.1520453362304932E-3</v>
      </c>
      <c r="AB234">
        <v>11</v>
      </c>
      <c r="AC234">
        <v>1.4276288031809557E-2</v>
      </c>
      <c r="AD234">
        <v>20</v>
      </c>
      <c r="AE234">
        <v>-1.1400000000000035</v>
      </c>
      <c r="AF234">
        <v>11</v>
      </c>
      <c r="AG234">
        <v>0.6399999999999999</v>
      </c>
      <c r="AH234">
        <v>-0.27999999999999831</v>
      </c>
      <c r="AI234">
        <v>-5.76</v>
      </c>
      <c r="AJ234">
        <v>-1.6800000000000002</v>
      </c>
      <c r="AK234">
        <v>-46.52</v>
      </c>
      <c r="AL234">
        <v>-29.2</v>
      </c>
      <c r="AM234">
        <v>-8.879999999999999</v>
      </c>
      <c r="AN234">
        <v>-2.04</v>
      </c>
      <c r="AO234">
        <v>-6.4</v>
      </c>
      <c r="AP234">
        <v>25</v>
      </c>
      <c r="AQ234">
        <v>-4.9608000000000008</v>
      </c>
      <c r="AR234">
        <v>-2.7077600000000013</v>
      </c>
      <c r="AS234">
        <v>-20.32</v>
      </c>
      <c r="AT234">
        <v>4.9608000000000008</v>
      </c>
      <c r="AU234">
        <v>-1.7795999999999998</v>
      </c>
      <c r="AV234">
        <v>-0.59687500000000004</v>
      </c>
      <c r="AW234">
        <v>-1.4946250000000001</v>
      </c>
      <c r="AX234" t="s">
        <v>296</v>
      </c>
      <c r="AY234">
        <v>5</v>
      </c>
      <c r="AZ234">
        <v>-0.48399999999999965</v>
      </c>
      <c r="BA234">
        <v>-0.63700000000000001</v>
      </c>
      <c r="BB234">
        <v>9.06</v>
      </c>
      <c r="BC234">
        <v>-0.75000000000000011</v>
      </c>
      <c r="BD234">
        <v>0.96799999999999908</v>
      </c>
      <c r="BE234">
        <v>4.7999999999999972</v>
      </c>
      <c r="BF234">
        <v>-1.1199999999999999</v>
      </c>
      <c r="BG234">
        <v>2</v>
      </c>
      <c r="BH234">
        <v>3</v>
      </c>
      <c r="BI234">
        <v>5.72</v>
      </c>
      <c r="BJ234">
        <v>29</v>
      </c>
      <c r="BK234">
        <v>24</v>
      </c>
      <c r="BL234">
        <v>11</v>
      </c>
      <c r="BM234">
        <v>-4.4400737871440291E-2</v>
      </c>
      <c r="BN234">
        <v>27</v>
      </c>
      <c r="BO234">
        <v>-2.1635198960472939E-2</v>
      </c>
      <c r="BP234">
        <v>31</v>
      </c>
      <c r="BQ234">
        <v>-3.1519999999999966</v>
      </c>
      <c r="BR234">
        <v>27</v>
      </c>
      <c r="BS234">
        <v>-0.95999999999999974</v>
      </c>
      <c r="BT234">
        <v>0.91999999999999882</v>
      </c>
      <c r="BU234">
        <v>3.3199999999999994</v>
      </c>
      <c r="BV234">
        <v>2.9999999999999996</v>
      </c>
      <c r="BW234">
        <v>-7.6799999999999953</v>
      </c>
      <c r="BX234">
        <v>-12.319999999999999</v>
      </c>
      <c r="BY234">
        <v>9.76</v>
      </c>
      <c r="BZ234">
        <v>-2.6399999999999997</v>
      </c>
      <c r="CA234">
        <v>-2.4800000000000004</v>
      </c>
      <c r="CB234">
        <v>17</v>
      </c>
      <c r="CC234">
        <v>0.15300000000000036</v>
      </c>
      <c r="CD234">
        <v>0.41529999999999984</v>
      </c>
      <c r="CE234">
        <v>-22.08</v>
      </c>
      <c r="CF234">
        <v>0.30087499999999995</v>
      </c>
    </row>
    <row r="235" spans="1:84" x14ac:dyDescent="0.2">
      <c r="A235" s="39">
        <v>43793</v>
      </c>
      <c r="B235" s="28" t="s">
        <v>242</v>
      </c>
      <c r="C235" s="17" t="s">
        <v>272</v>
      </c>
      <c r="D235" s="28" t="s">
        <v>309</v>
      </c>
      <c r="E235" s="3">
        <v>23.1</v>
      </c>
      <c r="F235" s="3">
        <v>2</v>
      </c>
      <c r="G235" s="3">
        <v>6.3</v>
      </c>
      <c r="H235" s="3">
        <v>1.7</v>
      </c>
      <c r="I235" s="3">
        <v>5.5</v>
      </c>
      <c r="J235" s="3">
        <v>37.5</v>
      </c>
      <c r="K235" s="3"/>
      <c r="L235" s="1" t="s">
        <v>272</v>
      </c>
      <c r="M235">
        <v>22</v>
      </c>
      <c r="N235">
        <v>-3.0215999999999994</v>
      </c>
      <c r="O235">
        <v>-2.1</v>
      </c>
      <c r="P235">
        <v>-6.6799999999999979</v>
      </c>
      <c r="Q235">
        <v>-0.36000000000000004</v>
      </c>
      <c r="R235">
        <v>-6.261000000000001</v>
      </c>
      <c r="S235">
        <v>-0.35000000000000053</v>
      </c>
      <c r="T235">
        <v>2.79</v>
      </c>
      <c r="U235">
        <v>12</v>
      </c>
      <c r="V235">
        <v>11.5</v>
      </c>
      <c r="W235">
        <v>-3.5200000000000005</v>
      </c>
      <c r="X235">
        <v>10</v>
      </c>
      <c r="Y235">
        <v>12.75</v>
      </c>
      <c r="Z235">
        <v>13</v>
      </c>
      <c r="AA235">
        <v>2.5931277331721243E-2</v>
      </c>
      <c r="AB235">
        <v>15</v>
      </c>
      <c r="AC235">
        <v>7.7559124619972592E-3</v>
      </c>
      <c r="AD235">
        <v>11</v>
      </c>
      <c r="AE235">
        <v>2.5279999999999987</v>
      </c>
      <c r="AF235">
        <v>12</v>
      </c>
      <c r="AG235">
        <v>3.1999999999999997</v>
      </c>
      <c r="AH235">
        <v>1.6</v>
      </c>
      <c r="AI235">
        <v>-6.3599999999999994</v>
      </c>
      <c r="AJ235">
        <v>-1</v>
      </c>
      <c r="AK235">
        <v>-19.239999999999998</v>
      </c>
      <c r="AL235">
        <v>-14</v>
      </c>
      <c r="AM235">
        <v>-11.16</v>
      </c>
      <c r="AN235">
        <v>0.31999999999999995</v>
      </c>
      <c r="AO235">
        <v>5.6</v>
      </c>
      <c r="AP235">
        <v>17</v>
      </c>
      <c r="AQ235">
        <v>-0.92159999999999931</v>
      </c>
      <c r="AR235">
        <v>-0.80652000000000013</v>
      </c>
      <c r="AS235">
        <v>-2.84</v>
      </c>
      <c r="AT235">
        <v>0.92159999999999931</v>
      </c>
      <c r="AU235">
        <v>-1.4878250000000002</v>
      </c>
      <c r="AV235">
        <v>-0.26821249999999991</v>
      </c>
      <c r="AW235">
        <v>0.95277500000000026</v>
      </c>
      <c r="AX235" t="s">
        <v>309</v>
      </c>
      <c r="AY235">
        <v>31</v>
      </c>
      <c r="AZ235">
        <v>-1.1656000000000004</v>
      </c>
      <c r="BA235">
        <v>-6.8879999999999981</v>
      </c>
      <c r="BB235">
        <v>-8.9600000000000009</v>
      </c>
      <c r="BC235">
        <v>-0.36000000000000015</v>
      </c>
      <c r="BD235">
        <v>-0.38</v>
      </c>
      <c r="BE235">
        <v>-16.439999999999998</v>
      </c>
      <c r="BF235">
        <v>-1.44</v>
      </c>
      <c r="BG235">
        <v>30</v>
      </c>
      <c r="BH235">
        <v>27.5</v>
      </c>
      <c r="BI235">
        <v>3.84</v>
      </c>
      <c r="BJ235">
        <v>1</v>
      </c>
      <c r="BK235">
        <v>5.25</v>
      </c>
      <c r="BL235">
        <v>2</v>
      </c>
      <c r="BM235">
        <v>0.13215249047162195</v>
      </c>
      <c r="BN235">
        <v>1</v>
      </c>
      <c r="BO235">
        <v>2.3905117092749329E-2</v>
      </c>
      <c r="BP235">
        <v>16</v>
      </c>
      <c r="BQ235">
        <v>-3.4239999999999995</v>
      </c>
      <c r="BR235">
        <v>2</v>
      </c>
      <c r="BS235">
        <v>4.68</v>
      </c>
      <c r="BT235">
        <v>-1.6000000000000028</v>
      </c>
      <c r="BU235">
        <v>-3.72</v>
      </c>
      <c r="BV235">
        <v>1.1200000000000001</v>
      </c>
      <c r="BW235">
        <v>-31.079999999999995</v>
      </c>
      <c r="BX235">
        <v>-17.640000000000004</v>
      </c>
      <c r="BY235">
        <v>-9.56</v>
      </c>
      <c r="BZ235">
        <v>2.12</v>
      </c>
      <c r="CA235">
        <v>-6</v>
      </c>
      <c r="CB235">
        <v>6</v>
      </c>
      <c r="CC235">
        <v>5.7223999999999986</v>
      </c>
      <c r="CD235">
        <v>3.134879999999999</v>
      </c>
      <c r="CE235">
        <v>-8.0800000000000036</v>
      </c>
      <c r="CF235">
        <v>-1.4892000000000001</v>
      </c>
    </row>
    <row r="236" spans="1:84" x14ac:dyDescent="0.2">
      <c r="A236" s="39">
        <v>43793</v>
      </c>
      <c r="B236" s="22" t="s">
        <v>242</v>
      </c>
      <c r="C236" s="41" t="s">
        <v>281</v>
      </c>
      <c r="D236" s="22" t="s">
        <v>293</v>
      </c>
      <c r="E236">
        <v>20.399999999999999</v>
      </c>
      <c r="F236">
        <v>39.799999999999997</v>
      </c>
      <c r="G236">
        <v>0</v>
      </c>
      <c r="H236">
        <v>5.8</v>
      </c>
      <c r="I236">
        <v>-11</v>
      </c>
      <c r="J236">
        <v>45.5</v>
      </c>
      <c r="K236" s="20" t="s">
        <v>109</v>
      </c>
      <c r="L236" s="1" t="s">
        <v>281</v>
      </c>
      <c r="M236">
        <v>6</v>
      </c>
      <c r="N236">
        <v>3.9551999999999992</v>
      </c>
      <c r="O236">
        <v>6.4719999999999995</v>
      </c>
      <c r="P236">
        <v>23.36</v>
      </c>
      <c r="Q236">
        <v>2.2400000000000002</v>
      </c>
      <c r="R236">
        <v>6.0560000000000009</v>
      </c>
      <c r="S236">
        <v>22.96</v>
      </c>
      <c r="T236">
        <v>0.55999999999999961</v>
      </c>
      <c r="U236">
        <v>4</v>
      </c>
      <c r="V236">
        <v>7</v>
      </c>
      <c r="W236">
        <v>-0.8</v>
      </c>
      <c r="X236">
        <v>30</v>
      </c>
      <c r="Y236">
        <v>29</v>
      </c>
      <c r="Z236">
        <v>31</v>
      </c>
      <c r="AA236">
        <v>-6.7870209951148508E-2</v>
      </c>
      <c r="AB236">
        <v>30</v>
      </c>
      <c r="AC236">
        <v>-1.5717425598831481E-2</v>
      </c>
      <c r="AD236">
        <v>24</v>
      </c>
      <c r="AE236">
        <v>1.3200000000000016</v>
      </c>
      <c r="AF236">
        <v>31</v>
      </c>
      <c r="AG236">
        <v>-3.2800000000000002</v>
      </c>
      <c r="AH236">
        <v>4</v>
      </c>
      <c r="AI236">
        <v>4.68</v>
      </c>
      <c r="AJ236">
        <v>-1.36</v>
      </c>
      <c r="AK236">
        <v>42.44</v>
      </c>
      <c r="AL236">
        <v>31.27999999999999</v>
      </c>
      <c r="AM236">
        <v>20.240000000000002</v>
      </c>
      <c r="AN236">
        <v>-3.5200000000000005</v>
      </c>
      <c r="AO236">
        <v>-5.5600000000000005</v>
      </c>
      <c r="AP236">
        <v>21</v>
      </c>
      <c r="AQ236">
        <v>-2.5168000000000008</v>
      </c>
      <c r="AR236">
        <v>-1.2337599999999997</v>
      </c>
      <c r="AS236">
        <v>11.039999999999988</v>
      </c>
      <c r="AT236">
        <v>2.5168000000000004</v>
      </c>
      <c r="AU236">
        <v>2.2503999999999995</v>
      </c>
      <c r="AV236">
        <v>1.2338500000000001</v>
      </c>
      <c r="AW236">
        <v>0.10157500000000008</v>
      </c>
      <c r="AX236" t="s">
        <v>293</v>
      </c>
      <c r="AY236">
        <v>2</v>
      </c>
      <c r="AZ236">
        <v>2.1</v>
      </c>
      <c r="BA236">
        <v>2.4359999999999995</v>
      </c>
      <c r="BB236">
        <v>12.56</v>
      </c>
      <c r="BC236">
        <v>7.9999999999999932E-2</v>
      </c>
      <c r="BD236">
        <v>10.872999999999999</v>
      </c>
      <c r="BE236">
        <v>35.900000000000006</v>
      </c>
      <c r="BF236">
        <v>4.9800000000000004</v>
      </c>
      <c r="BG236">
        <v>1</v>
      </c>
      <c r="BH236">
        <v>1.5</v>
      </c>
      <c r="BI236">
        <v>-0.40000000000000019</v>
      </c>
      <c r="BJ236">
        <v>31</v>
      </c>
      <c r="BK236">
        <v>29</v>
      </c>
      <c r="BL236">
        <v>29</v>
      </c>
      <c r="BM236">
        <v>-7.7781579150107125E-2</v>
      </c>
      <c r="BN236">
        <v>32</v>
      </c>
      <c r="BO236">
        <v>-3.1676283207522762E-2</v>
      </c>
      <c r="BP236">
        <v>30</v>
      </c>
      <c r="BQ236">
        <v>11.248000000000001</v>
      </c>
      <c r="BR236">
        <v>25</v>
      </c>
      <c r="BS236">
        <v>-2.4</v>
      </c>
      <c r="BT236">
        <v>2.1999999999999984</v>
      </c>
      <c r="BU236">
        <v>5.879999999999999</v>
      </c>
      <c r="BV236">
        <v>-0.96</v>
      </c>
      <c r="BW236">
        <v>45.04</v>
      </c>
      <c r="BX236">
        <v>35.800000000000004</v>
      </c>
      <c r="BY236">
        <v>13.679999999999998</v>
      </c>
      <c r="BZ236">
        <v>-1.44</v>
      </c>
      <c r="CA236">
        <v>-2.9999999999999996</v>
      </c>
      <c r="CB236">
        <v>19</v>
      </c>
      <c r="CC236">
        <v>-0.33599999999999958</v>
      </c>
      <c r="CD236">
        <v>1.3766000000000005</v>
      </c>
      <c r="CE236">
        <v>22.120000000000005</v>
      </c>
      <c r="CF236">
        <v>2.3661250000000003</v>
      </c>
    </row>
    <row r="237" spans="1:84" x14ac:dyDescent="0.2">
      <c r="A237" s="39">
        <v>43793</v>
      </c>
      <c r="B237" s="22" t="s">
        <v>242</v>
      </c>
      <c r="C237" s="41" t="s">
        <v>291</v>
      </c>
      <c r="D237" s="22" t="s">
        <v>302</v>
      </c>
      <c r="E237">
        <v>0</v>
      </c>
      <c r="F237">
        <v>9.5</v>
      </c>
      <c r="G237">
        <v>12.6</v>
      </c>
      <c r="H237">
        <v>6.2</v>
      </c>
      <c r="I237">
        <v>5.5</v>
      </c>
      <c r="J237">
        <v>44.5</v>
      </c>
      <c r="K237" t="s">
        <v>109</v>
      </c>
      <c r="L237" s="1" t="s">
        <v>291</v>
      </c>
      <c r="M237">
        <v>3</v>
      </c>
      <c r="N237">
        <v>5.8367999999999993</v>
      </c>
      <c r="O237">
        <v>2.596000000000001</v>
      </c>
      <c r="P237">
        <v>12.608000000000001</v>
      </c>
      <c r="Q237">
        <v>0.32000000000000012</v>
      </c>
      <c r="R237">
        <v>15.9072</v>
      </c>
      <c r="S237">
        <v>81.88</v>
      </c>
      <c r="T237">
        <v>5.9600000000000009</v>
      </c>
      <c r="U237">
        <v>11</v>
      </c>
      <c r="V237">
        <v>9.5</v>
      </c>
      <c r="W237">
        <v>0.44000000000000022</v>
      </c>
      <c r="X237">
        <v>26</v>
      </c>
      <c r="Y237">
        <v>22.25</v>
      </c>
      <c r="Z237">
        <v>18</v>
      </c>
      <c r="AA237">
        <v>-1.7460506268503522E-2</v>
      </c>
      <c r="AB237">
        <v>32</v>
      </c>
      <c r="AC237">
        <v>-4.6426843491096458E-2</v>
      </c>
      <c r="AD237">
        <v>16</v>
      </c>
      <c r="AE237">
        <v>10.98</v>
      </c>
      <c r="AF237">
        <v>23</v>
      </c>
      <c r="AG237">
        <v>-4.5200000000000005</v>
      </c>
      <c r="AH237">
        <v>4.6399999999999988</v>
      </c>
      <c r="AI237">
        <v>6.7200000000000006</v>
      </c>
      <c r="AJ237">
        <v>0</v>
      </c>
      <c r="AK237">
        <v>84.47999999999999</v>
      </c>
      <c r="AL237">
        <v>75.28</v>
      </c>
      <c r="AM237">
        <v>9.0799999999999983</v>
      </c>
      <c r="AN237">
        <v>2</v>
      </c>
      <c r="AO237">
        <v>-1.8800000000000003</v>
      </c>
      <c r="AP237">
        <v>12</v>
      </c>
      <c r="AQ237">
        <v>3.2407999999999983</v>
      </c>
      <c r="AR237">
        <v>3.0507999999999984</v>
      </c>
      <c r="AS237">
        <v>66.2</v>
      </c>
      <c r="AT237">
        <v>-3.2407999999999983</v>
      </c>
      <c r="AU237">
        <v>3.4024999999999994</v>
      </c>
      <c r="AV237">
        <v>-2.9069750000000005</v>
      </c>
      <c r="AW237">
        <v>-1.690175</v>
      </c>
      <c r="AX237" t="s">
        <v>302</v>
      </c>
      <c r="AY237">
        <v>28</v>
      </c>
      <c r="AZ237">
        <v>-9.6712000000000025</v>
      </c>
      <c r="BA237">
        <v>-4.6039999999999992</v>
      </c>
      <c r="BB237">
        <v>4.6000000000000032</v>
      </c>
      <c r="BC237">
        <v>-0.20000000000000009</v>
      </c>
      <c r="BD237">
        <v>-16.195000000000004</v>
      </c>
      <c r="BE237">
        <v>-54.152799999999999</v>
      </c>
      <c r="BF237">
        <v>-0.4200000000000001</v>
      </c>
      <c r="BG237">
        <v>24</v>
      </c>
      <c r="BH237">
        <v>23</v>
      </c>
      <c r="BI237">
        <v>-4.4000000000000004</v>
      </c>
      <c r="BJ237">
        <v>5</v>
      </c>
      <c r="BK237">
        <v>9.75</v>
      </c>
      <c r="BL237">
        <v>1</v>
      </c>
      <c r="BM237">
        <v>7.5295891862391495E-2</v>
      </c>
      <c r="BN237">
        <v>12</v>
      </c>
      <c r="BO237">
        <v>4.1967991927981951E-3</v>
      </c>
      <c r="BP237">
        <v>23</v>
      </c>
      <c r="BQ237">
        <v>-10.671999999999997</v>
      </c>
      <c r="BR237">
        <v>3</v>
      </c>
      <c r="BS237">
        <v>8.76</v>
      </c>
      <c r="BT237">
        <v>-4.240000000000002</v>
      </c>
      <c r="BU237">
        <v>-11.6</v>
      </c>
      <c r="BV237">
        <v>-0.91999999999999993</v>
      </c>
      <c r="BW237">
        <v>-80.400000000000006</v>
      </c>
      <c r="BX237">
        <v>-72.359999999999985</v>
      </c>
      <c r="BY237">
        <v>1.2800000000000011</v>
      </c>
      <c r="BZ237">
        <v>-1.8400000000000003</v>
      </c>
      <c r="CA237">
        <v>-7.4799999999999986</v>
      </c>
      <c r="CB237">
        <v>27</v>
      </c>
      <c r="CC237">
        <v>-5.0672000000000033</v>
      </c>
      <c r="CD237">
        <v>-2.871240000000002</v>
      </c>
      <c r="CE237">
        <v>-73.639999999999986</v>
      </c>
      <c r="CF237">
        <v>-4.1237750000000011</v>
      </c>
    </row>
    <row r="238" spans="1:84" x14ac:dyDescent="0.2">
      <c r="A238" s="39">
        <v>43793</v>
      </c>
      <c r="B238" t="s">
        <v>242</v>
      </c>
      <c r="C238" s="41" t="s">
        <v>278</v>
      </c>
      <c r="D238" t="s">
        <v>276</v>
      </c>
      <c r="E238">
        <v>3.7</v>
      </c>
      <c r="F238">
        <v>1.3</v>
      </c>
      <c r="G238">
        <v>1</v>
      </c>
      <c r="H238">
        <v>7.2</v>
      </c>
      <c r="I238">
        <v>3.5</v>
      </c>
      <c r="J238">
        <v>37</v>
      </c>
      <c r="K238" t="s">
        <v>110</v>
      </c>
      <c r="L238" s="1" t="s">
        <v>278</v>
      </c>
      <c r="M238">
        <v>31</v>
      </c>
      <c r="N238">
        <v>-6.805600000000001</v>
      </c>
      <c r="O238">
        <v>-4.5076000000000018</v>
      </c>
      <c r="P238">
        <v>4.92</v>
      </c>
      <c r="Q238">
        <v>-2.4</v>
      </c>
      <c r="R238">
        <v>-9.3988000000000014</v>
      </c>
      <c r="S238">
        <v>-29.259999999999998</v>
      </c>
      <c r="T238">
        <v>0.54999999999999971</v>
      </c>
      <c r="U238">
        <v>10</v>
      </c>
      <c r="V238">
        <v>9</v>
      </c>
      <c r="W238">
        <v>-0.56000000000000016</v>
      </c>
      <c r="X238">
        <v>22</v>
      </c>
      <c r="Y238">
        <v>20.25</v>
      </c>
      <c r="Z238">
        <v>15</v>
      </c>
      <c r="AA238">
        <v>-1.8806458676438153E-3</v>
      </c>
      <c r="AB238">
        <v>19</v>
      </c>
      <c r="AC238">
        <v>2.9247117281389533E-2</v>
      </c>
      <c r="AD238">
        <v>28</v>
      </c>
      <c r="AE238">
        <v>10.407999999999999</v>
      </c>
      <c r="AF238">
        <v>19</v>
      </c>
      <c r="AG238">
        <v>3.12</v>
      </c>
      <c r="AH238">
        <v>-2.6799999999999997</v>
      </c>
      <c r="AI238">
        <v>-4.76</v>
      </c>
      <c r="AJ238">
        <v>-1.2</v>
      </c>
      <c r="AK238">
        <v>-53.440000000000012</v>
      </c>
      <c r="AL238">
        <v>-57.759999999999991</v>
      </c>
      <c r="AM238">
        <v>6.0799999999999983</v>
      </c>
      <c r="AN238">
        <v>0.48000000000000015</v>
      </c>
      <c r="AO238">
        <v>-2.2399999999999998</v>
      </c>
      <c r="AP238">
        <v>20</v>
      </c>
      <c r="AQ238">
        <v>-2.2979999999999996</v>
      </c>
      <c r="AR238">
        <v>-0.98707999999999885</v>
      </c>
      <c r="AS238">
        <v>-63.839999999999989</v>
      </c>
      <c r="AT238">
        <v>2.2979999999999992</v>
      </c>
      <c r="AU238">
        <v>-2.6989999999999998</v>
      </c>
      <c r="AV238">
        <v>-0.37003750000000002</v>
      </c>
      <c r="AW238">
        <v>-0.71095000000000008</v>
      </c>
      <c r="AX238" t="s">
        <v>276</v>
      </c>
      <c r="AY238">
        <v>24</v>
      </c>
      <c r="AZ238">
        <v>-2.1671999999999989</v>
      </c>
      <c r="BA238">
        <v>6.9640000000000022</v>
      </c>
      <c r="BB238">
        <v>19.328000000000003</v>
      </c>
      <c r="BC238">
        <v>2.4399999999999995</v>
      </c>
      <c r="BD238">
        <v>-3.9098000000000019</v>
      </c>
      <c r="BE238">
        <v>-26.552799999999998</v>
      </c>
      <c r="BF238">
        <v>2.9999999999999361E-2</v>
      </c>
      <c r="BG238">
        <v>32</v>
      </c>
      <c r="BH238">
        <v>32</v>
      </c>
      <c r="BI238">
        <v>-1.9200000000000004</v>
      </c>
      <c r="BJ238">
        <v>7</v>
      </c>
      <c r="BK238">
        <v>12.25</v>
      </c>
      <c r="BL238">
        <v>24</v>
      </c>
      <c r="BM238">
        <v>-8.4803230554293622E-3</v>
      </c>
      <c r="BN238">
        <v>3</v>
      </c>
      <c r="BO238">
        <v>8.8984380267632703E-3</v>
      </c>
      <c r="BP238">
        <v>17</v>
      </c>
      <c r="BQ238">
        <v>-3.0439999999999983</v>
      </c>
      <c r="BR238">
        <v>5</v>
      </c>
      <c r="BS238">
        <v>-1.1999999999999997</v>
      </c>
      <c r="BT238">
        <v>-2.1200000000000019</v>
      </c>
      <c r="BU238">
        <v>-1.0799999999999996</v>
      </c>
      <c r="BV238">
        <v>0.76</v>
      </c>
      <c r="BW238">
        <v>2.8400000000000034</v>
      </c>
      <c r="BX238">
        <v>-13.800000000000006</v>
      </c>
      <c r="BY238">
        <v>16.600000000000001</v>
      </c>
      <c r="BZ238">
        <v>1.6799999999999997</v>
      </c>
      <c r="CA238">
        <v>-1.64</v>
      </c>
      <c r="CB238">
        <v>32</v>
      </c>
      <c r="CC238">
        <v>-9.1311999999999998</v>
      </c>
      <c r="CD238">
        <v>-4.6974000000000018</v>
      </c>
      <c r="CE238">
        <v>-30.400000000000006</v>
      </c>
      <c r="CF238">
        <v>-2.9124999999999984E-2</v>
      </c>
    </row>
    <row r="239" spans="1:84" x14ac:dyDescent="0.2">
      <c r="A239" s="39">
        <v>43793</v>
      </c>
      <c r="B239" s="22" t="s">
        <v>242</v>
      </c>
      <c r="C239" s="41" t="s">
        <v>299</v>
      </c>
      <c r="D239" s="22" t="s">
        <v>306</v>
      </c>
      <c r="E239">
        <v>10.1</v>
      </c>
      <c r="F239">
        <v>9.6</v>
      </c>
      <c r="G239">
        <v>5.0999999999999996</v>
      </c>
      <c r="H239">
        <v>12.1</v>
      </c>
      <c r="I239">
        <v>-4</v>
      </c>
      <c r="J239">
        <v>39</v>
      </c>
      <c r="K239" t="s">
        <v>110</v>
      </c>
      <c r="L239" s="1" t="s">
        <v>299</v>
      </c>
      <c r="M239">
        <v>2</v>
      </c>
      <c r="N239">
        <v>6.3903999999999996</v>
      </c>
      <c r="O239">
        <v>-5.7119999999999997</v>
      </c>
      <c r="P239">
        <v>-21.16</v>
      </c>
      <c r="Q239">
        <v>0</v>
      </c>
      <c r="R239">
        <v>10.091999999999997</v>
      </c>
      <c r="S239">
        <v>52.88</v>
      </c>
      <c r="T239">
        <v>2.3200000000000003</v>
      </c>
      <c r="U239">
        <v>23</v>
      </c>
      <c r="V239">
        <v>22.5</v>
      </c>
      <c r="W239">
        <v>-3.04</v>
      </c>
      <c r="X239">
        <v>5</v>
      </c>
      <c r="Y239">
        <v>9</v>
      </c>
      <c r="Z239">
        <v>6</v>
      </c>
      <c r="AA239">
        <v>4.0004721768602911E-2</v>
      </c>
      <c r="AB239">
        <v>12</v>
      </c>
      <c r="AC239">
        <v>1.7133805050002778E-2</v>
      </c>
      <c r="AD239">
        <v>9</v>
      </c>
      <c r="AE239">
        <v>3.1879999999999979</v>
      </c>
      <c r="AF239">
        <v>9</v>
      </c>
      <c r="AG239">
        <v>2.04</v>
      </c>
      <c r="AH239">
        <v>1.9199999999999988</v>
      </c>
      <c r="AI239">
        <v>7.1054273576010023E-16</v>
      </c>
      <c r="AJ239">
        <v>0.27999999999999997</v>
      </c>
      <c r="AK239">
        <v>45.36</v>
      </c>
      <c r="AL239">
        <v>59.360000000000014</v>
      </c>
      <c r="AM239">
        <v>-18.28</v>
      </c>
      <c r="AN239">
        <v>-2.2800000000000002</v>
      </c>
      <c r="AO239">
        <v>6.5600000000000023</v>
      </c>
      <c r="AP239">
        <v>1</v>
      </c>
      <c r="AQ239">
        <v>12.102399999999998</v>
      </c>
      <c r="AR239">
        <v>6.1524799999999997</v>
      </c>
      <c r="AS239">
        <v>77.640000000000015</v>
      </c>
      <c r="AT239">
        <v>-12.102399999999999</v>
      </c>
      <c r="AU239">
        <v>1.2762999999999995</v>
      </c>
      <c r="AV239">
        <v>0.30522500000000019</v>
      </c>
      <c r="AW239">
        <v>2.4784999999999999</v>
      </c>
      <c r="AX239" t="s">
        <v>306</v>
      </c>
      <c r="AY239">
        <v>22</v>
      </c>
      <c r="AZ239">
        <v>-6.9887999999999977</v>
      </c>
      <c r="BA239">
        <v>0.52040000000000086</v>
      </c>
      <c r="BB239">
        <v>28.839999999999996</v>
      </c>
      <c r="BC239">
        <v>-1.4</v>
      </c>
      <c r="BD239">
        <v>-10.075999999999999</v>
      </c>
      <c r="BE239">
        <v>-28.799999999999997</v>
      </c>
      <c r="BF239">
        <v>-4.4800000000000004</v>
      </c>
      <c r="BG239">
        <v>12</v>
      </c>
      <c r="BH239">
        <v>12.5</v>
      </c>
      <c r="BI239">
        <v>2.04</v>
      </c>
      <c r="BJ239">
        <v>3</v>
      </c>
      <c r="BK239">
        <v>8</v>
      </c>
      <c r="BL239">
        <v>13</v>
      </c>
      <c r="BM239">
        <v>9.2874305157077171E-3</v>
      </c>
      <c r="BN239">
        <v>2</v>
      </c>
      <c r="BO239">
        <v>2.36597011466682E-2</v>
      </c>
      <c r="BP239">
        <v>9</v>
      </c>
      <c r="BQ239">
        <v>-0.53599999999999992</v>
      </c>
      <c r="BR239">
        <v>8</v>
      </c>
      <c r="BS239">
        <v>2.96</v>
      </c>
      <c r="BT239">
        <v>1.1199999999999974</v>
      </c>
      <c r="BU239">
        <v>-5</v>
      </c>
      <c r="BV239">
        <v>-1.56</v>
      </c>
      <c r="BW239">
        <v>-14.760000000000002</v>
      </c>
      <c r="BX239">
        <v>-44.11999999999999</v>
      </c>
      <c r="BY239">
        <v>29.079999999999995</v>
      </c>
      <c r="BZ239">
        <v>-3.4</v>
      </c>
      <c r="CA239">
        <v>3.6799999999999997</v>
      </c>
      <c r="CB239">
        <v>30</v>
      </c>
      <c r="CC239">
        <v>-7.509199999999999</v>
      </c>
      <c r="CD239">
        <v>-3.6731599999999993</v>
      </c>
      <c r="CE239">
        <v>-73.199999999999989</v>
      </c>
      <c r="CF239">
        <v>-1.8680499999999995</v>
      </c>
    </row>
    <row r="240" spans="1:84" x14ac:dyDescent="0.2">
      <c r="A240" s="39">
        <v>43793</v>
      </c>
      <c r="B240" s="22" t="s">
        <v>242</v>
      </c>
      <c r="C240" s="41" t="s">
        <v>300</v>
      </c>
      <c r="D240" s="22" t="s">
        <v>256</v>
      </c>
      <c r="E240">
        <v>19.3</v>
      </c>
      <c r="F240">
        <v>3.9</v>
      </c>
      <c r="G240">
        <v>3.8</v>
      </c>
      <c r="H240">
        <f>2.8+1.7</f>
        <v>4.5</v>
      </c>
      <c r="I240">
        <v>3</v>
      </c>
      <c r="J240">
        <v>48</v>
      </c>
      <c r="L240" s="1" t="s">
        <v>300</v>
      </c>
      <c r="M240">
        <v>8</v>
      </c>
      <c r="N240">
        <v>3.6583999999999994</v>
      </c>
      <c r="O240">
        <v>5.2884000000000011</v>
      </c>
      <c r="P240">
        <v>-10.440000000000001</v>
      </c>
      <c r="Q240">
        <v>1.1599999999999999</v>
      </c>
      <c r="R240">
        <v>-4.0800000000000018</v>
      </c>
      <c r="S240">
        <v>-16.919999999999995</v>
      </c>
      <c r="T240">
        <v>-2.76</v>
      </c>
      <c r="U240">
        <v>31</v>
      </c>
      <c r="V240">
        <v>31</v>
      </c>
      <c r="W240">
        <v>-3.84</v>
      </c>
      <c r="X240">
        <v>16</v>
      </c>
      <c r="Y240">
        <v>14.5</v>
      </c>
      <c r="Z240">
        <v>17</v>
      </c>
      <c r="AA240">
        <v>-2.186606896517318E-2</v>
      </c>
      <c r="AB240">
        <v>14</v>
      </c>
      <c r="AC240">
        <v>-9.6942671285626964E-3</v>
      </c>
      <c r="AD240">
        <v>3</v>
      </c>
      <c r="AE240">
        <v>-3.3919999999999986</v>
      </c>
      <c r="AF240">
        <v>24</v>
      </c>
      <c r="AG240">
        <v>-3.72</v>
      </c>
      <c r="AH240">
        <v>-3.2800000000000011</v>
      </c>
      <c r="AI240">
        <v>0.4799999999999997</v>
      </c>
      <c r="AJ240">
        <v>-1.48</v>
      </c>
      <c r="AK240">
        <v>-13.920000000000005</v>
      </c>
      <c r="AL240">
        <v>10.160000000000007</v>
      </c>
      <c r="AM240">
        <v>-16.200000000000003</v>
      </c>
      <c r="AN240">
        <v>-0.11999999999999993</v>
      </c>
      <c r="AO240">
        <v>-7.76</v>
      </c>
      <c r="AP240">
        <v>18</v>
      </c>
      <c r="AQ240">
        <v>-1.6300000000000017</v>
      </c>
      <c r="AR240">
        <v>-2.7285200000000009</v>
      </c>
      <c r="AS240">
        <v>26.36000000000001</v>
      </c>
      <c r="AT240">
        <v>1.6300000000000017</v>
      </c>
      <c r="AU240">
        <v>0.39334999999999976</v>
      </c>
      <c r="AV240">
        <v>-0.44383749999999977</v>
      </c>
      <c r="AW240">
        <v>1.1947750000000006</v>
      </c>
      <c r="AX240" t="s">
        <v>256</v>
      </c>
      <c r="AY240">
        <v>22</v>
      </c>
      <c r="AZ240">
        <v>-3.029599999999999</v>
      </c>
      <c r="BA240">
        <v>-4.1099999999999985</v>
      </c>
      <c r="BB240">
        <v>-0.83999999999999986</v>
      </c>
      <c r="BC240">
        <v>-1.9999999999999796E-2</v>
      </c>
      <c r="BD240">
        <v>-7.6400000000000006</v>
      </c>
      <c r="BE240">
        <v>-49.24</v>
      </c>
      <c r="BF240">
        <v>-0.36000000000000026</v>
      </c>
      <c r="BG240">
        <v>18</v>
      </c>
      <c r="BH240">
        <v>20</v>
      </c>
      <c r="BI240">
        <v>-0.80000000000000016</v>
      </c>
      <c r="BJ240">
        <v>13</v>
      </c>
      <c r="BK240">
        <v>14.75</v>
      </c>
      <c r="BL240">
        <v>23</v>
      </c>
      <c r="BM240">
        <v>-1.0224930424006162E-2</v>
      </c>
      <c r="BN240">
        <v>8</v>
      </c>
      <c r="BO240">
        <v>3.6541286887413475E-2</v>
      </c>
      <c r="BP240">
        <v>24</v>
      </c>
      <c r="BQ240">
        <v>3.0799999999999996</v>
      </c>
      <c r="BR240">
        <v>4</v>
      </c>
      <c r="BS240">
        <v>4.160000000000001</v>
      </c>
      <c r="BT240">
        <v>2.4</v>
      </c>
      <c r="BU240">
        <v>-4.16</v>
      </c>
      <c r="BV240">
        <v>1.44</v>
      </c>
      <c r="BW240">
        <v>-34.36</v>
      </c>
      <c r="BX240">
        <v>-53.440000000000012</v>
      </c>
      <c r="BY240">
        <v>7.1599999999999993</v>
      </c>
      <c r="BZ240">
        <v>0.96000000000000052</v>
      </c>
      <c r="CA240">
        <v>10.96</v>
      </c>
      <c r="CB240">
        <v>16</v>
      </c>
      <c r="CC240">
        <v>1.0803999999999996</v>
      </c>
      <c r="CD240">
        <v>-7.8920000000000989E-2</v>
      </c>
      <c r="CE240">
        <v>-60.600000000000009</v>
      </c>
      <c r="CF240">
        <v>-2.0824500000000001</v>
      </c>
    </row>
    <row r="241" spans="1:84" x14ac:dyDescent="0.2">
      <c r="A241" s="39">
        <v>43793</v>
      </c>
      <c r="B241" s="22" t="s">
        <v>242</v>
      </c>
      <c r="C241" s="41" t="s">
        <v>311</v>
      </c>
      <c r="D241" s="22" t="s">
        <v>289</v>
      </c>
      <c r="E241">
        <v>27.4</v>
      </c>
      <c r="F241" s="14">
        <v>24</v>
      </c>
      <c r="G241">
        <v>1.6</v>
      </c>
      <c r="H241">
        <f>5.6+3.4</f>
        <v>9</v>
      </c>
      <c r="I241">
        <v>3.5</v>
      </c>
      <c r="J241">
        <v>46</v>
      </c>
      <c r="L241" s="4" t="s">
        <v>311</v>
      </c>
      <c r="M241" s="3">
        <v>13</v>
      </c>
      <c r="N241" s="3">
        <v>2.2936000000000001</v>
      </c>
      <c r="O241">
        <v>-1.1480000000000001</v>
      </c>
      <c r="P241">
        <v>17.239999999999998</v>
      </c>
      <c r="Q241">
        <v>-2.7600000000000002</v>
      </c>
      <c r="R241">
        <v>11.318999999999997</v>
      </c>
      <c r="S241">
        <v>30.49</v>
      </c>
      <c r="T241">
        <v>1.75</v>
      </c>
      <c r="U241">
        <v>22</v>
      </c>
      <c r="V241">
        <v>20.5</v>
      </c>
      <c r="W241">
        <v>-2.44</v>
      </c>
      <c r="X241">
        <v>20</v>
      </c>
      <c r="Y241">
        <v>17.5</v>
      </c>
      <c r="Z241">
        <v>1</v>
      </c>
      <c r="AA241">
        <v>-2.1989971385540262E-3</v>
      </c>
      <c r="AB241">
        <v>24</v>
      </c>
      <c r="AC241">
        <v>5.7623190563600574E-3</v>
      </c>
      <c r="AD241">
        <v>15</v>
      </c>
      <c r="AE241">
        <v>-5.452</v>
      </c>
      <c r="AF241">
        <v>30</v>
      </c>
      <c r="AG241">
        <v>-2.4800000000000004</v>
      </c>
      <c r="AH241">
        <v>1</v>
      </c>
      <c r="AI241">
        <v>1.8400000000000003</v>
      </c>
      <c r="AJ241">
        <v>-0.83999999999999986</v>
      </c>
      <c r="AK241">
        <v>47.319999999999993</v>
      </c>
      <c r="AL241">
        <v>20.840000000000003</v>
      </c>
      <c r="AM241">
        <v>16.359999999999996</v>
      </c>
      <c r="AN241">
        <v>-1.7600000000000002</v>
      </c>
      <c r="AO241">
        <v>11.879999999999999</v>
      </c>
      <c r="AP241">
        <v>11</v>
      </c>
      <c r="AQ241">
        <v>3.4415999999999998</v>
      </c>
      <c r="AR241">
        <v>3.2965200000000001</v>
      </c>
      <c r="AS241">
        <v>4.4800000000000075</v>
      </c>
      <c r="AT241">
        <v>-3.4416000000000002</v>
      </c>
      <c r="AU241">
        <v>1.6530749999999999</v>
      </c>
      <c r="AV241">
        <v>0.32943750000000016</v>
      </c>
      <c r="AW241">
        <v>1.0983500000000004</v>
      </c>
      <c r="AX241" t="s">
        <v>289</v>
      </c>
      <c r="AY241">
        <v>25</v>
      </c>
      <c r="AZ241">
        <v>-1.4399999999999986</v>
      </c>
      <c r="BA241">
        <v>-0.94000000000000106</v>
      </c>
      <c r="BB241">
        <v>-8.0000000000000036</v>
      </c>
      <c r="BC241">
        <v>0.96000000000000008</v>
      </c>
      <c r="BD241">
        <v>-2.7758000000000003</v>
      </c>
      <c r="BE241">
        <v>-2.2199999999999984</v>
      </c>
      <c r="BF241">
        <v>-1.7000000000000002</v>
      </c>
      <c r="BG241">
        <v>5</v>
      </c>
      <c r="BH241">
        <v>4.5</v>
      </c>
      <c r="BI241">
        <v>1.72</v>
      </c>
      <c r="BJ241">
        <v>28</v>
      </c>
      <c r="BK241">
        <v>23</v>
      </c>
      <c r="BL241">
        <v>27</v>
      </c>
      <c r="BM241">
        <v>-2.9282481809458784E-2</v>
      </c>
      <c r="BN241">
        <v>18</v>
      </c>
      <c r="BO241">
        <v>-2.7927212841673876E-2</v>
      </c>
      <c r="BP241">
        <v>26</v>
      </c>
      <c r="BQ241">
        <v>8.892000000000003</v>
      </c>
      <c r="BR241">
        <v>21</v>
      </c>
      <c r="BS241">
        <v>-1.6799999999999997</v>
      </c>
      <c r="BT241">
        <v>-3.8</v>
      </c>
      <c r="BU241">
        <v>-0.88000000000000045</v>
      </c>
      <c r="BV241">
        <v>0.2</v>
      </c>
      <c r="BW241">
        <v>-28.79999999999999</v>
      </c>
      <c r="BX241">
        <v>-8.8000000000000007</v>
      </c>
      <c r="BY241">
        <v>-10.639999999999997</v>
      </c>
      <c r="BZ241">
        <v>-1.56</v>
      </c>
      <c r="CA241">
        <v>-7.8</v>
      </c>
      <c r="CB241">
        <v>20</v>
      </c>
      <c r="CC241">
        <v>-0.49999999999999756</v>
      </c>
      <c r="CD241">
        <v>-0.37315999999999927</v>
      </c>
      <c r="CE241">
        <v>1.8399999999999963</v>
      </c>
      <c r="CF241">
        <v>-0.43947500000000006</v>
      </c>
    </row>
    <row r="242" spans="1:84" x14ac:dyDescent="0.2">
      <c r="A242" s="39">
        <v>43793</v>
      </c>
      <c r="B242" s="22" t="s">
        <v>242</v>
      </c>
      <c r="C242" s="41" t="s">
        <v>289</v>
      </c>
      <c r="D242" s="22" t="s">
        <v>311</v>
      </c>
      <c r="E242">
        <v>4.8</v>
      </c>
      <c r="F242">
        <v>2.2000000000000002</v>
      </c>
      <c r="G242">
        <v>0</v>
      </c>
      <c r="H242">
        <f>8.4+5.8</f>
        <v>14.2</v>
      </c>
      <c r="I242">
        <v>-3.5</v>
      </c>
      <c r="J242">
        <v>46</v>
      </c>
      <c r="L242" s="1" t="s">
        <v>289</v>
      </c>
      <c r="M242">
        <v>29</v>
      </c>
      <c r="N242">
        <v>-5.7368000000000006</v>
      </c>
      <c r="O242">
        <v>5.3199999999999994</v>
      </c>
      <c r="P242">
        <v>33.080000000000005</v>
      </c>
      <c r="Q242">
        <v>-0.3600000000000001</v>
      </c>
      <c r="R242">
        <v>-12.468</v>
      </c>
      <c r="S242">
        <v>-46.73</v>
      </c>
      <c r="T242">
        <v>-2.3800000000000003</v>
      </c>
      <c r="U242">
        <v>19</v>
      </c>
      <c r="V242">
        <v>19.5</v>
      </c>
      <c r="W242">
        <v>-1.6799999999999997</v>
      </c>
      <c r="X242">
        <v>3</v>
      </c>
      <c r="Y242">
        <v>7.75</v>
      </c>
      <c r="Z242">
        <v>4</v>
      </c>
      <c r="AA242">
        <v>9.418761728330724E-2</v>
      </c>
      <c r="AB242">
        <v>8</v>
      </c>
      <c r="AC242">
        <v>2.2766077466829193E-2</v>
      </c>
      <c r="AD242">
        <v>13</v>
      </c>
      <c r="AE242">
        <v>1.283999999999996</v>
      </c>
      <c r="AF242">
        <v>6</v>
      </c>
      <c r="AG242">
        <v>1.72</v>
      </c>
      <c r="AH242">
        <v>1.3599999999999994</v>
      </c>
      <c r="AI242">
        <v>-2.3200000000000012</v>
      </c>
      <c r="AJ242">
        <v>-0.48000000000000009</v>
      </c>
      <c r="AK242">
        <v>-17.920000000000005</v>
      </c>
      <c r="AL242">
        <v>-54.120000000000005</v>
      </c>
      <c r="AM242">
        <v>34.68</v>
      </c>
      <c r="AN242">
        <v>5.7200000000000006</v>
      </c>
      <c r="AO242">
        <v>-4.2000000000000011</v>
      </c>
      <c r="AP242">
        <v>31</v>
      </c>
      <c r="AQ242">
        <v>-11.056799999999999</v>
      </c>
      <c r="AR242">
        <v>-6.3009599999999999</v>
      </c>
      <c r="AS242">
        <v>-88.800000000000011</v>
      </c>
      <c r="AT242">
        <v>11.056799999999999</v>
      </c>
      <c r="AU242">
        <v>-1.6355999999999999</v>
      </c>
      <c r="AV242">
        <v>0.32943750000000016</v>
      </c>
      <c r="AW242">
        <v>-0.43947500000000006</v>
      </c>
      <c r="AX242" t="s">
        <v>311</v>
      </c>
      <c r="AY242">
        <v>6</v>
      </c>
      <c r="AZ242">
        <v>4.3848000000000003</v>
      </c>
      <c r="BA242">
        <v>-0.20399999999999929</v>
      </c>
      <c r="BB242">
        <v>-15</v>
      </c>
      <c r="BC242">
        <v>0.7200000000000002</v>
      </c>
      <c r="BD242">
        <v>5.9660000000000002</v>
      </c>
      <c r="BE242">
        <v>27.439999999999998</v>
      </c>
      <c r="BF242">
        <v>1.5099999999999996</v>
      </c>
      <c r="BG242">
        <v>22</v>
      </c>
      <c r="BH242">
        <v>21.5</v>
      </c>
      <c r="BI242">
        <v>-2.4800000000000004</v>
      </c>
      <c r="BJ242">
        <v>27</v>
      </c>
      <c r="BK242">
        <v>22.75</v>
      </c>
      <c r="BL242">
        <v>31</v>
      </c>
      <c r="BM242">
        <v>-7.785657970867868E-2</v>
      </c>
      <c r="BN242">
        <v>30</v>
      </c>
      <c r="BO242">
        <v>-3.5662405549610553E-2</v>
      </c>
      <c r="BP242">
        <v>2</v>
      </c>
      <c r="BQ242">
        <v>-11.480000000000004</v>
      </c>
      <c r="BR242">
        <v>28</v>
      </c>
      <c r="BS242">
        <v>-2.44</v>
      </c>
      <c r="BT242">
        <v>-0.92000000000000171</v>
      </c>
      <c r="BU242">
        <v>0.83999999999999986</v>
      </c>
      <c r="BV242">
        <v>-1.7200000000000002</v>
      </c>
      <c r="BW242">
        <v>20.719999999999992</v>
      </c>
      <c r="BX242">
        <v>38.96</v>
      </c>
      <c r="BY242">
        <v>-12.039999999999997</v>
      </c>
      <c r="BZ242">
        <v>-6.32</v>
      </c>
      <c r="CA242">
        <v>0.12000000000000099</v>
      </c>
      <c r="CB242">
        <v>7</v>
      </c>
      <c r="CC242">
        <v>4.5888</v>
      </c>
      <c r="CD242">
        <v>2.1721599999999999</v>
      </c>
      <c r="CE242">
        <v>51</v>
      </c>
      <c r="CF242">
        <v>1.0983500000000004</v>
      </c>
    </row>
    <row r="243" spans="1:84" x14ac:dyDescent="0.2">
      <c r="A243" s="39">
        <v>43793</v>
      </c>
      <c r="B243" s="22" t="s">
        <v>242</v>
      </c>
      <c r="C243" s="41" t="s">
        <v>297</v>
      </c>
      <c r="D243" s="22" t="s">
        <v>310</v>
      </c>
      <c r="E243">
        <v>10.8</v>
      </c>
      <c r="F243">
        <v>14.9</v>
      </c>
      <c r="G243">
        <v>8.9</v>
      </c>
      <c r="H243">
        <v>7.6</v>
      </c>
      <c r="I243">
        <v>4.5</v>
      </c>
      <c r="J243">
        <v>42</v>
      </c>
      <c r="K243" t="s">
        <v>110</v>
      </c>
      <c r="L243" s="1" t="s">
        <v>297</v>
      </c>
      <c r="M243">
        <v>20</v>
      </c>
      <c r="N243">
        <v>-1.968</v>
      </c>
      <c r="O243">
        <v>2.6399999999999988</v>
      </c>
      <c r="P243">
        <v>-1.7199999999999989</v>
      </c>
      <c r="Q243">
        <v>2.4</v>
      </c>
      <c r="R243">
        <v>-1.2359999999999998</v>
      </c>
      <c r="S243">
        <v>-8.4000000000000021</v>
      </c>
      <c r="T243">
        <v>3.080000000000001</v>
      </c>
      <c r="U243">
        <v>27</v>
      </c>
      <c r="V243">
        <v>27</v>
      </c>
      <c r="W243">
        <v>0.28000000000000008</v>
      </c>
      <c r="X243">
        <v>7</v>
      </c>
      <c r="Y243">
        <v>11.25</v>
      </c>
      <c r="Z243">
        <v>7</v>
      </c>
      <c r="AA243">
        <v>2.0571256805007598E-2</v>
      </c>
      <c r="AB243">
        <v>17</v>
      </c>
      <c r="AC243">
        <v>-1.9511614917143622E-3</v>
      </c>
      <c r="AD243">
        <v>18</v>
      </c>
      <c r="AE243">
        <v>-14.512</v>
      </c>
      <c r="AF243">
        <v>3</v>
      </c>
      <c r="AG243">
        <v>1.52</v>
      </c>
      <c r="AH243">
        <v>5.8400000000000007</v>
      </c>
      <c r="AI243">
        <v>-4.24</v>
      </c>
      <c r="AJ243">
        <v>0.12000000000000002</v>
      </c>
      <c r="AK243">
        <v>22.999999999999989</v>
      </c>
      <c r="AL243">
        <v>18.400000000000006</v>
      </c>
      <c r="AM243">
        <v>-7.4</v>
      </c>
      <c r="AN243">
        <v>4.3600000000000003</v>
      </c>
      <c r="AO243">
        <v>7.6399999999999988</v>
      </c>
      <c r="AP243">
        <v>23</v>
      </c>
      <c r="AQ243">
        <v>-4.6079999999999988</v>
      </c>
      <c r="AR243">
        <v>-1.9607999999999994</v>
      </c>
      <c r="AS243">
        <v>25.800000000000004</v>
      </c>
      <c r="AT243">
        <v>4.6079999999999988</v>
      </c>
      <c r="AU243">
        <v>-0.1005000000000001</v>
      </c>
      <c r="AV243">
        <v>1.2358625000000001</v>
      </c>
      <c r="AW243">
        <v>0.83592499999999981</v>
      </c>
      <c r="AX243" t="s">
        <v>310</v>
      </c>
      <c r="AY243">
        <v>11</v>
      </c>
      <c r="AZ243">
        <v>4.0144000000000002</v>
      </c>
      <c r="BA243">
        <v>2.4400000000000008</v>
      </c>
      <c r="BB243">
        <v>2.6799999999999993</v>
      </c>
      <c r="BC243">
        <v>0.64000000000000012</v>
      </c>
      <c r="BD243">
        <v>5.1519999999999992</v>
      </c>
      <c r="BE243">
        <v>22.720000000000006</v>
      </c>
      <c r="BF243">
        <v>2.6399999999999992</v>
      </c>
      <c r="BG243">
        <v>3</v>
      </c>
      <c r="BH243">
        <v>3.5</v>
      </c>
      <c r="BI243">
        <v>-1.4000000000000001</v>
      </c>
      <c r="BJ243">
        <v>15</v>
      </c>
      <c r="BK243">
        <v>15.75</v>
      </c>
      <c r="BL243">
        <v>16</v>
      </c>
      <c r="BM243">
        <v>3.3336378702793143E-2</v>
      </c>
      <c r="BN243">
        <v>21</v>
      </c>
      <c r="BO243">
        <v>-7.2293233789136064E-3</v>
      </c>
      <c r="BP243">
        <v>13</v>
      </c>
      <c r="BQ243">
        <v>4.5279999999999987</v>
      </c>
      <c r="BR243">
        <v>13</v>
      </c>
      <c r="BS243">
        <v>-0.84000000000000008</v>
      </c>
      <c r="BT243">
        <v>5.6400000000000023</v>
      </c>
      <c r="BU243">
        <v>3.1199999999999997</v>
      </c>
      <c r="BV243">
        <v>-0.91999999999999993</v>
      </c>
      <c r="BW243">
        <v>29.640000000000008</v>
      </c>
      <c r="BX243">
        <v>33.76</v>
      </c>
      <c r="BY243">
        <v>-0.63999999999999768</v>
      </c>
      <c r="BZ243">
        <v>-2.12</v>
      </c>
      <c r="CA243">
        <v>-1.36</v>
      </c>
      <c r="CB243">
        <v>14</v>
      </c>
      <c r="CC243">
        <v>1.5743999999999994</v>
      </c>
      <c r="CD243">
        <v>0.61327999999999938</v>
      </c>
      <c r="CE243">
        <v>34.4</v>
      </c>
      <c r="CF243">
        <v>1.6358000000000001</v>
      </c>
    </row>
    <row r="244" spans="1:84" x14ac:dyDescent="0.2">
      <c r="A244" s="39">
        <v>43793</v>
      </c>
      <c r="B244" s="22" t="s">
        <v>242</v>
      </c>
      <c r="C244" s="41" t="s">
        <v>303</v>
      </c>
      <c r="D244" s="22" t="s">
        <v>298</v>
      </c>
      <c r="E244">
        <v>3.8</v>
      </c>
      <c r="F244">
        <v>6.1</v>
      </c>
      <c r="G244">
        <v>2.5</v>
      </c>
      <c r="H244">
        <v>8.4</v>
      </c>
      <c r="I244">
        <v>-3.5</v>
      </c>
      <c r="J244">
        <v>45</v>
      </c>
      <c r="L244" s="1" t="s">
        <v>303</v>
      </c>
      <c r="M244">
        <v>28</v>
      </c>
      <c r="N244">
        <v>-4.5152000000000001</v>
      </c>
      <c r="O244">
        <v>0.69600000000000128</v>
      </c>
      <c r="P244">
        <v>6.0080000000000027</v>
      </c>
      <c r="Q244">
        <v>1.1199999999999999</v>
      </c>
      <c r="R244">
        <v>-6.4320000000000022</v>
      </c>
      <c r="S244">
        <v>-28.039999999999996</v>
      </c>
      <c r="T244">
        <v>-2.3200000000000003</v>
      </c>
      <c r="U244">
        <v>19</v>
      </c>
      <c r="V244">
        <v>19.5</v>
      </c>
      <c r="W244">
        <v>-0.83999999999999986</v>
      </c>
      <c r="X244">
        <v>19</v>
      </c>
      <c r="Y244">
        <v>17.25</v>
      </c>
      <c r="Z244">
        <v>14</v>
      </c>
      <c r="AA244">
        <v>-4.4063008937547714E-2</v>
      </c>
      <c r="AB244">
        <v>21</v>
      </c>
      <c r="AC244">
        <v>-1.3655752066164151E-2</v>
      </c>
      <c r="AD244">
        <v>32</v>
      </c>
      <c r="AE244">
        <v>20.04</v>
      </c>
      <c r="AF244">
        <v>2</v>
      </c>
      <c r="AG244">
        <v>0.47999999999999987</v>
      </c>
      <c r="AH244">
        <v>-2.72</v>
      </c>
      <c r="AI244">
        <v>-2.8800000000000003</v>
      </c>
      <c r="AJ244">
        <v>-0.16000000000000017</v>
      </c>
      <c r="AK244">
        <v>-13.440000000000008</v>
      </c>
      <c r="AL244">
        <v>-9.6799999999999962</v>
      </c>
      <c r="AM244">
        <v>10.120000000000001</v>
      </c>
      <c r="AN244">
        <v>2.6799999999999997</v>
      </c>
      <c r="AO244">
        <v>-16.559999999999999</v>
      </c>
      <c r="AP244">
        <v>26</v>
      </c>
      <c r="AQ244">
        <v>-5.2112000000000016</v>
      </c>
      <c r="AR244">
        <v>-2.537440000000001</v>
      </c>
      <c r="AS244">
        <v>-19.799999999999997</v>
      </c>
      <c r="AT244">
        <v>5.2112000000000016</v>
      </c>
      <c r="AU244">
        <v>-1.3364</v>
      </c>
      <c r="AV244">
        <v>0.91625000000000012</v>
      </c>
      <c r="AW244">
        <v>0.69310000000000005</v>
      </c>
      <c r="AX244" t="s">
        <v>298</v>
      </c>
      <c r="AY244">
        <v>9</v>
      </c>
      <c r="AZ244">
        <v>4.4552000000000005</v>
      </c>
      <c r="BA244">
        <v>-3.4959999999999991</v>
      </c>
      <c r="BB244">
        <v>-19.431999999999995</v>
      </c>
      <c r="BC244">
        <v>0.35999999999999988</v>
      </c>
      <c r="BD244">
        <v>8.9960000000000022</v>
      </c>
      <c r="BE244">
        <v>22.880000000000003</v>
      </c>
      <c r="BF244">
        <v>0.59999999999999976</v>
      </c>
      <c r="BG244">
        <v>24</v>
      </c>
      <c r="BH244">
        <v>23</v>
      </c>
      <c r="BI244">
        <v>-1</v>
      </c>
      <c r="BJ244">
        <v>23</v>
      </c>
      <c r="BK244">
        <v>20</v>
      </c>
      <c r="BL244">
        <v>32</v>
      </c>
      <c r="BM244">
        <v>-3.2843293009734646E-2</v>
      </c>
      <c r="BN244">
        <v>22</v>
      </c>
      <c r="BO244">
        <v>2.1995378772974862E-4</v>
      </c>
      <c r="BP244">
        <v>11</v>
      </c>
      <c r="BQ244">
        <v>4.8080000000000016</v>
      </c>
      <c r="BR244">
        <v>15</v>
      </c>
      <c r="BS244">
        <v>1.2</v>
      </c>
      <c r="BT244">
        <v>1.7599999999999993</v>
      </c>
      <c r="BU244">
        <v>3.3599999999999994</v>
      </c>
      <c r="BV244">
        <v>-1.0799999999999996</v>
      </c>
      <c r="BW244">
        <v>-12.559999999999997</v>
      </c>
      <c r="BX244">
        <v>15.360000000000003</v>
      </c>
      <c r="BY244">
        <v>-20</v>
      </c>
      <c r="BZ244">
        <v>-4.4800000000000004</v>
      </c>
      <c r="CA244">
        <v>-3.44</v>
      </c>
      <c r="CB244">
        <v>3</v>
      </c>
      <c r="CC244">
        <v>7.9512</v>
      </c>
      <c r="CD244">
        <v>4.4382399999999995</v>
      </c>
      <c r="CE244">
        <v>35.36</v>
      </c>
      <c r="CF244">
        <v>1.1394000000000002</v>
      </c>
    </row>
    <row r="245" spans="1:84" x14ac:dyDescent="0.2">
      <c r="A245" s="39">
        <v>43793</v>
      </c>
      <c r="B245" s="22" t="s">
        <v>242</v>
      </c>
      <c r="C245" s="41" t="s">
        <v>304</v>
      </c>
      <c r="D245" s="22" t="s">
        <v>305</v>
      </c>
      <c r="E245" s="14">
        <v>9.5</v>
      </c>
      <c r="F245">
        <v>15.7</v>
      </c>
      <c r="G245">
        <v>5.3</v>
      </c>
      <c r="H245">
        <v>11.3</v>
      </c>
      <c r="I245">
        <v>3.5</v>
      </c>
      <c r="J245">
        <v>47</v>
      </c>
      <c r="L245" s="1" t="s">
        <v>304</v>
      </c>
      <c r="M245">
        <v>21</v>
      </c>
      <c r="N245">
        <v>-2.1367999999999987</v>
      </c>
      <c r="O245">
        <v>-1.9919999999999993</v>
      </c>
      <c r="P245">
        <v>-6.4799999999999969</v>
      </c>
      <c r="Q245">
        <v>-1.6799999999999997</v>
      </c>
      <c r="R245">
        <v>1.6760000000000002</v>
      </c>
      <c r="S245">
        <v>34.76</v>
      </c>
      <c r="T245">
        <v>2.44</v>
      </c>
      <c r="U245">
        <v>16</v>
      </c>
      <c r="V245">
        <v>15.5</v>
      </c>
      <c r="W245">
        <v>2.72</v>
      </c>
      <c r="X245">
        <v>23</v>
      </c>
      <c r="Y245">
        <v>20.5</v>
      </c>
      <c r="Z245">
        <v>32</v>
      </c>
      <c r="AA245">
        <v>-0.11816326875052748</v>
      </c>
      <c r="AB245">
        <v>29</v>
      </c>
      <c r="AC245">
        <v>-3.2856510527490959E-2</v>
      </c>
      <c r="AD245">
        <v>8</v>
      </c>
      <c r="AE245">
        <v>-5.4240000000000039</v>
      </c>
      <c r="AF245">
        <v>13</v>
      </c>
      <c r="AG245">
        <v>-1.4800000000000004</v>
      </c>
      <c r="AH245">
        <v>-2.5599999999999996</v>
      </c>
      <c r="AI245">
        <v>-0.95999999999999941</v>
      </c>
      <c r="AJ245">
        <v>1.3599999999999999</v>
      </c>
      <c r="AK245">
        <v>-7.8799999999999955</v>
      </c>
      <c r="AL245">
        <v>17.28</v>
      </c>
      <c r="AM245">
        <v>-10.040000000000001</v>
      </c>
      <c r="AN245">
        <v>-2.6799999999999997</v>
      </c>
      <c r="AO245">
        <v>-12.440000000000001</v>
      </c>
      <c r="AP245">
        <v>15</v>
      </c>
      <c r="AQ245">
        <v>-0.14479999999999943</v>
      </c>
      <c r="AR245">
        <v>0.90383999999999998</v>
      </c>
      <c r="AS245">
        <v>27.32</v>
      </c>
      <c r="AT245">
        <v>0.14479999999999937</v>
      </c>
      <c r="AU245">
        <v>-0.22659999999999988</v>
      </c>
      <c r="AV245">
        <v>-0.99776249999999989</v>
      </c>
      <c r="AW245">
        <v>5.2774999999999905E-2</v>
      </c>
      <c r="AX245" t="s">
        <v>305</v>
      </c>
      <c r="AY245">
        <v>32</v>
      </c>
      <c r="AZ245">
        <v>-5.5743999999999998</v>
      </c>
      <c r="BA245">
        <v>-3.5519999999999996</v>
      </c>
      <c r="BB245">
        <v>-11.24</v>
      </c>
      <c r="BC245">
        <v>-0.35999999999999988</v>
      </c>
      <c r="BD245">
        <v>-6.3399999999999981</v>
      </c>
      <c r="BE245">
        <v>-24.24</v>
      </c>
      <c r="BF245">
        <v>1.7199999999999998</v>
      </c>
      <c r="BG245">
        <v>23</v>
      </c>
      <c r="BH245">
        <v>22.5</v>
      </c>
      <c r="BI245">
        <v>-8.1999999999999993</v>
      </c>
      <c r="BJ245">
        <v>5</v>
      </c>
      <c r="BK245">
        <v>9.75</v>
      </c>
      <c r="BL245">
        <v>15</v>
      </c>
      <c r="BM245">
        <v>3.8742054837296688E-2</v>
      </c>
      <c r="BN245">
        <v>8</v>
      </c>
      <c r="BO245">
        <v>2.6151649183382116E-3</v>
      </c>
      <c r="BP245">
        <v>15</v>
      </c>
      <c r="BQ245">
        <v>-8.5480000000000018</v>
      </c>
      <c r="BR245">
        <v>1</v>
      </c>
      <c r="BS245">
        <v>7.4800000000000013</v>
      </c>
      <c r="BT245">
        <v>-2.1200000000000019</v>
      </c>
      <c r="BU245">
        <v>-6.16</v>
      </c>
      <c r="BV245">
        <v>-1.28</v>
      </c>
      <c r="BW245">
        <v>-42.279999999999987</v>
      </c>
      <c r="BX245">
        <v>-26.560000000000002</v>
      </c>
      <c r="BY245">
        <v>-11.919999999999998</v>
      </c>
      <c r="BZ245">
        <v>-0.96000000000000019</v>
      </c>
      <c r="CA245">
        <v>-2.84</v>
      </c>
      <c r="CB245">
        <v>23</v>
      </c>
      <c r="CC245">
        <v>-2.0223999999999998</v>
      </c>
      <c r="CD245">
        <v>-0.60687999999999942</v>
      </c>
      <c r="CE245">
        <v>-14.640000000000004</v>
      </c>
      <c r="CF245">
        <v>-2.0482999999999998</v>
      </c>
    </row>
    <row r="246" spans="1:84" x14ac:dyDescent="0.2">
      <c r="A246" s="39">
        <v>43793</v>
      </c>
      <c r="B246" s="22" t="s">
        <v>242</v>
      </c>
      <c r="C246" s="41" t="s">
        <v>293</v>
      </c>
      <c r="D246" s="22" t="s">
        <v>281</v>
      </c>
      <c r="E246">
        <v>15.1</v>
      </c>
      <c r="F246">
        <v>14.2</v>
      </c>
      <c r="G246">
        <v>9.6999999999999993</v>
      </c>
      <c r="H246">
        <v>11.8</v>
      </c>
      <c r="I246">
        <v>11</v>
      </c>
      <c r="J246">
        <v>45.5</v>
      </c>
      <c r="K246" s="20" t="s">
        <v>109</v>
      </c>
      <c r="L246" s="1" t="s">
        <v>293</v>
      </c>
      <c r="M246">
        <v>12</v>
      </c>
      <c r="N246">
        <v>2.3383999999999991</v>
      </c>
      <c r="O246">
        <v>-5.088000000000001</v>
      </c>
      <c r="P246">
        <v>-36.719999999999992</v>
      </c>
      <c r="Q246">
        <v>4.0000000000000036E-2</v>
      </c>
      <c r="R246">
        <v>3.8659999999999997</v>
      </c>
      <c r="S246">
        <v>13.500000000000005</v>
      </c>
      <c r="T246">
        <v>0.95</v>
      </c>
      <c r="U246">
        <v>13</v>
      </c>
      <c r="V246">
        <v>12</v>
      </c>
      <c r="W246">
        <v>-2.4</v>
      </c>
      <c r="X246">
        <v>16</v>
      </c>
      <c r="Y246">
        <v>14.5</v>
      </c>
      <c r="Z246">
        <v>12</v>
      </c>
      <c r="AA246">
        <v>7.7048958308870985E-3</v>
      </c>
      <c r="AB246">
        <v>10</v>
      </c>
      <c r="AC246">
        <v>1.2999234356601951E-2</v>
      </c>
      <c r="AD246">
        <v>14</v>
      </c>
      <c r="AE246">
        <v>-2.5440000000000014</v>
      </c>
      <c r="AF246">
        <v>22</v>
      </c>
      <c r="AG246">
        <v>-0.40000000000000019</v>
      </c>
      <c r="AH246">
        <v>1.4000000000000015</v>
      </c>
      <c r="AI246">
        <v>1.6</v>
      </c>
      <c r="AJ246">
        <v>0.36</v>
      </c>
      <c r="AK246">
        <v>-13.960000000000003</v>
      </c>
      <c r="AL246">
        <v>15.960000000000003</v>
      </c>
      <c r="AM246">
        <v>-35.4</v>
      </c>
      <c r="AN246">
        <v>-4.0000000000000216E-2</v>
      </c>
      <c r="AO246">
        <v>5.5200000000000005</v>
      </c>
      <c r="AP246">
        <v>4</v>
      </c>
      <c r="AQ246">
        <v>7.4263999999999992</v>
      </c>
      <c r="AR246">
        <v>3.7848800000000002</v>
      </c>
      <c r="AS246">
        <v>51.36</v>
      </c>
      <c r="AT246">
        <v>-7.4264000000000001</v>
      </c>
      <c r="AU246">
        <v>0.15454999999999977</v>
      </c>
      <c r="AV246">
        <v>1.2338500000000001</v>
      </c>
      <c r="AW246">
        <v>2.3661250000000003</v>
      </c>
      <c r="AX246" t="s">
        <v>281</v>
      </c>
      <c r="AY246">
        <v>11</v>
      </c>
      <c r="AZ246">
        <v>3.7456000000000005</v>
      </c>
      <c r="BA246">
        <v>-2.484</v>
      </c>
      <c r="BB246">
        <v>-12.000000000000002</v>
      </c>
      <c r="BC246">
        <v>-0.88000000000000012</v>
      </c>
      <c r="BD246">
        <v>1.7109999999999994</v>
      </c>
      <c r="BE246">
        <v>13.66</v>
      </c>
      <c r="BF246">
        <v>8.000000000000014E-2</v>
      </c>
      <c r="BG246">
        <v>29</v>
      </c>
      <c r="BH246">
        <v>27</v>
      </c>
      <c r="BI246">
        <v>-3.2800000000000002</v>
      </c>
      <c r="BJ246">
        <v>9</v>
      </c>
      <c r="BK246">
        <v>12.5</v>
      </c>
      <c r="BL246">
        <v>8</v>
      </c>
      <c r="BM246">
        <v>5.0962088850609377E-2</v>
      </c>
      <c r="BN246">
        <v>16</v>
      </c>
      <c r="BO246">
        <v>4.5602738650104809E-3</v>
      </c>
      <c r="BP246">
        <v>7</v>
      </c>
      <c r="BQ246">
        <v>-6.9880000000000022</v>
      </c>
      <c r="BR246">
        <v>19</v>
      </c>
      <c r="BS246">
        <v>-0.8</v>
      </c>
      <c r="BT246">
        <v>-3.680000000000001</v>
      </c>
      <c r="BU246">
        <v>-0.12000000000000029</v>
      </c>
      <c r="BV246">
        <v>0.44000000000000011</v>
      </c>
      <c r="BW246">
        <v>3.280000000000018</v>
      </c>
      <c r="BX246">
        <v>13.439999999999998</v>
      </c>
      <c r="BY246">
        <v>-14.52</v>
      </c>
      <c r="BZ246">
        <v>-1.6800000000000002</v>
      </c>
      <c r="CA246">
        <v>6.04</v>
      </c>
      <c r="CB246">
        <v>5</v>
      </c>
      <c r="CC246">
        <v>6.2295999999999996</v>
      </c>
      <c r="CD246">
        <v>2.3333200000000001</v>
      </c>
      <c r="CE246">
        <v>27.959999999999997</v>
      </c>
      <c r="CF246">
        <v>0.10157500000000008</v>
      </c>
    </row>
    <row r="247" spans="1:84" x14ac:dyDescent="0.2">
      <c r="A247" s="39">
        <v>43793</v>
      </c>
      <c r="B247" s="22" t="s">
        <v>242</v>
      </c>
      <c r="C247" s="41" t="s">
        <v>302</v>
      </c>
      <c r="D247" s="22" t="s">
        <v>291</v>
      </c>
      <c r="E247">
        <v>17.3</v>
      </c>
      <c r="F247">
        <v>11.4</v>
      </c>
      <c r="G247">
        <v>8</v>
      </c>
      <c r="H247">
        <v>1.5</v>
      </c>
      <c r="I247">
        <v>-5.5</v>
      </c>
      <c r="J247">
        <v>44.5</v>
      </c>
      <c r="K247" t="s">
        <v>109</v>
      </c>
      <c r="L247" s="1" t="s">
        <v>302</v>
      </c>
      <c r="M247">
        <v>23</v>
      </c>
      <c r="N247">
        <v>-3.0671999999999997</v>
      </c>
      <c r="O247">
        <v>2.4799999999999995</v>
      </c>
      <c r="P247">
        <v>-8.52</v>
      </c>
      <c r="Q247">
        <v>1.4399999999999997</v>
      </c>
      <c r="R247">
        <v>3.2499999999999991</v>
      </c>
      <c r="S247">
        <v>1.5</v>
      </c>
      <c r="T247">
        <v>3.39</v>
      </c>
      <c r="U247">
        <v>2</v>
      </c>
      <c r="V247">
        <v>5</v>
      </c>
      <c r="W247">
        <v>8.76</v>
      </c>
      <c r="X247">
        <v>27</v>
      </c>
      <c r="Y247">
        <v>23.25</v>
      </c>
      <c r="Z247">
        <v>23</v>
      </c>
      <c r="AA247">
        <v>-4.2842351852465529E-2</v>
      </c>
      <c r="AB247">
        <v>26</v>
      </c>
      <c r="AC247">
        <v>-4.349826192346886E-2</v>
      </c>
      <c r="AD247">
        <v>23</v>
      </c>
      <c r="AE247">
        <v>2.8159999999999967</v>
      </c>
      <c r="AF247">
        <v>21</v>
      </c>
      <c r="AG247">
        <v>-4.4000000000000004</v>
      </c>
      <c r="AH247">
        <v>7.8800000000000008</v>
      </c>
      <c r="AI247">
        <v>2.3999999999999995</v>
      </c>
      <c r="AJ247">
        <v>1.36</v>
      </c>
      <c r="AK247">
        <v>7.0799999999999956</v>
      </c>
      <c r="AL247">
        <v>22.6</v>
      </c>
      <c r="AM247">
        <v>1.4</v>
      </c>
      <c r="AN247">
        <v>2.4</v>
      </c>
      <c r="AO247">
        <v>-19.32</v>
      </c>
      <c r="AP247">
        <v>27</v>
      </c>
      <c r="AQ247">
        <v>-5.5471999999999992</v>
      </c>
      <c r="AR247">
        <v>-1.2034399999999998</v>
      </c>
      <c r="AS247">
        <v>21.200000000000003</v>
      </c>
      <c r="AT247">
        <v>5.5471999999999992</v>
      </c>
      <c r="AU247">
        <v>0.61284999999999967</v>
      </c>
      <c r="AV247">
        <v>-2.9069750000000005</v>
      </c>
      <c r="AW247">
        <v>-4.1237750000000011</v>
      </c>
      <c r="AX247" t="s">
        <v>291</v>
      </c>
      <c r="AY247">
        <v>19</v>
      </c>
      <c r="AZ247">
        <v>-2.3407999999999984</v>
      </c>
      <c r="BA247">
        <v>-1.1395999999999993</v>
      </c>
      <c r="BB247">
        <v>7.0400000000000018</v>
      </c>
      <c r="BC247">
        <v>-0.19999999999999979</v>
      </c>
      <c r="BD247">
        <v>-10.641000000000002</v>
      </c>
      <c r="BE247">
        <v>-45.672800000000002</v>
      </c>
      <c r="BF247">
        <v>-3.6500000000000004</v>
      </c>
      <c r="BG247">
        <v>7</v>
      </c>
      <c r="BH247">
        <v>7</v>
      </c>
      <c r="BI247">
        <v>-4.5200000000000005</v>
      </c>
      <c r="BJ247">
        <v>15</v>
      </c>
      <c r="BK247">
        <v>15.75</v>
      </c>
      <c r="BL247">
        <v>7</v>
      </c>
      <c r="BM247">
        <v>2.9796157057883299E-2</v>
      </c>
      <c r="BN247">
        <v>7</v>
      </c>
      <c r="BO247">
        <v>1.0617288655289797E-4</v>
      </c>
      <c r="BP247">
        <v>28</v>
      </c>
      <c r="BQ247">
        <v>6.5279999999999969</v>
      </c>
      <c r="BR247">
        <v>21</v>
      </c>
      <c r="BS247">
        <v>0.44000000000000022</v>
      </c>
      <c r="BT247">
        <v>-3.2800000000000038</v>
      </c>
      <c r="BU247">
        <v>-1.9199999999999995</v>
      </c>
      <c r="BV247">
        <v>-0.91999999999999993</v>
      </c>
      <c r="BW247">
        <v>-35.879999999999995</v>
      </c>
      <c r="BX247">
        <v>-47.92</v>
      </c>
      <c r="BY247">
        <v>4.24</v>
      </c>
      <c r="BZ247">
        <v>-0.64000000000000012</v>
      </c>
      <c r="CA247">
        <v>8.4400000000000013</v>
      </c>
      <c r="CB247">
        <v>21</v>
      </c>
      <c r="CC247">
        <v>-1.2011999999999992</v>
      </c>
      <c r="CD247">
        <v>-2.0265599999999999</v>
      </c>
      <c r="CE247">
        <v>-52.160000000000004</v>
      </c>
      <c r="CF247">
        <v>-1.690175</v>
      </c>
    </row>
    <row r="248" spans="1:84" x14ac:dyDescent="0.2">
      <c r="A248" s="39">
        <v>43793</v>
      </c>
      <c r="B248" s="22" t="s">
        <v>242</v>
      </c>
      <c r="C248" s="41" t="s">
        <v>307</v>
      </c>
      <c r="D248" s="22" t="s">
        <v>301</v>
      </c>
      <c r="E248">
        <v>29.1</v>
      </c>
      <c r="F248">
        <v>8.3000000000000007</v>
      </c>
      <c r="G248">
        <v>5.8</v>
      </c>
      <c r="H248">
        <v>24.1</v>
      </c>
      <c r="I248">
        <v>-10</v>
      </c>
      <c r="J248">
        <v>46</v>
      </c>
      <c r="L248" s="1" t="s">
        <v>307</v>
      </c>
      <c r="M248">
        <v>11</v>
      </c>
      <c r="N248">
        <v>3.0920000000000019</v>
      </c>
      <c r="O248">
        <v>9.7279999999999998</v>
      </c>
      <c r="P248">
        <v>20.880000000000003</v>
      </c>
      <c r="Q248">
        <v>4.84</v>
      </c>
      <c r="R248">
        <v>0.71600000000000152</v>
      </c>
      <c r="S248">
        <v>-0.51999999999999247</v>
      </c>
      <c r="T248">
        <v>-0.96000000000000008</v>
      </c>
      <c r="U248">
        <v>4</v>
      </c>
      <c r="V248">
        <v>7</v>
      </c>
      <c r="W248">
        <v>-0.96000000000000019</v>
      </c>
      <c r="X248">
        <v>32</v>
      </c>
      <c r="Y248">
        <v>29.5</v>
      </c>
      <c r="Z248">
        <v>30</v>
      </c>
      <c r="AA248">
        <v>-5.6249299717306481E-2</v>
      </c>
      <c r="AB248">
        <v>28</v>
      </c>
      <c r="AC248">
        <v>-1.9710926131177375E-2</v>
      </c>
      <c r="AD248">
        <v>31</v>
      </c>
      <c r="AE248">
        <v>15.455999999999998</v>
      </c>
      <c r="AF248">
        <v>29</v>
      </c>
      <c r="AG248">
        <v>-1.56</v>
      </c>
      <c r="AH248">
        <v>2.2000000000000002</v>
      </c>
      <c r="AI248">
        <v>2.4799999999999991</v>
      </c>
      <c r="AJ248">
        <v>0.11999999999999993</v>
      </c>
      <c r="AK248">
        <v>38.280000000000008</v>
      </c>
      <c r="AL248">
        <v>23.600000000000005</v>
      </c>
      <c r="AM248">
        <v>22.4</v>
      </c>
      <c r="AN248">
        <v>-3.4</v>
      </c>
      <c r="AO248">
        <v>-4.32</v>
      </c>
      <c r="AP248">
        <v>28</v>
      </c>
      <c r="AQ248">
        <v>-6.6359999999999983</v>
      </c>
      <c r="AR248">
        <v>-4.1023999999999994</v>
      </c>
      <c r="AS248">
        <v>1.2000000000000064</v>
      </c>
      <c r="AT248">
        <v>6.6359999999999975</v>
      </c>
      <c r="AU248">
        <v>1.9120000000000006</v>
      </c>
      <c r="AV248">
        <v>0.14551250000000024</v>
      </c>
      <c r="AW248">
        <v>-0.15247499999999986</v>
      </c>
      <c r="AX248" t="s">
        <v>301</v>
      </c>
      <c r="AY248">
        <v>14</v>
      </c>
      <c r="AZ248">
        <v>-2.3159999999999998</v>
      </c>
      <c r="BA248">
        <v>4.9400000000000004</v>
      </c>
      <c r="BB248">
        <v>17.96</v>
      </c>
      <c r="BC248">
        <v>-1.76</v>
      </c>
      <c r="BD248">
        <v>0.88400000000000256</v>
      </c>
      <c r="BE248">
        <v>17.36</v>
      </c>
      <c r="BF248">
        <v>-0.72000000000000042</v>
      </c>
      <c r="BG248">
        <v>10</v>
      </c>
      <c r="BH248">
        <v>11.5</v>
      </c>
      <c r="BI248">
        <v>4.3600000000000003</v>
      </c>
      <c r="BJ248">
        <v>18</v>
      </c>
      <c r="BK248">
        <v>16.25</v>
      </c>
      <c r="BL248">
        <v>18</v>
      </c>
      <c r="BM248">
        <v>-3.5518719973755261E-2</v>
      </c>
      <c r="BN248">
        <v>16</v>
      </c>
      <c r="BO248">
        <v>6.4750453779864135E-3</v>
      </c>
      <c r="BP248">
        <v>8</v>
      </c>
      <c r="BQ248">
        <v>-0.38800000000000096</v>
      </c>
      <c r="BR248">
        <v>23</v>
      </c>
      <c r="BS248">
        <v>-1.5199999999999998</v>
      </c>
      <c r="BT248">
        <v>-1.6800000000000026</v>
      </c>
      <c r="BU248">
        <v>5.7200000000000006</v>
      </c>
      <c r="BV248">
        <v>-7.9999999999999988E-2</v>
      </c>
      <c r="BW248">
        <v>21.919999999999995</v>
      </c>
      <c r="BX248">
        <v>-5.3999999999999941</v>
      </c>
      <c r="BY248">
        <v>26.8</v>
      </c>
      <c r="BZ248">
        <v>2.08</v>
      </c>
      <c r="CA248">
        <v>-1.5599999999999998</v>
      </c>
      <c r="CB248">
        <v>29</v>
      </c>
      <c r="CC248">
        <v>-7.2560000000000002</v>
      </c>
      <c r="CD248">
        <v>-2.7563999999999997</v>
      </c>
      <c r="CE248">
        <v>-32.199999999999996</v>
      </c>
      <c r="CF248">
        <v>0.44350000000000034</v>
      </c>
    </row>
    <row r="249" spans="1:84" x14ac:dyDescent="0.2">
      <c r="A249" s="39">
        <v>43793</v>
      </c>
      <c r="B249" s="22" t="s">
        <v>242</v>
      </c>
      <c r="C249" s="41" t="s">
        <v>296</v>
      </c>
      <c r="D249" s="22" t="s">
        <v>265</v>
      </c>
      <c r="E249">
        <v>8.6999999999999993</v>
      </c>
      <c r="F249">
        <v>12.3</v>
      </c>
      <c r="G249">
        <v>10.7</v>
      </c>
      <c r="H249">
        <v>14.7</v>
      </c>
      <c r="I249">
        <v>6</v>
      </c>
      <c r="J249">
        <v>41</v>
      </c>
      <c r="L249" s="1" t="s">
        <v>296</v>
      </c>
      <c r="M249">
        <v>15</v>
      </c>
      <c r="N249">
        <v>1.7352000000000001</v>
      </c>
      <c r="O249">
        <v>-4.24</v>
      </c>
      <c r="P249">
        <v>-25.512</v>
      </c>
      <c r="Q249">
        <v>-1.2800000000000002</v>
      </c>
      <c r="R249">
        <v>4.7679999999999998</v>
      </c>
      <c r="S249">
        <v>-8.0799999999999965</v>
      </c>
      <c r="T249">
        <v>3.4000000000000004</v>
      </c>
      <c r="U249">
        <v>28</v>
      </c>
      <c r="V249">
        <v>27.5</v>
      </c>
      <c r="W249">
        <v>-1.08</v>
      </c>
      <c r="X249">
        <v>2</v>
      </c>
      <c r="Y249">
        <v>7.5</v>
      </c>
      <c r="Z249">
        <v>3</v>
      </c>
      <c r="AA249">
        <v>5.306971353389224E-2</v>
      </c>
      <c r="AB249">
        <v>16</v>
      </c>
      <c r="AC249">
        <v>3.1522032332894627E-2</v>
      </c>
      <c r="AD249">
        <v>10</v>
      </c>
      <c r="AE249">
        <v>1.1519999999999953</v>
      </c>
      <c r="AF249">
        <v>1</v>
      </c>
      <c r="AG249">
        <v>5.84</v>
      </c>
      <c r="AH249">
        <v>0.7999999999999986</v>
      </c>
      <c r="AI249">
        <v>-1.4800000000000004</v>
      </c>
      <c r="AJ249">
        <v>0.48000000000000009</v>
      </c>
      <c r="AK249">
        <v>-19.159999999999989</v>
      </c>
      <c r="AL249">
        <v>-10.719999999999999</v>
      </c>
      <c r="AM249">
        <v>-28.759999999999998</v>
      </c>
      <c r="AN249">
        <v>6</v>
      </c>
      <c r="AO249">
        <v>14.319999999999999</v>
      </c>
      <c r="AP249">
        <v>6</v>
      </c>
      <c r="AQ249">
        <v>5.9752000000000001</v>
      </c>
      <c r="AR249">
        <v>3.4206400000000001</v>
      </c>
      <c r="AS249">
        <v>18.04</v>
      </c>
      <c r="AT249">
        <v>-5.9752000000000001</v>
      </c>
      <c r="AU249">
        <v>-1.7099999999999949E-2</v>
      </c>
      <c r="AV249">
        <v>-0.59687500000000004</v>
      </c>
      <c r="AW249">
        <v>0.30087499999999995</v>
      </c>
      <c r="AX249" t="s">
        <v>265</v>
      </c>
      <c r="AY249">
        <v>29</v>
      </c>
      <c r="AZ249">
        <v>-4.3360000000000003</v>
      </c>
      <c r="BA249">
        <v>-0.70399999999999952</v>
      </c>
      <c r="BB249">
        <v>4.0000000000001812E-2</v>
      </c>
      <c r="BC249">
        <v>-0.48000000000000004</v>
      </c>
      <c r="BD249">
        <v>-6.3569999999999993</v>
      </c>
      <c r="BE249">
        <v>-28.472799999999996</v>
      </c>
      <c r="BF249">
        <v>-0.37000000000000011</v>
      </c>
      <c r="BG249">
        <v>15</v>
      </c>
      <c r="BH249">
        <v>13</v>
      </c>
      <c r="BI249">
        <v>0.6399999999999999</v>
      </c>
      <c r="BJ249">
        <v>32</v>
      </c>
      <c r="BK249">
        <v>29.25</v>
      </c>
      <c r="BL249">
        <v>28</v>
      </c>
      <c r="BM249">
        <v>-3.9958220531938649E-2</v>
      </c>
      <c r="BN249">
        <v>29</v>
      </c>
      <c r="BO249">
        <v>-3.4471054340991965E-2</v>
      </c>
      <c r="BP249">
        <v>29</v>
      </c>
      <c r="BQ249">
        <v>7.5160000000000027</v>
      </c>
      <c r="BR249">
        <v>31</v>
      </c>
      <c r="BS249">
        <v>-4.4799999999999995</v>
      </c>
      <c r="BT249">
        <v>-2.9200000000000017</v>
      </c>
      <c r="BU249">
        <v>-2.16</v>
      </c>
      <c r="BV249">
        <v>-1.2</v>
      </c>
      <c r="BW249">
        <v>-53.399999999999991</v>
      </c>
      <c r="BX249">
        <v>-48.400000000000006</v>
      </c>
      <c r="BY249">
        <v>-0.31999999999999884</v>
      </c>
      <c r="BZ249">
        <v>0.15999999999999978</v>
      </c>
      <c r="CA249">
        <v>-4.84</v>
      </c>
      <c r="CB249">
        <v>24</v>
      </c>
      <c r="CC249">
        <v>-3.6320000000000006</v>
      </c>
      <c r="CD249">
        <v>-1.7866</v>
      </c>
      <c r="CE249">
        <v>-48.080000000000005</v>
      </c>
      <c r="CF249">
        <v>-1.4946250000000001</v>
      </c>
    </row>
    <row r="250" spans="1:84" x14ac:dyDescent="0.2">
      <c r="A250" s="39">
        <v>43793</v>
      </c>
      <c r="B250" s="22" t="s">
        <v>242</v>
      </c>
      <c r="C250" s="41" t="s">
        <v>298</v>
      </c>
      <c r="D250" s="22" t="s">
        <v>303</v>
      </c>
      <c r="E250">
        <v>3.8</v>
      </c>
      <c r="F250">
        <v>18.600000000000001</v>
      </c>
      <c r="G250">
        <v>4.2</v>
      </c>
      <c r="H250">
        <v>10.3</v>
      </c>
      <c r="I250">
        <v>3.5</v>
      </c>
      <c r="J250">
        <v>45</v>
      </c>
      <c r="L250" s="1" t="s">
        <v>298</v>
      </c>
      <c r="M250">
        <v>14</v>
      </c>
      <c r="N250">
        <v>1.9135999999999993</v>
      </c>
      <c r="O250">
        <v>-6.1959999999999997</v>
      </c>
      <c r="P250">
        <v>-42.080000000000005</v>
      </c>
      <c r="Q250">
        <v>0.44000000000000017</v>
      </c>
      <c r="R250">
        <v>1.8630000000000018</v>
      </c>
      <c r="S250">
        <v>-5.9499999999999993</v>
      </c>
      <c r="T250">
        <v>-2.6900000000000004</v>
      </c>
      <c r="U250">
        <v>14</v>
      </c>
      <c r="V250">
        <v>13.5</v>
      </c>
      <c r="W250">
        <v>1.2</v>
      </c>
      <c r="X250">
        <v>8</v>
      </c>
      <c r="Y250">
        <v>12</v>
      </c>
      <c r="Z250">
        <v>2</v>
      </c>
      <c r="AA250">
        <v>8.7253799456939146E-2</v>
      </c>
      <c r="AB250">
        <v>17</v>
      </c>
      <c r="AC250">
        <v>1.3104699948087559E-2</v>
      </c>
      <c r="AD250">
        <v>12</v>
      </c>
      <c r="AE250">
        <v>-1.6319999999999992</v>
      </c>
      <c r="AF250">
        <v>17</v>
      </c>
      <c r="AG250">
        <v>-1</v>
      </c>
      <c r="AH250">
        <v>-3.160000000000001</v>
      </c>
      <c r="AI250">
        <v>-0.4799999999999997</v>
      </c>
      <c r="AJ250">
        <v>1.9999999999999996</v>
      </c>
      <c r="AK250">
        <v>-28.680000000000007</v>
      </c>
      <c r="AL250">
        <v>22.040000000000003</v>
      </c>
      <c r="AM250">
        <v>-39.320000000000007</v>
      </c>
      <c r="AN250">
        <v>-0.24000000000000005</v>
      </c>
      <c r="AO250">
        <v>-11.16</v>
      </c>
      <c r="AP250">
        <v>3</v>
      </c>
      <c r="AQ250">
        <v>8.1096000000000004</v>
      </c>
      <c r="AR250">
        <v>3.8533200000000001</v>
      </c>
      <c r="AS250">
        <v>61.360000000000014</v>
      </c>
      <c r="AT250">
        <v>-8.1095999999999986</v>
      </c>
      <c r="AU250">
        <v>-0.42242499999999994</v>
      </c>
      <c r="AV250">
        <v>0.91625000000000012</v>
      </c>
      <c r="AW250">
        <v>1.1394000000000002</v>
      </c>
      <c r="AX250" t="s">
        <v>303</v>
      </c>
      <c r="AY250">
        <v>13</v>
      </c>
      <c r="AZ250">
        <v>2.988799999999999</v>
      </c>
      <c r="BA250">
        <v>3.3039999999999998</v>
      </c>
      <c r="BB250">
        <v>6.2799999999999967</v>
      </c>
      <c r="BC250">
        <v>0.24000000000000005</v>
      </c>
      <c r="BD250">
        <v>-0.42799999999999816</v>
      </c>
      <c r="BE250">
        <v>-14.36</v>
      </c>
      <c r="BF250">
        <v>1.2400000000000002</v>
      </c>
      <c r="BG250">
        <v>27</v>
      </c>
      <c r="BH250">
        <v>25.5</v>
      </c>
      <c r="BI250">
        <v>0.47999999999999987</v>
      </c>
      <c r="BJ250">
        <v>10</v>
      </c>
      <c r="BK250">
        <v>13.25</v>
      </c>
      <c r="BL250">
        <v>12</v>
      </c>
      <c r="BM250">
        <v>-2.0831598760193314E-2</v>
      </c>
      <c r="BN250">
        <v>11</v>
      </c>
      <c r="BO250">
        <v>4.8738232284445239E-3</v>
      </c>
      <c r="BP250">
        <v>12</v>
      </c>
      <c r="BQ250">
        <v>-1.111999999999999</v>
      </c>
      <c r="BR250">
        <v>18</v>
      </c>
      <c r="BS250">
        <v>-0.83999999999999986</v>
      </c>
      <c r="BT250">
        <v>1.2399999999999991</v>
      </c>
      <c r="BU250">
        <v>2.7999999999999994</v>
      </c>
      <c r="BV250">
        <v>0.48</v>
      </c>
      <c r="BW250">
        <v>26.360000000000014</v>
      </c>
      <c r="BX250">
        <v>5.7199999999999935</v>
      </c>
      <c r="BY250">
        <v>10.040000000000001</v>
      </c>
      <c r="BZ250">
        <v>4.1599999999999993</v>
      </c>
      <c r="CA250">
        <v>6.44</v>
      </c>
      <c r="CB250">
        <v>18</v>
      </c>
      <c r="CC250">
        <v>-0.31520000000000081</v>
      </c>
      <c r="CD250">
        <v>-1.1398399999999997</v>
      </c>
      <c r="CE250">
        <v>-4.3200000000000074</v>
      </c>
      <c r="CF250">
        <v>0.69310000000000005</v>
      </c>
    </row>
    <row r="251" spans="1:84" x14ac:dyDescent="0.2">
      <c r="A251" s="39">
        <v>43793</v>
      </c>
      <c r="B251" s="22" t="s">
        <v>242</v>
      </c>
      <c r="C251" s="41" t="s">
        <v>294</v>
      </c>
      <c r="D251" s="22" t="s">
        <v>308</v>
      </c>
      <c r="H251">
        <f>27.1+9.2</f>
        <v>36.299999999999997</v>
      </c>
      <c r="I251">
        <v>1</v>
      </c>
      <c r="J251">
        <v>45.5</v>
      </c>
      <c r="L251" s="1" t="s">
        <v>294</v>
      </c>
      <c r="M251">
        <v>19</v>
      </c>
      <c r="N251">
        <v>-1.7231999999999998</v>
      </c>
      <c r="O251">
        <v>0.24800000000000133</v>
      </c>
      <c r="P251">
        <v>12.680000000000001</v>
      </c>
      <c r="Q251">
        <v>-0.96</v>
      </c>
      <c r="R251">
        <v>5.1879999999999988</v>
      </c>
      <c r="S251">
        <v>14.161200000000001</v>
      </c>
      <c r="T251">
        <v>3.0400000000000009</v>
      </c>
      <c r="U251">
        <v>23</v>
      </c>
      <c r="V251">
        <v>22.5</v>
      </c>
      <c r="W251">
        <v>0.36</v>
      </c>
      <c r="X251">
        <v>6</v>
      </c>
      <c r="Y251">
        <v>10.25</v>
      </c>
      <c r="Z251">
        <v>16</v>
      </c>
      <c r="AA251">
        <v>2.5126511068092217E-2</v>
      </c>
      <c r="AB251">
        <v>4</v>
      </c>
      <c r="AC251">
        <v>2.1799801166937867E-2</v>
      </c>
      <c r="AD251">
        <v>6</v>
      </c>
      <c r="AE251">
        <v>-1.1079999999999983</v>
      </c>
      <c r="AF251">
        <v>15</v>
      </c>
      <c r="AG251">
        <v>1.1999999999999997</v>
      </c>
      <c r="AH251">
        <v>5.4000000000000012</v>
      </c>
      <c r="AI251">
        <v>-0.4799999999999997</v>
      </c>
      <c r="AJ251">
        <v>-1.4</v>
      </c>
      <c r="AK251">
        <v>18.880000000000006</v>
      </c>
      <c r="AL251">
        <v>1.5199999999999989</v>
      </c>
      <c r="AM251">
        <v>16.200000000000003</v>
      </c>
      <c r="AN251">
        <v>-0.76</v>
      </c>
      <c r="AO251">
        <v>1.9199999999999995</v>
      </c>
      <c r="AP251">
        <v>19</v>
      </c>
      <c r="AQ251">
        <v>-1.9712000000000012</v>
      </c>
      <c r="AR251">
        <v>0.56895999999999936</v>
      </c>
      <c r="AS251">
        <v>-14.680000000000003</v>
      </c>
      <c r="AT251">
        <v>1.9712000000000012</v>
      </c>
      <c r="AU251">
        <v>0.28410000000000019</v>
      </c>
      <c r="AV251">
        <v>-1.2387937500000001</v>
      </c>
      <c r="AW251">
        <v>-2.2325000000000004</v>
      </c>
      <c r="AX251" t="s">
        <v>308</v>
      </c>
      <c r="AY251">
        <v>17</v>
      </c>
      <c r="AZ251">
        <v>-1.2832000000000003</v>
      </c>
      <c r="BA251">
        <v>-3.4639999999999991</v>
      </c>
      <c r="BB251">
        <v>-12.799999999999997</v>
      </c>
      <c r="BC251">
        <v>-0.12000000000000011</v>
      </c>
      <c r="BD251">
        <v>2.1864999999999997</v>
      </c>
      <c r="BE251">
        <v>9.6911999999999985</v>
      </c>
      <c r="BF251">
        <v>3.7875000000000001</v>
      </c>
      <c r="BG251">
        <v>12</v>
      </c>
      <c r="BH251">
        <v>12.5</v>
      </c>
      <c r="BI251">
        <v>0.3599999999999996</v>
      </c>
      <c r="BJ251">
        <v>21</v>
      </c>
      <c r="BK251">
        <v>17.25</v>
      </c>
      <c r="BL251">
        <v>30</v>
      </c>
      <c r="BM251">
        <v>-5.5260525059291778E-2</v>
      </c>
      <c r="BN251">
        <v>28</v>
      </c>
      <c r="BO251">
        <v>-9.7358714629503067E-3</v>
      </c>
      <c r="BP251">
        <v>4</v>
      </c>
      <c r="BQ251">
        <v>-11.404000000000003</v>
      </c>
      <c r="BR251">
        <v>7</v>
      </c>
      <c r="BS251">
        <v>2.8800000000000003</v>
      </c>
      <c r="BT251">
        <v>3.6</v>
      </c>
      <c r="BU251">
        <v>-5.56</v>
      </c>
      <c r="BV251">
        <v>1.6800000000000002</v>
      </c>
      <c r="BW251">
        <v>9.4</v>
      </c>
      <c r="BX251">
        <v>24.159999999999997</v>
      </c>
      <c r="BY251">
        <v>-15.199999999999998</v>
      </c>
      <c r="BZ251">
        <v>-0.95999999999999974</v>
      </c>
      <c r="CA251">
        <v>1.4000000000000021</v>
      </c>
      <c r="CB251">
        <v>11</v>
      </c>
      <c r="CC251">
        <v>2.1807999999999987</v>
      </c>
      <c r="CD251">
        <v>1.9126599999999994</v>
      </c>
      <c r="CE251">
        <v>39.359999999999992</v>
      </c>
      <c r="CF251">
        <v>-0.24508749999999996</v>
      </c>
    </row>
    <row r="252" spans="1:84" x14ac:dyDescent="0.2">
      <c r="A252" s="39">
        <v>43793</v>
      </c>
      <c r="B252" s="22" t="s">
        <v>242</v>
      </c>
      <c r="C252" s="41" t="s">
        <v>309</v>
      </c>
      <c r="D252" s="22" t="s">
        <v>272</v>
      </c>
      <c r="E252">
        <v>18.8</v>
      </c>
      <c r="F252">
        <v>5.9</v>
      </c>
      <c r="G252">
        <v>4.5</v>
      </c>
      <c r="H252">
        <v>1.1000000000000001</v>
      </c>
      <c r="I252" s="8">
        <v>-5.5</v>
      </c>
      <c r="J252" s="8">
        <v>37.5</v>
      </c>
      <c r="L252" s="1" t="s">
        <v>309</v>
      </c>
      <c r="M252">
        <v>30</v>
      </c>
      <c r="N252">
        <v>-6.2511999999999999</v>
      </c>
      <c r="O252">
        <v>2.620000000000001</v>
      </c>
      <c r="P252">
        <v>-2.2800000000000002</v>
      </c>
      <c r="Q252">
        <v>3.0800000000000005</v>
      </c>
      <c r="R252">
        <v>-7.0579999999999989</v>
      </c>
      <c r="S252">
        <v>-14.77</v>
      </c>
      <c r="T252">
        <v>-2.3000000000000003</v>
      </c>
      <c r="U252">
        <v>3</v>
      </c>
      <c r="V252">
        <v>5.5</v>
      </c>
      <c r="W252">
        <v>4.68</v>
      </c>
      <c r="X252">
        <v>12</v>
      </c>
      <c r="Y252">
        <v>13.25</v>
      </c>
      <c r="Z252">
        <v>9</v>
      </c>
      <c r="AA252">
        <v>4.3078346523261521E-2</v>
      </c>
      <c r="AB252">
        <v>20</v>
      </c>
      <c r="AC252">
        <v>6.6595496116580236E-3</v>
      </c>
      <c r="AD252">
        <v>19</v>
      </c>
      <c r="AE252">
        <v>-0.44000000000000056</v>
      </c>
      <c r="AF252">
        <v>5</v>
      </c>
      <c r="AG252">
        <v>3.84</v>
      </c>
      <c r="AH252">
        <v>1.7200000000000031</v>
      </c>
      <c r="AI252">
        <v>-4.08</v>
      </c>
      <c r="AJ252">
        <v>0.95999999999999974</v>
      </c>
      <c r="AK252">
        <v>-33.920000000000016</v>
      </c>
      <c r="AL252">
        <v>-24.240000000000002</v>
      </c>
      <c r="AM252">
        <v>4.7199999999999989</v>
      </c>
      <c r="AN252">
        <v>-1.8800000000000001</v>
      </c>
      <c r="AO252">
        <v>-12.52</v>
      </c>
      <c r="AP252">
        <v>29</v>
      </c>
      <c r="AQ252">
        <v>-8.8712</v>
      </c>
      <c r="AR252">
        <v>-3.9718400000000003</v>
      </c>
      <c r="AS252">
        <v>-28.96</v>
      </c>
      <c r="AT252">
        <v>8.8712000000000018</v>
      </c>
      <c r="AU252">
        <v>-1.2061499999999998</v>
      </c>
      <c r="AV252">
        <v>-0.26821249999999991</v>
      </c>
      <c r="AW252">
        <v>-1.4892000000000001</v>
      </c>
      <c r="AX252" t="s">
        <v>272</v>
      </c>
      <c r="AY252">
        <v>10</v>
      </c>
      <c r="AZ252">
        <v>3.8152000000000017</v>
      </c>
      <c r="BA252">
        <v>-4.2080000000000002</v>
      </c>
      <c r="BB252">
        <v>10.800000000000002</v>
      </c>
      <c r="BC252">
        <v>-2.5999999999999996</v>
      </c>
      <c r="BD252">
        <v>7.5350000000000001</v>
      </c>
      <c r="BE252">
        <v>53.540000000000006</v>
      </c>
      <c r="BF252">
        <v>-2.0300000000000002</v>
      </c>
      <c r="BG252">
        <v>20</v>
      </c>
      <c r="BH252">
        <v>21</v>
      </c>
      <c r="BI252">
        <v>3.1999999999999997</v>
      </c>
      <c r="BJ252">
        <v>22</v>
      </c>
      <c r="BK252">
        <v>18.25</v>
      </c>
      <c r="BL252">
        <v>13</v>
      </c>
      <c r="BM252">
        <v>2.6341911174199938E-2</v>
      </c>
      <c r="BN252">
        <v>15</v>
      </c>
      <c r="BO252">
        <v>1.4162539802192661E-3</v>
      </c>
      <c r="BP252">
        <v>19</v>
      </c>
      <c r="BQ252">
        <v>-4.1359999999999983</v>
      </c>
      <c r="BR252">
        <v>26</v>
      </c>
      <c r="BS252">
        <v>-3.5200000000000005</v>
      </c>
      <c r="BT252">
        <v>-0.27999999999999831</v>
      </c>
      <c r="BU252">
        <v>2.2000000000000002</v>
      </c>
      <c r="BV252">
        <v>1.04</v>
      </c>
      <c r="BW252">
        <v>53.96</v>
      </c>
      <c r="BX252">
        <v>32.520000000000003</v>
      </c>
      <c r="BY252">
        <v>15.400000000000002</v>
      </c>
      <c r="BZ252">
        <v>4.4399999999999995</v>
      </c>
      <c r="CA252">
        <v>1.6000000000000014</v>
      </c>
      <c r="CB252">
        <v>2</v>
      </c>
      <c r="CC252">
        <v>8.023200000000001</v>
      </c>
      <c r="CD252">
        <v>4.3740400000000008</v>
      </c>
      <c r="CE252">
        <v>17.12</v>
      </c>
      <c r="CF252">
        <v>0.95277500000000026</v>
      </c>
    </row>
    <row r="253" spans="1:84" x14ac:dyDescent="0.2">
      <c r="A253" s="39">
        <v>43793</v>
      </c>
      <c r="B253" s="22" t="s">
        <v>242</v>
      </c>
      <c r="C253" s="40" t="s">
        <v>256</v>
      </c>
      <c r="D253" s="22" t="s">
        <v>300</v>
      </c>
      <c r="E253">
        <v>2.5</v>
      </c>
      <c r="F253">
        <v>13</v>
      </c>
      <c r="G253">
        <v>4.7</v>
      </c>
      <c r="H253">
        <v>27.9</v>
      </c>
      <c r="I253">
        <v>-3</v>
      </c>
      <c r="J253">
        <v>48</v>
      </c>
      <c r="L253" s="1" t="s">
        <v>256</v>
      </c>
      <c r="M253">
        <v>18</v>
      </c>
      <c r="N253">
        <v>-0.43199999999999933</v>
      </c>
      <c r="O253">
        <v>0.21599999999999886</v>
      </c>
      <c r="P253">
        <v>-6.7300000000000022</v>
      </c>
      <c r="Q253">
        <v>-0.39000000000000057</v>
      </c>
      <c r="R253">
        <v>-1.3400000000000016</v>
      </c>
      <c r="S253">
        <v>-28.502799999999997</v>
      </c>
      <c r="T253">
        <v>-3.0900000000000003</v>
      </c>
      <c r="U253">
        <v>17</v>
      </c>
      <c r="V253">
        <v>16</v>
      </c>
      <c r="W253">
        <v>3.9200000000000004</v>
      </c>
      <c r="X253">
        <v>21</v>
      </c>
      <c r="Y253">
        <v>17.75</v>
      </c>
      <c r="Z253">
        <v>19</v>
      </c>
      <c r="AA253">
        <v>-4.4706725892800555E-3</v>
      </c>
      <c r="AB253">
        <v>3</v>
      </c>
      <c r="AC253">
        <v>1.9463622687077825E-2</v>
      </c>
      <c r="AD253">
        <v>29</v>
      </c>
      <c r="AE253">
        <v>2.4120000000000035</v>
      </c>
      <c r="AF253">
        <v>20</v>
      </c>
      <c r="AG253">
        <v>-0.56000000000000028</v>
      </c>
      <c r="AH253">
        <v>-0.96000000000000085</v>
      </c>
      <c r="AI253">
        <v>6.4799999999999995</v>
      </c>
      <c r="AJ253">
        <v>0.56000000000000005</v>
      </c>
      <c r="AK253">
        <v>-18</v>
      </c>
      <c r="AL253">
        <v>-19.599999999999987</v>
      </c>
      <c r="AM253">
        <v>9.9200000000000017</v>
      </c>
      <c r="AN253">
        <v>4.84</v>
      </c>
      <c r="AO253">
        <v>-13.16</v>
      </c>
      <c r="AP253">
        <v>16</v>
      </c>
      <c r="AQ253">
        <v>-0.64799999999999813</v>
      </c>
      <c r="AR253">
        <v>-0.46239999999999948</v>
      </c>
      <c r="AS253">
        <v>-29.519999999999989</v>
      </c>
      <c r="AT253">
        <v>0.64799999999999813</v>
      </c>
      <c r="AU253">
        <v>-3.9500000000000257E-2</v>
      </c>
      <c r="AV253">
        <v>-0.44383749999999977</v>
      </c>
      <c r="AW253">
        <v>-2.0824500000000001</v>
      </c>
      <c r="AX253" t="s">
        <v>300</v>
      </c>
      <c r="AY253">
        <v>21</v>
      </c>
      <c r="AZ253">
        <v>0.33920000000000028</v>
      </c>
      <c r="BA253">
        <v>-0.78799999999999837</v>
      </c>
      <c r="BB253">
        <v>18.760000000000002</v>
      </c>
      <c r="BC253">
        <v>-1.36</v>
      </c>
      <c r="BD253">
        <v>8.7270000000000039</v>
      </c>
      <c r="BE253">
        <v>49.42</v>
      </c>
      <c r="BF253">
        <v>-1.4700000000000011</v>
      </c>
      <c r="BG253">
        <v>6</v>
      </c>
      <c r="BH253">
        <v>5</v>
      </c>
      <c r="BI253">
        <v>-3.72</v>
      </c>
      <c r="BJ253">
        <v>29</v>
      </c>
      <c r="BK253">
        <v>24</v>
      </c>
      <c r="BL253">
        <v>17</v>
      </c>
      <c r="BM253">
        <v>-9.3242140906327937E-3</v>
      </c>
      <c r="BN253">
        <v>23</v>
      </c>
      <c r="BO253">
        <v>-6.3022757928228408E-3</v>
      </c>
      <c r="BP253">
        <v>27</v>
      </c>
      <c r="BQ253">
        <v>15.491999999999996</v>
      </c>
      <c r="BR253">
        <v>29</v>
      </c>
      <c r="BS253">
        <v>-3.84</v>
      </c>
      <c r="BT253">
        <v>-2.7999999999999985</v>
      </c>
      <c r="BU253">
        <v>2.2000000000000002</v>
      </c>
      <c r="BV253">
        <v>-1.2</v>
      </c>
      <c r="BW253">
        <v>41.760000000000005</v>
      </c>
      <c r="BX253">
        <v>23.080000000000002</v>
      </c>
      <c r="BY253">
        <v>24.880000000000003</v>
      </c>
      <c r="BZ253">
        <v>-4.9599999999999991</v>
      </c>
      <c r="CA253">
        <v>-1.24</v>
      </c>
      <c r="CB253">
        <v>15</v>
      </c>
      <c r="CC253">
        <v>1.1271999999999986</v>
      </c>
      <c r="CD253">
        <v>2.2072400000000001</v>
      </c>
      <c r="CE253">
        <v>-1.8000000000000007</v>
      </c>
      <c r="CF253">
        <v>1.1947750000000006</v>
      </c>
    </row>
    <row r="254" spans="1:84" x14ac:dyDescent="0.2">
      <c r="A254" s="39">
        <v>43793</v>
      </c>
      <c r="B254" s="22" t="s">
        <v>242</v>
      </c>
      <c r="C254" s="41" t="s">
        <v>308</v>
      </c>
      <c r="D254" s="22" t="s">
        <v>294</v>
      </c>
      <c r="E254">
        <v>4.8</v>
      </c>
      <c r="F254">
        <v>6.5</v>
      </c>
      <c r="G254">
        <v>10.3</v>
      </c>
      <c r="H254">
        <v>4.2</v>
      </c>
      <c r="I254">
        <v>-1</v>
      </c>
      <c r="J254">
        <v>45.5</v>
      </c>
      <c r="L254" s="1" t="s">
        <v>308</v>
      </c>
      <c r="M254">
        <v>9</v>
      </c>
      <c r="N254">
        <v>3.6295999999999999</v>
      </c>
      <c r="O254">
        <v>-9.2000000000000082E-2</v>
      </c>
      <c r="P254">
        <v>34.44</v>
      </c>
      <c r="Q254">
        <v>-2.6799999999999997</v>
      </c>
      <c r="R254">
        <v>7.2</v>
      </c>
      <c r="S254">
        <v>19.600000000000005</v>
      </c>
      <c r="T254">
        <v>0.76</v>
      </c>
      <c r="U254">
        <v>8</v>
      </c>
      <c r="V254">
        <v>8.5</v>
      </c>
      <c r="W254">
        <v>2.8800000000000003</v>
      </c>
      <c r="X254">
        <v>12</v>
      </c>
      <c r="Y254">
        <v>13.25</v>
      </c>
      <c r="Z254">
        <v>11</v>
      </c>
      <c r="AA254">
        <v>7.0645504554450039E-2</v>
      </c>
      <c r="AB254">
        <v>5</v>
      </c>
      <c r="AC254">
        <v>1.2576434122401553E-2</v>
      </c>
      <c r="AD254">
        <v>21</v>
      </c>
      <c r="AE254">
        <v>5.4839999999999973</v>
      </c>
      <c r="AF254">
        <v>16</v>
      </c>
      <c r="AG254">
        <v>0.3599999999999996</v>
      </c>
      <c r="AH254">
        <v>1.0000000000000013</v>
      </c>
      <c r="AI254">
        <v>4.4000000000000004</v>
      </c>
      <c r="AJ254">
        <v>0.20000000000000009</v>
      </c>
      <c r="AK254">
        <v>49.240000000000009</v>
      </c>
      <c r="AL254">
        <v>16.119999999999997</v>
      </c>
      <c r="AM254">
        <v>29.279999999999994</v>
      </c>
      <c r="AN254">
        <v>-1.7600000000000002</v>
      </c>
      <c r="AO254">
        <v>5.6</v>
      </c>
      <c r="AP254">
        <v>10</v>
      </c>
      <c r="AQ254">
        <v>3.7216</v>
      </c>
      <c r="AR254">
        <v>2.2119200000000001</v>
      </c>
      <c r="AS254">
        <v>-13.159999999999997</v>
      </c>
      <c r="AT254">
        <v>-3.7216</v>
      </c>
      <c r="AU254">
        <v>1.5271999999999997</v>
      </c>
      <c r="AV254">
        <v>-1.2387937500000001</v>
      </c>
      <c r="AW254">
        <v>-0.24508749999999996</v>
      </c>
      <c r="AX254" t="s">
        <v>294</v>
      </c>
      <c r="AY254">
        <v>30</v>
      </c>
      <c r="AZ254">
        <v>-5.4080000000000004</v>
      </c>
      <c r="BA254">
        <v>3.3279999999999994</v>
      </c>
      <c r="BB254">
        <v>-2</v>
      </c>
      <c r="BC254">
        <v>1.72</v>
      </c>
      <c r="BD254">
        <v>-14.26</v>
      </c>
      <c r="BE254">
        <v>-58.56</v>
      </c>
      <c r="BF254">
        <v>-7.3599999999999985</v>
      </c>
      <c r="BG254">
        <v>31</v>
      </c>
      <c r="BH254">
        <v>28.5</v>
      </c>
      <c r="BI254">
        <v>1.1999999999999997</v>
      </c>
      <c r="BJ254">
        <v>4</v>
      </c>
      <c r="BK254">
        <v>8.75</v>
      </c>
      <c r="BL254">
        <v>3</v>
      </c>
      <c r="BM254">
        <v>9.0966006250782164E-3</v>
      </c>
      <c r="BN254">
        <v>4</v>
      </c>
      <c r="BO254">
        <v>4.3996835817979113E-2</v>
      </c>
      <c r="BP254">
        <v>14</v>
      </c>
      <c r="BQ254">
        <v>1.8279999999999987</v>
      </c>
      <c r="BR254">
        <v>14</v>
      </c>
      <c r="BS254">
        <v>0.36</v>
      </c>
      <c r="BT254">
        <v>-6.7200000000000015</v>
      </c>
      <c r="BU254">
        <v>-2.16</v>
      </c>
      <c r="BV254">
        <v>-1</v>
      </c>
      <c r="BW254">
        <v>-47.91999999999998</v>
      </c>
      <c r="BX254">
        <v>-52.319999999999993</v>
      </c>
      <c r="BY254">
        <v>-1.7599999999999993</v>
      </c>
      <c r="BZ254">
        <v>2.56</v>
      </c>
      <c r="CA254">
        <v>3.6</v>
      </c>
      <c r="CB254">
        <v>31</v>
      </c>
      <c r="CC254">
        <v>-8.7359999999999989</v>
      </c>
      <c r="CD254">
        <v>-5.5975999999999999</v>
      </c>
      <c r="CE254">
        <v>-50.559999999999995</v>
      </c>
      <c r="CF254">
        <v>-2.2325000000000004</v>
      </c>
    </row>
    <row r="255" spans="1:84" x14ac:dyDescent="0.2">
      <c r="A255" s="39">
        <v>43793</v>
      </c>
      <c r="B255" s="22" t="s">
        <v>242</v>
      </c>
      <c r="C255" s="41" t="s">
        <v>284</v>
      </c>
      <c r="D255" s="22" t="s">
        <v>295</v>
      </c>
      <c r="E255">
        <v>9</v>
      </c>
      <c r="F255">
        <v>40.4</v>
      </c>
      <c r="G255">
        <v>5.4</v>
      </c>
      <c r="H255">
        <v>2</v>
      </c>
      <c r="I255">
        <v>3.5</v>
      </c>
      <c r="J255">
        <v>51.5</v>
      </c>
      <c r="K255" s="20" t="s">
        <v>109</v>
      </c>
      <c r="L255" s="1" t="s">
        <v>284</v>
      </c>
      <c r="M255">
        <v>10</v>
      </c>
      <c r="N255">
        <v>3.256800000000001</v>
      </c>
      <c r="O255">
        <v>-1.8990000000000002</v>
      </c>
      <c r="P255">
        <v>-12.120000000000001</v>
      </c>
      <c r="Q255">
        <v>-1.47</v>
      </c>
      <c r="R255">
        <v>5.4569999999999999</v>
      </c>
      <c r="S255">
        <v>40.297200000000004</v>
      </c>
      <c r="T255">
        <v>0.34000000000000008</v>
      </c>
      <c r="U255">
        <v>18</v>
      </c>
      <c r="V255">
        <v>17.5</v>
      </c>
      <c r="W255">
        <v>-2.0799999999999996</v>
      </c>
      <c r="X255">
        <v>14</v>
      </c>
      <c r="Y255">
        <v>14</v>
      </c>
      <c r="Z255">
        <v>29</v>
      </c>
      <c r="AA255">
        <v>-6.0806275305828536E-2</v>
      </c>
      <c r="AB255">
        <v>22</v>
      </c>
      <c r="AC255">
        <v>-1.3566257086646855E-2</v>
      </c>
      <c r="AD255">
        <v>1</v>
      </c>
      <c r="AE255">
        <v>-26.155999999999999</v>
      </c>
      <c r="AF255">
        <v>4</v>
      </c>
      <c r="AG255">
        <v>1.2</v>
      </c>
      <c r="AH255">
        <v>2.5600000000000009</v>
      </c>
      <c r="AI255">
        <v>5.44</v>
      </c>
      <c r="AJ255">
        <v>-0.83999999999999986</v>
      </c>
      <c r="AK255">
        <v>34.120000000000005</v>
      </c>
      <c r="AL255">
        <v>32.120000000000012</v>
      </c>
      <c r="AM255">
        <v>-10.039999999999996</v>
      </c>
      <c r="AN255">
        <v>-3.4799999999999995</v>
      </c>
      <c r="AO255">
        <v>15.52</v>
      </c>
      <c r="AP255">
        <v>8</v>
      </c>
      <c r="AQ255">
        <v>5.155800000000001</v>
      </c>
      <c r="AR255">
        <v>2.6922600000000005</v>
      </c>
      <c r="AS255">
        <v>42.160000000000011</v>
      </c>
      <c r="AT255">
        <v>-5.155800000000001</v>
      </c>
      <c r="AU255">
        <v>0.87685000000000013</v>
      </c>
      <c r="AV255">
        <v>0.74778750000000005</v>
      </c>
      <c r="AW255">
        <v>2.0112749999999999</v>
      </c>
      <c r="AX255" t="s">
        <v>295</v>
      </c>
      <c r="AY255">
        <v>27</v>
      </c>
      <c r="AZ255">
        <v>-0.20560000000000045</v>
      </c>
      <c r="BA255">
        <v>-2.2319999999999989</v>
      </c>
      <c r="BB255">
        <v>-10.920000000000002</v>
      </c>
      <c r="BC255">
        <v>0.67999999999999994</v>
      </c>
      <c r="BD255">
        <v>-2.4479999999999995</v>
      </c>
      <c r="BE255">
        <v>-0.75999999999999535</v>
      </c>
      <c r="BF255">
        <v>-0.56000000000000028</v>
      </c>
      <c r="BG255">
        <v>17</v>
      </c>
      <c r="BH255">
        <v>14.5</v>
      </c>
      <c r="BI255">
        <v>2.2799999999999998</v>
      </c>
      <c r="BJ255">
        <v>19</v>
      </c>
      <c r="BK255">
        <v>16.5</v>
      </c>
      <c r="BL255">
        <v>10</v>
      </c>
      <c r="BM255">
        <v>-5.5156896629458604E-3</v>
      </c>
      <c r="BN255">
        <v>20</v>
      </c>
      <c r="BO255">
        <v>-2.1165712766719829E-3</v>
      </c>
      <c r="BP255">
        <v>25</v>
      </c>
      <c r="BQ255">
        <v>4.0639999999999974</v>
      </c>
      <c r="BR255">
        <v>11</v>
      </c>
      <c r="BS255">
        <v>-0.88000000000000012</v>
      </c>
      <c r="BT255">
        <v>-0.84000000000000052</v>
      </c>
      <c r="BU255">
        <v>-3.1599999999999993</v>
      </c>
      <c r="BV255">
        <v>1.1599999999999997</v>
      </c>
      <c r="BW255">
        <v>-3.8399999999999865</v>
      </c>
      <c r="BX255">
        <v>2.560000000000008</v>
      </c>
      <c r="BY255">
        <v>-4.2399999999999975</v>
      </c>
      <c r="BZ255">
        <v>-0.72</v>
      </c>
      <c r="CA255">
        <v>-1.4399999999999997</v>
      </c>
      <c r="CB255">
        <v>13</v>
      </c>
      <c r="CC255">
        <v>2.0263999999999984</v>
      </c>
      <c r="CD255">
        <v>0.58527999999999947</v>
      </c>
      <c r="CE255">
        <v>6.800000000000006</v>
      </c>
      <c r="CF255">
        <v>-0.51569999999999994</v>
      </c>
    </row>
    <row r="256" spans="1:84" x14ac:dyDescent="0.2">
      <c r="A256" s="39">
        <v>43793</v>
      </c>
      <c r="B256" s="22" t="s">
        <v>242</v>
      </c>
      <c r="C256" s="41" t="s">
        <v>310</v>
      </c>
      <c r="D256" s="22" t="s">
        <v>297</v>
      </c>
      <c r="E256">
        <v>26.5</v>
      </c>
      <c r="F256">
        <v>4.9000000000000004</v>
      </c>
      <c r="G256" s="14">
        <v>5</v>
      </c>
      <c r="H256">
        <v>3.4</v>
      </c>
      <c r="I256">
        <v>-4.5</v>
      </c>
      <c r="J256">
        <v>42</v>
      </c>
      <c r="K256" t="s">
        <v>110</v>
      </c>
      <c r="L256" s="1" t="s">
        <v>310</v>
      </c>
      <c r="M256">
        <v>5</v>
      </c>
      <c r="N256">
        <v>4.8360000000000003</v>
      </c>
      <c r="O256">
        <v>-0.5995999999999988</v>
      </c>
      <c r="P256">
        <v>25.72</v>
      </c>
      <c r="Q256">
        <v>-3.16</v>
      </c>
      <c r="R256">
        <v>-2.4049999999999994</v>
      </c>
      <c r="S256">
        <v>-3.6699999999999964</v>
      </c>
      <c r="T256">
        <v>-3.6500000000000004</v>
      </c>
      <c r="U256">
        <v>29</v>
      </c>
      <c r="V256">
        <v>29</v>
      </c>
      <c r="W256">
        <v>-0.84000000000000008</v>
      </c>
      <c r="X256">
        <v>25</v>
      </c>
      <c r="Y256">
        <v>21</v>
      </c>
      <c r="Z256">
        <v>27</v>
      </c>
      <c r="AA256">
        <v>-4.7442358356770145E-2</v>
      </c>
      <c r="AB256">
        <v>2</v>
      </c>
      <c r="AC256">
        <v>8.6001709139156574E-3</v>
      </c>
      <c r="AD256">
        <v>30</v>
      </c>
      <c r="AE256">
        <v>6.94</v>
      </c>
      <c r="AF256">
        <v>25</v>
      </c>
      <c r="AG256">
        <v>-1.4000000000000001</v>
      </c>
      <c r="AH256">
        <v>-5.5200000000000005</v>
      </c>
      <c r="AI256">
        <v>4.5199999999999987</v>
      </c>
      <c r="AJ256">
        <v>0.27999999999999992</v>
      </c>
      <c r="AK256">
        <v>27.839999999999996</v>
      </c>
      <c r="AL256">
        <v>2.8</v>
      </c>
      <c r="AM256">
        <v>20.96</v>
      </c>
      <c r="AN256">
        <v>-4.4400000000000004</v>
      </c>
      <c r="AO256">
        <v>8.52</v>
      </c>
      <c r="AP256">
        <v>7</v>
      </c>
      <c r="AQ256">
        <v>5.4355999999999991</v>
      </c>
      <c r="AR256">
        <v>0.7859999999999997</v>
      </c>
      <c r="AS256">
        <v>-18.16</v>
      </c>
      <c r="AT256">
        <v>-5.4355999999999991</v>
      </c>
      <c r="AU256">
        <v>2.8925000000000312E-2</v>
      </c>
      <c r="AV256">
        <v>1.2358625000000001</v>
      </c>
      <c r="AW256">
        <v>1.6358000000000001</v>
      </c>
      <c r="AX256" t="s">
        <v>297</v>
      </c>
      <c r="AY256">
        <v>20</v>
      </c>
      <c r="AZ256">
        <v>2.5383999999999984</v>
      </c>
      <c r="BA256">
        <v>6.5679999999999996</v>
      </c>
      <c r="BB256">
        <v>22.719999999999995</v>
      </c>
      <c r="BC256">
        <v>0.15999999999999986</v>
      </c>
      <c r="BD256">
        <v>-1.4989999999999977</v>
      </c>
      <c r="BE256">
        <v>-4.2800000000000011</v>
      </c>
      <c r="BF256">
        <v>-1.6200000000000003</v>
      </c>
      <c r="BG256">
        <v>26</v>
      </c>
      <c r="BH256">
        <v>25</v>
      </c>
      <c r="BI256">
        <v>1.52</v>
      </c>
      <c r="BJ256">
        <v>20</v>
      </c>
      <c r="BK256">
        <v>16.75</v>
      </c>
      <c r="BL256">
        <v>21</v>
      </c>
      <c r="BM256">
        <v>-1.890884134935435E-2</v>
      </c>
      <c r="BN256">
        <v>5</v>
      </c>
      <c r="BO256">
        <v>-1.6915865415002133E-3</v>
      </c>
      <c r="BP256">
        <v>32</v>
      </c>
      <c r="BQ256">
        <v>5.7720000000000011</v>
      </c>
      <c r="BR256">
        <v>9</v>
      </c>
      <c r="BS256">
        <v>0.28000000000000008</v>
      </c>
      <c r="BT256">
        <v>-2.5200000000000018</v>
      </c>
      <c r="BU256">
        <v>5.3599999999999994</v>
      </c>
      <c r="BV256">
        <v>-1</v>
      </c>
      <c r="BW256">
        <v>15.320000000000004</v>
      </c>
      <c r="BX256">
        <v>-13.039999999999997</v>
      </c>
      <c r="BY256">
        <v>20.68</v>
      </c>
      <c r="BZ256">
        <v>3.16</v>
      </c>
      <c r="CA256">
        <v>4.5200000000000005</v>
      </c>
      <c r="CB256">
        <v>25</v>
      </c>
      <c r="CC256">
        <v>-4.0296000000000012</v>
      </c>
      <c r="CD256">
        <v>-3.0761199999999995</v>
      </c>
      <c r="CE256">
        <v>-33.72</v>
      </c>
      <c r="CF256">
        <v>0.83592499999999981</v>
      </c>
    </row>
    <row r="257" spans="1:84" x14ac:dyDescent="0.2">
      <c r="A257" s="39">
        <v>43793</v>
      </c>
      <c r="B257" s="22" t="s">
        <v>242</v>
      </c>
      <c r="C257" s="41" t="s">
        <v>306</v>
      </c>
      <c r="D257" s="22" t="s">
        <v>299</v>
      </c>
      <c r="E257">
        <v>12.2</v>
      </c>
      <c r="F257">
        <v>7.3</v>
      </c>
      <c r="G257">
        <v>1.6</v>
      </c>
      <c r="H257">
        <v>1.4</v>
      </c>
      <c r="I257">
        <v>4</v>
      </c>
      <c r="J257">
        <v>39</v>
      </c>
      <c r="K257" t="s">
        <v>110</v>
      </c>
      <c r="L257" s="1" t="s">
        <v>306</v>
      </c>
      <c r="M257">
        <v>32</v>
      </c>
      <c r="N257">
        <v>-10.224800000000002</v>
      </c>
      <c r="O257">
        <v>-5.48</v>
      </c>
      <c r="P257">
        <v>-4.272000000000002</v>
      </c>
      <c r="Q257">
        <v>-2.56</v>
      </c>
      <c r="R257">
        <v>-22.388800000000003</v>
      </c>
      <c r="S257">
        <v>-75.639999999999986</v>
      </c>
      <c r="T257">
        <v>-9.0799999999999983</v>
      </c>
      <c r="U257">
        <v>1</v>
      </c>
      <c r="V257">
        <v>1</v>
      </c>
      <c r="W257">
        <v>2.96</v>
      </c>
      <c r="X257">
        <v>1</v>
      </c>
      <c r="Y257">
        <v>5.25</v>
      </c>
      <c r="Z257">
        <v>9</v>
      </c>
      <c r="AA257">
        <v>-2.1725943196123587E-2</v>
      </c>
      <c r="AB257">
        <v>1</v>
      </c>
      <c r="AC257">
        <v>5.0374250467202217E-2</v>
      </c>
      <c r="AD257">
        <v>2</v>
      </c>
      <c r="AE257">
        <v>-5.6</v>
      </c>
      <c r="AF257">
        <v>9</v>
      </c>
      <c r="AG257">
        <v>2.04</v>
      </c>
      <c r="AH257">
        <v>-12.360000000000001</v>
      </c>
      <c r="AI257">
        <v>-10.64</v>
      </c>
      <c r="AJ257">
        <v>0.39999999999999986</v>
      </c>
      <c r="AK257">
        <v>-97.11999999999999</v>
      </c>
      <c r="AL257">
        <v>-85.44</v>
      </c>
      <c r="AM257">
        <v>-1.8</v>
      </c>
      <c r="AN257">
        <v>-3.9200000000000004</v>
      </c>
      <c r="AO257">
        <v>-5.96</v>
      </c>
      <c r="AP257">
        <v>24</v>
      </c>
      <c r="AQ257">
        <v>-4.7448000000000015</v>
      </c>
      <c r="AR257">
        <v>-3.7827200000000012</v>
      </c>
      <c r="AS257">
        <v>-83.64</v>
      </c>
      <c r="AT257">
        <v>4.7448000000000015</v>
      </c>
      <c r="AU257">
        <v>-4.6967000000000008</v>
      </c>
      <c r="AV257">
        <v>0.30522500000000019</v>
      </c>
      <c r="AW257">
        <v>-1.8680499999999995</v>
      </c>
      <c r="AX257" t="s">
        <v>299</v>
      </c>
      <c r="AY257">
        <v>3</v>
      </c>
      <c r="AZ257">
        <v>5.96</v>
      </c>
      <c r="BA257">
        <v>7.3520000000000003</v>
      </c>
      <c r="BB257">
        <v>-5.0719999999999992</v>
      </c>
      <c r="BC257">
        <v>-1.44</v>
      </c>
      <c r="BD257">
        <v>6.3559999999999999</v>
      </c>
      <c r="BE257">
        <v>24.04</v>
      </c>
      <c r="BF257">
        <v>1.64</v>
      </c>
      <c r="BG257">
        <v>12</v>
      </c>
      <c r="BH257">
        <v>12.5</v>
      </c>
      <c r="BI257">
        <v>2.04</v>
      </c>
      <c r="BJ257">
        <v>24</v>
      </c>
      <c r="BK257">
        <v>21</v>
      </c>
      <c r="BL257">
        <v>26</v>
      </c>
      <c r="BM257">
        <v>6.3497627772653217E-3</v>
      </c>
      <c r="BN257">
        <v>23</v>
      </c>
      <c r="BO257">
        <v>-5.7256306569020031E-3</v>
      </c>
      <c r="BP257">
        <v>5</v>
      </c>
      <c r="BQ257">
        <v>-9.4</v>
      </c>
      <c r="BR257">
        <v>30</v>
      </c>
      <c r="BS257">
        <v>-3.04</v>
      </c>
      <c r="BT257">
        <v>2.6</v>
      </c>
      <c r="BU257">
        <v>6.6</v>
      </c>
      <c r="BV257">
        <v>0.27999999999999992</v>
      </c>
      <c r="BW257">
        <v>46.680000000000014</v>
      </c>
      <c r="BX257">
        <v>45.760000000000005</v>
      </c>
      <c r="BY257">
        <v>-0.95999999999999941</v>
      </c>
      <c r="BZ257">
        <v>1.8800000000000003</v>
      </c>
      <c r="CA257">
        <v>0</v>
      </c>
      <c r="CB257">
        <v>22</v>
      </c>
      <c r="CC257">
        <v>-1.3920000000000008</v>
      </c>
      <c r="CD257">
        <v>-1.2128000000000001</v>
      </c>
      <c r="CE257">
        <v>46.720000000000006</v>
      </c>
      <c r="CF257">
        <v>2.4784999999999999</v>
      </c>
    </row>
    <row r="258" spans="1:84" x14ac:dyDescent="0.2">
      <c r="A258" s="39">
        <v>43800</v>
      </c>
      <c r="B258" s="22" t="s">
        <v>241</v>
      </c>
      <c r="C258" s="41" t="s">
        <v>285</v>
      </c>
      <c r="D258" s="22" t="s">
        <v>304</v>
      </c>
      <c r="E258">
        <v>11.6</v>
      </c>
      <c r="F258">
        <v>5.3</v>
      </c>
      <c r="G258">
        <v>6.6</v>
      </c>
      <c r="H258">
        <v>4.9000000000000004</v>
      </c>
      <c r="I258">
        <v>2.5</v>
      </c>
      <c r="J258">
        <v>47</v>
      </c>
      <c r="K258" t="s">
        <v>109</v>
      </c>
      <c r="L258" s="1" t="s">
        <v>285</v>
      </c>
      <c r="M258">
        <v>15</v>
      </c>
      <c r="N258">
        <v>0.40399999999999958</v>
      </c>
      <c r="O258">
        <v>-6.0179999999999989</v>
      </c>
      <c r="P258">
        <v>-22.839999999999996</v>
      </c>
      <c r="Q258">
        <v>-1.33</v>
      </c>
      <c r="R258">
        <v>-2.9759999999999982</v>
      </c>
      <c r="S258">
        <v>0.60000000000000231</v>
      </c>
      <c r="T258">
        <v>-4</v>
      </c>
      <c r="U258">
        <v>21</v>
      </c>
      <c r="V258">
        <v>20</v>
      </c>
      <c r="W258">
        <v>-3.2</v>
      </c>
      <c r="X258">
        <v>9</v>
      </c>
      <c r="Y258">
        <v>12.25</v>
      </c>
      <c r="Z258">
        <v>20</v>
      </c>
      <c r="AA258">
        <v>-2.177415583147101E-2</v>
      </c>
      <c r="AB258">
        <v>7</v>
      </c>
      <c r="AC258">
        <v>1.3498950159567712E-2</v>
      </c>
      <c r="AD258">
        <v>4</v>
      </c>
      <c r="AE258">
        <v>-8.6639999999999961</v>
      </c>
      <c r="AF258">
        <v>18</v>
      </c>
      <c r="AG258">
        <v>-0.23999999999999985</v>
      </c>
      <c r="AH258">
        <v>-9.16</v>
      </c>
      <c r="AI258">
        <v>-1.4</v>
      </c>
      <c r="AJ258">
        <v>-1.1199999999999999</v>
      </c>
      <c r="AK258">
        <v>-25.679999999999986</v>
      </c>
      <c r="AL258">
        <v>-4.9600000000000026</v>
      </c>
      <c r="AM258">
        <v>-22.279999999999998</v>
      </c>
      <c r="AN258">
        <v>-1.5599999999999998</v>
      </c>
      <c r="AO258">
        <v>3.1199999999999997</v>
      </c>
      <c r="AP258">
        <v>6</v>
      </c>
      <c r="AQ258">
        <v>6.4219999999999988</v>
      </c>
      <c r="AR258">
        <v>2.4945999999999997</v>
      </c>
      <c r="AS258">
        <v>17.319999999999993</v>
      </c>
      <c r="AT258">
        <v>-6.4219999999999988</v>
      </c>
      <c r="AU258">
        <v>-1.0587499999999994</v>
      </c>
      <c r="AV258">
        <v>1.6747624999999999</v>
      </c>
      <c r="AW258">
        <v>3.2849999999999997</v>
      </c>
      <c r="AX258" t="s">
        <v>304</v>
      </c>
      <c r="AY258">
        <v>16</v>
      </c>
      <c r="AZ258">
        <v>0.45520000000000138</v>
      </c>
      <c r="BA258">
        <v>-0.28200000000000114</v>
      </c>
      <c r="BB258">
        <v>-0.8000000000000016</v>
      </c>
      <c r="BC258">
        <v>0.62</v>
      </c>
      <c r="BD258">
        <v>3.142999999999998</v>
      </c>
      <c r="BE258">
        <v>14.539999999999996</v>
      </c>
      <c r="BF258">
        <v>6.23</v>
      </c>
      <c r="BG258">
        <v>28</v>
      </c>
      <c r="BH258">
        <v>26.5</v>
      </c>
      <c r="BI258">
        <v>0.23999999999999985</v>
      </c>
      <c r="BJ258">
        <v>14</v>
      </c>
      <c r="BK258">
        <v>15</v>
      </c>
      <c r="BL258">
        <v>22</v>
      </c>
      <c r="BM258">
        <v>-1.692048736449216E-2</v>
      </c>
      <c r="BN258">
        <v>10</v>
      </c>
      <c r="BO258">
        <v>9.979740436211651E-3</v>
      </c>
      <c r="BP258">
        <v>22</v>
      </c>
      <c r="BQ258">
        <v>2.5599999999999965</v>
      </c>
      <c r="BR258">
        <v>6</v>
      </c>
      <c r="BS258">
        <v>2.9599999999999995</v>
      </c>
      <c r="BT258">
        <v>9.8000000000000007</v>
      </c>
      <c r="BU258">
        <v>-3.5600000000000009</v>
      </c>
      <c r="BV258">
        <v>-0.08</v>
      </c>
      <c r="BW258">
        <v>14.439999999999987</v>
      </c>
      <c r="BX258">
        <v>16.920000000000005</v>
      </c>
      <c r="BY258">
        <v>3.9199999999999959</v>
      </c>
      <c r="BZ258">
        <v>-1.9600000000000002</v>
      </c>
      <c r="CA258">
        <v>-4.4399999999999995</v>
      </c>
      <c r="CB258">
        <v>14</v>
      </c>
      <c r="CC258">
        <v>0.73720000000000252</v>
      </c>
      <c r="CD258">
        <v>0.8606400000000004</v>
      </c>
      <c r="CE258">
        <v>13.000000000000009</v>
      </c>
      <c r="CF258">
        <v>6.4524999999999944E-2</v>
      </c>
    </row>
    <row r="259" spans="1:84" x14ac:dyDescent="0.2">
      <c r="A259" s="39">
        <v>43800</v>
      </c>
      <c r="B259" s="22" t="s">
        <v>241</v>
      </c>
      <c r="C259" s="41" t="s">
        <v>295</v>
      </c>
      <c r="D259" s="22" t="s">
        <v>307</v>
      </c>
      <c r="E259">
        <v>17.100000000000001</v>
      </c>
      <c r="F259">
        <v>16.2</v>
      </c>
      <c r="G259">
        <v>11.7</v>
      </c>
      <c r="H259">
        <v>14.1</v>
      </c>
      <c r="I259">
        <v>7</v>
      </c>
      <c r="J259">
        <v>48</v>
      </c>
      <c r="L259" s="1" t="s">
        <v>295</v>
      </c>
      <c r="M259">
        <v>22</v>
      </c>
      <c r="N259">
        <v>-0.94799999999999862</v>
      </c>
      <c r="O259">
        <v>-4.2439999999999998</v>
      </c>
      <c r="P259">
        <v>-13.919999999999998</v>
      </c>
      <c r="Q259">
        <v>-0.53999999999999981</v>
      </c>
      <c r="R259">
        <v>3.3300000000000018</v>
      </c>
      <c r="S259">
        <v>35.017200000000003</v>
      </c>
      <c r="T259">
        <v>2.5200000000000005</v>
      </c>
      <c r="U259">
        <v>4</v>
      </c>
      <c r="V259">
        <v>7</v>
      </c>
      <c r="W259">
        <v>2</v>
      </c>
      <c r="X259">
        <v>14</v>
      </c>
      <c r="Y259">
        <v>14</v>
      </c>
      <c r="Z259">
        <v>7</v>
      </c>
      <c r="AA259">
        <v>4.5047186471160516E-2</v>
      </c>
      <c r="AB259">
        <v>9</v>
      </c>
      <c r="AC259">
        <v>8.0550794135657092E-3</v>
      </c>
      <c r="AD259">
        <v>26</v>
      </c>
      <c r="AE259">
        <v>6.4720000000000013</v>
      </c>
      <c r="AF259">
        <v>14</v>
      </c>
      <c r="AG259">
        <v>0.35999999999999976</v>
      </c>
      <c r="AH259">
        <v>7.240000000000002</v>
      </c>
      <c r="AI259">
        <v>-1.4799999999999998</v>
      </c>
      <c r="AJ259">
        <v>0.27999999999999992</v>
      </c>
      <c r="AK259">
        <v>24.360000000000014</v>
      </c>
      <c r="AL259">
        <v>39.399999999999991</v>
      </c>
      <c r="AM259">
        <v>-7.2799999999999958</v>
      </c>
      <c r="AN259">
        <v>-3</v>
      </c>
      <c r="AO259">
        <v>-4.76</v>
      </c>
      <c r="AP259">
        <v>10</v>
      </c>
      <c r="AQ259">
        <v>3.2960000000000012</v>
      </c>
      <c r="AR259">
        <v>2.5984000000000003</v>
      </c>
      <c r="AS259">
        <v>46.679999999999986</v>
      </c>
      <c r="AT259">
        <v>-3.2960000000000012</v>
      </c>
      <c r="AU259">
        <v>-6.2749999999999528E-2</v>
      </c>
      <c r="AV259">
        <v>-1.396075</v>
      </c>
      <c r="AW259">
        <v>-2.1448999999999998</v>
      </c>
      <c r="AX259" t="s">
        <v>307</v>
      </c>
      <c r="AY259">
        <v>18</v>
      </c>
      <c r="AZ259">
        <v>-1.1999999999999993</v>
      </c>
      <c r="BA259">
        <v>-1.2899999999999996</v>
      </c>
      <c r="BB259">
        <v>-7.4500000000000028</v>
      </c>
      <c r="BC259">
        <v>0.59999999999999987</v>
      </c>
      <c r="BD259">
        <v>-3.8080000000000003</v>
      </c>
      <c r="BE259">
        <v>-31.840000000000003</v>
      </c>
      <c r="BF259">
        <v>0.16000000000000036</v>
      </c>
      <c r="BG259">
        <v>8</v>
      </c>
      <c r="BH259">
        <v>8.5</v>
      </c>
      <c r="BI259">
        <v>-4.0399999999999991</v>
      </c>
      <c r="BJ259">
        <v>17</v>
      </c>
      <c r="BK259">
        <v>16</v>
      </c>
      <c r="BL259">
        <v>6</v>
      </c>
      <c r="BM259">
        <v>3.6511983425626324E-2</v>
      </c>
      <c r="BN259">
        <v>18</v>
      </c>
      <c r="BO259">
        <v>-1.5946944742100927E-3</v>
      </c>
      <c r="BP259">
        <v>21</v>
      </c>
      <c r="BQ259">
        <v>1.4599999999999995</v>
      </c>
      <c r="BR259">
        <v>19</v>
      </c>
      <c r="BS259">
        <v>-0.35999999999999976</v>
      </c>
      <c r="BT259">
        <v>-1.6400000000000019</v>
      </c>
      <c r="BU259">
        <v>-1.6800000000000004</v>
      </c>
      <c r="BV259">
        <v>-1.1199999999999999</v>
      </c>
      <c r="BW259">
        <v>-40</v>
      </c>
      <c r="BX259">
        <v>-33.999999999999993</v>
      </c>
      <c r="BY259">
        <v>-15.84</v>
      </c>
      <c r="BZ259">
        <v>11.52</v>
      </c>
      <c r="CA259">
        <v>-1.6799999999999997</v>
      </c>
      <c r="CB259">
        <v>17</v>
      </c>
      <c r="CC259">
        <v>9.0000000000000302E-2</v>
      </c>
      <c r="CD259">
        <v>-0.35660000000000047</v>
      </c>
      <c r="CE259">
        <v>-18.159999999999993</v>
      </c>
      <c r="CF259">
        <v>-0.64724999999999999</v>
      </c>
    </row>
    <row r="260" spans="1:84" x14ac:dyDescent="0.2">
      <c r="A260" s="39">
        <v>43800</v>
      </c>
      <c r="B260" s="22" t="s">
        <v>241</v>
      </c>
      <c r="C260" s="41" t="s">
        <v>305</v>
      </c>
      <c r="D260" s="22" t="s">
        <v>256</v>
      </c>
      <c r="E260">
        <v>1.1000000000000001</v>
      </c>
      <c r="F260">
        <v>2.2000000000000002</v>
      </c>
      <c r="G260">
        <v>1.5</v>
      </c>
      <c r="H260">
        <f>14+5.1+1.4</f>
        <v>20.5</v>
      </c>
      <c r="I260">
        <v>-5.5</v>
      </c>
      <c r="J260">
        <v>45</v>
      </c>
      <c r="K260" t="s">
        <v>110</v>
      </c>
      <c r="L260" s="1" t="s">
        <v>305</v>
      </c>
      <c r="M260">
        <v>1</v>
      </c>
      <c r="N260">
        <v>11.3224</v>
      </c>
      <c r="O260">
        <v>4.5200000000000005</v>
      </c>
      <c r="P260">
        <v>26.840000000000003</v>
      </c>
      <c r="Q260">
        <v>-3.5599999999999996</v>
      </c>
      <c r="R260">
        <v>2.0863999999999994</v>
      </c>
      <c r="S260">
        <v>-22.36</v>
      </c>
      <c r="T260">
        <v>-5.28</v>
      </c>
      <c r="U260">
        <v>8</v>
      </c>
      <c r="V260">
        <v>8.5</v>
      </c>
      <c r="W260">
        <v>6.7200000000000006</v>
      </c>
      <c r="X260">
        <v>31</v>
      </c>
      <c r="Y260">
        <v>29.25</v>
      </c>
      <c r="Z260">
        <v>27</v>
      </c>
      <c r="AA260">
        <v>-6.8006433271882355E-2</v>
      </c>
      <c r="AB260">
        <v>31</v>
      </c>
      <c r="AC260">
        <v>-3.1046593028629343E-2</v>
      </c>
      <c r="AD260">
        <v>27</v>
      </c>
      <c r="AE260">
        <v>8.7000000000000046</v>
      </c>
      <c r="AF260">
        <v>32</v>
      </c>
      <c r="AG260">
        <v>-7.4</v>
      </c>
      <c r="AH260">
        <v>-2.0400000000000018</v>
      </c>
      <c r="AI260">
        <v>15.120000000000001</v>
      </c>
      <c r="AJ260">
        <v>2.8</v>
      </c>
      <c r="AK260">
        <v>50.44</v>
      </c>
      <c r="AL260">
        <v>-34.4</v>
      </c>
      <c r="AM260">
        <v>33</v>
      </c>
      <c r="AN260">
        <v>-1.3199999999999998</v>
      </c>
      <c r="AO260">
        <v>53.160000000000004</v>
      </c>
      <c r="AP260">
        <v>5</v>
      </c>
      <c r="AQ260">
        <v>6.8023999999999996</v>
      </c>
      <c r="AR260">
        <v>0.42175999999999947</v>
      </c>
      <c r="AS260">
        <v>-67.400000000000006</v>
      </c>
      <c r="AT260">
        <v>-6.8023999999999996</v>
      </c>
      <c r="AU260">
        <v>2.5661000000000005</v>
      </c>
      <c r="AV260">
        <v>-2.0896000000000003</v>
      </c>
      <c r="AW260">
        <v>-2.2250000000000005</v>
      </c>
      <c r="AX260" t="s">
        <v>256</v>
      </c>
      <c r="AY260">
        <v>22</v>
      </c>
      <c r="AZ260">
        <v>-1.7615999999999978</v>
      </c>
      <c r="BA260">
        <v>-4.5640000000000001</v>
      </c>
      <c r="BB260">
        <v>-9.0800000000000054</v>
      </c>
      <c r="BC260">
        <v>-8.0000000000000071E-2</v>
      </c>
      <c r="BD260">
        <v>-8.3480000000000025</v>
      </c>
      <c r="BE260">
        <v>-47.320000000000007</v>
      </c>
      <c r="BF260">
        <v>-0.76</v>
      </c>
      <c r="BG260">
        <v>18</v>
      </c>
      <c r="BH260">
        <v>20</v>
      </c>
      <c r="BI260">
        <v>-1.3199999999999998</v>
      </c>
      <c r="BJ260">
        <v>13</v>
      </c>
      <c r="BK260">
        <v>14.75</v>
      </c>
      <c r="BL260">
        <v>23</v>
      </c>
      <c r="BM260">
        <v>-2.1686095960207569E-2</v>
      </c>
      <c r="BN260">
        <v>8</v>
      </c>
      <c r="BO260">
        <v>1.7815116394958905E-2</v>
      </c>
      <c r="BP260">
        <v>24</v>
      </c>
      <c r="BQ260">
        <v>6.4040000000000017</v>
      </c>
      <c r="BR260">
        <v>4</v>
      </c>
      <c r="BS260">
        <v>3.6</v>
      </c>
      <c r="BT260">
        <v>2.8400000000000007</v>
      </c>
      <c r="BU260">
        <v>-4.3600000000000012</v>
      </c>
      <c r="BV260">
        <v>0.27999999999999992</v>
      </c>
      <c r="BW260">
        <v>-37.720000000000006</v>
      </c>
      <c r="BX260">
        <v>-48.399999999999991</v>
      </c>
      <c r="BY260">
        <v>-7.6800000000000015</v>
      </c>
      <c r="BZ260">
        <v>2.88</v>
      </c>
      <c r="CA260">
        <v>15.48</v>
      </c>
      <c r="CB260">
        <v>10</v>
      </c>
      <c r="CC260">
        <v>2.8024000000000022</v>
      </c>
      <c r="CD260">
        <v>0.26007999999999987</v>
      </c>
      <c r="CE260">
        <v>-40.719999999999992</v>
      </c>
      <c r="CF260">
        <v>-1.9542000000000002</v>
      </c>
    </row>
    <row r="261" spans="1:84" x14ac:dyDescent="0.2">
      <c r="A261" s="39">
        <v>43800</v>
      </c>
      <c r="B261" s="22" t="s">
        <v>241</v>
      </c>
      <c r="C261" s="41" t="s">
        <v>276</v>
      </c>
      <c r="D261" s="22" t="s">
        <v>291</v>
      </c>
      <c r="E261">
        <v>10.72</v>
      </c>
      <c r="F261">
        <v>26</v>
      </c>
      <c r="G261">
        <v>6.4</v>
      </c>
      <c r="H261">
        <v>4.7</v>
      </c>
      <c r="I261">
        <v>6.5</v>
      </c>
      <c r="J261">
        <v>46.5</v>
      </c>
      <c r="L261" s="1" t="s">
        <v>276</v>
      </c>
      <c r="M261">
        <v>4</v>
      </c>
      <c r="N261">
        <v>4.6040000000000019</v>
      </c>
      <c r="O261">
        <v>-2.4239999999999995</v>
      </c>
      <c r="P261">
        <v>11.280000000000001</v>
      </c>
      <c r="Q261">
        <v>-1.4</v>
      </c>
      <c r="R261">
        <v>-1.5567999999999973</v>
      </c>
      <c r="S261">
        <v>-8.3500000000000032</v>
      </c>
      <c r="T261">
        <v>-2.7</v>
      </c>
      <c r="U261">
        <v>25</v>
      </c>
      <c r="V261">
        <v>23</v>
      </c>
      <c r="W261">
        <v>3.3200000000000003</v>
      </c>
      <c r="X261">
        <v>24</v>
      </c>
      <c r="Y261">
        <v>20.75</v>
      </c>
      <c r="Z261">
        <v>25</v>
      </c>
      <c r="AA261">
        <v>-5.4412894026133182E-2</v>
      </c>
      <c r="AB261">
        <v>25</v>
      </c>
      <c r="AC261">
        <v>-1.9035363887131694E-2</v>
      </c>
      <c r="AD261">
        <v>5</v>
      </c>
      <c r="AE261">
        <v>-8.275999999999998</v>
      </c>
      <c r="AF261">
        <v>28</v>
      </c>
      <c r="AG261">
        <v>-3.8</v>
      </c>
      <c r="AH261">
        <v>1.6400000000000035</v>
      </c>
      <c r="AI261">
        <v>2.0800000000000005</v>
      </c>
      <c r="AJ261">
        <v>0.24000000000000005</v>
      </c>
      <c r="AK261">
        <v>11.04000000000001</v>
      </c>
      <c r="AL261">
        <v>-19.999999999999993</v>
      </c>
      <c r="AM261">
        <v>8.8800000000000043</v>
      </c>
      <c r="AN261">
        <v>4.08</v>
      </c>
      <c r="AO261">
        <v>18.079999999999998</v>
      </c>
      <c r="AP261">
        <v>4</v>
      </c>
      <c r="AQ261">
        <v>7.0280000000000014</v>
      </c>
      <c r="AR261">
        <v>1.8214400000000004</v>
      </c>
      <c r="AS261">
        <v>-28.879999999999995</v>
      </c>
      <c r="AT261">
        <v>-7.0280000000000014</v>
      </c>
      <c r="AU261">
        <v>4.2900000000000535E-2</v>
      </c>
      <c r="AV261">
        <v>-0.97487499999999994</v>
      </c>
      <c r="AW261">
        <v>-1.3582000000000001</v>
      </c>
      <c r="AX261" t="s">
        <v>291</v>
      </c>
      <c r="AY261">
        <v>19</v>
      </c>
      <c r="AZ261">
        <v>-1.3959999999999979</v>
      </c>
      <c r="BA261">
        <v>2.0324000000000009</v>
      </c>
      <c r="BB261">
        <v>6.1999999999999993</v>
      </c>
      <c r="BC261">
        <v>-0.48000000000000009</v>
      </c>
      <c r="BD261">
        <v>-6.3288000000000011</v>
      </c>
      <c r="BE261">
        <v>-38.400000000000006</v>
      </c>
      <c r="BF261">
        <v>-2.6799999999999993</v>
      </c>
      <c r="BG261">
        <v>7</v>
      </c>
      <c r="BH261">
        <v>7</v>
      </c>
      <c r="BI261">
        <v>-1.64</v>
      </c>
      <c r="BJ261">
        <v>15</v>
      </c>
      <c r="BK261">
        <v>15.75</v>
      </c>
      <c r="BL261">
        <v>7</v>
      </c>
      <c r="BM261">
        <v>3.4832802812091015E-2</v>
      </c>
      <c r="BN261">
        <v>7</v>
      </c>
      <c r="BO261">
        <v>1.9370085594713704E-2</v>
      </c>
      <c r="BP261">
        <v>28</v>
      </c>
      <c r="BQ261">
        <v>9.8560000000000034</v>
      </c>
      <c r="BR261">
        <v>21</v>
      </c>
      <c r="BS261">
        <v>-0.48000000000000009</v>
      </c>
      <c r="BT261">
        <v>-1.1200000000000003</v>
      </c>
      <c r="BU261">
        <v>1.0399999999999998</v>
      </c>
      <c r="BV261">
        <v>-0.6399999999999999</v>
      </c>
      <c r="BW261">
        <v>-28.24</v>
      </c>
      <c r="BX261">
        <v>-39.799999999999997</v>
      </c>
      <c r="BY261">
        <v>0.52000000000000313</v>
      </c>
      <c r="BZ261">
        <v>-0.31999999999999995</v>
      </c>
      <c r="CA261">
        <v>11.36</v>
      </c>
      <c r="CB261">
        <v>23</v>
      </c>
      <c r="CC261">
        <v>-3.4283999999999986</v>
      </c>
      <c r="CD261">
        <v>-2.5611600000000001</v>
      </c>
      <c r="CE261">
        <v>-40.32</v>
      </c>
      <c r="CF261">
        <v>-0.5915499999999998</v>
      </c>
    </row>
    <row r="262" spans="1:84" x14ac:dyDescent="0.2">
      <c r="A262" s="39">
        <v>43800</v>
      </c>
      <c r="B262" s="22" t="s">
        <v>241</v>
      </c>
      <c r="C262" s="41" t="s">
        <v>301</v>
      </c>
      <c r="D262" s="22" t="s">
        <v>306</v>
      </c>
      <c r="E262">
        <v>19.2</v>
      </c>
      <c r="F262">
        <v>16.5</v>
      </c>
      <c r="G262">
        <v>6.4</v>
      </c>
      <c r="H262">
        <f>6.4+5.2</f>
        <v>11.600000000000001</v>
      </c>
      <c r="I262">
        <v>10.5</v>
      </c>
      <c r="J262">
        <v>38.5</v>
      </c>
      <c r="K262" t="s">
        <v>110</v>
      </c>
      <c r="L262" s="1" t="s">
        <v>301</v>
      </c>
      <c r="M262">
        <v>13</v>
      </c>
      <c r="N262">
        <v>0.72400000000000164</v>
      </c>
      <c r="O262">
        <v>8.7419999999999991</v>
      </c>
      <c r="P262">
        <v>2.240000000000002</v>
      </c>
      <c r="Q262">
        <v>2.7900000000000005</v>
      </c>
      <c r="R262">
        <v>0.35000000000000053</v>
      </c>
      <c r="S262">
        <v>-7.3699999999999992</v>
      </c>
      <c r="T262">
        <v>-0.41000000000000014</v>
      </c>
      <c r="U262">
        <v>32</v>
      </c>
      <c r="V262">
        <v>31.5</v>
      </c>
      <c r="W262">
        <v>-1.4799999999999995</v>
      </c>
      <c r="X262">
        <v>4</v>
      </c>
      <c r="Y262">
        <v>8.5</v>
      </c>
      <c r="Z262">
        <v>4</v>
      </c>
      <c r="AA262">
        <v>6.6097753161763223E-2</v>
      </c>
      <c r="AB262">
        <v>6</v>
      </c>
      <c r="AC262">
        <v>1.8820344205210567E-2</v>
      </c>
      <c r="AD262">
        <v>17</v>
      </c>
      <c r="AE262">
        <v>-0.15999999999999942</v>
      </c>
      <c r="AF262">
        <v>7</v>
      </c>
      <c r="AG262">
        <v>2.6399999999999997</v>
      </c>
      <c r="AH262">
        <v>4.1200000000000019</v>
      </c>
      <c r="AI262">
        <v>-1.64</v>
      </c>
      <c r="AJ262">
        <v>-0.27999999999999997</v>
      </c>
      <c r="AK262">
        <v>7.4800000000000066</v>
      </c>
      <c r="AL262">
        <v>9.7999999999999936</v>
      </c>
      <c r="AM262">
        <v>-2.3200000000000016</v>
      </c>
      <c r="AN262">
        <v>5.08</v>
      </c>
      <c r="AO262">
        <v>-5.08</v>
      </c>
      <c r="AP262">
        <v>29</v>
      </c>
      <c r="AQ262">
        <v>-8.0179999999999971</v>
      </c>
      <c r="AR262">
        <v>-4.1561999999999992</v>
      </c>
      <c r="AS262">
        <v>12.119999999999996</v>
      </c>
      <c r="AT262">
        <v>8.0179999999999971</v>
      </c>
      <c r="AU262">
        <v>0.76700000000000013</v>
      </c>
      <c r="AV262">
        <v>0.41262500000000041</v>
      </c>
      <c r="AW262">
        <v>1.1956000000000002</v>
      </c>
      <c r="AX262" t="s">
        <v>306</v>
      </c>
      <c r="AY262">
        <v>22</v>
      </c>
      <c r="AZ262">
        <v>-1.7583999999999982</v>
      </c>
      <c r="BA262">
        <v>-0.27559999999999857</v>
      </c>
      <c r="BB262">
        <v>18.679999999999996</v>
      </c>
      <c r="BC262">
        <v>-0.6399999999999999</v>
      </c>
      <c r="BD262">
        <v>-1.488799999999999</v>
      </c>
      <c r="BE262">
        <v>-9.7600000000000069</v>
      </c>
      <c r="BF262">
        <v>-3.1199999999999997</v>
      </c>
      <c r="BG262">
        <v>12</v>
      </c>
      <c r="BH262">
        <v>12.5</v>
      </c>
      <c r="BI262">
        <v>1.7200000000000002</v>
      </c>
      <c r="BJ262">
        <v>3</v>
      </c>
      <c r="BK262">
        <v>8</v>
      </c>
      <c r="BL262">
        <v>13</v>
      </c>
      <c r="BM262">
        <v>2.5075482480320988E-3</v>
      </c>
      <c r="BN262">
        <v>2</v>
      </c>
      <c r="BO262">
        <v>3.5944845989316673E-2</v>
      </c>
      <c r="BP262">
        <v>9</v>
      </c>
      <c r="BQ262">
        <v>-3.8039999999999976</v>
      </c>
      <c r="BR262">
        <v>8</v>
      </c>
      <c r="BS262">
        <v>2.52</v>
      </c>
      <c r="BT262">
        <v>1.8800000000000026</v>
      </c>
      <c r="BU262">
        <v>0.6</v>
      </c>
      <c r="BV262">
        <v>-1</v>
      </c>
      <c r="BW262">
        <v>-0.11999999999999318</v>
      </c>
      <c r="BX262">
        <v>-16.359999999999996</v>
      </c>
      <c r="BY262">
        <v>19.880000000000003</v>
      </c>
      <c r="BZ262">
        <v>-5.6</v>
      </c>
      <c r="CA262">
        <v>1.9599999999999997</v>
      </c>
      <c r="CB262">
        <v>22</v>
      </c>
      <c r="CC262">
        <v>-1.4827999999999997</v>
      </c>
      <c r="CD262">
        <v>-0.51164000000000021</v>
      </c>
      <c r="CE262">
        <v>-36.239999999999995</v>
      </c>
      <c r="CF262">
        <v>-0.3703499999999994</v>
      </c>
    </row>
    <row r="263" spans="1:84" x14ac:dyDescent="0.2">
      <c r="A263" s="39">
        <v>43800</v>
      </c>
      <c r="B263" s="22" t="s">
        <v>241</v>
      </c>
      <c r="C263" s="41" t="s">
        <v>265</v>
      </c>
      <c r="D263" s="22" t="s">
        <v>299</v>
      </c>
      <c r="E263">
        <v>22.6</v>
      </c>
      <c r="F263">
        <v>26</v>
      </c>
      <c r="G263">
        <v>10.6</v>
      </c>
      <c r="H263">
        <v>8.8000000000000007</v>
      </c>
      <c r="I263">
        <v>-5.5</v>
      </c>
      <c r="J263">
        <v>37.5</v>
      </c>
      <c r="L263" s="1" t="s">
        <v>265</v>
      </c>
      <c r="M263">
        <v>23</v>
      </c>
      <c r="N263">
        <v>-3.1352000000000002</v>
      </c>
      <c r="O263">
        <v>-0.32400000000000029</v>
      </c>
      <c r="P263">
        <v>-10.544000000000004</v>
      </c>
      <c r="Q263">
        <v>1.8000000000000003</v>
      </c>
      <c r="R263">
        <v>-7.0799999999999983</v>
      </c>
      <c r="S263">
        <v>-27.319999999999993</v>
      </c>
      <c r="T263">
        <v>-0.11999999999999988</v>
      </c>
      <c r="U263">
        <v>30</v>
      </c>
      <c r="V263">
        <v>29.5</v>
      </c>
      <c r="W263">
        <v>-3.88</v>
      </c>
      <c r="X263">
        <v>18</v>
      </c>
      <c r="Y263">
        <v>15.5</v>
      </c>
      <c r="Z263">
        <v>20</v>
      </c>
      <c r="AA263">
        <v>-2.2299210040452978E-2</v>
      </c>
      <c r="AB263">
        <v>11</v>
      </c>
      <c r="AC263">
        <v>5.0643597799620767E-3</v>
      </c>
      <c r="AD263">
        <v>20</v>
      </c>
      <c r="AE263">
        <v>0.92399999999999805</v>
      </c>
      <c r="AF263">
        <v>11</v>
      </c>
      <c r="AG263">
        <v>0.75999999999999979</v>
      </c>
      <c r="AH263">
        <v>-3.4800000000000013</v>
      </c>
      <c r="AI263">
        <v>-5.2799999999999994</v>
      </c>
      <c r="AJ263">
        <v>-1.6800000000000002</v>
      </c>
      <c r="AK263">
        <v>-57.959999999999994</v>
      </c>
      <c r="AL263">
        <v>-32.04</v>
      </c>
      <c r="AM263">
        <v>-15.640000000000004</v>
      </c>
      <c r="AN263">
        <v>-4.5200000000000005</v>
      </c>
      <c r="AO263">
        <v>-5.76</v>
      </c>
      <c r="AP263">
        <v>19</v>
      </c>
      <c r="AQ263">
        <v>-2.8111999999999999</v>
      </c>
      <c r="AR263">
        <v>-1.8810399999999998</v>
      </c>
      <c r="AS263">
        <v>-16.399999999999995</v>
      </c>
      <c r="AT263">
        <v>2.8111999999999999</v>
      </c>
      <c r="AU263">
        <v>-1.7554000000000001</v>
      </c>
      <c r="AV263">
        <v>0.6042500000000004</v>
      </c>
      <c r="AW263">
        <v>-1.3204000000000002</v>
      </c>
      <c r="AX263" t="s">
        <v>299</v>
      </c>
      <c r="AY263">
        <v>3</v>
      </c>
      <c r="AZ263">
        <v>5.4072000000000013</v>
      </c>
      <c r="BA263">
        <v>3.9880000000000009</v>
      </c>
      <c r="BB263">
        <v>-6.5919999999999987</v>
      </c>
      <c r="BC263">
        <v>-1.24</v>
      </c>
      <c r="BD263">
        <v>9.3960000000000008</v>
      </c>
      <c r="BE263">
        <v>40.440000000000005</v>
      </c>
      <c r="BF263">
        <v>1.9999999999999993</v>
      </c>
      <c r="BG263">
        <v>12</v>
      </c>
      <c r="BH263">
        <v>12.5</v>
      </c>
      <c r="BI263">
        <v>1.9600000000000004</v>
      </c>
      <c r="BJ263">
        <v>24</v>
      </c>
      <c r="BK263">
        <v>21</v>
      </c>
      <c r="BL263">
        <v>26</v>
      </c>
      <c r="BM263">
        <v>-3.1228005055085616E-2</v>
      </c>
      <c r="BN263">
        <v>23</v>
      </c>
      <c r="BO263">
        <v>-6.8051663324504878E-3</v>
      </c>
      <c r="BP263">
        <v>5</v>
      </c>
      <c r="BQ263">
        <v>-7.0330000000000013</v>
      </c>
      <c r="BR263">
        <v>30</v>
      </c>
      <c r="BS263">
        <v>-4.0400000000000009</v>
      </c>
      <c r="BT263">
        <v>1.7599999999999993</v>
      </c>
      <c r="BU263">
        <v>6.8</v>
      </c>
      <c r="BV263">
        <v>0.55999999999999983</v>
      </c>
      <c r="BW263">
        <v>49.919999999999995</v>
      </c>
      <c r="BX263">
        <v>44.56</v>
      </c>
      <c r="BY263">
        <v>-1.2400000000000007</v>
      </c>
      <c r="BZ263">
        <v>4.4799999999999995</v>
      </c>
      <c r="CA263">
        <v>2.12</v>
      </c>
      <c r="CB263">
        <v>13</v>
      </c>
      <c r="CC263">
        <v>1.4192</v>
      </c>
      <c r="CD263">
        <v>0.96664000000000017</v>
      </c>
      <c r="CE263">
        <v>45.800000000000004</v>
      </c>
      <c r="CF263">
        <v>2.528900000000001</v>
      </c>
    </row>
    <row r="264" spans="1:84" x14ac:dyDescent="0.2">
      <c r="A264" s="39">
        <v>43800</v>
      </c>
      <c r="B264" s="22" t="s">
        <v>241</v>
      </c>
      <c r="C264" s="17" t="s">
        <v>272</v>
      </c>
      <c r="D264" s="22" t="s">
        <v>298</v>
      </c>
      <c r="E264">
        <v>16.899999999999999</v>
      </c>
      <c r="F264">
        <v>10.6</v>
      </c>
      <c r="G264">
        <v>4.0999999999999996</v>
      </c>
      <c r="H264">
        <v>12.3</v>
      </c>
      <c r="I264">
        <v>2.5</v>
      </c>
      <c r="J264">
        <v>43</v>
      </c>
      <c r="K264" t="s">
        <v>109</v>
      </c>
      <c r="L264" s="1" t="s">
        <v>272</v>
      </c>
      <c r="M264">
        <v>27</v>
      </c>
      <c r="N264">
        <v>-3.5823999999999989</v>
      </c>
      <c r="O264">
        <v>1.1839999999999997</v>
      </c>
      <c r="P264">
        <v>15.160000000000002</v>
      </c>
      <c r="Q264">
        <v>-0.31999999999999995</v>
      </c>
      <c r="R264">
        <v>-5.4200000000000026</v>
      </c>
      <c r="S264">
        <v>-7.2799999999999958</v>
      </c>
      <c r="T264">
        <v>1.1599999999999993</v>
      </c>
      <c r="U264">
        <v>12</v>
      </c>
      <c r="V264">
        <v>11.5</v>
      </c>
      <c r="W264">
        <v>-2</v>
      </c>
      <c r="X264">
        <v>10</v>
      </c>
      <c r="Y264">
        <v>12.75</v>
      </c>
      <c r="Z264">
        <v>13</v>
      </c>
      <c r="AA264">
        <v>2.0638211933368188E-2</v>
      </c>
      <c r="AB264">
        <v>15</v>
      </c>
      <c r="AC264">
        <v>1.9499198044581416E-3</v>
      </c>
      <c r="AD264">
        <v>11</v>
      </c>
      <c r="AE264">
        <v>-3.3760000000000021</v>
      </c>
      <c r="AF264">
        <v>12</v>
      </c>
      <c r="AG264">
        <v>0.6</v>
      </c>
      <c r="AH264">
        <v>1.3999999999999986</v>
      </c>
      <c r="AI264">
        <v>-4.2</v>
      </c>
      <c r="AJ264">
        <v>-1.0399999999999998</v>
      </c>
      <c r="AK264">
        <v>-1.7599999999999909</v>
      </c>
      <c r="AL264">
        <v>-15.119999999999994</v>
      </c>
      <c r="AM264">
        <v>9.52</v>
      </c>
      <c r="AN264">
        <v>1.0799999999999998</v>
      </c>
      <c r="AO264">
        <v>2.7599999999999993</v>
      </c>
      <c r="AP264">
        <v>23</v>
      </c>
      <c r="AQ264">
        <v>-4.7663999999999991</v>
      </c>
      <c r="AR264">
        <v>-2.3924799999999999</v>
      </c>
      <c r="AS264">
        <v>-24.639999999999993</v>
      </c>
      <c r="AT264">
        <v>4.7663999999999991</v>
      </c>
      <c r="AU264">
        <v>-0.88730000000000031</v>
      </c>
      <c r="AV264">
        <v>0.39348749999999988</v>
      </c>
      <c r="AW264">
        <v>0.45437500000000003</v>
      </c>
      <c r="AX264" t="s">
        <v>298</v>
      </c>
      <c r="AY264">
        <v>9</v>
      </c>
      <c r="AZ264">
        <v>3.1048000000000004</v>
      </c>
      <c r="BA264">
        <v>-5.1840000000000002</v>
      </c>
      <c r="BB264">
        <v>-35.992000000000004</v>
      </c>
      <c r="BC264">
        <v>0.83999999999999986</v>
      </c>
      <c r="BD264">
        <v>6.8439999999999976</v>
      </c>
      <c r="BE264">
        <v>18.600000000000001</v>
      </c>
      <c r="BF264">
        <v>0.52</v>
      </c>
      <c r="BG264">
        <v>24</v>
      </c>
      <c r="BH264">
        <v>23</v>
      </c>
      <c r="BI264">
        <v>-0.2</v>
      </c>
      <c r="BJ264">
        <v>23</v>
      </c>
      <c r="BK264">
        <v>20</v>
      </c>
      <c r="BL264">
        <v>32</v>
      </c>
      <c r="BM264">
        <v>-9.9181619144643671E-2</v>
      </c>
      <c r="BN264">
        <v>22</v>
      </c>
      <c r="BO264">
        <v>-5.60884888565136E-3</v>
      </c>
      <c r="BP264">
        <v>11</v>
      </c>
      <c r="BQ264">
        <v>-2.961000000000003</v>
      </c>
      <c r="BR264">
        <v>15</v>
      </c>
      <c r="BS264">
        <v>0.31999999999999995</v>
      </c>
      <c r="BT264">
        <v>0.32000000000000028</v>
      </c>
      <c r="BU264">
        <v>0.99999999999999967</v>
      </c>
      <c r="BV264">
        <v>-0.19999999999999996</v>
      </c>
      <c r="BW264">
        <v>-33.559999999999988</v>
      </c>
      <c r="BX264">
        <v>14.8</v>
      </c>
      <c r="BY264">
        <v>-36.44</v>
      </c>
      <c r="BZ264">
        <v>-5.44</v>
      </c>
      <c r="CA264">
        <v>-6.4799999999999995</v>
      </c>
      <c r="CB264">
        <v>3</v>
      </c>
      <c r="CC264">
        <v>8.2888000000000019</v>
      </c>
      <c r="CD264">
        <v>4.5817600000000001</v>
      </c>
      <c r="CE264">
        <v>51.239999999999995</v>
      </c>
      <c r="CF264">
        <v>0.33259999999999978</v>
      </c>
    </row>
    <row r="265" spans="1:84" x14ac:dyDescent="0.2">
      <c r="A265" s="39">
        <v>43800</v>
      </c>
      <c r="B265" s="22" t="s">
        <v>241</v>
      </c>
      <c r="C265" s="41" t="s">
        <v>281</v>
      </c>
      <c r="D265" s="22" t="s">
        <v>309</v>
      </c>
      <c r="E265">
        <v>5.9</v>
      </c>
      <c r="F265">
        <v>13.6</v>
      </c>
      <c r="G265">
        <v>0</v>
      </c>
      <c r="H265">
        <v>8.1</v>
      </c>
      <c r="I265">
        <v>-1</v>
      </c>
      <c r="J265">
        <v>40</v>
      </c>
      <c r="L265" s="1" t="s">
        <v>281</v>
      </c>
      <c r="M265">
        <v>11</v>
      </c>
      <c r="N265">
        <v>2.1839999999999993</v>
      </c>
      <c r="O265">
        <v>7.1959999999999997</v>
      </c>
      <c r="P265">
        <v>20.199999999999996</v>
      </c>
      <c r="Q265">
        <v>2.2800000000000002</v>
      </c>
      <c r="R265">
        <v>1.2399999999999993</v>
      </c>
      <c r="S265">
        <v>6.879999999999999</v>
      </c>
      <c r="T265">
        <v>-0.16000000000000147</v>
      </c>
      <c r="U265">
        <v>4</v>
      </c>
      <c r="V265">
        <v>7</v>
      </c>
      <c r="W265">
        <v>-0.35999999999999976</v>
      </c>
      <c r="X265">
        <v>30</v>
      </c>
      <c r="Y265">
        <v>29</v>
      </c>
      <c r="Z265">
        <v>31</v>
      </c>
      <c r="AA265">
        <v>-8.0699115689901915E-2</v>
      </c>
      <c r="AB265">
        <v>30</v>
      </c>
      <c r="AC265">
        <v>-2.7808466700446888E-2</v>
      </c>
      <c r="AD265">
        <v>24</v>
      </c>
      <c r="AE265">
        <v>3.3559999999999945</v>
      </c>
      <c r="AF265">
        <v>31</v>
      </c>
      <c r="AG265">
        <v>-5.4399999999999995</v>
      </c>
      <c r="AH265">
        <v>3.88</v>
      </c>
      <c r="AI265">
        <v>5.2</v>
      </c>
      <c r="AJ265">
        <v>-1.2400000000000002</v>
      </c>
      <c r="AK265">
        <v>22.04</v>
      </c>
      <c r="AL265">
        <v>11.600000000000005</v>
      </c>
      <c r="AM265">
        <v>19.360000000000003</v>
      </c>
      <c r="AN265">
        <v>-4.32</v>
      </c>
      <c r="AO265">
        <v>-4.5999999999999996</v>
      </c>
      <c r="AP265">
        <v>24</v>
      </c>
      <c r="AQ265">
        <v>-5.0120000000000005</v>
      </c>
      <c r="AR265">
        <v>-2.9132000000000002</v>
      </c>
      <c r="AS265">
        <v>-7.759999999999998</v>
      </c>
      <c r="AT265">
        <v>5.0120000000000005</v>
      </c>
      <c r="AU265">
        <v>1.5324999999999998</v>
      </c>
      <c r="AV265">
        <v>-1.1652281250000001</v>
      </c>
      <c r="AW265">
        <v>-0.47775624999999999</v>
      </c>
      <c r="AX265" t="s">
        <v>309</v>
      </c>
      <c r="AY265">
        <v>31</v>
      </c>
      <c r="AZ265">
        <v>-2.0456000000000008</v>
      </c>
      <c r="BA265">
        <v>-6.9720000000000004</v>
      </c>
      <c r="BB265">
        <v>-12.880000000000003</v>
      </c>
      <c r="BC265">
        <v>-0.88</v>
      </c>
      <c r="BD265">
        <v>-3.2039999999999997</v>
      </c>
      <c r="BE265">
        <v>-18.279999999999994</v>
      </c>
      <c r="BF265">
        <v>-0.43999999999999978</v>
      </c>
      <c r="BG265">
        <v>30</v>
      </c>
      <c r="BH265">
        <v>27.5</v>
      </c>
      <c r="BI265">
        <v>3.04</v>
      </c>
      <c r="BJ265">
        <v>1</v>
      </c>
      <c r="BK265">
        <v>5.25</v>
      </c>
      <c r="BL265">
        <v>2</v>
      </c>
      <c r="BM265">
        <v>0.14617023681082211</v>
      </c>
      <c r="BN265">
        <v>1</v>
      </c>
      <c r="BO265">
        <v>4.1530291182080327E-2</v>
      </c>
      <c r="BP265">
        <v>16</v>
      </c>
      <c r="BQ265">
        <v>-0.84000000000000341</v>
      </c>
      <c r="BR265">
        <v>2</v>
      </c>
      <c r="BS265">
        <v>5.88</v>
      </c>
      <c r="BT265">
        <v>-1.9200000000000004</v>
      </c>
      <c r="BU265">
        <v>-5.28</v>
      </c>
      <c r="BV265">
        <v>1.4</v>
      </c>
      <c r="BW265">
        <v>-42.279999999999987</v>
      </c>
      <c r="BX265">
        <v>-27.959999999999997</v>
      </c>
      <c r="BY265">
        <v>-14.680000000000001</v>
      </c>
      <c r="BZ265">
        <v>2.92</v>
      </c>
      <c r="CA265">
        <v>-2.5599999999999996</v>
      </c>
      <c r="CB265">
        <v>6</v>
      </c>
      <c r="CC265">
        <v>4.9263999999999992</v>
      </c>
      <c r="CD265">
        <v>2.43608</v>
      </c>
      <c r="CE265">
        <v>-13.279999999999996</v>
      </c>
      <c r="CF265">
        <v>-1.8527</v>
      </c>
    </row>
    <row r="266" spans="1:84" x14ac:dyDescent="0.2">
      <c r="A266" s="39">
        <v>43800</v>
      </c>
      <c r="B266" s="22" t="s">
        <v>241</v>
      </c>
      <c r="C266" s="41" t="s">
        <v>291</v>
      </c>
      <c r="D266" s="22" t="s">
        <v>276</v>
      </c>
      <c r="E266">
        <v>16.5</v>
      </c>
      <c r="F266">
        <v>9.3000000000000007</v>
      </c>
      <c r="G266">
        <v>8.5</v>
      </c>
      <c r="H266">
        <f>18.2+2.9</f>
        <v>21.099999999999998</v>
      </c>
      <c r="I266">
        <v>-6.5</v>
      </c>
      <c r="J266">
        <v>46.5</v>
      </c>
      <c r="L266" s="1" t="s">
        <v>291</v>
      </c>
      <c r="M266">
        <v>2</v>
      </c>
      <c r="N266">
        <v>5.5495999999999999</v>
      </c>
      <c r="O266">
        <v>0.43199999999999994</v>
      </c>
      <c r="P266">
        <v>0.2879999999999967</v>
      </c>
      <c r="Q266">
        <v>0.36</v>
      </c>
      <c r="R266">
        <v>14.685600000000001</v>
      </c>
      <c r="S266">
        <v>69.84</v>
      </c>
      <c r="T266">
        <v>7.1999999999999993</v>
      </c>
      <c r="U266">
        <v>11</v>
      </c>
      <c r="V266">
        <v>9.5</v>
      </c>
      <c r="W266">
        <v>-0.56000000000000016</v>
      </c>
      <c r="X266">
        <v>26</v>
      </c>
      <c r="Y266">
        <v>22.25</v>
      </c>
      <c r="Z266">
        <v>18</v>
      </c>
      <c r="AA266">
        <v>-5.7842792611446535E-3</v>
      </c>
      <c r="AB266">
        <v>32</v>
      </c>
      <c r="AC266">
        <v>-4.7789913210744134E-2</v>
      </c>
      <c r="AD266">
        <v>16</v>
      </c>
      <c r="AE266">
        <v>-0.3</v>
      </c>
      <c r="AF266">
        <v>23</v>
      </c>
      <c r="AG266">
        <v>-1.64</v>
      </c>
      <c r="AH266">
        <v>5.68</v>
      </c>
      <c r="AI266">
        <v>2.4</v>
      </c>
      <c r="AJ266">
        <v>-0.27999999999999992</v>
      </c>
      <c r="AK266">
        <v>74</v>
      </c>
      <c r="AL266">
        <v>83.919999999999987</v>
      </c>
      <c r="AM266">
        <v>-8.4000000000000021</v>
      </c>
      <c r="AN266">
        <v>-1</v>
      </c>
      <c r="AO266">
        <v>-0.52000000000000046</v>
      </c>
      <c r="AP266">
        <v>8</v>
      </c>
      <c r="AQ266">
        <v>5.1175999999999995</v>
      </c>
      <c r="AR266">
        <v>3.8310399999999998</v>
      </c>
      <c r="AS266">
        <v>92.32</v>
      </c>
      <c r="AT266">
        <v>-5.1175999999999995</v>
      </c>
      <c r="AU266">
        <v>2.5734000000000004</v>
      </c>
      <c r="AV266">
        <v>-0.97487499999999994</v>
      </c>
      <c r="AW266">
        <v>-0.5915499999999998</v>
      </c>
      <c r="AX266" t="s">
        <v>276</v>
      </c>
      <c r="AY266">
        <v>24</v>
      </c>
      <c r="AZ266">
        <v>-2.7328000000000001</v>
      </c>
      <c r="BA266">
        <v>1.0440000000000011</v>
      </c>
      <c r="BB266">
        <v>0.68800000000000239</v>
      </c>
      <c r="BC266">
        <v>3.12</v>
      </c>
      <c r="BD266">
        <v>-5.192800000000001</v>
      </c>
      <c r="BE266">
        <v>-36.480000000000004</v>
      </c>
      <c r="BF266">
        <v>0.68000000000000127</v>
      </c>
      <c r="BG266">
        <v>32</v>
      </c>
      <c r="BH266">
        <v>32</v>
      </c>
      <c r="BI266">
        <v>-3.8</v>
      </c>
      <c r="BJ266">
        <v>7</v>
      </c>
      <c r="BK266">
        <v>12.25</v>
      </c>
      <c r="BL266">
        <v>24</v>
      </c>
      <c r="BM266">
        <v>-2.2562964494103211E-2</v>
      </c>
      <c r="BN266">
        <v>3</v>
      </c>
      <c r="BO266">
        <v>2.7509753021974403E-2</v>
      </c>
      <c r="BP266">
        <v>17</v>
      </c>
      <c r="BQ266">
        <v>-0.3209999999999994</v>
      </c>
      <c r="BR266">
        <v>5</v>
      </c>
      <c r="BS266">
        <v>3.3200000000000003</v>
      </c>
      <c r="BT266">
        <v>-1.9600000000000022</v>
      </c>
      <c r="BU266">
        <v>-8.4400000000000013</v>
      </c>
      <c r="BV266">
        <v>0.48000000000000009</v>
      </c>
      <c r="BW266">
        <v>-16.95999999999999</v>
      </c>
      <c r="BX266">
        <v>-7.6400000000000032</v>
      </c>
      <c r="BY266">
        <v>-6.9999999999999973</v>
      </c>
      <c r="BZ266">
        <v>-0.96000000000000019</v>
      </c>
      <c r="CA266">
        <v>-1.36</v>
      </c>
      <c r="CB266">
        <v>24</v>
      </c>
      <c r="CC266">
        <v>-3.7768000000000015</v>
      </c>
      <c r="CD266">
        <v>-2.107120000000001</v>
      </c>
      <c r="CE266">
        <v>-0.6400000000000059</v>
      </c>
      <c r="CF266">
        <v>-1.3582000000000001</v>
      </c>
    </row>
    <row r="267" spans="1:84" x14ac:dyDescent="0.2">
      <c r="A267" s="39">
        <v>43800</v>
      </c>
      <c r="B267" t="s">
        <v>241</v>
      </c>
      <c r="C267" s="41" t="s">
        <v>278</v>
      </c>
      <c r="D267" t="s">
        <v>287</v>
      </c>
      <c r="E267">
        <v>23.4</v>
      </c>
      <c r="F267">
        <v>3.2</v>
      </c>
      <c r="G267">
        <v>0</v>
      </c>
      <c r="H267">
        <v>8.1</v>
      </c>
      <c r="I267">
        <v>4.5</v>
      </c>
      <c r="J267">
        <v>39</v>
      </c>
      <c r="K267" t="s">
        <v>110</v>
      </c>
      <c r="L267" s="1" t="s">
        <v>278</v>
      </c>
      <c r="M267">
        <v>28</v>
      </c>
      <c r="N267">
        <v>-4.2231999999999994</v>
      </c>
      <c r="O267">
        <v>-4.0280000000000014</v>
      </c>
      <c r="P267">
        <v>6.7599999999999989</v>
      </c>
      <c r="Q267">
        <v>-2.04</v>
      </c>
      <c r="R267">
        <v>-6.9248000000000012</v>
      </c>
      <c r="S267">
        <v>-36.51</v>
      </c>
      <c r="T267">
        <v>0.33999999999999986</v>
      </c>
      <c r="U267">
        <v>10</v>
      </c>
      <c r="V267">
        <v>9</v>
      </c>
      <c r="W267">
        <v>-8.0000000000000071E-2</v>
      </c>
      <c r="X267">
        <v>22</v>
      </c>
      <c r="Y267">
        <v>20.25</v>
      </c>
      <c r="Z267">
        <v>15</v>
      </c>
      <c r="AA267">
        <v>1.4336063030227154E-2</v>
      </c>
      <c r="AB267">
        <v>19</v>
      </c>
      <c r="AC267">
        <v>-2.0121090931856933E-3</v>
      </c>
      <c r="AD267">
        <v>28</v>
      </c>
      <c r="AE267">
        <v>9.620000000000001</v>
      </c>
      <c r="AF267">
        <v>19</v>
      </c>
      <c r="AG267">
        <v>-1</v>
      </c>
      <c r="AH267">
        <v>-3.839999999999999</v>
      </c>
      <c r="AI267">
        <v>-0.88000000000000045</v>
      </c>
      <c r="AJ267">
        <v>-1.2</v>
      </c>
      <c r="AK267">
        <v>-53.239999999999995</v>
      </c>
      <c r="AL267">
        <v>-61.4</v>
      </c>
      <c r="AM267">
        <v>7.8799999999999981</v>
      </c>
      <c r="AN267">
        <v>0.43999999999999995</v>
      </c>
      <c r="AO267">
        <v>-0.1600000000000005</v>
      </c>
      <c r="AP267">
        <v>16</v>
      </c>
      <c r="AQ267">
        <v>-0.19519999999999788</v>
      </c>
      <c r="AR267">
        <v>-0.21559999999999935</v>
      </c>
      <c r="AS267">
        <v>-69.28</v>
      </c>
      <c r="AT267">
        <v>0.19519999999999804</v>
      </c>
      <c r="AU267">
        <v>-1.7420000000000002</v>
      </c>
      <c r="AV267">
        <v>-0.50552499999999989</v>
      </c>
      <c r="AW267">
        <v>1.5500000000004677E-3</v>
      </c>
      <c r="AX267" t="s">
        <v>287</v>
      </c>
      <c r="AY267">
        <v>26</v>
      </c>
      <c r="AZ267">
        <v>-3.2359999999999998</v>
      </c>
      <c r="BA267">
        <v>2.0239999999999991</v>
      </c>
      <c r="BB267">
        <v>-5.0000000000000009</v>
      </c>
      <c r="BC267">
        <v>2.2000000000000002</v>
      </c>
      <c r="BD267">
        <v>-9.0488000000000017</v>
      </c>
      <c r="BE267">
        <v>-32.96</v>
      </c>
      <c r="BF267">
        <v>-4.2</v>
      </c>
      <c r="BG267">
        <v>3</v>
      </c>
      <c r="BH267">
        <v>3.5</v>
      </c>
      <c r="BI267">
        <v>1.9600000000000002</v>
      </c>
      <c r="BJ267">
        <v>25</v>
      </c>
      <c r="BK267">
        <v>21.5</v>
      </c>
      <c r="BL267">
        <v>20</v>
      </c>
      <c r="BM267">
        <v>-1.3252650849309756E-2</v>
      </c>
      <c r="BN267">
        <v>25</v>
      </c>
      <c r="BO267">
        <v>-1.1462043950596811E-2</v>
      </c>
      <c r="BP267">
        <v>18</v>
      </c>
      <c r="BQ267">
        <v>0.65600000000000025</v>
      </c>
      <c r="BR267">
        <v>23</v>
      </c>
      <c r="BS267">
        <v>-1.4800000000000002</v>
      </c>
      <c r="BT267">
        <v>-1</v>
      </c>
      <c r="BU267">
        <v>-1.0800000000000005</v>
      </c>
      <c r="BV267">
        <v>0.83999999999999986</v>
      </c>
      <c r="BW267">
        <v>-31.800000000000011</v>
      </c>
      <c r="BX267">
        <v>-30.799999999999994</v>
      </c>
      <c r="BY267">
        <v>-4.8000000000000025</v>
      </c>
      <c r="BZ267">
        <v>-3</v>
      </c>
      <c r="CA267">
        <v>6.8</v>
      </c>
      <c r="CB267">
        <v>28</v>
      </c>
      <c r="CC267">
        <v>-5.2599999999999989</v>
      </c>
      <c r="CD267">
        <v>-3.4689599999999996</v>
      </c>
      <c r="CE267">
        <v>-25.999999999999993</v>
      </c>
      <c r="CF267">
        <v>-1.0126000000000002</v>
      </c>
    </row>
    <row r="268" spans="1:84" x14ac:dyDescent="0.2">
      <c r="A268" s="39">
        <v>43800</v>
      </c>
      <c r="B268" s="22" t="s">
        <v>241</v>
      </c>
      <c r="C268" s="41" t="s">
        <v>299</v>
      </c>
      <c r="D268" s="22" t="s">
        <v>265</v>
      </c>
      <c r="E268">
        <v>28.8</v>
      </c>
      <c r="F268">
        <v>13</v>
      </c>
      <c r="G268">
        <v>6.2</v>
      </c>
      <c r="H268">
        <v>7.8</v>
      </c>
      <c r="I268">
        <v>5.5</v>
      </c>
      <c r="J268">
        <v>37.5</v>
      </c>
      <c r="L268" s="1" t="s">
        <v>299</v>
      </c>
      <c r="M268">
        <v>5</v>
      </c>
      <c r="N268">
        <v>4.3392000000000008</v>
      </c>
      <c r="O268">
        <v>-4.3280000000000003</v>
      </c>
      <c r="P268">
        <v>-13.28</v>
      </c>
      <c r="Q268">
        <v>-7.9999999999999849E-2</v>
      </c>
      <c r="R268">
        <v>7.1271999999999966</v>
      </c>
      <c r="S268">
        <v>43.879999999999995</v>
      </c>
      <c r="T268">
        <v>3.04</v>
      </c>
      <c r="U268">
        <v>23</v>
      </c>
      <c r="V268">
        <v>22.5</v>
      </c>
      <c r="W268">
        <v>-4.0400000000000009</v>
      </c>
      <c r="X268">
        <v>5</v>
      </c>
      <c r="Y268">
        <v>9</v>
      </c>
      <c r="Z268">
        <v>6</v>
      </c>
      <c r="AA268">
        <v>4.9772128845381715E-2</v>
      </c>
      <c r="AB268">
        <v>12</v>
      </c>
      <c r="AC268">
        <v>4.2962658538756885E-3</v>
      </c>
      <c r="AD268">
        <v>9</v>
      </c>
      <c r="AE268">
        <v>-4.0719999999999956</v>
      </c>
      <c r="AF268">
        <v>9</v>
      </c>
      <c r="AG268">
        <v>1.72</v>
      </c>
      <c r="AH268">
        <v>1.5200000000000018</v>
      </c>
      <c r="AI268">
        <v>-0.6399999999999999</v>
      </c>
      <c r="AJ268">
        <v>-0.55999999999999994</v>
      </c>
      <c r="AK268">
        <v>40.839999999999996</v>
      </c>
      <c r="AL268">
        <v>45.280000000000008</v>
      </c>
      <c r="AM268">
        <v>-9.1599999999999966</v>
      </c>
      <c r="AN268">
        <v>-3.2</v>
      </c>
      <c r="AO268">
        <v>7.92</v>
      </c>
      <c r="AP268">
        <v>3</v>
      </c>
      <c r="AQ268">
        <v>8.6672000000000011</v>
      </c>
      <c r="AR268">
        <v>4.4572799999999999</v>
      </c>
      <c r="AS268">
        <v>54.440000000000005</v>
      </c>
      <c r="AT268">
        <v>-8.6672000000000011</v>
      </c>
      <c r="AU268">
        <v>0.88229999999999964</v>
      </c>
      <c r="AV268">
        <v>0.6042500000000004</v>
      </c>
      <c r="AW268">
        <v>2.528900000000001</v>
      </c>
      <c r="AX268" t="s">
        <v>265</v>
      </c>
      <c r="AY268">
        <v>29</v>
      </c>
      <c r="AZ268">
        <v>-4.5671999999999997</v>
      </c>
      <c r="BA268">
        <v>0.64399999999999957</v>
      </c>
      <c r="BB268">
        <v>9.5599999999999969</v>
      </c>
      <c r="BC268">
        <v>-0.32000000000000006</v>
      </c>
      <c r="BD268">
        <v>-6.7600000000000007</v>
      </c>
      <c r="BE268">
        <v>-28.462800000000005</v>
      </c>
      <c r="BF268">
        <v>-1.1099999999999992</v>
      </c>
      <c r="BG268">
        <v>15</v>
      </c>
      <c r="BH268">
        <v>13</v>
      </c>
      <c r="BI268">
        <v>0.75999999999999979</v>
      </c>
      <c r="BJ268">
        <v>32</v>
      </c>
      <c r="BK268">
        <v>29.25</v>
      </c>
      <c r="BL268">
        <v>28</v>
      </c>
      <c r="BM268">
        <v>-5.2416238103274768E-2</v>
      </c>
      <c r="BN268">
        <v>29</v>
      </c>
      <c r="BO268">
        <v>-2.4252332160678798E-2</v>
      </c>
      <c r="BP268">
        <v>29</v>
      </c>
      <c r="BQ268">
        <v>10.120000000000001</v>
      </c>
      <c r="BR268">
        <v>31</v>
      </c>
      <c r="BS268">
        <v>-4.12</v>
      </c>
      <c r="BT268">
        <v>0.440000000000002</v>
      </c>
      <c r="BU268">
        <v>-2.3200000000000003</v>
      </c>
      <c r="BV268">
        <v>-0.64</v>
      </c>
      <c r="BW268">
        <v>-38.519999999999996</v>
      </c>
      <c r="BX268">
        <v>-41.399999999999991</v>
      </c>
      <c r="BY268">
        <v>9.56</v>
      </c>
      <c r="BZ268">
        <v>1.1199999999999997</v>
      </c>
      <c r="CA268">
        <v>-7.8</v>
      </c>
      <c r="CB268">
        <v>27</v>
      </c>
      <c r="CC268">
        <v>-5.2111999999999998</v>
      </c>
      <c r="CD268">
        <v>-2.5874399999999995</v>
      </c>
      <c r="CE268">
        <v>-50.959999999999994</v>
      </c>
      <c r="CF268">
        <v>-1.3204000000000002</v>
      </c>
    </row>
    <row r="269" spans="1:84" x14ac:dyDescent="0.2">
      <c r="A269" s="39">
        <v>43800</v>
      </c>
      <c r="B269" s="22" t="s">
        <v>241</v>
      </c>
      <c r="C269" s="41" t="s">
        <v>300</v>
      </c>
      <c r="D269" s="22" t="s">
        <v>296</v>
      </c>
      <c r="E269">
        <v>24.4</v>
      </c>
      <c r="F269">
        <v>22.3</v>
      </c>
      <c r="G269">
        <v>4</v>
      </c>
      <c r="H269">
        <v>9.6999999999999993</v>
      </c>
      <c r="I269">
        <v>-6.5</v>
      </c>
      <c r="J269">
        <v>43.5</v>
      </c>
      <c r="L269" s="1" t="s">
        <v>300</v>
      </c>
      <c r="M269">
        <v>21</v>
      </c>
      <c r="N269">
        <v>-0.92639999999999922</v>
      </c>
      <c r="O269">
        <v>5.0844000000000005</v>
      </c>
      <c r="P269">
        <v>-9.2799999999999976</v>
      </c>
      <c r="Q269">
        <v>1.3199999999999998</v>
      </c>
      <c r="R269">
        <v>-4.0679999999999987</v>
      </c>
      <c r="S269">
        <v>-31.84</v>
      </c>
      <c r="T269">
        <v>-0.91999999999999926</v>
      </c>
      <c r="U269">
        <v>31</v>
      </c>
      <c r="V269">
        <v>31</v>
      </c>
      <c r="W269">
        <v>-3.8400000000000007</v>
      </c>
      <c r="X269">
        <v>16</v>
      </c>
      <c r="Y269">
        <v>14.5</v>
      </c>
      <c r="Z269">
        <v>17</v>
      </c>
      <c r="AA269">
        <v>-4.3262657141531881E-3</v>
      </c>
      <c r="AB269">
        <v>14</v>
      </c>
      <c r="AC269">
        <v>3.1396143023708382E-3</v>
      </c>
      <c r="AD269">
        <v>3</v>
      </c>
      <c r="AE269">
        <v>-13.435999999999998</v>
      </c>
      <c r="AF269">
        <v>24</v>
      </c>
      <c r="AG269">
        <v>-1.8399999999999999</v>
      </c>
      <c r="AH269">
        <v>-1.4799999999999982</v>
      </c>
      <c r="AI269">
        <v>-2.0800000000000005</v>
      </c>
      <c r="AJ269">
        <v>-1.9600000000000002</v>
      </c>
      <c r="AK269">
        <v>-35.479999999999983</v>
      </c>
      <c r="AL269">
        <v>-18.160000000000004</v>
      </c>
      <c r="AM269">
        <v>-11.959999999999999</v>
      </c>
      <c r="AN269">
        <v>2.2800000000000002</v>
      </c>
      <c r="AO269">
        <v>-7.6400000000000006</v>
      </c>
      <c r="AP269">
        <v>27</v>
      </c>
      <c r="AQ269">
        <v>-6.0107999999999997</v>
      </c>
      <c r="AR269">
        <v>-3.54108</v>
      </c>
      <c r="AS269">
        <v>-6.2000000000000046</v>
      </c>
      <c r="AT269">
        <v>6.0107999999999997</v>
      </c>
      <c r="AU269">
        <v>-0.32374999999999976</v>
      </c>
      <c r="AV269">
        <v>0.60505000000000009</v>
      </c>
      <c r="AW269">
        <v>-0.13850000000000007</v>
      </c>
      <c r="AX269" t="s">
        <v>296</v>
      </c>
      <c r="AY269">
        <v>5</v>
      </c>
      <c r="AZ269">
        <v>3.5568000000000013</v>
      </c>
      <c r="BA269">
        <v>-5.7679999999999989</v>
      </c>
      <c r="BB269">
        <v>-1.6000000000000023</v>
      </c>
      <c r="BC269">
        <v>-0.16000000000000006</v>
      </c>
      <c r="BD269">
        <v>9.56</v>
      </c>
      <c r="BE269">
        <v>36.239999999999995</v>
      </c>
      <c r="BF269">
        <v>-1.92</v>
      </c>
      <c r="BG269">
        <v>2</v>
      </c>
      <c r="BH269">
        <v>3</v>
      </c>
      <c r="BI269">
        <v>5.92</v>
      </c>
      <c r="BJ269">
        <v>29</v>
      </c>
      <c r="BK269">
        <v>24</v>
      </c>
      <c r="BL269">
        <v>11</v>
      </c>
      <c r="BM269">
        <v>4.8248048271195441E-3</v>
      </c>
      <c r="BN269">
        <v>27</v>
      </c>
      <c r="BO269">
        <v>-1.8441992382289586E-2</v>
      </c>
      <c r="BP269">
        <v>31</v>
      </c>
      <c r="BQ269">
        <v>13.284000000000002</v>
      </c>
      <c r="BR269">
        <v>27</v>
      </c>
      <c r="BS269">
        <v>-2.3199999999999994</v>
      </c>
      <c r="BT269">
        <v>-0.51999999999999891</v>
      </c>
      <c r="BU269">
        <v>5.6</v>
      </c>
      <c r="BV269">
        <v>3.28</v>
      </c>
      <c r="BW269">
        <v>4.1599999999999913</v>
      </c>
      <c r="BX269">
        <v>8.1200000000000099</v>
      </c>
      <c r="BY269">
        <v>-3.1599999999999993</v>
      </c>
      <c r="BZ269">
        <v>-0.84000000000000008</v>
      </c>
      <c r="CA269">
        <v>3.9999999999999147E-2</v>
      </c>
      <c r="CB269">
        <v>2</v>
      </c>
      <c r="CC269">
        <v>9.3248000000000015</v>
      </c>
      <c r="CD269">
        <v>5.5073600000000003</v>
      </c>
      <c r="CE269">
        <v>11.280000000000008</v>
      </c>
      <c r="CF269">
        <v>1.3486000000000002</v>
      </c>
    </row>
    <row r="270" spans="1:84" x14ac:dyDescent="0.2">
      <c r="A270" s="39">
        <v>43800</v>
      </c>
      <c r="B270" s="22" t="s">
        <v>241</v>
      </c>
      <c r="C270" s="41" t="s">
        <v>311</v>
      </c>
      <c r="D270" s="22" t="s">
        <v>302</v>
      </c>
      <c r="E270">
        <v>15.64</v>
      </c>
      <c r="F270">
        <v>15.1</v>
      </c>
      <c r="G270">
        <v>1.8</v>
      </c>
      <c r="H270">
        <f>10.3+2.9</f>
        <v>13.200000000000001</v>
      </c>
      <c r="I270">
        <v>3.5</v>
      </c>
      <c r="J270">
        <v>47</v>
      </c>
      <c r="L270" s="4" t="s">
        <v>311</v>
      </c>
      <c r="M270" s="3">
        <v>6</v>
      </c>
      <c r="N270" s="3">
        <v>3.8351999999999995</v>
      </c>
      <c r="O270">
        <v>-0.57200000000000095</v>
      </c>
      <c r="P270">
        <v>2.1199999999999988</v>
      </c>
      <c r="Q270">
        <v>-0.48</v>
      </c>
      <c r="R270">
        <v>9.8283999999999949</v>
      </c>
      <c r="S270">
        <v>23.759999999999998</v>
      </c>
      <c r="T270">
        <v>1.8999999999999995</v>
      </c>
      <c r="U270">
        <v>22</v>
      </c>
      <c r="V270">
        <v>20.5</v>
      </c>
      <c r="W270">
        <v>-3.6</v>
      </c>
      <c r="X270">
        <v>20</v>
      </c>
      <c r="Y270">
        <v>17.5</v>
      </c>
      <c r="Z270">
        <v>1</v>
      </c>
      <c r="AA270">
        <v>9.7473807654720274E-2</v>
      </c>
      <c r="AB270">
        <v>24</v>
      </c>
      <c r="AC270">
        <v>-1.8166648276536801E-2</v>
      </c>
      <c r="AD270">
        <v>15</v>
      </c>
      <c r="AE270">
        <v>-0.50799999999999979</v>
      </c>
      <c r="AF270">
        <v>30</v>
      </c>
      <c r="AG270">
        <v>-4</v>
      </c>
      <c r="AH270">
        <v>0.48000000000000115</v>
      </c>
      <c r="AI270">
        <v>1.4400000000000002</v>
      </c>
      <c r="AJ270">
        <v>-1.6799999999999997</v>
      </c>
      <c r="AK270">
        <v>20.919999999999995</v>
      </c>
      <c r="AL270">
        <v>17.68</v>
      </c>
      <c r="AM270">
        <v>0.75999999999999657</v>
      </c>
      <c r="AN270">
        <v>-3.16</v>
      </c>
      <c r="AO270">
        <v>5.6400000000000006</v>
      </c>
      <c r="AP270">
        <v>9</v>
      </c>
      <c r="AQ270">
        <v>4.4071999999999996</v>
      </c>
      <c r="AR270">
        <v>3.0187199999999996</v>
      </c>
      <c r="AS270">
        <v>16.920000000000002</v>
      </c>
      <c r="AT270">
        <v>-4.4072000000000005</v>
      </c>
      <c r="AU270">
        <v>1.596449999999999</v>
      </c>
      <c r="AV270">
        <v>-1.03685</v>
      </c>
      <c r="AW270">
        <v>0.48669999999999985</v>
      </c>
      <c r="AX270" t="s">
        <v>302</v>
      </c>
      <c r="AY270">
        <v>28</v>
      </c>
      <c r="AZ270">
        <v>-4.2055999999999996</v>
      </c>
      <c r="BA270">
        <v>-2.8360000000000003</v>
      </c>
      <c r="BB270">
        <v>-4.480000000000004</v>
      </c>
      <c r="BC270">
        <v>0.15999999999999998</v>
      </c>
      <c r="BD270">
        <v>-12.321599999999998</v>
      </c>
      <c r="BE270">
        <v>-40.382799999999996</v>
      </c>
      <c r="BF270">
        <v>-3.9900000000000007</v>
      </c>
      <c r="BG270">
        <v>24</v>
      </c>
      <c r="BH270">
        <v>23</v>
      </c>
      <c r="BI270">
        <v>-1.52</v>
      </c>
      <c r="BJ270">
        <v>5</v>
      </c>
      <c r="BK270">
        <v>9.75</v>
      </c>
      <c r="BL270">
        <v>1</v>
      </c>
      <c r="BM270">
        <v>0.17537797312214998</v>
      </c>
      <c r="BN270">
        <v>12</v>
      </c>
      <c r="BO270">
        <v>6.0378223884453687E-3</v>
      </c>
      <c r="BP270">
        <v>23</v>
      </c>
      <c r="BQ270">
        <v>2.8119999999999976</v>
      </c>
      <c r="BR270">
        <v>3</v>
      </c>
      <c r="BS270">
        <v>4.5600000000000005</v>
      </c>
      <c r="BT270">
        <v>-5.4400000000000031</v>
      </c>
      <c r="BU270">
        <v>-5.6800000000000015</v>
      </c>
      <c r="BV270">
        <v>0.27999999999999997</v>
      </c>
      <c r="BW270">
        <v>-59.52</v>
      </c>
      <c r="BX270">
        <v>-45.399999999999991</v>
      </c>
      <c r="BY270">
        <v>-5.3200000000000021</v>
      </c>
      <c r="BZ270">
        <v>-0.59999999999999987</v>
      </c>
      <c r="CA270">
        <v>-8.1999999999999993</v>
      </c>
      <c r="CB270">
        <v>21</v>
      </c>
      <c r="CC270">
        <v>-1.3695999999999995</v>
      </c>
      <c r="CD270">
        <v>-1.8874399999999993</v>
      </c>
      <c r="CE270">
        <v>-40.079999999999991</v>
      </c>
      <c r="CF270">
        <v>-2.5604</v>
      </c>
    </row>
    <row r="271" spans="1:84" x14ac:dyDescent="0.2">
      <c r="A271" s="39">
        <v>43800</v>
      </c>
      <c r="B271" s="22" t="s">
        <v>241</v>
      </c>
      <c r="C271" s="41" t="s">
        <v>289</v>
      </c>
      <c r="D271" s="22" t="s">
        <v>310</v>
      </c>
      <c r="E271" s="3">
        <v>20.9</v>
      </c>
      <c r="F271" s="3">
        <v>9.5</v>
      </c>
      <c r="G271" s="3">
        <v>2.2999999999999998</v>
      </c>
      <c r="H271">
        <f>19.3+4.1</f>
        <v>23.4</v>
      </c>
      <c r="I271">
        <v>1</v>
      </c>
      <c r="J271">
        <v>41.5</v>
      </c>
      <c r="L271" s="4" t="s">
        <v>289</v>
      </c>
      <c r="M271" s="3">
        <v>29</v>
      </c>
      <c r="N271" s="3">
        <v>-4.7607999999999988</v>
      </c>
      <c r="O271">
        <v>1.4999999999999991</v>
      </c>
      <c r="P271">
        <v>17.720000000000002</v>
      </c>
      <c r="Q271">
        <v>-0.84000000000000052</v>
      </c>
      <c r="R271">
        <v>-7.5093333333333323</v>
      </c>
      <c r="S271">
        <v>-40.960000000000008</v>
      </c>
      <c r="T271">
        <v>-2.1200000000000006</v>
      </c>
      <c r="U271">
        <v>19</v>
      </c>
      <c r="V271">
        <v>19.5</v>
      </c>
      <c r="W271">
        <v>-0.4799999999999997</v>
      </c>
      <c r="X271">
        <v>3</v>
      </c>
      <c r="Y271">
        <v>7.75</v>
      </c>
      <c r="Z271">
        <v>4</v>
      </c>
      <c r="AA271">
        <v>6.635663515963923E-2</v>
      </c>
      <c r="AB271">
        <v>8</v>
      </c>
      <c r="AC271">
        <v>8.7917790673854163E-3</v>
      </c>
      <c r="AD271">
        <v>13</v>
      </c>
      <c r="AE271">
        <v>-2.0400000000000063</v>
      </c>
      <c r="AF271">
        <v>6</v>
      </c>
      <c r="AG271">
        <v>2.8</v>
      </c>
      <c r="AH271">
        <v>0.11999999999999886</v>
      </c>
      <c r="AI271">
        <v>-2.6799999999999988</v>
      </c>
      <c r="AJ271">
        <v>-0.4</v>
      </c>
      <c r="AK271">
        <v>-24.880000000000006</v>
      </c>
      <c r="AL271">
        <v>-48.919999999999995</v>
      </c>
      <c r="AM271">
        <v>26.879999999999995</v>
      </c>
      <c r="AN271">
        <v>5.6800000000000006</v>
      </c>
      <c r="AO271">
        <v>-8.5200000000000014</v>
      </c>
      <c r="AP271">
        <v>28</v>
      </c>
      <c r="AQ271">
        <v>-6.2607999999999979</v>
      </c>
      <c r="AR271">
        <v>-3.2040266666666661</v>
      </c>
      <c r="AS271">
        <v>-75.799999999999983</v>
      </c>
      <c r="AT271">
        <v>6.2607999999999979</v>
      </c>
      <c r="AU271">
        <v>-1.6262666666666665</v>
      </c>
      <c r="AV271">
        <v>0.32849999999999985</v>
      </c>
      <c r="AW271">
        <v>-0.96802500000000025</v>
      </c>
      <c r="AX271" t="s">
        <v>310</v>
      </c>
      <c r="AY271">
        <v>11</v>
      </c>
      <c r="AZ271">
        <v>2.6912000000000003</v>
      </c>
      <c r="BA271">
        <v>-0.55999999999999905</v>
      </c>
      <c r="BB271">
        <v>2.9999999999999987</v>
      </c>
      <c r="BC271">
        <v>-0.27999999999999997</v>
      </c>
      <c r="BD271">
        <v>9.0689999999999973</v>
      </c>
      <c r="BE271">
        <v>34.19</v>
      </c>
      <c r="BF271">
        <v>3.7299999999999995</v>
      </c>
      <c r="BG271">
        <v>3</v>
      </c>
      <c r="BH271">
        <v>3.5</v>
      </c>
      <c r="BI271">
        <v>-1.1999999999999997</v>
      </c>
      <c r="BJ271">
        <v>15</v>
      </c>
      <c r="BK271">
        <v>15.75</v>
      </c>
      <c r="BL271">
        <v>16</v>
      </c>
      <c r="BM271">
        <v>-5.0599095405159059E-3</v>
      </c>
      <c r="BN271">
        <v>21</v>
      </c>
      <c r="BO271">
        <v>-4.9110954486394796E-3</v>
      </c>
      <c r="BP271">
        <v>13</v>
      </c>
      <c r="BQ271">
        <v>-2.0120000000000005</v>
      </c>
      <c r="BR271">
        <v>13</v>
      </c>
      <c r="BS271">
        <v>0.52000000000000024</v>
      </c>
      <c r="BT271">
        <v>6.7200000000000006</v>
      </c>
      <c r="BU271">
        <v>2.2800000000000002</v>
      </c>
      <c r="BV271">
        <v>-0.91999999999999993</v>
      </c>
      <c r="BW271">
        <v>46.440000000000012</v>
      </c>
      <c r="BX271">
        <v>43.879999999999995</v>
      </c>
      <c r="BY271">
        <v>6.5200000000000005</v>
      </c>
      <c r="BZ271">
        <v>-1.8399999999999999</v>
      </c>
      <c r="CA271">
        <v>-2.1199999999999997</v>
      </c>
      <c r="CB271">
        <v>9</v>
      </c>
      <c r="CC271">
        <v>3.251199999999999</v>
      </c>
      <c r="CD271">
        <v>2.632039999999999</v>
      </c>
      <c r="CE271">
        <v>37.359999999999992</v>
      </c>
      <c r="CF271">
        <v>1.6250249999999999</v>
      </c>
    </row>
    <row r="272" spans="1:84" x14ac:dyDescent="0.2">
      <c r="A272" s="39">
        <v>43800</v>
      </c>
      <c r="B272" s="22" t="s">
        <v>241</v>
      </c>
      <c r="C272" s="41" t="s">
        <v>297</v>
      </c>
      <c r="D272" s="22" t="s">
        <v>284</v>
      </c>
      <c r="E272">
        <v>6.7</v>
      </c>
      <c r="F272">
        <v>19</v>
      </c>
      <c r="G272">
        <v>9.6999999999999993</v>
      </c>
      <c r="H272">
        <v>1.6</v>
      </c>
      <c r="I272">
        <v>3</v>
      </c>
      <c r="J272">
        <v>46.5</v>
      </c>
      <c r="K272" t="s">
        <v>109</v>
      </c>
      <c r="L272" s="1" t="s">
        <v>297</v>
      </c>
      <c r="M272">
        <v>24</v>
      </c>
      <c r="N272">
        <v>-3.1927999999999992</v>
      </c>
      <c r="O272">
        <v>2.7079999999999997</v>
      </c>
      <c r="P272">
        <v>-17.88</v>
      </c>
      <c r="Q272">
        <v>3.28</v>
      </c>
      <c r="R272">
        <v>-4.7660000000000009</v>
      </c>
      <c r="S272">
        <v>-21.489999999999995</v>
      </c>
      <c r="T272">
        <v>1.23</v>
      </c>
      <c r="U272">
        <v>27</v>
      </c>
      <c r="V272">
        <v>27</v>
      </c>
      <c r="W272">
        <v>-0.88000000000000045</v>
      </c>
      <c r="X272">
        <v>7</v>
      </c>
      <c r="Y272">
        <v>11.25</v>
      </c>
      <c r="Z272">
        <v>7</v>
      </c>
      <c r="AA272">
        <v>4.4517621140186495E-2</v>
      </c>
      <c r="AB272">
        <v>17</v>
      </c>
      <c r="AC272">
        <v>-1.197444969262277E-3</v>
      </c>
      <c r="AD272">
        <v>18</v>
      </c>
      <c r="AE272">
        <v>3.9999999999992038E-3</v>
      </c>
      <c r="AF272">
        <v>3</v>
      </c>
      <c r="AG272">
        <v>3.6800000000000006</v>
      </c>
      <c r="AH272">
        <v>1.5599999999999981</v>
      </c>
      <c r="AI272">
        <v>-6.3599999999999985</v>
      </c>
      <c r="AJ272">
        <v>-0.99999999999999978</v>
      </c>
      <c r="AK272">
        <v>-9.1999999999999993</v>
      </c>
      <c r="AL272">
        <v>11.680000000000007</v>
      </c>
      <c r="AM272">
        <v>-22.920000000000005</v>
      </c>
      <c r="AN272">
        <v>-1.36</v>
      </c>
      <c r="AO272">
        <v>3.4000000000000008</v>
      </c>
      <c r="AP272">
        <v>26</v>
      </c>
      <c r="AQ272">
        <v>-5.9007999999999985</v>
      </c>
      <c r="AR272">
        <v>-2.9457599999999999</v>
      </c>
      <c r="AS272">
        <v>34.600000000000009</v>
      </c>
      <c r="AT272">
        <v>5.9007999999999985</v>
      </c>
      <c r="AU272">
        <v>-0.86635000000000006</v>
      </c>
      <c r="AV272">
        <v>0.9220624999999999</v>
      </c>
      <c r="AW272">
        <v>9.0774999999999689E-2</v>
      </c>
      <c r="AX272" t="s">
        <v>284</v>
      </c>
      <c r="AY272">
        <v>4</v>
      </c>
      <c r="AZ272">
        <v>3.6528000000000005</v>
      </c>
      <c r="BA272">
        <v>-4.5380000000000003</v>
      </c>
      <c r="BB272">
        <v>-16.96</v>
      </c>
      <c r="BC272">
        <v>0.45999999999999991</v>
      </c>
      <c r="BD272">
        <v>14.672000000000001</v>
      </c>
      <c r="BE272">
        <v>43.360000000000007</v>
      </c>
      <c r="BF272">
        <v>-0.24000000000000066</v>
      </c>
      <c r="BG272">
        <v>16</v>
      </c>
      <c r="BH272">
        <v>14</v>
      </c>
      <c r="BI272">
        <v>0.28000000000000008</v>
      </c>
      <c r="BJ272">
        <v>10</v>
      </c>
      <c r="BK272">
        <v>13.25</v>
      </c>
      <c r="BL272">
        <v>9</v>
      </c>
      <c r="BM272">
        <v>2.7111846225719161E-2</v>
      </c>
      <c r="BN272">
        <v>26</v>
      </c>
      <c r="BO272">
        <v>-1.2543018236525103E-2</v>
      </c>
      <c r="BP272">
        <v>6</v>
      </c>
      <c r="BQ272">
        <v>-5.3680000000000039</v>
      </c>
      <c r="BR272">
        <v>12</v>
      </c>
      <c r="BS272">
        <v>0.76000000000000012</v>
      </c>
      <c r="BT272">
        <v>3</v>
      </c>
      <c r="BU272">
        <v>3.56</v>
      </c>
      <c r="BV272">
        <v>0.55999999999999983</v>
      </c>
      <c r="BW272">
        <v>11.880000000000006</v>
      </c>
      <c r="BX272">
        <v>30.520000000000003</v>
      </c>
      <c r="BY272">
        <v>-17.72</v>
      </c>
      <c r="BZ272">
        <v>1.6</v>
      </c>
      <c r="CA272">
        <v>-2.52</v>
      </c>
      <c r="CB272">
        <v>4</v>
      </c>
      <c r="CC272">
        <v>8.1907999999999994</v>
      </c>
      <c r="CD272">
        <v>5.9339600000000008</v>
      </c>
      <c r="CE272">
        <v>48.24</v>
      </c>
      <c r="CF272">
        <v>1.7533500000000002</v>
      </c>
    </row>
    <row r="273" spans="1:84" x14ac:dyDescent="0.2">
      <c r="A273" s="39">
        <v>43800</v>
      </c>
      <c r="B273" s="22" t="s">
        <v>241</v>
      </c>
      <c r="C273" s="41" t="s">
        <v>288</v>
      </c>
      <c r="D273" s="22" t="s">
        <v>303</v>
      </c>
      <c r="E273">
        <v>10.1</v>
      </c>
      <c r="F273">
        <v>0</v>
      </c>
      <c r="G273">
        <v>0.9</v>
      </c>
      <c r="H273">
        <v>14</v>
      </c>
      <c r="I273">
        <v>-11.5</v>
      </c>
      <c r="J273">
        <v>49.5</v>
      </c>
      <c r="L273" s="1" t="s">
        <v>288</v>
      </c>
      <c r="M273">
        <v>9</v>
      </c>
      <c r="N273">
        <v>3.1288000000000014</v>
      </c>
      <c r="O273">
        <v>-2.1639999999999997</v>
      </c>
      <c r="P273">
        <v>-9.360000000000003</v>
      </c>
      <c r="Q273">
        <v>-1.2</v>
      </c>
      <c r="R273">
        <v>4.6931999999999974</v>
      </c>
      <c r="S273">
        <v>17.150000000000006</v>
      </c>
      <c r="T273">
        <v>1.5499999999999998</v>
      </c>
      <c r="U273">
        <v>15</v>
      </c>
      <c r="V273">
        <v>14.5</v>
      </c>
      <c r="W273">
        <v>1.8</v>
      </c>
      <c r="X273">
        <v>29</v>
      </c>
      <c r="Y273">
        <v>25</v>
      </c>
      <c r="Z273">
        <v>26</v>
      </c>
      <c r="AA273">
        <v>-6.4993978365306654E-2</v>
      </c>
      <c r="AB273">
        <v>23</v>
      </c>
      <c r="AC273">
        <v>-1.3590842354220475E-2</v>
      </c>
      <c r="AD273">
        <v>25</v>
      </c>
      <c r="AE273">
        <v>6.2239999999999993</v>
      </c>
      <c r="AF273">
        <v>26</v>
      </c>
      <c r="AG273">
        <v>-1.9599999999999997</v>
      </c>
      <c r="AH273">
        <v>-1.0400000000000005</v>
      </c>
      <c r="AI273">
        <v>5.08</v>
      </c>
      <c r="AJ273">
        <v>0.56000000000000005</v>
      </c>
      <c r="AK273">
        <v>10.080000000000007</v>
      </c>
      <c r="AL273">
        <v>12.4</v>
      </c>
      <c r="AM273">
        <v>-10.960000000000003</v>
      </c>
      <c r="AN273">
        <v>3.72</v>
      </c>
      <c r="AO273">
        <v>4.919999999999999</v>
      </c>
      <c r="AP273">
        <v>7</v>
      </c>
      <c r="AQ273">
        <v>5.2928000000000006</v>
      </c>
      <c r="AR273">
        <v>2.6463999999999994</v>
      </c>
      <c r="AS273">
        <v>23.360000000000003</v>
      </c>
      <c r="AT273">
        <v>-5.2928000000000015</v>
      </c>
      <c r="AU273">
        <v>0.93724999999999992</v>
      </c>
      <c r="AV273">
        <v>9.1500000000000137E-2</v>
      </c>
      <c r="AW273">
        <v>0.58230000000000026</v>
      </c>
      <c r="AX273" t="s">
        <v>303</v>
      </c>
      <c r="AY273">
        <v>13</v>
      </c>
      <c r="AZ273">
        <v>2.1455999999999991</v>
      </c>
      <c r="BA273">
        <v>2.4080000000000004</v>
      </c>
      <c r="BB273">
        <v>-2.160000000000001</v>
      </c>
      <c r="BC273">
        <v>-0.7200000000000002</v>
      </c>
      <c r="BD273">
        <v>-6.508</v>
      </c>
      <c r="BE273">
        <v>-28.92</v>
      </c>
      <c r="BF273">
        <v>-1.3599999999999994</v>
      </c>
      <c r="BG273">
        <v>27</v>
      </c>
      <c r="BH273">
        <v>25.5</v>
      </c>
      <c r="BI273">
        <v>3.9600000000000009</v>
      </c>
      <c r="BJ273">
        <v>10</v>
      </c>
      <c r="BK273">
        <v>13.25</v>
      </c>
      <c r="BL273">
        <v>12</v>
      </c>
      <c r="BM273">
        <v>3.7147401616125842E-3</v>
      </c>
      <c r="BN273">
        <v>11</v>
      </c>
      <c r="BO273">
        <v>6.6932740277190301E-3</v>
      </c>
      <c r="BP273">
        <v>12</v>
      </c>
      <c r="BQ273">
        <v>-2.0840000000000019</v>
      </c>
      <c r="BR273">
        <v>18</v>
      </c>
      <c r="BS273">
        <v>-0.28000000000000008</v>
      </c>
      <c r="BT273">
        <v>-2.7199999999999975</v>
      </c>
      <c r="BU273">
        <v>2.96</v>
      </c>
      <c r="BV273">
        <v>1.7999999999999996</v>
      </c>
      <c r="BW273">
        <v>-0.72000000000000453</v>
      </c>
      <c r="BX273">
        <v>-13.159999999999991</v>
      </c>
      <c r="BY273">
        <v>2.9200000000000017</v>
      </c>
      <c r="BZ273">
        <v>4.5200000000000005</v>
      </c>
      <c r="CA273">
        <v>5.0000000000000009</v>
      </c>
      <c r="CB273">
        <v>18</v>
      </c>
      <c r="CC273">
        <v>-0.26240000000000152</v>
      </c>
      <c r="CD273">
        <v>-2.0764800000000001</v>
      </c>
      <c r="CE273">
        <v>-16.079999999999991</v>
      </c>
      <c r="CF273">
        <v>-0.39929999999999999</v>
      </c>
    </row>
    <row r="274" spans="1:84" x14ac:dyDescent="0.2">
      <c r="A274" s="39">
        <v>43800</v>
      </c>
      <c r="B274" s="22" t="s">
        <v>241</v>
      </c>
      <c r="C274" s="41" t="s">
        <v>303</v>
      </c>
      <c r="D274" s="22" t="s">
        <v>288</v>
      </c>
      <c r="E274">
        <v>1.9</v>
      </c>
      <c r="F274">
        <v>3.4</v>
      </c>
      <c r="G274">
        <v>2.1</v>
      </c>
      <c r="H274">
        <f>20+9+2.5</f>
        <v>31.5</v>
      </c>
      <c r="I274">
        <v>11.5</v>
      </c>
      <c r="J274">
        <v>49.5</v>
      </c>
      <c r="L274" s="1" t="s">
        <v>303</v>
      </c>
      <c r="M274">
        <v>30</v>
      </c>
      <c r="N274">
        <v>-4.8327999999999989</v>
      </c>
      <c r="O274">
        <v>0.44440000000000046</v>
      </c>
      <c r="P274">
        <v>15.808000000000003</v>
      </c>
      <c r="Q274">
        <v>-0.32000000000000028</v>
      </c>
      <c r="R274">
        <v>-6.2320000000000011</v>
      </c>
      <c r="S274">
        <v>-26.199999999999992</v>
      </c>
      <c r="T274">
        <v>-2.64</v>
      </c>
      <c r="U274">
        <v>19</v>
      </c>
      <c r="V274">
        <v>19.5</v>
      </c>
      <c r="W274">
        <v>-0.36000000000000015</v>
      </c>
      <c r="X274">
        <v>19</v>
      </c>
      <c r="Y274">
        <v>17.25</v>
      </c>
      <c r="Z274">
        <v>14</v>
      </c>
      <c r="AA274">
        <v>1.6683900279687879E-2</v>
      </c>
      <c r="AB274">
        <v>21</v>
      </c>
      <c r="AC274">
        <v>-9.2494740612268679E-3</v>
      </c>
      <c r="AD274">
        <v>32</v>
      </c>
      <c r="AE274">
        <v>23.04</v>
      </c>
      <c r="AF274">
        <v>2</v>
      </c>
      <c r="AG274">
        <v>3.9600000000000009</v>
      </c>
      <c r="AH274">
        <v>-0.4799999999999997</v>
      </c>
      <c r="AI274">
        <v>-4.76</v>
      </c>
      <c r="AJ274">
        <v>-0.16000000000000006</v>
      </c>
      <c r="AK274">
        <v>-1.9199999999999933</v>
      </c>
      <c r="AL274">
        <v>-13.52</v>
      </c>
      <c r="AM274">
        <v>17.559999999999999</v>
      </c>
      <c r="AN274">
        <v>3.6399999999999997</v>
      </c>
      <c r="AO274">
        <v>-9.6</v>
      </c>
      <c r="AP274">
        <v>25</v>
      </c>
      <c r="AQ274">
        <v>-5.2771999999999997</v>
      </c>
      <c r="AR274">
        <v>-2.4351600000000002</v>
      </c>
      <c r="AS274">
        <v>-31.08</v>
      </c>
      <c r="AT274">
        <v>5.2771999999999997</v>
      </c>
      <c r="AU274">
        <v>-1.4875499999999997</v>
      </c>
      <c r="AV274">
        <v>9.1500000000000137E-2</v>
      </c>
      <c r="AW274">
        <v>-0.39929999999999999</v>
      </c>
      <c r="AX274" t="s">
        <v>288</v>
      </c>
      <c r="AY274">
        <v>7</v>
      </c>
      <c r="AZ274">
        <v>2.3560000000000021</v>
      </c>
      <c r="BA274">
        <v>7.0624000000000002</v>
      </c>
      <c r="BB274">
        <v>7.3999999999999968</v>
      </c>
      <c r="BC274">
        <v>1.72</v>
      </c>
      <c r="BD274">
        <v>-3.5600000000000005</v>
      </c>
      <c r="BE274">
        <v>-23.72</v>
      </c>
      <c r="BF274">
        <v>-4.0000000000000036E-2</v>
      </c>
      <c r="BG274">
        <v>20</v>
      </c>
      <c r="BH274">
        <v>21</v>
      </c>
      <c r="BI274">
        <v>-1.9599999999999997</v>
      </c>
      <c r="BJ274">
        <v>2</v>
      </c>
      <c r="BK274">
        <v>7.25</v>
      </c>
      <c r="BL274">
        <v>4</v>
      </c>
      <c r="BM274">
        <v>6.7932592092711505E-2</v>
      </c>
      <c r="BN274">
        <v>13</v>
      </c>
      <c r="BO274">
        <v>4.3741768634998068E-3</v>
      </c>
      <c r="BP274">
        <v>3</v>
      </c>
      <c r="BQ274">
        <v>-12.372</v>
      </c>
      <c r="BR274">
        <v>9</v>
      </c>
      <c r="BS274">
        <v>1.8</v>
      </c>
      <c r="BT274">
        <v>1.6</v>
      </c>
      <c r="BU274">
        <v>-0.44000000000000056</v>
      </c>
      <c r="BV274">
        <v>0.28000000000000008</v>
      </c>
      <c r="BW274">
        <v>28.839999999999996</v>
      </c>
      <c r="BX274">
        <v>15.600000000000005</v>
      </c>
      <c r="BY274">
        <v>8.6</v>
      </c>
      <c r="BZ274">
        <v>-1.8800000000000001</v>
      </c>
      <c r="CA274">
        <v>6.5199999999999987</v>
      </c>
      <c r="CB274">
        <v>26</v>
      </c>
      <c r="CC274">
        <v>-4.7063999999999986</v>
      </c>
      <c r="CD274">
        <v>-3.7719999999999994</v>
      </c>
      <c r="CE274">
        <v>7.0000000000000053</v>
      </c>
      <c r="CF274">
        <v>0.58230000000000026</v>
      </c>
    </row>
    <row r="275" spans="1:84" x14ac:dyDescent="0.2">
      <c r="A275" s="39">
        <v>43800</v>
      </c>
      <c r="B275" s="22" t="s">
        <v>241</v>
      </c>
      <c r="C275" s="41" t="s">
        <v>287</v>
      </c>
      <c r="D275" s="22" t="s">
        <v>278</v>
      </c>
      <c r="E275">
        <v>18.8</v>
      </c>
      <c r="F275">
        <v>19.7</v>
      </c>
      <c r="G275">
        <v>1.8</v>
      </c>
      <c r="H275">
        <v>3</v>
      </c>
      <c r="I275">
        <v>-4.5</v>
      </c>
      <c r="J275">
        <v>39</v>
      </c>
      <c r="K275" t="s">
        <v>110</v>
      </c>
      <c r="L275" s="1" t="s">
        <v>287</v>
      </c>
      <c r="M275">
        <v>26</v>
      </c>
      <c r="N275">
        <v>-3.528</v>
      </c>
      <c r="O275">
        <v>7.1444000000000001</v>
      </c>
      <c r="P275">
        <v>8.56</v>
      </c>
      <c r="Q275">
        <v>2.2799999999999998</v>
      </c>
      <c r="R275">
        <v>-2.1920000000000006</v>
      </c>
      <c r="S275">
        <v>11.000000000000011</v>
      </c>
      <c r="T275">
        <v>-0.6000000000000002</v>
      </c>
      <c r="U275">
        <v>4</v>
      </c>
      <c r="V275">
        <v>7</v>
      </c>
      <c r="W275">
        <v>-1.4800000000000002</v>
      </c>
      <c r="X275">
        <v>10</v>
      </c>
      <c r="Y275">
        <v>12.75</v>
      </c>
      <c r="Z275">
        <v>24</v>
      </c>
      <c r="AA275">
        <v>-3.6876266192844724E-2</v>
      </c>
      <c r="AB275">
        <v>12</v>
      </c>
      <c r="AC275">
        <v>4.4126193681262001E-3</v>
      </c>
      <c r="AD275">
        <v>7</v>
      </c>
      <c r="AE275">
        <v>-5.3840000000000003</v>
      </c>
      <c r="AF275">
        <v>8</v>
      </c>
      <c r="AG275">
        <v>2.0400000000000005</v>
      </c>
      <c r="AH275">
        <v>-0.95999999999999941</v>
      </c>
      <c r="AI275">
        <v>-0.43999999999999984</v>
      </c>
      <c r="AJ275">
        <v>-0.83999999999999986</v>
      </c>
      <c r="AK275">
        <v>6.3200000000000047</v>
      </c>
      <c r="AL275">
        <v>15.400000000000006</v>
      </c>
      <c r="AM275">
        <v>4.8000000000000025</v>
      </c>
      <c r="AN275">
        <v>0.52000000000000013</v>
      </c>
      <c r="AO275">
        <v>-14.4</v>
      </c>
      <c r="AP275">
        <v>32</v>
      </c>
      <c r="AQ275">
        <v>-10.6724</v>
      </c>
      <c r="AR275">
        <v>-4.7162000000000006</v>
      </c>
      <c r="AS275">
        <v>10.600000000000003</v>
      </c>
      <c r="AT275">
        <v>10.6724</v>
      </c>
      <c r="AU275">
        <v>0.34804999999999992</v>
      </c>
      <c r="AV275">
        <v>-0.50552499999999989</v>
      </c>
      <c r="AW275">
        <v>-1.0126000000000002</v>
      </c>
      <c r="AX275" t="s">
        <v>278</v>
      </c>
      <c r="AY275">
        <v>15</v>
      </c>
      <c r="AZ275">
        <v>2.4800000000001533E-2</v>
      </c>
      <c r="BA275">
        <v>-4.4396000000000004</v>
      </c>
      <c r="BB275">
        <v>-12.560000000000004</v>
      </c>
      <c r="BC275">
        <v>-1.24</v>
      </c>
      <c r="BD275">
        <v>2.8672000000000013</v>
      </c>
      <c r="BE275">
        <v>18.96</v>
      </c>
      <c r="BF275">
        <v>-0.71999999999999931</v>
      </c>
      <c r="BG275">
        <v>9</v>
      </c>
      <c r="BH275">
        <v>9.5</v>
      </c>
      <c r="BI275">
        <v>-1</v>
      </c>
      <c r="BJ275">
        <v>12</v>
      </c>
      <c r="BK275">
        <v>14.5</v>
      </c>
      <c r="BL275">
        <v>25</v>
      </c>
      <c r="BM275">
        <v>-2.5615673163275166E-2</v>
      </c>
      <c r="BN275">
        <v>6</v>
      </c>
      <c r="BO275">
        <v>2.0068736684871667E-2</v>
      </c>
      <c r="BP275">
        <v>10</v>
      </c>
      <c r="BQ275">
        <v>-3.0720000000000001</v>
      </c>
      <c r="BR275">
        <v>17</v>
      </c>
      <c r="BS275">
        <v>-8.0000000000000071E-2</v>
      </c>
      <c r="BT275">
        <v>0.27999999999999969</v>
      </c>
      <c r="BU275">
        <v>-2.2800000000000002</v>
      </c>
      <c r="BV275">
        <v>-0.43999999999999995</v>
      </c>
      <c r="BW275">
        <v>4.5200000000000049</v>
      </c>
      <c r="BX275">
        <v>9.1199999999999992</v>
      </c>
      <c r="BY275">
        <v>-13.199999999999998</v>
      </c>
      <c r="BZ275">
        <v>-2.9200000000000004</v>
      </c>
      <c r="CA275">
        <v>11.52</v>
      </c>
      <c r="CB275">
        <v>7</v>
      </c>
      <c r="CC275">
        <v>4.4644000000000013</v>
      </c>
      <c r="CD275">
        <v>2.7982000000000005</v>
      </c>
      <c r="CE275">
        <v>22.319999999999997</v>
      </c>
      <c r="CF275">
        <v>1.5500000000004677E-3</v>
      </c>
    </row>
    <row r="276" spans="1:84" x14ac:dyDescent="0.2">
      <c r="A276" s="39">
        <v>43800</v>
      </c>
      <c r="B276" s="22" t="s">
        <v>241</v>
      </c>
      <c r="C276" s="41" t="s">
        <v>304</v>
      </c>
      <c r="D276" s="22" t="s">
        <v>285</v>
      </c>
      <c r="E276" s="14">
        <v>18.5</v>
      </c>
      <c r="F276">
        <v>33.200000000000003</v>
      </c>
      <c r="G276">
        <v>7.9</v>
      </c>
      <c r="H276">
        <v>26.7</v>
      </c>
      <c r="I276">
        <v>-2.5</v>
      </c>
      <c r="J276">
        <v>47</v>
      </c>
      <c r="K276" t="s">
        <v>109</v>
      </c>
      <c r="L276" s="1" t="s">
        <v>304</v>
      </c>
      <c r="M276">
        <v>25</v>
      </c>
      <c r="N276">
        <v>-3.3136000000000001</v>
      </c>
      <c r="O276">
        <v>-1.7559999999999998</v>
      </c>
      <c r="P276">
        <v>-1.0000000000000016</v>
      </c>
      <c r="Q276">
        <v>-1.5999999999999999</v>
      </c>
      <c r="R276">
        <v>4.2520000000000007</v>
      </c>
      <c r="S276">
        <v>50.44</v>
      </c>
      <c r="T276">
        <v>2.3999999999999995</v>
      </c>
      <c r="U276">
        <v>16</v>
      </c>
      <c r="V276">
        <v>15.5</v>
      </c>
      <c r="W276">
        <v>2.8400000000000007</v>
      </c>
      <c r="X276">
        <v>23</v>
      </c>
      <c r="Y276">
        <v>20.5</v>
      </c>
      <c r="Z276">
        <v>32</v>
      </c>
      <c r="AA276">
        <v>-8.5004429442833082E-2</v>
      </c>
      <c r="AB276">
        <v>29</v>
      </c>
      <c r="AC276">
        <v>-2.7434284153857937E-2</v>
      </c>
      <c r="AD276">
        <v>8</v>
      </c>
      <c r="AE276">
        <v>-4.4800000000000013</v>
      </c>
      <c r="AF276">
        <v>13</v>
      </c>
      <c r="AG276">
        <v>0.44000000000000006</v>
      </c>
      <c r="AH276">
        <v>-3.3599999999999994</v>
      </c>
      <c r="AI276">
        <v>-1.3199999999999998</v>
      </c>
      <c r="AJ276">
        <v>1.64</v>
      </c>
      <c r="AK276">
        <v>14.119999999999994</v>
      </c>
      <c r="AL276">
        <v>30.440000000000005</v>
      </c>
      <c r="AM276">
        <v>-2.8799999999999981</v>
      </c>
      <c r="AN276">
        <v>-2.52</v>
      </c>
      <c r="AO276">
        <v>-10.920000000000002</v>
      </c>
      <c r="AP276">
        <v>17</v>
      </c>
      <c r="AQ276">
        <v>-1.5576000000000003</v>
      </c>
      <c r="AR276">
        <v>1.0656799999999997</v>
      </c>
      <c r="AS276">
        <v>33.32</v>
      </c>
      <c r="AT276">
        <v>1.5576000000000003</v>
      </c>
      <c r="AU276">
        <v>-0.10219999999999996</v>
      </c>
      <c r="AV276">
        <v>1.6747624999999999</v>
      </c>
      <c r="AW276">
        <v>6.4524999999999944E-2</v>
      </c>
      <c r="AX276" t="s">
        <v>285</v>
      </c>
      <c r="AY276">
        <v>1</v>
      </c>
      <c r="AZ276">
        <v>10.772000000000002</v>
      </c>
      <c r="BA276">
        <v>0.10400000000000142</v>
      </c>
      <c r="BB276">
        <v>4.5999999999999988</v>
      </c>
      <c r="BC276">
        <v>0.99999999999999978</v>
      </c>
      <c r="BD276">
        <v>16.203999999999997</v>
      </c>
      <c r="BE276">
        <v>51.92</v>
      </c>
      <c r="BF276">
        <v>-1.04</v>
      </c>
      <c r="BG276">
        <v>19</v>
      </c>
      <c r="BH276">
        <v>20.5</v>
      </c>
      <c r="BI276">
        <v>0.36000000000000015</v>
      </c>
      <c r="BJ276">
        <v>26</v>
      </c>
      <c r="BK276">
        <v>22</v>
      </c>
      <c r="BL276">
        <v>5</v>
      </c>
      <c r="BM276">
        <v>5.741172916876254E-2</v>
      </c>
      <c r="BN276">
        <v>31</v>
      </c>
      <c r="BO276">
        <v>-2.5969953460242889E-2</v>
      </c>
      <c r="BP276">
        <v>20</v>
      </c>
      <c r="BQ276">
        <v>1.1240000000000065</v>
      </c>
      <c r="BR276">
        <v>32</v>
      </c>
      <c r="BS276">
        <v>-4.4799999999999995</v>
      </c>
      <c r="BT276">
        <v>6.8</v>
      </c>
      <c r="BU276">
        <v>6.16</v>
      </c>
      <c r="BV276">
        <v>0.20000000000000009</v>
      </c>
      <c r="BW276">
        <v>81.160000000000011</v>
      </c>
      <c r="BX276">
        <v>83.880000000000024</v>
      </c>
      <c r="BY276">
        <v>1.4400000000000006</v>
      </c>
      <c r="BZ276">
        <v>-3.28</v>
      </c>
      <c r="CA276">
        <v>-0.88000000000000012</v>
      </c>
      <c r="CB276">
        <v>1</v>
      </c>
      <c r="CC276">
        <v>10.668000000000001</v>
      </c>
      <c r="CD276">
        <v>5.3431999999999995</v>
      </c>
      <c r="CE276">
        <v>82.440000000000026</v>
      </c>
      <c r="CF276">
        <v>3.2849999999999997</v>
      </c>
    </row>
    <row r="277" spans="1:84" x14ac:dyDescent="0.2">
      <c r="A277" s="39">
        <v>43800</v>
      </c>
      <c r="B277" s="22" t="s">
        <v>241</v>
      </c>
      <c r="C277" s="41" t="s">
        <v>293</v>
      </c>
      <c r="D277" s="22" t="s">
        <v>294</v>
      </c>
      <c r="E277">
        <v>37.9</v>
      </c>
      <c r="F277">
        <v>11.3</v>
      </c>
      <c r="G277">
        <v>6.3</v>
      </c>
      <c r="H277">
        <f>18.9+3.3</f>
        <v>22.2</v>
      </c>
      <c r="I277">
        <v>10.5</v>
      </c>
      <c r="J277">
        <v>45</v>
      </c>
      <c r="L277" s="1" t="s">
        <v>293</v>
      </c>
      <c r="M277">
        <v>3</v>
      </c>
      <c r="N277">
        <v>5.5136000000000003</v>
      </c>
      <c r="O277">
        <v>-4.3440000000000021</v>
      </c>
      <c r="P277">
        <v>-35.08</v>
      </c>
      <c r="Q277">
        <v>-0.59999999999999987</v>
      </c>
      <c r="R277">
        <v>13.559999999999999</v>
      </c>
      <c r="S277">
        <v>52.250000000000007</v>
      </c>
      <c r="T277">
        <v>3.9399999999999995</v>
      </c>
      <c r="U277">
        <v>13</v>
      </c>
      <c r="V277">
        <v>12</v>
      </c>
      <c r="W277">
        <v>-1.8399999999999999</v>
      </c>
      <c r="X277">
        <v>16</v>
      </c>
      <c r="Y277">
        <v>14.5</v>
      </c>
      <c r="Z277">
        <v>12</v>
      </c>
      <c r="AA277">
        <v>2.6271949346686814E-2</v>
      </c>
      <c r="AB277">
        <v>10</v>
      </c>
      <c r="AC277">
        <v>5.5679443149534626E-3</v>
      </c>
      <c r="AD277">
        <v>14</v>
      </c>
      <c r="AE277">
        <v>-1.231999999999998</v>
      </c>
      <c r="AF277">
        <v>22</v>
      </c>
      <c r="AG277">
        <v>-1.56</v>
      </c>
      <c r="AH277">
        <v>4.1599999999999993</v>
      </c>
      <c r="AI277">
        <v>5.64</v>
      </c>
      <c r="AJ277">
        <v>0.72</v>
      </c>
      <c r="AK277">
        <v>21</v>
      </c>
      <c r="AL277">
        <v>45.440000000000005</v>
      </c>
      <c r="AM277">
        <v>-32.32</v>
      </c>
      <c r="AN277">
        <v>5.2</v>
      </c>
      <c r="AO277">
        <v>2.6799999999999997</v>
      </c>
      <c r="AP277">
        <v>1</v>
      </c>
      <c r="AQ277">
        <v>9.8576000000000015</v>
      </c>
      <c r="AR277">
        <v>5.9867200000000009</v>
      </c>
      <c r="AS277">
        <v>77.760000000000005</v>
      </c>
      <c r="AT277">
        <v>-9.8576000000000015</v>
      </c>
      <c r="AU277">
        <v>2.1181999999999999</v>
      </c>
      <c r="AV277">
        <v>0.35110000000000019</v>
      </c>
      <c r="AW277">
        <v>2.2844000000000002</v>
      </c>
      <c r="AX277" t="s">
        <v>294</v>
      </c>
      <c r="AY277">
        <v>30</v>
      </c>
      <c r="AZ277">
        <v>-4.9687999999999981</v>
      </c>
      <c r="BA277">
        <v>2.4080000000000004</v>
      </c>
      <c r="BB277">
        <v>-16.319999999999997</v>
      </c>
      <c r="BC277">
        <v>1.4</v>
      </c>
      <c r="BD277">
        <v>-8.7128000000000014</v>
      </c>
      <c r="BE277">
        <v>-35.32</v>
      </c>
      <c r="BF277">
        <v>-4.24</v>
      </c>
      <c r="BG277">
        <v>31</v>
      </c>
      <c r="BH277">
        <v>28.5</v>
      </c>
      <c r="BI277">
        <v>1.7763568394002506E-16</v>
      </c>
      <c r="BJ277">
        <v>4</v>
      </c>
      <c r="BK277">
        <v>8.75</v>
      </c>
      <c r="BL277">
        <v>3</v>
      </c>
      <c r="BM277">
        <v>6.8284932758726116E-2</v>
      </c>
      <c r="BN277">
        <v>4</v>
      </c>
      <c r="BO277">
        <v>2.3489460581433919E-2</v>
      </c>
      <c r="BP277">
        <v>14</v>
      </c>
      <c r="BQ277">
        <v>-1.6559999999999959</v>
      </c>
      <c r="BR277">
        <v>14</v>
      </c>
      <c r="BS277">
        <v>0.4</v>
      </c>
      <c r="BT277">
        <v>-6.68</v>
      </c>
      <c r="BU277">
        <v>-2.4799999999999995</v>
      </c>
      <c r="BV277">
        <v>-1</v>
      </c>
      <c r="BW277">
        <v>-43.56</v>
      </c>
      <c r="BX277">
        <v>-28.119999999999997</v>
      </c>
      <c r="BY277">
        <v>-18.32</v>
      </c>
      <c r="BZ277">
        <v>5.0400000000000009</v>
      </c>
      <c r="CA277">
        <v>-2.16</v>
      </c>
      <c r="CB277">
        <v>31</v>
      </c>
      <c r="CC277">
        <v>-7.3767999999999985</v>
      </c>
      <c r="CD277">
        <v>-3.9403200000000003</v>
      </c>
      <c r="CE277">
        <v>-9.7999999999999972</v>
      </c>
      <c r="CF277">
        <v>-1.5821999999999998</v>
      </c>
    </row>
    <row r="278" spans="1:84" x14ac:dyDescent="0.2">
      <c r="A278" s="39">
        <v>43800</v>
      </c>
      <c r="B278" s="22" t="s">
        <v>241</v>
      </c>
      <c r="C278" s="41" t="s">
        <v>312</v>
      </c>
      <c r="D278" s="22" t="s">
        <v>308</v>
      </c>
      <c r="E278" s="3">
        <v>9.1999999999999993</v>
      </c>
      <c r="F278">
        <v>12.8</v>
      </c>
      <c r="G278">
        <v>1.1000000000000001</v>
      </c>
      <c r="H278">
        <f>15+2.8+1.6</f>
        <v>19.400000000000002</v>
      </c>
      <c r="I278">
        <v>2.5</v>
      </c>
      <c r="J278">
        <v>48</v>
      </c>
      <c r="L278" s="1" t="s">
        <v>312</v>
      </c>
      <c r="M278">
        <v>16</v>
      </c>
      <c r="N278">
        <v>0.23520000000000074</v>
      </c>
      <c r="O278">
        <v>3.9584000000000001</v>
      </c>
      <c r="P278">
        <v>5.9600000000000026</v>
      </c>
      <c r="Q278">
        <v>2.2799999999999998</v>
      </c>
      <c r="R278">
        <v>-0.38279999999999959</v>
      </c>
      <c r="S278">
        <v>-14.822800000000001</v>
      </c>
      <c r="T278">
        <v>-1.56</v>
      </c>
      <c r="U278">
        <v>26</v>
      </c>
      <c r="V278">
        <v>25</v>
      </c>
      <c r="W278">
        <v>0.24000000000000021</v>
      </c>
      <c r="X278">
        <v>28</v>
      </c>
      <c r="Y278">
        <v>24.5</v>
      </c>
      <c r="Z278">
        <v>22</v>
      </c>
      <c r="AA278">
        <v>-2.3518700930387999E-2</v>
      </c>
      <c r="AB278">
        <v>27</v>
      </c>
      <c r="AC278">
        <v>-2.2740671519998597E-2</v>
      </c>
      <c r="AD278">
        <v>22</v>
      </c>
      <c r="AE278">
        <v>1.656000000000003</v>
      </c>
      <c r="AF278">
        <v>27</v>
      </c>
      <c r="AG278">
        <v>-3.72</v>
      </c>
      <c r="AH278">
        <v>-3.1599999999999966</v>
      </c>
      <c r="AI278">
        <v>2.7600000000000002</v>
      </c>
      <c r="AJ278">
        <v>0.56000000000000005</v>
      </c>
      <c r="AK278">
        <v>-4.0399999999999974</v>
      </c>
      <c r="AL278">
        <v>8.6800000000000015</v>
      </c>
      <c r="AM278">
        <v>-1.1199999999999961</v>
      </c>
      <c r="AN278">
        <v>4.7200000000000006</v>
      </c>
      <c r="AO278">
        <v>-16.32</v>
      </c>
      <c r="AP278">
        <v>20</v>
      </c>
      <c r="AQ278">
        <v>-3.7231999999999994</v>
      </c>
      <c r="AR278">
        <v>-2.0087199999999998</v>
      </c>
      <c r="AS278">
        <v>9.7999999999999972</v>
      </c>
      <c r="AT278">
        <v>3.7231999999999994</v>
      </c>
      <c r="AU278">
        <v>0.4613500000000002</v>
      </c>
      <c r="AV278">
        <v>0.98753750000000018</v>
      </c>
      <c r="AW278">
        <v>1.0906000000000002</v>
      </c>
      <c r="AX278" t="s">
        <v>308</v>
      </c>
      <c r="AY278">
        <v>17</v>
      </c>
      <c r="AZ278">
        <v>-0.96160000000000034</v>
      </c>
      <c r="BA278">
        <v>-1.3516000000000004</v>
      </c>
      <c r="BB278">
        <v>-17.080000000000002</v>
      </c>
      <c r="BC278">
        <v>0.24</v>
      </c>
      <c r="BD278">
        <v>9.6690000000000005</v>
      </c>
      <c r="BE278">
        <v>24.071200000000005</v>
      </c>
      <c r="BF278">
        <v>5.53</v>
      </c>
      <c r="BG278">
        <v>12</v>
      </c>
      <c r="BH278">
        <v>12.5</v>
      </c>
      <c r="BI278">
        <v>-3.9999999999999501E-2</v>
      </c>
      <c r="BJ278">
        <v>21</v>
      </c>
      <c r="BK278">
        <v>17.25</v>
      </c>
      <c r="BL278">
        <v>30</v>
      </c>
      <c r="BM278">
        <v>-6.6113792660117549E-2</v>
      </c>
      <c r="BN278">
        <v>28</v>
      </c>
      <c r="BO278">
        <v>-2.0125681400008821E-2</v>
      </c>
      <c r="BP278">
        <v>4</v>
      </c>
      <c r="BQ278">
        <v>-7.7720000000000002</v>
      </c>
      <c r="BR278">
        <v>7</v>
      </c>
      <c r="BS278">
        <v>2.88</v>
      </c>
      <c r="BT278">
        <v>1.5999999999999985</v>
      </c>
      <c r="BU278">
        <v>-2.120000000000001</v>
      </c>
      <c r="BV278">
        <v>1.1200000000000003</v>
      </c>
      <c r="BW278">
        <v>17.04</v>
      </c>
      <c r="BX278">
        <v>31.160000000000014</v>
      </c>
      <c r="BY278">
        <v>-12.64</v>
      </c>
      <c r="BZ278">
        <v>3.04</v>
      </c>
      <c r="CA278">
        <v>-4.5200000000000005</v>
      </c>
      <c r="CB278">
        <v>16</v>
      </c>
      <c r="CC278">
        <v>0.3899999999999999</v>
      </c>
      <c r="CD278">
        <v>2.4172799999999999</v>
      </c>
      <c r="CE278">
        <v>43.800000000000011</v>
      </c>
      <c r="CF278">
        <v>0.88447500000000012</v>
      </c>
    </row>
    <row r="279" spans="1:84" x14ac:dyDescent="0.2">
      <c r="A279" s="39">
        <v>43800</v>
      </c>
      <c r="B279" s="22" t="s">
        <v>241</v>
      </c>
      <c r="C279" s="41" t="s">
        <v>302</v>
      </c>
      <c r="D279" s="22" t="s">
        <v>311</v>
      </c>
      <c r="E279">
        <v>24.9</v>
      </c>
      <c r="F279">
        <v>7.6</v>
      </c>
      <c r="G279">
        <v>4.4000000000000004</v>
      </c>
      <c r="H279">
        <v>6.7</v>
      </c>
      <c r="I279">
        <v>-3.5</v>
      </c>
      <c r="J279">
        <v>47</v>
      </c>
      <c r="L279" s="1" t="s">
        <v>302</v>
      </c>
      <c r="M279">
        <v>19</v>
      </c>
      <c r="N279">
        <v>-0.70799999999999907</v>
      </c>
      <c r="O279">
        <v>-3.8280000000000021</v>
      </c>
      <c r="P279">
        <v>-4.24</v>
      </c>
      <c r="Q279">
        <v>1.5999999999999996</v>
      </c>
      <c r="R279">
        <v>4.1072000000000024</v>
      </c>
      <c r="S279">
        <v>12.17</v>
      </c>
      <c r="T279">
        <v>3.9399999999999995</v>
      </c>
      <c r="U279">
        <v>2</v>
      </c>
      <c r="V279">
        <v>5</v>
      </c>
      <c r="W279">
        <v>4.5600000000000005</v>
      </c>
      <c r="X279">
        <v>27</v>
      </c>
      <c r="Y279">
        <v>23.25</v>
      </c>
      <c r="Z279">
        <v>23</v>
      </c>
      <c r="AA279">
        <v>-2.5821579633769087E-2</v>
      </c>
      <c r="AB279">
        <v>26</v>
      </c>
      <c r="AC279">
        <v>-2.1226091553984167E-2</v>
      </c>
      <c r="AD279">
        <v>23</v>
      </c>
      <c r="AE279">
        <v>2.4160000000000026</v>
      </c>
      <c r="AF279">
        <v>21</v>
      </c>
      <c r="AG279">
        <v>-1.52</v>
      </c>
      <c r="AH279">
        <v>8.4</v>
      </c>
      <c r="AI279">
        <v>-0.35999999999999976</v>
      </c>
      <c r="AJ279">
        <v>1.3199999999999998</v>
      </c>
      <c r="AK279">
        <v>14.840000000000009</v>
      </c>
      <c r="AL279">
        <v>34.200000000000003</v>
      </c>
      <c r="AM279">
        <v>4.5999999999999996</v>
      </c>
      <c r="AN279">
        <v>-5</v>
      </c>
      <c r="AO279">
        <v>-18.959999999999997</v>
      </c>
      <c r="AP279">
        <v>11</v>
      </c>
      <c r="AQ279">
        <v>3.1200000000000028</v>
      </c>
      <c r="AR279">
        <v>2.5938400000000015</v>
      </c>
      <c r="AS279">
        <v>29.6</v>
      </c>
      <c r="AT279">
        <v>-3.1200000000000028</v>
      </c>
      <c r="AU279">
        <v>0.14340000000000014</v>
      </c>
      <c r="AV279">
        <v>-1.03685</v>
      </c>
      <c r="AW279">
        <v>-2.5604</v>
      </c>
      <c r="AX279" t="s">
        <v>311</v>
      </c>
      <c r="AY279">
        <v>6</v>
      </c>
      <c r="AZ279">
        <v>3.7656000000000001</v>
      </c>
      <c r="BA279">
        <v>3.355999999999999</v>
      </c>
      <c r="BB279">
        <v>15.559999999999999</v>
      </c>
      <c r="BC279">
        <v>1.1999999999999997</v>
      </c>
      <c r="BD279">
        <v>-2.7080000000000002</v>
      </c>
      <c r="BE279">
        <v>5.4399999999999977</v>
      </c>
      <c r="BF279">
        <v>-0.76</v>
      </c>
      <c r="BG279">
        <v>22</v>
      </c>
      <c r="BH279">
        <v>21.5</v>
      </c>
      <c r="BI279">
        <v>-3.3200000000000003</v>
      </c>
      <c r="BJ279">
        <v>27</v>
      </c>
      <c r="BK279">
        <v>22.75</v>
      </c>
      <c r="BL279">
        <v>31</v>
      </c>
      <c r="BM279">
        <v>-9.4418545042288998E-2</v>
      </c>
      <c r="BN279">
        <v>30</v>
      </c>
      <c r="BO279">
        <v>-2.5076412149959905E-2</v>
      </c>
      <c r="BP279">
        <v>2</v>
      </c>
      <c r="BQ279">
        <v>-17.844000000000001</v>
      </c>
      <c r="BR279">
        <v>28</v>
      </c>
      <c r="BS279">
        <v>-3.6</v>
      </c>
      <c r="BT279">
        <v>0.39999999999999858</v>
      </c>
      <c r="BU279">
        <v>0.6399999999999999</v>
      </c>
      <c r="BV279">
        <v>-1.48</v>
      </c>
      <c r="BW279">
        <v>44.44</v>
      </c>
      <c r="BX279">
        <v>24.280000000000008</v>
      </c>
      <c r="BY279">
        <v>17.279999999999998</v>
      </c>
      <c r="BZ279">
        <v>-4.4399999999999995</v>
      </c>
      <c r="CA279">
        <v>7.32</v>
      </c>
      <c r="CB279">
        <v>15</v>
      </c>
      <c r="CC279">
        <v>0.40960000000000107</v>
      </c>
      <c r="CD279">
        <v>-1.4664799999999993</v>
      </c>
      <c r="CE279">
        <v>7.0000000000000107</v>
      </c>
      <c r="CF279">
        <v>0.48669999999999985</v>
      </c>
    </row>
    <row r="280" spans="1:84" x14ac:dyDescent="0.2">
      <c r="A280" s="39">
        <v>43800</v>
      </c>
      <c r="B280" s="22" t="s">
        <v>241</v>
      </c>
      <c r="C280" s="41" t="s">
        <v>307</v>
      </c>
      <c r="D280" s="22" t="s">
        <v>295</v>
      </c>
      <c r="E280">
        <v>10.8</v>
      </c>
      <c r="F280">
        <v>3.4</v>
      </c>
      <c r="G280">
        <v>0</v>
      </c>
      <c r="H280">
        <v>12.7</v>
      </c>
      <c r="I280">
        <v>-7</v>
      </c>
      <c r="J280">
        <v>48</v>
      </c>
      <c r="L280" s="1" t="s">
        <v>307</v>
      </c>
      <c r="M280">
        <v>18</v>
      </c>
      <c r="N280">
        <v>-0.66319999999999912</v>
      </c>
      <c r="O280">
        <v>4.0960000000000001</v>
      </c>
      <c r="P280">
        <v>4.68</v>
      </c>
      <c r="Q280">
        <v>3.44</v>
      </c>
      <c r="R280">
        <v>-3.1559999999999979</v>
      </c>
      <c r="S280">
        <v>-24.640000000000008</v>
      </c>
      <c r="T280">
        <v>8.84</v>
      </c>
      <c r="U280">
        <v>4</v>
      </c>
      <c r="V280">
        <v>7</v>
      </c>
      <c r="W280">
        <v>0.20000000000000034</v>
      </c>
      <c r="X280">
        <v>32</v>
      </c>
      <c r="Y280">
        <v>29.5</v>
      </c>
      <c r="Z280">
        <v>30</v>
      </c>
      <c r="AA280">
        <v>-7.926933932533814E-2</v>
      </c>
      <c r="AB280">
        <v>28</v>
      </c>
      <c r="AC280">
        <v>-2.5315156705118559E-2</v>
      </c>
      <c r="AD280">
        <v>31</v>
      </c>
      <c r="AE280">
        <v>16.747999999999994</v>
      </c>
      <c r="AF280">
        <v>29</v>
      </c>
      <c r="AG280">
        <v>-3.919999999999999</v>
      </c>
      <c r="AH280">
        <v>-2.1199999999999974</v>
      </c>
      <c r="AI280">
        <v>1.2399999999999998</v>
      </c>
      <c r="AJ280">
        <v>-0.27999999999999997</v>
      </c>
      <c r="AK280">
        <v>-12.439999999999987</v>
      </c>
      <c r="AL280">
        <v>-12.400000000000011</v>
      </c>
      <c r="AM280">
        <v>6.8800000000000008</v>
      </c>
      <c r="AN280">
        <v>-1.56</v>
      </c>
      <c r="AO280">
        <v>-5.3599999999999994</v>
      </c>
      <c r="AP280">
        <v>22</v>
      </c>
      <c r="AQ280">
        <v>-4.759199999999999</v>
      </c>
      <c r="AR280">
        <v>-2.8118399999999992</v>
      </c>
      <c r="AS280">
        <v>-19.280000000000012</v>
      </c>
      <c r="AT280">
        <v>4.759199999999999</v>
      </c>
      <c r="AU280">
        <v>0.32460000000000055</v>
      </c>
      <c r="AV280">
        <v>-1.396075</v>
      </c>
      <c r="AW280">
        <v>-0.64724999999999999</v>
      </c>
      <c r="AX280" t="s">
        <v>295</v>
      </c>
      <c r="AY280">
        <v>27</v>
      </c>
      <c r="AZ280">
        <v>-3.9112</v>
      </c>
      <c r="BA280">
        <v>-5.6039999999999983</v>
      </c>
      <c r="BB280">
        <v>-14.080000000000005</v>
      </c>
      <c r="BC280">
        <v>0.43999999999999972</v>
      </c>
      <c r="BD280">
        <v>-7.764000000000002</v>
      </c>
      <c r="BE280">
        <v>-14.760000000000005</v>
      </c>
      <c r="BF280">
        <v>7.2000000000000011</v>
      </c>
      <c r="BG280">
        <v>17</v>
      </c>
      <c r="BH280">
        <v>14.5</v>
      </c>
      <c r="BI280">
        <v>0.35999999999999976</v>
      </c>
      <c r="BJ280">
        <v>19</v>
      </c>
      <c r="BK280">
        <v>16.5</v>
      </c>
      <c r="BL280">
        <v>10</v>
      </c>
      <c r="BM280">
        <v>1.3493023923273211E-2</v>
      </c>
      <c r="BN280">
        <v>20</v>
      </c>
      <c r="BO280">
        <v>-4.012887209230198E-3</v>
      </c>
      <c r="BP280">
        <v>25</v>
      </c>
      <c r="BQ280">
        <v>7.0879999999999965</v>
      </c>
      <c r="BR280">
        <v>11</v>
      </c>
      <c r="BS280">
        <v>1.3200000000000003</v>
      </c>
      <c r="BT280">
        <v>-5.5199999999999987</v>
      </c>
      <c r="BU280">
        <v>-6.6799999999999979</v>
      </c>
      <c r="BV280">
        <v>8.8817841970012528E-17</v>
      </c>
      <c r="BW280">
        <v>-28.399999999999977</v>
      </c>
      <c r="BX280">
        <v>-19.080000000000002</v>
      </c>
      <c r="BY280">
        <v>-11.559999999999997</v>
      </c>
      <c r="BZ280">
        <v>-1.48</v>
      </c>
      <c r="CA280">
        <v>3.719999999999998</v>
      </c>
      <c r="CB280">
        <v>12</v>
      </c>
      <c r="CC280">
        <v>1.6927999999999983</v>
      </c>
      <c r="CD280">
        <v>0.46695999999999893</v>
      </c>
      <c r="CE280">
        <v>-7.5200000000000049</v>
      </c>
      <c r="CF280">
        <v>-2.1448999999999998</v>
      </c>
    </row>
    <row r="281" spans="1:84" x14ac:dyDescent="0.2">
      <c r="A281" s="39">
        <v>43800</v>
      </c>
      <c r="B281" s="22" t="s">
        <v>241</v>
      </c>
      <c r="C281" s="41" t="s">
        <v>296</v>
      </c>
      <c r="D281" s="22" t="s">
        <v>300</v>
      </c>
      <c r="E281">
        <v>13</v>
      </c>
      <c r="F281">
        <v>10.4</v>
      </c>
      <c r="G281">
        <v>5.3</v>
      </c>
      <c r="H281">
        <v>13</v>
      </c>
      <c r="I281">
        <v>6.5</v>
      </c>
      <c r="J281">
        <v>43.5</v>
      </c>
      <c r="L281" s="1" t="s">
        <v>296</v>
      </c>
      <c r="M281">
        <v>8</v>
      </c>
      <c r="N281">
        <v>3.5287999999999995</v>
      </c>
      <c r="O281">
        <v>-5.3800000000000008</v>
      </c>
      <c r="P281">
        <v>-29.352</v>
      </c>
      <c r="Q281">
        <v>-0.72</v>
      </c>
      <c r="R281">
        <v>5.8071999999999981</v>
      </c>
      <c r="S281">
        <v>-9.1999999999999993</v>
      </c>
      <c r="T281">
        <v>3.4000000000000004</v>
      </c>
      <c r="U281">
        <v>28</v>
      </c>
      <c r="V281">
        <v>27.5</v>
      </c>
      <c r="W281">
        <v>-2.3999999999999995</v>
      </c>
      <c r="X281">
        <v>2</v>
      </c>
      <c r="Y281">
        <v>7.5</v>
      </c>
      <c r="Z281">
        <v>3</v>
      </c>
      <c r="AA281">
        <v>7.720312519554437E-2</v>
      </c>
      <c r="AB281">
        <v>16</v>
      </c>
      <c r="AC281">
        <v>1.4705007259229116E-3</v>
      </c>
      <c r="AD281">
        <v>10</v>
      </c>
      <c r="AE281">
        <v>-3.5840000000000032</v>
      </c>
      <c r="AF281">
        <v>1</v>
      </c>
      <c r="AG281">
        <v>6.0000000000000009</v>
      </c>
      <c r="AH281">
        <v>1.2000000000000015</v>
      </c>
      <c r="AI281">
        <v>-1.4799999999999991</v>
      </c>
      <c r="AJ281">
        <v>-0.44000000000000006</v>
      </c>
      <c r="AK281">
        <v>-16.04</v>
      </c>
      <c r="AL281">
        <v>0.72000000000000453</v>
      </c>
      <c r="AM281">
        <v>-33.04</v>
      </c>
      <c r="AN281">
        <v>5.08</v>
      </c>
      <c r="AO281">
        <v>11.2</v>
      </c>
      <c r="AP281">
        <v>2</v>
      </c>
      <c r="AQ281">
        <v>8.9087999999999994</v>
      </c>
      <c r="AR281">
        <v>4.5571999999999999</v>
      </c>
      <c r="AS281">
        <v>33.760000000000005</v>
      </c>
      <c r="AT281">
        <v>-8.9087999999999994</v>
      </c>
      <c r="AU281">
        <v>0.18449999999999978</v>
      </c>
      <c r="AV281">
        <v>0.60505000000000009</v>
      </c>
      <c r="AW281">
        <v>1.3486000000000002</v>
      </c>
      <c r="AX281" t="s">
        <v>300</v>
      </c>
      <c r="AY281">
        <v>21</v>
      </c>
      <c r="AZ281">
        <v>-3.7079999999999997</v>
      </c>
      <c r="BA281">
        <v>0.97600000000000164</v>
      </c>
      <c r="BB281">
        <v>18.679999999999996</v>
      </c>
      <c r="BC281">
        <v>-0.16000000000000025</v>
      </c>
      <c r="BD281">
        <v>-0.45600000000000129</v>
      </c>
      <c r="BE281">
        <v>23.679999999999996</v>
      </c>
      <c r="BF281">
        <v>-2.6399999999999997</v>
      </c>
      <c r="BG281">
        <v>6</v>
      </c>
      <c r="BH281">
        <v>5</v>
      </c>
      <c r="BI281">
        <v>-1.8399999999999999</v>
      </c>
      <c r="BJ281">
        <v>29</v>
      </c>
      <c r="BK281">
        <v>24</v>
      </c>
      <c r="BL281">
        <v>17</v>
      </c>
      <c r="BM281">
        <v>-7.5143537273633931E-3</v>
      </c>
      <c r="BN281">
        <v>23</v>
      </c>
      <c r="BO281">
        <v>-6.6855087310842415E-3</v>
      </c>
      <c r="BP281">
        <v>27</v>
      </c>
      <c r="BQ281">
        <v>8.7959999999999994</v>
      </c>
      <c r="BR281">
        <v>29</v>
      </c>
      <c r="BS281">
        <v>-3.8400000000000007</v>
      </c>
      <c r="BT281">
        <v>-3.3200000000000003</v>
      </c>
      <c r="BU281">
        <v>0.3999999999999993</v>
      </c>
      <c r="BV281">
        <v>-0.83999999999999986</v>
      </c>
      <c r="BW281">
        <v>16.760000000000002</v>
      </c>
      <c r="BX281">
        <v>4.2</v>
      </c>
      <c r="BY281">
        <v>23.96</v>
      </c>
      <c r="BZ281">
        <v>-5.08</v>
      </c>
      <c r="CA281">
        <v>-6.3199999999999994</v>
      </c>
      <c r="CB281">
        <v>25</v>
      </c>
      <c r="CC281">
        <v>-4.6840000000000011</v>
      </c>
      <c r="CD281">
        <v>-1.3208000000000011</v>
      </c>
      <c r="CE281">
        <v>-19.760000000000002</v>
      </c>
      <c r="CF281">
        <v>-0.13850000000000007</v>
      </c>
    </row>
    <row r="282" spans="1:84" x14ac:dyDescent="0.2">
      <c r="A282" s="39">
        <v>43800</v>
      </c>
      <c r="B282" s="22" t="s">
        <v>241</v>
      </c>
      <c r="C282" s="41" t="s">
        <v>298</v>
      </c>
      <c r="D282" s="22" t="s">
        <v>272</v>
      </c>
      <c r="E282">
        <v>2.8</v>
      </c>
      <c r="F282">
        <v>20.100000000000001</v>
      </c>
      <c r="G282">
        <v>5.3</v>
      </c>
      <c r="H282">
        <v>9.9</v>
      </c>
      <c r="I282">
        <v>-2.5</v>
      </c>
      <c r="J282">
        <v>43</v>
      </c>
      <c r="K282" t="s">
        <v>109</v>
      </c>
      <c r="L282" s="1" t="s">
        <v>298</v>
      </c>
      <c r="M282">
        <v>17</v>
      </c>
      <c r="N282">
        <v>-0.66319999999999835</v>
      </c>
      <c r="O282">
        <v>-1.5159999999999996</v>
      </c>
      <c r="P282">
        <v>-23</v>
      </c>
      <c r="Q282">
        <v>0.52</v>
      </c>
      <c r="R282">
        <v>-3.4079999999999986</v>
      </c>
      <c r="S282">
        <v>-23.439999999999991</v>
      </c>
      <c r="T282">
        <v>-1.0800000000000003</v>
      </c>
      <c r="U282">
        <v>14</v>
      </c>
      <c r="V282">
        <v>13.5</v>
      </c>
      <c r="W282">
        <v>0.31999999999999995</v>
      </c>
      <c r="X282">
        <v>8</v>
      </c>
      <c r="Y282">
        <v>12</v>
      </c>
      <c r="Z282">
        <v>2</v>
      </c>
      <c r="AA282">
        <v>7.7811455412185065E-2</v>
      </c>
      <c r="AB282">
        <v>17</v>
      </c>
      <c r="AC282">
        <v>-1.4097456669437819E-3</v>
      </c>
      <c r="AD282">
        <v>12</v>
      </c>
      <c r="AE282">
        <v>-3.0959999999999979</v>
      </c>
      <c r="AF282">
        <v>17</v>
      </c>
      <c r="AG282">
        <v>-0.2</v>
      </c>
      <c r="AH282">
        <v>-0.11999999999999886</v>
      </c>
      <c r="AI282">
        <v>-1.9200000000000004</v>
      </c>
      <c r="AJ282">
        <v>1.1600000000000001</v>
      </c>
      <c r="AK282">
        <v>-21.679999999999996</v>
      </c>
      <c r="AL282">
        <v>7.5200000000000049</v>
      </c>
      <c r="AM282">
        <v>-20.64</v>
      </c>
      <c r="AN282">
        <v>-1.6800000000000002</v>
      </c>
      <c r="AO282">
        <v>-6.8799999999999981</v>
      </c>
      <c r="AP282">
        <v>15</v>
      </c>
      <c r="AQ282">
        <v>0.85280000000000111</v>
      </c>
      <c r="AR282">
        <v>-5.6239999999999513E-2</v>
      </c>
      <c r="AS282">
        <v>28.160000000000004</v>
      </c>
      <c r="AT282">
        <v>-0.85280000000000122</v>
      </c>
      <c r="AU282">
        <v>-0.66839999999999955</v>
      </c>
      <c r="AV282">
        <v>0.39348749999999988</v>
      </c>
      <c r="AW282">
        <v>0.33259999999999978</v>
      </c>
      <c r="AX282" t="s">
        <v>272</v>
      </c>
      <c r="AY282">
        <v>10</v>
      </c>
      <c r="AZ282">
        <v>1.9240000000000019</v>
      </c>
      <c r="BA282">
        <v>-4.5560000000000009</v>
      </c>
      <c r="BB282">
        <v>-6.0800000000000054</v>
      </c>
      <c r="BC282">
        <v>-1.2</v>
      </c>
      <c r="BD282">
        <v>6.706999999999999</v>
      </c>
      <c r="BE282">
        <v>45.539999999999992</v>
      </c>
      <c r="BF282">
        <v>1.2300000000000002</v>
      </c>
      <c r="BG282">
        <v>20</v>
      </c>
      <c r="BH282">
        <v>21</v>
      </c>
      <c r="BI282">
        <v>0.6</v>
      </c>
      <c r="BJ282">
        <v>22</v>
      </c>
      <c r="BK282">
        <v>18.25</v>
      </c>
      <c r="BL282">
        <v>13</v>
      </c>
      <c r="BM282">
        <v>2.5442784003915529E-3</v>
      </c>
      <c r="BN282">
        <v>15</v>
      </c>
      <c r="BO282">
        <v>1.551280699644038E-3</v>
      </c>
      <c r="BP282">
        <v>19</v>
      </c>
      <c r="BQ282">
        <v>0.95999999999999375</v>
      </c>
      <c r="BR282">
        <v>26</v>
      </c>
      <c r="BS282">
        <v>-2</v>
      </c>
      <c r="BT282">
        <v>-0.8</v>
      </c>
      <c r="BU282">
        <v>-1.1600000000000006</v>
      </c>
      <c r="BV282">
        <v>-0.15999999999999998</v>
      </c>
      <c r="BW282">
        <v>26.439999999999998</v>
      </c>
      <c r="BX282">
        <v>31.52000000000001</v>
      </c>
      <c r="BY282">
        <v>-1.4400000000000035</v>
      </c>
      <c r="BZ282">
        <v>-1.48</v>
      </c>
      <c r="CA282">
        <v>-2.1599999999999988</v>
      </c>
      <c r="CB282">
        <v>5</v>
      </c>
      <c r="CC282">
        <v>6.4800000000000031</v>
      </c>
      <c r="CD282">
        <v>4.0042000000000009</v>
      </c>
      <c r="CE282">
        <v>32.960000000000015</v>
      </c>
      <c r="CF282">
        <v>0.45437500000000003</v>
      </c>
    </row>
    <row r="283" spans="1:84" x14ac:dyDescent="0.2">
      <c r="A283" s="39">
        <v>43800</v>
      </c>
      <c r="B283" s="22" t="s">
        <v>241</v>
      </c>
      <c r="C283" s="41" t="s">
        <v>294</v>
      </c>
      <c r="D283" s="22" t="s">
        <v>293</v>
      </c>
      <c r="E283">
        <v>31.7</v>
      </c>
      <c r="F283">
        <v>9.1</v>
      </c>
      <c r="G283">
        <v>8.5</v>
      </c>
      <c r="H283">
        <v>18</v>
      </c>
      <c r="I283">
        <v>-10.5</v>
      </c>
      <c r="J283">
        <v>45</v>
      </c>
      <c r="L283" s="1" t="s">
        <v>294</v>
      </c>
      <c r="M283">
        <v>20</v>
      </c>
      <c r="N283">
        <v>-0.91520000000000012</v>
      </c>
      <c r="O283">
        <v>1.1360000000000001</v>
      </c>
      <c r="P283">
        <v>17.439999999999994</v>
      </c>
      <c r="Q283">
        <v>-1.6399999999999997</v>
      </c>
      <c r="R283">
        <v>5.8500000000000014</v>
      </c>
      <c r="S283">
        <v>12.4512</v>
      </c>
      <c r="T283">
        <v>5.339999999999999</v>
      </c>
      <c r="U283">
        <v>23</v>
      </c>
      <c r="V283">
        <v>22.5</v>
      </c>
      <c r="W283">
        <v>0.4</v>
      </c>
      <c r="X283">
        <v>6</v>
      </c>
      <c r="Y283">
        <v>10.25</v>
      </c>
      <c r="Z283">
        <v>16</v>
      </c>
      <c r="AA283">
        <v>9.6250397225153828E-3</v>
      </c>
      <c r="AB283">
        <v>4</v>
      </c>
      <c r="AC283">
        <v>2.1977118153226109E-2</v>
      </c>
      <c r="AD283">
        <v>6</v>
      </c>
      <c r="AE283">
        <v>-6.044000000000004</v>
      </c>
      <c r="AF283">
        <v>15</v>
      </c>
      <c r="AG283">
        <v>8.0000000000000251E-2</v>
      </c>
      <c r="AH283">
        <v>5.8000000000000016</v>
      </c>
      <c r="AI283">
        <v>1.2</v>
      </c>
      <c r="AJ283">
        <v>-1.2</v>
      </c>
      <c r="AK283">
        <v>12.999999999999989</v>
      </c>
      <c r="AL283">
        <v>-9.8799999999999955</v>
      </c>
      <c r="AM283">
        <v>17.360000000000003</v>
      </c>
      <c r="AN283">
        <v>-1.3199999999999998</v>
      </c>
      <c r="AO283">
        <v>6.8400000000000007</v>
      </c>
      <c r="AP283">
        <v>18</v>
      </c>
      <c r="AQ283">
        <v>-2.0512000000000001</v>
      </c>
      <c r="AR283">
        <v>0.41896000000000011</v>
      </c>
      <c r="AS283">
        <v>-27.24</v>
      </c>
      <c r="AT283">
        <v>2.0512000000000001</v>
      </c>
      <c r="AU283">
        <v>0.69885000000000019</v>
      </c>
      <c r="AV283">
        <v>0.35110000000000019</v>
      </c>
      <c r="AW283">
        <v>-1.5821999999999998</v>
      </c>
      <c r="AX283" t="s">
        <v>293</v>
      </c>
      <c r="AY283">
        <v>2</v>
      </c>
      <c r="AZ283">
        <v>3.3720000000000012</v>
      </c>
      <c r="BA283">
        <v>0.72399999999999953</v>
      </c>
      <c r="BB283">
        <v>-0.60000000000000364</v>
      </c>
      <c r="BC283">
        <v>0.6399999999999999</v>
      </c>
      <c r="BD283">
        <v>10.099200000000002</v>
      </c>
      <c r="BE283">
        <v>37.617199999999997</v>
      </c>
      <c r="BF283">
        <v>3.8499999999999996</v>
      </c>
      <c r="BG283">
        <v>1</v>
      </c>
      <c r="BH283">
        <v>1.5</v>
      </c>
      <c r="BI283">
        <v>-1.56</v>
      </c>
      <c r="BJ283">
        <v>31</v>
      </c>
      <c r="BK283">
        <v>29</v>
      </c>
      <c r="BL283">
        <v>29</v>
      </c>
      <c r="BM283">
        <v>-6.3585029344177035E-2</v>
      </c>
      <c r="BN283">
        <v>32</v>
      </c>
      <c r="BO283">
        <v>-3.1586937526708284E-2</v>
      </c>
      <c r="BP283">
        <v>30</v>
      </c>
      <c r="BQ283">
        <v>10.563999999999998</v>
      </c>
      <c r="BR283">
        <v>25</v>
      </c>
      <c r="BS283">
        <v>-1.8399999999999999</v>
      </c>
      <c r="BT283">
        <v>0</v>
      </c>
      <c r="BU283">
        <v>5.4799999999999986</v>
      </c>
      <c r="BV283">
        <v>-0.4</v>
      </c>
      <c r="BW283">
        <v>29.080000000000005</v>
      </c>
      <c r="BX283">
        <v>36.200000000000003</v>
      </c>
      <c r="BY283">
        <v>-1.7599999999999993</v>
      </c>
      <c r="BZ283">
        <v>-1.3199999999999998</v>
      </c>
      <c r="CA283">
        <v>-4.0400000000000009</v>
      </c>
      <c r="CB283">
        <v>11</v>
      </c>
      <c r="CC283">
        <v>2.6480000000000015</v>
      </c>
      <c r="CD283">
        <v>2.3322400000000005</v>
      </c>
      <c r="CE283">
        <v>37.96</v>
      </c>
      <c r="CF283">
        <v>2.2844000000000002</v>
      </c>
    </row>
    <row r="284" spans="1:84" x14ac:dyDescent="0.2">
      <c r="A284" s="39">
        <v>43800</v>
      </c>
      <c r="B284" s="22" t="s">
        <v>241</v>
      </c>
      <c r="C284" s="41" t="s">
        <v>309</v>
      </c>
      <c r="D284" s="22" t="s">
        <v>281</v>
      </c>
      <c r="E284">
        <v>24.1</v>
      </c>
      <c r="F284">
        <v>4.0999999999999996</v>
      </c>
      <c r="G284">
        <v>3.8</v>
      </c>
      <c r="H284">
        <v>6.8</v>
      </c>
      <c r="I284">
        <v>1</v>
      </c>
      <c r="J284">
        <v>40</v>
      </c>
      <c r="L284" s="1" t="s">
        <v>309</v>
      </c>
      <c r="M284">
        <v>31</v>
      </c>
      <c r="N284">
        <v>-6.5783999999999994</v>
      </c>
      <c r="O284">
        <v>2.5279999999999996</v>
      </c>
      <c r="P284">
        <v>-2.7200000000000015</v>
      </c>
      <c r="Q284">
        <v>2.76</v>
      </c>
      <c r="R284">
        <v>-6.7850000000000001</v>
      </c>
      <c r="S284">
        <v>-13.757499999999993</v>
      </c>
      <c r="T284">
        <v>-4.5250000000000004</v>
      </c>
      <c r="U284">
        <v>3</v>
      </c>
      <c r="V284">
        <v>5.5</v>
      </c>
      <c r="W284">
        <v>5.88</v>
      </c>
      <c r="X284">
        <v>12</v>
      </c>
      <c r="Y284">
        <v>13.25</v>
      </c>
      <c r="Z284">
        <v>9</v>
      </c>
      <c r="AA284">
        <v>3.7675928640916991E-2</v>
      </c>
      <c r="AB284">
        <v>20</v>
      </c>
      <c r="AC284">
        <v>-6.4737062702296191E-3</v>
      </c>
      <c r="AD284">
        <v>19</v>
      </c>
      <c r="AE284">
        <v>0.58800000000000385</v>
      </c>
      <c r="AF284">
        <v>5</v>
      </c>
      <c r="AG284">
        <v>3.04</v>
      </c>
      <c r="AH284">
        <v>1.5599999999999994</v>
      </c>
      <c r="AI284">
        <v>-3.4800000000000004</v>
      </c>
      <c r="AJ284">
        <v>1.24</v>
      </c>
      <c r="AK284">
        <v>-27.320000000000004</v>
      </c>
      <c r="AL284">
        <v>-19.719999999999992</v>
      </c>
      <c r="AM284">
        <v>4.0799999999999983</v>
      </c>
      <c r="AN284">
        <v>1.56</v>
      </c>
      <c r="AO284">
        <v>-13.24</v>
      </c>
      <c r="AP284">
        <v>31</v>
      </c>
      <c r="AQ284">
        <v>-9.1063999999999989</v>
      </c>
      <c r="AR284">
        <v>-3.9366799999999995</v>
      </c>
      <c r="AS284">
        <v>-23.79999999999999</v>
      </c>
      <c r="AT284">
        <v>9.1063999999999989</v>
      </c>
      <c r="AU284">
        <v>-1.074425</v>
      </c>
      <c r="AV284">
        <v>-1.1652281250000001</v>
      </c>
      <c r="AW284">
        <v>-1.8527</v>
      </c>
      <c r="AX284" t="s">
        <v>281</v>
      </c>
      <c r="AY284">
        <v>11</v>
      </c>
      <c r="AZ284">
        <v>1.7832000000000015</v>
      </c>
      <c r="BA284">
        <v>-2.0920000000000014</v>
      </c>
      <c r="BB284">
        <v>-8.32</v>
      </c>
      <c r="BC284">
        <v>-1.3200000000000003</v>
      </c>
      <c r="BD284">
        <v>7.0749999999999424E-2</v>
      </c>
      <c r="BE284">
        <v>8.8649999999999984</v>
      </c>
      <c r="BF284">
        <v>0.21750000000000028</v>
      </c>
      <c r="BG284">
        <v>29</v>
      </c>
      <c r="BH284">
        <v>27</v>
      </c>
      <c r="BI284">
        <v>-5.4399999999999995</v>
      </c>
      <c r="BJ284">
        <v>9</v>
      </c>
      <c r="BK284">
        <v>12.5</v>
      </c>
      <c r="BL284">
        <v>8</v>
      </c>
      <c r="BM284">
        <v>3.1966416667051599E-2</v>
      </c>
      <c r="BN284">
        <v>16</v>
      </c>
      <c r="BO284">
        <v>4.1445162678672569E-4</v>
      </c>
      <c r="BP284">
        <v>7</v>
      </c>
      <c r="BQ284">
        <v>-4.6960000000000033</v>
      </c>
      <c r="BR284">
        <v>19</v>
      </c>
      <c r="BS284">
        <v>-0.35999999999999976</v>
      </c>
      <c r="BT284">
        <v>-4.2799999999999994</v>
      </c>
      <c r="BU284">
        <v>-0.8</v>
      </c>
      <c r="BV284">
        <v>-1.1599999999999997</v>
      </c>
      <c r="BW284">
        <v>0.31999999999999318</v>
      </c>
      <c r="BX284">
        <v>4.4799999999999951</v>
      </c>
      <c r="BY284">
        <v>-9.5599999999999987</v>
      </c>
      <c r="BZ284">
        <v>0.28000000000000008</v>
      </c>
      <c r="CA284">
        <v>5.12</v>
      </c>
      <c r="CB284">
        <v>8</v>
      </c>
      <c r="CC284">
        <v>3.8752000000000026</v>
      </c>
      <c r="CD284">
        <v>1.4167900000000009</v>
      </c>
      <c r="CE284">
        <v>14.039999999999994</v>
      </c>
      <c r="CF284">
        <v>-0.47775624999999999</v>
      </c>
    </row>
    <row r="285" spans="1:84" x14ac:dyDescent="0.2">
      <c r="A285" s="39">
        <v>43800</v>
      </c>
      <c r="B285" s="22" t="s">
        <v>241</v>
      </c>
      <c r="C285" s="40" t="s">
        <v>256</v>
      </c>
      <c r="D285" s="22" t="s">
        <v>305</v>
      </c>
      <c r="E285">
        <v>8.1</v>
      </c>
      <c r="F285">
        <v>14.1</v>
      </c>
      <c r="G285">
        <v>7.2</v>
      </c>
      <c r="H285">
        <v>3.4</v>
      </c>
      <c r="I285">
        <v>5.5</v>
      </c>
      <c r="J285">
        <v>45</v>
      </c>
      <c r="K285" t="s">
        <v>110</v>
      </c>
      <c r="L285" s="1" t="s">
        <v>256</v>
      </c>
      <c r="M285">
        <v>14</v>
      </c>
      <c r="N285">
        <v>0.4431999999999981</v>
      </c>
      <c r="O285">
        <v>-1.2560000000000007</v>
      </c>
      <c r="P285">
        <v>-1.2000000000000002</v>
      </c>
      <c r="Q285">
        <v>-0.2799999999999998</v>
      </c>
      <c r="R285">
        <v>-5.1460000000000035</v>
      </c>
      <c r="S285">
        <v>-32.502800000000001</v>
      </c>
      <c r="T285">
        <v>-5.28</v>
      </c>
      <c r="U285">
        <v>17</v>
      </c>
      <c r="V285">
        <v>16</v>
      </c>
      <c r="W285">
        <v>3.3600000000000008</v>
      </c>
      <c r="X285">
        <v>21</v>
      </c>
      <c r="Y285">
        <v>17.75</v>
      </c>
      <c r="Z285">
        <v>19</v>
      </c>
      <c r="AA285">
        <v>-1.1491454585293404E-2</v>
      </c>
      <c r="AB285">
        <v>3</v>
      </c>
      <c r="AC285">
        <v>2.4590179160782849E-2</v>
      </c>
      <c r="AD285">
        <v>29</v>
      </c>
      <c r="AE285">
        <v>11.867999999999995</v>
      </c>
      <c r="AF285">
        <v>20</v>
      </c>
      <c r="AG285">
        <v>-1.08</v>
      </c>
      <c r="AH285">
        <v>-3.519999999999996</v>
      </c>
      <c r="AI285">
        <v>1.920000000000001</v>
      </c>
      <c r="AJ285">
        <v>1.1200000000000001</v>
      </c>
      <c r="AK285">
        <v>-24.360000000000003</v>
      </c>
      <c r="AL285">
        <v>-25.159999999999997</v>
      </c>
      <c r="AM285">
        <v>3.0400000000000036</v>
      </c>
      <c r="AN285">
        <v>1.2000000000000002</v>
      </c>
      <c r="AO285">
        <v>-3.44</v>
      </c>
      <c r="AP285">
        <v>13</v>
      </c>
      <c r="AQ285">
        <v>1.6991999999999989</v>
      </c>
      <c r="AR285">
        <v>-0.31256000000000073</v>
      </c>
      <c r="AS285">
        <v>-28.2</v>
      </c>
      <c r="AT285">
        <v>-1.6991999999999987</v>
      </c>
      <c r="AU285">
        <v>-0.68485000000000062</v>
      </c>
      <c r="AV285">
        <v>-2.0896000000000003</v>
      </c>
      <c r="AW285">
        <v>-1.9542000000000002</v>
      </c>
      <c r="AX285" t="s">
        <v>305</v>
      </c>
      <c r="AY285">
        <v>32</v>
      </c>
      <c r="AZ285">
        <v>-7.5903999999999998</v>
      </c>
      <c r="BA285">
        <v>-0.55200000000000005</v>
      </c>
      <c r="BB285">
        <v>2.799999999999998</v>
      </c>
      <c r="BC285">
        <v>-1.5599999999999998</v>
      </c>
      <c r="BD285">
        <v>-8.377600000000001</v>
      </c>
      <c r="BE285">
        <v>-37.44</v>
      </c>
      <c r="BF285">
        <v>0.64000000000000012</v>
      </c>
      <c r="BG285">
        <v>23</v>
      </c>
      <c r="BH285">
        <v>22.5</v>
      </c>
      <c r="BI285">
        <v>-7.4</v>
      </c>
      <c r="BJ285">
        <v>5</v>
      </c>
      <c r="BK285">
        <v>9.75</v>
      </c>
      <c r="BL285">
        <v>15</v>
      </c>
      <c r="BM285">
        <v>-7.4433024707271089E-4</v>
      </c>
      <c r="BN285">
        <v>8</v>
      </c>
      <c r="BO285">
        <v>1.8019051186429734E-2</v>
      </c>
      <c r="BP285">
        <v>15</v>
      </c>
      <c r="BQ285">
        <v>-1.1039999999999979</v>
      </c>
      <c r="BR285">
        <v>1</v>
      </c>
      <c r="BS285">
        <v>6.7200000000000006</v>
      </c>
      <c r="BT285">
        <v>-4.5200000000000005</v>
      </c>
      <c r="BU285">
        <v>-6.5200000000000005</v>
      </c>
      <c r="BV285">
        <v>-1.56</v>
      </c>
      <c r="BW285">
        <v>-48.64</v>
      </c>
      <c r="BX285">
        <v>-53.879999999999981</v>
      </c>
      <c r="BY285">
        <v>1.319999999999999</v>
      </c>
      <c r="BZ285">
        <v>4.2799999999999994</v>
      </c>
      <c r="CA285">
        <v>-0.36000000000000038</v>
      </c>
      <c r="CB285">
        <v>30</v>
      </c>
      <c r="CC285">
        <v>-7.0383999999999993</v>
      </c>
      <c r="CD285">
        <v>-2.9176000000000011</v>
      </c>
      <c r="CE285">
        <v>-55.199999999999982</v>
      </c>
      <c r="CF285">
        <v>-2.2250000000000005</v>
      </c>
    </row>
    <row r="286" spans="1:84" x14ac:dyDescent="0.2">
      <c r="A286" s="39">
        <v>43800</v>
      </c>
      <c r="B286" s="22" t="s">
        <v>241</v>
      </c>
      <c r="C286" s="41" t="s">
        <v>308</v>
      </c>
      <c r="D286" s="22" t="s">
        <v>312</v>
      </c>
      <c r="E286">
        <v>0</v>
      </c>
      <c r="F286">
        <v>12.5</v>
      </c>
      <c r="G286">
        <v>14.5</v>
      </c>
      <c r="H286">
        <v>10.4</v>
      </c>
      <c r="I286">
        <v>-2.5</v>
      </c>
      <c r="J286">
        <v>48</v>
      </c>
      <c r="L286" s="1" t="s">
        <v>308</v>
      </c>
      <c r="M286">
        <v>10</v>
      </c>
      <c r="N286">
        <v>2.5223999999999993</v>
      </c>
      <c r="O286">
        <v>6.7799999999999985</v>
      </c>
      <c r="P286">
        <v>55.400000000000006</v>
      </c>
      <c r="Q286">
        <v>-2.64</v>
      </c>
      <c r="R286">
        <v>4.5952000000000019</v>
      </c>
      <c r="S286">
        <v>5.3599999999999994</v>
      </c>
      <c r="T286">
        <v>-3.2399999999999998</v>
      </c>
      <c r="U286">
        <v>8</v>
      </c>
      <c r="V286">
        <v>8.5</v>
      </c>
      <c r="W286">
        <v>3.56</v>
      </c>
      <c r="X286">
        <v>12</v>
      </c>
      <c r="Y286">
        <v>13.25</v>
      </c>
      <c r="Z286">
        <v>11</v>
      </c>
      <c r="AA286">
        <v>2.9340344583819178E-2</v>
      </c>
      <c r="AB286">
        <v>5</v>
      </c>
      <c r="AC286">
        <v>2.1107189561680405E-2</v>
      </c>
      <c r="AD286">
        <v>21</v>
      </c>
      <c r="AE286">
        <v>1.4039999999999992</v>
      </c>
      <c r="AF286">
        <v>16</v>
      </c>
      <c r="AG286">
        <v>-3.9999999999999501E-2</v>
      </c>
      <c r="AH286">
        <v>3.12</v>
      </c>
      <c r="AI286">
        <v>6.76</v>
      </c>
      <c r="AJ286">
        <v>0.55999999999999983</v>
      </c>
      <c r="AK286">
        <v>60.08000000000002</v>
      </c>
      <c r="AL286">
        <v>4.6399999999999917</v>
      </c>
      <c r="AM286">
        <v>57.919999999999995</v>
      </c>
      <c r="AN286">
        <v>-1.8</v>
      </c>
      <c r="AO286">
        <v>-0.67999999999999972</v>
      </c>
      <c r="AP286">
        <v>21</v>
      </c>
      <c r="AQ286">
        <v>-4.2576000000000001</v>
      </c>
      <c r="AR286">
        <v>-1.9664799999999991</v>
      </c>
      <c r="AS286">
        <v>-53.28</v>
      </c>
      <c r="AT286">
        <v>4.2575999999999992</v>
      </c>
      <c r="AU286">
        <v>1.8742000000000001</v>
      </c>
      <c r="AV286">
        <v>0.98753750000000018</v>
      </c>
      <c r="AW286">
        <v>0.88447500000000012</v>
      </c>
      <c r="AX286" t="s">
        <v>312</v>
      </c>
      <c r="AY286">
        <v>7</v>
      </c>
      <c r="AZ286">
        <v>-0.8344000000000007</v>
      </c>
      <c r="BA286">
        <v>-5.9999999999998901E-2</v>
      </c>
      <c r="BB286">
        <v>8.3680000000000003</v>
      </c>
      <c r="BC286">
        <v>-0.72</v>
      </c>
      <c r="BD286">
        <v>7.2992000000000017</v>
      </c>
      <c r="BE286">
        <v>45.2</v>
      </c>
      <c r="BF286">
        <v>3.12</v>
      </c>
      <c r="BG286">
        <v>11</v>
      </c>
      <c r="BH286">
        <v>12</v>
      </c>
      <c r="BI286">
        <v>-3.72</v>
      </c>
      <c r="BJ286">
        <v>7</v>
      </c>
      <c r="BK286">
        <v>12.25</v>
      </c>
      <c r="BL286">
        <v>19</v>
      </c>
      <c r="BM286">
        <v>-1.1548375348583096E-2</v>
      </c>
      <c r="BN286">
        <v>13</v>
      </c>
      <c r="BO286">
        <v>3.7729236709435178E-3</v>
      </c>
      <c r="BP286">
        <v>1</v>
      </c>
      <c r="BQ286">
        <v>-20.317</v>
      </c>
      <c r="BR286">
        <v>16</v>
      </c>
      <c r="BS286">
        <v>0.24000000000000021</v>
      </c>
      <c r="BT286">
        <v>2.919999999999999</v>
      </c>
      <c r="BU286">
        <v>1.4400000000000006</v>
      </c>
      <c r="BV286">
        <v>-1.1199999999999999</v>
      </c>
      <c r="BW286">
        <v>32.120000000000005</v>
      </c>
      <c r="BX286">
        <v>27.919999999999998</v>
      </c>
      <c r="BY286">
        <v>11.240000000000004</v>
      </c>
      <c r="BZ286">
        <v>1.4</v>
      </c>
      <c r="CA286">
        <v>-8.44</v>
      </c>
      <c r="CB286">
        <v>20</v>
      </c>
      <c r="CC286">
        <v>-0.77440000000000175</v>
      </c>
      <c r="CD286">
        <v>1.3229599999999997</v>
      </c>
      <c r="CE286">
        <v>16.679999999999993</v>
      </c>
      <c r="CF286">
        <v>1.0906000000000002</v>
      </c>
    </row>
    <row r="287" spans="1:84" x14ac:dyDescent="0.2">
      <c r="A287" s="39">
        <v>43800</v>
      </c>
      <c r="B287" s="22" t="s">
        <v>241</v>
      </c>
      <c r="C287" s="41" t="s">
        <v>284</v>
      </c>
      <c r="D287" s="22" t="s">
        <v>297</v>
      </c>
      <c r="E287">
        <v>9.3000000000000007</v>
      </c>
      <c r="F287">
        <v>9</v>
      </c>
      <c r="G287">
        <v>13.7</v>
      </c>
      <c r="H287">
        <v>12.6</v>
      </c>
      <c r="I287">
        <v>-3</v>
      </c>
      <c r="J287">
        <v>46.5</v>
      </c>
      <c r="K287" t="s">
        <v>109</v>
      </c>
      <c r="L287" s="1" t="s">
        <v>284</v>
      </c>
      <c r="M287">
        <v>12</v>
      </c>
      <c r="N287">
        <v>1.2327999999999999</v>
      </c>
      <c r="O287">
        <v>-1.0979999999999999</v>
      </c>
      <c r="P287">
        <v>-25.400000000000006</v>
      </c>
      <c r="Q287">
        <v>-2.09</v>
      </c>
      <c r="R287">
        <v>1.0479999999999996</v>
      </c>
      <c r="S287">
        <v>37.057199999999995</v>
      </c>
      <c r="T287">
        <v>-1.7400000000000002</v>
      </c>
      <c r="U287">
        <v>18</v>
      </c>
      <c r="V287">
        <v>17.5</v>
      </c>
      <c r="W287">
        <v>0.64000000000000024</v>
      </c>
      <c r="X287">
        <v>14</v>
      </c>
      <c r="Y287">
        <v>14</v>
      </c>
      <c r="Z287">
        <v>29</v>
      </c>
      <c r="AA287">
        <v>-6.9563665252126955E-2</v>
      </c>
      <c r="AB287">
        <v>22</v>
      </c>
      <c r="AC287">
        <v>-9.6128771024582057E-3</v>
      </c>
      <c r="AD287">
        <v>1</v>
      </c>
      <c r="AE287">
        <v>-29.584000000000003</v>
      </c>
      <c r="AF287">
        <v>4</v>
      </c>
      <c r="AG287">
        <v>3.1200000000000006</v>
      </c>
      <c r="AH287">
        <v>3.2400000000000033</v>
      </c>
      <c r="AI287">
        <v>3.5200000000000005</v>
      </c>
      <c r="AJ287">
        <v>1.1199999999999997</v>
      </c>
      <c r="AK287">
        <v>16.399999999999999</v>
      </c>
      <c r="AL287">
        <v>32.399999999999991</v>
      </c>
      <c r="AM287">
        <v>-22.96</v>
      </c>
      <c r="AN287">
        <v>-4.92</v>
      </c>
      <c r="AO287">
        <v>11.879999999999999</v>
      </c>
      <c r="AP287">
        <v>12</v>
      </c>
      <c r="AQ287">
        <v>2.3307999999999995</v>
      </c>
      <c r="AR287">
        <v>1.0051600000000001</v>
      </c>
      <c r="AS287">
        <v>55.359999999999992</v>
      </c>
      <c r="AT287">
        <v>-2.3308</v>
      </c>
      <c r="AU287">
        <v>0.18285000000000001</v>
      </c>
      <c r="AV287">
        <v>0.9220624999999999</v>
      </c>
      <c r="AW287">
        <v>1.7533500000000002</v>
      </c>
      <c r="AX287" t="s">
        <v>297</v>
      </c>
      <c r="AY287">
        <v>20</v>
      </c>
      <c r="AZ287">
        <v>-0.99280000000000013</v>
      </c>
      <c r="BA287">
        <v>6.8039999999999985</v>
      </c>
      <c r="BB287">
        <v>37.399999999999991</v>
      </c>
      <c r="BC287">
        <v>-1.1599999999999999</v>
      </c>
      <c r="BD287">
        <v>-4.4850000000000012</v>
      </c>
      <c r="BE287">
        <v>-16.22</v>
      </c>
      <c r="BF287">
        <v>-3.1100000000000003</v>
      </c>
      <c r="BG287">
        <v>26</v>
      </c>
      <c r="BH287">
        <v>25</v>
      </c>
      <c r="BI287">
        <v>3.6800000000000006</v>
      </c>
      <c r="BJ287">
        <v>20</v>
      </c>
      <c r="BK287">
        <v>16.75</v>
      </c>
      <c r="BL287">
        <v>21</v>
      </c>
      <c r="BM287">
        <v>-1.6407304147473073E-2</v>
      </c>
      <c r="BN287">
        <v>5</v>
      </c>
      <c r="BO287">
        <v>2.1520678244637874E-2</v>
      </c>
      <c r="BP287">
        <v>32</v>
      </c>
      <c r="BQ287">
        <v>13.908000000000001</v>
      </c>
      <c r="BR287">
        <v>9</v>
      </c>
      <c r="BS287">
        <v>1.8399999999999999</v>
      </c>
      <c r="BT287">
        <v>-3</v>
      </c>
      <c r="BU287">
        <v>3.16</v>
      </c>
      <c r="BV287">
        <v>-0.43999999999999995</v>
      </c>
      <c r="BW287">
        <v>8.9600000000000133</v>
      </c>
      <c r="BX287">
        <v>-32.319999999999986</v>
      </c>
      <c r="BY287">
        <v>32.679999999999993</v>
      </c>
      <c r="BZ287">
        <v>4.88</v>
      </c>
      <c r="CA287">
        <v>3.72</v>
      </c>
      <c r="CB287">
        <v>32</v>
      </c>
      <c r="CC287">
        <v>-7.7967999999999984</v>
      </c>
      <c r="CD287">
        <v>-4.49756</v>
      </c>
      <c r="CE287">
        <v>-64.999999999999972</v>
      </c>
      <c r="CF287">
        <v>9.0774999999999689E-2</v>
      </c>
    </row>
    <row r="288" spans="1:84" x14ac:dyDescent="0.2">
      <c r="A288" s="39">
        <v>43800</v>
      </c>
      <c r="B288" s="22" t="s">
        <v>241</v>
      </c>
      <c r="C288" s="41" t="s">
        <v>310</v>
      </c>
      <c r="D288" s="22" t="s">
        <v>289</v>
      </c>
      <c r="E288">
        <v>7.5</v>
      </c>
      <c r="F288">
        <v>3.3</v>
      </c>
      <c r="G288">
        <v>8.3000000000000007</v>
      </c>
      <c r="H288">
        <v>7.2</v>
      </c>
      <c r="I288">
        <v>-1</v>
      </c>
      <c r="J288">
        <v>41.5</v>
      </c>
      <c r="L288" s="1" t="s">
        <v>310</v>
      </c>
      <c r="M288">
        <v>7</v>
      </c>
      <c r="N288">
        <v>3.7800000000000002</v>
      </c>
      <c r="O288">
        <v>2.2803999999999998</v>
      </c>
      <c r="P288">
        <v>32.120000000000005</v>
      </c>
      <c r="Q288">
        <v>-2.6000000000000005</v>
      </c>
      <c r="R288">
        <v>-7.9099999999999975</v>
      </c>
      <c r="S288">
        <v>-39.239999999999995</v>
      </c>
      <c r="T288">
        <v>-5.38</v>
      </c>
      <c r="U288">
        <v>29</v>
      </c>
      <c r="V288">
        <v>29</v>
      </c>
      <c r="W288">
        <v>1.2000000000000004</v>
      </c>
      <c r="X288">
        <v>25</v>
      </c>
      <c r="Y288">
        <v>21</v>
      </c>
      <c r="Z288">
        <v>27</v>
      </c>
      <c r="AA288">
        <v>-6.7819928718210409E-2</v>
      </c>
      <c r="AB288">
        <v>2</v>
      </c>
      <c r="AC288">
        <v>3.6456782648287153E-2</v>
      </c>
      <c r="AD288">
        <v>30</v>
      </c>
      <c r="AE288">
        <v>12.879999999999999</v>
      </c>
      <c r="AF288">
        <v>25</v>
      </c>
      <c r="AG288">
        <v>-1.8799999999999997</v>
      </c>
      <c r="AH288">
        <v>-5.759999999999998</v>
      </c>
      <c r="AI288">
        <v>6.0000000000000009</v>
      </c>
      <c r="AJ288">
        <v>1.1199999999999999</v>
      </c>
      <c r="AK288">
        <v>11.639999999999997</v>
      </c>
      <c r="AL288">
        <v>-24.4</v>
      </c>
      <c r="AM288">
        <v>29.839999999999996</v>
      </c>
      <c r="AN288">
        <v>-2.92</v>
      </c>
      <c r="AO288">
        <v>9.1199999999999992</v>
      </c>
      <c r="AP288">
        <v>14</v>
      </c>
      <c r="AQ288">
        <v>1.4996000000000005</v>
      </c>
      <c r="AR288">
        <v>-1.9661999999999995</v>
      </c>
      <c r="AS288">
        <v>-54.239999999999995</v>
      </c>
      <c r="AT288">
        <v>-1.4996000000000005</v>
      </c>
      <c r="AU288">
        <v>-0.45619999999999988</v>
      </c>
      <c r="AV288">
        <v>0.32849999999999985</v>
      </c>
      <c r="AW288">
        <v>1.6250249999999999</v>
      </c>
      <c r="AX288" t="s">
        <v>289</v>
      </c>
      <c r="AY288">
        <v>25</v>
      </c>
      <c r="AZ288">
        <v>-3.1295999999999995</v>
      </c>
      <c r="BA288">
        <v>-2.628000000000001</v>
      </c>
      <c r="BB288">
        <v>0.27999999999999936</v>
      </c>
      <c r="BC288">
        <v>4.0000000000000258E-2</v>
      </c>
      <c r="BD288">
        <v>-3.9626000000000019</v>
      </c>
      <c r="BE288">
        <v>-9.5400000000000063</v>
      </c>
      <c r="BF288">
        <v>-0.57000000000000006</v>
      </c>
      <c r="BG288">
        <v>5</v>
      </c>
      <c r="BH288">
        <v>4.5</v>
      </c>
      <c r="BI288">
        <v>3.4799999999999995</v>
      </c>
      <c r="BJ288">
        <v>28</v>
      </c>
      <c r="BK288">
        <v>23</v>
      </c>
      <c r="BL288">
        <v>27</v>
      </c>
      <c r="BM288">
        <v>-4.606336331833797E-2</v>
      </c>
      <c r="BN288">
        <v>18</v>
      </c>
      <c r="BO288">
        <v>-1.5322623700895488E-3</v>
      </c>
      <c r="BP288">
        <v>26</v>
      </c>
      <c r="BQ288">
        <v>7.1839999999999957</v>
      </c>
      <c r="BR288">
        <v>21</v>
      </c>
      <c r="BS288">
        <v>-0.4799999999999997</v>
      </c>
      <c r="BT288">
        <v>-3.12</v>
      </c>
      <c r="BU288">
        <v>-2.4400000000000004</v>
      </c>
      <c r="BV288">
        <v>1.32</v>
      </c>
      <c r="BW288">
        <v>-32.839999999999996</v>
      </c>
      <c r="BX288">
        <v>-18.839999999999996</v>
      </c>
      <c r="BY288">
        <v>-3.6399999999999992</v>
      </c>
      <c r="BZ288">
        <v>-2.3200000000000003</v>
      </c>
      <c r="CA288">
        <v>-8.0399999999999991</v>
      </c>
      <c r="CB288">
        <v>19</v>
      </c>
      <c r="CC288">
        <v>-0.50159999999999849</v>
      </c>
      <c r="CD288">
        <v>-0.10443999999999987</v>
      </c>
      <c r="CE288">
        <v>-15.199999999999998</v>
      </c>
      <c r="CF288">
        <v>-0.96802500000000025</v>
      </c>
    </row>
    <row r="289" spans="1:84" x14ac:dyDescent="0.2">
      <c r="A289" s="39">
        <v>43800</v>
      </c>
      <c r="B289" s="22" t="s">
        <v>241</v>
      </c>
      <c r="C289" s="41" t="s">
        <v>306</v>
      </c>
      <c r="D289" s="22" t="s">
        <v>301</v>
      </c>
      <c r="E289">
        <v>2.8</v>
      </c>
      <c r="F289">
        <v>8.1</v>
      </c>
      <c r="G289">
        <v>5.9</v>
      </c>
      <c r="H289">
        <v>5.6</v>
      </c>
      <c r="I289">
        <v>-10.5</v>
      </c>
      <c r="J289">
        <v>38.5</v>
      </c>
      <c r="K289" t="s">
        <v>110</v>
      </c>
      <c r="L289" s="1" t="s">
        <v>306</v>
      </c>
      <c r="M289">
        <v>32</v>
      </c>
      <c r="N289">
        <v>-9.2279999999999998</v>
      </c>
      <c r="O289">
        <v>-0.24400000000000066</v>
      </c>
      <c r="P289">
        <v>14.927999999999997</v>
      </c>
      <c r="Q289">
        <v>-2.2400000000000002</v>
      </c>
      <c r="R289">
        <v>-21.584800000000001</v>
      </c>
      <c r="S289">
        <v>-84.88</v>
      </c>
      <c r="T289">
        <v>-7.64</v>
      </c>
      <c r="U289">
        <v>1</v>
      </c>
      <c r="V289">
        <v>1</v>
      </c>
      <c r="W289">
        <v>2.4400000000000004</v>
      </c>
      <c r="X289">
        <v>1</v>
      </c>
      <c r="Y289">
        <v>5.25</v>
      </c>
      <c r="Z289">
        <v>9</v>
      </c>
      <c r="AA289">
        <v>3.7777355512700325E-2</v>
      </c>
      <c r="AB289">
        <v>1</v>
      </c>
      <c r="AC289">
        <v>5.145945063823508E-2</v>
      </c>
      <c r="AD289">
        <v>2</v>
      </c>
      <c r="AE289">
        <v>-15.596000000000004</v>
      </c>
      <c r="AF289">
        <v>9</v>
      </c>
      <c r="AG289">
        <v>1.7200000000000002</v>
      </c>
      <c r="AH289">
        <v>-7.92</v>
      </c>
      <c r="AI289">
        <v>-6</v>
      </c>
      <c r="AJ289">
        <v>0.39999999999999991</v>
      </c>
      <c r="AK289">
        <v>-71.399999999999991</v>
      </c>
      <c r="AL289">
        <v>-90.320000000000007</v>
      </c>
      <c r="AM289">
        <v>19.64</v>
      </c>
      <c r="AN289">
        <v>-2.16</v>
      </c>
      <c r="AO289">
        <v>1.4399999999999997</v>
      </c>
      <c r="AP289">
        <v>30</v>
      </c>
      <c r="AQ289">
        <v>-8.984</v>
      </c>
      <c r="AR289">
        <v>-6.040560000000001</v>
      </c>
      <c r="AS289">
        <v>-109.96000000000001</v>
      </c>
      <c r="AT289">
        <v>8.9839999999999982</v>
      </c>
      <c r="AU289">
        <v>-3.6021000000000005</v>
      </c>
      <c r="AV289">
        <v>0.41262500000000041</v>
      </c>
      <c r="AW289">
        <v>-0.3703499999999994</v>
      </c>
      <c r="AX289" t="s">
        <v>301</v>
      </c>
      <c r="AY289">
        <v>14</v>
      </c>
      <c r="AZ289">
        <v>0.26880000000000132</v>
      </c>
      <c r="BA289">
        <v>5.8079999999999998</v>
      </c>
      <c r="BB289">
        <v>30.247999999999998</v>
      </c>
      <c r="BC289">
        <v>-1.52</v>
      </c>
      <c r="BD289">
        <v>3.4480000000000013</v>
      </c>
      <c r="BE289">
        <v>42.080000000000005</v>
      </c>
      <c r="BF289">
        <v>-2.9599999999999995</v>
      </c>
      <c r="BG289">
        <v>10</v>
      </c>
      <c r="BH289">
        <v>11.5</v>
      </c>
      <c r="BI289">
        <v>2.6399999999999997</v>
      </c>
      <c r="BJ289">
        <v>18</v>
      </c>
      <c r="BK289">
        <v>16.25</v>
      </c>
      <c r="BL289">
        <v>18</v>
      </c>
      <c r="BM289">
        <v>-1.0518956577681638E-2</v>
      </c>
      <c r="BN289">
        <v>16</v>
      </c>
      <c r="BO289">
        <v>2.2970746642336364E-4</v>
      </c>
      <c r="BP289">
        <v>8</v>
      </c>
      <c r="BQ289">
        <v>-4.6490000000000009</v>
      </c>
      <c r="BR289">
        <v>23</v>
      </c>
      <c r="BS289">
        <v>-1.4799999999999995</v>
      </c>
      <c r="BT289">
        <v>-0.48000000000000115</v>
      </c>
      <c r="BU289">
        <v>5.16</v>
      </c>
      <c r="BV289">
        <v>0</v>
      </c>
      <c r="BW289">
        <v>51.92</v>
      </c>
      <c r="BX289">
        <v>25.600000000000005</v>
      </c>
      <c r="BY289">
        <v>32.040000000000006</v>
      </c>
      <c r="BZ289">
        <v>-2.6399999999999997</v>
      </c>
      <c r="CA289">
        <v>-3.0799999999999996</v>
      </c>
      <c r="CB289">
        <v>29</v>
      </c>
      <c r="CC289">
        <v>-5.5391999999999975</v>
      </c>
      <c r="CD289">
        <v>-2.1606399999999994</v>
      </c>
      <c r="CE289">
        <v>-6.4400000000000013</v>
      </c>
      <c r="CF289">
        <v>1.1956000000000002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6CDAE-82E6-7745-836E-BD5B18AA0D40}">
  <dimension ref="A1:CF2"/>
  <sheetViews>
    <sheetView workbookViewId="0">
      <selection activeCell="A2" sqref="A2:XFD2"/>
    </sheetView>
  </sheetViews>
  <sheetFormatPr baseColWidth="10" defaultRowHeight="16" x14ac:dyDescent="0.2"/>
  <cols>
    <col min="82" max="82" width="14.33203125" bestFit="1" customWidth="1"/>
    <col min="83" max="83" width="15" bestFit="1" customWidth="1"/>
    <col min="84" max="84" width="7.5" bestFit="1" customWidth="1"/>
  </cols>
  <sheetData>
    <row r="1" spans="1:84" x14ac:dyDescent="0.2">
      <c r="A1" t="s">
        <v>226</v>
      </c>
      <c r="B1" t="s">
        <v>255</v>
      </c>
      <c r="C1" s="41" t="s">
        <v>254</v>
      </c>
      <c r="D1" t="s">
        <v>227</v>
      </c>
      <c r="E1" t="s">
        <v>191</v>
      </c>
      <c r="F1" t="s">
        <v>192</v>
      </c>
      <c r="G1" t="s">
        <v>395</v>
      </c>
      <c r="H1" t="s">
        <v>193</v>
      </c>
      <c r="I1" t="s">
        <v>9</v>
      </c>
      <c r="J1" t="s">
        <v>13</v>
      </c>
      <c r="K1" t="s">
        <v>108</v>
      </c>
      <c r="L1" s="1" t="s">
        <v>254</v>
      </c>
      <c r="M1" t="s">
        <v>736</v>
      </c>
      <c r="N1" t="s">
        <v>228</v>
      </c>
      <c r="O1" t="s">
        <v>874</v>
      </c>
      <c r="P1" t="s">
        <v>875</v>
      </c>
      <c r="Q1" t="s">
        <v>876</v>
      </c>
      <c r="R1" t="s">
        <v>894</v>
      </c>
      <c r="S1" t="s">
        <v>895</v>
      </c>
      <c r="T1" t="s">
        <v>896</v>
      </c>
      <c r="U1" t="s">
        <v>879</v>
      </c>
      <c r="V1" t="s">
        <v>864</v>
      </c>
      <c r="W1" t="s">
        <v>865</v>
      </c>
      <c r="X1" t="s">
        <v>867</v>
      </c>
      <c r="Y1" t="s">
        <v>868</v>
      </c>
      <c r="Z1" t="s">
        <v>869</v>
      </c>
      <c r="AA1" t="s">
        <v>870</v>
      </c>
      <c r="AB1" t="s">
        <v>871</v>
      </c>
      <c r="AC1" t="s">
        <v>234</v>
      </c>
      <c r="AD1" t="s">
        <v>872</v>
      </c>
      <c r="AE1" t="s">
        <v>880</v>
      </c>
      <c r="AF1" t="s">
        <v>881</v>
      </c>
      <c r="AG1" t="s">
        <v>866</v>
      </c>
      <c r="AH1" t="s">
        <v>877</v>
      </c>
      <c r="AI1" t="s">
        <v>882</v>
      </c>
      <c r="AJ1" t="s">
        <v>883</v>
      </c>
      <c r="AK1" t="s">
        <v>884</v>
      </c>
      <c r="AL1" t="s">
        <v>885</v>
      </c>
      <c r="AM1" t="s">
        <v>886</v>
      </c>
      <c r="AN1" t="s">
        <v>887</v>
      </c>
      <c r="AO1" t="s">
        <v>888</v>
      </c>
      <c r="AP1" t="s">
        <v>889</v>
      </c>
      <c r="AQ1" t="s">
        <v>890</v>
      </c>
      <c r="AR1" t="s">
        <v>878</v>
      </c>
      <c r="AS1" t="s">
        <v>891</v>
      </c>
      <c r="AT1" t="s">
        <v>892</v>
      </c>
      <c r="AU1" t="s">
        <v>893</v>
      </c>
      <c r="AV1" t="s">
        <v>788</v>
      </c>
      <c r="AW1" t="s">
        <v>897</v>
      </c>
      <c r="AX1" s="1" t="s">
        <v>227</v>
      </c>
      <c r="AY1" t="s">
        <v>790</v>
      </c>
      <c r="AZ1" t="s">
        <v>228</v>
      </c>
      <c r="BA1" t="s">
        <v>784</v>
      </c>
      <c r="BB1" t="s">
        <v>785</v>
      </c>
      <c r="BC1" t="s">
        <v>787</v>
      </c>
      <c r="BD1" t="s">
        <v>898</v>
      </c>
      <c r="BE1" t="s">
        <v>899</v>
      </c>
      <c r="BF1" t="s">
        <v>900</v>
      </c>
      <c r="BG1" t="s">
        <v>810</v>
      </c>
      <c r="BH1" t="s">
        <v>767</v>
      </c>
      <c r="BI1" t="s">
        <v>232</v>
      </c>
      <c r="BJ1" t="s">
        <v>811</v>
      </c>
      <c r="BK1" t="s">
        <v>812</v>
      </c>
      <c r="BL1" t="s">
        <v>772</v>
      </c>
      <c r="BM1" s="48" t="s">
        <v>233</v>
      </c>
      <c r="BN1" s="14" t="s">
        <v>773</v>
      </c>
      <c r="BO1" s="48" t="s">
        <v>234</v>
      </c>
      <c r="BP1" t="s">
        <v>774</v>
      </c>
      <c r="BQ1" t="s">
        <v>403</v>
      </c>
      <c r="BR1" t="s">
        <v>813</v>
      </c>
      <c r="BS1" t="s">
        <v>404</v>
      </c>
      <c r="BT1" t="s">
        <v>408</v>
      </c>
      <c r="BU1" t="s">
        <v>409</v>
      </c>
      <c r="BV1" t="s">
        <v>410</v>
      </c>
      <c r="BW1" t="s">
        <v>411</v>
      </c>
      <c r="BX1" t="s">
        <v>412</v>
      </c>
      <c r="BY1" t="s">
        <v>413</v>
      </c>
      <c r="BZ1" t="s">
        <v>414</v>
      </c>
      <c r="CA1" t="s">
        <v>415</v>
      </c>
      <c r="CB1" t="s">
        <v>776</v>
      </c>
      <c r="CC1" t="s">
        <v>777</v>
      </c>
      <c r="CD1" t="s">
        <v>778</v>
      </c>
      <c r="CE1" t="s">
        <v>814</v>
      </c>
      <c r="CF1" t="s">
        <v>815</v>
      </c>
    </row>
    <row r="2" spans="1:84" x14ac:dyDescent="0.2">
      <c r="A2" t="s">
        <v>226</v>
      </c>
      <c r="B2" t="s">
        <v>255</v>
      </c>
      <c r="C2" t="s">
        <v>254</v>
      </c>
      <c r="D2" t="s">
        <v>227</v>
      </c>
      <c r="E2" t="s">
        <v>191</v>
      </c>
      <c r="F2" t="s">
        <v>192</v>
      </c>
      <c r="G2" t="s">
        <v>395</v>
      </c>
      <c r="H2" t="s">
        <v>193</v>
      </c>
      <c r="I2" t="s">
        <v>9</v>
      </c>
      <c r="J2" t="s">
        <v>13</v>
      </c>
      <c r="K2" t="s">
        <v>108</v>
      </c>
      <c r="L2" t="s">
        <v>254</v>
      </c>
      <c r="M2" t="s">
        <v>736</v>
      </c>
      <c r="N2" t="s">
        <v>873</v>
      </c>
      <c r="O2" t="s">
        <v>874</v>
      </c>
      <c r="P2" t="s">
        <v>875</v>
      </c>
      <c r="Q2" t="s">
        <v>876</v>
      </c>
      <c r="R2" t="s">
        <v>894</v>
      </c>
      <c r="S2" t="s">
        <v>895</v>
      </c>
      <c r="T2" t="s">
        <v>896</v>
      </c>
      <c r="U2" t="s">
        <v>863</v>
      </c>
      <c r="V2" t="s">
        <v>864</v>
      </c>
      <c r="W2" t="s">
        <v>865</v>
      </c>
      <c r="X2" t="s">
        <v>867</v>
      </c>
      <c r="Y2" t="s">
        <v>868</v>
      </c>
      <c r="Z2" t="s">
        <v>869</v>
      </c>
      <c r="AA2" t="s">
        <v>870</v>
      </c>
      <c r="AB2" t="s">
        <v>871</v>
      </c>
      <c r="AC2" t="s">
        <v>234</v>
      </c>
      <c r="AD2" t="s">
        <v>872</v>
      </c>
      <c r="AE2" t="s">
        <v>880</v>
      </c>
      <c r="AF2" t="s">
        <v>881</v>
      </c>
      <c r="AG2" t="s">
        <v>866</v>
      </c>
      <c r="AH2" t="s">
        <v>877</v>
      </c>
      <c r="AI2" t="s">
        <v>882</v>
      </c>
      <c r="AJ2" t="s">
        <v>883</v>
      </c>
      <c r="AK2" t="s">
        <v>884</v>
      </c>
      <c r="AL2" t="s">
        <v>885</v>
      </c>
      <c r="AM2" t="s">
        <v>886</v>
      </c>
      <c r="AN2" t="s">
        <v>887</v>
      </c>
      <c r="AO2" t="s">
        <v>888</v>
      </c>
      <c r="AP2" t="s">
        <v>889</v>
      </c>
      <c r="AQ2" t="s">
        <v>890</v>
      </c>
      <c r="AR2" t="s">
        <v>878</v>
      </c>
      <c r="AS2" t="s">
        <v>891</v>
      </c>
      <c r="AT2" t="s">
        <v>892</v>
      </c>
      <c r="AU2" t="s">
        <v>893</v>
      </c>
      <c r="AV2" t="s">
        <v>788</v>
      </c>
      <c r="AW2" t="s">
        <v>897</v>
      </c>
      <c r="AX2" s="1" t="s">
        <v>227</v>
      </c>
      <c r="AY2" t="s">
        <v>844</v>
      </c>
      <c r="AZ2" t="s">
        <v>228</v>
      </c>
      <c r="BA2" t="s">
        <v>784</v>
      </c>
      <c r="BB2" t="s">
        <v>785</v>
      </c>
      <c r="BC2" t="s">
        <v>787</v>
      </c>
      <c r="BD2" t="s">
        <v>898</v>
      </c>
      <c r="BE2" t="s">
        <v>899</v>
      </c>
      <c r="BF2" t="s">
        <v>900</v>
      </c>
      <c r="BG2" t="s">
        <v>861</v>
      </c>
      <c r="BH2" t="s">
        <v>767</v>
      </c>
      <c r="BI2" t="s">
        <v>232</v>
      </c>
      <c r="BJ2" t="s">
        <v>811</v>
      </c>
      <c r="BK2" t="s">
        <v>812</v>
      </c>
      <c r="BL2" t="s">
        <v>772</v>
      </c>
      <c r="BM2" t="s">
        <v>233</v>
      </c>
      <c r="BN2" t="s">
        <v>773</v>
      </c>
      <c r="BO2" t="s">
        <v>234</v>
      </c>
      <c r="BP2" t="s">
        <v>774</v>
      </c>
      <c r="BQ2" t="s">
        <v>403</v>
      </c>
      <c r="BR2" t="s">
        <v>775</v>
      </c>
      <c r="BS2" t="s">
        <v>404</v>
      </c>
      <c r="BT2" t="s">
        <v>408</v>
      </c>
      <c r="BU2" t="s">
        <v>409</v>
      </c>
      <c r="BV2" t="s">
        <v>410</v>
      </c>
      <c r="BW2" t="s">
        <v>411</v>
      </c>
      <c r="BX2" t="s">
        <v>412</v>
      </c>
      <c r="BY2" t="s">
        <v>413</v>
      </c>
      <c r="BZ2" t="s">
        <v>414</v>
      </c>
      <c r="CA2" t="s">
        <v>415</v>
      </c>
      <c r="CB2" t="s">
        <v>776</v>
      </c>
      <c r="CC2" t="s">
        <v>777</v>
      </c>
      <c r="CD2" t="s">
        <v>862</v>
      </c>
      <c r="CE2" t="s">
        <v>814</v>
      </c>
      <c r="CF2" t="s">
        <v>789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9ED4D-94C9-D94C-9742-D3DFAA7FEE55}">
  <sheetPr codeName="Sheet15"/>
  <dimension ref="A1:L325"/>
  <sheetViews>
    <sheetView workbookViewId="0">
      <pane ySplit="1" topLeftCell="A2" activePane="bottomLeft" state="frozen"/>
      <selection pane="bottomLeft" activeCell="G16" sqref="G16"/>
    </sheetView>
  </sheetViews>
  <sheetFormatPr baseColWidth="10" defaultRowHeight="16" x14ac:dyDescent="0.2"/>
  <cols>
    <col min="3" max="4" width="19" bestFit="1" customWidth="1"/>
    <col min="9" max="9" width="6.33203125" style="42" bestFit="1" customWidth="1"/>
  </cols>
  <sheetData>
    <row r="1" spans="1:12" x14ac:dyDescent="0.2">
      <c r="A1" t="s">
        <v>226</v>
      </c>
      <c r="B1" t="s">
        <v>255</v>
      </c>
      <c r="C1" t="s">
        <v>254</v>
      </c>
      <c r="D1" t="s">
        <v>227</v>
      </c>
      <c r="E1" t="s">
        <v>191</v>
      </c>
      <c r="F1" t="s">
        <v>192</v>
      </c>
      <c r="G1" t="s">
        <v>193</v>
      </c>
      <c r="H1" t="s">
        <v>9</v>
      </c>
      <c r="I1" s="42" t="s">
        <v>13</v>
      </c>
      <c r="J1" t="s">
        <v>65</v>
      </c>
      <c r="K1" t="s">
        <v>66</v>
      </c>
      <c r="L1" t="s">
        <v>108</v>
      </c>
    </row>
    <row r="2" spans="1:12" x14ac:dyDescent="0.2">
      <c r="A2" s="19">
        <v>43387</v>
      </c>
      <c r="B2" s="13" t="s">
        <v>252</v>
      </c>
      <c r="C2" t="s">
        <v>285</v>
      </c>
      <c r="D2" s="13" t="s">
        <v>312</v>
      </c>
      <c r="E2">
        <v>8.9</v>
      </c>
      <c r="F2">
        <v>13.7</v>
      </c>
      <c r="G2">
        <v>11.9</v>
      </c>
      <c r="H2">
        <v>10</v>
      </c>
      <c r="I2" s="42">
        <v>43.5</v>
      </c>
    </row>
    <row r="3" spans="1:12" x14ac:dyDescent="0.2">
      <c r="A3" s="19">
        <v>43387</v>
      </c>
      <c r="B3" s="13" t="s">
        <v>252</v>
      </c>
      <c r="C3" s="41" t="s">
        <v>295</v>
      </c>
      <c r="D3" s="13" t="s">
        <v>284</v>
      </c>
      <c r="E3">
        <v>27.4</v>
      </c>
      <c r="F3">
        <v>7.7</v>
      </c>
      <c r="G3">
        <v>22.1</v>
      </c>
      <c r="H3">
        <v>-3</v>
      </c>
      <c r="I3" s="42">
        <v>57.5</v>
      </c>
      <c r="J3" t="s">
        <v>75</v>
      </c>
      <c r="K3" t="s">
        <v>75</v>
      </c>
      <c r="L3" t="s">
        <v>109</v>
      </c>
    </row>
    <row r="4" spans="1:12" x14ac:dyDescent="0.2">
      <c r="A4" s="19">
        <v>43387</v>
      </c>
      <c r="B4" s="13" t="s">
        <v>252</v>
      </c>
      <c r="C4" t="s">
        <v>305</v>
      </c>
      <c r="D4" s="13" t="s">
        <v>310</v>
      </c>
      <c r="E4">
        <v>21.3</v>
      </c>
      <c r="F4">
        <v>13</v>
      </c>
      <c r="G4">
        <v>4</v>
      </c>
      <c r="H4">
        <v>-2.5</v>
      </c>
      <c r="I4" s="42">
        <v>43.5</v>
      </c>
      <c r="J4" t="s">
        <v>75</v>
      </c>
    </row>
    <row r="5" spans="1:12" x14ac:dyDescent="0.2">
      <c r="A5" s="19">
        <v>43387</v>
      </c>
      <c r="B5" s="13" t="s">
        <v>252</v>
      </c>
      <c r="C5" t="s">
        <v>276</v>
      </c>
      <c r="D5" s="13" t="s">
        <v>311</v>
      </c>
      <c r="E5">
        <v>12.5</v>
      </c>
      <c r="F5">
        <v>0.2</v>
      </c>
      <c r="G5">
        <v>0</v>
      </c>
      <c r="H5">
        <v>10.5</v>
      </c>
      <c r="I5" s="42">
        <v>40.5</v>
      </c>
    </row>
    <row r="6" spans="1:12" x14ac:dyDescent="0.2">
      <c r="A6" s="19">
        <v>43387</v>
      </c>
      <c r="B6" s="13" t="s">
        <v>252</v>
      </c>
      <c r="C6" s="41" t="s">
        <v>301</v>
      </c>
      <c r="D6" s="13" t="s">
        <v>306</v>
      </c>
      <c r="E6">
        <v>13.4</v>
      </c>
      <c r="F6">
        <v>9.6999999999999993</v>
      </c>
      <c r="G6">
        <v>8.8000000000000007</v>
      </c>
      <c r="H6">
        <v>-1</v>
      </c>
      <c r="I6" s="42">
        <v>44.5</v>
      </c>
      <c r="L6" t="s">
        <v>110</v>
      </c>
    </row>
    <row r="7" spans="1:12" x14ac:dyDescent="0.2">
      <c r="A7" s="19">
        <v>43387</v>
      </c>
      <c r="B7" s="13" t="s">
        <v>252</v>
      </c>
      <c r="C7" t="s">
        <v>265</v>
      </c>
      <c r="D7" s="13" t="s">
        <v>293</v>
      </c>
      <c r="E7">
        <v>17.399999999999999</v>
      </c>
      <c r="F7">
        <v>19.899999999999999</v>
      </c>
      <c r="G7">
        <v>12.3</v>
      </c>
      <c r="H7">
        <v>-7</v>
      </c>
      <c r="I7" s="42">
        <v>41</v>
      </c>
      <c r="K7" t="s">
        <v>75</v>
      </c>
      <c r="L7" t="s">
        <v>110</v>
      </c>
    </row>
    <row r="8" spans="1:12" x14ac:dyDescent="0.2">
      <c r="A8" s="19">
        <v>43387</v>
      </c>
      <c r="B8" s="13" t="s">
        <v>252</v>
      </c>
      <c r="C8" t="s">
        <v>272</v>
      </c>
      <c r="D8" s="13" t="s">
        <v>309</v>
      </c>
      <c r="E8">
        <v>15.5</v>
      </c>
      <c r="F8">
        <v>25.2</v>
      </c>
      <c r="G8">
        <v>11.4</v>
      </c>
      <c r="H8">
        <v>-1</v>
      </c>
      <c r="I8" s="42">
        <v>49.5</v>
      </c>
      <c r="L8" t="s">
        <v>109</v>
      </c>
    </row>
    <row r="9" spans="1:12" x14ac:dyDescent="0.2">
      <c r="A9" s="19">
        <v>43387</v>
      </c>
      <c r="B9" s="13" t="s">
        <v>252</v>
      </c>
      <c r="C9" t="s">
        <v>281</v>
      </c>
      <c r="D9" s="13" t="s">
        <v>287</v>
      </c>
      <c r="E9">
        <v>3.1</v>
      </c>
      <c r="F9">
        <v>4.9000000000000004</v>
      </c>
      <c r="G9">
        <v>18.5</v>
      </c>
      <c r="H9">
        <v>-1</v>
      </c>
      <c r="I9" s="42">
        <v>47</v>
      </c>
    </row>
    <row r="10" spans="1:12" x14ac:dyDescent="0.2">
      <c r="A10" s="19">
        <v>43387</v>
      </c>
      <c r="B10" s="13" t="s">
        <v>252</v>
      </c>
      <c r="C10" s="17" t="s">
        <v>291</v>
      </c>
      <c r="D10" s="13" t="s">
        <v>297</v>
      </c>
      <c r="E10">
        <v>22.1</v>
      </c>
      <c r="F10">
        <v>3.7</v>
      </c>
      <c r="G10">
        <v>4.0999999999999996</v>
      </c>
      <c r="H10">
        <v>3</v>
      </c>
      <c r="I10" s="42">
        <v>39.5</v>
      </c>
    </row>
    <row r="11" spans="1:12" x14ac:dyDescent="0.2">
      <c r="A11" s="19">
        <v>43387</v>
      </c>
      <c r="B11" s="13" t="s">
        <v>252</v>
      </c>
      <c r="C11" t="s">
        <v>278</v>
      </c>
      <c r="D11" s="13" t="s">
        <v>304</v>
      </c>
      <c r="E11">
        <v>27.5</v>
      </c>
      <c r="F11">
        <v>18.5</v>
      </c>
      <c r="G11">
        <v>5.3</v>
      </c>
      <c r="H11">
        <v>7</v>
      </c>
      <c r="I11" s="42">
        <v>50</v>
      </c>
      <c r="J11" t="s">
        <v>75</v>
      </c>
    </row>
    <row r="12" spans="1:12" x14ac:dyDescent="0.2">
      <c r="A12" s="19">
        <v>43387</v>
      </c>
      <c r="B12" s="13" t="s">
        <v>252</v>
      </c>
      <c r="C12" s="41" t="s">
        <v>300</v>
      </c>
      <c r="D12" s="13" t="s">
        <v>256</v>
      </c>
      <c r="E12">
        <v>38.200000000000003</v>
      </c>
      <c r="F12">
        <v>16.3</v>
      </c>
      <c r="G12">
        <v>18.399999999999999</v>
      </c>
      <c r="H12">
        <v>-9</v>
      </c>
      <c r="I12" s="42">
        <v>46.5</v>
      </c>
      <c r="J12" t="s">
        <v>75</v>
      </c>
    </row>
    <row r="13" spans="1:12" x14ac:dyDescent="0.2">
      <c r="A13" s="19">
        <v>43387</v>
      </c>
      <c r="B13" s="13" t="s">
        <v>252</v>
      </c>
      <c r="C13" t="s">
        <v>311</v>
      </c>
      <c r="D13" s="13" t="s">
        <v>276</v>
      </c>
      <c r="E13">
        <v>17.3</v>
      </c>
      <c r="F13">
        <v>5.3</v>
      </c>
      <c r="G13">
        <v>0</v>
      </c>
      <c r="H13">
        <v>-10.5</v>
      </c>
      <c r="I13" s="42">
        <v>40.5</v>
      </c>
    </row>
    <row r="14" spans="1:12" x14ac:dyDescent="0.2">
      <c r="A14" s="19">
        <v>43387</v>
      </c>
      <c r="B14" s="13" t="s">
        <v>252</v>
      </c>
      <c r="C14" t="s">
        <v>289</v>
      </c>
      <c r="D14" s="13" t="s">
        <v>298</v>
      </c>
      <c r="E14">
        <v>15.5</v>
      </c>
      <c r="F14">
        <v>9.3000000000000007</v>
      </c>
      <c r="G14">
        <v>17</v>
      </c>
      <c r="H14">
        <v>2.5</v>
      </c>
      <c r="I14" s="42">
        <v>47.5</v>
      </c>
    </row>
    <row r="15" spans="1:12" x14ac:dyDescent="0.2">
      <c r="A15" s="19">
        <v>43387</v>
      </c>
      <c r="B15" s="13" t="s">
        <v>252</v>
      </c>
      <c r="C15" s="17" t="s">
        <v>297</v>
      </c>
      <c r="D15" s="13" t="s">
        <v>291</v>
      </c>
      <c r="E15">
        <v>12.8</v>
      </c>
      <c r="F15">
        <v>7.1</v>
      </c>
      <c r="G15">
        <v>5.9</v>
      </c>
      <c r="H15">
        <v>-3</v>
      </c>
      <c r="I15" s="42">
        <v>39.5</v>
      </c>
    </row>
    <row r="16" spans="1:12" x14ac:dyDescent="0.2">
      <c r="A16" s="19">
        <v>43387</v>
      </c>
      <c r="B16" s="13" t="s">
        <v>252</v>
      </c>
      <c r="C16" t="s">
        <v>288</v>
      </c>
      <c r="D16" s="13" t="s">
        <v>302</v>
      </c>
      <c r="E16">
        <v>42.2</v>
      </c>
      <c r="F16">
        <v>3.7</v>
      </c>
      <c r="G16">
        <v>11.1</v>
      </c>
      <c r="H16">
        <v>4</v>
      </c>
      <c r="I16" s="42">
        <v>59.5</v>
      </c>
    </row>
    <row r="17" spans="1:12" x14ac:dyDescent="0.2">
      <c r="A17" s="19">
        <v>43387</v>
      </c>
      <c r="B17" s="13" t="s">
        <v>252</v>
      </c>
      <c r="C17" s="17" t="s">
        <v>303</v>
      </c>
      <c r="D17" s="13" t="s">
        <v>308</v>
      </c>
      <c r="E17">
        <v>2.6</v>
      </c>
      <c r="F17">
        <v>8.1</v>
      </c>
      <c r="G17">
        <v>3</v>
      </c>
      <c r="H17">
        <v>3</v>
      </c>
      <c r="I17" s="42">
        <v>47.5</v>
      </c>
      <c r="J17" t="s">
        <v>75</v>
      </c>
      <c r="L17" t="s">
        <v>110</v>
      </c>
    </row>
    <row r="18" spans="1:12" x14ac:dyDescent="0.2">
      <c r="A18" s="19">
        <v>43387</v>
      </c>
      <c r="B18" s="13" t="s">
        <v>252</v>
      </c>
      <c r="C18" s="17" t="s">
        <v>287</v>
      </c>
      <c r="D18" s="13" t="s">
        <v>281</v>
      </c>
      <c r="E18">
        <v>14.3</v>
      </c>
      <c r="F18">
        <v>25.9</v>
      </c>
      <c r="G18">
        <v>1.5</v>
      </c>
      <c r="H18">
        <v>1</v>
      </c>
      <c r="I18" s="42">
        <v>47</v>
      </c>
    </row>
    <row r="19" spans="1:12" x14ac:dyDescent="0.2">
      <c r="A19" s="19">
        <v>43387</v>
      </c>
      <c r="B19" s="13" t="s">
        <v>252</v>
      </c>
      <c r="C19" t="s">
        <v>304</v>
      </c>
      <c r="D19" s="13" t="s">
        <v>278</v>
      </c>
      <c r="E19">
        <v>22.1</v>
      </c>
      <c r="F19">
        <v>7.3</v>
      </c>
      <c r="G19">
        <v>4.4000000000000004</v>
      </c>
      <c r="H19">
        <v>-7</v>
      </c>
      <c r="I19" s="42">
        <v>50</v>
      </c>
      <c r="J19" t="s">
        <v>75</v>
      </c>
    </row>
    <row r="20" spans="1:12" x14ac:dyDescent="0.2">
      <c r="A20" s="19">
        <v>43387</v>
      </c>
      <c r="B20" s="13" t="s">
        <v>252</v>
      </c>
      <c r="C20" s="41" t="s">
        <v>293</v>
      </c>
      <c r="D20" s="13" t="s">
        <v>265</v>
      </c>
      <c r="E20">
        <v>36</v>
      </c>
      <c r="F20">
        <v>6.5</v>
      </c>
      <c r="G20">
        <v>2.1</v>
      </c>
      <c r="H20">
        <v>7</v>
      </c>
      <c r="I20" s="42">
        <v>41</v>
      </c>
      <c r="K20" t="s">
        <v>75</v>
      </c>
      <c r="L20" t="s">
        <v>110</v>
      </c>
    </row>
    <row r="21" spans="1:12" x14ac:dyDescent="0.2">
      <c r="A21" s="19">
        <v>43387</v>
      </c>
      <c r="B21" s="13" t="s">
        <v>252</v>
      </c>
      <c r="C21" t="s">
        <v>312</v>
      </c>
      <c r="D21" s="13" t="s">
        <v>285</v>
      </c>
      <c r="E21">
        <v>32.299999999999997</v>
      </c>
      <c r="F21">
        <v>7.2</v>
      </c>
      <c r="G21">
        <v>7.7</v>
      </c>
      <c r="H21">
        <v>-10</v>
      </c>
      <c r="I21" s="42">
        <v>43.5</v>
      </c>
      <c r="J21" t="s">
        <v>75</v>
      </c>
    </row>
    <row r="22" spans="1:12" x14ac:dyDescent="0.2">
      <c r="A22" s="19">
        <v>43387</v>
      </c>
      <c r="B22" s="13" t="s">
        <v>252</v>
      </c>
      <c r="C22" s="41" t="s">
        <v>302</v>
      </c>
      <c r="D22" s="13" t="s">
        <v>288</v>
      </c>
      <c r="E22">
        <v>16.100000000000001</v>
      </c>
      <c r="F22">
        <v>9.1999999999999993</v>
      </c>
      <c r="G22">
        <v>12.7</v>
      </c>
      <c r="H22">
        <v>-4</v>
      </c>
      <c r="I22" s="42">
        <v>59.5</v>
      </c>
    </row>
    <row r="23" spans="1:12" x14ac:dyDescent="0.2">
      <c r="A23" s="19">
        <v>43387</v>
      </c>
      <c r="B23" s="13" t="s">
        <v>252</v>
      </c>
      <c r="C23" s="41" t="s">
        <v>296</v>
      </c>
      <c r="D23" s="13" t="s">
        <v>294</v>
      </c>
      <c r="E23">
        <v>9.4</v>
      </c>
      <c r="F23">
        <v>6.7</v>
      </c>
      <c r="G23">
        <v>3.4</v>
      </c>
      <c r="H23">
        <v>1.5</v>
      </c>
      <c r="I23" s="42">
        <v>45.5</v>
      </c>
      <c r="K23" t="s">
        <v>75</v>
      </c>
    </row>
    <row r="24" spans="1:12" x14ac:dyDescent="0.2">
      <c r="A24" s="19">
        <v>43387</v>
      </c>
      <c r="B24" s="13" t="s">
        <v>252</v>
      </c>
      <c r="C24" s="41" t="s">
        <v>298</v>
      </c>
      <c r="D24" s="13" t="s">
        <v>289</v>
      </c>
      <c r="E24">
        <v>18.399999999999999</v>
      </c>
      <c r="F24">
        <v>6.9</v>
      </c>
      <c r="G24">
        <v>13.6</v>
      </c>
      <c r="H24">
        <v>-2.5</v>
      </c>
      <c r="I24" s="42">
        <v>47.5</v>
      </c>
      <c r="J24" t="s">
        <v>75</v>
      </c>
    </row>
    <row r="25" spans="1:12" x14ac:dyDescent="0.2">
      <c r="A25" s="19">
        <v>43387</v>
      </c>
      <c r="B25" s="13" t="s">
        <v>252</v>
      </c>
      <c r="C25" s="41" t="s">
        <v>294</v>
      </c>
      <c r="D25" s="13" t="s">
        <v>296</v>
      </c>
      <c r="E25">
        <v>27.4</v>
      </c>
      <c r="F25">
        <v>12.1</v>
      </c>
      <c r="G25">
        <v>17.3</v>
      </c>
      <c r="H25">
        <v>-1.5</v>
      </c>
      <c r="I25" s="42">
        <v>45.5</v>
      </c>
      <c r="K25" t="s">
        <v>75</v>
      </c>
    </row>
    <row r="26" spans="1:12" x14ac:dyDescent="0.2">
      <c r="A26" s="19">
        <v>43387</v>
      </c>
      <c r="B26" s="13" t="s">
        <v>252</v>
      </c>
      <c r="C26" t="s">
        <v>309</v>
      </c>
      <c r="D26" s="13" t="s">
        <v>272</v>
      </c>
      <c r="E26">
        <v>24.1</v>
      </c>
      <c r="F26">
        <v>23.1</v>
      </c>
      <c r="G26">
        <v>13.8</v>
      </c>
      <c r="H26">
        <v>1</v>
      </c>
      <c r="I26" s="42">
        <v>49.5</v>
      </c>
      <c r="L26" t="s">
        <v>109</v>
      </c>
    </row>
    <row r="27" spans="1:12" x14ac:dyDescent="0.2">
      <c r="A27" s="19">
        <v>43387</v>
      </c>
      <c r="B27" s="13" t="s">
        <v>252</v>
      </c>
      <c r="C27" s="41" t="s">
        <v>256</v>
      </c>
      <c r="D27" s="13" t="s">
        <v>300</v>
      </c>
      <c r="E27">
        <v>32.1</v>
      </c>
      <c r="F27">
        <v>7.7</v>
      </c>
      <c r="G27">
        <v>7</v>
      </c>
      <c r="H27">
        <v>9</v>
      </c>
      <c r="I27" s="42">
        <v>46.5</v>
      </c>
      <c r="J27" t="s">
        <v>75</v>
      </c>
    </row>
    <row r="28" spans="1:12" x14ac:dyDescent="0.2">
      <c r="A28" s="19">
        <v>43387</v>
      </c>
      <c r="B28" s="13" t="s">
        <v>252</v>
      </c>
      <c r="C28" s="41" t="s">
        <v>308</v>
      </c>
      <c r="D28" s="13" t="s">
        <v>303</v>
      </c>
      <c r="E28">
        <v>15.1</v>
      </c>
      <c r="F28">
        <v>11</v>
      </c>
      <c r="G28">
        <v>3.3</v>
      </c>
      <c r="H28">
        <v>-3</v>
      </c>
      <c r="I28" s="42">
        <v>47.5</v>
      </c>
      <c r="L28" t="s">
        <v>110</v>
      </c>
    </row>
    <row r="29" spans="1:12" x14ac:dyDescent="0.2">
      <c r="A29" s="19">
        <v>43387</v>
      </c>
      <c r="B29" s="13" t="s">
        <v>252</v>
      </c>
      <c r="C29" t="s">
        <v>284</v>
      </c>
      <c r="D29" s="13" t="s">
        <v>295</v>
      </c>
      <c r="E29">
        <v>9.8000000000000007</v>
      </c>
      <c r="F29">
        <v>17.600000000000001</v>
      </c>
      <c r="G29">
        <v>16.2</v>
      </c>
      <c r="H29">
        <v>3</v>
      </c>
      <c r="I29" s="42">
        <v>57.5</v>
      </c>
      <c r="J29" t="s">
        <v>75</v>
      </c>
      <c r="K29" t="s">
        <v>75</v>
      </c>
      <c r="L29" t="s">
        <v>109</v>
      </c>
    </row>
    <row r="30" spans="1:12" x14ac:dyDescent="0.2">
      <c r="A30" s="19">
        <v>43387</v>
      </c>
      <c r="B30" s="13" t="s">
        <v>252</v>
      </c>
      <c r="C30" t="s">
        <v>310</v>
      </c>
      <c r="D30" s="13" t="s">
        <v>305</v>
      </c>
      <c r="E30">
        <v>3.4</v>
      </c>
      <c r="F30">
        <v>5.3</v>
      </c>
      <c r="G30">
        <v>2.2000000000000002</v>
      </c>
      <c r="H30">
        <v>2.5</v>
      </c>
      <c r="I30" s="42">
        <v>43.5</v>
      </c>
    </row>
    <row r="31" spans="1:12" x14ac:dyDescent="0.2">
      <c r="A31" s="19">
        <v>43387</v>
      </c>
      <c r="B31" s="13" t="s">
        <v>252</v>
      </c>
      <c r="C31" t="s">
        <v>306</v>
      </c>
      <c r="D31" s="13" t="s">
        <v>301</v>
      </c>
      <c r="E31">
        <v>12.3</v>
      </c>
      <c r="F31">
        <v>5</v>
      </c>
      <c r="G31">
        <v>13.8</v>
      </c>
      <c r="H31">
        <v>1</v>
      </c>
      <c r="I31" s="42">
        <v>44.5</v>
      </c>
      <c r="L31" t="s">
        <v>110</v>
      </c>
    </row>
    <row r="32" spans="1:12" x14ac:dyDescent="0.2">
      <c r="A32" s="19">
        <v>43394</v>
      </c>
      <c r="B32" s="13" t="s">
        <v>250</v>
      </c>
      <c r="C32" t="s">
        <v>285</v>
      </c>
      <c r="D32" s="13" t="s">
        <v>278</v>
      </c>
      <c r="E32">
        <v>14</v>
      </c>
      <c r="F32">
        <v>8.6999999999999993</v>
      </c>
      <c r="G32">
        <v>3.2</v>
      </c>
      <c r="H32">
        <v>1</v>
      </c>
      <c r="I32" s="42">
        <v>42.5</v>
      </c>
      <c r="J32" t="s">
        <v>75</v>
      </c>
    </row>
    <row r="33" spans="1:12" x14ac:dyDescent="0.2">
      <c r="A33" s="19">
        <v>43394</v>
      </c>
      <c r="B33" s="13" t="s">
        <v>250</v>
      </c>
      <c r="C33" t="s">
        <v>295</v>
      </c>
      <c r="D33" s="13" t="s">
        <v>296</v>
      </c>
      <c r="E33">
        <v>21.4</v>
      </c>
      <c r="F33">
        <v>9.3000000000000007</v>
      </c>
      <c r="G33">
        <v>7.8</v>
      </c>
      <c r="H33">
        <v>-4.5</v>
      </c>
      <c r="I33" s="42">
        <v>52</v>
      </c>
      <c r="K33" t="s">
        <v>75</v>
      </c>
    </row>
    <row r="34" spans="1:12" x14ac:dyDescent="0.2">
      <c r="A34" s="19">
        <v>43394</v>
      </c>
      <c r="B34" s="13" t="s">
        <v>250</v>
      </c>
      <c r="C34" t="s">
        <v>305</v>
      </c>
      <c r="D34" s="13" t="s">
        <v>307</v>
      </c>
      <c r="E34">
        <v>11.6</v>
      </c>
      <c r="F34">
        <v>6.6</v>
      </c>
      <c r="G34">
        <v>7.8</v>
      </c>
      <c r="H34">
        <v>-2.5</v>
      </c>
      <c r="I34" s="42">
        <v>49</v>
      </c>
    </row>
    <row r="35" spans="1:12" x14ac:dyDescent="0.2">
      <c r="A35" s="19">
        <v>43394</v>
      </c>
      <c r="B35" s="13" t="s">
        <v>250</v>
      </c>
      <c r="C35" t="s">
        <v>276</v>
      </c>
      <c r="D35" s="13" t="s">
        <v>289</v>
      </c>
      <c r="E35">
        <v>5.7</v>
      </c>
      <c r="F35">
        <v>0</v>
      </c>
      <c r="G35">
        <v>1.8</v>
      </c>
      <c r="H35">
        <v>7</v>
      </c>
      <c r="I35" s="42">
        <v>43.5</v>
      </c>
      <c r="J35" t="s">
        <v>75</v>
      </c>
    </row>
    <row r="36" spans="1:12" x14ac:dyDescent="0.2">
      <c r="A36" s="19">
        <v>43394</v>
      </c>
      <c r="B36" s="13" t="s">
        <v>250</v>
      </c>
      <c r="C36" t="s">
        <v>301</v>
      </c>
      <c r="D36" s="13" t="s">
        <v>294</v>
      </c>
      <c r="E36">
        <v>5.9</v>
      </c>
      <c r="F36">
        <v>9.5</v>
      </c>
      <c r="G36">
        <v>8.5</v>
      </c>
      <c r="H36">
        <v>5</v>
      </c>
      <c r="I36" s="42">
        <v>45</v>
      </c>
    </row>
    <row r="37" spans="1:12" x14ac:dyDescent="0.2">
      <c r="A37" s="19">
        <v>43394</v>
      </c>
      <c r="B37" s="13" t="s">
        <v>250</v>
      </c>
      <c r="C37" t="s">
        <v>265</v>
      </c>
      <c r="D37" s="13" t="s">
        <v>302</v>
      </c>
      <c r="E37">
        <v>1.4</v>
      </c>
      <c r="F37">
        <v>5.6</v>
      </c>
      <c r="G37">
        <v>30.6</v>
      </c>
      <c r="H37">
        <v>1</v>
      </c>
      <c r="I37" s="42">
        <v>49</v>
      </c>
      <c r="K37" t="s">
        <v>75</v>
      </c>
    </row>
    <row r="38" spans="1:12" x14ac:dyDescent="0.2">
      <c r="A38" s="19">
        <v>43394</v>
      </c>
      <c r="B38" s="13" t="s">
        <v>250</v>
      </c>
      <c r="C38" t="s">
        <v>272</v>
      </c>
      <c r="D38" s="13" t="s">
        <v>288</v>
      </c>
      <c r="E38">
        <v>21.7</v>
      </c>
      <c r="F38">
        <v>5.7</v>
      </c>
      <c r="G38">
        <v>9.3000000000000007</v>
      </c>
      <c r="H38">
        <v>6.5</v>
      </c>
      <c r="I38" s="42">
        <v>56</v>
      </c>
    </row>
    <row r="39" spans="1:12" x14ac:dyDescent="0.2">
      <c r="A39" s="19">
        <v>43394</v>
      </c>
      <c r="B39" s="13" t="s">
        <v>250</v>
      </c>
      <c r="C39" t="s">
        <v>281</v>
      </c>
      <c r="D39" s="13" t="s">
        <v>284</v>
      </c>
      <c r="E39">
        <v>25.7</v>
      </c>
      <c r="F39">
        <v>2.4</v>
      </c>
      <c r="G39">
        <v>15.2</v>
      </c>
      <c r="H39">
        <v>3.5</v>
      </c>
      <c r="I39" s="42">
        <v>52</v>
      </c>
      <c r="J39" t="s">
        <v>75</v>
      </c>
      <c r="L39" t="s">
        <v>109</v>
      </c>
    </row>
    <row r="40" spans="1:12" x14ac:dyDescent="0.2">
      <c r="A40" s="19">
        <v>43394</v>
      </c>
      <c r="B40" s="13" t="s">
        <v>250</v>
      </c>
      <c r="C40" s="17" t="s">
        <v>291</v>
      </c>
      <c r="D40" s="13" t="s">
        <v>306</v>
      </c>
      <c r="E40">
        <v>12.6</v>
      </c>
      <c r="F40">
        <v>17.100000000000001</v>
      </c>
      <c r="G40">
        <v>2.6</v>
      </c>
      <c r="H40">
        <v>-1.5</v>
      </c>
      <c r="I40" s="42">
        <v>40.5</v>
      </c>
      <c r="L40" t="s">
        <v>110</v>
      </c>
    </row>
    <row r="41" spans="1:12" x14ac:dyDescent="0.2">
      <c r="A41" s="19">
        <v>43394</v>
      </c>
      <c r="B41" s="13" t="s">
        <v>250</v>
      </c>
      <c r="C41" t="s">
        <v>278</v>
      </c>
      <c r="D41" s="13" t="s">
        <v>285</v>
      </c>
      <c r="E41">
        <v>30.32</v>
      </c>
      <c r="F41">
        <v>9.8000000000000007</v>
      </c>
      <c r="G41">
        <v>0</v>
      </c>
      <c r="H41">
        <v>-1</v>
      </c>
      <c r="I41" s="42">
        <v>42.5</v>
      </c>
      <c r="J41" t="s">
        <v>75</v>
      </c>
    </row>
    <row r="42" spans="1:12" x14ac:dyDescent="0.2">
      <c r="A42" s="19">
        <v>43394</v>
      </c>
      <c r="B42" t="s">
        <v>250</v>
      </c>
      <c r="C42" t="s">
        <v>299</v>
      </c>
      <c r="D42" t="s">
        <v>293</v>
      </c>
      <c r="E42">
        <v>5.7</v>
      </c>
      <c r="F42">
        <v>5.9</v>
      </c>
      <c r="G42">
        <v>19.8</v>
      </c>
      <c r="H42">
        <v>-3</v>
      </c>
      <c r="I42" s="42">
        <v>47</v>
      </c>
      <c r="K42" t="s">
        <v>75</v>
      </c>
      <c r="L42" t="s">
        <v>110</v>
      </c>
    </row>
    <row r="43" spans="1:12" x14ac:dyDescent="0.2">
      <c r="A43" s="19">
        <v>43394</v>
      </c>
      <c r="B43" s="13" t="s">
        <v>250</v>
      </c>
      <c r="C43" t="s">
        <v>311</v>
      </c>
      <c r="D43" s="13" t="s">
        <v>297</v>
      </c>
      <c r="E43">
        <v>14</v>
      </c>
      <c r="F43">
        <v>12.8</v>
      </c>
      <c r="G43">
        <v>0</v>
      </c>
      <c r="H43">
        <v>4</v>
      </c>
      <c r="I43" s="42">
        <v>43</v>
      </c>
      <c r="L43" t="s">
        <v>109</v>
      </c>
    </row>
    <row r="44" spans="1:12" x14ac:dyDescent="0.2">
      <c r="A44" s="19">
        <v>43394</v>
      </c>
      <c r="B44" s="13" t="s">
        <v>250</v>
      </c>
      <c r="C44" t="s">
        <v>289</v>
      </c>
      <c r="D44" s="13" t="s">
        <v>276</v>
      </c>
      <c r="E44">
        <v>18.5</v>
      </c>
      <c r="F44">
        <v>8</v>
      </c>
      <c r="G44">
        <v>6.1</v>
      </c>
      <c r="H44">
        <v>-7</v>
      </c>
      <c r="I44" s="42">
        <v>43.5</v>
      </c>
    </row>
    <row r="45" spans="1:12" x14ac:dyDescent="0.2">
      <c r="A45" s="19">
        <v>43394</v>
      </c>
      <c r="B45" s="13" t="s">
        <v>250</v>
      </c>
      <c r="C45" s="17" t="s">
        <v>297</v>
      </c>
      <c r="D45" s="13" t="s">
        <v>311</v>
      </c>
      <c r="E45">
        <v>5.7</v>
      </c>
      <c r="F45">
        <v>4.0999999999999996</v>
      </c>
      <c r="G45">
        <v>3.7</v>
      </c>
      <c r="H45">
        <v>-4</v>
      </c>
      <c r="I45" s="42">
        <v>43</v>
      </c>
      <c r="L45" t="s">
        <v>109</v>
      </c>
    </row>
    <row r="46" spans="1:12" x14ac:dyDescent="0.2">
      <c r="A46" s="19">
        <v>43394</v>
      </c>
      <c r="B46" s="13" t="s">
        <v>250</v>
      </c>
      <c r="C46" t="s">
        <v>288</v>
      </c>
      <c r="D46" s="13" t="s">
        <v>272</v>
      </c>
      <c r="E46">
        <v>20.6</v>
      </c>
      <c r="F46">
        <v>11.4</v>
      </c>
      <c r="G46">
        <v>14.5</v>
      </c>
      <c r="H46">
        <v>-6.5</v>
      </c>
      <c r="I46" s="42">
        <v>56</v>
      </c>
    </row>
    <row r="47" spans="1:12" x14ac:dyDescent="0.2">
      <c r="A47" s="19">
        <v>43394</v>
      </c>
      <c r="B47" s="13" t="s">
        <v>250</v>
      </c>
      <c r="C47" s="17" t="s">
        <v>287</v>
      </c>
      <c r="D47" s="13" t="s">
        <v>310</v>
      </c>
      <c r="E47">
        <v>12.2</v>
      </c>
      <c r="F47">
        <v>12.8</v>
      </c>
      <c r="G47">
        <v>3.1</v>
      </c>
      <c r="H47">
        <v>-6.5</v>
      </c>
      <c r="I47" s="42">
        <v>46</v>
      </c>
      <c r="J47" t="s">
        <v>75</v>
      </c>
      <c r="L47" t="s">
        <v>110</v>
      </c>
    </row>
    <row r="48" spans="1:12" x14ac:dyDescent="0.2">
      <c r="A48" s="19">
        <v>43394</v>
      </c>
      <c r="B48" s="13" t="s">
        <v>250</v>
      </c>
      <c r="C48" t="s">
        <v>304</v>
      </c>
      <c r="D48" s="13" t="s">
        <v>256</v>
      </c>
      <c r="E48">
        <v>13.4</v>
      </c>
      <c r="F48">
        <v>17.100000000000001</v>
      </c>
      <c r="G48">
        <v>0.5</v>
      </c>
      <c r="H48">
        <v>-8</v>
      </c>
      <c r="I48" s="42">
        <v>52</v>
      </c>
      <c r="J48" t="s">
        <v>75</v>
      </c>
      <c r="L48" t="s">
        <v>109</v>
      </c>
    </row>
    <row r="49" spans="1:12" x14ac:dyDescent="0.2">
      <c r="A49" s="19">
        <v>43394</v>
      </c>
      <c r="B49" s="13" t="s">
        <v>250</v>
      </c>
      <c r="C49" t="s">
        <v>293</v>
      </c>
      <c r="D49" s="13" t="s">
        <v>299</v>
      </c>
      <c r="E49">
        <v>20.399999999999999</v>
      </c>
      <c r="F49">
        <v>7.5</v>
      </c>
      <c r="G49">
        <v>7.4</v>
      </c>
      <c r="H49">
        <v>3</v>
      </c>
      <c r="I49" s="42">
        <v>47</v>
      </c>
      <c r="J49" t="s">
        <v>75</v>
      </c>
      <c r="K49" t="s">
        <v>75</v>
      </c>
      <c r="L49" t="s">
        <v>110</v>
      </c>
    </row>
    <row r="50" spans="1:12" x14ac:dyDescent="0.2">
      <c r="A50" s="19">
        <v>43394</v>
      </c>
      <c r="B50" s="13" t="s">
        <v>250</v>
      </c>
      <c r="C50" t="s">
        <v>312</v>
      </c>
      <c r="D50" s="13" t="s">
        <v>298</v>
      </c>
      <c r="E50">
        <v>29</v>
      </c>
      <c r="F50">
        <v>10.6</v>
      </c>
      <c r="G50">
        <v>2.6</v>
      </c>
      <c r="H50">
        <v>-3.5</v>
      </c>
      <c r="I50" s="42">
        <v>45</v>
      </c>
    </row>
    <row r="51" spans="1:12" x14ac:dyDescent="0.2">
      <c r="A51" s="19">
        <v>43394</v>
      </c>
      <c r="B51" s="13" t="s">
        <v>250</v>
      </c>
      <c r="C51" t="s">
        <v>302</v>
      </c>
      <c r="D51" s="13" t="s">
        <v>265</v>
      </c>
      <c r="E51">
        <v>14.6</v>
      </c>
      <c r="F51">
        <v>17</v>
      </c>
      <c r="G51">
        <v>0</v>
      </c>
      <c r="H51">
        <v>-1</v>
      </c>
      <c r="I51" s="42">
        <v>49</v>
      </c>
      <c r="K51" t="s">
        <v>75</v>
      </c>
    </row>
    <row r="52" spans="1:12" x14ac:dyDescent="0.2">
      <c r="A52" s="19">
        <v>43394</v>
      </c>
      <c r="B52" s="13" t="s">
        <v>250</v>
      </c>
      <c r="C52" t="s">
        <v>307</v>
      </c>
      <c r="D52" s="13" t="s">
        <v>305</v>
      </c>
      <c r="E52">
        <v>19.899999999999999</v>
      </c>
      <c r="F52">
        <v>7.4</v>
      </c>
      <c r="G52">
        <v>16.3</v>
      </c>
      <c r="H52">
        <v>2.5</v>
      </c>
      <c r="I52" s="42">
        <v>49</v>
      </c>
    </row>
    <row r="53" spans="1:12" x14ac:dyDescent="0.2">
      <c r="A53" s="19">
        <v>43394</v>
      </c>
      <c r="B53" s="13" t="s">
        <v>250</v>
      </c>
      <c r="C53" t="s">
        <v>296</v>
      </c>
      <c r="D53" s="13" t="s">
        <v>295</v>
      </c>
      <c r="E53">
        <v>31.2</v>
      </c>
      <c r="F53">
        <v>24.7</v>
      </c>
      <c r="G53">
        <v>4.5999999999999996</v>
      </c>
      <c r="H53">
        <v>4.5</v>
      </c>
      <c r="I53" s="42">
        <v>52</v>
      </c>
      <c r="J53" t="s">
        <v>75</v>
      </c>
      <c r="K53" t="s">
        <v>75</v>
      </c>
    </row>
    <row r="54" spans="1:12" x14ac:dyDescent="0.2">
      <c r="A54" s="19">
        <v>43394</v>
      </c>
      <c r="B54" s="13" t="s">
        <v>250</v>
      </c>
      <c r="C54" t="s">
        <v>298</v>
      </c>
      <c r="D54" s="13" t="s">
        <v>312</v>
      </c>
      <c r="E54">
        <v>7.4</v>
      </c>
      <c r="F54">
        <v>0</v>
      </c>
      <c r="G54">
        <v>14.2</v>
      </c>
      <c r="H54">
        <v>3.5</v>
      </c>
      <c r="I54" s="42">
        <v>45</v>
      </c>
    </row>
    <row r="55" spans="1:12" x14ac:dyDescent="0.2">
      <c r="A55" s="19">
        <v>43394</v>
      </c>
      <c r="B55" s="13" t="s">
        <v>250</v>
      </c>
      <c r="C55" t="s">
        <v>294</v>
      </c>
      <c r="D55" s="13" t="s">
        <v>301</v>
      </c>
      <c r="E55">
        <v>21.8</v>
      </c>
      <c r="F55">
        <v>8</v>
      </c>
      <c r="G55">
        <v>25.8</v>
      </c>
      <c r="H55">
        <v>-5</v>
      </c>
      <c r="I55" s="42">
        <v>45</v>
      </c>
    </row>
    <row r="56" spans="1:12" x14ac:dyDescent="0.2">
      <c r="A56" s="19">
        <v>43394</v>
      </c>
      <c r="B56" s="13" t="s">
        <v>250</v>
      </c>
      <c r="C56" t="s">
        <v>256</v>
      </c>
      <c r="D56" s="13" t="s">
        <v>304</v>
      </c>
      <c r="E56">
        <v>4.4000000000000004</v>
      </c>
      <c r="F56">
        <v>1.5</v>
      </c>
      <c r="G56">
        <v>20.8</v>
      </c>
      <c r="H56">
        <v>8</v>
      </c>
      <c r="I56" s="42">
        <v>52</v>
      </c>
      <c r="J56" t="s">
        <v>75</v>
      </c>
      <c r="L56" t="s">
        <v>109</v>
      </c>
    </row>
    <row r="57" spans="1:12" x14ac:dyDescent="0.2">
      <c r="A57" s="19">
        <v>43394</v>
      </c>
      <c r="B57" s="13" t="s">
        <v>250</v>
      </c>
      <c r="C57" t="s">
        <v>284</v>
      </c>
      <c r="D57" s="13" t="s">
        <v>281</v>
      </c>
      <c r="E57">
        <v>20.7</v>
      </c>
      <c r="F57">
        <v>10.9</v>
      </c>
      <c r="G57">
        <v>11.9</v>
      </c>
      <c r="H57">
        <v>-3.5</v>
      </c>
      <c r="I57" s="42">
        <v>52</v>
      </c>
      <c r="L57" t="s">
        <v>109</v>
      </c>
    </row>
    <row r="58" spans="1:12" x14ac:dyDescent="0.2">
      <c r="A58" s="19">
        <v>43394</v>
      </c>
      <c r="B58" s="13" t="s">
        <v>250</v>
      </c>
      <c r="C58" t="s">
        <v>310</v>
      </c>
      <c r="D58" s="13" t="s">
        <v>287</v>
      </c>
      <c r="E58">
        <v>4</v>
      </c>
      <c r="F58">
        <v>20.100000000000001</v>
      </c>
      <c r="G58">
        <v>3.1</v>
      </c>
      <c r="H58">
        <v>6.5</v>
      </c>
      <c r="I58" s="42">
        <v>46</v>
      </c>
      <c r="L58" t="s">
        <v>110</v>
      </c>
    </row>
    <row r="59" spans="1:12" x14ac:dyDescent="0.2">
      <c r="A59" s="19">
        <v>43394</v>
      </c>
      <c r="B59" s="13" t="s">
        <v>250</v>
      </c>
      <c r="C59" s="41" t="s">
        <v>306</v>
      </c>
      <c r="D59" s="13" t="s">
        <v>291</v>
      </c>
      <c r="E59">
        <v>7.2</v>
      </c>
      <c r="F59">
        <v>3</v>
      </c>
      <c r="G59">
        <v>6.3</v>
      </c>
      <c r="H59">
        <v>1.5</v>
      </c>
      <c r="I59" s="42">
        <v>40</v>
      </c>
      <c r="L59" t="s">
        <v>110</v>
      </c>
    </row>
    <row r="60" spans="1:12" x14ac:dyDescent="0.2">
      <c r="A60" s="19">
        <v>43401</v>
      </c>
      <c r="B60" s="13" t="s">
        <v>248</v>
      </c>
      <c r="C60" s="41" t="s">
        <v>285</v>
      </c>
      <c r="D60" s="13" t="s">
        <v>256</v>
      </c>
      <c r="E60">
        <v>29.2</v>
      </c>
      <c r="F60">
        <v>13.2</v>
      </c>
      <c r="G60">
        <v>4.2</v>
      </c>
      <c r="H60">
        <v>2.5</v>
      </c>
      <c r="I60" s="42">
        <v>40</v>
      </c>
      <c r="J60" t="s">
        <v>75</v>
      </c>
    </row>
    <row r="61" spans="1:12" x14ac:dyDescent="0.2">
      <c r="A61" s="19">
        <v>43401</v>
      </c>
      <c r="B61" s="13" t="s">
        <v>248</v>
      </c>
      <c r="C61" t="s">
        <v>305</v>
      </c>
      <c r="D61" s="13" t="s">
        <v>301</v>
      </c>
      <c r="E61">
        <v>10.4</v>
      </c>
      <c r="F61">
        <v>6.1</v>
      </c>
      <c r="G61">
        <v>10.9</v>
      </c>
      <c r="H61">
        <v>-2.5</v>
      </c>
      <c r="I61" s="42">
        <v>44</v>
      </c>
    </row>
    <row r="62" spans="1:12" x14ac:dyDescent="0.2">
      <c r="A62" s="19">
        <v>43401</v>
      </c>
      <c r="B62" s="13" t="s">
        <v>248</v>
      </c>
      <c r="C62" t="s">
        <v>276</v>
      </c>
      <c r="D62" s="13" t="s">
        <v>302</v>
      </c>
      <c r="E62">
        <v>11.5</v>
      </c>
      <c r="F62">
        <v>2.6</v>
      </c>
      <c r="G62">
        <v>6.6</v>
      </c>
      <c r="H62">
        <v>13.5</v>
      </c>
      <c r="I62" s="42">
        <v>44</v>
      </c>
    </row>
    <row r="63" spans="1:12" x14ac:dyDescent="0.2">
      <c r="A63" s="19">
        <v>43401</v>
      </c>
      <c r="B63" s="13" t="s">
        <v>248</v>
      </c>
      <c r="C63" t="s">
        <v>301</v>
      </c>
      <c r="D63" s="13" t="s">
        <v>305</v>
      </c>
      <c r="E63">
        <v>5.7</v>
      </c>
      <c r="F63">
        <v>17.899999999999999</v>
      </c>
      <c r="G63">
        <v>15.6</v>
      </c>
      <c r="H63">
        <v>2.5</v>
      </c>
      <c r="I63" s="42">
        <v>44</v>
      </c>
    </row>
    <row r="64" spans="1:12" x14ac:dyDescent="0.2">
      <c r="A64" s="19">
        <v>43401</v>
      </c>
      <c r="B64" s="13" t="s">
        <v>248</v>
      </c>
      <c r="C64" t="s">
        <v>265</v>
      </c>
      <c r="D64" s="13" t="s">
        <v>298</v>
      </c>
      <c r="E64">
        <v>9.1999999999999993</v>
      </c>
      <c r="F64">
        <v>13.4</v>
      </c>
      <c r="G64">
        <v>4.8</v>
      </c>
      <c r="H64">
        <v>-8.5</v>
      </c>
      <c r="I64" s="42">
        <v>42.5</v>
      </c>
    </row>
    <row r="65" spans="1:12" x14ac:dyDescent="0.2">
      <c r="A65" s="19">
        <v>43401</v>
      </c>
      <c r="B65" s="13" t="s">
        <v>248</v>
      </c>
      <c r="C65" s="41" t="s">
        <v>272</v>
      </c>
      <c r="D65" s="13" t="s">
        <v>284</v>
      </c>
      <c r="E65">
        <v>18.600000000000001</v>
      </c>
      <c r="F65">
        <v>31.6</v>
      </c>
      <c r="G65">
        <v>4.2</v>
      </c>
      <c r="H65">
        <v>-3.5</v>
      </c>
      <c r="I65" s="42">
        <v>55</v>
      </c>
      <c r="J65" t="s">
        <v>75</v>
      </c>
      <c r="K65" t="s">
        <v>75</v>
      </c>
      <c r="L65" t="s">
        <v>109</v>
      </c>
    </row>
    <row r="66" spans="1:12" x14ac:dyDescent="0.2">
      <c r="A66" s="19">
        <v>43401</v>
      </c>
      <c r="B66" s="13" t="s">
        <v>248</v>
      </c>
      <c r="C66" t="s">
        <v>281</v>
      </c>
      <c r="D66" s="13" t="s">
        <v>309</v>
      </c>
      <c r="E66">
        <v>11.9</v>
      </c>
      <c r="F66">
        <v>14.6</v>
      </c>
      <c r="G66">
        <v>0</v>
      </c>
      <c r="H66">
        <v>8.5</v>
      </c>
      <c r="I66" s="42">
        <v>47.5</v>
      </c>
    </row>
    <row r="67" spans="1:12" x14ac:dyDescent="0.2">
      <c r="A67" s="19">
        <v>43401</v>
      </c>
      <c r="B67" s="13" t="s">
        <v>248</v>
      </c>
      <c r="C67" t="s">
        <v>278</v>
      </c>
      <c r="D67" s="13" t="s">
        <v>288</v>
      </c>
      <c r="E67">
        <v>9.1</v>
      </c>
      <c r="F67">
        <v>10.8</v>
      </c>
      <c r="G67">
        <v>7.4</v>
      </c>
      <c r="H67">
        <v>8.5</v>
      </c>
      <c r="I67" s="42">
        <v>53</v>
      </c>
      <c r="L67" t="s">
        <v>109</v>
      </c>
    </row>
    <row r="68" spans="1:12" x14ac:dyDescent="0.2">
      <c r="A68" s="19">
        <v>43401</v>
      </c>
      <c r="B68" t="s">
        <v>248</v>
      </c>
      <c r="C68" s="41" t="s">
        <v>299</v>
      </c>
      <c r="D68" t="s">
        <v>308</v>
      </c>
      <c r="E68">
        <v>33.700000000000003</v>
      </c>
      <c r="F68">
        <v>2.2000000000000002</v>
      </c>
      <c r="G68">
        <v>5.0999999999999996</v>
      </c>
      <c r="H68">
        <v>-3</v>
      </c>
      <c r="I68" s="42">
        <v>47.5</v>
      </c>
      <c r="J68" t="s">
        <v>75</v>
      </c>
      <c r="L68" t="s">
        <v>110</v>
      </c>
    </row>
    <row r="69" spans="1:12" x14ac:dyDescent="0.2">
      <c r="A69" s="19">
        <v>43401</v>
      </c>
      <c r="B69" s="13" t="s">
        <v>248</v>
      </c>
      <c r="C69" s="41" t="s">
        <v>300</v>
      </c>
      <c r="D69" s="13" t="s">
        <v>304</v>
      </c>
      <c r="E69">
        <v>21.3</v>
      </c>
      <c r="F69">
        <v>12.5</v>
      </c>
      <c r="G69">
        <v>3.1</v>
      </c>
      <c r="H69">
        <v>7.5</v>
      </c>
      <c r="I69" s="42">
        <v>57</v>
      </c>
      <c r="J69" t="s">
        <v>75</v>
      </c>
    </row>
    <row r="70" spans="1:12" x14ac:dyDescent="0.2">
      <c r="A70" s="19">
        <v>43401</v>
      </c>
      <c r="B70" s="13" t="s">
        <v>248</v>
      </c>
      <c r="C70" s="41" t="s">
        <v>311</v>
      </c>
      <c r="D70" s="13" t="s">
        <v>293</v>
      </c>
      <c r="E70">
        <v>26.2</v>
      </c>
      <c r="F70">
        <v>26.4</v>
      </c>
      <c r="G70">
        <v>18.899999999999999</v>
      </c>
      <c r="H70">
        <v>-7.5</v>
      </c>
      <c r="I70" s="42">
        <v>45</v>
      </c>
    </row>
    <row r="71" spans="1:12" x14ac:dyDescent="0.2">
      <c r="A71" s="19">
        <v>43401</v>
      </c>
      <c r="B71" s="13" t="s">
        <v>248</v>
      </c>
      <c r="C71" s="41" t="s">
        <v>289</v>
      </c>
      <c r="D71" s="13" t="s">
        <v>303</v>
      </c>
      <c r="E71">
        <v>4.4000000000000004</v>
      </c>
      <c r="F71">
        <v>11.2</v>
      </c>
      <c r="G71">
        <v>19</v>
      </c>
      <c r="H71">
        <v>-3.5</v>
      </c>
      <c r="I71" s="42">
        <v>51</v>
      </c>
      <c r="L71" t="s">
        <v>110</v>
      </c>
    </row>
    <row r="72" spans="1:12" x14ac:dyDescent="0.2">
      <c r="A72" s="19">
        <v>43401</v>
      </c>
      <c r="B72" s="13" t="s">
        <v>248</v>
      </c>
      <c r="C72" s="17" t="s">
        <v>297</v>
      </c>
      <c r="D72" s="13" t="s">
        <v>294</v>
      </c>
      <c r="E72">
        <v>9.4</v>
      </c>
      <c r="F72">
        <v>12</v>
      </c>
      <c r="G72">
        <v>6.7</v>
      </c>
      <c r="H72">
        <v>4</v>
      </c>
      <c r="I72" s="42">
        <v>44.5</v>
      </c>
    </row>
    <row r="73" spans="1:12" x14ac:dyDescent="0.2">
      <c r="A73" s="19">
        <v>43401</v>
      </c>
      <c r="B73" s="13" t="s">
        <v>248</v>
      </c>
      <c r="C73" t="s">
        <v>288</v>
      </c>
      <c r="D73" s="13" t="s">
        <v>278</v>
      </c>
      <c r="E73">
        <v>10</v>
      </c>
      <c r="F73">
        <v>33.700000000000003</v>
      </c>
      <c r="G73">
        <v>19.899999999999999</v>
      </c>
      <c r="H73">
        <v>-8.5</v>
      </c>
      <c r="I73" s="42">
        <v>53</v>
      </c>
      <c r="J73" t="s">
        <v>75</v>
      </c>
      <c r="L73" t="s">
        <v>109</v>
      </c>
    </row>
    <row r="74" spans="1:12" x14ac:dyDescent="0.2">
      <c r="A74" s="19">
        <v>43401</v>
      </c>
      <c r="B74" s="13" t="s">
        <v>248</v>
      </c>
      <c r="C74" s="17" t="s">
        <v>303</v>
      </c>
      <c r="D74" s="13" t="s">
        <v>289</v>
      </c>
      <c r="E74">
        <v>2.4</v>
      </c>
      <c r="F74">
        <v>12.9</v>
      </c>
      <c r="G74">
        <v>17.399999999999999</v>
      </c>
      <c r="H74">
        <v>3.5</v>
      </c>
      <c r="I74" s="42">
        <v>51</v>
      </c>
      <c r="J74" t="s">
        <v>75</v>
      </c>
      <c r="L74" t="s">
        <v>110</v>
      </c>
    </row>
    <row r="75" spans="1:12" x14ac:dyDescent="0.2">
      <c r="A75" s="19">
        <v>43401</v>
      </c>
      <c r="B75" s="13" t="s">
        <v>248</v>
      </c>
      <c r="C75" s="41" t="s">
        <v>304</v>
      </c>
      <c r="D75" s="13" t="s">
        <v>300</v>
      </c>
      <c r="E75">
        <v>11.3</v>
      </c>
      <c r="F75">
        <v>15.5</v>
      </c>
      <c r="G75">
        <v>3.2</v>
      </c>
      <c r="H75">
        <v>-7.5</v>
      </c>
      <c r="I75" s="42">
        <v>57</v>
      </c>
      <c r="J75" t="s">
        <v>75</v>
      </c>
    </row>
    <row r="76" spans="1:12" x14ac:dyDescent="0.2">
      <c r="A76" s="19">
        <v>43401</v>
      </c>
      <c r="B76" s="13" t="s">
        <v>248</v>
      </c>
      <c r="C76" t="s">
        <v>293</v>
      </c>
      <c r="D76" s="13" t="s">
        <v>311</v>
      </c>
      <c r="E76">
        <v>22.4</v>
      </c>
      <c r="F76">
        <v>14.42</v>
      </c>
      <c r="G76">
        <v>5.4</v>
      </c>
      <c r="H76">
        <v>7.5</v>
      </c>
      <c r="I76" s="42">
        <v>45</v>
      </c>
    </row>
    <row r="77" spans="1:12" x14ac:dyDescent="0.2">
      <c r="A77" s="19">
        <v>43401</v>
      </c>
      <c r="B77" s="13" t="s">
        <v>248</v>
      </c>
      <c r="C77" s="41" t="s">
        <v>312</v>
      </c>
      <c r="D77" s="13" t="s">
        <v>307</v>
      </c>
      <c r="E77">
        <v>26.8</v>
      </c>
      <c r="F77">
        <v>30.9</v>
      </c>
      <c r="G77">
        <v>7.9</v>
      </c>
      <c r="H77">
        <v>2.5</v>
      </c>
      <c r="I77" s="42">
        <v>53.5</v>
      </c>
    </row>
    <row r="78" spans="1:12" x14ac:dyDescent="0.2">
      <c r="A78" s="19">
        <v>43401</v>
      </c>
      <c r="B78" s="13" t="s">
        <v>248</v>
      </c>
      <c r="C78" t="s">
        <v>302</v>
      </c>
      <c r="D78" s="13" t="s">
        <v>276</v>
      </c>
      <c r="E78">
        <v>23.7</v>
      </c>
      <c r="F78">
        <v>8.1999999999999993</v>
      </c>
      <c r="G78">
        <v>7.3</v>
      </c>
      <c r="H78">
        <v>-13.5</v>
      </c>
      <c r="I78" s="42">
        <v>44</v>
      </c>
    </row>
    <row r="79" spans="1:12" x14ac:dyDescent="0.2">
      <c r="A79" s="19">
        <v>43401</v>
      </c>
      <c r="B79" s="13" t="s">
        <v>248</v>
      </c>
      <c r="C79" s="41" t="s">
        <v>307</v>
      </c>
      <c r="D79" s="13" t="s">
        <v>312</v>
      </c>
      <c r="E79">
        <v>13.1</v>
      </c>
      <c r="F79">
        <v>4.8</v>
      </c>
      <c r="G79">
        <v>0</v>
      </c>
      <c r="H79">
        <v>-2.5</v>
      </c>
      <c r="I79" s="42">
        <v>53.5</v>
      </c>
    </row>
    <row r="80" spans="1:12" x14ac:dyDescent="0.2">
      <c r="A80" s="19">
        <v>43401</v>
      </c>
      <c r="B80" s="13" t="s">
        <v>248</v>
      </c>
      <c r="C80" s="41" t="s">
        <v>296</v>
      </c>
      <c r="D80" s="13" t="s">
        <v>306</v>
      </c>
      <c r="E80">
        <v>24.6</v>
      </c>
      <c r="F80">
        <v>7.4</v>
      </c>
      <c r="G80">
        <v>13.5</v>
      </c>
      <c r="H80">
        <v>1</v>
      </c>
      <c r="I80" s="42">
        <v>43</v>
      </c>
      <c r="L80" t="s">
        <v>110</v>
      </c>
    </row>
    <row r="81" spans="1:12" x14ac:dyDescent="0.2">
      <c r="A81" s="19">
        <v>43401</v>
      </c>
      <c r="B81" s="13" t="s">
        <v>248</v>
      </c>
      <c r="C81" t="s">
        <v>298</v>
      </c>
      <c r="D81" s="13" t="s">
        <v>265</v>
      </c>
      <c r="E81">
        <v>6</v>
      </c>
      <c r="F81">
        <v>10.1</v>
      </c>
      <c r="G81">
        <v>8.6</v>
      </c>
      <c r="H81">
        <v>8.5</v>
      </c>
      <c r="I81" s="42">
        <v>42.5</v>
      </c>
    </row>
    <row r="82" spans="1:12" x14ac:dyDescent="0.2">
      <c r="A82" s="19">
        <v>43401</v>
      </c>
      <c r="B82" s="13" t="s">
        <v>248</v>
      </c>
      <c r="C82" t="s">
        <v>294</v>
      </c>
      <c r="D82" s="13" t="s">
        <v>297</v>
      </c>
      <c r="E82">
        <v>7.5</v>
      </c>
      <c r="F82">
        <v>13.3</v>
      </c>
      <c r="G82">
        <v>12.6</v>
      </c>
      <c r="H82">
        <v>-4</v>
      </c>
      <c r="I82" s="42">
        <v>44.5</v>
      </c>
    </row>
    <row r="83" spans="1:12" x14ac:dyDescent="0.2">
      <c r="A83" s="19">
        <v>43401</v>
      </c>
      <c r="B83" s="13" t="s">
        <v>248</v>
      </c>
      <c r="C83" s="41" t="s">
        <v>309</v>
      </c>
      <c r="D83" s="13" t="s">
        <v>281</v>
      </c>
      <c r="E83">
        <v>25.4</v>
      </c>
      <c r="F83">
        <v>7.3</v>
      </c>
      <c r="G83">
        <v>7.7</v>
      </c>
      <c r="H83">
        <v>-8.5</v>
      </c>
      <c r="I83" s="42">
        <v>47.5</v>
      </c>
    </row>
    <row r="84" spans="1:12" x14ac:dyDescent="0.2">
      <c r="A84" s="19">
        <v>43401</v>
      </c>
      <c r="B84" s="13" t="s">
        <v>248</v>
      </c>
      <c r="C84" s="18" t="s">
        <v>256</v>
      </c>
      <c r="D84" s="13" t="s">
        <v>285</v>
      </c>
      <c r="E84">
        <v>12.5</v>
      </c>
      <c r="F84">
        <v>12.5</v>
      </c>
      <c r="G84">
        <v>10.7</v>
      </c>
      <c r="H84">
        <v>-2.5</v>
      </c>
      <c r="I84" s="42">
        <v>40</v>
      </c>
      <c r="J84" t="s">
        <v>75</v>
      </c>
    </row>
    <row r="85" spans="1:12" x14ac:dyDescent="0.2">
      <c r="A85" s="19">
        <v>43401</v>
      </c>
      <c r="B85" s="13" t="s">
        <v>248</v>
      </c>
      <c r="C85" s="18" t="s">
        <v>308</v>
      </c>
      <c r="D85" s="13" t="s">
        <v>299</v>
      </c>
      <c r="E85">
        <v>4.5999999999999996</v>
      </c>
      <c r="F85">
        <v>12.7</v>
      </c>
      <c r="G85">
        <v>13.4</v>
      </c>
      <c r="H85">
        <v>3</v>
      </c>
      <c r="I85" s="42">
        <v>47.5</v>
      </c>
      <c r="J85" t="s">
        <v>75</v>
      </c>
      <c r="L85" t="s">
        <v>110</v>
      </c>
    </row>
    <row r="86" spans="1:12" x14ac:dyDescent="0.2">
      <c r="A86" s="19">
        <v>43401</v>
      </c>
      <c r="B86" s="13" t="s">
        <v>248</v>
      </c>
      <c r="C86" s="18" t="s">
        <v>284</v>
      </c>
      <c r="D86" s="13" t="s">
        <v>272</v>
      </c>
      <c r="E86">
        <v>32.9</v>
      </c>
      <c r="F86">
        <v>15.3</v>
      </c>
      <c r="G86">
        <v>16.8</v>
      </c>
      <c r="H86">
        <v>3.5</v>
      </c>
      <c r="I86" s="42">
        <v>55</v>
      </c>
      <c r="K86" t="s">
        <v>75</v>
      </c>
      <c r="L86" t="s">
        <v>109</v>
      </c>
    </row>
    <row r="87" spans="1:12" x14ac:dyDescent="0.2">
      <c r="A87" s="19">
        <v>43401</v>
      </c>
      <c r="B87" s="13" t="s">
        <v>248</v>
      </c>
      <c r="C87" s="18" t="s">
        <v>306</v>
      </c>
      <c r="D87" s="13" t="s">
        <v>296</v>
      </c>
      <c r="E87">
        <v>6.1</v>
      </c>
      <c r="F87">
        <v>9.9</v>
      </c>
      <c r="G87">
        <v>10.8</v>
      </c>
      <c r="H87">
        <v>-1</v>
      </c>
      <c r="I87" s="42">
        <v>43</v>
      </c>
      <c r="L87" t="s">
        <v>110</v>
      </c>
    </row>
    <row r="88" spans="1:12" x14ac:dyDescent="0.2">
      <c r="A88" s="19">
        <v>43408</v>
      </c>
      <c r="B88" s="13" t="s">
        <v>246</v>
      </c>
      <c r="C88" s="18" t="s">
        <v>295</v>
      </c>
      <c r="D88" s="13" t="s">
        <v>306</v>
      </c>
      <c r="E88">
        <v>28.1</v>
      </c>
      <c r="F88">
        <v>19.7</v>
      </c>
      <c r="G88">
        <v>7.1</v>
      </c>
      <c r="H88">
        <v>1.5</v>
      </c>
      <c r="I88" s="42">
        <v>46.5</v>
      </c>
    </row>
    <row r="89" spans="1:12" x14ac:dyDescent="0.2">
      <c r="A89" s="19">
        <v>43408</v>
      </c>
      <c r="B89" s="13" t="s">
        <v>246</v>
      </c>
      <c r="C89" s="18" t="s">
        <v>305</v>
      </c>
      <c r="D89" s="13" t="s">
        <v>309</v>
      </c>
      <c r="E89">
        <v>12.8</v>
      </c>
      <c r="F89">
        <v>6.2</v>
      </c>
      <c r="G89">
        <v>8</v>
      </c>
      <c r="H89">
        <v>-1.5</v>
      </c>
      <c r="I89" s="42">
        <v>47</v>
      </c>
      <c r="L89" t="s">
        <v>109</v>
      </c>
    </row>
    <row r="90" spans="1:12" x14ac:dyDescent="0.2">
      <c r="A90" s="19">
        <v>43408</v>
      </c>
      <c r="B90" s="13" t="s">
        <v>246</v>
      </c>
      <c r="C90" s="18" t="s">
        <v>276</v>
      </c>
      <c r="D90" s="13" t="s">
        <v>265</v>
      </c>
      <c r="E90">
        <v>5.8</v>
      </c>
      <c r="F90">
        <v>3.6</v>
      </c>
      <c r="G90">
        <v>11</v>
      </c>
      <c r="H90">
        <v>10.5</v>
      </c>
      <c r="I90" s="42">
        <v>38</v>
      </c>
    </row>
    <row r="91" spans="1:12" x14ac:dyDescent="0.2">
      <c r="A91" s="19">
        <v>43408</v>
      </c>
      <c r="B91" s="13" t="s">
        <v>246</v>
      </c>
      <c r="C91" s="18" t="s">
        <v>301</v>
      </c>
      <c r="D91" s="13" t="s">
        <v>284</v>
      </c>
      <c r="E91">
        <v>8.4</v>
      </c>
      <c r="F91">
        <f>(19.8+5.8/2)</f>
        <v>22.7</v>
      </c>
      <c r="G91">
        <v>19.600000000000001</v>
      </c>
      <c r="H91">
        <v>-6</v>
      </c>
      <c r="I91" s="42">
        <v>55.5</v>
      </c>
      <c r="J91" t="s">
        <v>75</v>
      </c>
      <c r="L91" t="s">
        <v>109</v>
      </c>
    </row>
    <row r="92" spans="1:12" x14ac:dyDescent="0.2">
      <c r="A92" s="19">
        <v>43408</v>
      </c>
      <c r="B92" s="13" t="s">
        <v>246</v>
      </c>
      <c r="C92" s="18" t="s">
        <v>265</v>
      </c>
      <c r="D92" s="13" t="s">
        <v>276</v>
      </c>
      <c r="E92">
        <v>7.5</v>
      </c>
      <c r="F92">
        <v>10.8</v>
      </c>
      <c r="G92">
        <v>10.8</v>
      </c>
      <c r="H92">
        <v>-10.5</v>
      </c>
      <c r="I92" s="42">
        <v>38</v>
      </c>
    </row>
    <row r="93" spans="1:12" x14ac:dyDescent="0.2">
      <c r="A93" s="19">
        <v>43408</v>
      </c>
      <c r="B93" s="13" t="s">
        <v>246</v>
      </c>
      <c r="C93" s="18" t="s">
        <v>281</v>
      </c>
      <c r="D93" s="13" t="s">
        <v>288</v>
      </c>
      <c r="E93">
        <v>11</v>
      </c>
      <c r="F93">
        <v>8.1</v>
      </c>
      <c r="G93">
        <v>9.3000000000000007</v>
      </c>
      <c r="H93">
        <v>7.5</v>
      </c>
      <c r="I93" s="42">
        <v>51</v>
      </c>
    </row>
    <row r="94" spans="1:12" x14ac:dyDescent="0.2">
      <c r="A94" s="19">
        <v>43408</v>
      </c>
      <c r="B94" s="13" t="s">
        <v>246</v>
      </c>
      <c r="C94" s="17" t="s">
        <v>291</v>
      </c>
      <c r="D94" s="13" t="s">
        <v>310</v>
      </c>
      <c r="E94">
        <v>16.8</v>
      </c>
      <c r="F94">
        <v>4.5999999999999996</v>
      </c>
      <c r="G94">
        <v>3.5</v>
      </c>
      <c r="H94">
        <v>-4.5</v>
      </c>
      <c r="I94" s="42">
        <v>40</v>
      </c>
      <c r="J94" t="s">
        <v>75</v>
      </c>
      <c r="L94" t="s">
        <v>110</v>
      </c>
    </row>
    <row r="95" spans="1:12" x14ac:dyDescent="0.2">
      <c r="A95" s="19">
        <v>43408</v>
      </c>
      <c r="B95" s="13" t="s">
        <v>246</v>
      </c>
      <c r="C95" s="41" t="s">
        <v>278</v>
      </c>
      <c r="D95" s="13" t="s">
        <v>311</v>
      </c>
      <c r="E95">
        <v>10.7</v>
      </c>
      <c r="F95">
        <v>8.6999999999999993</v>
      </c>
      <c r="G95">
        <v>24.3</v>
      </c>
      <c r="H95">
        <v>-1</v>
      </c>
      <c r="I95" s="42">
        <v>46.5</v>
      </c>
    </row>
    <row r="96" spans="1:12" x14ac:dyDescent="0.2">
      <c r="A96" s="19">
        <v>43408</v>
      </c>
      <c r="B96" t="s">
        <v>246</v>
      </c>
      <c r="C96" t="s">
        <v>299</v>
      </c>
      <c r="D96" t="s">
        <v>312</v>
      </c>
      <c r="E96">
        <v>8.4</v>
      </c>
      <c r="F96">
        <v>12.6</v>
      </c>
      <c r="G96">
        <v>3.7</v>
      </c>
      <c r="H96">
        <v>4.5</v>
      </c>
      <c r="I96" s="42">
        <v>47</v>
      </c>
      <c r="L96" t="s">
        <v>110</v>
      </c>
    </row>
    <row r="97" spans="1:12" x14ac:dyDescent="0.2">
      <c r="A97" s="19">
        <v>43408</v>
      </c>
      <c r="B97" s="13" t="s">
        <v>246</v>
      </c>
      <c r="C97" s="41" t="s">
        <v>300</v>
      </c>
      <c r="D97" s="13" t="s">
        <v>302</v>
      </c>
      <c r="E97">
        <v>16</v>
      </c>
      <c r="F97">
        <v>16.100000000000001</v>
      </c>
      <c r="G97">
        <v>15.5</v>
      </c>
      <c r="H97">
        <v>5</v>
      </c>
      <c r="I97" s="42">
        <v>56</v>
      </c>
      <c r="L97" t="s">
        <v>109</v>
      </c>
    </row>
    <row r="98" spans="1:12" x14ac:dyDescent="0.2">
      <c r="A98" s="19">
        <v>43408</v>
      </c>
      <c r="B98" s="13" t="s">
        <v>246</v>
      </c>
      <c r="C98" t="s">
        <v>311</v>
      </c>
      <c r="D98" s="13" t="s">
        <v>278</v>
      </c>
      <c r="E98">
        <v>29.5</v>
      </c>
      <c r="F98">
        <v>9.1</v>
      </c>
      <c r="G98">
        <v>2.2999999999999998</v>
      </c>
      <c r="H98">
        <v>1</v>
      </c>
      <c r="I98" s="42">
        <v>46.5</v>
      </c>
      <c r="J98" t="s">
        <v>75</v>
      </c>
    </row>
    <row r="99" spans="1:12" x14ac:dyDescent="0.2">
      <c r="A99" s="19">
        <v>43408</v>
      </c>
      <c r="B99" s="13" t="s">
        <v>246</v>
      </c>
      <c r="C99" s="41" t="s">
        <v>288</v>
      </c>
      <c r="D99" s="13" t="s">
        <v>281</v>
      </c>
      <c r="E99">
        <v>12.5</v>
      </c>
      <c r="F99">
        <v>11.4</v>
      </c>
      <c r="G99">
        <v>28.9</v>
      </c>
      <c r="H99">
        <v>-7.5</v>
      </c>
      <c r="I99" s="42">
        <v>51</v>
      </c>
    </row>
    <row r="100" spans="1:12" x14ac:dyDescent="0.2">
      <c r="A100" s="19">
        <v>43408</v>
      </c>
      <c r="B100" s="13" t="s">
        <v>246</v>
      </c>
      <c r="C100" s="17" t="s">
        <v>303</v>
      </c>
      <c r="D100" s="13" t="s">
        <v>256</v>
      </c>
      <c r="E100">
        <v>3.6</v>
      </c>
      <c r="F100">
        <v>6.6</v>
      </c>
      <c r="G100">
        <v>4</v>
      </c>
      <c r="H100">
        <v>-1.5</v>
      </c>
      <c r="I100" s="42">
        <v>44</v>
      </c>
      <c r="J100" t="s">
        <v>75</v>
      </c>
    </row>
    <row r="101" spans="1:12" x14ac:dyDescent="0.2">
      <c r="A101" s="19">
        <v>43408</v>
      </c>
      <c r="B101" s="13" t="s">
        <v>246</v>
      </c>
      <c r="C101" s="17" t="s">
        <v>287</v>
      </c>
      <c r="D101" s="13" t="s">
        <v>308</v>
      </c>
      <c r="E101">
        <v>24.2</v>
      </c>
      <c r="F101">
        <v>10.3</v>
      </c>
      <c r="G101">
        <v>4.8</v>
      </c>
      <c r="H101">
        <v>1</v>
      </c>
      <c r="I101" s="42">
        <v>48.5</v>
      </c>
      <c r="J101" t="s">
        <v>75</v>
      </c>
      <c r="L101" t="s">
        <v>110</v>
      </c>
    </row>
    <row r="102" spans="1:12" x14ac:dyDescent="0.2">
      <c r="A102" s="19">
        <v>43408</v>
      </c>
      <c r="B102" s="13" t="s">
        <v>246</v>
      </c>
      <c r="C102" s="41" t="s">
        <v>304</v>
      </c>
      <c r="D102" s="13" t="s">
        <v>307</v>
      </c>
      <c r="E102">
        <v>26.4</v>
      </c>
      <c r="F102">
        <v>16</v>
      </c>
      <c r="G102">
        <v>9.8000000000000007</v>
      </c>
      <c r="H102">
        <v>-2.5</v>
      </c>
      <c r="I102" s="42">
        <v>57.5</v>
      </c>
    </row>
    <row r="103" spans="1:12" x14ac:dyDescent="0.2">
      <c r="A103" s="19">
        <v>43408</v>
      </c>
      <c r="B103" s="13" t="s">
        <v>246</v>
      </c>
      <c r="C103" t="s">
        <v>293</v>
      </c>
      <c r="D103" s="13" t="s">
        <v>298</v>
      </c>
      <c r="E103">
        <v>9.6999999999999993</v>
      </c>
      <c r="F103">
        <v>2.9</v>
      </c>
      <c r="G103">
        <v>0</v>
      </c>
      <c r="H103">
        <v>-3</v>
      </c>
      <c r="I103" s="42">
        <v>43.5</v>
      </c>
    </row>
    <row r="104" spans="1:12" x14ac:dyDescent="0.2">
      <c r="A104" s="19">
        <v>43408</v>
      </c>
      <c r="B104" s="13" t="s">
        <v>246</v>
      </c>
      <c r="C104" t="s">
        <v>312</v>
      </c>
      <c r="D104" s="13" t="s">
        <v>299</v>
      </c>
      <c r="E104">
        <v>12.7</v>
      </c>
      <c r="F104">
        <v>5.7</v>
      </c>
      <c r="G104">
        <v>4.8</v>
      </c>
      <c r="H104">
        <v>-4.5</v>
      </c>
      <c r="I104" s="42">
        <v>47</v>
      </c>
      <c r="J104" t="s">
        <v>75</v>
      </c>
      <c r="L104" t="s">
        <v>110</v>
      </c>
    </row>
    <row r="105" spans="1:12" x14ac:dyDescent="0.2">
      <c r="A105" s="19">
        <v>43408</v>
      </c>
      <c r="B105" s="13" t="s">
        <v>246</v>
      </c>
      <c r="C105" s="41" t="s">
        <v>302</v>
      </c>
      <c r="D105" s="13" t="s">
        <v>300</v>
      </c>
      <c r="E105">
        <v>17.38</v>
      </c>
      <c r="F105">
        <v>27</v>
      </c>
      <c r="G105">
        <v>3.1</v>
      </c>
      <c r="H105">
        <v>-5</v>
      </c>
      <c r="I105" s="42">
        <v>56</v>
      </c>
      <c r="J105" t="s">
        <v>75</v>
      </c>
      <c r="L105" t="s">
        <v>109</v>
      </c>
    </row>
    <row r="106" spans="1:12" x14ac:dyDescent="0.2">
      <c r="A106" s="19">
        <v>43408</v>
      </c>
      <c r="B106" s="13" t="s">
        <v>246</v>
      </c>
      <c r="C106" s="41" t="s">
        <v>307</v>
      </c>
      <c r="D106" s="13" t="s">
        <v>304</v>
      </c>
      <c r="E106">
        <v>26.4</v>
      </c>
      <c r="F106">
        <v>15.5</v>
      </c>
      <c r="G106">
        <v>9.8000000000000007</v>
      </c>
      <c r="H106">
        <v>2.5</v>
      </c>
      <c r="I106" s="42">
        <v>57.5</v>
      </c>
      <c r="J106" t="s">
        <v>75</v>
      </c>
    </row>
    <row r="107" spans="1:12" x14ac:dyDescent="0.2">
      <c r="A107" s="19">
        <v>43408</v>
      </c>
      <c r="B107" s="13" t="s">
        <v>246</v>
      </c>
      <c r="C107" t="s">
        <v>298</v>
      </c>
      <c r="D107" s="13" t="s">
        <v>293</v>
      </c>
      <c r="E107">
        <v>7</v>
      </c>
      <c r="F107">
        <v>7.3</v>
      </c>
      <c r="G107">
        <v>10.199999999999999</v>
      </c>
      <c r="H107">
        <v>3</v>
      </c>
      <c r="I107" s="42">
        <v>43.5</v>
      </c>
    </row>
    <row r="108" spans="1:12" x14ac:dyDescent="0.2">
      <c r="A108" s="19">
        <v>43408</v>
      </c>
      <c r="B108" s="13" t="s">
        <v>246</v>
      </c>
      <c r="C108" s="41" t="s">
        <v>309</v>
      </c>
      <c r="D108" s="13" t="s">
        <v>305</v>
      </c>
      <c r="E108">
        <v>15.2</v>
      </c>
      <c r="F108">
        <v>14.8</v>
      </c>
      <c r="G108">
        <v>7.3</v>
      </c>
      <c r="H108">
        <v>1.5</v>
      </c>
      <c r="I108" s="42">
        <v>47</v>
      </c>
      <c r="L108" t="s">
        <v>109</v>
      </c>
    </row>
    <row r="109" spans="1:12" x14ac:dyDescent="0.2">
      <c r="A109" s="19">
        <v>43408</v>
      </c>
      <c r="B109" s="13" t="s">
        <v>246</v>
      </c>
      <c r="C109" s="41" t="s">
        <v>256</v>
      </c>
      <c r="D109" s="13" t="s">
        <v>303</v>
      </c>
      <c r="E109">
        <v>2.2999999999999998</v>
      </c>
      <c r="F109">
        <v>14.6</v>
      </c>
      <c r="G109">
        <v>23.8</v>
      </c>
      <c r="H109">
        <v>1.5</v>
      </c>
      <c r="I109" s="42">
        <v>44</v>
      </c>
    </row>
    <row r="110" spans="1:12" x14ac:dyDescent="0.2">
      <c r="A110" s="19">
        <v>43408</v>
      </c>
      <c r="B110" s="13" t="s">
        <v>246</v>
      </c>
      <c r="C110" t="s">
        <v>308</v>
      </c>
      <c r="D110" s="13" t="s">
        <v>287</v>
      </c>
      <c r="E110">
        <v>11.7</v>
      </c>
      <c r="F110">
        <v>5.2</v>
      </c>
      <c r="G110">
        <v>17.2</v>
      </c>
      <c r="H110">
        <v>-1</v>
      </c>
      <c r="I110" s="42">
        <v>48.5</v>
      </c>
      <c r="L110" t="s">
        <v>110</v>
      </c>
    </row>
    <row r="111" spans="1:12" x14ac:dyDescent="0.2">
      <c r="A111" s="19">
        <v>43408</v>
      </c>
      <c r="B111" s="13" t="s">
        <v>246</v>
      </c>
      <c r="C111" s="41" t="s">
        <v>284</v>
      </c>
      <c r="D111" s="13" t="s">
        <v>301</v>
      </c>
      <c r="E111">
        <v>2.6</v>
      </c>
      <c r="F111">
        <f>(28.9+6)/2</f>
        <v>17.45</v>
      </c>
      <c r="G111">
        <v>21.3</v>
      </c>
      <c r="H111">
        <v>6</v>
      </c>
      <c r="I111" s="42">
        <v>55.5</v>
      </c>
      <c r="L111" t="s">
        <v>109</v>
      </c>
    </row>
    <row r="112" spans="1:12" x14ac:dyDescent="0.2">
      <c r="A112" s="19">
        <v>43408</v>
      </c>
      <c r="B112" s="13" t="s">
        <v>246</v>
      </c>
      <c r="C112" s="41" t="s">
        <v>310</v>
      </c>
      <c r="D112" s="13" t="s">
        <v>291</v>
      </c>
      <c r="E112">
        <v>12</v>
      </c>
      <c r="F112">
        <v>1</v>
      </c>
      <c r="G112">
        <v>11.3</v>
      </c>
      <c r="H112">
        <v>4.5</v>
      </c>
      <c r="I112" s="42">
        <v>40</v>
      </c>
      <c r="L112" t="s">
        <v>110</v>
      </c>
    </row>
    <row r="113" spans="1:12" x14ac:dyDescent="0.2">
      <c r="A113" s="19">
        <v>43408</v>
      </c>
      <c r="B113" s="13" t="s">
        <v>246</v>
      </c>
      <c r="C113" s="41" t="s">
        <v>306</v>
      </c>
      <c r="D113" s="13" t="s">
        <v>295</v>
      </c>
      <c r="E113">
        <v>12.1</v>
      </c>
      <c r="F113">
        <v>25.4</v>
      </c>
      <c r="G113">
        <v>7.4</v>
      </c>
      <c r="H113">
        <v>-1.5</v>
      </c>
      <c r="I113" s="42">
        <v>46.5</v>
      </c>
      <c r="J113" t="s">
        <v>75</v>
      </c>
    </row>
    <row r="114" spans="1:12" x14ac:dyDescent="0.2">
      <c r="A114" s="19">
        <v>43415</v>
      </c>
      <c r="B114" s="13" t="s">
        <v>244</v>
      </c>
      <c r="C114" s="18" t="s">
        <v>285</v>
      </c>
      <c r="D114" s="13" t="s">
        <v>288</v>
      </c>
      <c r="E114">
        <v>11</v>
      </c>
      <c r="F114">
        <v>2.8</v>
      </c>
      <c r="G114">
        <v>10.1</v>
      </c>
      <c r="H114">
        <v>16.5</v>
      </c>
      <c r="I114" s="42">
        <v>49.5</v>
      </c>
    </row>
    <row r="115" spans="1:12" x14ac:dyDescent="0.2">
      <c r="A115" s="19">
        <v>43415</v>
      </c>
      <c r="B115" s="13" t="s">
        <v>244</v>
      </c>
      <c r="C115" s="18" t="s">
        <v>295</v>
      </c>
      <c r="D115" s="13" t="s">
        <v>281</v>
      </c>
      <c r="E115">
        <v>26.7</v>
      </c>
      <c r="F115">
        <v>7</v>
      </c>
      <c r="G115">
        <v>21.6</v>
      </c>
      <c r="H115">
        <v>-5.5</v>
      </c>
      <c r="I115" s="42">
        <v>49.5</v>
      </c>
    </row>
    <row r="116" spans="1:12" x14ac:dyDescent="0.2">
      <c r="A116" s="19">
        <v>43415</v>
      </c>
      <c r="B116" s="13" t="s">
        <v>244</v>
      </c>
      <c r="C116" s="18" t="s">
        <v>276</v>
      </c>
      <c r="D116" s="13" t="s">
        <v>298</v>
      </c>
      <c r="E116">
        <v>23.3</v>
      </c>
      <c r="F116">
        <v>16.5</v>
      </c>
      <c r="G116">
        <v>6</v>
      </c>
      <c r="H116">
        <v>6.5</v>
      </c>
      <c r="I116" s="42">
        <v>38</v>
      </c>
    </row>
    <row r="117" spans="1:12" x14ac:dyDescent="0.2">
      <c r="A117" s="19">
        <v>43415</v>
      </c>
      <c r="B117" s="13" t="s">
        <v>244</v>
      </c>
      <c r="C117" s="18" t="s">
        <v>301</v>
      </c>
      <c r="D117" s="13" t="s">
        <v>309</v>
      </c>
      <c r="E117">
        <v>6.2</v>
      </c>
      <c r="F117">
        <v>6.5</v>
      </c>
      <c r="G117">
        <v>8</v>
      </c>
      <c r="H117">
        <v>3.5</v>
      </c>
      <c r="I117" s="42">
        <v>51</v>
      </c>
    </row>
    <row r="118" spans="1:12" x14ac:dyDescent="0.2">
      <c r="A118" s="19">
        <v>43415</v>
      </c>
      <c r="B118" s="13" t="s">
        <v>244</v>
      </c>
      <c r="C118" s="18" t="s">
        <v>265</v>
      </c>
      <c r="D118" s="13" t="s">
        <v>299</v>
      </c>
      <c r="E118">
        <v>34.299999999999997</v>
      </c>
      <c r="F118">
        <v>26.2</v>
      </c>
      <c r="G118">
        <v>10</v>
      </c>
      <c r="H118">
        <v>-7.5</v>
      </c>
      <c r="I118" s="42">
        <v>44.5</v>
      </c>
      <c r="J118" t="s">
        <v>75</v>
      </c>
      <c r="K118" t="s">
        <v>75</v>
      </c>
    </row>
    <row r="119" spans="1:12" x14ac:dyDescent="0.2">
      <c r="A119" s="19">
        <v>43415</v>
      </c>
      <c r="B119" s="13" t="s">
        <v>244</v>
      </c>
      <c r="C119" s="18" t="s">
        <v>272</v>
      </c>
      <c r="D119" s="13" t="s">
        <v>307</v>
      </c>
      <c r="E119">
        <v>9.5</v>
      </c>
      <c r="F119">
        <v>11.9</v>
      </c>
      <c r="G119">
        <v>5.3</v>
      </c>
      <c r="H119">
        <v>5.5</v>
      </c>
      <c r="I119" s="42">
        <v>53</v>
      </c>
      <c r="L119" t="s">
        <v>109</v>
      </c>
    </row>
    <row r="120" spans="1:12" x14ac:dyDescent="0.2">
      <c r="A120" s="19">
        <v>43415</v>
      </c>
      <c r="B120" s="13" t="s">
        <v>244</v>
      </c>
      <c r="C120" s="18" t="s">
        <v>281</v>
      </c>
      <c r="D120" s="13" t="s">
        <v>295</v>
      </c>
      <c r="E120">
        <v>4.2</v>
      </c>
      <c r="F120">
        <v>5.9</v>
      </c>
      <c r="G120">
        <v>2.8</v>
      </c>
      <c r="H120">
        <v>5.5</v>
      </c>
      <c r="I120" s="42">
        <v>49.5</v>
      </c>
      <c r="J120" t="s">
        <v>75</v>
      </c>
    </row>
    <row r="121" spans="1:12" x14ac:dyDescent="0.2">
      <c r="A121" s="19">
        <v>43415</v>
      </c>
      <c r="B121" s="13" t="s">
        <v>244</v>
      </c>
      <c r="C121" s="16" t="s">
        <v>291</v>
      </c>
      <c r="D121" s="13" t="s">
        <v>294</v>
      </c>
      <c r="E121">
        <v>13.5</v>
      </c>
      <c r="F121">
        <v>7.7</v>
      </c>
      <c r="G121">
        <v>4.3</v>
      </c>
      <c r="H121">
        <v>7.5</v>
      </c>
      <c r="I121" s="42">
        <v>45.5</v>
      </c>
    </row>
    <row r="122" spans="1:12" x14ac:dyDescent="0.2">
      <c r="A122" s="19">
        <v>43415</v>
      </c>
      <c r="B122" t="s">
        <v>244</v>
      </c>
      <c r="C122" s="18" t="s">
        <v>299</v>
      </c>
      <c r="D122" t="s">
        <v>265</v>
      </c>
      <c r="E122">
        <v>19.8</v>
      </c>
      <c r="F122">
        <v>8.5</v>
      </c>
      <c r="G122">
        <v>2.6</v>
      </c>
      <c r="H122">
        <v>7.5</v>
      </c>
      <c r="I122" s="42">
        <v>44.5</v>
      </c>
      <c r="K122" s="20" t="s">
        <v>75</v>
      </c>
    </row>
    <row r="123" spans="1:12" x14ac:dyDescent="0.2">
      <c r="A123" s="19">
        <v>43415</v>
      </c>
      <c r="B123" s="13" t="s">
        <v>244</v>
      </c>
      <c r="C123" s="18" t="s">
        <v>300</v>
      </c>
      <c r="D123" s="13" t="s">
        <v>293</v>
      </c>
      <c r="E123">
        <v>21.7</v>
      </c>
      <c r="F123">
        <v>10.4</v>
      </c>
      <c r="G123">
        <v>2.4</v>
      </c>
      <c r="H123">
        <v>-13</v>
      </c>
      <c r="I123" s="42">
        <v>48.5</v>
      </c>
    </row>
    <row r="124" spans="1:12" x14ac:dyDescent="0.2">
      <c r="A124" s="19">
        <v>43415</v>
      </c>
      <c r="B124" s="13" t="s">
        <v>244</v>
      </c>
      <c r="C124" s="41" t="s">
        <v>289</v>
      </c>
      <c r="D124" s="13" t="s">
        <v>297</v>
      </c>
      <c r="E124">
        <v>10.7</v>
      </c>
      <c r="F124">
        <v>8.1</v>
      </c>
      <c r="G124">
        <v>28.1</v>
      </c>
      <c r="H124">
        <v>-3</v>
      </c>
      <c r="I124" s="42">
        <v>48</v>
      </c>
      <c r="L124" t="s">
        <v>110</v>
      </c>
    </row>
    <row r="125" spans="1:12" x14ac:dyDescent="0.2">
      <c r="A125" s="19">
        <v>43415</v>
      </c>
      <c r="B125" s="13" t="s">
        <v>244</v>
      </c>
      <c r="C125" s="17" t="s">
        <v>297</v>
      </c>
      <c r="D125" s="13" t="s">
        <v>289</v>
      </c>
      <c r="E125">
        <v>18.8</v>
      </c>
      <c r="F125">
        <v>9.3000000000000007</v>
      </c>
      <c r="G125">
        <v>9.6</v>
      </c>
      <c r="H125">
        <v>3</v>
      </c>
      <c r="I125" s="42">
        <v>48</v>
      </c>
      <c r="J125" t="s">
        <v>75</v>
      </c>
      <c r="L125" t="s">
        <v>110</v>
      </c>
    </row>
    <row r="126" spans="1:12" x14ac:dyDescent="0.2">
      <c r="A126" s="19">
        <v>43415</v>
      </c>
      <c r="B126" s="13" t="s">
        <v>244</v>
      </c>
      <c r="C126" s="41" t="s">
        <v>288</v>
      </c>
      <c r="D126" s="13" t="s">
        <v>285</v>
      </c>
      <c r="E126">
        <v>35.700000000000003</v>
      </c>
      <c r="F126">
        <v>3.2</v>
      </c>
      <c r="G126">
        <v>10.6</v>
      </c>
      <c r="H126">
        <v>-16.5</v>
      </c>
      <c r="I126" s="42">
        <v>49.5</v>
      </c>
      <c r="J126" t="s">
        <v>75</v>
      </c>
    </row>
    <row r="127" spans="1:12" x14ac:dyDescent="0.2">
      <c r="A127" s="19">
        <v>43415</v>
      </c>
      <c r="B127" s="13" t="s">
        <v>244</v>
      </c>
      <c r="C127" s="17" t="s">
        <v>303</v>
      </c>
      <c r="D127" s="13" t="s">
        <v>287</v>
      </c>
      <c r="E127">
        <v>8.6999999999999993</v>
      </c>
      <c r="F127">
        <v>6.9</v>
      </c>
      <c r="G127">
        <v>9.1999999999999993</v>
      </c>
      <c r="H127">
        <v>10.5</v>
      </c>
      <c r="I127" s="42">
        <v>50</v>
      </c>
      <c r="L127" t="s">
        <v>110</v>
      </c>
    </row>
    <row r="128" spans="1:12" x14ac:dyDescent="0.2">
      <c r="A128" s="19">
        <v>43415</v>
      </c>
      <c r="B128" s="13" t="s">
        <v>244</v>
      </c>
      <c r="C128" s="17" t="s">
        <v>287</v>
      </c>
      <c r="D128" s="13" t="s">
        <v>303</v>
      </c>
      <c r="E128">
        <v>17.7</v>
      </c>
      <c r="F128">
        <v>8.6</v>
      </c>
      <c r="G128">
        <v>2.8</v>
      </c>
      <c r="H128">
        <v>-10.5</v>
      </c>
      <c r="I128" s="42">
        <v>50</v>
      </c>
      <c r="L128" t="s">
        <v>110</v>
      </c>
    </row>
    <row r="129" spans="1:12" x14ac:dyDescent="0.2">
      <c r="A129" s="19">
        <v>43415</v>
      </c>
      <c r="B129" s="13" t="s">
        <v>244</v>
      </c>
      <c r="C129" t="s">
        <v>304</v>
      </c>
      <c r="D129" s="13" t="s">
        <v>308</v>
      </c>
      <c r="E129">
        <v>29.9</v>
      </c>
      <c r="F129">
        <v>14.6</v>
      </c>
      <c r="G129">
        <v>11.5</v>
      </c>
      <c r="H129">
        <v>-10</v>
      </c>
      <c r="I129" s="42">
        <v>51</v>
      </c>
      <c r="J129" t="s">
        <v>75</v>
      </c>
      <c r="L129" t="s">
        <v>110</v>
      </c>
    </row>
    <row r="130" spans="1:12" x14ac:dyDescent="0.2">
      <c r="A130" s="19">
        <v>43415</v>
      </c>
      <c r="B130" s="13" t="s">
        <v>244</v>
      </c>
      <c r="C130" s="41" t="s">
        <v>293</v>
      </c>
      <c r="D130" s="13" t="s">
        <v>300</v>
      </c>
      <c r="E130">
        <v>14.2</v>
      </c>
      <c r="F130">
        <v>9.3000000000000007</v>
      </c>
      <c r="G130">
        <v>2.2999999999999998</v>
      </c>
      <c r="H130">
        <v>13</v>
      </c>
      <c r="I130" s="42">
        <v>48.5</v>
      </c>
      <c r="J130" t="s">
        <v>75</v>
      </c>
    </row>
    <row r="131" spans="1:12" x14ac:dyDescent="0.2">
      <c r="A131" s="19">
        <v>43415</v>
      </c>
      <c r="B131" s="13" t="s">
        <v>244</v>
      </c>
      <c r="C131" t="s">
        <v>302</v>
      </c>
      <c r="D131" s="13" t="s">
        <v>310</v>
      </c>
      <c r="E131">
        <v>22.64</v>
      </c>
      <c r="F131">
        <v>12.1</v>
      </c>
      <c r="G131">
        <v>2.7</v>
      </c>
      <c r="H131">
        <v>-6</v>
      </c>
      <c r="I131" s="42">
        <v>47</v>
      </c>
      <c r="J131" t="s">
        <v>75</v>
      </c>
      <c r="L131" t="s">
        <v>109</v>
      </c>
    </row>
    <row r="132" spans="1:12" x14ac:dyDescent="0.2">
      <c r="A132" s="19">
        <v>43415</v>
      </c>
      <c r="B132" s="13" t="s">
        <v>244</v>
      </c>
      <c r="C132" s="41" t="s">
        <v>307</v>
      </c>
      <c r="D132" s="13" t="s">
        <v>272</v>
      </c>
      <c r="E132">
        <v>27</v>
      </c>
      <c r="F132">
        <v>0</v>
      </c>
      <c r="G132">
        <v>4.5</v>
      </c>
      <c r="H132">
        <v>-5.5</v>
      </c>
      <c r="I132" s="42">
        <v>53</v>
      </c>
      <c r="L132" t="s">
        <v>109</v>
      </c>
    </row>
    <row r="133" spans="1:12" x14ac:dyDescent="0.2">
      <c r="A133" s="19">
        <v>43415</v>
      </c>
      <c r="B133" s="13" t="s">
        <v>244</v>
      </c>
      <c r="C133" t="s">
        <v>296</v>
      </c>
      <c r="D133" s="13" t="s">
        <v>256</v>
      </c>
      <c r="E133">
        <v>23.3</v>
      </c>
      <c r="F133">
        <v>11.6</v>
      </c>
      <c r="G133">
        <v>8.6</v>
      </c>
      <c r="H133">
        <v>3</v>
      </c>
      <c r="I133" s="42">
        <v>45</v>
      </c>
      <c r="J133" t="s">
        <v>75</v>
      </c>
    </row>
    <row r="134" spans="1:12" x14ac:dyDescent="0.2">
      <c r="A134" s="19">
        <v>43415</v>
      </c>
      <c r="B134" s="13" t="s">
        <v>244</v>
      </c>
      <c r="C134" s="41" t="s">
        <v>298</v>
      </c>
      <c r="D134" s="13" t="s">
        <v>276</v>
      </c>
      <c r="E134">
        <v>5.8</v>
      </c>
      <c r="F134">
        <v>3.6</v>
      </c>
      <c r="G134">
        <v>6.4</v>
      </c>
      <c r="H134">
        <v>-6.5</v>
      </c>
      <c r="I134" s="42">
        <v>38</v>
      </c>
    </row>
    <row r="135" spans="1:12" x14ac:dyDescent="0.2">
      <c r="A135" s="19">
        <v>43415</v>
      </c>
      <c r="B135" s="13" t="s">
        <v>244</v>
      </c>
      <c r="C135" s="41" t="s">
        <v>294</v>
      </c>
      <c r="D135" s="13" t="s">
        <v>291</v>
      </c>
      <c r="E135">
        <v>8.8000000000000007</v>
      </c>
      <c r="F135">
        <v>13.3</v>
      </c>
      <c r="G135">
        <v>43.5</v>
      </c>
      <c r="H135">
        <v>-7.5</v>
      </c>
      <c r="I135" s="42">
        <v>45.5</v>
      </c>
    </row>
    <row r="136" spans="1:12" x14ac:dyDescent="0.2">
      <c r="A136" s="19">
        <v>43415</v>
      </c>
      <c r="B136" s="13" t="s">
        <v>244</v>
      </c>
      <c r="C136" s="41" t="s">
        <v>309</v>
      </c>
      <c r="D136" s="13" t="s">
        <v>301</v>
      </c>
      <c r="E136">
        <v>21.6</v>
      </c>
      <c r="F136">
        <v>19.3</v>
      </c>
      <c r="G136">
        <v>14.4</v>
      </c>
      <c r="H136">
        <v>-3.5</v>
      </c>
      <c r="I136" s="42">
        <v>51</v>
      </c>
    </row>
    <row r="137" spans="1:12" x14ac:dyDescent="0.2">
      <c r="A137" s="19">
        <v>43415</v>
      </c>
      <c r="B137" s="13" t="s">
        <v>244</v>
      </c>
      <c r="C137" s="41" t="s">
        <v>256</v>
      </c>
      <c r="D137" s="13" t="s">
        <v>296</v>
      </c>
      <c r="E137">
        <v>10.9</v>
      </c>
      <c r="F137">
        <v>5.2</v>
      </c>
      <c r="G137">
        <v>17.3</v>
      </c>
      <c r="H137">
        <v>-3</v>
      </c>
      <c r="I137" s="42">
        <v>45</v>
      </c>
    </row>
    <row r="138" spans="1:12" x14ac:dyDescent="0.2">
      <c r="A138" s="19">
        <v>43415</v>
      </c>
      <c r="B138" s="13" t="s">
        <v>244</v>
      </c>
      <c r="C138" t="s">
        <v>308</v>
      </c>
      <c r="D138" s="13" t="s">
        <v>304</v>
      </c>
      <c r="E138">
        <v>8.9</v>
      </c>
      <c r="F138">
        <v>19.5</v>
      </c>
      <c r="G138">
        <v>7.8</v>
      </c>
      <c r="H138">
        <v>10</v>
      </c>
      <c r="I138" s="42">
        <v>51</v>
      </c>
      <c r="J138" t="s">
        <v>75</v>
      </c>
      <c r="L138" t="s">
        <v>110</v>
      </c>
    </row>
    <row r="139" spans="1:12" x14ac:dyDescent="0.2">
      <c r="A139" s="19">
        <v>43415</v>
      </c>
      <c r="B139" s="13" t="s">
        <v>244</v>
      </c>
      <c r="C139" s="41" t="s">
        <v>284</v>
      </c>
      <c r="D139" s="13" t="s">
        <v>306</v>
      </c>
      <c r="E139">
        <v>8.1</v>
      </c>
      <c r="F139">
        <v>20.3</v>
      </c>
      <c r="G139">
        <v>2.5</v>
      </c>
      <c r="H139">
        <v>-3.5</v>
      </c>
      <c r="I139" s="42">
        <v>51</v>
      </c>
      <c r="L139" t="s">
        <v>109</v>
      </c>
    </row>
    <row r="140" spans="1:12" x14ac:dyDescent="0.2">
      <c r="A140" s="19">
        <v>43415</v>
      </c>
      <c r="B140" s="13" t="s">
        <v>244</v>
      </c>
      <c r="C140" t="s">
        <v>310</v>
      </c>
      <c r="D140" s="13" t="s">
        <v>302</v>
      </c>
      <c r="E140">
        <v>28.5</v>
      </c>
      <c r="F140">
        <v>0</v>
      </c>
      <c r="G140">
        <v>13.5</v>
      </c>
      <c r="H140">
        <v>6</v>
      </c>
      <c r="I140" s="42">
        <v>47</v>
      </c>
      <c r="L140" t="s">
        <v>109</v>
      </c>
    </row>
    <row r="141" spans="1:12" x14ac:dyDescent="0.2">
      <c r="A141" s="19">
        <v>43415</v>
      </c>
      <c r="B141" s="13" t="s">
        <v>244</v>
      </c>
      <c r="C141" t="s">
        <v>306</v>
      </c>
      <c r="D141" s="13" t="s">
        <v>284</v>
      </c>
      <c r="E141">
        <v>14.6</v>
      </c>
      <c r="F141">
        <v>10.6</v>
      </c>
      <c r="G141">
        <v>9.1</v>
      </c>
      <c r="H141">
        <v>3.5</v>
      </c>
      <c r="I141" s="42">
        <v>51</v>
      </c>
      <c r="J141" t="s">
        <v>75</v>
      </c>
      <c r="L141" t="s">
        <v>109</v>
      </c>
    </row>
    <row r="142" spans="1:12" x14ac:dyDescent="0.2">
      <c r="A142" s="19">
        <v>43422</v>
      </c>
      <c r="B142" s="13" t="s">
        <v>259</v>
      </c>
      <c r="C142" s="41" t="s">
        <v>285</v>
      </c>
      <c r="D142" s="13" t="s">
        <v>303</v>
      </c>
      <c r="E142">
        <v>16.3</v>
      </c>
      <c r="F142">
        <v>16.7</v>
      </c>
      <c r="G142">
        <v>1.8</v>
      </c>
      <c r="H142">
        <v>4.5</v>
      </c>
      <c r="I142" s="42">
        <v>41</v>
      </c>
      <c r="L142" t="s">
        <v>110</v>
      </c>
    </row>
    <row r="143" spans="1:12" x14ac:dyDescent="0.2">
      <c r="A143" s="19">
        <v>43422</v>
      </c>
      <c r="B143" s="13" t="s">
        <v>259</v>
      </c>
      <c r="C143" s="41" t="s">
        <v>295</v>
      </c>
      <c r="D143" s="13" t="s">
        <v>291</v>
      </c>
      <c r="E143">
        <v>26.8</v>
      </c>
      <c r="F143">
        <v>6.7</v>
      </c>
      <c r="G143">
        <v>6.7</v>
      </c>
      <c r="H143">
        <v>-3.5</v>
      </c>
      <c r="I143" s="42">
        <v>50</v>
      </c>
    </row>
    <row r="144" spans="1:12" x14ac:dyDescent="0.2">
      <c r="A144" s="19">
        <v>43422</v>
      </c>
      <c r="B144" s="13" t="s">
        <v>259</v>
      </c>
      <c r="C144" t="s">
        <v>305</v>
      </c>
      <c r="D144" s="13" t="s">
        <v>272</v>
      </c>
      <c r="E144">
        <v>1.7</v>
      </c>
      <c r="F144">
        <v>10.1</v>
      </c>
      <c r="G144">
        <v>7.6</v>
      </c>
      <c r="H144">
        <v>-6.5</v>
      </c>
      <c r="I144" s="42">
        <v>44</v>
      </c>
      <c r="L144" t="s">
        <v>109</v>
      </c>
    </row>
    <row r="145" spans="1:12" x14ac:dyDescent="0.2">
      <c r="A145" s="19">
        <v>43422</v>
      </c>
      <c r="B145" s="13" t="s">
        <v>259</v>
      </c>
      <c r="C145" t="s">
        <v>301</v>
      </c>
      <c r="D145" s="13" t="s">
        <v>299</v>
      </c>
      <c r="E145">
        <v>5.9</v>
      </c>
      <c r="F145">
        <v>31.7</v>
      </c>
      <c r="G145">
        <v>8.9</v>
      </c>
      <c r="H145">
        <v>-4</v>
      </c>
      <c r="I145" s="42">
        <v>48</v>
      </c>
      <c r="J145" t="s">
        <v>75</v>
      </c>
    </row>
    <row r="146" spans="1:12" x14ac:dyDescent="0.2">
      <c r="A146" s="19">
        <v>43422</v>
      </c>
      <c r="B146" s="13" t="s">
        <v>259</v>
      </c>
      <c r="C146" t="s">
        <v>265</v>
      </c>
      <c r="D146" s="13" t="s">
        <v>312</v>
      </c>
      <c r="E146">
        <v>6.9</v>
      </c>
      <c r="F146">
        <v>13.9</v>
      </c>
      <c r="G146">
        <v>2</v>
      </c>
      <c r="H146">
        <v>-2.5</v>
      </c>
      <c r="I146" s="42">
        <v>44</v>
      </c>
    </row>
    <row r="147" spans="1:12" x14ac:dyDescent="0.2">
      <c r="A147" s="19">
        <v>43422</v>
      </c>
      <c r="B147" s="13" t="s">
        <v>259</v>
      </c>
      <c r="C147" t="s">
        <v>272</v>
      </c>
      <c r="D147" s="13" t="s">
        <v>305</v>
      </c>
      <c r="E147">
        <v>10.7</v>
      </c>
      <c r="F147">
        <v>11.1</v>
      </c>
      <c r="G147">
        <v>7.1</v>
      </c>
      <c r="H147">
        <v>6.5</v>
      </c>
      <c r="I147" s="42">
        <v>44</v>
      </c>
      <c r="L147" t="s">
        <v>109</v>
      </c>
    </row>
    <row r="148" spans="1:12" x14ac:dyDescent="0.2">
      <c r="A148" s="19">
        <v>43422</v>
      </c>
      <c r="B148" s="13" t="s">
        <v>259</v>
      </c>
      <c r="C148" s="17" t="s">
        <v>291</v>
      </c>
      <c r="D148" s="13" t="s">
        <v>295</v>
      </c>
      <c r="E148">
        <v>6.6</v>
      </c>
      <c r="F148">
        <v>10.1</v>
      </c>
      <c r="G148">
        <v>6.4</v>
      </c>
      <c r="H148">
        <v>3.5</v>
      </c>
      <c r="I148" s="42">
        <v>50</v>
      </c>
      <c r="J148" t="s">
        <v>75</v>
      </c>
    </row>
    <row r="149" spans="1:12" x14ac:dyDescent="0.2">
      <c r="A149" s="19">
        <v>43422</v>
      </c>
      <c r="B149" s="13" t="s">
        <v>259</v>
      </c>
      <c r="C149" t="s">
        <v>278</v>
      </c>
      <c r="D149" s="13" t="s">
        <v>287</v>
      </c>
      <c r="E149">
        <v>10.199999999999999</v>
      </c>
      <c r="F149">
        <v>10.8</v>
      </c>
      <c r="G149">
        <v>6</v>
      </c>
      <c r="H149">
        <v>7.5</v>
      </c>
      <c r="I149" s="42">
        <v>47</v>
      </c>
    </row>
    <row r="150" spans="1:12" x14ac:dyDescent="0.2">
      <c r="A150" s="19">
        <v>43422</v>
      </c>
      <c r="B150" t="s">
        <v>259</v>
      </c>
      <c r="C150" t="s">
        <v>299</v>
      </c>
      <c r="D150" t="s">
        <v>301</v>
      </c>
      <c r="E150">
        <v>28.3</v>
      </c>
      <c r="F150">
        <v>11.2</v>
      </c>
      <c r="G150">
        <v>2.2999999999999998</v>
      </c>
      <c r="H150">
        <v>4</v>
      </c>
      <c r="I150" s="42">
        <v>48</v>
      </c>
    </row>
    <row r="151" spans="1:12" x14ac:dyDescent="0.2">
      <c r="A151" s="19">
        <v>43422</v>
      </c>
      <c r="B151" s="13" t="s">
        <v>259</v>
      </c>
      <c r="C151" s="41" t="s">
        <v>300</v>
      </c>
      <c r="D151" s="13" t="s">
        <v>308</v>
      </c>
      <c r="E151">
        <v>29.6</v>
      </c>
      <c r="F151">
        <v>1.8</v>
      </c>
      <c r="G151">
        <v>2.2999999999999998</v>
      </c>
      <c r="H151">
        <v>3</v>
      </c>
      <c r="I151" s="42">
        <v>49</v>
      </c>
      <c r="J151" t="s">
        <v>75</v>
      </c>
    </row>
    <row r="152" spans="1:12" x14ac:dyDescent="0.2">
      <c r="A152" s="19">
        <v>43422</v>
      </c>
      <c r="B152" s="13" t="s">
        <v>259</v>
      </c>
      <c r="C152" s="41" t="s">
        <v>311</v>
      </c>
      <c r="D152" s="13" t="s">
        <v>306</v>
      </c>
      <c r="E152">
        <v>15.6</v>
      </c>
      <c r="F152">
        <v>0</v>
      </c>
      <c r="G152">
        <v>6.2</v>
      </c>
      <c r="H152">
        <v>-3</v>
      </c>
      <c r="I152" s="42">
        <v>40.5</v>
      </c>
      <c r="L152" t="s">
        <v>110</v>
      </c>
    </row>
    <row r="153" spans="1:12" x14ac:dyDescent="0.2">
      <c r="A153" s="19">
        <v>43422</v>
      </c>
      <c r="B153" s="13" t="s">
        <v>259</v>
      </c>
      <c r="C153" s="41" t="s">
        <v>289</v>
      </c>
      <c r="D153" s="13" t="s">
        <v>310</v>
      </c>
      <c r="E153">
        <v>39.5</v>
      </c>
      <c r="F153">
        <v>13.4</v>
      </c>
      <c r="G153">
        <v>8.3000000000000007</v>
      </c>
      <c r="H153">
        <v>-2</v>
      </c>
      <c r="I153" s="42">
        <v>50</v>
      </c>
      <c r="J153" t="s">
        <v>75</v>
      </c>
      <c r="L153" t="s">
        <v>110</v>
      </c>
    </row>
    <row r="154" spans="1:12" x14ac:dyDescent="0.2">
      <c r="A154" s="19">
        <v>43422</v>
      </c>
      <c r="B154" s="13" t="s">
        <v>259</v>
      </c>
      <c r="C154" s="17" t="s">
        <v>297</v>
      </c>
      <c r="D154" s="13" t="s">
        <v>309</v>
      </c>
      <c r="E154">
        <v>2.1</v>
      </c>
      <c r="F154">
        <v>3.9</v>
      </c>
      <c r="G154">
        <v>1.4</v>
      </c>
      <c r="H154">
        <v>4</v>
      </c>
      <c r="I154" s="42">
        <v>47</v>
      </c>
    </row>
    <row r="155" spans="1:12" x14ac:dyDescent="0.2">
      <c r="A155" s="19">
        <v>43422</v>
      </c>
      <c r="B155" s="13" t="s">
        <v>259</v>
      </c>
      <c r="C155" t="s">
        <v>288</v>
      </c>
      <c r="D155" s="13" t="s">
        <v>304</v>
      </c>
      <c r="E155">
        <v>46.5</v>
      </c>
      <c r="F155">
        <v>26.4</v>
      </c>
      <c r="G155">
        <v>31.7</v>
      </c>
      <c r="H155">
        <v>3</v>
      </c>
      <c r="I155" s="42">
        <v>63.5</v>
      </c>
      <c r="J155" t="s">
        <v>75</v>
      </c>
    </row>
    <row r="156" spans="1:12" x14ac:dyDescent="0.2">
      <c r="A156" s="19">
        <v>43422</v>
      </c>
      <c r="B156" s="13" t="s">
        <v>259</v>
      </c>
      <c r="C156" s="17" t="s">
        <v>303</v>
      </c>
      <c r="D156" s="13" t="s">
        <v>285</v>
      </c>
      <c r="E156">
        <v>10.9</v>
      </c>
      <c r="F156">
        <v>7.8</v>
      </c>
      <c r="G156">
        <v>12.1</v>
      </c>
      <c r="H156">
        <v>-4.5</v>
      </c>
      <c r="I156" s="42">
        <v>41</v>
      </c>
      <c r="J156" t="s">
        <v>75</v>
      </c>
      <c r="L156" t="s">
        <v>110</v>
      </c>
    </row>
    <row r="157" spans="1:12" x14ac:dyDescent="0.2">
      <c r="A157" s="19">
        <v>43422</v>
      </c>
      <c r="B157" s="13" t="s">
        <v>259</v>
      </c>
      <c r="C157" s="17" t="s">
        <v>287</v>
      </c>
      <c r="D157" s="13" t="s">
        <v>278</v>
      </c>
      <c r="E157">
        <v>24</v>
      </c>
      <c r="F157">
        <v>7.6</v>
      </c>
      <c r="G157">
        <v>19</v>
      </c>
      <c r="H157">
        <v>-7.5</v>
      </c>
      <c r="I157" s="42">
        <v>47</v>
      </c>
      <c r="J157" t="s">
        <v>75</v>
      </c>
    </row>
    <row r="158" spans="1:12" x14ac:dyDescent="0.2">
      <c r="A158" s="19">
        <v>43422</v>
      </c>
      <c r="B158" s="13" t="s">
        <v>259</v>
      </c>
      <c r="C158" t="s">
        <v>304</v>
      </c>
      <c r="D158" s="13" t="s">
        <v>288</v>
      </c>
      <c r="E158">
        <v>21.7</v>
      </c>
      <c r="F158">
        <v>17.2</v>
      </c>
      <c r="G158">
        <v>19.899999999999999</v>
      </c>
      <c r="H158">
        <v>-3</v>
      </c>
      <c r="I158" s="42">
        <v>63.5</v>
      </c>
    </row>
    <row r="159" spans="1:12" x14ac:dyDescent="0.2">
      <c r="A159" s="19">
        <v>43422</v>
      </c>
      <c r="B159" s="13" t="s">
        <v>259</v>
      </c>
      <c r="C159" s="41" t="s">
        <v>312</v>
      </c>
      <c r="D159" s="13" t="s">
        <v>265</v>
      </c>
      <c r="E159">
        <v>15.6</v>
      </c>
      <c r="F159">
        <v>34.6</v>
      </c>
      <c r="G159">
        <v>3.3</v>
      </c>
      <c r="H159">
        <v>2.5</v>
      </c>
      <c r="I159" s="42">
        <v>44</v>
      </c>
    </row>
    <row r="160" spans="1:12" x14ac:dyDescent="0.2">
      <c r="A160" s="19">
        <v>43422</v>
      </c>
      <c r="B160" s="13" t="s">
        <v>259</v>
      </c>
      <c r="C160" s="41" t="s">
        <v>307</v>
      </c>
      <c r="D160" s="13" t="s">
        <v>294</v>
      </c>
      <c r="E160">
        <v>19.2</v>
      </c>
      <c r="F160">
        <v>34.700000000000003</v>
      </c>
      <c r="G160">
        <v>4.5999999999999996</v>
      </c>
      <c r="H160">
        <v>-7</v>
      </c>
      <c r="I160" s="42">
        <v>56.5</v>
      </c>
      <c r="L160" t="s">
        <v>109</v>
      </c>
    </row>
    <row r="161" spans="1:12" x14ac:dyDescent="0.2">
      <c r="A161" s="19">
        <v>43422</v>
      </c>
      <c r="B161" s="13" t="s">
        <v>259</v>
      </c>
      <c r="C161" s="41" t="s">
        <v>296</v>
      </c>
      <c r="D161" s="13" t="s">
        <v>284</v>
      </c>
      <c r="E161">
        <v>18.5</v>
      </c>
      <c r="F161">
        <v>4.2</v>
      </c>
      <c r="G161">
        <v>8.6</v>
      </c>
      <c r="H161">
        <v>-3</v>
      </c>
      <c r="I161" s="42">
        <v>54.5</v>
      </c>
      <c r="J161" t="s">
        <v>75</v>
      </c>
      <c r="K161" s="20" t="s">
        <v>75</v>
      </c>
      <c r="L161" t="s">
        <v>109</v>
      </c>
    </row>
    <row r="162" spans="1:12" x14ac:dyDescent="0.2">
      <c r="A162" s="19">
        <v>43422</v>
      </c>
      <c r="B162" s="13" t="s">
        <v>259</v>
      </c>
      <c r="C162" s="41" t="s">
        <v>294</v>
      </c>
      <c r="D162" s="13" t="s">
        <v>307</v>
      </c>
      <c r="E162">
        <v>7.3</v>
      </c>
      <c r="F162">
        <v>9</v>
      </c>
      <c r="G162">
        <v>3.5</v>
      </c>
      <c r="H162">
        <v>7</v>
      </c>
      <c r="I162" s="42">
        <v>56.5</v>
      </c>
      <c r="L162" t="s">
        <v>109</v>
      </c>
    </row>
    <row r="163" spans="1:12" x14ac:dyDescent="0.2">
      <c r="A163" s="19">
        <v>43422</v>
      </c>
      <c r="B163" s="13" t="s">
        <v>259</v>
      </c>
      <c r="C163" s="41" t="s">
        <v>309</v>
      </c>
      <c r="D163" s="13" t="s">
        <v>297</v>
      </c>
      <c r="E163">
        <v>25.7</v>
      </c>
      <c r="F163">
        <v>21.4</v>
      </c>
      <c r="G163">
        <v>11.7</v>
      </c>
      <c r="H163">
        <v>-4</v>
      </c>
      <c r="I163" s="42">
        <v>47</v>
      </c>
    </row>
    <row r="164" spans="1:12" x14ac:dyDescent="0.2">
      <c r="A164" s="19">
        <v>43422</v>
      </c>
      <c r="B164" s="13" t="s">
        <v>259</v>
      </c>
      <c r="C164" s="18" t="s">
        <v>308</v>
      </c>
      <c r="D164" s="13" t="s">
        <v>300</v>
      </c>
      <c r="E164">
        <v>18.2</v>
      </c>
      <c r="F164">
        <v>12.2</v>
      </c>
      <c r="G164">
        <v>2.7</v>
      </c>
      <c r="H164">
        <v>-3</v>
      </c>
      <c r="I164" s="42">
        <v>49</v>
      </c>
      <c r="J164" t="s">
        <v>75</v>
      </c>
    </row>
    <row r="165" spans="1:12" x14ac:dyDescent="0.2">
      <c r="A165" s="19">
        <v>43422</v>
      </c>
      <c r="B165" s="13" t="s">
        <v>259</v>
      </c>
      <c r="C165" s="18" t="s">
        <v>284</v>
      </c>
      <c r="D165" s="13" t="s">
        <v>296</v>
      </c>
      <c r="E165">
        <v>33</v>
      </c>
      <c r="F165">
        <v>11</v>
      </c>
      <c r="G165">
        <v>12.8</v>
      </c>
      <c r="H165">
        <v>3</v>
      </c>
      <c r="I165" s="42">
        <v>54.5</v>
      </c>
      <c r="K165" s="20" t="s">
        <v>75</v>
      </c>
      <c r="L165" t="s">
        <v>109</v>
      </c>
    </row>
    <row r="166" spans="1:12" x14ac:dyDescent="0.2">
      <c r="A166" s="19">
        <v>43422</v>
      </c>
      <c r="B166" s="13" t="s">
        <v>259</v>
      </c>
      <c r="C166" s="18" t="s">
        <v>310</v>
      </c>
      <c r="D166" s="13" t="s">
        <v>289</v>
      </c>
      <c r="E166">
        <v>4.9000000000000004</v>
      </c>
      <c r="F166">
        <v>14.7</v>
      </c>
      <c r="G166">
        <v>10.4</v>
      </c>
      <c r="H166">
        <v>2</v>
      </c>
      <c r="I166" s="42">
        <v>50</v>
      </c>
      <c r="J166" t="s">
        <v>75</v>
      </c>
      <c r="L166" t="s">
        <v>110</v>
      </c>
    </row>
    <row r="167" spans="1:12" x14ac:dyDescent="0.2">
      <c r="A167" s="19">
        <v>43422</v>
      </c>
      <c r="B167" s="13" t="s">
        <v>259</v>
      </c>
      <c r="C167" s="18" t="s">
        <v>306</v>
      </c>
      <c r="D167" s="13" t="s">
        <v>311</v>
      </c>
      <c r="E167">
        <v>6.2</v>
      </c>
      <c r="F167">
        <v>8.9</v>
      </c>
      <c r="G167">
        <v>20.100000000000001</v>
      </c>
      <c r="H167">
        <v>3</v>
      </c>
      <c r="I167" s="42">
        <v>40.5</v>
      </c>
      <c r="L167" t="s">
        <v>110</v>
      </c>
    </row>
    <row r="168" spans="1:12" x14ac:dyDescent="0.2">
      <c r="A168" s="19">
        <v>43429</v>
      </c>
      <c r="B168" s="13" t="s">
        <v>242</v>
      </c>
      <c r="C168" s="18" t="s">
        <v>285</v>
      </c>
      <c r="D168" s="13" t="s">
        <v>287</v>
      </c>
      <c r="E168">
        <v>11</v>
      </c>
      <c r="F168">
        <v>8.1</v>
      </c>
      <c r="G168">
        <v>1.5</v>
      </c>
      <c r="H168">
        <v>14</v>
      </c>
      <c r="I168" s="42">
        <v>43.5</v>
      </c>
    </row>
    <row r="169" spans="1:12" x14ac:dyDescent="0.2">
      <c r="A169" s="19">
        <v>43429</v>
      </c>
      <c r="B169" s="13" t="s">
        <v>242</v>
      </c>
      <c r="C169" s="18" t="s">
        <v>295</v>
      </c>
      <c r="D169" s="13" t="s">
        <v>307</v>
      </c>
      <c r="E169">
        <v>27.8</v>
      </c>
      <c r="F169">
        <v>22.3</v>
      </c>
      <c r="G169">
        <v>8.1</v>
      </c>
      <c r="H169">
        <v>11.5</v>
      </c>
      <c r="I169" s="42">
        <v>61</v>
      </c>
    </row>
    <row r="170" spans="1:12" x14ac:dyDescent="0.2">
      <c r="A170" s="19">
        <v>43429</v>
      </c>
      <c r="B170" s="13" t="s">
        <v>242</v>
      </c>
      <c r="C170" s="18" t="s">
        <v>305</v>
      </c>
      <c r="D170" s="13" t="s">
        <v>303</v>
      </c>
      <c r="E170">
        <v>11.1</v>
      </c>
      <c r="F170">
        <v>3.5</v>
      </c>
      <c r="G170">
        <v>8.4</v>
      </c>
      <c r="H170">
        <v>-13</v>
      </c>
      <c r="I170" s="42">
        <v>42</v>
      </c>
    </row>
    <row r="171" spans="1:12" x14ac:dyDescent="0.2">
      <c r="A171" s="19">
        <v>43429</v>
      </c>
      <c r="B171" s="13" t="s">
        <v>242</v>
      </c>
      <c r="C171" s="18" t="s">
        <v>276</v>
      </c>
      <c r="D171" s="13" t="s">
        <v>297</v>
      </c>
      <c r="E171">
        <v>0</v>
      </c>
      <c r="F171">
        <v>17.399999999999999</v>
      </c>
      <c r="G171">
        <v>3.6</v>
      </c>
      <c r="H171">
        <v>3</v>
      </c>
      <c r="I171" s="42">
        <v>36.5</v>
      </c>
      <c r="L171" t="s">
        <v>110</v>
      </c>
    </row>
    <row r="172" spans="1:12" x14ac:dyDescent="0.2">
      <c r="A172" s="19">
        <v>43429</v>
      </c>
      <c r="B172" s="13" t="s">
        <v>242</v>
      </c>
      <c r="C172" s="18" t="s">
        <v>301</v>
      </c>
      <c r="D172" s="13" t="s">
        <v>308</v>
      </c>
      <c r="E172">
        <v>17.8</v>
      </c>
      <c r="F172">
        <v>12.2</v>
      </c>
      <c r="G172">
        <v>3.1</v>
      </c>
      <c r="H172">
        <v>-3</v>
      </c>
      <c r="I172" s="42">
        <v>46.5</v>
      </c>
      <c r="J172" t="s">
        <v>75</v>
      </c>
      <c r="L172" t="s">
        <v>110</v>
      </c>
    </row>
    <row r="173" spans="1:12" x14ac:dyDescent="0.2">
      <c r="A173" s="19">
        <v>43429</v>
      </c>
      <c r="B173" s="13" t="s">
        <v>242</v>
      </c>
      <c r="C173" s="18" t="s">
        <v>265</v>
      </c>
      <c r="D173" s="13" t="s">
        <v>299</v>
      </c>
      <c r="E173">
        <v>5.7</v>
      </c>
      <c r="F173">
        <v>11.9</v>
      </c>
      <c r="G173">
        <v>5.8</v>
      </c>
      <c r="H173">
        <v>-3</v>
      </c>
      <c r="I173" s="42">
        <v>43</v>
      </c>
      <c r="J173" t="s">
        <v>75</v>
      </c>
      <c r="K173" s="20" t="s">
        <v>75</v>
      </c>
    </row>
    <row r="174" spans="1:12" x14ac:dyDescent="0.2">
      <c r="A174" s="19">
        <v>43429</v>
      </c>
      <c r="B174" s="13" t="s">
        <v>242</v>
      </c>
      <c r="C174" s="41" t="s">
        <v>272</v>
      </c>
      <c r="D174" s="13" t="s">
        <v>281</v>
      </c>
      <c r="E174">
        <v>21.5</v>
      </c>
      <c r="F174">
        <v>12.1</v>
      </c>
      <c r="G174">
        <v>9.9</v>
      </c>
      <c r="H174">
        <v>1</v>
      </c>
      <c r="I174" s="42">
        <v>46.5</v>
      </c>
      <c r="L174" t="s">
        <v>109</v>
      </c>
    </row>
    <row r="175" spans="1:12" x14ac:dyDescent="0.2">
      <c r="A175" s="19">
        <v>43429</v>
      </c>
      <c r="B175" s="13" t="s">
        <v>242</v>
      </c>
      <c r="C175" s="41" t="s">
        <v>281</v>
      </c>
      <c r="D175" s="13" t="s">
        <v>272</v>
      </c>
      <c r="E175">
        <v>6</v>
      </c>
      <c r="F175">
        <v>16.2</v>
      </c>
      <c r="G175">
        <v>17.3</v>
      </c>
      <c r="H175">
        <v>-1</v>
      </c>
      <c r="I175" s="42">
        <v>46.5</v>
      </c>
      <c r="L175" t="s">
        <v>109</v>
      </c>
    </row>
    <row r="176" spans="1:12" x14ac:dyDescent="0.2">
      <c r="A176" s="19">
        <v>43429</v>
      </c>
      <c r="B176" s="13" t="s">
        <v>242</v>
      </c>
      <c r="C176" s="17" t="s">
        <v>291</v>
      </c>
      <c r="D176" s="13" t="s">
        <v>306</v>
      </c>
      <c r="E176">
        <v>41</v>
      </c>
      <c r="F176">
        <v>3.9</v>
      </c>
      <c r="G176">
        <v>4.5</v>
      </c>
      <c r="H176">
        <v>-7</v>
      </c>
      <c r="I176" s="42">
        <v>40</v>
      </c>
    </row>
    <row r="177" spans="1:12" x14ac:dyDescent="0.2">
      <c r="A177" s="19">
        <v>43429</v>
      </c>
      <c r="B177" s="13" t="s">
        <v>242</v>
      </c>
      <c r="C177" s="41" t="s">
        <v>278</v>
      </c>
      <c r="D177" s="13" t="s">
        <v>309</v>
      </c>
      <c r="E177">
        <v>21.6</v>
      </c>
      <c r="F177">
        <v>2.4</v>
      </c>
      <c r="G177">
        <v>12.4</v>
      </c>
      <c r="H177">
        <v>3</v>
      </c>
      <c r="I177" s="42">
        <v>47.5</v>
      </c>
    </row>
    <row r="178" spans="1:12" x14ac:dyDescent="0.2">
      <c r="A178" s="19">
        <v>43429</v>
      </c>
      <c r="B178" t="s">
        <v>242</v>
      </c>
      <c r="C178" s="41" t="s">
        <v>299</v>
      </c>
      <c r="D178" t="s">
        <v>265</v>
      </c>
      <c r="E178">
        <v>14</v>
      </c>
      <c r="F178">
        <v>9</v>
      </c>
      <c r="G178">
        <v>4.5999999999999996</v>
      </c>
      <c r="H178">
        <v>3</v>
      </c>
      <c r="I178" s="42">
        <v>43</v>
      </c>
      <c r="K178" s="20" t="s">
        <v>75</v>
      </c>
    </row>
    <row r="179" spans="1:12" x14ac:dyDescent="0.2">
      <c r="A179" s="19">
        <v>43429</v>
      </c>
      <c r="B179" s="13" t="s">
        <v>242</v>
      </c>
      <c r="C179" s="41" t="s">
        <v>300</v>
      </c>
      <c r="D179" s="13" t="s">
        <v>312</v>
      </c>
      <c r="E179">
        <v>17.899999999999999</v>
      </c>
      <c r="F179">
        <v>1.3</v>
      </c>
      <c r="G179">
        <v>5.4</v>
      </c>
      <c r="H179">
        <v>4</v>
      </c>
      <c r="I179" s="42">
        <v>48.5</v>
      </c>
    </row>
    <row r="180" spans="1:12" x14ac:dyDescent="0.2">
      <c r="A180" s="19">
        <v>43429</v>
      </c>
      <c r="B180" s="13" t="s">
        <v>242</v>
      </c>
      <c r="C180" s="41" t="s">
        <v>311</v>
      </c>
      <c r="D180" s="13" t="s">
        <v>310</v>
      </c>
      <c r="E180">
        <v>12.4</v>
      </c>
      <c r="F180">
        <v>19.8</v>
      </c>
      <c r="G180">
        <v>6.8</v>
      </c>
      <c r="H180">
        <v>-3.5</v>
      </c>
      <c r="I180" s="42">
        <v>42.5</v>
      </c>
      <c r="J180" t="s">
        <v>75</v>
      </c>
    </row>
    <row r="181" spans="1:12" x14ac:dyDescent="0.2">
      <c r="A181" s="19">
        <v>43429</v>
      </c>
      <c r="B181" s="13" t="s">
        <v>242</v>
      </c>
      <c r="C181" t="s">
        <v>289</v>
      </c>
      <c r="D181" s="13" t="s">
        <v>293</v>
      </c>
      <c r="E181">
        <v>22.5</v>
      </c>
      <c r="F181">
        <v>7</v>
      </c>
      <c r="G181">
        <v>2.5</v>
      </c>
      <c r="H181">
        <v>-9</v>
      </c>
      <c r="I181" s="42">
        <v>52.5</v>
      </c>
      <c r="K181" s="20" t="s">
        <v>75</v>
      </c>
      <c r="L181" t="s">
        <v>110</v>
      </c>
    </row>
    <row r="182" spans="1:12" x14ac:dyDescent="0.2">
      <c r="A182" s="19">
        <v>43429</v>
      </c>
      <c r="B182" s="13" t="s">
        <v>242</v>
      </c>
      <c r="C182" s="17" t="s">
        <v>297</v>
      </c>
      <c r="D182" s="13" t="s">
        <v>276</v>
      </c>
      <c r="E182">
        <v>3.9</v>
      </c>
      <c r="F182">
        <v>17.7</v>
      </c>
      <c r="G182">
        <v>1.5</v>
      </c>
      <c r="H182">
        <v>-3</v>
      </c>
      <c r="I182" s="42">
        <v>36.5</v>
      </c>
      <c r="L182" t="s">
        <v>110</v>
      </c>
    </row>
    <row r="183" spans="1:12" x14ac:dyDescent="0.2">
      <c r="A183" s="19">
        <v>43429</v>
      </c>
      <c r="B183" s="13" t="s">
        <v>242</v>
      </c>
      <c r="C183" s="17" t="s">
        <v>303</v>
      </c>
      <c r="D183" s="13" t="s">
        <v>305</v>
      </c>
      <c r="E183">
        <v>0</v>
      </c>
      <c r="F183">
        <v>8.5</v>
      </c>
      <c r="G183">
        <v>11.2</v>
      </c>
      <c r="H183">
        <v>13</v>
      </c>
      <c r="I183" s="42">
        <v>42</v>
      </c>
    </row>
    <row r="184" spans="1:12" x14ac:dyDescent="0.2">
      <c r="A184" s="19">
        <v>43429</v>
      </c>
      <c r="B184" s="13" t="s">
        <v>242</v>
      </c>
      <c r="C184" s="17" t="s">
        <v>287</v>
      </c>
      <c r="D184" s="13" t="s">
        <v>285</v>
      </c>
      <c r="E184">
        <v>20.2</v>
      </c>
      <c r="F184">
        <v>18.5</v>
      </c>
      <c r="G184">
        <v>3.4</v>
      </c>
      <c r="H184">
        <v>-14</v>
      </c>
      <c r="I184" s="42">
        <v>43.5</v>
      </c>
      <c r="J184" t="s">
        <v>75</v>
      </c>
    </row>
    <row r="185" spans="1:12" x14ac:dyDescent="0.2">
      <c r="A185" s="19">
        <v>43429</v>
      </c>
      <c r="B185" s="13" t="s">
        <v>242</v>
      </c>
      <c r="C185" t="s">
        <v>293</v>
      </c>
      <c r="D185" s="13" t="s">
        <v>289</v>
      </c>
      <c r="E185">
        <v>1.6</v>
      </c>
      <c r="F185">
        <v>4</v>
      </c>
      <c r="G185">
        <v>4.7</v>
      </c>
      <c r="H185">
        <v>9</v>
      </c>
      <c r="I185" s="42">
        <v>52.5</v>
      </c>
      <c r="J185" t="s">
        <v>75</v>
      </c>
      <c r="K185" s="20" t="s">
        <v>75</v>
      </c>
      <c r="L185" t="s">
        <v>110</v>
      </c>
    </row>
    <row r="186" spans="1:12" x14ac:dyDescent="0.2">
      <c r="A186" s="19">
        <v>43429</v>
      </c>
      <c r="B186" s="13" t="s">
        <v>242</v>
      </c>
      <c r="C186" s="41" t="s">
        <v>312</v>
      </c>
      <c r="D186" s="13" t="s">
        <v>300</v>
      </c>
      <c r="E186">
        <v>29.5</v>
      </c>
      <c r="F186">
        <v>22.9</v>
      </c>
      <c r="G186">
        <v>13.3</v>
      </c>
      <c r="H186">
        <v>-4</v>
      </c>
      <c r="I186" s="42">
        <v>48.5</v>
      </c>
      <c r="J186" t="s">
        <v>75</v>
      </c>
    </row>
    <row r="187" spans="1:12" x14ac:dyDescent="0.2">
      <c r="A187" s="19">
        <v>43429</v>
      </c>
      <c r="B187" s="13" t="s">
        <v>242</v>
      </c>
      <c r="C187" t="s">
        <v>302</v>
      </c>
      <c r="D187" s="13" t="s">
        <v>298</v>
      </c>
      <c r="E187">
        <v>12</v>
      </c>
      <c r="F187">
        <v>18.399999999999999</v>
      </c>
      <c r="G187">
        <v>14.6</v>
      </c>
      <c r="H187">
        <v>-13</v>
      </c>
      <c r="I187" s="42">
        <v>46.5</v>
      </c>
    </row>
    <row r="188" spans="1:12" x14ac:dyDescent="0.2">
      <c r="A188" s="19">
        <v>43429</v>
      </c>
      <c r="B188" s="13" t="s">
        <v>242</v>
      </c>
      <c r="C188" s="41" t="s">
        <v>307</v>
      </c>
      <c r="D188" s="13" t="s">
        <v>295</v>
      </c>
      <c r="E188">
        <v>7.8</v>
      </c>
      <c r="F188">
        <v>7.5</v>
      </c>
      <c r="G188">
        <v>3</v>
      </c>
      <c r="H188">
        <v>-11.5</v>
      </c>
      <c r="I188" s="42">
        <v>61</v>
      </c>
      <c r="J188" t="s">
        <v>75</v>
      </c>
    </row>
    <row r="189" spans="1:12" x14ac:dyDescent="0.2">
      <c r="A189" s="19">
        <v>43429</v>
      </c>
      <c r="B189" s="13" t="s">
        <v>242</v>
      </c>
      <c r="C189" t="s">
        <v>296</v>
      </c>
      <c r="D189" s="13" t="s">
        <v>294</v>
      </c>
      <c r="E189">
        <v>13.5</v>
      </c>
      <c r="F189">
        <v>7.7</v>
      </c>
      <c r="G189">
        <v>11.7</v>
      </c>
      <c r="H189">
        <v>4.5</v>
      </c>
      <c r="I189" s="42">
        <v>49</v>
      </c>
      <c r="K189" s="20" t="s">
        <v>75</v>
      </c>
    </row>
    <row r="190" spans="1:12" x14ac:dyDescent="0.2">
      <c r="A190" s="19">
        <v>43429</v>
      </c>
      <c r="B190" s="13" t="s">
        <v>242</v>
      </c>
      <c r="C190" t="s">
        <v>298</v>
      </c>
      <c r="D190" s="13" t="s">
        <v>302</v>
      </c>
      <c r="E190">
        <v>11.3</v>
      </c>
      <c r="F190">
        <v>18.600000000000001</v>
      </c>
      <c r="G190">
        <v>12.7</v>
      </c>
      <c r="H190">
        <v>13</v>
      </c>
      <c r="I190" s="42">
        <v>46.5</v>
      </c>
    </row>
    <row r="191" spans="1:12" x14ac:dyDescent="0.2">
      <c r="A191" s="19">
        <v>43429</v>
      </c>
      <c r="B191" s="13" t="s">
        <v>242</v>
      </c>
      <c r="C191" t="s">
        <v>294</v>
      </c>
      <c r="D191" s="13" t="s">
        <v>296</v>
      </c>
      <c r="E191">
        <v>6.5</v>
      </c>
      <c r="F191">
        <v>7</v>
      </c>
      <c r="G191">
        <v>22.1</v>
      </c>
      <c r="H191">
        <v>-4.5</v>
      </c>
      <c r="I191" s="42">
        <v>49</v>
      </c>
      <c r="K191" s="20" t="s">
        <v>75</v>
      </c>
    </row>
    <row r="192" spans="1:12" x14ac:dyDescent="0.2">
      <c r="A192" s="19">
        <v>43429</v>
      </c>
      <c r="B192" s="13" t="s">
        <v>242</v>
      </c>
      <c r="C192" t="s">
        <v>309</v>
      </c>
      <c r="D192" s="13" t="s">
        <v>278</v>
      </c>
      <c r="E192">
        <v>15.7</v>
      </c>
      <c r="F192">
        <v>40.9</v>
      </c>
      <c r="G192">
        <v>7.5</v>
      </c>
      <c r="H192">
        <v>-3</v>
      </c>
      <c r="I192" s="42">
        <v>47.5</v>
      </c>
    </row>
    <row r="193" spans="1:12" x14ac:dyDescent="0.2">
      <c r="A193" s="19">
        <v>43429</v>
      </c>
      <c r="B193" s="13" t="s">
        <v>242</v>
      </c>
      <c r="C193" s="41" t="s">
        <v>256</v>
      </c>
      <c r="D193" s="13" t="s">
        <v>284</v>
      </c>
      <c r="E193">
        <v>17.7</v>
      </c>
      <c r="F193">
        <v>4.7</v>
      </c>
      <c r="G193">
        <v>11.8</v>
      </c>
      <c r="H193">
        <v>1.5</v>
      </c>
      <c r="I193" s="42">
        <v>54.5</v>
      </c>
      <c r="J193" t="s">
        <v>75</v>
      </c>
      <c r="L193" t="s">
        <v>109</v>
      </c>
    </row>
    <row r="194" spans="1:12" x14ac:dyDescent="0.2">
      <c r="A194" s="19">
        <v>43429</v>
      </c>
      <c r="B194" s="13" t="s">
        <v>242</v>
      </c>
      <c r="C194" s="41" t="s">
        <v>308</v>
      </c>
      <c r="D194" s="13" t="s">
        <v>301</v>
      </c>
      <c r="E194">
        <v>8.9</v>
      </c>
      <c r="F194">
        <v>24.5</v>
      </c>
      <c r="G194">
        <v>4.2</v>
      </c>
      <c r="H194">
        <v>3</v>
      </c>
      <c r="I194" s="42">
        <v>46.5</v>
      </c>
      <c r="L194" t="s">
        <v>110</v>
      </c>
    </row>
    <row r="195" spans="1:12" x14ac:dyDescent="0.2">
      <c r="A195" s="19">
        <v>43429</v>
      </c>
      <c r="B195" s="13" t="s">
        <v>242</v>
      </c>
      <c r="C195" t="s">
        <v>284</v>
      </c>
      <c r="D195" s="13" t="s">
        <v>256</v>
      </c>
      <c r="E195">
        <v>20.6</v>
      </c>
      <c r="F195">
        <v>13.8</v>
      </c>
      <c r="G195">
        <v>11.6</v>
      </c>
      <c r="H195">
        <v>-1.5</v>
      </c>
      <c r="I195" s="42">
        <v>54.5</v>
      </c>
      <c r="J195" t="s">
        <v>75</v>
      </c>
      <c r="L195" t="s">
        <v>109</v>
      </c>
    </row>
    <row r="196" spans="1:12" x14ac:dyDescent="0.2">
      <c r="A196" s="19">
        <v>43429</v>
      </c>
      <c r="B196" s="13" t="s">
        <v>242</v>
      </c>
      <c r="C196" t="s">
        <v>310</v>
      </c>
      <c r="D196" s="13" t="s">
        <v>311</v>
      </c>
      <c r="E196">
        <v>23.5</v>
      </c>
      <c r="F196">
        <v>0</v>
      </c>
      <c r="G196">
        <v>14.3</v>
      </c>
      <c r="H196">
        <v>3.5</v>
      </c>
      <c r="I196" s="42">
        <v>42.5</v>
      </c>
    </row>
    <row r="197" spans="1:12" x14ac:dyDescent="0.2">
      <c r="A197" s="19">
        <v>43429</v>
      </c>
      <c r="B197" s="13" t="s">
        <v>242</v>
      </c>
      <c r="C197" s="41" t="s">
        <v>306</v>
      </c>
      <c r="D197" s="13" t="s">
        <v>291</v>
      </c>
      <c r="E197">
        <v>12.6</v>
      </c>
      <c r="F197">
        <v>13.6</v>
      </c>
      <c r="G197">
        <v>13.5</v>
      </c>
      <c r="H197">
        <v>7</v>
      </c>
      <c r="I197" s="42">
        <v>40</v>
      </c>
    </row>
    <row r="198" spans="1:12" x14ac:dyDescent="0.2">
      <c r="A198" s="19">
        <v>43436</v>
      </c>
      <c r="B198" s="13" t="s">
        <v>241</v>
      </c>
      <c r="C198" s="41" t="s">
        <v>285</v>
      </c>
      <c r="D198" s="13" t="s">
        <v>300</v>
      </c>
      <c r="E198">
        <v>7.8</v>
      </c>
      <c r="F198">
        <v>10.7</v>
      </c>
      <c r="G198">
        <v>2</v>
      </c>
      <c r="H198">
        <v>13.5</v>
      </c>
      <c r="I198" s="42">
        <v>41</v>
      </c>
      <c r="J198" t="s">
        <v>75</v>
      </c>
    </row>
    <row r="199" spans="1:12" x14ac:dyDescent="0.2">
      <c r="A199" s="19">
        <v>43436</v>
      </c>
      <c r="B199" s="13" t="s">
        <v>241</v>
      </c>
      <c r="C199" t="s">
        <v>295</v>
      </c>
      <c r="D199" s="13" t="s">
        <v>305</v>
      </c>
      <c r="E199">
        <v>3.8</v>
      </c>
      <c r="F199">
        <v>5.2</v>
      </c>
      <c r="G199">
        <v>15.4</v>
      </c>
      <c r="H199">
        <v>-2.5</v>
      </c>
      <c r="I199" s="42">
        <v>46.5</v>
      </c>
    </row>
    <row r="200" spans="1:12" x14ac:dyDescent="0.2">
      <c r="A200" s="19">
        <v>43436</v>
      </c>
      <c r="B200" s="13" t="s">
        <v>241</v>
      </c>
      <c r="C200" t="s">
        <v>305</v>
      </c>
      <c r="D200" s="13" t="s">
        <v>295</v>
      </c>
      <c r="E200">
        <v>6.6</v>
      </c>
      <c r="F200">
        <v>1.8</v>
      </c>
      <c r="G200">
        <v>7.7</v>
      </c>
      <c r="H200">
        <v>2.5</v>
      </c>
      <c r="I200" s="42">
        <v>46.5</v>
      </c>
      <c r="J200" t="s">
        <v>75</v>
      </c>
    </row>
    <row r="201" spans="1:12" x14ac:dyDescent="0.2">
      <c r="A201" s="19">
        <v>43436</v>
      </c>
      <c r="B201" s="13" t="s">
        <v>241</v>
      </c>
      <c r="C201" s="41" t="s">
        <v>276</v>
      </c>
      <c r="D201" s="13" t="s">
        <v>293</v>
      </c>
      <c r="E201">
        <v>24.7</v>
      </c>
      <c r="F201">
        <v>7.6</v>
      </c>
      <c r="G201">
        <v>1.9</v>
      </c>
      <c r="H201">
        <v>3.5</v>
      </c>
      <c r="I201" s="42">
        <v>40</v>
      </c>
      <c r="L201" t="s">
        <v>110</v>
      </c>
    </row>
    <row r="202" spans="1:12" x14ac:dyDescent="0.2">
      <c r="A202" s="19">
        <v>43436</v>
      </c>
      <c r="B202" s="13" t="s">
        <v>241</v>
      </c>
      <c r="C202" s="41" t="s">
        <v>301</v>
      </c>
      <c r="D202" s="13" t="s">
        <v>284</v>
      </c>
      <c r="E202">
        <v>10.5</v>
      </c>
      <c r="F202">
        <v>15.6</v>
      </c>
      <c r="G202">
        <v>9.6</v>
      </c>
      <c r="H202">
        <v>-3.5</v>
      </c>
      <c r="I202" s="42">
        <v>52</v>
      </c>
      <c r="J202" t="s">
        <v>75</v>
      </c>
      <c r="L202" t="s">
        <v>109</v>
      </c>
    </row>
    <row r="203" spans="1:12" x14ac:dyDescent="0.2">
      <c r="A203" s="19">
        <v>43436</v>
      </c>
      <c r="B203" s="13" t="s">
        <v>241</v>
      </c>
      <c r="C203" s="41" t="s">
        <v>265</v>
      </c>
      <c r="D203" s="13" t="s">
        <v>296</v>
      </c>
      <c r="E203">
        <v>12.9</v>
      </c>
      <c r="F203">
        <v>7.1</v>
      </c>
      <c r="G203">
        <v>0</v>
      </c>
      <c r="H203">
        <v>-3</v>
      </c>
      <c r="I203" s="42">
        <v>43.5</v>
      </c>
      <c r="K203" s="20" t="s">
        <v>75</v>
      </c>
    </row>
    <row r="204" spans="1:12" x14ac:dyDescent="0.2">
      <c r="A204" s="19">
        <v>43436</v>
      </c>
      <c r="B204" s="13" t="s">
        <v>241</v>
      </c>
      <c r="C204" s="41" t="s">
        <v>272</v>
      </c>
      <c r="D204" s="13" t="s">
        <v>278</v>
      </c>
      <c r="E204">
        <v>10</v>
      </c>
      <c r="F204">
        <v>15.7</v>
      </c>
      <c r="G204">
        <v>8.3000000000000007</v>
      </c>
      <c r="H204">
        <v>3.5</v>
      </c>
      <c r="I204" s="42">
        <v>45</v>
      </c>
      <c r="L204" t="s">
        <v>109</v>
      </c>
    </row>
    <row r="205" spans="1:12" x14ac:dyDescent="0.2">
      <c r="A205" s="19">
        <v>43436</v>
      </c>
      <c r="B205" s="13" t="s">
        <v>241</v>
      </c>
      <c r="C205" s="41" t="s">
        <v>281</v>
      </c>
      <c r="D205" s="13" t="s">
        <v>311</v>
      </c>
      <c r="E205">
        <v>19.3</v>
      </c>
      <c r="F205">
        <v>10.4</v>
      </c>
      <c r="G205">
        <v>3.8</v>
      </c>
      <c r="H205">
        <v>5</v>
      </c>
      <c r="I205" s="42">
        <v>47.5</v>
      </c>
      <c r="L205" t="s">
        <v>110</v>
      </c>
    </row>
    <row r="206" spans="1:12" x14ac:dyDescent="0.2">
      <c r="A206" s="19">
        <v>43436</v>
      </c>
      <c r="B206" s="13" t="s">
        <v>241</v>
      </c>
      <c r="C206" s="17" t="s">
        <v>291</v>
      </c>
      <c r="D206" s="13" t="s">
        <v>307</v>
      </c>
      <c r="E206">
        <v>14.6</v>
      </c>
      <c r="F206">
        <v>12.6</v>
      </c>
      <c r="G206">
        <v>2.2000000000000002</v>
      </c>
      <c r="H206">
        <v>7</v>
      </c>
      <c r="I206" s="42">
        <v>51.5</v>
      </c>
      <c r="L206" t="s">
        <v>110</v>
      </c>
    </row>
    <row r="207" spans="1:12" x14ac:dyDescent="0.2">
      <c r="A207" s="19">
        <v>43436</v>
      </c>
      <c r="B207" s="13" t="s">
        <v>241</v>
      </c>
      <c r="C207" s="41" t="s">
        <v>278</v>
      </c>
      <c r="D207" s="13" t="s">
        <v>272</v>
      </c>
      <c r="E207">
        <v>5.9</v>
      </c>
      <c r="F207">
        <v>18.5</v>
      </c>
      <c r="G207">
        <v>0</v>
      </c>
      <c r="H207">
        <v>-3.5</v>
      </c>
      <c r="I207" s="42">
        <v>45</v>
      </c>
      <c r="L207" t="s">
        <v>109</v>
      </c>
    </row>
    <row r="208" spans="1:12" x14ac:dyDescent="0.2">
      <c r="A208" s="19">
        <v>43436</v>
      </c>
      <c r="B208" t="s">
        <v>241</v>
      </c>
      <c r="C208" t="s">
        <v>299</v>
      </c>
      <c r="D208" t="s">
        <v>304</v>
      </c>
      <c r="E208">
        <v>8</v>
      </c>
      <c r="F208">
        <v>10.5</v>
      </c>
      <c r="G208">
        <v>13</v>
      </c>
      <c r="H208">
        <v>10.5</v>
      </c>
      <c r="I208" s="42">
        <v>54</v>
      </c>
      <c r="J208" t="s">
        <v>75</v>
      </c>
    </row>
    <row r="209" spans="1:12" x14ac:dyDescent="0.2">
      <c r="A209" s="19">
        <v>43436</v>
      </c>
      <c r="B209" s="13" t="s">
        <v>241</v>
      </c>
      <c r="C209" s="41" t="s">
        <v>300</v>
      </c>
      <c r="D209" s="13" t="s">
        <v>285</v>
      </c>
      <c r="E209">
        <v>23.3</v>
      </c>
      <c r="F209">
        <v>6.8</v>
      </c>
      <c r="G209">
        <v>13</v>
      </c>
      <c r="H209">
        <v>-13.5</v>
      </c>
      <c r="I209" s="42">
        <v>41</v>
      </c>
      <c r="J209" t="s">
        <v>75</v>
      </c>
    </row>
    <row r="210" spans="1:12" x14ac:dyDescent="0.2">
      <c r="A210" s="19">
        <v>43436</v>
      </c>
      <c r="B210" s="13" t="s">
        <v>241</v>
      </c>
      <c r="C210" s="41" t="s">
        <v>311</v>
      </c>
      <c r="D210" s="13" t="s">
        <v>281</v>
      </c>
      <c r="E210">
        <v>16.100000000000001</v>
      </c>
      <c r="F210">
        <v>6.2</v>
      </c>
      <c r="G210">
        <v>12.2</v>
      </c>
      <c r="H210">
        <v>-5</v>
      </c>
      <c r="I210" s="42">
        <v>47.5</v>
      </c>
      <c r="L210" t="s">
        <v>110</v>
      </c>
    </row>
    <row r="211" spans="1:12" x14ac:dyDescent="0.2">
      <c r="A211" s="19">
        <v>43436</v>
      </c>
      <c r="B211" s="13" t="s">
        <v>241</v>
      </c>
      <c r="C211" t="s">
        <v>289</v>
      </c>
      <c r="D211" s="13" t="s">
        <v>297</v>
      </c>
      <c r="E211">
        <v>15.7</v>
      </c>
      <c r="F211">
        <v>3.4</v>
      </c>
      <c r="G211">
        <v>16.2</v>
      </c>
      <c r="H211">
        <v>-4</v>
      </c>
      <c r="I211" s="42">
        <v>45.5</v>
      </c>
      <c r="L211" t="s">
        <v>110</v>
      </c>
    </row>
    <row r="212" spans="1:12" x14ac:dyDescent="0.2">
      <c r="A212" s="19">
        <v>43436</v>
      </c>
      <c r="B212" s="13" t="s">
        <v>241</v>
      </c>
      <c r="C212" s="17" t="s">
        <v>297</v>
      </c>
      <c r="D212" s="13" t="s">
        <v>289</v>
      </c>
      <c r="E212">
        <v>7</v>
      </c>
      <c r="F212">
        <v>5.4</v>
      </c>
      <c r="G212">
        <v>3.9</v>
      </c>
      <c r="H212">
        <v>4</v>
      </c>
      <c r="I212" s="42">
        <v>45.5</v>
      </c>
      <c r="J212" t="s">
        <v>75</v>
      </c>
      <c r="L212" t="s">
        <v>110</v>
      </c>
    </row>
    <row r="213" spans="1:12" x14ac:dyDescent="0.2">
      <c r="A213" s="19">
        <v>43436</v>
      </c>
      <c r="B213" s="13" t="s">
        <v>241</v>
      </c>
      <c r="C213" s="41" t="s">
        <v>288</v>
      </c>
      <c r="D213" s="13" t="s">
        <v>303</v>
      </c>
      <c r="E213">
        <v>6</v>
      </c>
      <c r="F213">
        <v>11.5</v>
      </c>
      <c r="G213">
        <v>42.8</v>
      </c>
      <c r="H213">
        <v>-14</v>
      </c>
      <c r="I213" s="42">
        <v>53.5</v>
      </c>
    </row>
    <row r="214" spans="1:12" x14ac:dyDescent="0.2">
      <c r="A214" s="19">
        <v>43436</v>
      </c>
      <c r="B214" s="13" t="s">
        <v>241</v>
      </c>
      <c r="C214" s="17" t="s">
        <v>303</v>
      </c>
      <c r="D214" s="13" t="s">
        <v>288</v>
      </c>
      <c r="E214">
        <v>19.7</v>
      </c>
      <c r="F214">
        <v>5.5</v>
      </c>
      <c r="G214">
        <v>26</v>
      </c>
      <c r="H214">
        <v>14</v>
      </c>
      <c r="I214" s="42">
        <v>53.5</v>
      </c>
    </row>
    <row r="215" spans="1:12" x14ac:dyDescent="0.2">
      <c r="A215" s="19">
        <v>43436</v>
      </c>
      <c r="B215" s="13" t="s">
        <v>241</v>
      </c>
      <c r="C215" s="17" t="s">
        <v>287</v>
      </c>
      <c r="D215" s="13" t="s">
        <v>309</v>
      </c>
      <c r="E215">
        <v>39.799999999999997</v>
      </c>
      <c r="F215">
        <v>8.1999999999999993</v>
      </c>
      <c r="G215">
        <v>2</v>
      </c>
      <c r="H215">
        <v>3.5</v>
      </c>
      <c r="I215" s="42">
        <v>53.5</v>
      </c>
    </row>
    <row r="216" spans="1:12" x14ac:dyDescent="0.2">
      <c r="A216" s="19">
        <v>43436</v>
      </c>
      <c r="B216" s="13" t="s">
        <v>241</v>
      </c>
      <c r="C216" t="s">
        <v>304</v>
      </c>
      <c r="D216" s="13" t="s">
        <v>299</v>
      </c>
      <c r="E216">
        <v>10.199999999999999</v>
      </c>
      <c r="F216">
        <v>18.8</v>
      </c>
      <c r="G216">
        <v>3.9</v>
      </c>
      <c r="H216">
        <v>-10.5</v>
      </c>
      <c r="I216" s="42">
        <v>54</v>
      </c>
      <c r="J216" t="s">
        <v>75</v>
      </c>
    </row>
    <row r="217" spans="1:12" x14ac:dyDescent="0.2">
      <c r="A217" s="19">
        <v>43436</v>
      </c>
      <c r="B217" s="13" t="s">
        <v>241</v>
      </c>
      <c r="C217" t="s">
        <v>293</v>
      </c>
      <c r="D217" s="13" t="s">
        <v>276</v>
      </c>
      <c r="E217">
        <v>13.7</v>
      </c>
      <c r="F217">
        <v>14.3</v>
      </c>
      <c r="G217">
        <v>1.9</v>
      </c>
      <c r="H217">
        <v>-3.5</v>
      </c>
      <c r="I217" s="42">
        <v>40</v>
      </c>
      <c r="L217" t="s">
        <v>110</v>
      </c>
    </row>
    <row r="218" spans="1:12" x14ac:dyDescent="0.2">
      <c r="A218" s="19">
        <v>43436</v>
      </c>
      <c r="B218" s="13" t="s">
        <v>241</v>
      </c>
      <c r="C218" s="41" t="s">
        <v>312</v>
      </c>
      <c r="D218" s="13" t="s">
        <v>302</v>
      </c>
      <c r="E218">
        <v>13.8</v>
      </c>
      <c r="F218">
        <v>9.9</v>
      </c>
      <c r="G218">
        <v>6.8</v>
      </c>
      <c r="H218">
        <v>6</v>
      </c>
      <c r="I218" s="42">
        <v>50</v>
      </c>
      <c r="L218" t="s">
        <v>109</v>
      </c>
    </row>
    <row r="219" spans="1:12" x14ac:dyDescent="0.2">
      <c r="A219" s="19">
        <v>43436</v>
      </c>
      <c r="B219" s="13" t="s">
        <v>241</v>
      </c>
      <c r="C219" t="s">
        <v>302</v>
      </c>
      <c r="D219" s="13" t="s">
        <v>312</v>
      </c>
      <c r="E219">
        <v>14.8</v>
      </c>
      <c r="F219">
        <v>9</v>
      </c>
      <c r="G219">
        <v>5.6</v>
      </c>
      <c r="H219">
        <v>-6</v>
      </c>
      <c r="I219" s="42">
        <v>50</v>
      </c>
      <c r="L219" t="s">
        <v>109</v>
      </c>
    </row>
    <row r="220" spans="1:12" x14ac:dyDescent="0.2">
      <c r="A220" s="19">
        <v>43436</v>
      </c>
      <c r="B220" s="13" t="s">
        <v>241</v>
      </c>
      <c r="C220" s="41" t="s">
        <v>307</v>
      </c>
      <c r="D220" s="13" t="s">
        <v>291</v>
      </c>
      <c r="E220">
        <v>9</v>
      </c>
      <c r="F220">
        <v>0</v>
      </c>
      <c r="G220">
        <v>4</v>
      </c>
      <c r="H220">
        <v>-7</v>
      </c>
      <c r="I220" s="42">
        <v>51.5</v>
      </c>
      <c r="L220" t="s">
        <v>110</v>
      </c>
    </row>
    <row r="221" spans="1:12" x14ac:dyDescent="0.2">
      <c r="A221" s="19">
        <v>43436</v>
      </c>
      <c r="B221" s="13" t="s">
        <v>241</v>
      </c>
      <c r="C221" t="s">
        <v>296</v>
      </c>
      <c r="D221" s="13" t="s">
        <v>265</v>
      </c>
      <c r="E221">
        <v>18.46</v>
      </c>
      <c r="F221">
        <v>6.8</v>
      </c>
      <c r="G221">
        <v>8.1999999999999993</v>
      </c>
      <c r="H221">
        <v>3</v>
      </c>
      <c r="I221" s="42">
        <v>43.5</v>
      </c>
      <c r="K221" s="20" t="s">
        <v>75</v>
      </c>
    </row>
    <row r="222" spans="1:12" x14ac:dyDescent="0.2">
      <c r="A222" s="19">
        <v>43436</v>
      </c>
      <c r="B222" s="13" t="s">
        <v>241</v>
      </c>
      <c r="C222" s="41" t="s">
        <v>298</v>
      </c>
      <c r="D222" s="13" t="s">
        <v>310</v>
      </c>
      <c r="E222">
        <v>8.8000000000000007</v>
      </c>
      <c r="F222">
        <v>2.9</v>
      </c>
      <c r="G222">
        <v>5.0999999999999996</v>
      </c>
      <c r="H222">
        <v>10.5</v>
      </c>
      <c r="I222" s="42">
        <v>40.5</v>
      </c>
      <c r="J222" t="s">
        <v>75</v>
      </c>
    </row>
    <row r="223" spans="1:12" x14ac:dyDescent="0.2">
      <c r="A223" s="19">
        <v>43436</v>
      </c>
      <c r="B223" s="13" t="s">
        <v>241</v>
      </c>
      <c r="C223" s="41" t="s">
        <v>294</v>
      </c>
      <c r="D223" s="13" t="s">
        <v>306</v>
      </c>
      <c r="E223">
        <v>6.1</v>
      </c>
      <c r="F223">
        <v>23.5</v>
      </c>
      <c r="G223">
        <v>17.3</v>
      </c>
      <c r="H223">
        <v>-5.5</v>
      </c>
      <c r="I223" s="42">
        <v>45.5</v>
      </c>
    </row>
    <row r="224" spans="1:12" x14ac:dyDescent="0.2">
      <c r="A224" s="19">
        <v>43436</v>
      </c>
      <c r="B224" s="13" t="s">
        <v>241</v>
      </c>
      <c r="C224" s="41" t="s">
        <v>309</v>
      </c>
      <c r="D224" s="13" t="s">
        <v>287</v>
      </c>
      <c r="E224">
        <v>34.4</v>
      </c>
      <c r="F224">
        <v>10.9</v>
      </c>
      <c r="G224">
        <v>6.8</v>
      </c>
      <c r="H224">
        <v>-3.5</v>
      </c>
      <c r="I224" s="42">
        <v>53.5</v>
      </c>
    </row>
    <row r="225" spans="1:12" x14ac:dyDescent="0.2">
      <c r="A225" s="19">
        <v>43436</v>
      </c>
      <c r="B225" s="13" t="s">
        <v>241</v>
      </c>
      <c r="C225" s="18" t="s">
        <v>256</v>
      </c>
      <c r="D225" s="13" t="s">
        <v>308</v>
      </c>
      <c r="E225">
        <v>32.700000000000003</v>
      </c>
      <c r="F225">
        <v>10</v>
      </c>
      <c r="G225">
        <v>13</v>
      </c>
      <c r="H225">
        <v>10</v>
      </c>
      <c r="I225" s="42">
        <v>45.5</v>
      </c>
      <c r="J225" t="s">
        <v>75</v>
      </c>
    </row>
    <row r="226" spans="1:12" x14ac:dyDescent="0.2">
      <c r="A226" s="19">
        <v>43436</v>
      </c>
      <c r="B226" s="13" t="s">
        <v>241</v>
      </c>
      <c r="C226" s="18" t="s">
        <v>308</v>
      </c>
      <c r="D226" s="13" t="s">
        <v>256</v>
      </c>
      <c r="E226">
        <v>10.199999999999999</v>
      </c>
      <c r="F226">
        <v>13.2</v>
      </c>
      <c r="G226">
        <v>1.4</v>
      </c>
      <c r="H226">
        <v>-10</v>
      </c>
      <c r="I226" s="42">
        <v>45.5</v>
      </c>
      <c r="J226" t="s">
        <v>75</v>
      </c>
    </row>
    <row r="227" spans="1:12" x14ac:dyDescent="0.2">
      <c r="A227" s="19">
        <v>43436</v>
      </c>
      <c r="B227" s="13" t="s">
        <v>241</v>
      </c>
      <c r="C227" s="18" t="s">
        <v>284</v>
      </c>
      <c r="D227" s="13" t="s">
        <v>301</v>
      </c>
      <c r="E227">
        <v>8.8000000000000007</v>
      </c>
      <c r="F227">
        <v>24.1</v>
      </c>
      <c r="G227">
        <v>6.6</v>
      </c>
      <c r="H227">
        <v>3.5</v>
      </c>
      <c r="I227" s="42">
        <v>52</v>
      </c>
      <c r="L227" t="s">
        <v>109</v>
      </c>
    </row>
    <row r="228" spans="1:12" x14ac:dyDescent="0.2">
      <c r="A228" s="19">
        <v>43436</v>
      </c>
      <c r="B228" s="13" t="s">
        <v>241</v>
      </c>
      <c r="C228" s="18" t="s">
        <v>310</v>
      </c>
      <c r="D228" s="13" t="s">
        <v>298</v>
      </c>
      <c r="E228">
        <v>14.4</v>
      </c>
      <c r="F228">
        <v>16.399999999999999</v>
      </c>
      <c r="G228">
        <v>13.2</v>
      </c>
      <c r="H228">
        <v>-10.5</v>
      </c>
      <c r="I228" s="42">
        <v>40.5</v>
      </c>
    </row>
    <row r="229" spans="1:12" x14ac:dyDescent="0.2">
      <c r="A229" s="19">
        <v>43436</v>
      </c>
      <c r="B229" s="13" t="s">
        <v>241</v>
      </c>
      <c r="C229" s="18" t="s">
        <v>306</v>
      </c>
      <c r="D229" s="13" t="s">
        <v>294</v>
      </c>
      <c r="E229">
        <v>8.1</v>
      </c>
      <c r="F229">
        <v>7.1</v>
      </c>
      <c r="G229">
        <v>6.1</v>
      </c>
      <c r="H229">
        <v>5.5</v>
      </c>
      <c r="I229" s="42">
        <v>45.5</v>
      </c>
    </row>
    <row r="230" spans="1:12" x14ac:dyDescent="0.2">
      <c r="A230" s="19">
        <v>43443</v>
      </c>
      <c r="B230" t="s">
        <v>239</v>
      </c>
      <c r="C230" s="18" t="s">
        <v>285</v>
      </c>
      <c r="D230" t="s">
        <v>299</v>
      </c>
      <c r="E230">
        <v>10.5</v>
      </c>
      <c r="F230">
        <v>9</v>
      </c>
      <c r="G230">
        <v>6.1</v>
      </c>
      <c r="H230">
        <v>2.5</v>
      </c>
      <c r="I230" s="42">
        <v>40</v>
      </c>
      <c r="J230" t="s">
        <v>75</v>
      </c>
      <c r="L230" t="s">
        <v>110</v>
      </c>
    </row>
    <row r="231" spans="1:12" x14ac:dyDescent="0.2">
      <c r="A231" s="19">
        <v>43443</v>
      </c>
      <c r="B231" t="s">
        <v>239</v>
      </c>
      <c r="C231" s="18" t="s">
        <v>295</v>
      </c>
      <c r="D231" t="s">
        <v>300</v>
      </c>
      <c r="E231">
        <v>33.6</v>
      </c>
      <c r="F231">
        <v>2</v>
      </c>
      <c r="G231">
        <v>7.7</v>
      </c>
      <c r="H231">
        <v>4</v>
      </c>
      <c r="I231" s="42">
        <v>51</v>
      </c>
      <c r="J231" t="s">
        <v>75</v>
      </c>
    </row>
    <row r="232" spans="1:12" x14ac:dyDescent="0.2">
      <c r="A232" s="19">
        <v>43443</v>
      </c>
      <c r="B232" t="s">
        <v>239</v>
      </c>
      <c r="C232" s="18" t="s">
        <v>305</v>
      </c>
      <c r="D232" t="s">
        <v>288</v>
      </c>
      <c r="E232">
        <v>11.1</v>
      </c>
      <c r="F232">
        <v>10.3</v>
      </c>
      <c r="G232">
        <v>0</v>
      </c>
      <c r="H232">
        <v>6.5</v>
      </c>
      <c r="I232" s="42">
        <v>48.5</v>
      </c>
      <c r="L232" t="s">
        <v>109</v>
      </c>
    </row>
    <row r="233" spans="1:12" x14ac:dyDescent="0.2">
      <c r="A233" s="19">
        <v>43443</v>
      </c>
      <c r="B233" t="s">
        <v>239</v>
      </c>
      <c r="C233" s="18" t="s">
        <v>276</v>
      </c>
      <c r="D233" t="s">
        <v>298</v>
      </c>
      <c r="E233">
        <v>5.2</v>
      </c>
      <c r="F233">
        <v>20.399999999999999</v>
      </c>
      <c r="G233">
        <v>1.6</v>
      </c>
      <c r="H233">
        <v>-4.5</v>
      </c>
      <c r="I233" s="42">
        <v>37</v>
      </c>
    </row>
    <row r="234" spans="1:12" x14ac:dyDescent="0.2">
      <c r="A234" s="19">
        <v>43443</v>
      </c>
      <c r="B234" t="s">
        <v>239</v>
      </c>
      <c r="C234" s="18" t="s">
        <v>301</v>
      </c>
      <c r="D234" t="s">
        <v>281</v>
      </c>
      <c r="E234">
        <v>11.7</v>
      </c>
      <c r="F234">
        <v>12</v>
      </c>
      <c r="G234">
        <v>16.7</v>
      </c>
      <c r="H234">
        <v>-1</v>
      </c>
      <c r="I234" s="42">
        <v>48</v>
      </c>
    </row>
    <row r="235" spans="1:12" x14ac:dyDescent="0.2">
      <c r="A235" s="19">
        <v>43443</v>
      </c>
      <c r="B235" t="s">
        <v>239</v>
      </c>
      <c r="C235" s="41" t="s">
        <v>265</v>
      </c>
      <c r="D235" t="s">
        <v>304</v>
      </c>
      <c r="E235">
        <v>9.1999999999999993</v>
      </c>
      <c r="F235">
        <v>5.2</v>
      </c>
      <c r="G235">
        <v>4.2</v>
      </c>
      <c r="H235">
        <v>3</v>
      </c>
      <c r="I235" s="42">
        <v>50.5</v>
      </c>
      <c r="J235" t="s">
        <v>75</v>
      </c>
    </row>
    <row r="236" spans="1:12" x14ac:dyDescent="0.2">
      <c r="A236" s="19">
        <v>43443</v>
      </c>
      <c r="B236" t="s">
        <v>239</v>
      </c>
      <c r="C236" s="41" t="s">
        <v>272</v>
      </c>
      <c r="D236" t="s">
        <v>287</v>
      </c>
      <c r="E236">
        <v>8.1999999999999993</v>
      </c>
      <c r="F236">
        <v>9.1</v>
      </c>
      <c r="G236">
        <v>6.7</v>
      </c>
      <c r="H236">
        <v>17</v>
      </c>
      <c r="I236" s="42">
        <v>48.5</v>
      </c>
      <c r="L236" t="s">
        <v>109</v>
      </c>
    </row>
    <row r="237" spans="1:12" x14ac:dyDescent="0.2">
      <c r="A237" s="19">
        <v>43443</v>
      </c>
      <c r="B237" t="s">
        <v>239</v>
      </c>
      <c r="C237" s="41" t="s">
        <v>281</v>
      </c>
      <c r="D237" t="s">
        <v>301</v>
      </c>
      <c r="E237">
        <v>25.1</v>
      </c>
      <c r="F237">
        <v>2.9</v>
      </c>
      <c r="G237">
        <v>6.5</v>
      </c>
      <c r="H237">
        <v>1</v>
      </c>
      <c r="I237" s="42">
        <v>48</v>
      </c>
    </row>
    <row r="238" spans="1:12" x14ac:dyDescent="0.2">
      <c r="A238" s="19">
        <v>43443</v>
      </c>
      <c r="B238" t="s">
        <v>239</v>
      </c>
      <c r="C238" s="17" t="s">
        <v>291</v>
      </c>
      <c r="D238" t="s">
        <v>294</v>
      </c>
      <c r="E238">
        <v>52.7</v>
      </c>
      <c r="F238">
        <v>6.4</v>
      </c>
      <c r="G238">
        <v>12.6</v>
      </c>
      <c r="H238">
        <v>-3</v>
      </c>
      <c r="I238" s="42">
        <v>45</v>
      </c>
    </row>
    <row r="239" spans="1:12" x14ac:dyDescent="0.2">
      <c r="A239" s="19">
        <v>43443</v>
      </c>
      <c r="B239" t="s">
        <v>239</v>
      </c>
      <c r="C239" s="41" t="s">
        <v>278</v>
      </c>
      <c r="D239" t="s">
        <v>256</v>
      </c>
      <c r="E239">
        <v>3.3</v>
      </c>
      <c r="F239">
        <v>17.7</v>
      </c>
      <c r="G239">
        <v>1.3</v>
      </c>
      <c r="H239">
        <v>-3</v>
      </c>
      <c r="I239" s="42">
        <v>45.5</v>
      </c>
      <c r="J239" t="s">
        <v>75</v>
      </c>
      <c r="L239" t="s">
        <v>109</v>
      </c>
    </row>
    <row r="240" spans="1:12" x14ac:dyDescent="0.2">
      <c r="A240" s="19">
        <v>43443</v>
      </c>
      <c r="B240" t="s">
        <v>239</v>
      </c>
      <c r="C240" s="41" t="s">
        <v>299</v>
      </c>
      <c r="D240" t="s">
        <v>285</v>
      </c>
      <c r="E240">
        <v>2.5</v>
      </c>
      <c r="F240">
        <v>5.7</v>
      </c>
      <c r="G240">
        <v>4.5999999999999996</v>
      </c>
      <c r="H240">
        <v>-2.5</v>
      </c>
      <c r="I240" s="42">
        <v>40</v>
      </c>
      <c r="J240" t="s">
        <v>75</v>
      </c>
      <c r="L240" t="s">
        <v>110</v>
      </c>
    </row>
    <row r="241" spans="1:12" x14ac:dyDescent="0.2">
      <c r="A241" s="19">
        <v>43443</v>
      </c>
      <c r="B241" t="s">
        <v>239</v>
      </c>
      <c r="C241" s="41" t="s">
        <v>300</v>
      </c>
      <c r="D241" t="s">
        <v>295</v>
      </c>
      <c r="E241">
        <v>21.1</v>
      </c>
      <c r="F241">
        <v>15.3</v>
      </c>
      <c r="G241">
        <v>3.3</v>
      </c>
      <c r="H241">
        <v>-4</v>
      </c>
      <c r="I241" s="42">
        <v>51</v>
      </c>
      <c r="J241" t="s">
        <v>75</v>
      </c>
    </row>
    <row r="242" spans="1:12" x14ac:dyDescent="0.2">
      <c r="A242" s="19">
        <v>43443</v>
      </c>
      <c r="B242" t="s">
        <v>239</v>
      </c>
      <c r="C242" t="s">
        <v>311</v>
      </c>
      <c r="D242" t="s">
        <v>289</v>
      </c>
      <c r="E242">
        <v>13.6</v>
      </c>
      <c r="F242">
        <v>8.8000000000000007</v>
      </c>
      <c r="G242">
        <v>13</v>
      </c>
      <c r="H242">
        <v>-4</v>
      </c>
      <c r="I242" s="42">
        <v>49.5</v>
      </c>
      <c r="J242" t="s">
        <v>75</v>
      </c>
      <c r="L242" t="s">
        <v>110</v>
      </c>
    </row>
    <row r="243" spans="1:12" x14ac:dyDescent="0.2">
      <c r="A243" s="19">
        <v>43443</v>
      </c>
      <c r="B243" t="s">
        <v>239</v>
      </c>
      <c r="C243" t="s">
        <v>289</v>
      </c>
      <c r="D243" t="s">
        <v>311</v>
      </c>
      <c r="E243">
        <v>31.9</v>
      </c>
      <c r="F243">
        <v>8.6</v>
      </c>
      <c r="G243">
        <v>16.5</v>
      </c>
      <c r="H243">
        <v>4</v>
      </c>
      <c r="I243" s="42">
        <v>49.5</v>
      </c>
      <c r="L243" t="s">
        <v>110</v>
      </c>
    </row>
    <row r="244" spans="1:12" x14ac:dyDescent="0.2">
      <c r="A244" s="19">
        <v>43443</v>
      </c>
      <c r="B244" t="s">
        <v>239</v>
      </c>
      <c r="C244" s="17" t="s">
        <v>297</v>
      </c>
      <c r="D244" t="s">
        <v>310</v>
      </c>
      <c r="E244">
        <v>9.6999999999999993</v>
      </c>
      <c r="F244">
        <v>21.8</v>
      </c>
      <c r="G244">
        <v>4.2</v>
      </c>
      <c r="H244">
        <v>5.5</v>
      </c>
      <c r="I244" s="42">
        <v>36.5</v>
      </c>
      <c r="J244" t="s">
        <v>75</v>
      </c>
    </row>
    <row r="245" spans="1:12" x14ac:dyDescent="0.2">
      <c r="A245" s="19">
        <v>43443</v>
      </c>
      <c r="B245" t="s">
        <v>239</v>
      </c>
      <c r="C245" s="41" t="s">
        <v>288</v>
      </c>
      <c r="D245" t="s">
        <v>305</v>
      </c>
      <c r="E245">
        <v>25.5</v>
      </c>
      <c r="F245">
        <v>3.3</v>
      </c>
      <c r="G245">
        <v>20.7</v>
      </c>
      <c r="H245">
        <v>-6.5</v>
      </c>
      <c r="I245" s="42">
        <v>48.5</v>
      </c>
      <c r="L245" t="s">
        <v>109</v>
      </c>
    </row>
    <row r="246" spans="1:12" x14ac:dyDescent="0.2">
      <c r="A246" s="19">
        <v>43443</v>
      </c>
      <c r="B246" t="s">
        <v>239</v>
      </c>
      <c r="C246" s="17" t="s">
        <v>303</v>
      </c>
      <c r="D246" t="s">
        <v>309</v>
      </c>
      <c r="E246">
        <v>10.8</v>
      </c>
      <c r="F246">
        <v>12.6</v>
      </c>
      <c r="G246">
        <v>21.6</v>
      </c>
      <c r="H246">
        <v>10.5</v>
      </c>
      <c r="I246" s="42">
        <v>51</v>
      </c>
    </row>
    <row r="247" spans="1:12" x14ac:dyDescent="0.2">
      <c r="A247" s="19">
        <v>43443</v>
      </c>
      <c r="B247" t="s">
        <v>239</v>
      </c>
      <c r="C247" s="17" t="s">
        <v>287</v>
      </c>
      <c r="D247" t="s">
        <v>272</v>
      </c>
      <c r="E247">
        <v>18.8</v>
      </c>
      <c r="F247">
        <v>7.5</v>
      </c>
      <c r="G247">
        <v>3.9</v>
      </c>
      <c r="H247">
        <v>-17</v>
      </c>
      <c r="I247" s="42">
        <v>48.5</v>
      </c>
      <c r="L247" t="s">
        <v>109</v>
      </c>
    </row>
    <row r="248" spans="1:12" x14ac:dyDescent="0.2">
      <c r="A248" s="19">
        <v>43443</v>
      </c>
      <c r="B248" t="s">
        <v>239</v>
      </c>
      <c r="C248" t="s">
        <v>304</v>
      </c>
      <c r="D248" t="s">
        <v>265</v>
      </c>
      <c r="E248">
        <v>5.2</v>
      </c>
      <c r="F248">
        <v>13.1</v>
      </c>
      <c r="G248">
        <v>6.9</v>
      </c>
      <c r="H248">
        <v>-3</v>
      </c>
      <c r="I248" s="42">
        <v>50.5</v>
      </c>
    </row>
    <row r="249" spans="1:12" x14ac:dyDescent="0.2">
      <c r="A249" s="19">
        <v>43443</v>
      </c>
      <c r="B249" t="s">
        <v>239</v>
      </c>
      <c r="C249" t="s">
        <v>293</v>
      </c>
      <c r="D249" t="s">
        <v>302</v>
      </c>
      <c r="E249">
        <v>30.5</v>
      </c>
      <c r="F249">
        <v>2.8</v>
      </c>
      <c r="G249">
        <v>0</v>
      </c>
      <c r="H249">
        <v>8.5</v>
      </c>
      <c r="I249" s="42">
        <v>49.5</v>
      </c>
      <c r="K249" s="20" t="s">
        <v>75</v>
      </c>
    </row>
    <row r="250" spans="1:12" x14ac:dyDescent="0.2">
      <c r="A250" s="19">
        <v>43443</v>
      </c>
      <c r="B250" t="s">
        <v>239</v>
      </c>
      <c r="C250" t="s">
        <v>312</v>
      </c>
      <c r="D250" t="s">
        <v>308</v>
      </c>
      <c r="E250">
        <v>12.8</v>
      </c>
      <c r="F250">
        <v>12.1</v>
      </c>
      <c r="G250">
        <v>2.7</v>
      </c>
      <c r="H250">
        <v>3</v>
      </c>
      <c r="I250" s="42">
        <v>45.5</v>
      </c>
      <c r="J250" t="s">
        <v>75</v>
      </c>
    </row>
    <row r="251" spans="1:12" x14ac:dyDescent="0.2">
      <c r="A251" s="19">
        <v>43443</v>
      </c>
      <c r="B251" t="s">
        <v>239</v>
      </c>
      <c r="C251" t="s">
        <v>302</v>
      </c>
      <c r="D251" t="s">
        <v>293</v>
      </c>
      <c r="E251">
        <v>23.6</v>
      </c>
      <c r="F251">
        <v>14.6</v>
      </c>
      <c r="G251">
        <v>27.7</v>
      </c>
      <c r="H251">
        <v>-8.5</v>
      </c>
      <c r="I251" s="42">
        <v>49.5</v>
      </c>
      <c r="K251" s="20" t="s">
        <v>75</v>
      </c>
    </row>
    <row r="252" spans="1:12" x14ac:dyDescent="0.2">
      <c r="A252" s="19">
        <v>43443</v>
      </c>
      <c r="B252" t="s">
        <v>239</v>
      </c>
      <c r="C252" s="41" t="s">
        <v>307</v>
      </c>
      <c r="D252" t="s">
        <v>284</v>
      </c>
      <c r="E252">
        <v>20.8</v>
      </c>
      <c r="F252">
        <v>0</v>
      </c>
      <c r="G252">
        <v>5.4</v>
      </c>
      <c r="H252" s="20">
        <v>-8.5</v>
      </c>
      <c r="I252" s="20">
        <v>55</v>
      </c>
      <c r="J252" t="s">
        <v>75</v>
      </c>
      <c r="L252" t="s">
        <v>110</v>
      </c>
    </row>
    <row r="253" spans="1:12" x14ac:dyDescent="0.2">
      <c r="A253" s="19">
        <v>43443</v>
      </c>
      <c r="B253" t="s">
        <v>239</v>
      </c>
      <c r="C253" t="s">
        <v>296</v>
      </c>
      <c r="D253" t="s">
        <v>306</v>
      </c>
      <c r="F253">
        <v>8.1</v>
      </c>
      <c r="G253">
        <v>10.7</v>
      </c>
      <c r="H253">
        <v>-3</v>
      </c>
      <c r="I253" s="42">
        <v>40.5</v>
      </c>
    </row>
    <row r="254" spans="1:12" x14ac:dyDescent="0.2">
      <c r="A254" s="19">
        <v>43443</v>
      </c>
      <c r="B254" t="s">
        <v>239</v>
      </c>
      <c r="C254" s="41" t="s">
        <v>298</v>
      </c>
      <c r="D254" t="s">
        <v>276</v>
      </c>
      <c r="E254">
        <v>17.600000000000001</v>
      </c>
      <c r="F254">
        <v>5.2</v>
      </c>
      <c r="G254">
        <v>2.4</v>
      </c>
      <c r="H254">
        <v>4.5</v>
      </c>
      <c r="I254" s="42">
        <v>37</v>
      </c>
    </row>
    <row r="255" spans="1:12" x14ac:dyDescent="0.2">
      <c r="A255" s="19">
        <v>43443</v>
      </c>
      <c r="B255" t="s">
        <v>239</v>
      </c>
      <c r="C255" s="41" t="s">
        <v>294</v>
      </c>
      <c r="D255" t="s">
        <v>291</v>
      </c>
      <c r="E255">
        <v>17</v>
      </c>
      <c r="F255">
        <v>1.7</v>
      </c>
      <c r="G255">
        <v>8.8000000000000007</v>
      </c>
      <c r="H255">
        <v>3</v>
      </c>
      <c r="I255" s="42">
        <v>45</v>
      </c>
    </row>
    <row r="256" spans="1:12" x14ac:dyDescent="0.2">
      <c r="A256" s="19">
        <v>43443</v>
      </c>
      <c r="B256" t="s">
        <v>239</v>
      </c>
      <c r="C256" s="41" t="s">
        <v>309</v>
      </c>
      <c r="D256" t="s">
        <v>303</v>
      </c>
      <c r="E256">
        <v>8.5</v>
      </c>
      <c r="F256">
        <v>36</v>
      </c>
      <c r="G256">
        <v>7.7</v>
      </c>
      <c r="H256">
        <v>-10.5</v>
      </c>
      <c r="I256" s="42">
        <v>51</v>
      </c>
    </row>
    <row r="257" spans="1:12" x14ac:dyDescent="0.2">
      <c r="A257" s="19">
        <v>43443</v>
      </c>
      <c r="B257" t="s">
        <v>239</v>
      </c>
      <c r="C257" s="41" t="s">
        <v>256</v>
      </c>
      <c r="D257" t="s">
        <v>278</v>
      </c>
      <c r="E257">
        <v>4</v>
      </c>
      <c r="F257">
        <v>13.9</v>
      </c>
      <c r="G257">
        <v>37</v>
      </c>
      <c r="H257">
        <v>3</v>
      </c>
      <c r="I257" s="42">
        <v>45.5</v>
      </c>
      <c r="J257" t="s">
        <v>75</v>
      </c>
      <c r="L257" t="s">
        <v>109</v>
      </c>
    </row>
    <row r="258" spans="1:12" x14ac:dyDescent="0.2">
      <c r="A258" s="19">
        <v>43443</v>
      </c>
      <c r="B258" t="s">
        <v>239</v>
      </c>
      <c r="C258" t="s">
        <v>308</v>
      </c>
      <c r="D258" t="s">
        <v>312</v>
      </c>
      <c r="E258">
        <v>10.9</v>
      </c>
      <c r="F258">
        <v>1</v>
      </c>
      <c r="G258">
        <v>2.2000000000000002</v>
      </c>
      <c r="H258">
        <v>-3</v>
      </c>
      <c r="I258" s="42">
        <v>45.5</v>
      </c>
    </row>
    <row r="259" spans="1:12" x14ac:dyDescent="0.2">
      <c r="A259" s="19">
        <v>43443</v>
      </c>
      <c r="B259" t="s">
        <v>239</v>
      </c>
      <c r="C259" s="41" t="s">
        <v>284</v>
      </c>
      <c r="D259" t="s">
        <v>307</v>
      </c>
      <c r="E259">
        <v>12</v>
      </c>
      <c r="F259">
        <v>5</v>
      </c>
      <c r="G259">
        <v>15.2</v>
      </c>
      <c r="H259">
        <v>8.5</v>
      </c>
      <c r="I259" s="42">
        <v>55</v>
      </c>
      <c r="L259" t="s">
        <v>110</v>
      </c>
    </row>
    <row r="260" spans="1:12" x14ac:dyDescent="0.2">
      <c r="A260" s="19">
        <v>43443</v>
      </c>
      <c r="B260" t="s">
        <v>239</v>
      </c>
      <c r="C260" t="s">
        <v>310</v>
      </c>
      <c r="D260" t="s">
        <v>297</v>
      </c>
      <c r="E260">
        <v>4.0999999999999996</v>
      </c>
      <c r="F260">
        <v>11.9</v>
      </c>
      <c r="G260">
        <v>0</v>
      </c>
      <c r="H260">
        <v>-5.5</v>
      </c>
      <c r="I260" s="42">
        <v>36.5</v>
      </c>
    </row>
    <row r="261" spans="1:12" x14ac:dyDescent="0.2">
      <c r="A261" s="19">
        <v>43443</v>
      </c>
      <c r="B261" t="s">
        <v>239</v>
      </c>
      <c r="C261" t="s">
        <v>306</v>
      </c>
      <c r="D261" t="s">
        <v>296</v>
      </c>
      <c r="E261">
        <v>12.4</v>
      </c>
      <c r="F261">
        <v>16.7</v>
      </c>
      <c r="G261">
        <v>0</v>
      </c>
      <c r="H261">
        <v>3</v>
      </c>
      <c r="I261" s="42">
        <v>40.5</v>
      </c>
    </row>
    <row r="262" spans="1:12" x14ac:dyDescent="0.2">
      <c r="A262" s="19">
        <v>43450</v>
      </c>
      <c r="B262" t="s">
        <v>237</v>
      </c>
      <c r="C262" t="s">
        <v>285</v>
      </c>
      <c r="D262" t="s">
        <v>295</v>
      </c>
      <c r="E262">
        <v>15.2</v>
      </c>
      <c r="F262">
        <v>10.5</v>
      </c>
      <c r="G262">
        <v>5.2</v>
      </c>
      <c r="H262">
        <v>10</v>
      </c>
      <c r="I262" s="42">
        <v>43.5</v>
      </c>
      <c r="J262" t="s">
        <v>75</v>
      </c>
      <c r="L262" t="s">
        <v>110</v>
      </c>
    </row>
    <row r="263" spans="1:12" x14ac:dyDescent="0.2">
      <c r="A263" s="19">
        <v>43450</v>
      </c>
      <c r="B263" t="s">
        <v>237</v>
      </c>
      <c r="C263" s="41" t="s">
        <v>295</v>
      </c>
      <c r="D263" t="s">
        <v>285</v>
      </c>
      <c r="E263">
        <v>20.2</v>
      </c>
      <c r="F263">
        <v>9.1999999999999993</v>
      </c>
      <c r="G263">
        <v>0</v>
      </c>
      <c r="H263">
        <v>-10</v>
      </c>
      <c r="I263" s="42">
        <v>43.5</v>
      </c>
      <c r="J263" t="s">
        <v>75</v>
      </c>
      <c r="L263" t="s">
        <v>110</v>
      </c>
    </row>
    <row r="264" spans="1:12" x14ac:dyDescent="0.2">
      <c r="A264" s="19">
        <v>43450</v>
      </c>
      <c r="B264" t="s">
        <v>237</v>
      </c>
      <c r="C264" t="s">
        <v>305</v>
      </c>
      <c r="D264" t="s">
        <v>284</v>
      </c>
      <c r="E264">
        <v>10.8</v>
      </c>
      <c r="F264">
        <v>0</v>
      </c>
      <c r="G264">
        <v>5.0999999999999996</v>
      </c>
      <c r="H264">
        <v>-8.5</v>
      </c>
      <c r="I264" s="42">
        <v>44.5</v>
      </c>
      <c r="J264" t="s">
        <v>75</v>
      </c>
    </row>
    <row r="265" spans="1:12" x14ac:dyDescent="0.2">
      <c r="A265" s="19">
        <v>43450</v>
      </c>
      <c r="B265" t="s">
        <v>237</v>
      </c>
      <c r="C265" t="s">
        <v>276</v>
      </c>
      <c r="D265" t="s">
        <v>299</v>
      </c>
      <c r="E265">
        <v>2.1</v>
      </c>
      <c r="F265">
        <v>23.8</v>
      </c>
      <c r="G265">
        <v>0</v>
      </c>
      <c r="H265">
        <v>-2.5</v>
      </c>
      <c r="I265" s="42">
        <v>40</v>
      </c>
      <c r="J265" t="s">
        <v>75</v>
      </c>
    </row>
    <row r="266" spans="1:12" x14ac:dyDescent="0.2">
      <c r="A266" s="19">
        <v>43450</v>
      </c>
      <c r="B266" t="s">
        <v>237</v>
      </c>
      <c r="C266" s="41" t="s">
        <v>301</v>
      </c>
      <c r="D266" t="s">
        <v>307</v>
      </c>
      <c r="E266">
        <v>4.4000000000000004</v>
      </c>
      <c r="F266">
        <v>3.5</v>
      </c>
      <c r="G266">
        <v>3.4</v>
      </c>
      <c r="H266">
        <v>6</v>
      </c>
      <c r="I266" s="42">
        <v>50.5</v>
      </c>
      <c r="L266" t="s">
        <v>110</v>
      </c>
    </row>
    <row r="267" spans="1:12" x14ac:dyDescent="0.2">
      <c r="A267" s="19">
        <v>43450</v>
      </c>
      <c r="B267" t="s">
        <v>237</v>
      </c>
      <c r="C267" s="41" t="s">
        <v>265</v>
      </c>
      <c r="D267" t="s">
        <v>300</v>
      </c>
      <c r="E267">
        <v>8.4</v>
      </c>
      <c r="F267">
        <v>6.3</v>
      </c>
      <c r="G267">
        <v>13.6</v>
      </c>
      <c r="H267">
        <v>-6</v>
      </c>
      <c r="I267" s="42">
        <v>46.5</v>
      </c>
      <c r="J267" t="s">
        <v>75</v>
      </c>
    </row>
    <row r="268" spans="1:12" x14ac:dyDescent="0.2">
      <c r="A268" s="19">
        <v>43450</v>
      </c>
      <c r="B268" t="s">
        <v>237</v>
      </c>
      <c r="C268" s="41" t="s">
        <v>272</v>
      </c>
      <c r="D268" t="s">
        <v>303</v>
      </c>
      <c r="E268">
        <v>13.8</v>
      </c>
      <c r="F268">
        <v>1.9</v>
      </c>
      <c r="G268">
        <v>3.7</v>
      </c>
      <c r="H268">
        <v>-3</v>
      </c>
      <c r="I268" s="42">
        <v>46</v>
      </c>
    </row>
    <row r="269" spans="1:12" x14ac:dyDescent="0.2">
      <c r="A269" s="19">
        <v>43450</v>
      </c>
      <c r="B269" t="s">
        <v>237</v>
      </c>
      <c r="C269" t="s">
        <v>281</v>
      </c>
      <c r="D269" t="s">
        <v>278</v>
      </c>
      <c r="E269">
        <v>6.7</v>
      </c>
      <c r="F269">
        <v>14.5</v>
      </c>
      <c r="G269">
        <v>6</v>
      </c>
      <c r="H269">
        <v>1</v>
      </c>
      <c r="I269" s="42">
        <v>47</v>
      </c>
      <c r="J269" t="s">
        <v>75</v>
      </c>
    </row>
    <row r="270" spans="1:12" x14ac:dyDescent="0.2">
      <c r="A270" s="19">
        <v>43450</v>
      </c>
      <c r="B270" t="s">
        <v>237</v>
      </c>
      <c r="C270" s="17" t="s">
        <v>291</v>
      </c>
      <c r="D270" t="s">
        <v>289</v>
      </c>
      <c r="E270">
        <v>8.3000000000000007</v>
      </c>
      <c r="F270">
        <v>8.1999999999999993</v>
      </c>
      <c r="G270">
        <v>8.5</v>
      </c>
      <c r="H270">
        <v>3</v>
      </c>
      <c r="I270" s="42">
        <v>47</v>
      </c>
      <c r="J270" t="s">
        <v>75</v>
      </c>
      <c r="L270" t="s">
        <v>109</v>
      </c>
    </row>
    <row r="271" spans="1:12" x14ac:dyDescent="0.2">
      <c r="A271" s="19">
        <v>43450</v>
      </c>
      <c r="B271" t="s">
        <v>237</v>
      </c>
      <c r="C271" t="s">
        <v>278</v>
      </c>
      <c r="D271" t="s">
        <v>281</v>
      </c>
      <c r="E271">
        <v>11.6</v>
      </c>
      <c r="F271">
        <v>9.1999999999999993</v>
      </c>
      <c r="G271">
        <v>8.3000000000000007</v>
      </c>
      <c r="H271">
        <v>-1</v>
      </c>
      <c r="I271" s="42">
        <v>47</v>
      </c>
    </row>
    <row r="272" spans="1:12" x14ac:dyDescent="0.2">
      <c r="A272" s="19">
        <v>43450</v>
      </c>
      <c r="B272" t="s">
        <v>237</v>
      </c>
      <c r="C272" s="41" t="s">
        <v>299</v>
      </c>
      <c r="D272" t="s">
        <v>276</v>
      </c>
      <c r="E272">
        <v>24.6</v>
      </c>
      <c r="F272">
        <v>1.5</v>
      </c>
      <c r="G272">
        <v>6.8</v>
      </c>
      <c r="H272">
        <v>2.5</v>
      </c>
      <c r="I272" s="42">
        <v>40</v>
      </c>
    </row>
    <row r="273" spans="1:12" x14ac:dyDescent="0.2">
      <c r="A273" s="19">
        <v>43450</v>
      </c>
      <c r="B273" t="s">
        <v>237</v>
      </c>
      <c r="C273" s="41" t="s">
        <v>300</v>
      </c>
      <c r="D273" t="s">
        <v>265</v>
      </c>
      <c r="E273">
        <v>24.9</v>
      </c>
      <c r="F273">
        <v>6</v>
      </c>
      <c r="G273">
        <v>6.2</v>
      </c>
      <c r="H273">
        <v>6</v>
      </c>
      <c r="I273" s="42">
        <v>46.5</v>
      </c>
    </row>
    <row r="274" spans="1:12" x14ac:dyDescent="0.2">
      <c r="A274" s="19">
        <v>43450</v>
      </c>
      <c r="B274" t="s">
        <v>237</v>
      </c>
      <c r="C274" t="s">
        <v>311</v>
      </c>
      <c r="D274" t="s">
        <v>298</v>
      </c>
      <c r="E274">
        <v>42</v>
      </c>
      <c r="F274">
        <v>11.9</v>
      </c>
      <c r="G274">
        <v>0.9</v>
      </c>
      <c r="H274">
        <v>-7</v>
      </c>
      <c r="I274" s="42">
        <v>44</v>
      </c>
    </row>
    <row r="275" spans="1:12" x14ac:dyDescent="0.2">
      <c r="A275" s="19">
        <v>43450</v>
      </c>
      <c r="B275" t="s">
        <v>237</v>
      </c>
      <c r="C275" s="41" t="s">
        <v>289</v>
      </c>
      <c r="D275" t="s">
        <v>291</v>
      </c>
      <c r="E275">
        <v>13.5</v>
      </c>
      <c r="F275">
        <v>2</v>
      </c>
      <c r="G275">
        <v>1.8</v>
      </c>
      <c r="H275">
        <v>-3</v>
      </c>
      <c r="I275" s="42">
        <v>47</v>
      </c>
      <c r="L275" t="s">
        <v>109</v>
      </c>
    </row>
    <row r="276" spans="1:12" x14ac:dyDescent="0.2">
      <c r="A276" s="19">
        <v>43450</v>
      </c>
      <c r="B276" t="s">
        <v>237</v>
      </c>
      <c r="C276" s="17" t="s">
        <v>297</v>
      </c>
      <c r="D276" t="s">
        <v>306</v>
      </c>
      <c r="E276">
        <v>13.1</v>
      </c>
      <c r="F276">
        <v>0</v>
      </c>
      <c r="G276">
        <v>1.7</v>
      </c>
      <c r="H276">
        <v>-7.5</v>
      </c>
      <c r="I276" s="42">
        <v>36</v>
      </c>
    </row>
    <row r="277" spans="1:12" x14ac:dyDescent="0.2">
      <c r="A277" s="19">
        <v>43450</v>
      </c>
      <c r="B277" t="s">
        <v>237</v>
      </c>
      <c r="C277" t="s">
        <v>288</v>
      </c>
      <c r="D277" t="s">
        <v>287</v>
      </c>
      <c r="E277">
        <v>8.1</v>
      </c>
      <c r="F277">
        <v>3.9</v>
      </c>
      <c r="G277">
        <v>13.1</v>
      </c>
      <c r="H277">
        <v>-3.5</v>
      </c>
      <c r="I277" s="42">
        <v>54.5</v>
      </c>
      <c r="L277" t="s">
        <v>109</v>
      </c>
    </row>
    <row r="278" spans="1:12" x14ac:dyDescent="0.2">
      <c r="A278" s="19">
        <v>43450</v>
      </c>
      <c r="B278" t="s">
        <v>237</v>
      </c>
      <c r="C278" s="17" t="s">
        <v>303</v>
      </c>
      <c r="D278" t="s">
        <v>272</v>
      </c>
      <c r="E278">
        <v>14.8</v>
      </c>
      <c r="F278">
        <v>5.7</v>
      </c>
      <c r="G278">
        <v>4.3</v>
      </c>
      <c r="H278">
        <v>3</v>
      </c>
      <c r="I278" s="42">
        <v>46</v>
      </c>
    </row>
    <row r="279" spans="1:12" x14ac:dyDescent="0.2">
      <c r="A279" s="19">
        <v>43450</v>
      </c>
      <c r="B279" t="s">
        <v>237</v>
      </c>
      <c r="C279" s="17" t="s">
        <v>287</v>
      </c>
      <c r="D279" t="s">
        <v>288</v>
      </c>
      <c r="F279">
        <v>36.5</v>
      </c>
      <c r="G279">
        <v>9.4</v>
      </c>
      <c r="H279">
        <v>3.5</v>
      </c>
      <c r="I279" s="42">
        <v>54.5</v>
      </c>
      <c r="L279" t="s">
        <v>109</v>
      </c>
    </row>
    <row r="280" spans="1:12" x14ac:dyDescent="0.2">
      <c r="A280" s="19">
        <v>43450</v>
      </c>
      <c r="B280" t="s">
        <v>237</v>
      </c>
      <c r="C280" s="41" t="s">
        <v>304</v>
      </c>
      <c r="D280" t="s">
        <v>294</v>
      </c>
      <c r="E280">
        <v>16.3</v>
      </c>
      <c r="F280">
        <v>11.9</v>
      </c>
      <c r="G280">
        <v>9.6</v>
      </c>
      <c r="H280">
        <v>-13.5</v>
      </c>
      <c r="I280" s="42">
        <v>52.5</v>
      </c>
    </row>
    <row r="281" spans="1:12" x14ac:dyDescent="0.2">
      <c r="A281" s="19">
        <v>43450</v>
      </c>
      <c r="B281" t="s">
        <v>237</v>
      </c>
      <c r="C281" t="s">
        <v>293</v>
      </c>
      <c r="D281" t="s">
        <v>312</v>
      </c>
      <c r="E281">
        <v>2.7</v>
      </c>
      <c r="F281">
        <v>6</v>
      </c>
      <c r="G281">
        <v>4.3</v>
      </c>
      <c r="H281">
        <v>7.5</v>
      </c>
      <c r="I281" s="42">
        <v>45</v>
      </c>
      <c r="L281" t="s">
        <v>110</v>
      </c>
    </row>
    <row r="282" spans="1:12" x14ac:dyDescent="0.2">
      <c r="A282" s="19">
        <v>43450</v>
      </c>
      <c r="B282" t="s">
        <v>237</v>
      </c>
      <c r="C282" t="s">
        <v>312</v>
      </c>
      <c r="D282" t="s">
        <v>293</v>
      </c>
      <c r="E282">
        <v>3.9</v>
      </c>
      <c r="F282">
        <v>15.8</v>
      </c>
      <c r="G282">
        <v>5.3</v>
      </c>
      <c r="H282">
        <v>-7.5</v>
      </c>
      <c r="I282" s="42">
        <v>45</v>
      </c>
      <c r="L282" t="s">
        <v>110</v>
      </c>
    </row>
    <row r="283" spans="1:12" x14ac:dyDescent="0.2">
      <c r="A283" s="19">
        <v>43450</v>
      </c>
      <c r="B283" t="s">
        <v>237</v>
      </c>
      <c r="C283" s="41" t="s">
        <v>302</v>
      </c>
      <c r="D283" t="s">
        <v>309</v>
      </c>
      <c r="E283">
        <v>16</v>
      </c>
      <c r="F283">
        <v>2.9</v>
      </c>
      <c r="G283">
        <v>4.0999999999999996</v>
      </c>
      <c r="H283">
        <v>-2.5</v>
      </c>
      <c r="I283" s="42">
        <v>55</v>
      </c>
      <c r="L283" t="s">
        <v>109</v>
      </c>
    </row>
    <row r="284" spans="1:12" x14ac:dyDescent="0.2">
      <c r="A284" s="19">
        <v>43450</v>
      </c>
      <c r="B284" t="s">
        <v>237</v>
      </c>
      <c r="C284" s="41" t="s">
        <v>307</v>
      </c>
      <c r="D284" t="s">
        <v>301</v>
      </c>
      <c r="E284">
        <v>11.9</v>
      </c>
      <c r="F284">
        <v>3.5</v>
      </c>
      <c r="G284">
        <v>3.8</v>
      </c>
      <c r="H284">
        <v>-6</v>
      </c>
      <c r="I284" s="42">
        <v>50.5</v>
      </c>
      <c r="L284" t="s">
        <v>110</v>
      </c>
    </row>
    <row r="285" spans="1:12" x14ac:dyDescent="0.2">
      <c r="A285" s="19">
        <v>43450</v>
      </c>
      <c r="B285" t="s">
        <v>237</v>
      </c>
      <c r="C285" s="41" t="s">
        <v>296</v>
      </c>
      <c r="D285" t="s">
        <v>310</v>
      </c>
      <c r="F285">
        <v>4.8</v>
      </c>
      <c r="G285">
        <v>15.5</v>
      </c>
      <c r="H285">
        <v>2.5</v>
      </c>
      <c r="I285" s="42">
        <v>42</v>
      </c>
      <c r="J285" t="s">
        <v>75</v>
      </c>
    </row>
    <row r="286" spans="1:12" x14ac:dyDescent="0.2">
      <c r="A286" s="19">
        <v>43450</v>
      </c>
      <c r="B286" t="s">
        <v>237</v>
      </c>
      <c r="C286" s="41" t="s">
        <v>298</v>
      </c>
      <c r="D286" t="s">
        <v>311</v>
      </c>
      <c r="E286">
        <v>22.6</v>
      </c>
      <c r="F286">
        <v>2.9</v>
      </c>
      <c r="G286">
        <v>8.3000000000000007</v>
      </c>
      <c r="H286">
        <v>7</v>
      </c>
      <c r="I286" s="42">
        <v>44</v>
      </c>
    </row>
    <row r="287" spans="1:12" x14ac:dyDescent="0.2">
      <c r="A287" s="19">
        <v>43450</v>
      </c>
      <c r="B287" t="s">
        <v>237</v>
      </c>
      <c r="C287" t="s">
        <v>294</v>
      </c>
      <c r="D287" t="s">
        <v>304</v>
      </c>
      <c r="E287">
        <v>27</v>
      </c>
      <c r="F287">
        <v>9.3000000000000007</v>
      </c>
      <c r="G287">
        <v>5.2</v>
      </c>
      <c r="H287">
        <v>13.5</v>
      </c>
      <c r="I287" s="42">
        <v>52.5</v>
      </c>
      <c r="J287" t="s">
        <v>75</v>
      </c>
    </row>
    <row r="288" spans="1:12" x14ac:dyDescent="0.2">
      <c r="A288" s="19">
        <v>43450</v>
      </c>
      <c r="B288" t="s">
        <v>237</v>
      </c>
      <c r="C288" t="s">
        <v>309</v>
      </c>
      <c r="D288" t="s">
        <v>302</v>
      </c>
      <c r="E288">
        <v>14.9</v>
      </c>
      <c r="F288">
        <v>8</v>
      </c>
      <c r="G288">
        <v>9.3000000000000007</v>
      </c>
      <c r="H288">
        <v>2.5</v>
      </c>
      <c r="I288" s="42">
        <v>55</v>
      </c>
      <c r="L288" t="s">
        <v>109</v>
      </c>
    </row>
    <row r="289" spans="1:12" x14ac:dyDescent="0.2">
      <c r="A289" s="19">
        <v>43450</v>
      </c>
      <c r="B289" t="s">
        <v>237</v>
      </c>
      <c r="C289" t="s">
        <v>256</v>
      </c>
      <c r="D289" t="s">
        <v>308</v>
      </c>
      <c r="E289">
        <v>13.3</v>
      </c>
      <c r="F289">
        <v>1.7</v>
      </c>
      <c r="G289">
        <v>8.1</v>
      </c>
      <c r="H289">
        <v>4</v>
      </c>
      <c r="I289" s="42">
        <v>44</v>
      </c>
      <c r="J289" t="s">
        <v>75</v>
      </c>
    </row>
    <row r="290" spans="1:12" x14ac:dyDescent="0.2">
      <c r="A290" s="19">
        <v>43450</v>
      </c>
      <c r="B290" t="s">
        <v>237</v>
      </c>
      <c r="C290" t="s">
        <v>308</v>
      </c>
      <c r="D290" t="s">
        <v>256</v>
      </c>
      <c r="E290">
        <v>23.7</v>
      </c>
      <c r="F290">
        <v>7.6</v>
      </c>
      <c r="G290">
        <v>0</v>
      </c>
      <c r="H290">
        <v>-4</v>
      </c>
      <c r="I290" s="42">
        <v>44</v>
      </c>
      <c r="J290" t="s">
        <v>75</v>
      </c>
    </row>
    <row r="291" spans="1:12" x14ac:dyDescent="0.2">
      <c r="A291" s="19">
        <v>43450</v>
      </c>
      <c r="B291" t="s">
        <v>237</v>
      </c>
      <c r="C291" t="s">
        <v>284</v>
      </c>
      <c r="D291" t="s">
        <v>305</v>
      </c>
      <c r="E291">
        <v>19.100000000000001</v>
      </c>
      <c r="F291">
        <v>3.15</v>
      </c>
      <c r="G291">
        <v>1.9</v>
      </c>
      <c r="H291">
        <v>8.5</v>
      </c>
      <c r="I291" s="42">
        <v>44.5</v>
      </c>
    </row>
    <row r="292" spans="1:12" x14ac:dyDescent="0.2">
      <c r="A292" s="19">
        <v>43450</v>
      </c>
      <c r="B292" t="s">
        <v>237</v>
      </c>
      <c r="C292" t="s">
        <v>310</v>
      </c>
      <c r="D292" t="s">
        <v>296</v>
      </c>
      <c r="E292">
        <v>6.3</v>
      </c>
      <c r="F292">
        <v>2.5</v>
      </c>
      <c r="G292">
        <v>0</v>
      </c>
      <c r="H292">
        <v>-2.5</v>
      </c>
      <c r="I292" s="42">
        <v>42</v>
      </c>
    </row>
    <row r="293" spans="1:12" x14ac:dyDescent="0.2">
      <c r="A293" s="19">
        <v>43450</v>
      </c>
      <c r="B293" t="s">
        <v>237</v>
      </c>
      <c r="C293" t="s">
        <v>306</v>
      </c>
      <c r="D293" t="s">
        <v>297</v>
      </c>
      <c r="E293">
        <v>8.6</v>
      </c>
      <c r="F293">
        <v>0</v>
      </c>
      <c r="G293">
        <v>3.6</v>
      </c>
      <c r="H293">
        <v>7.5</v>
      </c>
      <c r="I293" s="42">
        <v>36</v>
      </c>
    </row>
    <row r="294" spans="1:12" x14ac:dyDescent="0.2">
      <c r="A294" s="19">
        <v>43457</v>
      </c>
      <c r="B294" t="s">
        <v>235</v>
      </c>
      <c r="C294" t="s">
        <v>285</v>
      </c>
      <c r="D294" t="s">
        <v>304</v>
      </c>
      <c r="E294">
        <v>16.579999999999998</v>
      </c>
      <c r="F294">
        <v>12.2</v>
      </c>
      <c r="G294">
        <v>1.3</v>
      </c>
      <c r="H294">
        <v>14.5</v>
      </c>
      <c r="I294" s="42">
        <v>43</v>
      </c>
      <c r="J294" t="s">
        <v>75</v>
      </c>
    </row>
    <row r="295" spans="1:12" x14ac:dyDescent="0.2">
      <c r="A295" s="19">
        <v>43457</v>
      </c>
      <c r="B295" t="s">
        <v>235</v>
      </c>
      <c r="C295" t="s">
        <v>295</v>
      </c>
      <c r="D295" t="s">
        <v>301</v>
      </c>
      <c r="E295">
        <v>12.8</v>
      </c>
      <c r="F295">
        <v>18</v>
      </c>
      <c r="G295">
        <v>5</v>
      </c>
      <c r="H295">
        <v>-2.5</v>
      </c>
      <c r="I295" s="42">
        <v>46.5</v>
      </c>
    </row>
    <row r="296" spans="1:12" x14ac:dyDescent="0.2">
      <c r="A296" s="19">
        <v>43457</v>
      </c>
      <c r="B296" t="s">
        <v>235</v>
      </c>
      <c r="C296" t="s">
        <v>305</v>
      </c>
      <c r="D296" t="s">
        <v>287</v>
      </c>
      <c r="E296">
        <v>0</v>
      </c>
      <c r="F296">
        <v>4.7</v>
      </c>
      <c r="G296">
        <v>16.3</v>
      </c>
      <c r="H296">
        <v>4</v>
      </c>
      <c r="I296" s="42">
        <v>42.5</v>
      </c>
      <c r="L296" t="s">
        <v>109</v>
      </c>
    </row>
    <row r="297" spans="1:12" x14ac:dyDescent="0.2">
      <c r="A297" s="19">
        <v>43457</v>
      </c>
      <c r="B297" t="s">
        <v>235</v>
      </c>
      <c r="C297" t="s">
        <v>276</v>
      </c>
      <c r="D297" t="s">
        <v>302</v>
      </c>
      <c r="E297">
        <v>17.7</v>
      </c>
      <c r="F297">
        <v>9.1999999999999993</v>
      </c>
      <c r="G297">
        <v>8.5</v>
      </c>
      <c r="H297">
        <v>14</v>
      </c>
      <c r="I297" s="42">
        <v>46</v>
      </c>
    </row>
    <row r="298" spans="1:12" x14ac:dyDescent="0.2">
      <c r="A298" s="19">
        <v>43457</v>
      </c>
      <c r="B298" t="s">
        <v>235</v>
      </c>
      <c r="C298" t="s">
        <v>301</v>
      </c>
      <c r="D298" t="s">
        <v>295</v>
      </c>
      <c r="E298">
        <v>4.3</v>
      </c>
      <c r="F298">
        <v>11.1</v>
      </c>
      <c r="G298">
        <v>14.8</v>
      </c>
      <c r="H298">
        <v>2.5</v>
      </c>
      <c r="I298" s="42">
        <v>46.5</v>
      </c>
      <c r="J298" t="s">
        <v>75</v>
      </c>
    </row>
    <row r="299" spans="1:12" x14ac:dyDescent="0.2">
      <c r="A299" s="19">
        <v>43457</v>
      </c>
      <c r="B299" t="s">
        <v>235</v>
      </c>
      <c r="C299" t="s">
        <v>265</v>
      </c>
      <c r="D299" t="s">
        <v>256</v>
      </c>
      <c r="E299">
        <v>14.4</v>
      </c>
      <c r="F299">
        <v>6.6</v>
      </c>
      <c r="G299">
        <v>8</v>
      </c>
      <c r="H299">
        <v>-3.5</v>
      </c>
      <c r="I299" s="42">
        <v>44</v>
      </c>
      <c r="J299" t="s">
        <v>75</v>
      </c>
      <c r="L299" t="s">
        <v>109</v>
      </c>
    </row>
    <row r="300" spans="1:12" x14ac:dyDescent="0.2">
      <c r="A300" s="19">
        <v>43457</v>
      </c>
      <c r="B300" t="s">
        <v>235</v>
      </c>
      <c r="C300" t="s">
        <v>272</v>
      </c>
      <c r="D300" t="s">
        <v>281</v>
      </c>
      <c r="E300">
        <v>8</v>
      </c>
      <c r="F300">
        <v>7.6</v>
      </c>
      <c r="G300">
        <v>14.9</v>
      </c>
      <c r="H300">
        <v>10</v>
      </c>
      <c r="I300" s="42">
        <v>44</v>
      </c>
      <c r="L300" t="s">
        <v>110</v>
      </c>
    </row>
    <row r="301" spans="1:12" x14ac:dyDescent="0.2">
      <c r="A301" s="19">
        <v>43457</v>
      </c>
      <c r="B301" t="s">
        <v>235</v>
      </c>
      <c r="C301" t="s">
        <v>281</v>
      </c>
      <c r="D301" t="s">
        <v>272</v>
      </c>
      <c r="E301">
        <v>11.82</v>
      </c>
      <c r="F301">
        <v>18</v>
      </c>
      <c r="G301">
        <v>16.3</v>
      </c>
      <c r="H301">
        <v>-10</v>
      </c>
      <c r="I301" s="42">
        <v>44</v>
      </c>
      <c r="L301" t="s">
        <v>110</v>
      </c>
    </row>
    <row r="302" spans="1:12" x14ac:dyDescent="0.2">
      <c r="A302" s="19">
        <v>43457</v>
      </c>
      <c r="B302" t="s">
        <v>235</v>
      </c>
      <c r="C302" s="17" t="s">
        <v>291</v>
      </c>
      <c r="D302" t="s">
        <v>284</v>
      </c>
      <c r="E302">
        <v>6</v>
      </c>
      <c r="F302">
        <v>14.3</v>
      </c>
      <c r="G302">
        <v>2.8</v>
      </c>
      <c r="H302">
        <v>-7</v>
      </c>
      <c r="I302" s="42">
        <v>48</v>
      </c>
      <c r="J302" t="s">
        <v>75</v>
      </c>
    </row>
    <row r="303" spans="1:12" x14ac:dyDescent="0.2">
      <c r="A303" s="19">
        <v>43457</v>
      </c>
      <c r="B303" t="s">
        <v>235</v>
      </c>
      <c r="C303" s="41" t="s">
        <v>278</v>
      </c>
      <c r="D303" t="s">
        <v>303</v>
      </c>
      <c r="E303">
        <v>16</v>
      </c>
      <c r="F303">
        <v>18.5</v>
      </c>
      <c r="G303">
        <v>3</v>
      </c>
      <c r="H303">
        <v>-2.5</v>
      </c>
      <c r="I303" s="42">
        <v>42.5</v>
      </c>
    </row>
    <row r="304" spans="1:12" x14ac:dyDescent="0.2">
      <c r="A304" s="19">
        <v>43457</v>
      </c>
      <c r="B304" t="s">
        <v>235</v>
      </c>
      <c r="C304" t="s">
        <v>299</v>
      </c>
      <c r="D304" t="s">
        <v>312</v>
      </c>
      <c r="E304">
        <v>11.8</v>
      </c>
      <c r="F304">
        <v>10.199999999999999</v>
      </c>
      <c r="G304">
        <v>2.6</v>
      </c>
      <c r="H304">
        <v>6.5</v>
      </c>
      <c r="I304" s="42">
        <v>41.5</v>
      </c>
      <c r="L304" t="s">
        <v>110</v>
      </c>
    </row>
    <row r="305" spans="1:12" x14ac:dyDescent="0.2">
      <c r="A305" s="19">
        <v>43457</v>
      </c>
      <c r="B305" t="s">
        <v>235</v>
      </c>
      <c r="C305" s="41" t="s">
        <v>300</v>
      </c>
      <c r="D305" t="s">
        <v>298</v>
      </c>
      <c r="E305">
        <v>24.1</v>
      </c>
      <c r="F305">
        <v>12.5</v>
      </c>
      <c r="G305">
        <v>6.4</v>
      </c>
      <c r="H305">
        <v>-3</v>
      </c>
      <c r="I305" s="42">
        <v>47</v>
      </c>
    </row>
    <row r="306" spans="1:12" x14ac:dyDescent="0.2">
      <c r="A306" s="19">
        <v>43457</v>
      </c>
      <c r="B306" t="s">
        <v>235</v>
      </c>
      <c r="C306" t="s">
        <v>311</v>
      </c>
      <c r="D306" t="s">
        <v>294</v>
      </c>
      <c r="E306">
        <v>22.4</v>
      </c>
      <c r="F306">
        <v>6.7</v>
      </c>
      <c r="G306">
        <v>3.5</v>
      </c>
      <c r="H306">
        <v>1</v>
      </c>
      <c r="I306" s="42">
        <v>47</v>
      </c>
      <c r="L306" t="s">
        <v>109</v>
      </c>
    </row>
    <row r="307" spans="1:12" x14ac:dyDescent="0.2">
      <c r="A307" s="19">
        <v>43457</v>
      </c>
      <c r="B307" t="s">
        <v>235</v>
      </c>
      <c r="C307" t="s">
        <v>289</v>
      </c>
      <c r="D307" t="s">
        <v>296</v>
      </c>
      <c r="E307">
        <v>23.8</v>
      </c>
      <c r="F307">
        <v>18.399999999999999</v>
      </c>
      <c r="G307">
        <v>5.8</v>
      </c>
      <c r="H307">
        <v>-10</v>
      </c>
      <c r="I307" s="42">
        <v>48.5</v>
      </c>
      <c r="K307" s="20" t="s">
        <v>75</v>
      </c>
    </row>
    <row r="308" spans="1:12" x14ac:dyDescent="0.2">
      <c r="A308" s="19">
        <v>43457</v>
      </c>
      <c r="B308" t="s">
        <v>235</v>
      </c>
      <c r="C308" s="17" t="s">
        <v>297</v>
      </c>
      <c r="D308" t="s">
        <v>293</v>
      </c>
      <c r="E308">
        <v>12.4</v>
      </c>
      <c r="F308">
        <v>8.3000000000000007</v>
      </c>
      <c r="G308">
        <v>0</v>
      </c>
      <c r="H308">
        <v>3</v>
      </c>
      <c r="I308" s="42">
        <v>39.5</v>
      </c>
    </row>
    <row r="309" spans="1:12" x14ac:dyDescent="0.2">
      <c r="A309" s="19">
        <v>43457</v>
      </c>
      <c r="B309" t="s">
        <v>235</v>
      </c>
      <c r="C309" t="s">
        <v>288</v>
      </c>
      <c r="D309" t="s">
        <v>308</v>
      </c>
      <c r="E309">
        <v>13.1</v>
      </c>
      <c r="F309">
        <v>7.4</v>
      </c>
      <c r="G309">
        <v>10.4</v>
      </c>
      <c r="H309">
        <v>-1</v>
      </c>
      <c r="I309" s="42">
        <v>54</v>
      </c>
      <c r="J309" t="s">
        <v>75</v>
      </c>
    </row>
    <row r="310" spans="1:12" x14ac:dyDescent="0.2">
      <c r="A310" s="19">
        <v>43457</v>
      </c>
      <c r="B310" t="s">
        <v>235</v>
      </c>
      <c r="C310" s="17" t="s">
        <v>303</v>
      </c>
      <c r="D310" t="s">
        <v>278</v>
      </c>
      <c r="E310">
        <v>14.5</v>
      </c>
      <c r="F310">
        <v>3.4</v>
      </c>
      <c r="G310">
        <v>4</v>
      </c>
      <c r="H310">
        <v>2.5</v>
      </c>
      <c r="I310" s="42">
        <v>42.5</v>
      </c>
      <c r="J310" t="s">
        <v>75</v>
      </c>
    </row>
    <row r="311" spans="1:12" x14ac:dyDescent="0.2">
      <c r="A311" s="19">
        <v>43457</v>
      </c>
      <c r="B311" t="s">
        <v>235</v>
      </c>
      <c r="C311" s="17" t="s">
        <v>287</v>
      </c>
      <c r="D311" t="s">
        <v>305</v>
      </c>
      <c r="E311">
        <v>10.8</v>
      </c>
      <c r="F311">
        <v>2.1</v>
      </c>
      <c r="G311">
        <v>4.0999999999999996</v>
      </c>
      <c r="H311">
        <v>-4</v>
      </c>
      <c r="I311" s="42">
        <v>42.5</v>
      </c>
      <c r="L311" t="s">
        <v>109</v>
      </c>
    </row>
    <row r="312" spans="1:12" x14ac:dyDescent="0.2">
      <c r="A312" s="19">
        <v>43457</v>
      </c>
      <c r="B312" t="s">
        <v>235</v>
      </c>
      <c r="C312" t="s">
        <v>304</v>
      </c>
      <c r="D312" t="s">
        <v>285</v>
      </c>
      <c r="E312">
        <v>28.4</v>
      </c>
      <c r="F312">
        <v>9.1999999999999993</v>
      </c>
      <c r="G312">
        <v>9.4</v>
      </c>
      <c r="H312">
        <v>-14.5</v>
      </c>
      <c r="I312" s="42">
        <v>43</v>
      </c>
      <c r="J312" t="s">
        <v>75</v>
      </c>
    </row>
    <row r="313" spans="1:12" x14ac:dyDescent="0.2">
      <c r="A313" s="19">
        <v>43457</v>
      </c>
      <c r="B313" t="s">
        <v>235</v>
      </c>
      <c r="C313" t="s">
        <v>293</v>
      </c>
      <c r="D313" t="s">
        <v>297</v>
      </c>
      <c r="E313">
        <v>1.5</v>
      </c>
      <c r="F313">
        <v>6.8</v>
      </c>
      <c r="G313">
        <v>1.5</v>
      </c>
      <c r="H313">
        <v>-3</v>
      </c>
      <c r="I313" s="42">
        <v>39.5</v>
      </c>
    </row>
    <row r="314" spans="1:12" x14ac:dyDescent="0.2">
      <c r="A314" s="19">
        <v>43457</v>
      </c>
      <c r="B314" t="s">
        <v>235</v>
      </c>
      <c r="C314" t="s">
        <v>312</v>
      </c>
      <c r="D314" t="s">
        <v>299</v>
      </c>
      <c r="E314">
        <v>13.3</v>
      </c>
      <c r="F314">
        <v>9</v>
      </c>
      <c r="G314">
        <v>36.200000000000003</v>
      </c>
      <c r="H314">
        <v>-6.5</v>
      </c>
      <c r="I314" s="42">
        <v>41.5</v>
      </c>
      <c r="J314" t="s">
        <v>75</v>
      </c>
      <c r="L314" t="s">
        <v>110</v>
      </c>
    </row>
    <row r="315" spans="1:12" x14ac:dyDescent="0.2">
      <c r="A315" s="19">
        <v>43457</v>
      </c>
      <c r="B315" t="s">
        <v>235</v>
      </c>
      <c r="C315" t="s">
        <v>302</v>
      </c>
      <c r="D315" t="s">
        <v>276</v>
      </c>
      <c r="E315">
        <v>19</v>
      </c>
      <c r="F315">
        <v>7.9</v>
      </c>
      <c r="G315">
        <v>0</v>
      </c>
      <c r="H315">
        <v>-14</v>
      </c>
      <c r="I315" s="42">
        <v>46</v>
      </c>
    </row>
    <row r="316" spans="1:12" x14ac:dyDescent="0.2">
      <c r="A316" s="19">
        <v>43457</v>
      </c>
      <c r="B316" t="s">
        <v>235</v>
      </c>
      <c r="C316" s="41" t="s">
        <v>307</v>
      </c>
      <c r="D316" t="s">
        <v>309</v>
      </c>
      <c r="E316">
        <v>30.9</v>
      </c>
      <c r="F316">
        <v>12.4</v>
      </c>
      <c r="G316">
        <v>2.1</v>
      </c>
      <c r="H316">
        <v>-6.5</v>
      </c>
      <c r="I316" s="42">
        <v>53</v>
      </c>
      <c r="L316" t="s">
        <v>110</v>
      </c>
    </row>
    <row r="317" spans="1:12" x14ac:dyDescent="0.2">
      <c r="A317" s="19">
        <v>43457</v>
      </c>
      <c r="B317" t="s">
        <v>235</v>
      </c>
      <c r="C317" t="s">
        <v>296</v>
      </c>
      <c r="D317" t="s">
        <v>289</v>
      </c>
      <c r="F317">
        <v>20</v>
      </c>
      <c r="G317">
        <v>17.3</v>
      </c>
      <c r="H317">
        <v>10</v>
      </c>
      <c r="I317" s="42">
        <v>48.5</v>
      </c>
      <c r="J317" t="s">
        <v>75</v>
      </c>
      <c r="K317" s="20" t="s">
        <v>75</v>
      </c>
    </row>
    <row r="318" spans="1:12" x14ac:dyDescent="0.2">
      <c r="A318" s="19">
        <v>43457</v>
      </c>
      <c r="B318" t="s">
        <v>235</v>
      </c>
      <c r="C318" s="41" t="s">
        <v>298</v>
      </c>
      <c r="D318" t="s">
        <v>300</v>
      </c>
      <c r="E318">
        <v>32</v>
      </c>
      <c r="F318">
        <v>9.5</v>
      </c>
      <c r="G318">
        <v>20.2</v>
      </c>
      <c r="H318">
        <v>3</v>
      </c>
      <c r="I318" s="42">
        <v>47</v>
      </c>
      <c r="J318" t="s">
        <v>75</v>
      </c>
    </row>
    <row r="319" spans="1:12" x14ac:dyDescent="0.2">
      <c r="A319" s="19">
        <v>43457</v>
      </c>
      <c r="B319" t="s">
        <v>235</v>
      </c>
      <c r="C319" t="s">
        <v>294</v>
      </c>
      <c r="D319" t="s">
        <v>311</v>
      </c>
      <c r="E319">
        <v>11.2</v>
      </c>
      <c r="F319">
        <f>(25.6+3.3)/2</f>
        <v>14.450000000000001</v>
      </c>
      <c r="G319">
        <v>38</v>
      </c>
      <c r="H319">
        <v>-1</v>
      </c>
      <c r="I319" s="42">
        <v>47</v>
      </c>
      <c r="L319" t="s">
        <v>109</v>
      </c>
    </row>
    <row r="320" spans="1:12" x14ac:dyDescent="0.2">
      <c r="A320" s="19">
        <v>43457</v>
      </c>
      <c r="B320" t="s">
        <v>235</v>
      </c>
      <c r="C320" s="41" t="s">
        <v>309</v>
      </c>
      <c r="D320" t="s">
        <v>307</v>
      </c>
      <c r="E320">
        <v>47.5</v>
      </c>
      <c r="F320">
        <v>24.5</v>
      </c>
      <c r="G320">
        <v>5.9</v>
      </c>
      <c r="H320">
        <v>6.5</v>
      </c>
      <c r="I320" s="42">
        <v>53</v>
      </c>
      <c r="L320" t="s">
        <v>110</v>
      </c>
    </row>
    <row r="321" spans="1:12" x14ac:dyDescent="0.2">
      <c r="A321" s="19">
        <v>43457</v>
      </c>
      <c r="B321" t="s">
        <v>235</v>
      </c>
      <c r="C321" t="s">
        <v>256</v>
      </c>
      <c r="D321" t="s">
        <v>265</v>
      </c>
      <c r="E321">
        <v>5.0999999999999996</v>
      </c>
      <c r="F321">
        <v>11.3</v>
      </c>
      <c r="G321">
        <v>14.4</v>
      </c>
      <c r="H321">
        <v>3.5</v>
      </c>
      <c r="I321" s="42">
        <v>44</v>
      </c>
      <c r="L321" t="s">
        <v>109</v>
      </c>
    </row>
    <row r="322" spans="1:12" x14ac:dyDescent="0.2">
      <c r="A322" s="19">
        <v>43457</v>
      </c>
      <c r="B322" t="s">
        <v>235</v>
      </c>
      <c r="C322" t="s">
        <v>308</v>
      </c>
      <c r="D322" t="s">
        <v>288</v>
      </c>
      <c r="E322">
        <v>28.6</v>
      </c>
      <c r="F322">
        <v>13.9</v>
      </c>
      <c r="G322">
        <v>9.1</v>
      </c>
      <c r="H322">
        <v>1</v>
      </c>
      <c r="I322" s="42">
        <v>54</v>
      </c>
    </row>
    <row r="323" spans="1:12" x14ac:dyDescent="0.2">
      <c r="A323" s="19">
        <v>43457</v>
      </c>
      <c r="B323" t="s">
        <v>235</v>
      </c>
      <c r="C323" s="41" t="s">
        <v>284</v>
      </c>
      <c r="D323" t="s">
        <v>291</v>
      </c>
      <c r="E323">
        <v>21</v>
      </c>
      <c r="F323">
        <v>9.5299999999999994</v>
      </c>
      <c r="G323">
        <v>2.8</v>
      </c>
      <c r="H323">
        <v>7</v>
      </c>
      <c r="I323" s="42">
        <v>48</v>
      </c>
    </row>
    <row r="324" spans="1:12" x14ac:dyDescent="0.2">
      <c r="A324" s="19">
        <v>43457</v>
      </c>
      <c r="B324" t="s">
        <v>235</v>
      </c>
      <c r="C324" t="s">
        <v>310</v>
      </c>
      <c r="D324" t="s">
        <v>306</v>
      </c>
      <c r="E324">
        <v>7.6</v>
      </c>
      <c r="F324">
        <v>9.4</v>
      </c>
      <c r="G324">
        <v>3.6</v>
      </c>
      <c r="H324">
        <v>-12</v>
      </c>
      <c r="I324" s="42">
        <v>38</v>
      </c>
    </row>
    <row r="325" spans="1:12" x14ac:dyDescent="0.2">
      <c r="A325" s="19">
        <v>43457</v>
      </c>
      <c r="B325" t="s">
        <v>235</v>
      </c>
      <c r="C325" t="s">
        <v>306</v>
      </c>
      <c r="D325" t="s">
        <v>310</v>
      </c>
      <c r="E325">
        <v>12.8</v>
      </c>
      <c r="F325">
        <v>6</v>
      </c>
      <c r="G325">
        <v>0</v>
      </c>
      <c r="H325">
        <v>12</v>
      </c>
      <c r="I325" s="42">
        <v>38</v>
      </c>
      <c r="J325" t="s">
        <v>75</v>
      </c>
    </row>
  </sheetData>
  <autoFilter ref="A1:L325" xr:uid="{D7A8F84C-D4E7-B042-BC89-670D7EE5F27C}">
    <sortState xmlns:xlrd2="http://schemas.microsoft.com/office/spreadsheetml/2017/richdata2" ref="A2:L325">
      <sortCondition ref="A1:A325"/>
    </sortState>
  </autoFilter>
  <conditionalFormatting sqref="C84:C93">
    <cfRule type="cellIs" dxfId="55" priority="13" operator="between">
      <formula>21</formula>
      <formula>26</formula>
    </cfRule>
    <cfRule type="cellIs" dxfId="54" priority="14" operator="between">
      <formula>27</formula>
      <formula>32</formula>
    </cfRule>
    <cfRule type="cellIs" dxfId="53" priority="15" operator="between">
      <formula>7</formula>
      <formula>12</formula>
    </cfRule>
    <cfRule type="cellIs" dxfId="52" priority="16" operator="between">
      <formula>1</formula>
      <formula>6</formula>
    </cfRule>
  </conditionalFormatting>
  <conditionalFormatting sqref="C114:C123">
    <cfRule type="cellIs" dxfId="51" priority="9" operator="between">
      <formula>21</formula>
      <formula>26</formula>
    </cfRule>
    <cfRule type="cellIs" dxfId="50" priority="10" operator="between">
      <formula>27</formula>
      <formula>32</formula>
    </cfRule>
    <cfRule type="cellIs" dxfId="49" priority="11" operator="between">
      <formula>7</formula>
      <formula>12</formula>
    </cfRule>
    <cfRule type="cellIs" dxfId="48" priority="12" operator="between">
      <formula>1</formula>
      <formula>6</formula>
    </cfRule>
  </conditionalFormatting>
  <conditionalFormatting sqref="C164:C173">
    <cfRule type="cellIs" dxfId="47" priority="5" operator="between">
      <formula>21</formula>
      <formula>26</formula>
    </cfRule>
    <cfRule type="cellIs" dxfId="46" priority="6" operator="between">
      <formula>27</formula>
      <formula>32</formula>
    </cfRule>
    <cfRule type="cellIs" dxfId="45" priority="7" operator="between">
      <formula>7</formula>
      <formula>12</formula>
    </cfRule>
    <cfRule type="cellIs" dxfId="44" priority="8" operator="between">
      <formula>1</formula>
      <formula>6</formula>
    </cfRule>
  </conditionalFormatting>
  <conditionalFormatting sqref="C225:C234">
    <cfRule type="cellIs" dxfId="43" priority="1" operator="between">
      <formula>21</formula>
      <formula>26</formula>
    </cfRule>
    <cfRule type="cellIs" dxfId="42" priority="2" operator="between">
      <formula>27</formula>
      <formula>32</formula>
    </cfRule>
    <cfRule type="cellIs" dxfId="41" priority="3" operator="between">
      <formula>7</formula>
      <formula>12</formula>
    </cfRule>
    <cfRule type="cellIs" dxfId="40" priority="4" operator="between">
      <formula>1</formula>
      <formula>6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C71B3-903D-3C41-80A2-89AA2D30B489}">
  <sheetPr codeName="Sheet16"/>
  <dimension ref="A1:CF385"/>
  <sheetViews>
    <sheetView workbookViewId="0">
      <selection activeCell="A98" sqref="A98:A385"/>
    </sheetView>
  </sheetViews>
  <sheetFormatPr baseColWidth="10" defaultRowHeight="16" x14ac:dyDescent="0.2"/>
  <cols>
    <col min="3" max="3" width="18.6640625" bestFit="1" customWidth="1"/>
    <col min="4" max="4" width="18.83203125" bestFit="1" customWidth="1"/>
    <col min="45" max="84" width="10.83203125" style="8"/>
  </cols>
  <sheetData>
    <row r="1" spans="1:84" x14ac:dyDescent="0.2">
      <c r="A1" t="s">
        <v>226</v>
      </c>
      <c r="B1" t="s">
        <v>255</v>
      </c>
      <c r="C1" t="s">
        <v>254</v>
      </c>
      <c r="D1" t="s">
        <v>227</v>
      </c>
      <c r="E1" t="s">
        <v>228</v>
      </c>
      <c r="F1" t="s">
        <v>385</v>
      </c>
      <c r="G1" t="s">
        <v>386</v>
      </c>
      <c r="H1" t="s">
        <v>387</v>
      </c>
      <c r="I1" t="s">
        <v>388</v>
      </c>
      <c r="J1" t="s">
        <v>389</v>
      </c>
      <c r="K1" t="s">
        <v>390</v>
      </c>
      <c r="L1" t="s">
        <v>191</v>
      </c>
      <c r="M1" t="s">
        <v>391</v>
      </c>
      <c r="N1" t="s">
        <v>392</v>
      </c>
      <c r="O1" t="s">
        <v>192</v>
      </c>
      <c r="P1" t="s">
        <v>393</v>
      </c>
      <c r="Q1" t="s">
        <v>394</v>
      </c>
      <c r="R1" t="s">
        <v>395</v>
      </c>
      <c r="S1" t="s">
        <v>396</v>
      </c>
      <c r="T1" t="s">
        <v>397</v>
      </c>
      <c r="U1" t="s">
        <v>230</v>
      </c>
      <c r="V1" t="s">
        <v>398</v>
      </c>
      <c r="W1" t="s">
        <v>399</v>
      </c>
      <c r="X1" t="s">
        <v>193</v>
      </c>
      <c r="Y1" t="s">
        <v>400</v>
      </c>
      <c r="Z1" t="s">
        <v>401</v>
      </c>
      <c r="AA1" t="s">
        <v>231</v>
      </c>
      <c r="AB1" t="s">
        <v>402</v>
      </c>
      <c r="AC1" t="s">
        <v>232</v>
      </c>
      <c r="AD1" t="s">
        <v>233</v>
      </c>
      <c r="AE1" t="s">
        <v>234</v>
      </c>
      <c r="AF1" t="s">
        <v>403</v>
      </c>
      <c r="AG1" t="s">
        <v>404</v>
      </c>
      <c r="AH1" t="s">
        <v>405</v>
      </c>
      <c r="AI1" t="s">
        <v>406</v>
      </c>
      <c r="AJ1" t="s">
        <v>407</v>
      </c>
      <c r="AK1" t="s">
        <v>408</v>
      </c>
      <c r="AL1" t="s">
        <v>409</v>
      </c>
      <c r="AM1" t="s">
        <v>410</v>
      </c>
      <c r="AN1" t="s">
        <v>411</v>
      </c>
      <c r="AO1" t="s">
        <v>412</v>
      </c>
      <c r="AP1" t="s">
        <v>413</v>
      </c>
      <c r="AQ1" t="s">
        <v>414</v>
      </c>
      <c r="AR1" t="s">
        <v>415</v>
      </c>
    </row>
    <row r="2" spans="1:84" x14ac:dyDescent="0.2">
      <c r="A2" s="39">
        <v>43716</v>
      </c>
      <c r="B2" s="25" t="s">
        <v>384</v>
      </c>
      <c r="C2" t="s">
        <v>285</v>
      </c>
      <c r="D2" s="24" t="s">
        <v>299</v>
      </c>
      <c r="E2">
        <v>25.62</v>
      </c>
      <c r="F2">
        <v>25.7</v>
      </c>
      <c r="G2">
        <v>82</v>
      </c>
      <c r="H2">
        <v>7</v>
      </c>
      <c r="I2">
        <v>0.5</v>
      </c>
      <c r="J2">
        <v>5</v>
      </c>
      <c r="K2">
        <v>0</v>
      </c>
      <c r="L2">
        <v>28.3</v>
      </c>
      <c r="M2">
        <v>113</v>
      </c>
      <c r="N2">
        <v>13</v>
      </c>
      <c r="O2">
        <v>10.4</v>
      </c>
      <c r="P2">
        <v>32</v>
      </c>
      <c r="Q2">
        <v>12</v>
      </c>
      <c r="R2" s="14">
        <v>9.6</v>
      </c>
      <c r="S2">
        <v>46</v>
      </c>
      <c r="T2">
        <v>10</v>
      </c>
      <c r="U2">
        <v>34.9</v>
      </c>
      <c r="V2">
        <v>149</v>
      </c>
      <c r="W2">
        <v>21</v>
      </c>
      <c r="X2">
        <v>4</v>
      </c>
      <c r="Y2">
        <v>20</v>
      </c>
      <c r="Z2">
        <v>2</v>
      </c>
      <c r="AA2">
        <v>14</v>
      </c>
      <c r="AB2">
        <v>4</v>
      </c>
      <c r="AC2">
        <v>7</v>
      </c>
      <c r="AD2" s="21">
        <v>0.2711864406779661</v>
      </c>
      <c r="AE2" s="21">
        <v>8.4745762711864403E-2</v>
      </c>
      <c r="AF2">
        <v>37.5</v>
      </c>
      <c r="AG2">
        <v>7</v>
      </c>
      <c r="AH2">
        <v>54</v>
      </c>
      <c r="AI2">
        <v>19</v>
      </c>
      <c r="AJ2">
        <v>3</v>
      </c>
      <c r="AK2">
        <v>82</v>
      </c>
      <c r="AL2">
        <v>27</v>
      </c>
      <c r="AM2">
        <v>0</v>
      </c>
      <c r="AN2">
        <f>SUM(AO2:AR2)</f>
        <v>420</v>
      </c>
      <c r="AO2">
        <v>308</v>
      </c>
      <c r="AP2">
        <v>87</v>
      </c>
      <c r="AQ2">
        <v>12</v>
      </c>
      <c r="AR2">
        <v>13</v>
      </c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</row>
    <row r="3" spans="1:84" x14ac:dyDescent="0.2">
      <c r="A3" s="39">
        <v>43716</v>
      </c>
      <c r="B3" s="25" t="s">
        <v>384</v>
      </c>
      <c r="C3" t="s">
        <v>295</v>
      </c>
      <c r="D3" s="24" t="s">
        <v>312</v>
      </c>
      <c r="E3">
        <v>23.56</v>
      </c>
      <c r="F3">
        <v>5.0999999999999996</v>
      </c>
      <c r="G3">
        <v>19</v>
      </c>
      <c r="H3">
        <v>4</v>
      </c>
      <c r="I3">
        <v>5</v>
      </c>
      <c r="J3">
        <v>31</v>
      </c>
      <c r="K3">
        <v>1</v>
      </c>
      <c r="L3">
        <v>15.1</v>
      </c>
      <c r="M3">
        <v>31</v>
      </c>
      <c r="N3">
        <v>11</v>
      </c>
      <c r="O3">
        <v>16.399999999999999</v>
      </c>
      <c r="P3">
        <v>64</v>
      </c>
      <c r="Q3">
        <v>6</v>
      </c>
      <c r="R3" s="14">
        <v>10.7</v>
      </c>
      <c r="S3">
        <v>57</v>
      </c>
      <c r="T3">
        <v>6</v>
      </c>
      <c r="U3">
        <v>22.200000000000003</v>
      </c>
      <c r="V3">
        <v>112</v>
      </c>
      <c r="W3">
        <v>14</v>
      </c>
      <c r="X3">
        <v>16.7</v>
      </c>
      <c r="Y3">
        <v>77</v>
      </c>
      <c r="Z3">
        <v>10</v>
      </c>
      <c r="AA3">
        <v>0</v>
      </c>
      <c r="AB3">
        <v>0</v>
      </c>
      <c r="AC3">
        <v>0</v>
      </c>
      <c r="AD3" s="21">
        <v>0.38461538461538464</v>
      </c>
      <c r="AE3" s="21">
        <v>7.6923076923076927E-2</v>
      </c>
      <c r="AF3">
        <v>53.3</v>
      </c>
      <c r="AG3">
        <v>16</v>
      </c>
      <c r="AH3">
        <v>46</v>
      </c>
      <c r="AI3">
        <v>14</v>
      </c>
      <c r="AJ3">
        <v>2</v>
      </c>
      <c r="AK3">
        <v>67</v>
      </c>
      <c r="AL3">
        <v>12</v>
      </c>
      <c r="AM3">
        <v>0</v>
      </c>
      <c r="AN3">
        <f>SUM(AO3:AR3)</f>
        <v>377</v>
      </c>
      <c r="AO3">
        <v>304</v>
      </c>
      <c r="AP3">
        <f>19+31</f>
        <v>50</v>
      </c>
      <c r="AQ3">
        <v>-1</v>
      </c>
      <c r="AR3">
        <v>24</v>
      </c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</row>
    <row r="4" spans="1:84" x14ac:dyDescent="0.2">
      <c r="A4" s="39">
        <v>43716</v>
      </c>
      <c r="B4" s="25" t="s">
        <v>384</v>
      </c>
      <c r="C4" s="41" t="s">
        <v>305</v>
      </c>
      <c r="D4" s="24" t="s">
        <v>293</v>
      </c>
      <c r="E4">
        <f>36.56+7.1</f>
        <v>43.660000000000004</v>
      </c>
      <c r="F4">
        <v>25.7</v>
      </c>
      <c r="G4">
        <v>107</v>
      </c>
      <c r="H4">
        <v>0</v>
      </c>
      <c r="I4">
        <v>5.6</v>
      </c>
      <c r="J4">
        <v>56</v>
      </c>
      <c r="K4">
        <v>0</v>
      </c>
      <c r="L4">
        <v>33.700000000000003</v>
      </c>
      <c r="M4">
        <v>147</v>
      </c>
      <c r="N4">
        <v>5</v>
      </c>
      <c r="O4">
        <v>12.1</v>
      </c>
      <c r="P4">
        <v>41</v>
      </c>
      <c r="Q4">
        <v>3</v>
      </c>
      <c r="R4" s="14">
        <v>2</v>
      </c>
      <c r="S4">
        <v>10</v>
      </c>
      <c r="T4">
        <v>1</v>
      </c>
      <c r="U4">
        <v>37.6</v>
      </c>
      <c r="V4">
        <v>176</v>
      </c>
      <c r="W4">
        <v>9</v>
      </c>
      <c r="X4">
        <f>27.8+7.1+5.6</f>
        <v>40.5</v>
      </c>
      <c r="Y4">
        <f>108+41+26</f>
        <v>175</v>
      </c>
      <c r="Z4">
        <v>14</v>
      </c>
      <c r="AA4">
        <v>11</v>
      </c>
      <c r="AB4">
        <v>1</v>
      </c>
      <c r="AC4">
        <v>13</v>
      </c>
      <c r="AD4" s="21">
        <v>0.2857142857142857</v>
      </c>
      <c r="AE4" s="21">
        <v>3.5714285714285712E-2</v>
      </c>
      <c r="AF4">
        <v>100</v>
      </c>
      <c r="AG4">
        <v>-3</v>
      </c>
      <c r="AH4">
        <v>20</v>
      </c>
      <c r="AI4">
        <f>14+17+7</f>
        <v>38</v>
      </c>
      <c r="AJ4">
        <v>7</v>
      </c>
      <c r="AK4">
        <v>73</v>
      </c>
      <c r="AL4">
        <v>59</v>
      </c>
      <c r="AM4">
        <v>0</v>
      </c>
      <c r="AN4">
        <f>SUM(AO4:AR4)</f>
        <v>529</v>
      </c>
      <c r="AO4">
        <v>324</v>
      </c>
      <c r="AP4">
        <f>107+56+27</f>
        <v>190</v>
      </c>
      <c r="AQ4">
        <v>0</v>
      </c>
      <c r="AR4">
        <v>15</v>
      </c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</row>
    <row r="5" spans="1:84" x14ac:dyDescent="0.2">
      <c r="A5" s="39">
        <v>43716</v>
      </c>
      <c r="B5" s="25" t="s">
        <v>384</v>
      </c>
      <c r="C5" t="s">
        <v>276</v>
      </c>
      <c r="D5" s="24" t="s">
        <v>298</v>
      </c>
      <c r="E5">
        <v>19.96</v>
      </c>
      <c r="F5">
        <v>14.8</v>
      </c>
      <c r="G5">
        <v>70</v>
      </c>
      <c r="H5">
        <v>6</v>
      </c>
      <c r="I5">
        <v>2</v>
      </c>
      <c r="J5">
        <v>20</v>
      </c>
      <c r="K5">
        <v>0</v>
      </c>
      <c r="L5">
        <v>28.3</v>
      </c>
      <c r="M5">
        <v>123</v>
      </c>
      <c r="N5">
        <v>10</v>
      </c>
      <c r="O5">
        <v>9</v>
      </c>
      <c r="P5">
        <v>40</v>
      </c>
      <c r="Q5">
        <v>9</v>
      </c>
      <c r="R5" s="14">
        <v>3.8</v>
      </c>
      <c r="S5">
        <v>18</v>
      </c>
      <c r="T5">
        <v>5</v>
      </c>
      <c r="U5">
        <v>13.4</v>
      </c>
      <c r="V5">
        <v>64</v>
      </c>
      <c r="W5">
        <v>11</v>
      </c>
      <c r="X5">
        <f>5.5+1.1</f>
        <v>6.6</v>
      </c>
      <c r="Y5">
        <v>36</v>
      </c>
      <c r="Z5">
        <v>4</v>
      </c>
      <c r="AA5">
        <v>6</v>
      </c>
      <c r="AB5">
        <v>1</v>
      </c>
      <c r="AC5">
        <v>10</v>
      </c>
      <c r="AD5" s="21">
        <v>0.29545454545454547</v>
      </c>
      <c r="AE5" s="21">
        <v>2.2727272727272728E-2</v>
      </c>
      <c r="AF5">
        <v>87.5</v>
      </c>
      <c r="AG5">
        <v>18</v>
      </c>
      <c r="AH5">
        <v>37</v>
      </c>
      <c r="AI5">
        <f>4+11</f>
        <v>15</v>
      </c>
      <c r="AJ5">
        <v>10</v>
      </c>
      <c r="AK5">
        <v>63</v>
      </c>
      <c r="AL5">
        <v>17</v>
      </c>
      <c r="AM5">
        <v>0</v>
      </c>
      <c r="AN5">
        <f>SUM(AO5:AR5)</f>
        <v>382</v>
      </c>
      <c r="AO5">
        <v>254</v>
      </c>
      <c r="AP5">
        <f>70+20</f>
        <v>90</v>
      </c>
      <c r="AQ5">
        <v>0</v>
      </c>
      <c r="AR5">
        <v>38</v>
      </c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</row>
    <row r="6" spans="1:84" x14ac:dyDescent="0.2">
      <c r="A6" s="39">
        <v>43716</v>
      </c>
      <c r="B6" s="25" t="s">
        <v>384</v>
      </c>
      <c r="C6" t="s">
        <v>301</v>
      </c>
      <c r="D6" s="24" t="s">
        <v>304</v>
      </c>
      <c r="E6">
        <v>7.36</v>
      </c>
      <c r="F6">
        <v>45.9</v>
      </c>
      <c r="G6">
        <v>128</v>
      </c>
      <c r="H6">
        <v>11</v>
      </c>
      <c r="I6">
        <v>6.1</v>
      </c>
      <c r="J6">
        <v>1</v>
      </c>
      <c r="K6">
        <v>0</v>
      </c>
      <c r="L6">
        <v>13.6</v>
      </c>
      <c r="M6">
        <v>76</v>
      </c>
      <c r="N6">
        <v>10</v>
      </c>
      <c r="O6">
        <v>6.2</v>
      </c>
      <c r="P6">
        <v>32</v>
      </c>
      <c r="Q6">
        <v>4</v>
      </c>
      <c r="R6" s="14">
        <v>2.4</v>
      </c>
      <c r="S6">
        <v>14</v>
      </c>
      <c r="T6">
        <v>1</v>
      </c>
      <c r="U6">
        <v>12.9</v>
      </c>
      <c r="V6">
        <v>59</v>
      </c>
      <c r="W6">
        <v>11</v>
      </c>
      <c r="X6">
        <v>7.6</v>
      </c>
      <c r="Y6">
        <v>36</v>
      </c>
      <c r="Z6">
        <v>9</v>
      </c>
      <c r="AA6">
        <v>12</v>
      </c>
      <c r="AB6">
        <v>3</v>
      </c>
      <c r="AC6">
        <v>4</v>
      </c>
      <c r="AD6" s="21">
        <v>0.26190476190476192</v>
      </c>
      <c r="AE6" s="21">
        <v>4.7619047619047616E-2</v>
      </c>
      <c r="AF6">
        <v>71.400000000000006</v>
      </c>
      <c r="AG6">
        <v>9</v>
      </c>
      <c r="AH6">
        <v>38</v>
      </c>
      <c r="AI6">
        <v>20</v>
      </c>
      <c r="AJ6">
        <v>3</v>
      </c>
      <c r="AK6">
        <v>64</v>
      </c>
      <c r="AL6">
        <v>27</v>
      </c>
      <c r="AM6">
        <v>0</v>
      </c>
      <c r="AN6">
        <f>SUM(AO6:AR6)</f>
        <v>365</v>
      </c>
      <c r="AO6">
        <v>239</v>
      </c>
      <c r="AP6">
        <v>128</v>
      </c>
      <c r="AQ6">
        <v>0</v>
      </c>
      <c r="AR6">
        <v>-2</v>
      </c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</row>
    <row r="7" spans="1:84" x14ac:dyDescent="0.2">
      <c r="A7" s="39">
        <v>43716</v>
      </c>
      <c r="B7" s="25" t="s">
        <v>384</v>
      </c>
      <c r="C7" t="s">
        <v>265</v>
      </c>
      <c r="D7" s="24" t="s">
        <v>300</v>
      </c>
      <c r="E7">
        <v>9.2200000000000006</v>
      </c>
      <c r="F7">
        <v>5.5</v>
      </c>
      <c r="G7">
        <v>18</v>
      </c>
      <c r="H7">
        <v>1</v>
      </c>
      <c r="I7">
        <v>12.9</v>
      </c>
      <c r="J7">
        <v>0</v>
      </c>
      <c r="K7">
        <v>10</v>
      </c>
      <c r="L7">
        <v>20.2</v>
      </c>
      <c r="M7">
        <v>102</v>
      </c>
      <c r="N7">
        <v>13</v>
      </c>
      <c r="O7">
        <v>4.4000000000000004</v>
      </c>
      <c r="P7">
        <v>24</v>
      </c>
      <c r="Q7">
        <v>5</v>
      </c>
      <c r="R7" s="14">
        <v>0</v>
      </c>
      <c r="S7">
        <v>0</v>
      </c>
      <c r="T7">
        <v>1</v>
      </c>
      <c r="U7">
        <v>10</v>
      </c>
      <c r="V7">
        <v>40</v>
      </c>
      <c r="W7">
        <v>11</v>
      </c>
      <c r="X7">
        <v>1.6</v>
      </c>
      <c r="Y7">
        <v>6</v>
      </c>
      <c r="Z7">
        <v>2</v>
      </c>
      <c r="AA7">
        <v>3</v>
      </c>
      <c r="AB7">
        <v>1</v>
      </c>
      <c r="AC7">
        <v>9</v>
      </c>
      <c r="AD7" s="21">
        <v>0.39622641509433965</v>
      </c>
      <c r="AE7" s="21">
        <v>9.4339622641509441E-2</v>
      </c>
      <c r="AF7">
        <v>50</v>
      </c>
      <c r="AG7">
        <v>14</v>
      </c>
      <c r="AH7">
        <v>45</v>
      </c>
      <c r="AI7">
        <f>5+6+1</f>
        <v>12</v>
      </c>
      <c r="AJ7">
        <v>3</v>
      </c>
      <c r="AK7">
        <v>65</v>
      </c>
      <c r="AL7">
        <v>3</v>
      </c>
      <c r="AM7">
        <v>0</v>
      </c>
      <c r="AN7">
        <f>AO7+AP7+AQ7+AR7</f>
        <v>274</v>
      </c>
      <c r="AO7">
        <v>228</v>
      </c>
      <c r="AP7">
        <f>19+18</f>
        <v>37</v>
      </c>
      <c r="AQ7">
        <v>-2</v>
      </c>
      <c r="AR7">
        <v>11</v>
      </c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</row>
    <row r="8" spans="1:84" x14ac:dyDescent="0.2">
      <c r="A8" s="39">
        <v>43716</v>
      </c>
      <c r="B8" s="25" t="s">
        <v>384</v>
      </c>
      <c r="C8" s="17" t="s">
        <v>272</v>
      </c>
      <c r="D8" s="24" t="s">
        <v>308</v>
      </c>
      <c r="E8">
        <v>25.72</v>
      </c>
      <c r="F8">
        <v>3.7</v>
      </c>
      <c r="G8">
        <v>10</v>
      </c>
      <c r="H8">
        <v>3</v>
      </c>
      <c r="I8">
        <v>8.3000000000000007</v>
      </c>
      <c r="J8">
        <v>21</v>
      </c>
      <c r="K8">
        <v>3</v>
      </c>
      <c r="L8">
        <v>14.3</v>
      </c>
      <c r="M8">
        <v>60</v>
      </c>
      <c r="N8">
        <v>11</v>
      </c>
      <c r="O8">
        <v>37.799999999999997</v>
      </c>
      <c r="P8">
        <v>158</v>
      </c>
      <c r="Q8">
        <v>12</v>
      </c>
      <c r="R8" s="14">
        <v>6</v>
      </c>
      <c r="S8">
        <v>30</v>
      </c>
      <c r="T8">
        <v>5</v>
      </c>
      <c r="U8">
        <v>23.3</v>
      </c>
      <c r="V8">
        <v>93</v>
      </c>
      <c r="W8">
        <v>14</v>
      </c>
      <c r="X8">
        <f>10.6+7.7</f>
        <v>18.3</v>
      </c>
      <c r="Y8">
        <f>66+27</f>
        <v>93</v>
      </c>
      <c r="Z8">
        <v>10</v>
      </c>
      <c r="AA8">
        <v>8</v>
      </c>
      <c r="AB8">
        <v>3</v>
      </c>
      <c r="AC8">
        <v>6</v>
      </c>
      <c r="AD8" s="21">
        <v>0.35714285714285715</v>
      </c>
      <c r="AE8" s="21">
        <v>7.1428571428571425E-2</v>
      </c>
      <c r="AF8">
        <v>91.7</v>
      </c>
      <c r="AG8">
        <v>12</v>
      </c>
      <c r="AH8">
        <v>51</v>
      </c>
      <c r="AI8">
        <f>13+1</f>
        <v>14</v>
      </c>
      <c r="AJ8">
        <v>0</v>
      </c>
      <c r="AK8">
        <v>70</v>
      </c>
      <c r="AL8">
        <v>20</v>
      </c>
      <c r="AM8">
        <v>0</v>
      </c>
      <c r="AN8">
        <f>SUM(AO8:AR8)</f>
        <v>452</v>
      </c>
      <c r="AO8">
        <v>418</v>
      </c>
      <c r="AP8">
        <f>21+10</f>
        <v>31</v>
      </c>
      <c r="AQ8">
        <v>3</v>
      </c>
      <c r="AR8">
        <v>0</v>
      </c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</row>
    <row r="9" spans="1:84" x14ac:dyDescent="0.2">
      <c r="A9" s="39">
        <v>43716</v>
      </c>
      <c r="B9" s="25" t="s">
        <v>384</v>
      </c>
      <c r="C9" t="s">
        <v>281</v>
      </c>
      <c r="D9" s="24" t="s">
        <v>310</v>
      </c>
      <c r="E9">
        <v>12.4</v>
      </c>
      <c r="F9">
        <v>11.5</v>
      </c>
      <c r="G9">
        <v>75</v>
      </c>
      <c r="H9">
        <v>4</v>
      </c>
      <c r="I9">
        <v>8.8000000000000007</v>
      </c>
      <c r="J9">
        <v>4</v>
      </c>
      <c r="K9">
        <v>2</v>
      </c>
      <c r="L9">
        <v>14.1</v>
      </c>
      <c r="M9">
        <v>71</v>
      </c>
      <c r="N9">
        <v>11</v>
      </c>
      <c r="O9">
        <v>11.7</v>
      </c>
      <c r="P9">
        <v>67</v>
      </c>
      <c r="Q9">
        <v>7</v>
      </c>
      <c r="R9" s="14">
        <v>6.6</v>
      </c>
      <c r="S9">
        <v>46</v>
      </c>
      <c r="T9">
        <v>3</v>
      </c>
      <c r="U9">
        <v>19.7</v>
      </c>
      <c r="V9">
        <v>77</v>
      </c>
      <c r="W9">
        <v>10</v>
      </c>
      <c r="X9">
        <v>13.7</v>
      </c>
      <c r="Y9">
        <v>37</v>
      </c>
      <c r="Z9">
        <v>6</v>
      </c>
      <c r="AA9">
        <v>1</v>
      </c>
      <c r="AB9">
        <v>0</v>
      </c>
      <c r="AC9">
        <v>0</v>
      </c>
      <c r="AD9" s="21">
        <v>0.27272727272727271</v>
      </c>
      <c r="AE9" s="21">
        <v>0.11363636363636363</v>
      </c>
      <c r="AF9">
        <v>57.1</v>
      </c>
      <c r="AG9">
        <v>23</v>
      </c>
      <c r="AH9">
        <v>38</v>
      </c>
      <c r="AI9">
        <v>19</v>
      </c>
      <c r="AJ9">
        <v>0</v>
      </c>
      <c r="AK9">
        <v>63</v>
      </c>
      <c r="AL9">
        <v>13</v>
      </c>
      <c r="AM9">
        <v>0</v>
      </c>
      <c r="AN9">
        <f>SUM(AO9:AR9)</f>
        <v>387</v>
      </c>
      <c r="AO9">
        <v>285</v>
      </c>
      <c r="AP9">
        <f>75+17</f>
        <v>92</v>
      </c>
      <c r="AQ9">
        <v>10</v>
      </c>
      <c r="AR9">
        <v>0</v>
      </c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</row>
    <row r="10" spans="1:84" x14ac:dyDescent="0.2">
      <c r="A10" s="39">
        <v>43716</v>
      </c>
      <c r="B10" s="25" t="s">
        <v>384</v>
      </c>
      <c r="C10" t="s">
        <v>291</v>
      </c>
      <c r="D10" s="24" t="s">
        <v>296</v>
      </c>
      <c r="E10">
        <v>36.4</v>
      </c>
      <c r="F10">
        <v>13.3</v>
      </c>
      <c r="G10">
        <v>53</v>
      </c>
      <c r="H10">
        <v>2</v>
      </c>
      <c r="I10">
        <v>2.4</v>
      </c>
      <c r="J10">
        <v>24</v>
      </c>
      <c r="K10">
        <v>0</v>
      </c>
      <c r="L10">
        <v>25.6</v>
      </c>
      <c r="M10">
        <v>106</v>
      </c>
      <c r="N10">
        <v>9</v>
      </c>
      <c r="O10">
        <v>25.8</v>
      </c>
      <c r="P10">
        <v>158</v>
      </c>
      <c r="Q10">
        <v>7</v>
      </c>
      <c r="R10" s="14">
        <v>16.899999999999999</v>
      </c>
      <c r="S10">
        <v>69</v>
      </c>
      <c r="T10">
        <v>5</v>
      </c>
      <c r="U10">
        <v>20.799999999999997</v>
      </c>
      <c r="V10">
        <v>98</v>
      </c>
      <c r="W10">
        <v>7</v>
      </c>
      <c r="X10">
        <f>SUM(12.9+10.5)</f>
        <v>23.4</v>
      </c>
      <c r="Y10">
        <v>54</v>
      </c>
      <c r="Z10">
        <v>7</v>
      </c>
      <c r="AA10">
        <v>5</v>
      </c>
      <c r="AB10">
        <v>0</v>
      </c>
      <c r="AC10">
        <v>6</v>
      </c>
      <c r="AD10" s="21">
        <v>0.125</v>
      </c>
      <c r="AE10" s="21">
        <v>0</v>
      </c>
      <c r="AF10">
        <v>50</v>
      </c>
      <c r="AG10">
        <v>-4</v>
      </c>
      <c r="AH10">
        <v>32</v>
      </c>
      <c r="AI10">
        <v>26</v>
      </c>
      <c r="AJ10">
        <v>4</v>
      </c>
      <c r="AK10">
        <v>62</v>
      </c>
      <c r="AL10">
        <v>35</v>
      </c>
      <c r="AM10">
        <v>0</v>
      </c>
      <c r="AN10">
        <f>SUM(AO10:AR10)</f>
        <v>494</v>
      </c>
      <c r="AO10">
        <v>405</v>
      </c>
      <c r="AP10">
        <f>53+24</f>
        <v>77</v>
      </c>
      <c r="AQ10">
        <v>0</v>
      </c>
      <c r="AR10">
        <v>12</v>
      </c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</row>
    <row r="11" spans="1:84" x14ac:dyDescent="0.2">
      <c r="A11" s="39">
        <v>43716</v>
      </c>
      <c r="B11" t="s">
        <v>384</v>
      </c>
      <c r="C11" t="s">
        <v>278</v>
      </c>
      <c r="D11" t="s">
        <v>303</v>
      </c>
      <c r="E11">
        <v>14.82</v>
      </c>
      <c r="F11">
        <v>10.6</v>
      </c>
      <c r="G11">
        <v>43</v>
      </c>
      <c r="H11">
        <v>6</v>
      </c>
      <c r="I11">
        <v>7.1</v>
      </c>
      <c r="J11">
        <v>56</v>
      </c>
      <c r="K11">
        <v>1</v>
      </c>
      <c r="L11">
        <v>22</v>
      </c>
      <c r="M11">
        <v>120</v>
      </c>
      <c r="N11">
        <v>8</v>
      </c>
      <c r="O11">
        <v>19.5</v>
      </c>
      <c r="P11">
        <v>86</v>
      </c>
      <c r="Q11">
        <v>7</v>
      </c>
      <c r="R11">
        <v>2.5</v>
      </c>
      <c r="S11">
        <v>5</v>
      </c>
      <c r="T11">
        <v>4</v>
      </c>
      <c r="U11">
        <v>8</v>
      </c>
      <c r="V11">
        <v>40</v>
      </c>
      <c r="W11">
        <v>5</v>
      </c>
      <c r="X11">
        <v>4.4000000000000004</v>
      </c>
      <c r="Y11">
        <v>29</v>
      </c>
      <c r="Z11">
        <v>5</v>
      </c>
      <c r="AA11">
        <v>10</v>
      </c>
      <c r="AB11">
        <v>4</v>
      </c>
      <c r="AC11">
        <v>0</v>
      </c>
      <c r="AD11">
        <v>0.31428571428571428</v>
      </c>
      <c r="AE11">
        <v>8.5714285714285715E-2</v>
      </c>
      <c r="AF11">
        <v>71.400000000000006</v>
      </c>
      <c r="AG11">
        <v>4</v>
      </c>
      <c r="AH11">
        <v>31</v>
      </c>
      <c r="AI11">
        <v>21</v>
      </c>
      <c r="AJ11">
        <v>1</v>
      </c>
      <c r="AK11">
        <v>57</v>
      </c>
      <c r="AL11">
        <v>16</v>
      </c>
      <c r="AM11">
        <v>0</v>
      </c>
      <c r="AN11">
        <v>363</v>
      </c>
      <c r="AO11">
        <v>268</v>
      </c>
      <c r="AP11">
        <v>99</v>
      </c>
      <c r="AQ11">
        <v>-5</v>
      </c>
      <c r="AR11">
        <v>1</v>
      </c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</row>
    <row r="12" spans="1:84" x14ac:dyDescent="0.2">
      <c r="A12" s="39">
        <v>43716</v>
      </c>
      <c r="B12" s="25" t="s">
        <v>384</v>
      </c>
      <c r="C12" t="s">
        <v>299</v>
      </c>
      <c r="D12" s="24" t="s">
        <v>285</v>
      </c>
      <c r="E12">
        <v>31.6</v>
      </c>
      <c r="F12">
        <v>8.1999999999999993</v>
      </c>
      <c r="G12">
        <v>49</v>
      </c>
      <c r="H12">
        <v>2</v>
      </c>
      <c r="I12">
        <v>3.5</v>
      </c>
      <c r="J12">
        <v>35</v>
      </c>
      <c r="K12">
        <v>0</v>
      </c>
      <c r="L12">
        <v>14.2</v>
      </c>
      <c r="M12">
        <v>45</v>
      </c>
      <c r="N12">
        <v>9</v>
      </c>
      <c r="O12" s="14">
        <v>10</v>
      </c>
      <c r="P12">
        <v>56</v>
      </c>
      <c r="Q12">
        <v>4</v>
      </c>
      <c r="R12">
        <v>26.4</v>
      </c>
      <c r="S12">
        <v>104</v>
      </c>
      <c r="T12">
        <v>13</v>
      </c>
      <c r="U12">
        <v>49.899999999999991</v>
      </c>
      <c r="V12">
        <v>229</v>
      </c>
      <c r="W12">
        <v>23</v>
      </c>
      <c r="X12">
        <v>30.6</v>
      </c>
      <c r="Y12">
        <v>146</v>
      </c>
      <c r="Z12">
        <v>10</v>
      </c>
      <c r="AA12">
        <v>11</v>
      </c>
      <c r="AB12">
        <v>3</v>
      </c>
      <c r="AC12">
        <v>7</v>
      </c>
      <c r="AD12" s="21">
        <v>0.47058823529411764</v>
      </c>
      <c r="AE12" s="21">
        <v>5.8823529411764705E-2</v>
      </c>
      <c r="AF12">
        <v>52.9</v>
      </c>
      <c r="AG12">
        <v>7</v>
      </c>
      <c r="AH12">
        <v>45</v>
      </c>
      <c r="AI12">
        <v>27</v>
      </c>
      <c r="AJ12">
        <v>3</v>
      </c>
      <c r="AK12">
        <v>80</v>
      </c>
      <c r="AL12">
        <v>27</v>
      </c>
      <c r="AM12">
        <v>0</v>
      </c>
      <c r="AN12">
        <f t="shared" ref="AN12:AN28" si="0">SUM(AO12:AR12)</f>
        <v>495</v>
      </c>
      <c r="AO12">
        <v>385</v>
      </c>
      <c r="AP12">
        <f>49+35</f>
        <v>84</v>
      </c>
      <c r="AQ12">
        <v>4</v>
      </c>
      <c r="AR12">
        <v>22</v>
      </c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</row>
    <row r="13" spans="1:84" x14ac:dyDescent="0.2">
      <c r="A13" s="39">
        <v>43716</v>
      </c>
      <c r="B13" s="25" t="s">
        <v>384</v>
      </c>
      <c r="C13" t="s">
        <v>300</v>
      </c>
      <c r="D13" s="24" t="s">
        <v>265</v>
      </c>
      <c r="E13">
        <v>12.92</v>
      </c>
      <c r="F13">
        <v>4.9000000000000004</v>
      </c>
      <c r="G13">
        <v>39</v>
      </c>
      <c r="H13">
        <v>1</v>
      </c>
      <c r="I13">
        <v>3.5</v>
      </c>
      <c r="J13">
        <v>0</v>
      </c>
      <c r="K13">
        <v>2</v>
      </c>
      <c r="L13">
        <v>7.6</v>
      </c>
      <c r="M13">
        <v>36</v>
      </c>
      <c r="N13">
        <v>8</v>
      </c>
      <c r="O13">
        <v>9.1999999999999993</v>
      </c>
      <c r="P13">
        <v>52</v>
      </c>
      <c r="Q13">
        <v>6</v>
      </c>
      <c r="R13" s="14">
        <v>0</v>
      </c>
      <c r="S13">
        <v>0</v>
      </c>
      <c r="T13">
        <v>0</v>
      </c>
      <c r="U13">
        <v>12.5</v>
      </c>
      <c r="V13">
        <v>35</v>
      </c>
      <c r="W13">
        <v>6</v>
      </c>
      <c r="X13">
        <f>12+3.8+3.4</f>
        <v>19.2</v>
      </c>
      <c r="Y13">
        <f>30+28+14</f>
        <v>72</v>
      </c>
      <c r="Z13">
        <v>9</v>
      </c>
      <c r="AA13">
        <v>4</v>
      </c>
      <c r="AB13">
        <v>1</v>
      </c>
      <c r="AC13">
        <v>14</v>
      </c>
      <c r="AD13" s="21">
        <v>0.27777777777777779</v>
      </c>
      <c r="AE13" s="21">
        <v>0.1388888888888889</v>
      </c>
      <c r="AF13">
        <v>50</v>
      </c>
      <c r="AG13">
        <v>9</v>
      </c>
      <c r="AH13">
        <v>30</v>
      </c>
      <c r="AI13">
        <v>19</v>
      </c>
      <c r="AJ13">
        <v>3</v>
      </c>
      <c r="AK13">
        <v>57</v>
      </c>
      <c r="AL13">
        <v>10</v>
      </c>
      <c r="AM13">
        <v>0</v>
      </c>
      <c r="AN13">
        <f t="shared" si="0"/>
        <v>250</v>
      </c>
      <c r="AO13">
        <v>203</v>
      </c>
      <c r="AP13">
        <v>39</v>
      </c>
      <c r="AQ13">
        <v>0</v>
      </c>
      <c r="AR13">
        <v>8</v>
      </c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</row>
    <row r="14" spans="1:84" x14ac:dyDescent="0.2">
      <c r="A14" s="39">
        <v>43716</v>
      </c>
      <c r="B14" s="25" t="s">
        <v>384</v>
      </c>
      <c r="C14" s="41" t="s">
        <v>311</v>
      </c>
      <c r="D14" s="24" t="s">
        <v>307</v>
      </c>
      <c r="E14">
        <v>31.72</v>
      </c>
      <c r="F14">
        <v>9.5</v>
      </c>
      <c r="G14">
        <v>83</v>
      </c>
      <c r="H14">
        <v>1</v>
      </c>
      <c r="I14">
        <v>13</v>
      </c>
      <c r="J14">
        <v>57</v>
      </c>
      <c r="K14">
        <v>5</v>
      </c>
      <c r="L14">
        <v>34.1</v>
      </c>
      <c r="M14">
        <v>111</v>
      </c>
      <c r="N14">
        <v>13</v>
      </c>
      <c r="O14" s="14">
        <v>8.9</v>
      </c>
      <c r="P14">
        <v>69</v>
      </c>
      <c r="Q14">
        <v>3</v>
      </c>
      <c r="R14">
        <v>12.7</v>
      </c>
      <c r="S14">
        <v>37</v>
      </c>
      <c r="T14">
        <v>3</v>
      </c>
      <c r="U14">
        <v>29.4</v>
      </c>
      <c r="V14">
        <v>104</v>
      </c>
      <c r="W14">
        <v>9</v>
      </c>
      <c r="X14">
        <v>2.7</v>
      </c>
      <c r="Y14">
        <v>17</v>
      </c>
      <c r="Z14">
        <v>3</v>
      </c>
      <c r="AA14">
        <v>4</v>
      </c>
      <c r="AB14">
        <v>0</v>
      </c>
      <c r="AC14">
        <v>2</v>
      </c>
      <c r="AD14" s="21">
        <v>0.5</v>
      </c>
      <c r="AE14" s="21">
        <v>0.15789473684210525</v>
      </c>
      <c r="AF14">
        <v>60</v>
      </c>
      <c r="AG14">
        <v>7</v>
      </c>
      <c r="AH14">
        <v>30</v>
      </c>
      <c r="AI14">
        <v>19</v>
      </c>
      <c r="AJ14">
        <v>4</v>
      </c>
      <c r="AK14">
        <v>59</v>
      </c>
      <c r="AL14">
        <v>28</v>
      </c>
      <c r="AM14">
        <v>0</v>
      </c>
      <c r="AN14">
        <f t="shared" si="0"/>
        <v>448</v>
      </c>
      <c r="AO14">
        <v>268</v>
      </c>
      <c r="AP14">
        <f>83+57</f>
        <v>140</v>
      </c>
      <c r="AQ14">
        <v>0</v>
      </c>
      <c r="AR14">
        <v>40</v>
      </c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</row>
    <row r="15" spans="1:84" x14ac:dyDescent="0.2">
      <c r="A15" s="39">
        <v>43716</v>
      </c>
      <c r="B15" s="25" t="s">
        <v>384</v>
      </c>
      <c r="C15" t="s">
        <v>289</v>
      </c>
      <c r="D15" s="24" t="s">
        <v>287</v>
      </c>
      <c r="E15">
        <v>16.5</v>
      </c>
      <c r="F15">
        <v>28.4</v>
      </c>
      <c r="G15">
        <v>174</v>
      </c>
      <c r="H15">
        <v>0</v>
      </c>
      <c r="I15">
        <v>5.7</v>
      </c>
      <c r="J15">
        <v>13</v>
      </c>
      <c r="K15">
        <v>4</v>
      </c>
      <c r="L15">
        <v>28.7</v>
      </c>
      <c r="M15">
        <v>87</v>
      </c>
      <c r="N15">
        <v>9</v>
      </c>
      <c r="O15">
        <v>6.2</v>
      </c>
      <c r="P15">
        <v>32</v>
      </c>
      <c r="Q15">
        <v>5</v>
      </c>
      <c r="R15" s="14">
        <v>5.5</v>
      </c>
      <c r="S15">
        <v>35</v>
      </c>
      <c r="T15">
        <v>2</v>
      </c>
      <c r="U15">
        <v>19.500000000000004</v>
      </c>
      <c r="V15">
        <v>75</v>
      </c>
      <c r="W15">
        <v>7</v>
      </c>
      <c r="X15">
        <v>6.1</v>
      </c>
      <c r="Y15">
        <v>31</v>
      </c>
      <c r="Z15">
        <v>6</v>
      </c>
      <c r="AA15">
        <v>5</v>
      </c>
      <c r="AB15">
        <v>3</v>
      </c>
      <c r="AC15">
        <v>7</v>
      </c>
      <c r="AD15" s="21">
        <v>0.3</v>
      </c>
      <c r="AE15" s="21">
        <v>6.6666666666666666E-2</v>
      </c>
      <c r="AF15">
        <v>42.9</v>
      </c>
      <c r="AG15">
        <v>2</v>
      </c>
      <c r="AH15">
        <v>27</v>
      </c>
      <c r="AI15">
        <v>29</v>
      </c>
      <c r="AJ15">
        <v>3</v>
      </c>
      <c r="AK15">
        <v>62</v>
      </c>
      <c r="AL15">
        <v>24</v>
      </c>
      <c r="AM15">
        <v>0</v>
      </c>
      <c r="AN15">
        <f t="shared" si="0"/>
        <v>393</v>
      </c>
      <c r="AO15">
        <v>190</v>
      </c>
      <c r="AP15">
        <f>174+13</f>
        <v>187</v>
      </c>
      <c r="AQ15">
        <v>7</v>
      </c>
      <c r="AR15">
        <v>9</v>
      </c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</row>
    <row r="16" spans="1:84" x14ac:dyDescent="0.2">
      <c r="A16" s="39">
        <v>43716</v>
      </c>
      <c r="B16" s="25" t="s">
        <v>384</v>
      </c>
      <c r="C16" t="s">
        <v>297</v>
      </c>
      <c r="D16" s="24" t="s">
        <v>288</v>
      </c>
      <c r="E16">
        <f>18.6+7+3</f>
        <v>28.6</v>
      </c>
      <c r="F16">
        <v>12.4</v>
      </c>
      <c r="G16">
        <v>66</v>
      </c>
      <c r="H16">
        <v>6</v>
      </c>
      <c r="I16">
        <v>0.7</v>
      </c>
      <c r="J16">
        <v>7</v>
      </c>
      <c r="K16">
        <v>1</v>
      </c>
      <c r="L16">
        <v>14.2</v>
      </c>
      <c r="M16">
        <v>30</v>
      </c>
      <c r="N16">
        <v>6</v>
      </c>
      <c r="O16">
        <v>27.6</v>
      </c>
      <c r="P16">
        <v>146</v>
      </c>
      <c r="Q16">
        <v>4</v>
      </c>
      <c r="R16">
        <v>21.7</v>
      </c>
      <c r="S16">
        <v>97</v>
      </c>
      <c r="T16">
        <v>7</v>
      </c>
      <c r="U16">
        <v>29.5</v>
      </c>
      <c r="V16">
        <v>85</v>
      </c>
      <c r="W16">
        <v>9</v>
      </c>
      <c r="X16">
        <f>5.7+7.2</f>
        <v>12.9</v>
      </c>
      <c r="Y16">
        <v>49</v>
      </c>
      <c r="Z16">
        <v>9</v>
      </c>
      <c r="AA16">
        <v>8</v>
      </c>
      <c r="AB16">
        <v>2</v>
      </c>
      <c r="AC16">
        <v>-4</v>
      </c>
      <c r="AD16" s="21">
        <v>0.30555555555555558</v>
      </c>
      <c r="AE16" s="21">
        <v>2.7777777777777776E-2</v>
      </c>
      <c r="AF16">
        <v>100</v>
      </c>
      <c r="AG16">
        <v>5</v>
      </c>
      <c r="AH16">
        <v>33</v>
      </c>
      <c r="AI16">
        <v>14</v>
      </c>
      <c r="AJ16">
        <v>1</v>
      </c>
      <c r="AK16">
        <v>50</v>
      </c>
      <c r="AL16">
        <v>26</v>
      </c>
      <c r="AM16">
        <v>0</v>
      </c>
      <c r="AN16">
        <f t="shared" si="0"/>
        <v>431</v>
      </c>
      <c r="AO16">
        <v>350</v>
      </c>
      <c r="AP16">
        <v>73</v>
      </c>
      <c r="AQ16">
        <v>2</v>
      </c>
      <c r="AR16">
        <v>6</v>
      </c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</row>
    <row r="17" spans="1:84" x14ac:dyDescent="0.2">
      <c r="A17" s="39">
        <v>43716</v>
      </c>
      <c r="B17" s="25" t="s">
        <v>384</v>
      </c>
      <c r="C17" t="s">
        <v>288</v>
      </c>
      <c r="D17" s="24" t="s">
        <v>297</v>
      </c>
      <c r="E17">
        <v>30.32</v>
      </c>
      <c r="F17">
        <v>18.5</v>
      </c>
      <c r="G17">
        <v>26</v>
      </c>
      <c r="H17">
        <v>6</v>
      </c>
      <c r="I17">
        <v>10.3</v>
      </c>
      <c r="J17">
        <v>81</v>
      </c>
      <c r="K17">
        <v>1</v>
      </c>
      <c r="L17">
        <v>49.8</v>
      </c>
      <c r="M17">
        <v>198</v>
      </c>
      <c r="N17">
        <v>11</v>
      </c>
      <c r="O17">
        <v>4.0999999999999996</v>
      </c>
      <c r="P17">
        <v>16</v>
      </c>
      <c r="Q17">
        <v>2</v>
      </c>
      <c r="R17" s="14">
        <v>1</v>
      </c>
      <c r="S17">
        <v>0</v>
      </c>
      <c r="T17">
        <v>2</v>
      </c>
      <c r="U17">
        <v>9.7000000000000011</v>
      </c>
      <c r="V17">
        <v>47</v>
      </c>
      <c r="W17">
        <v>10</v>
      </c>
      <c r="X17">
        <f>11.8+1.7</f>
        <v>13.5</v>
      </c>
      <c r="Y17">
        <v>95</v>
      </c>
      <c r="Z17">
        <v>9</v>
      </c>
      <c r="AA17">
        <v>17</v>
      </c>
      <c r="AB17">
        <v>4</v>
      </c>
      <c r="AC17">
        <v>5</v>
      </c>
      <c r="AD17" s="21">
        <v>0.24242424242424243</v>
      </c>
      <c r="AE17" s="21">
        <v>0</v>
      </c>
      <c r="AF17">
        <v>87.5</v>
      </c>
      <c r="AG17">
        <v>-4</v>
      </c>
      <c r="AH17">
        <v>33</v>
      </c>
      <c r="AI17">
        <v>23</v>
      </c>
      <c r="AJ17">
        <v>2</v>
      </c>
      <c r="AK17">
        <v>60</v>
      </c>
      <c r="AL17">
        <v>40</v>
      </c>
      <c r="AM17">
        <v>0</v>
      </c>
      <c r="AN17">
        <f t="shared" si="0"/>
        <v>492</v>
      </c>
      <c r="AO17">
        <v>378</v>
      </c>
      <c r="AP17">
        <f>26+81</f>
        <v>107</v>
      </c>
      <c r="AQ17">
        <v>5</v>
      </c>
      <c r="AR17">
        <v>2</v>
      </c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</row>
    <row r="18" spans="1:84" x14ac:dyDescent="0.2">
      <c r="A18" s="39">
        <v>43716</v>
      </c>
      <c r="B18" s="25" t="s">
        <v>384</v>
      </c>
      <c r="C18" t="s">
        <v>303</v>
      </c>
      <c r="D18" s="24" t="s">
        <v>278</v>
      </c>
      <c r="E18">
        <v>14.56</v>
      </c>
      <c r="F18">
        <v>24.3</v>
      </c>
      <c r="G18">
        <v>85</v>
      </c>
      <c r="H18">
        <v>1</v>
      </c>
      <c r="I18">
        <v>0.3</v>
      </c>
      <c r="J18">
        <v>3</v>
      </c>
      <c r="K18">
        <v>0</v>
      </c>
      <c r="L18">
        <v>25.5</v>
      </c>
      <c r="M18">
        <v>105</v>
      </c>
      <c r="N18">
        <v>7</v>
      </c>
      <c r="O18">
        <v>4.5999999999999996</v>
      </c>
      <c r="P18">
        <v>16</v>
      </c>
      <c r="Q18">
        <v>4</v>
      </c>
      <c r="R18" s="14">
        <v>3.3</v>
      </c>
      <c r="S18">
        <v>13</v>
      </c>
      <c r="T18">
        <v>3</v>
      </c>
      <c r="U18">
        <v>14.700000000000001</v>
      </c>
      <c r="V18">
        <v>37</v>
      </c>
      <c r="W18">
        <v>6</v>
      </c>
      <c r="X18">
        <v>18</v>
      </c>
      <c r="Y18">
        <v>90</v>
      </c>
      <c r="Z18">
        <v>10</v>
      </c>
      <c r="AA18">
        <v>6</v>
      </c>
      <c r="AB18">
        <v>1</v>
      </c>
      <c r="AC18">
        <v>4</v>
      </c>
      <c r="AD18" s="21">
        <v>0.18518518518518517</v>
      </c>
      <c r="AE18" s="21">
        <v>0</v>
      </c>
      <c r="AF18">
        <v>80</v>
      </c>
      <c r="AG18">
        <v>0</v>
      </c>
      <c r="AH18">
        <v>26</v>
      </c>
      <c r="AI18">
        <v>26</v>
      </c>
      <c r="AJ18">
        <v>2</v>
      </c>
      <c r="AK18">
        <v>54</v>
      </c>
      <c r="AL18">
        <v>24</v>
      </c>
      <c r="AM18">
        <v>0</v>
      </c>
      <c r="AN18">
        <f t="shared" si="0"/>
        <v>357</v>
      </c>
      <c r="AO18">
        <v>259</v>
      </c>
      <c r="AP18">
        <v>96</v>
      </c>
      <c r="AQ18">
        <v>0</v>
      </c>
      <c r="AR18">
        <v>2</v>
      </c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</row>
    <row r="19" spans="1:84" x14ac:dyDescent="0.2">
      <c r="A19" s="39">
        <v>43716</v>
      </c>
      <c r="B19" s="25" t="s">
        <v>384</v>
      </c>
      <c r="C19" t="s">
        <v>287</v>
      </c>
      <c r="D19" s="24" t="s">
        <v>289</v>
      </c>
      <c r="E19">
        <v>27.92</v>
      </c>
      <c r="F19">
        <v>39.4</v>
      </c>
      <c r="G19">
        <v>58</v>
      </c>
      <c r="H19">
        <v>7</v>
      </c>
      <c r="I19">
        <v>7.1</v>
      </c>
      <c r="J19">
        <v>57</v>
      </c>
      <c r="K19">
        <v>3</v>
      </c>
      <c r="L19">
        <v>29.3</v>
      </c>
      <c r="M19">
        <v>123</v>
      </c>
      <c r="N19">
        <v>10</v>
      </c>
      <c r="O19">
        <v>4.9000000000000004</v>
      </c>
      <c r="P19">
        <v>29</v>
      </c>
      <c r="Q19">
        <v>3</v>
      </c>
      <c r="R19" s="14">
        <v>3.2</v>
      </c>
      <c r="S19">
        <v>12</v>
      </c>
      <c r="T19">
        <v>3</v>
      </c>
      <c r="U19">
        <v>22.1</v>
      </c>
      <c r="V19">
        <v>121</v>
      </c>
      <c r="W19">
        <v>13</v>
      </c>
      <c r="X19">
        <v>11.4</v>
      </c>
      <c r="Y19">
        <v>64</v>
      </c>
      <c r="Z19">
        <v>6</v>
      </c>
      <c r="AA19">
        <v>7</v>
      </c>
      <c r="AB19">
        <v>1</v>
      </c>
      <c r="AC19">
        <v>2</v>
      </c>
      <c r="AD19" s="21">
        <v>0.35897435897435898</v>
      </c>
      <c r="AE19" s="21">
        <v>0.10256410256410256</v>
      </c>
      <c r="AF19">
        <v>100</v>
      </c>
      <c r="AG19">
        <v>7</v>
      </c>
      <c r="AH19">
        <v>34</v>
      </c>
      <c r="AI19">
        <v>20</v>
      </c>
      <c r="AJ19">
        <v>1</v>
      </c>
      <c r="AK19">
        <v>59</v>
      </c>
      <c r="AL19">
        <v>30</v>
      </c>
      <c r="AM19">
        <v>0</v>
      </c>
      <c r="AN19">
        <f t="shared" si="0"/>
        <v>458</v>
      </c>
      <c r="AO19">
        <v>333</v>
      </c>
      <c r="AP19">
        <f>58+57+4</f>
        <v>119</v>
      </c>
      <c r="AQ19">
        <v>0</v>
      </c>
      <c r="AR19">
        <v>6</v>
      </c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</row>
    <row r="20" spans="1:84" x14ac:dyDescent="0.2">
      <c r="A20" s="39">
        <v>43716</v>
      </c>
      <c r="B20" s="25" t="s">
        <v>384</v>
      </c>
      <c r="C20" t="s">
        <v>304</v>
      </c>
      <c r="D20" s="24" t="s">
        <v>301</v>
      </c>
      <c r="E20">
        <v>10.44</v>
      </c>
      <c r="F20">
        <v>11.1</v>
      </c>
      <c r="G20">
        <v>97</v>
      </c>
      <c r="H20">
        <v>1</v>
      </c>
      <c r="I20">
        <v>17.3</v>
      </c>
      <c r="J20">
        <v>53</v>
      </c>
      <c r="K20">
        <v>0</v>
      </c>
      <c r="L20" s="14">
        <v>11.6</v>
      </c>
      <c r="M20">
        <v>46</v>
      </c>
      <c r="N20">
        <v>10</v>
      </c>
      <c r="O20">
        <v>16.600000000000001</v>
      </c>
      <c r="P20">
        <v>70</v>
      </c>
      <c r="Q20">
        <v>13</v>
      </c>
      <c r="R20">
        <v>5.9</v>
      </c>
      <c r="S20">
        <v>39</v>
      </c>
      <c r="T20">
        <v>6</v>
      </c>
      <c r="U20">
        <v>17</v>
      </c>
      <c r="V20">
        <v>70</v>
      </c>
      <c r="W20">
        <v>16</v>
      </c>
      <c r="X20">
        <v>13.7</v>
      </c>
      <c r="Y20">
        <v>27</v>
      </c>
      <c r="Z20">
        <v>6</v>
      </c>
      <c r="AA20">
        <v>15</v>
      </c>
      <c r="AB20">
        <v>4</v>
      </c>
      <c r="AC20">
        <v>9</v>
      </c>
      <c r="AD20" s="21">
        <v>0.34146341463414637</v>
      </c>
      <c r="AE20" s="21">
        <v>2.4390243902439025E-2</v>
      </c>
      <c r="AF20">
        <v>50</v>
      </c>
      <c r="AG20">
        <v>4</v>
      </c>
      <c r="AH20">
        <v>39</v>
      </c>
      <c r="AI20">
        <v>26</v>
      </c>
      <c r="AJ20">
        <v>4</v>
      </c>
      <c r="AK20">
        <v>72</v>
      </c>
      <c r="AL20">
        <v>30</v>
      </c>
      <c r="AM20">
        <v>0</v>
      </c>
      <c r="AN20">
        <f t="shared" si="0"/>
        <v>352</v>
      </c>
      <c r="AO20">
        <v>186</v>
      </c>
      <c r="AP20">
        <f>53+97+0</f>
        <v>150</v>
      </c>
      <c r="AQ20">
        <v>16</v>
      </c>
      <c r="AR20">
        <v>0</v>
      </c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</row>
    <row r="21" spans="1:84" x14ac:dyDescent="0.2">
      <c r="A21" s="39">
        <v>43716</v>
      </c>
      <c r="B21" s="25" t="s">
        <v>384</v>
      </c>
      <c r="C21" t="s">
        <v>293</v>
      </c>
      <c r="D21" s="24" t="s">
        <v>305</v>
      </c>
      <c r="E21">
        <v>11.2</v>
      </c>
      <c r="F21">
        <v>4.7</v>
      </c>
      <c r="G21">
        <v>12</v>
      </c>
      <c r="H21">
        <v>3</v>
      </c>
      <c r="I21">
        <v>2.2000000000000002</v>
      </c>
      <c r="J21">
        <v>-1</v>
      </c>
      <c r="K21">
        <v>1</v>
      </c>
      <c r="L21" s="14">
        <v>11.4</v>
      </c>
      <c r="M21">
        <v>24</v>
      </c>
      <c r="N21">
        <v>5</v>
      </c>
      <c r="O21">
        <v>10.5</v>
      </c>
      <c r="P21">
        <v>75</v>
      </c>
      <c r="Q21">
        <v>7</v>
      </c>
      <c r="R21">
        <v>3.4</v>
      </c>
      <c r="S21">
        <v>13</v>
      </c>
      <c r="T21">
        <v>4</v>
      </c>
      <c r="U21">
        <v>9.7000000000000011</v>
      </c>
      <c r="V21">
        <v>57</v>
      </c>
      <c r="W21">
        <v>6</v>
      </c>
      <c r="X21">
        <v>5.0999999999999996</v>
      </c>
      <c r="Y21">
        <v>31</v>
      </c>
      <c r="Z21">
        <v>6</v>
      </c>
      <c r="AA21">
        <v>6</v>
      </c>
      <c r="AB21">
        <v>1</v>
      </c>
      <c r="AC21">
        <v>-3</v>
      </c>
      <c r="AD21" s="21">
        <v>0.48648648648648651</v>
      </c>
      <c r="AE21" s="21">
        <v>8.1081081081081086E-2</v>
      </c>
      <c r="AF21">
        <v>36.4</v>
      </c>
      <c r="AG21">
        <v>13</v>
      </c>
      <c r="AH21">
        <v>32</v>
      </c>
      <c r="AI21">
        <v>10</v>
      </c>
      <c r="AJ21">
        <v>1</v>
      </c>
      <c r="AK21">
        <v>47</v>
      </c>
      <c r="AL21">
        <v>10</v>
      </c>
      <c r="AM21">
        <v>0</v>
      </c>
      <c r="AN21">
        <f t="shared" si="0"/>
        <v>211</v>
      </c>
      <c r="AO21">
        <v>190</v>
      </c>
      <c r="AP21">
        <v>12</v>
      </c>
      <c r="AQ21">
        <v>1</v>
      </c>
      <c r="AR21">
        <v>8</v>
      </c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</row>
    <row r="22" spans="1:84" x14ac:dyDescent="0.2">
      <c r="A22" s="39">
        <v>43716</v>
      </c>
      <c r="B22" s="25" t="s">
        <v>384</v>
      </c>
      <c r="C22" s="41" t="s">
        <v>312</v>
      </c>
      <c r="D22" s="24" t="s">
        <v>295</v>
      </c>
      <c r="E22">
        <v>14.32</v>
      </c>
      <c r="F22">
        <v>29</v>
      </c>
      <c r="G22">
        <v>111</v>
      </c>
      <c r="H22">
        <v>2</v>
      </c>
      <c r="I22">
        <v>4.9000000000000004</v>
      </c>
      <c r="J22">
        <v>49</v>
      </c>
      <c r="K22">
        <v>0</v>
      </c>
      <c r="L22">
        <v>13.3</v>
      </c>
      <c r="M22">
        <v>43</v>
      </c>
      <c r="N22">
        <v>3</v>
      </c>
      <c r="O22">
        <v>5.7</v>
      </c>
      <c r="P22">
        <v>37</v>
      </c>
      <c r="Q22">
        <v>2</v>
      </c>
      <c r="R22" s="14">
        <v>1.9</v>
      </c>
      <c r="S22">
        <v>9</v>
      </c>
      <c r="T22">
        <v>1</v>
      </c>
      <c r="U22">
        <v>3.7</v>
      </c>
      <c r="V22">
        <v>17</v>
      </c>
      <c r="W22">
        <v>2</v>
      </c>
      <c r="X22">
        <v>0</v>
      </c>
      <c r="Y22">
        <v>0</v>
      </c>
      <c r="Z22">
        <v>1</v>
      </c>
      <c r="AA22">
        <v>4</v>
      </c>
      <c r="AB22">
        <v>0</v>
      </c>
      <c r="AC22">
        <v>16</v>
      </c>
      <c r="AD22" s="21">
        <v>0.45454545454545453</v>
      </c>
      <c r="AE22" s="21">
        <v>9.0909090909090912E-2</v>
      </c>
      <c r="AF22">
        <v>100</v>
      </c>
      <c r="AG22">
        <v>0</v>
      </c>
      <c r="AH22">
        <v>10</v>
      </c>
      <c r="AI22">
        <v>32</v>
      </c>
      <c r="AJ22">
        <v>6</v>
      </c>
      <c r="AK22">
        <v>49</v>
      </c>
      <c r="AL22">
        <v>28</v>
      </c>
      <c r="AM22">
        <v>0</v>
      </c>
      <c r="AN22">
        <f t="shared" si="0"/>
        <v>270</v>
      </c>
      <c r="AO22">
        <v>98</v>
      </c>
      <c r="AP22">
        <f>111+49+8</f>
        <v>168</v>
      </c>
      <c r="AQ22">
        <v>0</v>
      </c>
      <c r="AR22">
        <v>4</v>
      </c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</row>
    <row r="23" spans="1:84" x14ac:dyDescent="0.2">
      <c r="A23" s="39">
        <v>43716</v>
      </c>
      <c r="B23" s="25" t="s">
        <v>384</v>
      </c>
      <c r="C23" t="s">
        <v>302</v>
      </c>
      <c r="D23" s="24" t="s">
        <v>309</v>
      </c>
      <c r="E23">
        <v>28.64</v>
      </c>
      <c r="F23">
        <v>1.4</v>
      </c>
      <c r="G23">
        <v>14</v>
      </c>
      <c r="H23">
        <v>0</v>
      </c>
      <c r="I23">
        <v>13.2</v>
      </c>
      <c r="J23">
        <v>26</v>
      </c>
      <c r="K23">
        <v>7</v>
      </c>
      <c r="L23">
        <v>16.38</v>
      </c>
      <c r="M23">
        <v>83</v>
      </c>
      <c r="N23">
        <v>11</v>
      </c>
      <c r="O23">
        <v>16.3</v>
      </c>
      <c r="P23">
        <v>73</v>
      </c>
      <c r="Q23">
        <v>4</v>
      </c>
      <c r="R23" s="14">
        <v>25.5</v>
      </c>
      <c r="S23">
        <v>95</v>
      </c>
      <c r="T23">
        <v>4</v>
      </c>
      <c r="U23">
        <v>55.2</v>
      </c>
      <c r="V23">
        <v>232</v>
      </c>
      <c r="W23">
        <v>17</v>
      </c>
      <c r="X23">
        <v>1.3</v>
      </c>
      <c r="Y23">
        <v>3</v>
      </c>
      <c r="Z23">
        <v>2</v>
      </c>
      <c r="AA23">
        <v>16</v>
      </c>
      <c r="AB23">
        <v>4</v>
      </c>
      <c r="AC23">
        <v>10</v>
      </c>
      <c r="AD23" s="21">
        <v>0.43243243243243246</v>
      </c>
      <c r="AE23" s="21">
        <v>2.7027027027027029E-2</v>
      </c>
      <c r="AF23">
        <v>58.3</v>
      </c>
      <c r="AG23">
        <v>0</v>
      </c>
      <c r="AH23">
        <v>36</v>
      </c>
      <c r="AI23">
        <f>12+16</f>
        <v>28</v>
      </c>
      <c r="AJ23">
        <v>0</v>
      </c>
      <c r="AK23">
        <v>67</v>
      </c>
      <c r="AL23">
        <v>33</v>
      </c>
      <c r="AM23">
        <v>0</v>
      </c>
      <c r="AN23">
        <f t="shared" si="0"/>
        <v>432</v>
      </c>
      <c r="AO23">
        <v>341</v>
      </c>
      <c r="AP23">
        <f>44+26+14+7</f>
        <v>91</v>
      </c>
      <c r="AQ23">
        <v>0</v>
      </c>
      <c r="AR23">
        <v>0</v>
      </c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</row>
    <row r="24" spans="1:84" x14ac:dyDescent="0.2">
      <c r="A24" s="39">
        <v>43716</v>
      </c>
      <c r="B24" s="25" t="s">
        <v>384</v>
      </c>
      <c r="C24" s="41" t="s">
        <v>307</v>
      </c>
      <c r="D24" s="24" t="s">
        <v>311</v>
      </c>
      <c r="E24">
        <f>24.8+2.7</f>
        <v>27.5</v>
      </c>
      <c r="F24">
        <v>23.9</v>
      </c>
      <c r="G24">
        <v>97</v>
      </c>
      <c r="H24">
        <v>8</v>
      </c>
      <c r="I24">
        <v>12.7</v>
      </c>
      <c r="J24">
        <v>43</v>
      </c>
      <c r="K24">
        <v>3</v>
      </c>
      <c r="L24">
        <v>25.3</v>
      </c>
      <c r="M24">
        <v>123</v>
      </c>
      <c r="N24">
        <v>13</v>
      </c>
      <c r="O24">
        <v>20.100000000000001</v>
      </c>
      <c r="P24">
        <v>101</v>
      </c>
      <c r="Q24">
        <v>7</v>
      </c>
      <c r="R24" s="14">
        <v>10.6</v>
      </c>
      <c r="S24">
        <v>26</v>
      </c>
      <c r="T24">
        <v>2</v>
      </c>
      <c r="U24">
        <v>37.299999999999997</v>
      </c>
      <c r="V24">
        <v>193</v>
      </c>
      <c r="W24">
        <v>14</v>
      </c>
      <c r="X24">
        <v>4.9000000000000004</v>
      </c>
      <c r="Y24">
        <v>35</v>
      </c>
      <c r="Z24">
        <v>4</v>
      </c>
      <c r="AA24">
        <v>15</v>
      </c>
      <c r="AB24">
        <v>4</v>
      </c>
      <c r="AC24">
        <v>7</v>
      </c>
      <c r="AD24" s="21">
        <v>0.18181818181818182</v>
      </c>
      <c r="AE24" s="21">
        <v>2.2727272727272728E-2</v>
      </c>
      <c r="AF24">
        <v>60</v>
      </c>
      <c r="AG24">
        <v>2</v>
      </c>
      <c r="AH24">
        <v>43</v>
      </c>
      <c r="AI24">
        <v>19</v>
      </c>
      <c r="AJ24">
        <v>2</v>
      </c>
      <c r="AK24">
        <v>65</v>
      </c>
      <c r="AL24">
        <v>30</v>
      </c>
      <c r="AM24">
        <v>0</v>
      </c>
      <c r="AN24">
        <f t="shared" si="0"/>
        <v>518</v>
      </c>
      <c r="AO24">
        <v>370</v>
      </c>
      <c r="AP24">
        <f>97+43</f>
        <v>140</v>
      </c>
      <c r="AQ24">
        <v>0</v>
      </c>
      <c r="AR24">
        <v>8</v>
      </c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</row>
    <row r="25" spans="1:84" x14ac:dyDescent="0.2">
      <c r="A25" s="39">
        <v>43716</v>
      </c>
      <c r="B25" s="25" t="s">
        <v>384</v>
      </c>
      <c r="C25" t="s">
        <v>296</v>
      </c>
      <c r="D25" s="24" t="s">
        <v>291</v>
      </c>
      <c r="E25">
        <v>18.84</v>
      </c>
      <c r="F25">
        <v>20.9</v>
      </c>
      <c r="G25">
        <v>120</v>
      </c>
      <c r="H25">
        <v>6</v>
      </c>
      <c r="I25">
        <v>13.1</v>
      </c>
      <c r="J25">
        <v>17</v>
      </c>
      <c r="K25">
        <v>3</v>
      </c>
      <c r="L25">
        <v>10.199999999999999</v>
      </c>
      <c r="M25">
        <v>45</v>
      </c>
      <c r="N25">
        <v>7</v>
      </c>
      <c r="O25">
        <v>10.4</v>
      </c>
      <c r="P25">
        <v>74</v>
      </c>
      <c r="Q25">
        <v>8</v>
      </c>
      <c r="R25" s="14">
        <v>9</v>
      </c>
      <c r="S25">
        <v>40</v>
      </c>
      <c r="T25">
        <v>5</v>
      </c>
      <c r="U25">
        <v>22.9</v>
      </c>
      <c r="V25">
        <v>109</v>
      </c>
      <c r="W25">
        <v>15</v>
      </c>
      <c r="X25">
        <f>31.6+1.8</f>
        <v>33.4</v>
      </c>
      <c r="Y25">
        <v>124</v>
      </c>
      <c r="Z25">
        <v>16</v>
      </c>
      <c r="AA25">
        <v>5</v>
      </c>
      <c r="AB25">
        <v>1</v>
      </c>
      <c r="AC25">
        <v>-4</v>
      </c>
      <c r="AD25" s="21">
        <v>0.27450980392156865</v>
      </c>
      <c r="AE25" s="21">
        <v>1.9607843137254902E-2</v>
      </c>
      <c r="AF25">
        <v>50</v>
      </c>
      <c r="AG25">
        <v>6</v>
      </c>
      <c r="AH25">
        <v>48</v>
      </c>
      <c r="AI25">
        <v>15</v>
      </c>
      <c r="AJ25">
        <v>2</v>
      </c>
      <c r="AK25">
        <v>66</v>
      </c>
      <c r="AL25">
        <v>17</v>
      </c>
      <c r="AM25">
        <v>0</v>
      </c>
      <c r="AN25">
        <f t="shared" si="0"/>
        <v>474</v>
      </c>
      <c r="AO25">
        <f>306+17</f>
        <v>323</v>
      </c>
      <c r="AP25">
        <f>120+17+3</f>
        <v>140</v>
      </c>
      <c r="AQ25">
        <v>0</v>
      </c>
      <c r="AR25">
        <v>11</v>
      </c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</row>
    <row r="26" spans="1:84" x14ac:dyDescent="0.2">
      <c r="A26" s="39">
        <v>43716</v>
      </c>
      <c r="B26" s="25" t="s">
        <v>384</v>
      </c>
      <c r="C26" s="18" t="s">
        <v>298</v>
      </c>
      <c r="D26" s="24" t="s">
        <v>276</v>
      </c>
      <c r="E26">
        <v>13</v>
      </c>
      <c r="F26">
        <v>23.2</v>
      </c>
      <c r="G26">
        <v>60</v>
      </c>
      <c r="H26">
        <v>9</v>
      </c>
      <c r="I26">
        <v>0.4</v>
      </c>
      <c r="J26">
        <v>4</v>
      </c>
      <c r="K26">
        <v>0</v>
      </c>
      <c r="L26">
        <v>24.3</v>
      </c>
      <c r="M26">
        <v>99</v>
      </c>
      <c r="N26">
        <v>17</v>
      </c>
      <c r="O26">
        <v>5.3</v>
      </c>
      <c r="P26">
        <v>23</v>
      </c>
      <c r="Q26">
        <v>7</v>
      </c>
      <c r="R26" s="14">
        <v>-0.4</v>
      </c>
      <c r="S26">
        <v>-4</v>
      </c>
      <c r="T26">
        <v>3</v>
      </c>
      <c r="U26">
        <v>18.7</v>
      </c>
      <c r="V26">
        <v>77</v>
      </c>
      <c r="W26">
        <v>13</v>
      </c>
      <c r="X26">
        <v>4</v>
      </c>
      <c r="Y26">
        <v>10</v>
      </c>
      <c r="Z26">
        <v>4</v>
      </c>
      <c r="AA26">
        <v>0</v>
      </c>
      <c r="AB26">
        <v>1</v>
      </c>
      <c r="AC26">
        <v>18</v>
      </c>
      <c r="AD26" s="21">
        <v>0.38297872340425532</v>
      </c>
      <c r="AE26" s="21">
        <v>8.5106382978723402E-2</v>
      </c>
      <c r="AF26">
        <v>75</v>
      </c>
      <c r="AG26">
        <v>10</v>
      </c>
      <c r="AH26">
        <v>41</v>
      </c>
      <c r="AI26">
        <v>19</v>
      </c>
      <c r="AJ26">
        <v>1</v>
      </c>
      <c r="AK26">
        <v>66</v>
      </c>
      <c r="AL26">
        <f>16-AM26</f>
        <v>7</v>
      </c>
      <c r="AM26">
        <v>9</v>
      </c>
      <c r="AN26">
        <f t="shared" si="0"/>
        <v>243</v>
      </c>
      <c r="AO26">
        <v>175</v>
      </c>
      <c r="AP26">
        <f>60+4</f>
        <v>64</v>
      </c>
      <c r="AQ26">
        <v>4</v>
      </c>
      <c r="AR26">
        <v>0</v>
      </c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</row>
    <row r="27" spans="1:84" s="3" customFormat="1" x14ac:dyDescent="0.2">
      <c r="A27" s="39">
        <v>43716</v>
      </c>
      <c r="B27" s="25" t="s">
        <v>384</v>
      </c>
      <c r="C27" s="18" t="s">
        <v>294</v>
      </c>
      <c r="D27" s="24" t="s">
        <v>306</v>
      </c>
      <c r="E27">
        <v>28.02</v>
      </c>
      <c r="F27">
        <v>3.7</v>
      </c>
      <c r="G27">
        <v>25</v>
      </c>
      <c r="H27">
        <v>2</v>
      </c>
      <c r="I27">
        <v>11.3</v>
      </c>
      <c r="J27">
        <v>47</v>
      </c>
      <c r="K27">
        <v>3</v>
      </c>
      <c r="L27">
        <v>22.1</v>
      </c>
      <c r="M27">
        <v>49</v>
      </c>
      <c r="N27">
        <v>6</v>
      </c>
      <c r="O27">
        <v>38.4</v>
      </c>
      <c r="P27">
        <v>154</v>
      </c>
      <c r="Q27">
        <v>10</v>
      </c>
      <c r="R27" s="14">
        <v>3.1</v>
      </c>
      <c r="S27">
        <v>11</v>
      </c>
      <c r="T27">
        <v>5</v>
      </c>
      <c r="U27">
        <v>43.5</v>
      </c>
      <c r="V27">
        <v>155</v>
      </c>
      <c r="W27">
        <v>14</v>
      </c>
      <c r="X27">
        <f>10.4+3.6</f>
        <v>14</v>
      </c>
      <c r="Y27">
        <f>54+16</f>
        <v>70</v>
      </c>
      <c r="Z27">
        <v>10</v>
      </c>
      <c r="AA27">
        <v>6</v>
      </c>
      <c r="AB27">
        <v>1</v>
      </c>
      <c r="AC27">
        <v>1</v>
      </c>
      <c r="AD27" s="21">
        <v>0.26829268292682928</v>
      </c>
      <c r="AE27" s="21">
        <v>2.4390243902439025E-2</v>
      </c>
      <c r="AF27">
        <v>90</v>
      </c>
      <c r="AG27">
        <v>0</v>
      </c>
      <c r="AH27">
        <v>39</v>
      </c>
      <c r="AI27">
        <f>11+6+9</f>
        <v>26</v>
      </c>
      <c r="AJ27">
        <v>4</v>
      </c>
      <c r="AK27">
        <v>71</v>
      </c>
      <c r="AL27">
        <v>32</v>
      </c>
      <c r="AM27">
        <v>0</v>
      </c>
      <c r="AN27">
        <f t="shared" si="0"/>
        <v>436</v>
      </c>
      <c r="AO27">
        <v>313</v>
      </c>
      <c r="AP27">
        <f>47+44+25</f>
        <v>116</v>
      </c>
      <c r="AQ27">
        <v>2</v>
      </c>
      <c r="AR27">
        <v>5</v>
      </c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</row>
    <row r="28" spans="1:84" s="3" customFormat="1" x14ac:dyDescent="0.2">
      <c r="A28" s="39">
        <v>43716</v>
      </c>
      <c r="B28" s="25" t="s">
        <v>384</v>
      </c>
      <c r="C28" s="18" t="s">
        <v>309</v>
      </c>
      <c r="D28" s="24" t="s">
        <v>302</v>
      </c>
      <c r="E28">
        <v>10.74</v>
      </c>
      <c r="F28">
        <v>10.5</v>
      </c>
      <c r="G28">
        <v>21</v>
      </c>
      <c r="H28">
        <v>4</v>
      </c>
      <c r="I28">
        <v>1.6</v>
      </c>
      <c r="J28">
        <v>4</v>
      </c>
      <c r="K28">
        <v>2</v>
      </c>
      <c r="L28">
        <v>13.8</v>
      </c>
      <c r="M28">
        <v>78</v>
      </c>
      <c r="N28">
        <v>8</v>
      </c>
      <c r="O28">
        <v>3.7</v>
      </c>
      <c r="P28">
        <v>7</v>
      </c>
      <c r="Q28">
        <v>10</v>
      </c>
      <c r="R28" s="14">
        <v>8.9</v>
      </c>
      <c r="S28">
        <v>29</v>
      </c>
      <c r="T28">
        <v>6</v>
      </c>
      <c r="U28">
        <v>20</v>
      </c>
      <c r="V28">
        <v>100</v>
      </c>
      <c r="W28">
        <v>17</v>
      </c>
      <c r="X28">
        <v>6</v>
      </c>
      <c r="Y28">
        <v>40</v>
      </c>
      <c r="Z28">
        <v>4</v>
      </c>
      <c r="AA28">
        <v>3</v>
      </c>
      <c r="AB28">
        <v>1</v>
      </c>
      <c r="AC28">
        <v>0</v>
      </c>
      <c r="AD28" s="21">
        <v>0.22448979591836735</v>
      </c>
      <c r="AE28" s="21">
        <v>2.0408163265306121E-2</v>
      </c>
      <c r="AF28">
        <v>55.6</v>
      </c>
      <c r="AG28">
        <v>10</v>
      </c>
      <c r="AH28">
        <v>47</v>
      </c>
      <c r="AI28">
        <v>12</v>
      </c>
      <c r="AJ28">
        <v>1</v>
      </c>
      <c r="AK28">
        <v>61</v>
      </c>
      <c r="AL28">
        <v>3</v>
      </c>
      <c r="AM28">
        <v>0</v>
      </c>
      <c r="AN28">
        <f t="shared" si="0"/>
        <v>308</v>
      </c>
      <c r="AO28">
        <v>276</v>
      </c>
      <c r="AP28">
        <v>25</v>
      </c>
      <c r="AQ28">
        <v>0</v>
      </c>
      <c r="AR28">
        <v>7</v>
      </c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</row>
    <row r="29" spans="1:84" s="3" customFormat="1" x14ac:dyDescent="0.2">
      <c r="A29" s="39">
        <v>43716</v>
      </c>
      <c r="B29" s="25" t="s">
        <v>384</v>
      </c>
      <c r="C29" s="38" t="s">
        <v>256</v>
      </c>
      <c r="D29" s="24" t="s">
        <v>284</v>
      </c>
      <c r="E29">
        <v>11.4</v>
      </c>
      <c r="F29">
        <f>7.6+3.7</f>
        <v>11.3</v>
      </c>
      <c r="G29">
        <v>60</v>
      </c>
      <c r="H29">
        <v>3</v>
      </c>
      <c r="I29">
        <v>5</v>
      </c>
      <c r="J29">
        <v>40</v>
      </c>
      <c r="K29">
        <v>1</v>
      </c>
      <c r="L29">
        <v>5.7</v>
      </c>
      <c r="M29">
        <v>17</v>
      </c>
      <c r="N29">
        <v>3</v>
      </c>
      <c r="O29">
        <v>1.7</v>
      </c>
      <c r="P29">
        <v>7</v>
      </c>
      <c r="Q29">
        <v>3</v>
      </c>
      <c r="R29">
        <v>10.9</v>
      </c>
      <c r="S29">
        <v>39</v>
      </c>
      <c r="T29">
        <v>2</v>
      </c>
      <c r="U29">
        <v>22.1</v>
      </c>
      <c r="V29">
        <v>91</v>
      </c>
      <c r="W29">
        <v>8</v>
      </c>
      <c r="X29" s="14">
        <v>13.4</v>
      </c>
      <c r="Y29">
        <v>54</v>
      </c>
      <c r="Z29">
        <v>10</v>
      </c>
      <c r="AA29">
        <v>12</v>
      </c>
      <c r="AB29">
        <v>4</v>
      </c>
      <c r="AC29">
        <v>27</v>
      </c>
      <c r="AD29" s="21">
        <v>0.17857142857142858</v>
      </c>
      <c r="AE29" s="21">
        <v>3.5714285714285712E-2</v>
      </c>
      <c r="AF29">
        <v>75</v>
      </c>
      <c r="AG29">
        <v>12</v>
      </c>
      <c r="AH29">
        <v>27</v>
      </c>
      <c r="AI29">
        <f>15+9+6</f>
        <v>30</v>
      </c>
      <c r="AJ29">
        <v>2</v>
      </c>
      <c r="AK29">
        <v>60</v>
      </c>
      <c r="AL29">
        <f>31-14</f>
        <v>17</v>
      </c>
      <c r="AM29">
        <v>14</v>
      </c>
      <c r="AN29">
        <f>AO29+AP29+AR29+AQ29</f>
        <v>264</v>
      </c>
      <c r="AO29">
        <v>166</v>
      </c>
      <c r="AP29">
        <f>23+40+37</f>
        <v>100</v>
      </c>
      <c r="AQ29">
        <v>0</v>
      </c>
      <c r="AR29">
        <v>-2</v>
      </c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</row>
    <row r="30" spans="1:84" x14ac:dyDescent="0.2">
      <c r="A30" s="39">
        <v>43716</v>
      </c>
      <c r="B30" s="25" t="s">
        <v>384</v>
      </c>
      <c r="C30" s="18" t="s">
        <v>308</v>
      </c>
      <c r="D30" s="24" t="s">
        <v>272</v>
      </c>
      <c r="E30">
        <v>16.64</v>
      </c>
      <c r="F30">
        <v>25.1</v>
      </c>
      <c r="G30">
        <v>46</v>
      </c>
      <c r="H30">
        <v>7</v>
      </c>
      <c r="I30">
        <v>1.8</v>
      </c>
      <c r="J30">
        <v>18</v>
      </c>
      <c r="K30">
        <v>0</v>
      </c>
      <c r="L30">
        <v>11.4</v>
      </c>
      <c r="M30">
        <v>44</v>
      </c>
      <c r="N30">
        <v>2</v>
      </c>
      <c r="O30">
        <v>12.9</v>
      </c>
      <c r="P30">
        <v>89</v>
      </c>
      <c r="Q30">
        <v>6</v>
      </c>
      <c r="R30" s="14">
        <v>0</v>
      </c>
      <c r="S30">
        <v>0</v>
      </c>
      <c r="T30">
        <v>0</v>
      </c>
      <c r="U30">
        <v>17.2</v>
      </c>
      <c r="V30">
        <v>72</v>
      </c>
      <c r="W30">
        <v>5</v>
      </c>
      <c r="X30">
        <v>5.8</v>
      </c>
      <c r="Y30">
        <v>28</v>
      </c>
      <c r="Z30">
        <v>4</v>
      </c>
      <c r="AA30">
        <v>3</v>
      </c>
      <c r="AB30">
        <v>3</v>
      </c>
      <c r="AC30">
        <v>12</v>
      </c>
      <c r="AD30" s="21">
        <v>0.45833333333333331</v>
      </c>
      <c r="AE30" s="21">
        <v>0.16666666666666666</v>
      </c>
      <c r="AF30">
        <v>66.7</v>
      </c>
      <c r="AG30">
        <v>6</v>
      </c>
      <c r="AH30">
        <v>20</v>
      </c>
      <c r="AI30">
        <f>15+6</f>
        <v>21</v>
      </c>
      <c r="AJ30">
        <v>4</v>
      </c>
      <c r="AK30">
        <v>49</v>
      </c>
      <c r="AL30">
        <v>21</v>
      </c>
      <c r="AM30">
        <v>0</v>
      </c>
      <c r="AN30">
        <f>SUM(AO30:AR30)</f>
        <v>268</v>
      </c>
      <c r="AO30">
        <v>196</v>
      </c>
      <c r="AP30">
        <f>46+18</f>
        <v>64</v>
      </c>
      <c r="AQ30">
        <v>0</v>
      </c>
      <c r="AR30">
        <v>8</v>
      </c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</row>
    <row r="31" spans="1:84" x14ac:dyDescent="0.2">
      <c r="A31" s="39">
        <v>43716</v>
      </c>
      <c r="B31" s="25" t="s">
        <v>384</v>
      </c>
      <c r="C31" s="18" t="s">
        <v>284</v>
      </c>
      <c r="D31" s="24" t="s">
        <v>256</v>
      </c>
      <c r="E31">
        <v>10.6</v>
      </c>
      <c r="F31">
        <v>10.3</v>
      </c>
      <c r="G31">
        <v>75</v>
      </c>
      <c r="H31">
        <v>1</v>
      </c>
      <c r="I31">
        <v>6.5</v>
      </c>
      <c r="J31">
        <v>33</v>
      </c>
      <c r="K31">
        <v>4</v>
      </c>
      <c r="L31">
        <v>4.8</v>
      </c>
      <c r="M31">
        <v>28</v>
      </c>
      <c r="N31">
        <v>5</v>
      </c>
      <c r="O31">
        <v>14.3</v>
      </c>
      <c r="P31">
        <v>53</v>
      </c>
      <c r="Q31">
        <v>6</v>
      </c>
      <c r="R31" s="14">
        <v>3</v>
      </c>
      <c r="S31">
        <v>10</v>
      </c>
      <c r="T31">
        <v>5</v>
      </c>
      <c r="U31">
        <v>7.6999999999999993</v>
      </c>
      <c r="V31">
        <v>47</v>
      </c>
      <c r="W31">
        <v>5</v>
      </c>
      <c r="X31">
        <v>6.2</v>
      </c>
      <c r="Y31">
        <v>40</v>
      </c>
      <c r="Z31">
        <v>5</v>
      </c>
      <c r="AA31">
        <v>5</v>
      </c>
      <c r="AB31">
        <v>1</v>
      </c>
      <c r="AC31">
        <v>12</v>
      </c>
      <c r="AD31" s="21">
        <v>0.38095238095238093</v>
      </c>
      <c r="AE31" s="21">
        <v>7.1428571428571425E-2</v>
      </c>
      <c r="AF31">
        <v>33.299999999999997</v>
      </c>
      <c r="AG31">
        <v>27</v>
      </c>
      <c r="AH31">
        <v>36</v>
      </c>
      <c r="AI31">
        <f>13+8</f>
        <v>21</v>
      </c>
      <c r="AJ31">
        <v>5</v>
      </c>
      <c r="AK31">
        <f>AH31+AI31+AJ31+AB31</f>
        <v>63</v>
      </c>
      <c r="AL31">
        <f>17-AM31</f>
        <v>10</v>
      </c>
      <c r="AM31">
        <v>7</v>
      </c>
      <c r="AN31">
        <f>AO31+AP31+AQ31+AR31</f>
        <v>315</v>
      </c>
      <c r="AO31">
        <v>194</v>
      </c>
      <c r="AP31">
        <f>75+33</f>
        <v>108</v>
      </c>
      <c r="AQ31">
        <v>0</v>
      </c>
      <c r="AR31">
        <v>13</v>
      </c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</row>
    <row r="32" spans="1:84" x14ac:dyDescent="0.2">
      <c r="A32" s="39">
        <v>43716</v>
      </c>
      <c r="B32" s="25" t="s">
        <v>384</v>
      </c>
      <c r="C32" s="18" t="s">
        <v>310</v>
      </c>
      <c r="D32" s="24" t="s">
        <v>281</v>
      </c>
      <c r="E32">
        <v>24.3</v>
      </c>
      <c r="F32">
        <v>28.9</v>
      </c>
      <c r="G32">
        <v>84</v>
      </c>
      <c r="H32">
        <v>2</v>
      </c>
      <c r="I32">
        <v>4.3</v>
      </c>
      <c r="J32">
        <v>7</v>
      </c>
      <c r="K32">
        <v>4</v>
      </c>
      <c r="L32">
        <v>0</v>
      </c>
      <c r="M32">
        <v>0</v>
      </c>
      <c r="N32">
        <v>3</v>
      </c>
      <c r="O32">
        <v>16</v>
      </c>
      <c r="P32">
        <v>100</v>
      </c>
      <c r="Q32">
        <v>4</v>
      </c>
      <c r="R32" s="14">
        <v>1.5</v>
      </c>
      <c r="S32">
        <v>5</v>
      </c>
      <c r="T32">
        <v>1</v>
      </c>
      <c r="U32">
        <v>4.4000000000000004</v>
      </c>
      <c r="V32">
        <v>14</v>
      </c>
      <c r="W32">
        <v>5</v>
      </c>
      <c r="X32">
        <f>22.5+2.7</f>
        <v>25.2</v>
      </c>
      <c r="Y32">
        <v>62</v>
      </c>
      <c r="Z32">
        <v>8</v>
      </c>
      <c r="AA32">
        <v>13</v>
      </c>
      <c r="AB32">
        <v>2</v>
      </c>
      <c r="AC32">
        <v>23</v>
      </c>
      <c r="AD32" s="21">
        <v>0.43333333333333335</v>
      </c>
      <c r="AE32" s="21">
        <v>0.13333333333333333</v>
      </c>
      <c r="AF32">
        <v>85.7</v>
      </c>
      <c r="AG32">
        <v>0</v>
      </c>
      <c r="AH32">
        <v>24</v>
      </c>
      <c r="AI32">
        <v>22</v>
      </c>
      <c r="AJ32">
        <v>3</v>
      </c>
      <c r="AK32">
        <v>56</v>
      </c>
      <c r="AL32">
        <f>43-AM32</f>
        <v>34</v>
      </c>
      <c r="AM32">
        <v>9</v>
      </c>
      <c r="AN32">
        <f t="shared" ref="AN32:AN38" si="1">SUM(AO32:AR32)</f>
        <v>373</v>
      </c>
      <c r="AO32">
        <v>248</v>
      </c>
      <c r="AP32">
        <v>91</v>
      </c>
      <c r="AQ32">
        <v>10</v>
      </c>
      <c r="AR32">
        <v>24</v>
      </c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</row>
    <row r="33" spans="1:84" x14ac:dyDescent="0.2">
      <c r="A33" s="39">
        <v>43716</v>
      </c>
      <c r="B33" s="25" t="s">
        <v>384</v>
      </c>
      <c r="C33" s="18" t="s">
        <v>306</v>
      </c>
      <c r="D33" s="24" t="s">
        <v>294</v>
      </c>
      <c r="E33">
        <v>30.2</v>
      </c>
      <c r="F33">
        <v>6.8</v>
      </c>
      <c r="G33">
        <v>18</v>
      </c>
      <c r="H33">
        <v>3</v>
      </c>
      <c r="I33">
        <v>14.8</v>
      </c>
      <c r="J33">
        <v>10</v>
      </c>
      <c r="K33">
        <v>10</v>
      </c>
      <c r="L33">
        <v>26.5</v>
      </c>
      <c r="M33">
        <v>125</v>
      </c>
      <c r="N33">
        <v>7</v>
      </c>
      <c r="O33">
        <v>7.6</v>
      </c>
      <c r="P33">
        <v>36</v>
      </c>
      <c r="Q33">
        <v>7</v>
      </c>
      <c r="R33" s="14">
        <v>13.3</v>
      </c>
      <c r="S33">
        <v>33</v>
      </c>
      <c r="T33">
        <v>6</v>
      </c>
      <c r="U33">
        <v>20.399999999999999</v>
      </c>
      <c r="V33">
        <v>74</v>
      </c>
      <c r="W33">
        <v>9</v>
      </c>
      <c r="X33">
        <f>15.9+1.8</f>
        <v>17.7</v>
      </c>
      <c r="Y33">
        <v>67</v>
      </c>
      <c r="Z33">
        <v>8</v>
      </c>
      <c r="AA33">
        <v>11</v>
      </c>
      <c r="AB33">
        <v>2</v>
      </c>
      <c r="AC33">
        <v>0</v>
      </c>
      <c r="AD33" s="21">
        <v>0.42222222222222222</v>
      </c>
      <c r="AE33" s="21">
        <v>2.2222222222222223E-2</v>
      </c>
      <c r="AF33">
        <v>73.3</v>
      </c>
      <c r="AG33">
        <v>1</v>
      </c>
      <c r="AH33">
        <v>44</v>
      </c>
      <c r="AI33">
        <v>13</v>
      </c>
      <c r="AJ33">
        <v>0</v>
      </c>
      <c r="AK33">
        <v>58</v>
      </c>
      <c r="AL33">
        <v>27</v>
      </c>
      <c r="AM33">
        <v>0</v>
      </c>
      <c r="AN33">
        <f t="shared" si="1"/>
        <v>408</v>
      </c>
      <c r="AO33">
        <v>380</v>
      </c>
      <c r="AP33">
        <v>28</v>
      </c>
      <c r="AQ33">
        <v>0</v>
      </c>
      <c r="AR33">
        <v>0</v>
      </c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</row>
    <row r="34" spans="1:84" x14ac:dyDescent="0.2">
      <c r="A34" s="39">
        <v>43723</v>
      </c>
      <c r="B34" s="25" t="s">
        <v>383</v>
      </c>
      <c r="C34" t="s">
        <v>285</v>
      </c>
      <c r="D34" s="24" t="s">
        <v>305</v>
      </c>
      <c r="E34">
        <v>19.36</v>
      </c>
      <c r="F34">
        <v>8.4</v>
      </c>
      <c r="G34">
        <v>14</v>
      </c>
      <c r="H34">
        <v>1</v>
      </c>
      <c r="I34">
        <v>3.7</v>
      </c>
      <c r="J34">
        <v>2</v>
      </c>
      <c r="K34">
        <v>2</v>
      </c>
      <c r="L34">
        <v>18.399999999999999</v>
      </c>
      <c r="M34">
        <v>104</v>
      </c>
      <c r="N34">
        <v>11</v>
      </c>
      <c r="O34">
        <v>20.399999999999999</v>
      </c>
      <c r="P34">
        <v>114</v>
      </c>
      <c r="Q34">
        <v>8</v>
      </c>
      <c r="R34" s="14">
        <v>10.5</v>
      </c>
      <c r="S34">
        <v>45</v>
      </c>
      <c r="T34">
        <v>7</v>
      </c>
      <c r="U34">
        <v>28.200000000000003</v>
      </c>
      <c r="V34">
        <v>172</v>
      </c>
      <c r="W34">
        <v>17</v>
      </c>
      <c r="X34">
        <v>4.7</v>
      </c>
      <c r="Y34">
        <v>27</v>
      </c>
      <c r="Z34">
        <v>3</v>
      </c>
      <c r="AA34">
        <v>9</v>
      </c>
      <c r="AB34">
        <v>3</v>
      </c>
      <c r="AC34">
        <v>2</v>
      </c>
      <c r="AD34" s="21">
        <v>0.34090909090909088</v>
      </c>
      <c r="AE34" s="21">
        <v>6.8181818181818177E-2</v>
      </c>
      <c r="AF34">
        <v>62.5</v>
      </c>
      <c r="AG34">
        <v>4</v>
      </c>
      <c r="AH34">
        <v>40</v>
      </c>
      <c r="AI34">
        <v>8</v>
      </c>
      <c r="AJ34">
        <v>3</v>
      </c>
      <c r="AK34">
        <v>54</v>
      </c>
      <c r="AL34">
        <v>17</v>
      </c>
      <c r="AM34">
        <v>0</v>
      </c>
      <c r="AN34">
        <f t="shared" si="1"/>
        <v>369</v>
      </c>
      <c r="AO34">
        <v>349</v>
      </c>
      <c r="AP34">
        <v>16</v>
      </c>
      <c r="AQ34">
        <v>0</v>
      </c>
      <c r="AR34">
        <v>4</v>
      </c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</row>
    <row r="35" spans="1:84" x14ac:dyDescent="0.2">
      <c r="A35" s="39">
        <v>43723</v>
      </c>
      <c r="B35" s="25" t="s">
        <v>383</v>
      </c>
      <c r="C35" t="s">
        <v>295</v>
      </c>
      <c r="D35" s="24" t="s">
        <v>294</v>
      </c>
      <c r="E35">
        <v>25.1</v>
      </c>
      <c r="F35">
        <v>9.4</v>
      </c>
      <c r="G35">
        <v>22</v>
      </c>
      <c r="H35">
        <v>4</v>
      </c>
      <c r="I35">
        <v>6.5</v>
      </c>
      <c r="J35">
        <v>32</v>
      </c>
      <c r="K35">
        <v>3</v>
      </c>
      <c r="L35">
        <v>30.6</v>
      </c>
      <c r="M35">
        <v>106</v>
      </c>
      <c r="N35">
        <v>10</v>
      </c>
      <c r="O35">
        <v>27.5</v>
      </c>
      <c r="P35">
        <v>105</v>
      </c>
      <c r="Q35">
        <v>10</v>
      </c>
      <c r="R35" s="14">
        <v>5.6</v>
      </c>
      <c r="S35">
        <v>16</v>
      </c>
      <c r="T35">
        <v>7</v>
      </c>
      <c r="U35">
        <v>10.9</v>
      </c>
      <c r="V35">
        <v>39</v>
      </c>
      <c r="W35">
        <v>9</v>
      </c>
      <c r="X35">
        <v>8.8000000000000007</v>
      </c>
      <c r="Y35">
        <v>38</v>
      </c>
      <c r="Z35">
        <v>7</v>
      </c>
      <c r="AA35">
        <v>8</v>
      </c>
      <c r="AB35">
        <v>2</v>
      </c>
      <c r="AC35">
        <v>10</v>
      </c>
      <c r="AD35" s="21">
        <v>0.37777777777777777</v>
      </c>
      <c r="AE35" s="21">
        <v>2.2222222222222223E-2</v>
      </c>
      <c r="AF35">
        <v>57.1</v>
      </c>
      <c r="AG35">
        <v>7</v>
      </c>
      <c r="AH35">
        <v>43</v>
      </c>
      <c r="AI35">
        <v>15</v>
      </c>
      <c r="AJ35">
        <v>2</v>
      </c>
      <c r="AK35">
        <v>61</v>
      </c>
      <c r="AL35">
        <v>24</v>
      </c>
      <c r="AM35">
        <v>0</v>
      </c>
      <c r="AN35">
        <f t="shared" si="1"/>
        <v>377</v>
      </c>
      <c r="AO35">
        <v>320</v>
      </c>
      <c r="AP35">
        <f>22+32</f>
        <v>54</v>
      </c>
      <c r="AQ35">
        <v>0</v>
      </c>
      <c r="AR35">
        <v>3</v>
      </c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</row>
    <row r="36" spans="1:84" x14ac:dyDescent="0.2">
      <c r="A36" s="39">
        <v>43723</v>
      </c>
      <c r="B36" s="25" t="s">
        <v>383</v>
      </c>
      <c r="C36" s="41" t="s">
        <v>305</v>
      </c>
      <c r="D36" s="24" t="s">
        <v>285</v>
      </c>
      <c r="E36">
        <v>33.880000000000003</v>
      </c>
      <c r="F36">
        <v>9.6999999999999993</v>
      </c>
      <c r="G36">
        <v>47</v>
      </c>
      <c r="H36">
        <v>2</v>
      </c>
      <c r="I36">
        <v>1.1000000000000001</v>
      </c>
      <c r="J36">
        <v>11</v>
      </c>
      <c r="K36">
        <v>0</v>
      </c>
      <c r="L36">
        <v>16.600000000000001</v>
      </c>
      <c r="M36">
        <v>86</v>
      </c>
      <c r="N36">
        <v>13</v>
      </c>
      <c r="O36">
        <v>1.5</v>
      </c>
      <c r="P36">
        <v>5</v>
      </c>
      <c r="Q36">
        <v>1</v>
      </c>
      <c r="R36" s="14">
        <v>0</v>
      </c>
      <c r="S36">
        <v>0</v>
      </c>
      <c r="T36">
        <v>0</v>
      </c>
      <c r="U36">
        <v>33.900000000000006</v>
      </c>
      <c r="V36">
        <v>149</v>
      </c>
      <c r="W36">
        <v>17</v>
      </c>
      <c r="X36">
        <f>28.2+7.1+2.4</f>
        <v>37.699999999999996</v>
      </c>
      <c r="Y36">
        <f>112+15</f>
        <v>127</v>
      </c>
      <c r="Z36">
        <v>13</v>
      </c>
      <c r="AA36">
        <v>13</v>
      </c>
      <c r="AB36">
        <v>3</v>
      </c>
      <c r="AC36">
        <v>4</v>
      </c>
      <c r="AD36" s="21">
        <v>0.25</v>
      </c>
      <c r="AE36" s="21">
        <v>4.5454545454545456E-2</v>
      </c>
      <c r="AF36">
        <v>75</v>
      </c>
      <c r="AG36">
        <v>2</v>
      </c>
      <c r="AH36">
        <v>37</v>
      </c>
      <c r="AI36">
        <v>17</v>
      </c>
      <c r="AJ36">
        <v>16</v>
      </c>
      <c r="AK36">
        <v>72</v>
      </c>
      <c r="AL36">
        <v>23</v>
      </c>
      <c r="AM36">
        <v>0</v>
      </c>
      <c r="AN36">
        <f t="shared" si="1"/>
        <v>454</v>
      </c>
      <c r="AO36">
        <v>272</v>
      </c>
      <c r="AP36">
        <f>47+4+11</f>
        <v>62</v>
      </c>
      <c r="AQ36">
        <v>0</v>
      </c>
      <c r="AR36">
        <v>120</v>
      </c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</row>
    <row r="37" spans="1:84" x14ac:dyDescent="0.2">
      <c r="A37" s="39">
        <v>43723</v>
      </c>
      <c r="B37" s="25" t="s">
        <v>383</v>
      </c>
      <c r="C37" t="s">
        <v>276</v>
      </c>
      <c r="D37" s="24" t="s">
        <v>296</v>
      </c>
      <c r="E37">
        <v>22.22</v>
      </c>
      <c r="F37">
        <v>11.7</v>
      </c>
      <c r="G37">
        <v>57</v>
      </c>
      <c r="H37">
        <v>0</v>
      </c>
      <c r="I37">
        <v>16.3</v>
      </c>
      <c r="J37">
        <v>68</v>
      </c>
      <c r="K37">
        <v>2</v>
      </c>
      <c r="L37">
        <v>14.2</v>
      </c>
      <c r="M37">
        <v>72</v>
      </c>
      <c r="N37">
        <v>8</v>
      </c>
      <c r="O37">
        <v>12.3</v>
      </c>
      <c r="P37">
        <v>83</v>
      </c>
      <c r="Q37">
        <v>4</v>
      </c>
      <c r="R37" s="14">
        <v>12.4</v>
      </c>
      <c r="S37">
        <v>40</v>
      </c>
      <c r="T37">
        <v>2</v>
      </c>
      <c r="U37" s="22">
        <v>12.100000000000001</v>
      </c>
      <c r="V37" s="22">
        <v>31</v>
      </c>
      <c r="W37" s="22">
        <v>6</v>
      </c>
      <c r="X37">
        <v>4.5999999999999996</v>
      </c>
      <c r="Y37">
        <v>26</v>
      </c>
      <c r="Z37">
        <v>5</v>
      </c>
      <c r="AA37">
        <v>4</v>
      </c>
      <c r="AB37">
        <v>0</v>
      </c>
      <c r="AC37">
        <v>6</v>
      </c>
      <c r="AD37" s="21">
        <v>0.3888888888888889</v>
      </c>
      <c r="AE37" s="21">
        <v>8.3333333333333329E-2</v>
      </c>
      <c r="AF37">
        <v>100</v>
      </c>
      <c r="AG37">
        <v>2</v>
      </c>
      <c r="AH37">
        <v>30</v>
      </c>
      <c r="AI37">
        <v>26</v>
      </c>
      <c r="AJ37">
        <v>7</v>
      </c>
      <c r="AK37">
        <v>67</v>
      </c>
      <c r="AL37">
        <v>28</v>
      </c>
      <c r="AM37">
        <v>0</v>
      </c>
      <c r="AN37">
        <f t="shared" si="1"/>
        <v>404</v>
      </c>
      <c r="AO37">
        <v>253</v>
      </c>
      <c r="AP37">
        <f>68+57+1</f>
        <v>126</v>
      </c>
      <c r="AQ37">
        <v>4</v>
      </c>
      <c r="AR37">
        <v>21</v>
      </c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</row>
    <row r="38" spans="1:84" x14ac:dyDescent="0.2">
      <c r="A38" s="39">
        <v>43723</v>
      </c>
      <c r="B38" s="25" t="s">
        <v>383</v>
      </c>
      <c r="C38" t="s">
        <v>301</v>
      </c>
      <c r="D38" s="24" t="s">
        <v>284</v>
      </c>
      <c r="E38">
        <v>15.32</v>
      </c>
      <c r="F38">
        <v>7.3</v>
      </c>
      <c r="G38">
        <v>37</v>
      </c>
      <c r="H38">
        <v>6</v>
      </c>
      <c r="I38">
        <v>0</v>
      </c>
      <c r="J38">
        <v>0</v>
      </c>
      <c r="K38">
        <v>0</v>
      </c>
      <c r="L38">
        <v>17.899999999999999</v>
      </c>
      <c r="M38">
        <v>89</v>
      </c>
      <c r="N38">
        <v>14</v>
      </c>
      <c r="O38">
        <v>14.3</v>
      </c>
      <c r="P38">
        <v>91</v>
      </c>
      <c r="Q38">
        <v>13</v>
      </c>
      <c r="R38" s="14">
        <v>3.5</v>
      </c>
      <c r="S38">
        <v>15</v>
      </c>
      <c r="T38">
        <v>6</v>
      </c>
      <c r="U38">
        <v>13.5</v>
      </c>
      <c r="V38">
        <v>85</v>
      </c>
      <c r="W38">
        <v>11</v>
      </c>
      <c r="X38">
        <v>20</v>
      </c>
      <c r="Y38">
        <v>110</v>
      </c>
      <c r="Z38">
        <v>9</v>
      </c>
      <c r="AA38">
        <v>16</v>
      </c>
      <c r="AB38">
        <v>4</v>
      </c>
      <c r="AC38">
        <v>6</v>
      </c>
      <c r="AD38" s="21">
        <v>0.32075471698113206</v>
      </c>
      <c r="AE38" s="21">
        <v>5.6603773584905662E-2</v>
      </c>
      <c r="AF38">
        <v>25</v>
      </c>
      <c r="AG38">
        <v>9</v>
      </c>
      <c r="AH38">
        <v>51</v>
      </c>
      <c r="AI38">
        <v>16</v>
      </c>
      <c r="AJ38">
        <v>2</v>
      </c>
      <c r="AK38">
        <v>73</v>
      </c>
      <c r="AL38">
        <v>12</v>
      </c>
      <c r="AM38">
        <v>2</v>
      </c>
      <c r="AN38">
        <f t="shared" si="1"/>
        <v>372</v>
      </c>
      <c r="AO38">
        <v>333</v>
      </c>
      <c r="AP38">
        <v>37</v>
      </c>
      <c r="AQ38">
        <v>2</v>
      </c>
      <c r="AR38">
        <v>0</v>
      </c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</row>
    <row r="39" spans="1:84" s="3" customFormat="1" x14ac:dyDescent="0.2">
      <c r="A39" s="39">
        <v>43723</v>
      </c>
      <c r="B39" s="25" t="s">
        <v>383</v>
      </c>
      <c r="C39" t="s">
        <v>265</v>
      </c>
      <c r="D39" s="24" t="s">
        <v>278</v>
      </c>
      <c r="E39">
        <v>5.6</v>
      </c>
      <c r="F39">
        <v>13.8</v>
      </c>
      <c r="G39">
        <v>62</v>
      </c>
      <c r="H39">
        <v>3</v>
      </c>
      <c r="I39">
        <v>4.5</v>
      </c>
      <c r="J39">
        <v>18</v>
      </c>
      <c r="K39">
        <v>5</v>
      </c>
      <c r="L39">
        <v>8.1</v>
      </c>
      <c r="M39">
        <v>41</v>
      </c>
      <c r="N39">
        <v>7</v>
      </c>
      <c r="O39">
        <v>3.5</v>
      </c>
      <c r="P39">
        <v>11</v>
      </c>
      <c r="Q39">
        <v>2</v>
      </c>
      <c r="R39" s="14">
        <v>1.2</v>
      </c>
      <c r="S39">
        <v>2</v>
      </c>
      <c r="T39">
        <v>1</v>
      </c>
      <c r="U39">
        <v>8.4</v>
      </c>
      <c r="V39">
        <v>34</v>
      </c>
      <c r="W39">
        <v>9</v>
      </c>
      <c r="X39">
        <f>5.4+4.4+2.5</f>
        <v>12.3</v>
      </c>
      <c r="Y39">
        <f>24+24+5</f>
        <v>53</v>
      </c>
      <c r="Z39">
        <v>9</v>
      </c>
      <c r="AA39">
        <v>15</v>
      </c>
      <c r="AB39">
        <v>3</v>
      </c>
      <c r="AC39">
        <v>5</v>
      </c>
      <c r="AD39" s="21">
        <v>0.18518518518518517</v>
      </c>
      <c r="AE39" s="21">
        <v>0</v>
      </c>
      <c r="AF39">
        <v>20</v>
      </c>
      <c r="AG39">
        <v>1</v>
      </c>
      <c r="AH39">
        <v>27</v>
      </c>
      <c r="AI39">
        <v>25</v>
      </c>
      <c r="AJ39">
        <v>1</v>
      </c>
      <c r="AK39">
        <v>56</v>
      </c>
      <c r="AL39">
        <v>16</v>
      </c>
      <c r="AM39">
        <v>0</v>
      </c>
      <c r="AN39">
        <f>AO39+AP39+AQ39+AR39</f>
        <v>273</v>
      </c>
      <c r="AO39">
        <v>120</v>
      </c>
      <c r="AP39">
        <f>62+18+1</f>
        <v>81</v>
      </c>
      <c r="AQ39">
        <v>64</v>
      </c>
      <c r="AR39">
        <v>8</v>
      </c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</row>
    <row r="40" spans="1:84" s="3" customFormat="1" x14ac:dyDescent="0.2">
      <c r="A40" s="39">
        <v>43723</v>
      </c>
      <c r="B40" s="25" t="s">
        <v>383</v>
      </c>
      <c r="C40" s="17" t="s">
        <v>272</v>
      </c>
      <c r="D40" s="24" t="s">
        <v>256</v>
      </c>
      <c r="E40">
        <v>22.64</v>
      </c>
      <c r="F40">
        <v>5.7</v>
      </c>
      <c r="G40">
        <v>17</v>
      </c>
      <c r="H40">
        <v>5</v>
      </c>
      <c r="I40">
        <v>2.2999999999999998</v>
      </c>
      <c r="J40">
        <v>6</v>
      </c>
      <c r="K40">
        <v>3</v>
      </c>
      <c r="L40">
        <v>25.2</v>
      </c>
      <c r="M40">
        <v>122</v>
      </c>
      <c r="N40">
        <v>10</v>
      </c>
      <c r="O40">
        <v>24.2</v>
      </c>
      <c r="P40">
        <v>112</v>
      </c>
      <c r="Q40">
        <v>8</v>
      </c>
      <c r="R40" s="14">
        <v>2.4</v>
      </c>
      <c r="S40">
        <v>14</v>
      </c>
      <c r="T40">
        <v>3</v>
      </c>
      <c r="U40">
        <v>24.099999999999998</v>
      </c>
      <c r="V40">
        <v>141</v>
      </c>
      <c r="W40">
        <v>11</v>
      </c>
      <c r="X40">
        <f>9.9+4.5</f>
        <v>14.4</v>
      </c>
      <c r="Y40">
        <v>34</v>
      </c>
      <c r="Z40">
        <v>8</v>
      </c>
      <c r="AA40">
        <v>5</v>
      </c>
      <c r="AB40">
        <v>2</v>
      </c>
      <c r="AC40">
        <v>-2</v>
      </c>
      <c r="AD40" s="21">
        <v>0.31914893617021278</v>
      </c>
      <c r="AE40" s="21">
        <v>8.5106382978723402E-2</v>
      </c>
      <c r="AF40">
        <v>63.6</v>
      </c>
      <c r="AG40">
        <v>7</v>
      </c>
      <c r="AH40">
        <v>42</v>
      </c>
      <c r="AI40">
        <v>17</v>
      </c>
      <c r="AJ40">
        <v>2</v>
      </c>
      <c r="AK40">
        <v>65</v>
      </c>
      <c r="AL40">
        <v>17</v>
      </c>
      <c r="AM40">
        <v>0</v>
      </c>
      <c r="AN40">
        <f>SUM(AO40:AR40)</f>
        <v>336</v>
      </c>
      <c r="AO40">
        <v>311</v>
      </c>
      <c r="AP40">
        <f>17+6</f>
        <v>23</v>
      </c>
      <c r="AQ40">
        <v>0</v>
      </c>
      <c r="AR40">
        <v>2</v>
      </c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</row>
    <row r="41" spans="1:84" s="3" customFormat="1" x14ac:dyDescent="0.2">
      <c r="A41" s="39">
        <v>43723</v>
      </c>
      <c r="B41" s="25" t="s">
        <v>383</v>
      </c>
      <c r="C41" t="s">
        <v>281</v>
      </c>
      <c r="D41" s="24" t="s">
        <v>298</v>
      </c>
      <c r="E41">
        <v>19</v>
      </c>
      <c r="F41">
        <v>19.8</v>
      </c>
      <c r="G41">
        <v>62</v>
      </c>
      <c r="H41">
        <v>4</v>
      </c>
      <c r="I41">
        <v>8</v>
      </c>
      <c r="J41">
        <v>8</v>
      </c>
      <c r="K41">
        <v>4</v>
      </c>
      <c r="L41">
        <v>31.1</v>
      </c>
      <c r="M41">
        <v>161</v>
      </c>
      <c r="N41">
        <v>10</v>
      </c>
      <c r="O41">
        <v>6.2</v>
      </c>
      <c r="P41">
        <v>32</v>
      </c>
      <c r="Q41">
        <v>7</v>
      </c>
      <c r="R41" s="14">
        <v>7</v>
      </c>
      <c r="S41">
        <v>50</v>
      </c>
      <c r="T41">
        <v>3</v>
      </c>
      <c r="U41">
        <v>21.1</v>
      </c>
      <c r="V41">
        <v>121</v>
      </c>
      <c r="W41">
        <v>8</v>
      </c>
      <c r="X41">
        <v>1.4</v>
      </c>
      <c r="Y41">
        <v>4</v>
      </c>
      <c r="Z41">
        <v>1</v>
      </c>
      <c r="AA41">
        <v>13</v>
      </c>
      <c r="AB41">
        <v>3</v>
      </c>
      <c r="AC41">
        <v>13</v>
      </c>
      <c r="AD41" s="21">
        <v>0.42105263157894735</v>
      </c>
      <c r="AE41" s="21">
        <v>7.8947368421052627E-2</v>
      </c>
      <c r="AF41">
        <v>55.6</v>
      </c>
      <c r="AG41">
        <v>5</v>
      </c>
      <c r="AH41">
        <v>35</v>
      </c>
      <c r="AI41">
        <v>21</v>
      </c>
      <c r="AJ41">
        <v>0</v>
      </c>
      <c r="AK41">
        <v>59</v>
      </c>
      <c r="AL41">
        <v>23</v>
      </c>
      <c r="AM41">
        <v>0</v>
      </c>
      <c r="AN41">
        <f>SUM(AO41:AR41)</f>
        <v>395</v>
      </c>
      <c r="AO41">
        <v>325</v>
      </c>
      <c r="AP41">
        <v>70</v>
      </c>
      <c r="AQ41">
        <v>0</v>
      </c>
      <c r="AR41">
        <v>0</v>
      </c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</row>
    <row r="42" spans="1:84" x14ac:dyDescent="0.2">
      <c r="A42" s="39">
        <v>43723</v>
      </c>
      <c r="B42" s="25" t="s">
        <v>383</v>
      </c>
      <c r="C42" t="s">
        <v>291</v>
      </c>
      <c r="D42" s="24" t="s">
        <v>306</v>
      </c>
      <c r="E42">
        <v>28.66</v>
      </c>
      <c r="F42">
        <v>23</v>
      </c>
      <c r="G42">
        <v>111</v>
      </c>
      <c r="H42">
        <v>2</v>
      </c>
      <c r="I42">
        <v>3.5</v>
      </c>
      <c r="J42">
        <v>22</v>
      </c>
      <c r="K42">
        <v>1</v>
      </c>
      <c r="L42">
        <v>14.4</v>
      </c>
      <c r="M42">
        <v>44</v>
      </c>
      <c r="N42">
        <v>5</v>
      </c>
      <c r="O42">
        <f>12.8+16.4</f>
        <v>29.2</v>
      </c>
      <c r="P42">
        <f>74+68</f>
        <v>142</v>
      </c>
      <c r="Q42">
        <v>11</v>
      </c>
      <c r="R42" s="14">
        <v>8.5</v>
      </c>
      <c r="S42">
        <v>24</v>
      </c>
      <c r="T42">
        <v>6</v>
      </c>
      <c r="U42">
        <v>16.400000000000002</v>
      </c>
      <c r="V42">
        <v>34</v>
      </c>
      <c r="W42">
        <v>8</v>
      </c>
      <c r="X42">
        <v>15.7</v>
      </c>
      <c r="Y42">
        <v>47</v>
      </c>
      <c r="Z42">
        <v>5</v>
      </c>
      <c r="AA42">
        <v>7</v>
      </c>
      <c r="AB42">
        <v>1</v>
      </c>
      <c r="AC42">
        <v>1</v>
      </c>
      <c r="AD42" s="21">
        <v>0.18181818181818182</v>
      </c>
      <c r="AE42" s="21">
        <v>3.0303030303030304E-2</v>
      </c>
      <c r="AF42">
        <v>80</v>
      </c>
      <c r="AG42">
        <v>2</v>
      </c>
      <c r="AH42">
        <v>30</v>
      </c>
      <c r="AI42">
        <v>27</v>
      </c>
      <c r="AJ42">
        <v>5</v>
      </c>
      <c r="AK42">
        <v>65</v>
      </c>
      <c r="AL42">
        <v>31</v>
      </c>
      <c r="AM42">
        <v>0</v>
      </c>
      <c r="AN42">
        <f>SUM(AO42:AR42)</f>
        <v>482</v>
      </c>
      <c r="AO42">
        <v>269</v>
      </c>
      <c r="AP42">
        <f>111+22</f>
        <v>133</v>
      </c>
      <c r="AQ42">
        <v>11</v>
      </c>
      <c r="AR42">
        <v>69</v>
      </c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</row>
    <row r="43" spans="1:84" x14ac:dyDescent="0.2">
      <c r="A43" s="39">
        <v>43723</v>
      </c>
      <c r="B43" t="s">
        <v>383</v>
      </c>
      <c r="C43" t="s">
        <v>278</v>
      </c>
      <c r="D43" t="s">
        <v>265</v>
      </c>
      <c r="E43">
        <v>16.68</v>
      </c>
      <c r="F43">
        <v>10.6</v>
      </c>
      <c r="G43">
        <v>36</v>
      </c>
      <c r="H43">
        <v>7</v>
      </c>
      <c r="I43">
        <v>15.2</v>
      </c>
      <c r="J43">
        <v>54</v>
      </c>
      <c r="K43">
        <v>7</v>
      </c>
      <c r="L43">
        <v>8</v>
      </c>
      <c r="M43">
        <v>40</v>
      </c>
      <c r="N43">
        <v>7</v>
      </c>
      <c r="O43">
        <v>28.8</v>
      </c>
      <c r="P43">
        <v>98</v>
      </c>
      <c r="Q43">
        <v>13</v>
      </c>
      <c r="R43">
        <v>3.5</v>
      </c>
      <c r="S43">
        <v>15</v>
      </c>
      <c r="T43">
        <v>6</v>
      </c>
      <c r="U43">
        <v>20.599999999999998</v>
      </c>
      <c r="V43">
        <v>96</v>
      </c>
      <c r="W43">
        <v>15</v>
      </c>
      <c r="X43">
        <v>15.099999999999998</v>
      </c>
      <c r="Y43">
        <v>61</v>
      </c>
      <c r="Z43">
        <v>10</v>
      </c>
      <c r="AA43">
        <v>7</v>
      </c>
      <c r="AB43">
        <v>2</v>
      </c>
      <c r="AC43">
        <v>1</v>
      </c>
      <c r="AD43">
        <v>0.34615384615384615</v>
      </c>
      <c r="AE43">
        <v>3.8461538461538464E-2</v>
      </c>
      <c r="AF43">
        <v>69.2</v>
      </c>
      <c r="AG43">
        <v>5</v>
      </c>
      <c r="AH43">
        <v>50</v>
      </c>
      <c r="AI43">
        <v>24</v>
      </c>
      <c r="AJ43">
        <v>0</v>
      </c>
      <c r="AK43">
        <v>76</v>
      </c>
      <c r="AL43">
        <v>14</v>
      </c>
      <c r="AM43">
        <v>0</v>
      </c>
      <c r="AN43">
        <v>382</v>
      </c>
      <c r="AO43">
        <v>292</v>
      </c>
      <c r="AP43">
        <v>90</v>
      </c>
      <c r="AQ43">
        <v>0</v>
      </c>
      <c r="AR43">
        <v>0</v>
      </c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</row>
    <row r="44" spans="1:84" x14ac:dyDescent="0.2">
      <c r="A44" s="39">
        <v>43723</v>
      </c>
      <c r="B44" s="25" t="s">
        <v>383</v>
      </c>
      <c r="C44" t="s">
        <v>299</v>
      </c>
      <c r="D44" s="24" t="s">
        <v>287</v>
      </c>
      <c r="E44">
        <v>17.100000000000001</v>
      </c>
      <c r="F44">
        <v>16.8</v>
      </c>
      <c r="G44">
        <v>41</v>
      </c>
      <c r="H44">
        <v>3</v>
      </c>
      <c r="I44">
        <v>0.8</v>
      </c>
      <c r="J44">
        <v>8</v>
      </c>
      <c r="K44">
        <v>0</v>
      </c>
      <c r="L44">
        <v>28.7</v>
      </c>
      <c r="M44">
        <v>117</v>
      </c>
      <c r="N44">
        <v>10</v>
      </c>
      <c r="O44" s="14">
        <v>9.3000000000000007</v>
      </c>
      <c r="P44">
        <v>43</v>
      </c>
      <c r="Q44">
        <v>6</v>
      </c>
      <c r="R44">
        <v>0</v>
      </c>
      <c r="S44">
        <v>0</v>
      </c>
      <c r="T44">
        <v>1</v>
      </c>
      <c r="U44">
        <v>5.9</v>
      </c>
      <c r="V44">
        <v>19</v>
      </c>
      <c r="W44">
        <v>5</v>
      </c>
      <c r="X44">
        <f>4.8+1.7+1.7</f>
        <v>8.1999999999999993</v>
      </c>
      <c r="Y44">
        <f>14+18</f>
        <v>32</v>
      </c>
      <c r="Z44">
        <v>8</v>
      </c>
      <c r="AA44">
        <v>1</v>
      </c>
      <c r="AB44">
        <v>1</v>
      </c>
      <c r="AC44">
        <v>9</v>
      </c>
      <c r="AD44" s="21">
        <v>0.21875</v>
      </c>
      <c r="AE44" s="21">
        <v>0</v>
      </c>
      <c r="AF44">
        <v>66.7</v>
      </c>
      <c r="AG44">
        <v>8</v>
      </c>
      <c r="AH44">
        <v>45</v>
      </c>
      <c r="AI44">
        <v>24</v>
      </c>
      <c r="AJ44">
        <v>4</v>
      </c>
      <c r="AK44">
        <v>58</v>
      </c>
      <c r="AL44">
        <v>13</v>
      </c>
      <c r="AM44">
        <v>0</v>
      </c>
      <c r="AN44">
        <f t="shared" ref="AN44:AN60" si="2">SUM(AO44:AR44)</f>
        <v>339</v>
      </c>
      <c r="AO44">
        <v>245</v>
      </c>
      <c r="AP44">
        <f>41+30+8+2</f>
        <v>81</v>
      </c>
      <c r="AQ44">
        <v>0</v>
      </c>
      <c r="AR44">
        <v>13</v>
      </c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</row>
    <row r="45" spans="1:84" x14ac:dyDescent="0.2">
      <c r="A45" s="39">
        <v>43723</v>
      </c>
      <c r="B45" s="25" t="s">
        <v>383</v>
      </c>
      <c r="C45" t="s">
        <v>300</v>
      </c>
      <c r="D45" s="24" t="s">
        <v>312</v>
      </c>
      <c r="E45">
        <v>15.36</v>
      </c>
      <c r="F45">
        <v>28</v>
      </c>
      <c r="G45">
        <v>116</v>
      </c>
      <c r="H45">
        <v>6</v>
      </c>
      <c r="I45">
        <v>13.1</v>
      </c>
      <c r="J45">
        <v>28</v>
      </c>
      <c r="K45">
        <v>4</v>
      </c>
      <c r="L45">
        <v>20.6</v>
      </c>
      <c r="M45">
        <v>106</v>
      </c>
      <c r="N45">
        <v>9</v>
      </c>
      <c r="O45">
        <v>4.9000000000000004</v>
      </c>
      <c r="P45">
        <v>19</v>
      </c>
      <c r="Q45">
        <v>6</v>
      </c>
      <c r="R45" s="14">
        <v>11.5</v>
      </c>
      <c r="S45">
        <v>25</v>
      </c>
      <c r="T45">
        <v>5</v>
      </c>
      <c r="U45">
        <v>20.5</v>
      </c>
      <c r="V45">
        <v>65</v>
      </c>
      <c r="W45">
        <v>9</v>
      </c>
      <c r="X45">
        <v>0</v>
      </c>
      <c r="Y45">
        <v>0</v>
      </c>
      <c r="Z45">
        <v>3</v>
      </c>
      <c r="AA45">
        <v>3</v>
      </c>
      <c r="AB45">
        <v>0</v>
      </c>
      <c r="AC45">
        <v>12</v>
      </c>
      <c r="AD45" s="21">
        <v>0.54054054054054057</v>
      </c>
      <c r="AE45" s="21">
        <v>5.4054054054054057E-2</v>
      </c>
      <c r="AF45">
        <v>50</v>
      </c>
      <c r="AG45">
        <v>6</v>
      </c>
      <c r="AH45">
        <v>34</v>
      </c>
      <c r="AI45">
        <v>32</v>
      </c>
      <c r="AJ45">
        <v>1</v>
      </c>
      <c r="AK45">
        <v>69</v>
      </c>
      <c r="AL45">
        <v>21</v>
      </c>
      <c r="AM45">
        <v>0</v>
      </c>
      <c r="AN45">
        <f t="shared" si="2"/>
        <v>353</v>
      </c>
      <c r="AO45">
        <v>209</v>
      </c>
      <c r="AP45">
        <f>116+28</f>
        <v>144</v>
      </c>
      <c r="AQ45">
        <v>0</v>
      </c>
      <c r="AR45">
        <v>0</v>
      </c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</row>
    <row r="46" spans="1:84" x14ac:dyDescent="0.2">
      <c r="A46" s="39">
        <v>43723</v>
      </c>
      <c r="B46" s="25" t="s">
        <v>383</v>
      </c>
      <c r="C46" t="s">
        <v>311</v>
      </c>
      <c r="D46" s="24" t="s">
        <v>297</v>
      </c>
      <c r="E46">
        <v>12.86</v>
      </c>
      <c r="F46">
        <v>9</v>
      </c>
      <c r="G46">
        <v>90</v>
      </c>
      <c r="H46">
        <v>0</v>
      </c>
      <c r="I46">
        <v>3.1</v>
      </c>
      <c r="J46">
        <v>31</v>
      </c>
      <c r="K46">
        <v>1</v>
      </c>
      <c r="L46">
        <v>9</v>
      </c>
      <c r="M46">
        <v>40</v>
      </c>
      <c r="N46">
        <v>8</v>
      </c>
      <c r="O46" s="14">
        <v>8</v>
      </c>
      <c r="P46">
        <v>40</v>
      </c>
      <c r="Q46">
        <v>7</v>
      </c>
      <c r="R46">
        <v>5.8</v>
      </c>
      <c r="S46">
        <v>38</v>
      </c>
      <c r="T46">
        <v>3</v>
      </c>
      <c r="U46">
        <v>10.5</v>
      </c>
      <c r="V46">
        <v>55</v>
      </c>
      <c r="W46">
        <v>7</v>
      </c>
      <c r="X46">
        <v>6.4</v>
      </c>
      <c r="Y46">
        <v>34</v>
      </c>
      <c r="Z46">
        <v>6</v>
      </c>
      <c r="AA46">
        <v>7</v>
      </c>
      <c r="AB46">
        <v>2</v>
      </c>
      <c r="AC46">
        <v>10</v>
      </c>
      <c r="AD46" s="21">
        <v>0.51428571428571423</v>
      </c>
      <c r="AE46" s="21">
        <v>0.11428571428571428</v>
      </c>
      <c r="AF46">
        <v>60</v>
      </c>
      <c r="AG46">
        <v>8</v>
      </c>
      <c r="AH46">
        <v>29</v>
      </c>
      <c r="AI46">
        <v>26</v>
      </c>
      <c r="AJ46">
        <v>4</v>
      </c>
      <c r="AK46">
        <v>63</v>
      </c>
      <c r="AL46">
        <v>13</v>
      </c>
      <c r="AM46">
        <v>0</v>
      </c>
      <c r="AN46">
        <f t="shared" si="2"/>
        <v>285</v>
      </c>
      <c r="AO46">
        <v>159</v>
      </c>
      <c r="AP46">
        <f>90+31</f>
        <v>121</v>
      </c>
      <c r="AQ46">
        <v>0</v>
      </c>
      <c r="AR46">
        <v>5</v>
      </c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</row>
    <row r="47" spans="1:84" x14ac:dyDescent="0.2">
      <c r="A47" s="39">
        <v>43723</v>
      </c>
      <c r="B47" s="25" t="s">
        <v>383</v>
      </c>
      <c r="C47" t="s">
        <v>289</v>
      </c>
      <c r="D47" s="24" t="s">
        <v>310</v>
      </c>
      <c r="E47">
        <v>18.34</v>
      </c>
      <c r="F47">
        <v>8.3000000000000007</v>
      </c>
      <c r="G47">
        <v>51</v>
      </c>
      <c r="H47">
        <v>3</v>
      </c>
      <c r="I47">
        <v>2.4</v>
      </c>
      <c r="J47">
        <v>9</v>
      </c>
      <c r="K47">
        <v>2</v>
      </c>
      <c r="L47">
        <v>14.3</v>
      </c>
      <c r="M47">
        <v>43</v>
      </c>
      <c r="N47">
        <v>6</v>
      </c>
      <c r="O47">
        <v>8.1999999999999993</v>
      </c>
      <c r="P47">
        <v>12</v>
      </c>
      <c r="Q47">
        <v>1</v>
      </c>
      <c r="R47" s="14">
        <v>5.4</v>
      </c>
      <c r="S47">
        <v>3</v>
      </c>
      <c r="T47">
        <v>24</v>
      </c>
      <c r="U47">
        <v>13.799999999999999</v>
      </c>
      <c r="V47">
        <v>38</v>
      </c>
      <c r="W47">
        <v>6</v>
      </c>
      <c r="X47">
        <f>11.5+4.1</f>
        <v>15.6</v>
      </c>
      <c r="Y47">
        <v>46</v>
      </c>
      <c r="Z47">
        <v>7</v>
      </c>
      <c r="AA47">
        <v>1</v>
      </c>
      <c r="AB47">
        <v>0</v>
      </c>
      <c r="AC47">
        <v>5</v>
      </c>
      <c r="AD47" s="21">
        <v>0.22857142857142856</v>
      </c>
      <c r="AE47" s="21">
        <v>5.7142857142857141E-2</v>
      </c>
      <c r="AF47">
        <v>66.7</v>
      </c>
      <c r="AG47">
        <v>8</v>
      </c>
      <c r="AH47">
        <v>28</v>
      </c>
      <c r="AI47">
        <v>27</v>
      </c>
      <c r="AJ47">
        <v>7</v>
      </c>
      <c r="AK47">
        <v>65</v>
      </c>
      <c r="AL47">
        <v>19</v>
      </c>
      <c r="AM47">
        <v>0</v>
      </c>
      <c r="AN47">
        <f t="shared" si="2"/>
        <v>313</v>
      </c>
      <c r="AO47">
        <v>146</v>
      </c>
      <c r="AP47">
        <f>82+51+9</f>
        <v>142</v>
      </c>
      <c r="AQ47">
        <v>0</v>
      </c>
      <c r="AR47">
        <v>25</v>
      </c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</row>
    <row r="48" spans="1:84" x14ac:dyDescent="0.2">
      <c r="A48" s="39">
        <v>43723</v>
      </c>
      <c r="B48" s="25" t="s">
        <v>383</v>
      </c>
      <c r="C48" t="s">
        <v>297</v>
      </c>
      <c r="D48" s="24" t="s">
        <v>311</v>
      </c>
      <c r="E48">
        <v>17.12</v>
      </c>
      <c r="F48">
        <v>12.7</v>
      </c>
      <c r="G48">
        <v>47</v>
      </c>
      <c r="H48">
        <v>6</v>
      </c>
      <c r="I48">
        <v>0</v>
      </c>
      <c r="J48">
        <v>0</v>
      </c>
      <c r="K48">
        <v>0</v>
      </c>
      <c r="L48">
        <v>1.3</v>
      </c>
      <c r="M48">
        <v>3</v>
      </c>
      <c r="N48">
        <v>5</v>
      </c>
      <c r="O48">
        <v>18.5</v>
      </c>
      <c r="P48">
        <v>55</v>
      </c>
      <c r="Q48">
        <v>9</v>
      </c>
      <c r="R48">
        <v>11.3</v>
      </c>
      <c r="S48">
        <v>73</v>
      </c>
      <c r="T48">
        <v>5</v>
      </c>
      <c r="U48">
        <v>6.7</v>
      </c>
      <c r="V48">
        <v>27</v>
      </c>
      <c r="W48">
        <v>8</v>
      </c>
      <c r="X48">
        <v>11.2</v>
      </c>
      <c r="Y48">
        <v>42</v>
      </c>
      <c r="Z48">
        <v>8</v>
      </c>
      <c r="AA48">
        <v>7</v>
      </c>
      <c r="AB48">
        <v>2</v>
      </c>
      <c r="AC48">
        <v>8</v>
      </c>
      <c r="AD48" s="21">
        <v>0.46511627906976744</v>
      </c>
      <c r="AE48" s="21">
        <v>9.3023255813953487E-2</v>
      </c>
      <c r="AF48">
        <v>50</v>
      </c>
      <c r="AG48">
        <v>10</v>
      </c>
      <c r="AH48">
        <v>33</v>
      </c>
      <c r="AI48">
        <v>15</v>
      </c>
      <c r="AJ48">
        <v>6</v>
      </c>
      <c r="AK48">
        <v>58</v>
      </c>
      <c r="AL48">
        <v>12</v>
      </c>
      <c r="AM48">
        <v>0</v>
      </c>
      <c r="AN48">
        <f t="shared" si="2"/>
        <v>316</v>
      </c>
      <c r="AO48">
        <v>213</v>
      </c>
      <c r="AP48">
        <v>47</v>
      </c>
      <c r="AQ48">
        <v>0</v>
      </c>
      <c r="AR48">
        <v>56</v>
      </c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</row>
    <row r="49" spans="1:84" x14ac:dyDescent="0.2">
      <c r="A49" s="39">
        <v>43723</v>
      </c>
      <c r="B49" s="25" t="s">
        <v>383</v>
      </c>
      <c r="C49" t="s">
        <v>288</v>
      </c>
      <c r="D49" s="24" t="s">
        <v>303</v>
      </c>
      <c r="E49">
        <v>35.619999999999997</v>
      </c>
      <c r="F49">
        <v>8.6</v>
      </c>
      <c r="G49">
        <v>8</v>
      </c>
      <c r="H49">
        <v>5</v>
      </c>
      <c r="I49">
        <v>5.3</v>
      </c>
      <c r="J49">
        <v>23</v>
      </c>
      <c r="K49">
        <v>3</v>
      </c>
      <c r="L49">
        <v>10.9</v>
      </c>
      <c r="M49">
        <v>49</v>
      </c>
      <c r="N49">
        <v>13</v>
      </c>
      <c r="O49">
        <v>38.200000000000003</v>
      </c>
      <c r="P49">
        <v>172</v>
      </c>
      <c r="Q49">
        <v>6</v>
      </c>
      <c r="R49" s="14">
        <v>16.100000000000001</v>
      </c>
      <c r="S49">
        <v>64</v>
      </c>
      <c r="T49">
        <v>6</v>
      </c>
      <c r="U49">
        <v>48.6</v>
      </c>
      <c r="V49">
        <v>216</v>
      </c>
      <c r="W49">
        <v>21</v>
      </c>
      <c r="X49">
        <v>26.7</v>
      </c>
      <c r="Y49">
        <v>107</v>
      </c>
      <c r="Z49">
        <v>9</v>
      </c>
      <c r="AA49">
        <v>4</v>
      </c>
      <c r="AB49">
        <v>0</v>
      </c>
      <c r="AC49">
        <v>11</v>
      </c>
      <c r="AD49" s="21">
        <v>0.17391304347826086</v>
      </c>
      <c r="AE49" s="21">
        <v>4.3478260869565216E-2</v>
      </c>
      <c r="AF49">
        <v>80</v>
      </c>
      <c r="AG49">
        <v>3</v>
      </c>
      <c r="AH49">
        <v>44</v>
      </c>
      <c r="AI49">
        <v>21</v>
      </c>
      <c r="AJ49">
        <v>1</v>
      </c>
      <c r="AK49">
        <v>68</v>
      </c>
      <c r="AL49">
        <v>28</v>
      </c>
      <c r="AM49">
        <v>0</v>
      </c>
      <c r="AN49">
        <f t="shared" si="2"/>
        <v>474</v>
      </c>
      <c r="AO49">
        <v>443</v>
      </c>
      <c r="AP49">
        <v>32</v>
      </c>
      <c r="AQ49">
        <v>0</v>
      </c>
      <c r="AR49">
        <v>-1</v>
      </c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</row>
    <row r="50" spans="1:84" x14ac:dyDescent="0.2">
      <c r="A50" s="39">
        <v>43723</v>
      </c>
      <c r="B50" s="25" t="s">
        <v>383</v>
      </c>
      <c r="C50" t="s">
        <v>303</v>
      </c>
      <c r="D50" s="24" t="s">
        <v>288</v>
      </c>
      <c r="E50">
        <v>11.72</v>
      </c>
      <c r="F50">
        <v>9.9</v>
      </c>
      <c r="G50">
        <v>99</v>
      </c>
      <c r="H50">
        <v>0</v>
      </c>
      <c r="I50">
        <v>2.5</v>
      </c>
      <c r="J50">
        <v>3</v>
      </c>
      <c r="K50">
        <v>3</v>
      </c>
      <c r="L50">
        <v>15.6</v>
      </c>
      <c r="M50">
        <v>46</v>
      </c>
      <c r="N50">
        <v>7</v>
      </c>
      <c r="O50">
        <v>7</v>
      </c>
      <c r="P50">
        <v>30</v>
      </c>
      <c r="Q50">
        <v>8</v>
      </c>
      <c r="R50" s="14">
        <v>0.8</v>
      </c>
      <c r="S50">
        <v>-2</v>
      </c>
      <c r="T50">
        <v>5</v>
      </c>
      <c r="U50">
        <v>18.200000000000003</v>
      </c>
      <c r="V50">
        <v>42</v>
      </c>
      <c r="W50">
        <v>11</v>
      </c>
      <c r="X50">
        <f>12.3+6.3</f>
        <v>18.600000000000001</v>
      </c>
      <c r="Y50">
        <v>96</v>
      </c>
      <c r="Z50">
        <v>12</v>
      </c>
      <c r="AA50">
        <v>4</v>
      </c>
      <c r="AB50">
        <v>1</v>
      </c>
      <c r="AC50">
        <v>3</v>
      </c>
      <c r="AD50" s="21">
        <v>0.30232558139534882</v>
      </c>
      <c r="AE50" s="21">
        <v>6.9767441860465115E-2</v>
      </c>
      <c r="AF50">
        <v>85.7</v>
      </c>
      <c r="AG50">
        <v>11</v>
      </c>
      <c r="AH50">
        <v>38</v>
      </c>
      <c r="AI50">
        <v>17</v>
      </c>
      <c r="AJ50">
        <v>2</v>
      </c>
      <c r="AK50">
        <v>60</v>
      </c>
      <c r="AL50">
        <v>10</v>
      </c>
      <c r="AM50">
        <v>0</v>
      </c>
      <c r="AN50">
        <f t="shared" si="2"/>
        <v>327</v>
      </c>
      <c r="AO50">
        <v>198</v>
      </c>
      <c r="AP50">
        <f>99+9+3</f>
        <v>111</v>
      </c>
      <c r="AQ50">
        <v>0</v>
      </c>
      <c r="AR50">
        <v>18</v>
      </c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</row>
    <row r="51" spans="1:84" x14ac:dyDescent="0.2">
      <c r="A51" s="39">
        <v>43723</v>
      </c>
      <c r="B51" s="25" t="s">
        <v>383</v>
      </c>
      <c r="C51" t="s">
        <v>287</v>
      </c>
      <c r="D51" s="24" t="s">
        <v>299</v>
      </c>
      <c r="E51">
        <v>11.92</v>
      </c>
      <c r="F51">
        <v>24.3</v>
      </c>
      <c r="G51">
        <v>66</v>
      </c>
      <c r="H51">
        <v>6</v>
      </c>
      <c r="I51">
        <v>7.4</v>
      </c>
      <c r="J51">
        <v>59</v>
      </c>
      <c r="K51">
        <v>1</v>
      </c>
      <c r="L51">
        <v>17.8</v>
      </c>
      <c r="M51">
        <v>98</v>
      </c>
      <c r="N51">
        <v>15</v>
      </c>
      <c r="O51">
        <v>11.3</v>
      </c>
      <c r="P51">
        <v>83</v>
      </c>
      <c r="Q51">
        <v>5</v>
      </c>
      <c r="R51" s="14">
        <v>3.8</v>
      </c>
      <c r="S51">
        <v>28</v>
      </c>
      <c r="T51">
        <v>2</v>
      </c>
      <c r="U51">
        <v>12.8</v>
      </c>
      <c r="V51">
        <v>78</v>
      </c>
      <c r="W51">
        <v>10</v>
      </c>
      <c r="X51">
        <v>1.9</v>
      </c>
      <c r="Y51">
        <v>9</v>
      </c>
      <c r="Z51">
        <v>2</v>
      </c>
      <c r="AA51">
        <v>4</v>
      </c>
      <c r="AB51">
        <v>3</v>
      </c>
      <c r="AC51">
        <v>8</v>
      </c>
      <c r="AD51" s="21">
        <v>0.31578947368421051</v>
      </c>
      <c r="AE51" s="21">
        <v>2.6315789473684209E-2</v>
      </c>
      <c r="AF51">
        <v>62.5</v>
      </c>
      <c r="AG51">
        <v>9</v>
      </c>
      <c r="AH51">
        <v>36</v>
      </c>
      <c r="AI51">
        <v>24</v>
      </c>
      <c r="AJ51">
        <v>1</v>
      </c>
      <c r="AK51">
        <v>62</v>
      </c>
      <c r="AL51">
        <v>10</v>
      </c>
      <c r="AM51">
        <v>0</v>
      </c>
      <c r="AN51">
        <f t="shared" si="2"/>
        <v>427</v>
      </c>
      <c r="AO51">
        <v>293</v>
      </c>
      <c r="AP51">
        <f>56+66</f>
        <v>122</v>
      </c>
      <c r="AQ51">
        <v>0</v>
      </c>
      <c r="AR51">
        <v>12</v>
      </c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</row>
    <row r="52" spans="1:84" x14ac:dyDescent="0.2">
      <c r="A52" s="39">
        <v>43723</v>
      </c>
      <c r="B52" s="25" t="s">
        <v>383</v>
      </c>
      <c r="C52" t="s">
        <v>304</v>
      </c>
      <c r="D52" s="24" t="s">
        <v>307</v>
      </c>
      <c r="E52">
        <v>20.12</v>
      </c>
      <c r="F52">
        <v>15.7</v>
      </c>
      <c r="G52">
        <v>63</v>
      </c>
      <c r="H52">
        <v>4</v>
      </c>
      <c r="I52">
        <v>5.7</v>
      </c>
      <c r="J52">
        <v>37</v>
      </c>
      <c r="K52">
        <v>1</v>
      </c>
      <c r="L52" s="14">
        <v>20.6</v>
      </c>
      <c r="M52">
        <v>120</v>
      </c>
      <c r="N52">
        <v>9</v>
      </c>
      <c r="O52">
        <v>6.2</v>
      </c>
      <c r="P52">
        <v>33</v>
      </c>
      <c r="Q52">
        <v>2</v>
      </c>
      <c r="R52">
        <v>16.600000000000001</v>
      </c>
      <c r="S52">
        <v>74</v>
      </c>
      <c r="T52">
        <v>4</v>
      </c>
      <c r="U52">
        <v>19.899999999999999</v>
      </c>
      <c r="V52">
        <v>139</v>
      </c>
      <c r="W52">
        <v>9</v>
      </c>
      <c r="X52">
        <v>9.1999999999999993</v>
      </c>
      <c r="Y52">
        <v>42</v>
      </c>
      <c r="Z52">
        <v>8</v>
      </c>
      <c r="AA52">
        <v>9</v>
      </c>
      <c r="AB52">
        <v>2</v>
      </c>
      <c r="AC52">
        <v>8</v>
      </c>
      <c r="AD52" s="21">
        <v>0.5625</v>
      </c>
      <c r="AE52" s="21">
        <v>9.375E-2</v>
      </c>
      <c r="AF52">
        <v>61.5</v>
      </c>
      <c r="AG52">
        <v>5</v>
      </c>
      <c r="AH52">
        <v>28</v>
      </c>
      <c r="AI52">
        <v>22</v>
      </c>
      <c r="AJ52">
        <v>4</v>
      </c>
      <c r="AK52">
        <v>61</v>
      </c>
      <c r="AL52">
        <v>27</v>
      </c>
      <c r="AM52">
        <v>0</v>
      </c>
      <c r="AN52">
        <f t="shared" si="2"/>
        <v>398</v>
      </c>
      <c r="AO52">
        <v>283</v>
      </c>
      <c r="AP52">
        <v>100</v>
      </c>
      <c r="AQ52">
        <v>17</v>
      </c>
      <c r="AR52">
        <v>-2</v>
      </c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</row>
    <row r="53" spans="1:84" x14ac:dyDescent="0.2">
      <c r="A53" s="39">
        <v>43723</v>
      </c>
      <c r="B53" s="25" t="s">
        <v>383</v>
      </c>
      <c r="C53" t="s">
        <v>293</v>
      </c>
      <c r="D53" s="24" t="s">
        <v>302</v>
      </c>
      <c r="E53">
        <f>2.88+1.16</f>
        <v>4.04</v>
      </c>
      <c r="F53">
        <v>9.8000000000000007</v>
      </c>
      <c r="G53">
        <v>19</v>
      </c>
      <c r="H53">
        <v>6</v>
      </c>
      <c r="I53">
        <v>2.2000000000000002</v>
      </c>
      <c r="J53">
        <v>6</v>
      </c>
      <c r="K53">
        <v>5</v>
      </c>
      <c r="L53" s="14">
        <v>10.3</v>
      </c>
      <c r="M53">
        <v>63</v>
      </c>
      <c r="N53">
        <v>6</v>
      </c>
      <c r="O53">
        <v>0</v>
      </c>
      <c r="P53">
        <v>0</v>
      </c>
      <c r="Q53">
        <v>7</v>
      </c>
      <c r="R53" s="14">
        <v>4.8</v>
      </c>
      <c r="S53">
        <v>22</v>
      </c>
      <c r="T53">
        <v>7</v>
      </c>
      <c r="U53">
        <v>11.8</v>
      </c>
      <c r="V53">
        <v>68</v>
      </c>
      <c r="W53">
        <v>9</v>
      </c>
      <c r="X53">
        <f>3.4+2.1+1.6</f>
        <v>7.1</v>
      </c>
      <c r="Y53">
        <f>6+11+24</f>
        <v>41</v>
      </c>
      <c r="Z53">
        <v>4</v>
      </c>
      <c r="AA53">
        <v>0</v>
      </c>
      <c r="AB53">
        <v>0</v>
      </c>
      <c r="AC53">
        <v>3</v>
      </c>
      <c r="AD53" s="21">
        <v>0.40425531914893614</v>
      </c>
      <c r="AE53" s="21">
        <v>0.14893617021276595</v>
      </c>
      <c r="AF53">
        <v>20</v>
      </c>
      <c r="AG53">
        <v>37</v>
      </c>
      <c r="AH53">
        <v>39</v>
      </c>
      <c r="AI53">
        <v>13</v>
      </c>
      <c r="AJ53">
        <v>1</v>
      </c>
      <c r="AK53">
        <v>61</v>
      </c>
      <c r="AL53">
        <v>0</v>
      </c>
      <c r="AM53">
        <v>0</v>
      </c>
      <c r="AN53">
        <f t="shared" si="2"/>
        <v>228</v>
      </c>
      <c r="AO53">
        <f>97+89</f>
        <v>186</v>
      </c>
      <c r="AP53">
        <f>19+15+6</f>
        <v>40</v>
      </c>
      <c r="AQ53">
        <v>-4</v>
      </c>
      <c r="AR53">
        <v>6</v>
      </c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</row>
    <row r="54" spans="1:84" x14ac:dyDescent="0.2">
      <c r="A54" s="39">
        <v>43723</v>
      </c>
      <c r="B54" s="25" t="s">
        <v>383</v>
      </c>
      <c r="C54" t="s">
        <v>312</v>
      </c>
      <c r="D54" s="24" t="s">
        <v>300</v>
      </c>
      <c r="E54">
        <v>11.9</v>
      </c>
      <c r="F54">
        <v>31.1</v>
      </c>
      <c r="G54">
        <v>154</v>
      </c>
      <c r="H54">
        <v>3</v>
      </c>
      <c r="I54">
        <v>2.5</v>
      </c>
      <c r="J54">
        <v>25</v>
      </c>
      <c r="K54">
        <v>0</v>
      </c>
      <c r="L54">
        <v>12.5</v>
      </c>
      <c r="M54">
        <v>75</v>
      </c>
      <c r="N54">
        <v>8</v>
      </c>
      <c r="O54">
        <v>10.9</v>
      </c>
      <c r="P54">
        <v>49</v>
      </c>
      <c r="Q54">
        <v>7</v>
      </c>
      <c r="R54" s="14">
        <v>7.1</v>
      </c>
      <c r="S54">
        <v>61</v>
      </c>
      <c r="T54">
        <v>2</v>
      </c>
      <c r="U54">
        <v>10.1</v>
      </c>
      <c r="V54">
        <v>81</v>
      </c>
      <c r="W54">
        <v>2</v>
      </c>
      <c r="X54">
        <v>4.8</v>
      </c>
      <c r="Y54">
        <v>8</v>
      </c>
      <c r="Z54">
        <v>7</v>
      </c>
      <c r="AA54">
        <v>4</v>
      </c>
      <c r="AB54">
        <v>2</v>
      </c>
      <c r="AC54">
        <v>6</v>
      </c>
      <c r="AD54" s="21">
        <v>0.65714285714285714</v>
      </c>
      <c r="AE54" s="21">
        <v>2.8571428571428571E-2</v>
      </c>
      <c r="AF54">
        <v>50</v>
      </c>
      <c r="AG54">
        <v>12</v>
      </c>
      <c r="AH54">
        <v>32</v>
      </c>
      <c r="AI54">
        <v>25</v>
      </c>
      <c r="AJ54">
        <v>2</v>
      </c>
      <c r="AK54">
        <v>60</v>
      </c>
      <c r="AL54">
        <v>16</v>
      </c>
      <c r="AM54">
        <v>0</v>
      </c>
      <c r="AN54">
        <f t="shared" si="2"/>
        <v>428</v>
      </c>
      <c r="AO54">
        <v>230</v>
      </c>
      <c r="AP54">
        <f>154+25+2</f>
        <v>181</v>
      </c>
      <c r="AQ54">
        <v>0</v>
      </c>
      <c r="AR54">
        <v>17</v>
      </c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</row>
    <row r="55" spans="1:84" x14ac:dyDescent="0.2">
      <c r="A55" s="39">
        <v>43723</v>
      </c>
      <c r="B55" s="25" t="s">
        <v>383</v>
      </c>
      <c r="C55" t="s">
        <v>302</v>
      </c>
      <c r="D55" s="24" t="s">
        <v>293</v>
      </c>
      <c r="E55">
        <v>24.66</v>
      </c>
      <c r="F55">
        <v>13.5</v>
      </c>
      <c r="G55">
        <v>85</v>
      </c>
      <c r="H55">
        <v>0</v>
      </c>
      <c r="I55">
        <v>11.9</v>
      </c>
      <c r="J55">
        <v>10</v>
      </c>
      <c r="K55">
        <v>4</v>
      </c>
      <c r="L55">
        <v>16.100000000000001</v>
      </c>
      <c r="M55">
        <v>56</v>
      </c>
      <c r="N55">
        <v>8</v>
      </c>
      <c r="O55">
        <v>9.1999999999999993</v>
      </c>
      <c r="P55">
        <v>51</v>
      </c>
      <c r="Q55">
        <v>4</v>
      </c>
      <c r="R55" s="14">
        <v>3.9</v>
      </c>
      <c r="S55">
        <v>19</v>
      </c>
      <c r="T55">
        <v>5</v>
      </c>
      <c r="U55">
        <v>27.4</v>
      </c>
      <c r="V55">
        <v>134</v>
      </c>
      <c r="W55">
        <v>9</v>
      </c>
      <c r="X55">
        <v>5.3</v>
      </c>
      <c r="Y55">
        <v>33</v>
      </c>
      <c r="Z55">
        <v>2</v>
      </c>
      <c r="AA55">
        <v>7</v>
      </c>
      <c r="AB55">
        <v>2</v>
      </c>
      <c r="AC55">
        <v>37</v>
      </c>
      <c r="AD55" s="21">
        <v>0.16666666666666666</v>
      </c>
      <c r="AE55" s="21">
        <v>6.6666666666666666E-2</v>
      </c>
      <c r="AF55">
        <v>33.299999999999997</v>
      </c>
      <c r="AG55">
        <v>3</v>
      </c>
      <c r="AH55">
        <v>28</v>
      </c>
      <c r="AI55">
        <v>31</v>
      </c>
      <c r="AJ55">
        <v>2</v>
      </c>
      <c r="AK55">
        <v>65</v>
      </c>
      <c r="AL55">
        <f>43-14</f>
        <v>29</v>
      </c>
      <c r="AM55">
        <v>14</v>
      </c>
      <c r="AN55">
        <f t="shared" si="2"/>
        <v>390</v>
      </c>
      <c r="AO55">
        <v>264</v>
      </c>
      <c r="AP55">
        <f>85+10+21+3</f>
        <v>119</v>
      </c>
      <c r="AQ55">
        <v>6</v>
      </c>
      <c r="AR55">
        <v>1</v>
      </c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</row>
    <row r="56" spans="1:84" x14ac:dyDescent="0.2">
      <c r="A56" s="39">
        <v>43723</v>
      </c>
      <c r="B56" s="25" t="s">
        <v>383</v>
      </c>
      <c r="C56" t="s">
        <v>307</v>
      </c>
      <c r="D56" s="24" t="s">
        <v>304</v>
      </c>
      <c r="E56">
        <f>7.1+3.6+0.52</f>
        <v>11.219999999999999</v>
      </c>
      <c r="F56">
        <v>7</v>
      </c>
      <c r="G56">
        <v>45</v>
      </c>
      <c r="H56">
        <v>3</v>
      </c>
      <c r="I56">
        <v>3.7</v>
      </c>
      <c r="J56">
        <v>7</v>
      </c>
      <c r="K56">
        <v>1</v>
      </c>
      <c r="L56">
        <v>18.899999999999999</v>
      </c>
      <c r="M56">
        <v>89</v>
      </c>
      <c r="N56">
        <v>13</v>
      </c>
      <c r="O56" s="14">
        <v>7.9</v>
      </c>
      <c r="P56">
        <v>49</v>
      </c>
      <c r="Q56">
        <v>3</v>
      </c>
      <c r="R56">
        <v>0</v>
      </c>
      <c r="S56">
        <v>0</v>
      </c>
      <c r="T56">
        <v>0</v>
      </c>
      <c r="U56">
        <v>21.599999999999998</v>
      </c>
      <c r="V56">
        <v>96</v>
      </c>
      <c r="W56">
        <v>20</v>
      </c>
      <c r="X56">
        <v>4.5</v>
      </c>
      <c r="Y56">
        <v>25</v>
      </c>
      <c r="Z56">
        <v>7</v>
      </c>
      <c r="AA56">
        <v>12</v>
      </c>
      <c r="AB56">
        <v>3</v>
      </c>
      <c r="AC56">
        <v>5</v>
      </c>
      <c r="AD56" s="21">
        <v>0.38461538461538464</v>
      </c>
      <c r="AE56" s="21">
        <v>5.128205128205128E-2</v>
      </c>
      <c r="AF56">
        <v>71.400000000000006</v>
      </c>
      <c r="AG56">
        <v>8</v>
      </c>
      <c r="AH56">
        <v>35</v>
      </c>
      <c r="AI56">
        <v>18</v>
      </c>
      <c r="AJ56">
        <v>2</v>
      </c>
      <c r="AK56">
        <v>57</v>
      </c>
      <c r="AL56">
        <v>9</v>
      </c>
      <c r="AM56">
        <v>0</v>
      </c>
      <c r="AN56">
        <f t="shared" si="2"/>
        <v>260</v>
      </c>
      <c r="AO56">
        <f>165+38</f>
        <v>203</v>
      </c>
      <c r="AP56">
        <v>52</v>
      </c>
      <c r="AQ56">
        <v>0</v>
      </c>
      <c r="AR56">
        <v>5</v>
      </c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</row>
    <row r="57" spans="1:84" x14ac:dyDescent="0.2">
      <c r="A57" s="39">
        <v>43723</v>
      </c>
      <c r="B57" s="25" t="s">
        <v>383</v>
      </c>
      <c r="C57" t="s">
        <v>296</v>
      </c>
      <c r="D57" s="24" t="s">
        <v>276</v>
      </c>
      <c r="E57">
        <v>12.2</v>
      </c>
      <c r="F57">
        <v>25.5</v>
      </c>
      <c r="G57">
        <v>107</v>
      </c>
      <c r="H57">
        <v>7</v>
      </c>
      <c r="I57">
        <v>0</v>
      </c>
      <c r="J57">
        <v>0</v>
      </c>
      <c r="K57">
        <v>1</v>
      </c>
      <c r="L57">
        <v>12.1</v>
      </c>
      <c r="M57">
        <v>51</v>
      </c>
      <c r="N57">
        <v>10</v>
      </c>
      <c r="O57">
        <v>6</v>
      </c>
      <c r="P57">
        <v>30</v>
      </c>
      <c r="Q57">
        <v>5</v>
      </c>
      <c r="R57" s="14">
        <v>12.8</v>
      </c>
      <c r="S57">
        <v>38</v>
      </c>
      <c r="T57">
        <v>4</v>
      </c>
      <c r="U57">
        <v>12.3</v>
      </c>
      <c r="V57">
        <v>63</v>
      </c>
      <c r="W57">
        <v>11</v>
      </c>
      <c r="X57">
        <f>10.8+1.8</f>
        <v>12.600000000000001</v>
      </c>
      <c r="Y57">
        <f>48+8</f>
        <v>56</v>
      </c>
      <c r="Z57">
        <v>9</v>
      </c>
      <c r="AA57">
        <v>2</v>
      </c>
      <c r="AB57">
        <v>1</v>
      </c>
      <c r="AC57">
        <v>2</v>
      </c>
      <c r="AD57" s="21">
        <v>0.19565217391304349</v>
      </c>
      <c r="AE57" s="21">
        <v>2.1739130434782608E-2</v>
      </c>
      <c r="AF57">
        <v>0</v>
      </c>
      <c r="AG57">
        <v>6</v>
      </c>
      <c r="AH57">
        <v>45</v>
      </c>
      <c r="AI57">
        <v>18</v>
      </c>
      <c r="AJ57">
        <v>1</v>
      </c>
      <c r="AK57">
        <v>66</v>
      </c>
      <c r="AL57">
        <v>14</v>
      </c>
      <c r="AM57">
        <v>0</v>
      </c>
      <c r="AN57">
        <f t="shared" si="2"/>
        <v>379</v>
      </c>
      <c r="AO57">
        <v>250</v>
      </c>
      <c r="AP57">
        <v>107</v>
      </c>
      <c r="AQ57">
        <v>20</v>
      </c>
      <c r="AR57">
        <v>2</v>
      </c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</row>
    <row r="58" spans="1:84" x14ac:dyDescent="0.2">
      <c r="A58" s="39">
        <v>43723</v>
      </c>
      <c r="B58" s="33" t="s">
        <v>383</v>
      </c>
      <c r="C58" t="s">
        <v>298</v>
      </c>
      <c r="D58" s="36" t="s">
        <v>281</v>
      </c>
      <c r="E58" s="3">
        <v>8.0399999999999991</v>
      </c>
      <c r="F58" s="3">
        <v>21.9</v>
      </c>
      <c r="G58" s="3">
        <v>68</v>
      </c>
      <c r="H58" s="3">
        <v>10</v>
      </c>
      <c r="I58" s="3">
        <v>7</v>
      </c>
      <c r="J58" s="3">
        <v>25</v>
      </c>
      <c r="K58" s="3">
        <v>3</v>
      </c>
      <c r="L58" s="3">
        <v>8</v>
      </c>
      <c r="M58" s="3">
        <v>40</v>
      </c>
      <c r="N58" s="3">
        <v>6</v>
      </c>
      <c r="O58" s="3">
        <v>12.1</v>
      </c>
      <c r="P58" s="3">
        <v>81</v>
      </c>
      <c r="Q58" s="3">
        <v>6</v>
      </c>
      <c r="R58" s="30">
        <v>1.5</v>
      </c>
      <c r="S58" s="3">
        <v>5</v>
      </c>
      <c r="T58" s="3">
        <v>2</v>
      </c>
      <c r="U58" s="3">
        <v>7.8000000000000007</v>
      </c>
      <c r="V58" s="3">
        <v>38</v>
      </c>
      <c r="W58" s="3">
        <v>6</v>
      </c>
      <c r="X58" s="3">
        <v>0</v>
      </c>
      <c r="Y58" s="3">
        <v>0</v>
      </c>
      <c r="Z58" s="3">
        <v>1</v>
      </c>
      <c r="AA58" s="3">
        <v>4</v>
      </c>
      <c r="AB58" s="3">
        <v>1</v>
      </c>
      <c r="AC58" s="3">
        <v>5</v>
      </c>
      <c r="AD58" s="29">
        <v>0.34285714285714286</v>
      </c>
      <c r="AE58" s="29">
        <v>0.11428571428571428</v>
      </c>
      <c r="AF58" s="3">
        <v>83.3</v>
      </c>
      <c r="AG58" s="3">
        <v>13</v>
      </c>
      <c r="AH58" s="3">
        <v>31</v>
      </c>
      <c r="AI58" s="3">
        <v>24</v>
      </c>
      <c r="AJ58" s="3">
        <v>0</v>
      </c>
      <c r="AK58" s="3">
        <v>59</v>
      </c>
      <c r="AL58" s="3">
        <v>3</v>
      </c>
      <c r="AM58" s="3">
        <v>0</v>
      </c>
      <c r="AN58" s="3">
        <f t="shared" si="2"/>
        <v>294</v>
      </c>
      <c r="AO58" s="3">
        <v>201</v>
      </c>
      <c r="AP58" s="3">
        <f>68+25</f>
        <v>93</v>
      </c>
      <c r="AQ58" s="3">
        <v>0</v>
      </c>
      <c r="AR58" s="3">
        <v>0</v>
      </c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</row>
    <row r="59" spans="1:84" x14ac:dyDescent="0.2">
      <c r="A59" s="39">
        <v>43723</v>
      </c>
      <c r="B59" s="25" t="s">
        <v>383</v>
      </c>
      <c r="C59" t="s">
        <v>294</v>
      </c>
      <c r="D59" s="24" t="s">
        <v>295</v>
      </c>
      <c r="E59">
        <f>19.54+0.96</f>
        <v>20.5</v>
      </c>
      <c r="F59">
        <v>6.7</v>
      </c>
      <c r="G59">
        <v>28</v>
      </c>
      <c r="H59">
        <v>4</v>
      </c>
      <c r="I59">
        <v>2.5</v>
      </c>
      <c r="J59">
        <v>0</v>
      </c>
      <c r="K59">
        <v>3</v>
      </c>
      <c r="L59">
        <v>27.7</v>
      </c>
      <c r="M59">
        <v>107</v>
      </c>
      <c r="N59">
        <v>11</v>
      </c>
      <c r="O59">
        <v>10</v>
      </c>
      <c r="P59">
        <v>50</v>
      </c>
      <c r="Q59">
        <v>8</v>
      </c>
      <c r="R59">
        <v>1.4</v>
      </c>
      <c r="S59">
        <v>4</v>
      </c>
      <c r="T59">
        <v>4</v>
      </c>
      <c r="U59">
        <v>31.499999999999996</v>
      </c>
      <c r="V59">
        <v>135</v>
      </c>
      <c r="W59">
        <v>19</v>
      </c>
      <c r="X59">
        <v>17.2</v>
      </c>
      <c r="Y59">
        <v>72</v>
      </c>
      <c r="Z59">
        <v>16</v>
      </c>
      <c r="AA59">
        <v>7</v>
      </c>
      <c r="AB59">
        <v>2</v>
      </c>
      <c r="AC59">
        <v>7</v>
      </c>
      <c r="AD59" s="21">
        <v>0.35294117647058826</v>
      </c>
      <c r="AE59" s="21">
        <v>5.8823529411764705E-2</v>
      </c>
      <c r="AF59">
        <v>58.3</v>
      </c>
      <c r="AG59">
        <v>10</v>
      </c>
      <c r="AH59">
        <v>48</v>
      </c>
      <c r="AI59">
        <v>18</v>
      </c>
      <c r="AJ59">
        <v>3</v>
      </c>
      <c r="AK59">
        <v>72</v>
      </c>
      <c r="AL59">
        <v>20</v>
      </c>
      <c r="AM59">
        <v>0</v>
      </c>
      <c r="AN59">
        <f t="shared" si="2"/>
        <v>304</v>
      </c>
      <c r="AO59">
        <f>231+24</f>
        <v>255</v>
      </c>
      <c r="AP59">
        <f>28+18</f>
        <v>46</v>
      </c>
      <c r="AQ59">
        <v>0</v>
      </c>
      <c r="AR59">
        <v>3</v>
      </c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</row>
    <row r="60" spans="1:84" x14ac:dyDescent="0.2">
      <c r="A60" s="39">
        <v>43723</v>
      </c>
      <c r="B60" s="25" t="s">
        <v>383</v>
      </c>
      <c r="C60" t="s">
        <v>309</v>
      </c>
      <c r="D60" s="24" t="s">
        <v>308</v>
      </c>
      <c r="E60">
        <v>15.18</v>
      </c>
      <c r="F60">
        <v>13.5</v>
      </c>
      <c r="G60">
        <v>33</v>
      </c>
      <c r="H60">
        <v>4</v>
      </c>
      <c r="I60">
        <v>4.0999999999999996</v>
      </c>
      <c r="J60">
        <v>18</v>
      </c>
      <c r="K60">
        <v>1</v>
      </c>
      <c r="L60">
        <v>13.4</v>
      </c>
      <c r="M60">
        <v>84</v>
      </c>
      <c r="N60">
        <v>8</v>
      </c>
      <c r="O60">
        <v>4.3</v>
      </c>
      <c r="P60">
        <v>23</v>
      </c>
      <c r="Q60">
        <v>3</v>
      </c>
      <c r="R60" s="14">
        <v>1</v>
      </c>
      <c r="S60">
        <v>4</v>
      </c>
      <c r="T60">
        <v>4</v>
      </c>
      <c r="U60">
        <v>7.6</v>
      </c>
      <c r="V60">
        <v>36</v>
      </c>
      <c r="W60">
        <v>9</v>
      </c>
      <c r="X60">
        <v>22.8</v>
      </c>
      <c r="Y60">
        <v>38</v>
      </c>
      <c r="Z60">
        <v>8</v>
      </c>
      <c r="AA60">
        <v>9</v>
      </c>
      <c r="AB60">
        <v>2</v>
      </c>
      <c r="AC60">
        <v>7</v>
      </c>
      <c r="AD60" s="21">
        <v>0.27777777777777779</v>
      </c>
      <c r="AE60" s="21">
        <v>2.7777777777777776E-2</v>
      </c>
      <c r="AF60">
        <v>50</v>
      </c>
      <c r="AG60">
        <v>3</v>
      </c>
      <c r="AH60">
        <f>19+15</f>
        <v>34</v>
      </c>
      <c r="AI60">
        <f>15</f>
        <v>15</v>
      </c>
      <c r="AJ60">
        <v>1</v>
      </c>
      <c r="AK60">
        <v>51</v>
      </c>
      <c r="AL60">
        <v>26</v>
      </c>
      <c r="AM60">
        <v>0</v>
      </c>
      <c r="AN60">
        <f t="shared" si="2"/>
        <v>268</v>
      </c>
      <c r="AO60">
        <f>112+75</f>
        <v>187</v>
      </c>
      <c r="AP60">
        <f>33+18+23</f>
        <v>74</v>
      </c>
      <c r="AQ60">
        <v>0</v>
      </c>
      <c r="AR60">
        <v>7</v>
      </c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</row>
    <row r="61" spans="1:84" x14ac:dyDescent="0.2">
      <c r="A61" s="39">
        <v>43723</v>
      </c>
      <c r="B61" s="25" t="s">
        <v>383</v>
      </c>
      <c r="C61" s="22" t="s">
        <v>256</v>
      </c>
      <c r="D61" s="24" t="s">
        <v>272</v>
      </c>
      <c r="E61">
        <v>23.68</v>
      </c>
      <c r="F61">
        <v>17.2</v>
      </c>
      <c r="G61">
        <v>121</v>
      </c>
      <c r="H61">
        <v>1</v>
      </c>
      <c r="I61">
        <v>24.1</v>
      </c>
      <c r="J61">
        <v>83</v>
      </c>
      <c r="K61">
        <v>4</v>
      </c>
      <c r="L61">
        <v>20.399999999999999</v>
      </c>
      <c r="M61">
        <v>87</v>
      </c>
      <c r="N61">
        <v>7</v>
      </c>
      <c r="O61">
        <v>16.7</v>
      </c>
      <c r="P61">
        <v>77</v>
      </c>
      <c r="Q61">
        <v>3</v>
      </c>
      <c r="R61">
        <v>1.7</v>
      </c>
      <c r="S61">
        <v>7</v>
      </c>
      <c r="T61">
        <v>4</v>
      </c>
      <c r="U61">
        <v>27.499999999999996</v>
      </c>
      <c r="V61">
        <v>95</v>
      </c>
      <c r="W61">
        <v>9</v>
      </c>
      <c r="X61" s="14">
        <v>8.4</v>
      </c>
      <c r="Y61">
        <v>54</v>
      </c>
      <c r="Z61">
        <v>3</v>
      </c>
      <c r="AA61">
        <v>11</v>
      </c>
      <c r="AB61">
        <v>3</v>
      </c>
      <c r="AC61">
        <v>7</v>
      </c>
      <c r="AD61" s="21">
        <v>0.22222222222222221</v>
      </c>
      <c r="AE61" s="21">
        <v>0</v>
      </c>
      <c r="AF61">
        <v>60</v>
      </c>
      <c r="AG61">
        <v>-2</v>
      </c>
      <c r="AH61">
        <v>25</v>
      </c>
      <c r="AI61">
        <f>13+12+10+1</f>
        <v>36</v>
      </c>
      <c r="AJ61">
        <v>4</v>
      </c>
      <c r="AK61">
        <v>68</v>
      </c>
      <c r="AL61">
        <v>41</v>
      </c>
      <c r="AM61">
        <v>0</v>
      </c>
      <c r="AN61">
        <f>AO61+AP61+AR61+AQ61</f>
        <v>556</v>
      </c>
      <c r="AO61">
        <v>297</v>
      </c>
      <c r="AP61">
        <f>83+121+34+6</f>
        <v>244</v>
      </c>
      <c r="AQ61">
        <v>7</v>
      </c>
      <c r="AR61">
        <v>8</v>
      </c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</row>
    <row r="62" spans="1:84" x14ac:dyDescent="0.2">
      <c r="A62" s="39">
        <v>43723</v>
      </c>
      <c r="B62" s="25" t="s">
        <v>383</v>
      </c>
      <c r="C62" t="s">
        <v>308</v>
      </c>
      <c r="D62" s="24" t="s">
        <v>309</v>
      </c>
      <c r="E62">
        <v>28.2</v>
      </c>
      <c r="F62">
        <v>10.7</v>
      </c>
      <c r="G62">
        <v>60</v>
      </c>
      <c r="H62">
        <v>3</v>
      </c>
      <c r="I62">
        <v>13.5</v>
      </c>
      <c r="J62">
        <v>62</v>
      </c>
      <c r="K62">
        <v>1</v>
      </c>
      <c r="L62">
        <v>17.899999999999999</v>
      </c>
      <c r="M62">
        <v>79</v>
      </c>
      <c r="N62">
        <v>12</v>
      </c>
      <c r="O62">
        <v>15.1</v>
      </c>
      <c r="P62">
        <v>61</v>
      </c>
      <c r="Q62">
        <v>7</v>
      </c>
      <c r="R62" s="14">
        <v>8.4</v>
      </c>
      <c r="S62">
        <v>54</v>
      </c>
      <c r="T62">
        <v>3</v>
      </c>
      <c r="U62">
        <v>40.700000000000003</v>
      </c>
      <c r="V62">
        <v>187</v>
      </c>
      <c r="W62">
        <v>17</v>
      </c>
      <c r="X62">
        <v>22.3</v>
      </c>
      <c r="Y62">
        <v>63</v>
      </c>
      <c r="Z62">
        <v>6</v>
      </c>
      <c r="AA62">
        <v>4</v>
      </c>
      <c r="AB62">
        <v>1</v>
      </c>
      <c r="AC62">
        <v>3</v>
      </c>
      <c r="AD62" s="21">
        <v>0.21951219512195122</v>
      </c>
      <c r="AE62" s="21">
        <v>9.7560975609756101E-2</v>
      </c>
      <c r="AF62">
        <v>75</v>
      </c>
      <c r="AG62">
        <v>7</v>
      </c>
      <c r="AH62">
        <v>35</v>
      </c>
      <c r="AI62">
        <v>27</v>
      </c>
      <c r="AJ62">
        <v>6</v>
      </c>
      <c r="AK62">
        <v>72</v>
      </c>
      <c r="AL62">
        <v>28</v>
      </c>
      <c r="AM62">
        <v>0</v>
      </c>
      <c r="AN62">
        <f>SUM(AO62:AR62)</f>
        <v>451</v>
      </c>
      <c r="AO62">
        <v>300</v>
      </c>
      <c r="AP62">
        <f>62+60+7</f>
        <v>129</v>
      </c>
      <c r="AQ62">
        <v>0</v>
      </c>
      <c r="AR62">
        <v>22</v>
      </c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</row>
    <row r="63" spans="1:84" x14ac:dyDescent="0.2">
      <c r="A63" s="39">
        <v>43723</v>
      </c>
      <c r="B63" s="25" t="s">
        <v>383</v>
      </c>
      <c r="C63" t="s">
        <v>284</v>
      </c>
      <c r="D63" s="24" t="s">
        <v>301</v>
      </c>
      <c r="E63">
        <v>13.22</v>
      </c>
      <c r="F63">
        <v>15.9</v>
      </c>
      <c r="G63">
        <v>82</v>
      </c>
      <c r="H63">
        <v>1</v>
      </c>
      <c r="I63">
        <v>0.9</v>
      </c>
      <c r="J63">
        <v>9</v>
      </c>
      <c r="K63">
        <v>0</v>
      </c>
      <c r="L63">
        <v>10.1</v>
      </c>
      <c r="M63">
        <v>61</v>
      </c>
      <c r="N63">
        <v>8</v>
      </c>
      <c r="O63">
        <v>29.1</v>
      </c>
      <c r="P63">
        <v>121</v>
      </c>
      <c r="Q63">
        <v>9</v>
      </c>
      <c r="R63" s="14">
        <v>0</v>
      </c>
      <c r="S63">
        <v>0</v>
      </c>
      <c r="T63">
        <v>4</v>
      </c>
      <c r="U63">
        <v>5.8</v>
      </c>
      <c r="V63">
        <v>38</v>
      </c>
      <c r="W63">
        <v>4</v>
      </c>
      <c r="X63">
        <v>3</v>
      </c>
      <c r="Y63">
        <v>10</v>
      </c>
      <c r="Z63">
        <v>2</v>
      </c>
      <c r="AA63">
        <v>9</v>
      </c>
      <c r="AB63">
        <v>3</v>
      </c>
      <c r="AC63">
        <v>9</v>
      </c>
      <c r="AD63" s="21">
        <v>0.51724137931034486</v>
      </c>
      <c r="AE63" s="21">
        <v>0.10344827586206896</v>
      </c>
      <c r="AF63">
        <v>54.5</v>
      </c>
      <c r="AG63">
        <v>6</v>
      </c>
      <c r="AH63">
        <v>25</v>
      </c>
      <c r="AI63">
        <v>27</v>
      </c>
      <c r="AJ63">
        <v>4</v>
      </c>
      <c r="AK63">
        <v>59</v>
      </c>
      <c r="AL63">
        <v>20</v>
      </c>
      <c r="AM63">
        <v>0</v>
      </c>
      <c r="AN63">
        <f>AO63+AP63+AQ63+AR63</f>
        <v>308</v>
      </c>
      <c r="AO63">
        <v>208</v>
      </c>
      <c r="AP63">
        <v>91</v>
      </c>
      <c r="AQ63">
        <v>0</v>
      </c>
      <c r="AR63">
        <v>9</v>
      </c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</row>
    <row r="64" spans="1:84" x14ac:dyDescent="0.2">
      <c r="A64" s="39">
        <v>43723</v>
      </c>
      <c r="B64" s="25" t="s">
        <v>383</v>
      </c>
      <c r="C64" t="s">
        <v>310</v>
      </c>
      <c r="D64" s="24" t="s">
        <v>289</v>
      </c>
      <c r="E64">
        <v>13.36</v>
      </c>
      <c r="F64">
        <v>17.3</v>
      </c>
      <c r="G64">
        <v>81</v>
      </c>
      <c r="H64">
        <v>3</v>
      </c>
      <c r="I64">
        <v>2.4</v>
      </c>
      <c r="J64">
        <v>9</v>
      </c>
      <c r="K64">
        <v>1</v>
      </c>
      <c r="L64">
        <v>6.8</v>
      </c>
      <c r="M64">
        <v>38</v>
      </c>
      <c r="N64">
        <v>5</v>
      </c>
      <c r="O64">
        <v>5.5</v>
      </c>
      <c r="P64">
        <v>25</v>
      </c>
      <c r="Q64">
        <v>5</v>
      </c>
      <c r="R64" s="14">
        <v>2</v>
      </c>
      <c r="S64">
        <v>-1</v>
      </c>
      <c r="T64">
        <v>2</v>
      </c>
      <c r="U64">
        <v>16.399999999999999</v>
      </c>
      <c r="V64">
        <v>84</v>
      </c>
      <c r="W64">
        <v>9</v>
      </c>
      <c r="X64">
        <v>7.9</v>
      </c>
      <c r="Y64">
        <v>39</v>
      </c>
      <c r="Z64">
        <v>6</v>
      </c>
      <c r="AA64">
        <v>6</v>
      </c>
      <c r="AB64">
        <v>2</v>
      </c>
      <c r="AC64">
        <v>8</v>
      </c>
      <c r="AD64" s="21">
        <v>0.31428571428571428</v>
      </c>
      <c r="AE64" s="21">
        <v>0.11428571428571428</v>
      </c>
      <c r="AF64">
        <v>100</v>
      </c>
      <c r="AG64">
        <v>5</v>
      </c>
      <c r="AH64">
        <v>28</v>
      </c>
      <c r="AI64">
        <v>18</v>
      </c>
      <c r="AJ64">
        <v>5</v>
      </c>
      <c r="AK64">
        <v>56</v>
      </c>
      <c r="AL64">
        <v>17</v>
      </c>
      <c r="AM64">
        <v>0</v>
      </c>
      <c r="AN64">
        <f t="shared" ref="AN64:AN70" si="3">SUM(AO64:AR64)</f>
        <v>277</v>
      </c>
      <c r="AO64">
        <v>154</v>
      </c>
      <c r="AP64">
        <v>90</v>
      </c>
      <c r="AQ64">
        <v>1</v>
      </c>
      <c r="AR64">
        <v>32</v>
      </c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</row>
    <row r="65" spans="1:84" x14ac:dyDescent="0.2">
      <c r="A65" s="39">
        <v>43723</v>
      </c>
      <c r="B65" s="25" t="s">
        <v>383</v>
      </c>
      <c r="C65" t="s">
        <v>306</v>
      </c>
      <c r="D65" s="24" t="s">
        <v>291</v>
      </c>
      <c r="E65">
        <v>16.739999999999998</v>
      </c>
      <c r="F65">
        <v>11.2</v>
      </c>
      <c r="G65">
        <v>25</v>
      </c>
      <c r="H65">
        <v>2</v>
      </c>
      <c r="I65">
        <v>10.199999999999999</v>
      </c>
      <c r="J65">
        <v>3</v>
      </c>
      <c r="K65">
        <v>8</v>
      </c>
      <c r="L65">
        <v>17.2</v>
      </c>
      <c r="M65">
        <v>62</v>
      </c>
      <c r="N65">
        <v>9</v>
      </c>
      <c r="O65">
        <v>10.6</v>
      </c>
      <c r="P65">
        <v>16</v>
      </c>
      <c r="Q65">
        <v>3</v>
      </c>
      <c r="R65" s="14">
        <v>7.6</v>
      </c>
      <c r="S65">
        <v>36</v>
      </c>
      <c r="T65">
        <v>7</v>
      </c>
      <c r="U65">
        <v>15</v>
      </c>
      <c r="V65">
        <v>80</v>
      </c>
      <c r="W65">
        <v>8</v>
      </c>
      <c r="X65">
        <f>5.9+2.1</f>
        <v>8</v>
      </c>
      <c r="Y65">
        <v>40</v>
      </c>
      <c r="Z65">
        <v>5</v>
      </c>
      <c r="AA65">
        <v>3</v>
      </c>
      <c r="AB65">
        <v>0</v>
      </c>
      <c r="AC65">
        <v>2</v>
      </c>
      <c r="AD65" s="21">
        <v>0.26315789473684209</v>
      </c>
      <c r="AE65" s="21">
        <v>2.6315789473684209E-2</v>
      </c>
      <c r="AF65">
        <v>62.5</v>
      </c>
      <c r="AG65">
        <v>1</v>
      </c>
      <c r="AH65">
        <v>37</v>
      </c>
      <c r="AI65">
        <v>13</v>
      </c>
      <c r="AJ65">
        <v>1</v>
      </c>
      <c r="AK65">
        <v>55</v>
      </c>
      <c r="AL65">
        <v>21</v>
      </c>
      <c r="AM65">
        <v>0</v>
      </c>
      <c r="AN65">
        <f t="shared" si="3"/>
        <v>268</v>
      </c>
      <c r="AO65">
        <v>221</v>
      </c>
      <c r="AP65">
        <v>32</v>
      </c>
      <c r="AQ65">
        <v>16</v>
      </c>
      <c r="AR65">
        <v>-1</v>
      </c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</row>
    <row r="66" spans="1:84" x14ac:dyDescent="0.2">
      <c r="A66" s="39">
        <v>43730</v>
      </c>
      <c r="B66" s="25" t="s">
        <v>382</v>
      </c>
      <c r="C66" t="s">
        <v>285</v>
      </c>
      <c r="D66" s="22" t="s">
        <v>301</v>
      </c>
      <c r="E66">
        <v>19.82</v>
      </c>
      <c r="F66">
        <v>18.5</v>
      </c>
      <c r="G66">
        <v>37</v>
      </c>
      <c r="H66">
        <v>9</v>
      </c>
      <c r="I66">
        <v>3.5</v>
      </c>
      <c r="J66">
        <v>15</v>
      </c>
      <c r="K66">
        <v>2</v>
      </c>
      <c r="L66">
        <v>14.6</v>
      </c>
      <c r="M66">
        <v>36</v>
      </c>
      <c r="N66">
        <v>7</v>
      </c>
      <c r="O66">
        <v>15.9</v>
      </c>
      <c r="P66">
        <v>59</v>
      </c>
      <c r="Q66">
        <v>12</v>
      </c>
      <c r="R66" s="14">
        <v>2.9</v>
      </c>
      <c r="S66">
        <v>9</v>
      </c>
      <c r="T66">
        <v>4</v>
      </c>
      <c r="U66">
        <v>23.7</v>
      </c>
      <c r="V66">
        <v>97</v>
      </c>
      <c r="W66">
        <v>21</v>
      </c>
      <c r="X66">
        <v>1.9</v>
      </c>
      <c r="Y66">
        <v>9</v>
      </c>
      <c r="Z66">
        <v>1</v>
      </c>
      <c r="AA66">
        <v>9</v>
      </c>
      <c r="AB66">
        <v>2</v>
      </c>
      <c r="AC66">
        <v>0</v>
      </c>
      <c r="AD66" s="21">
        <v>0.30909090909090908</v>
      </c>
      <c r="AE66" s="21">
        <v>0.14545454545454545</v>
      </c>
      <c r="AF66">
        <v>66.7</v>
      </c>
      <c r="AG66">
        <v>13</v>
      </c>
      <c r="AH66">
        <v>43</v>
      </c>
      <c r="AI66">
        <v>14</v>
      </c>
      <c r="AJ66">
        <v>8</v>
      </c>
      <c r="AK66">
        <v>73</v>
      </c>
      <c r="AL66">
        <v>20</v>
      </c>
      <c r="AM66">
        <v>0</v>
      </c>
      <c r="AN66">
        <f t="shared" si="3"/>
        <v>294</v>
      </c>
      <c r="AO66">
        <v>173</v>
      </c>
      <c r="AP66">
        <v>52</v>
      </c>
      <c r="AQ66">
        <v>0</v>
      </c>
      <c r="AR66">
        <v>69</v>
      </c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</row>
    <row r="67" spans="1:84" x14ac:dyDescent="0.2">
      <c r="A67" s="39">
        <v>43730</v>
      </c>
      <c r="B67" s="25" t="s">
        <v>382</v>
      </c>
      <c r="C67" t="s">
        <v>295</v>
      </c>
      <c r="D67" s="34" t="s">
        <v>289</v>
      </c>
      <c r="E67">
        <v>26.46</v>
      </c>
      <c r="F67">
        <v>12.5</v>
      </c>
      <c r="G67">
        <v>88</v>
      </c>
      <c r="H67">
        <v>4</v>
      </c>
      <c r="I67">
        <v>1.4</v>
      </c>
      <c r="J67">
        <v>0</v>
      </c>
      <c r="K67">
        <v>1</v>
      </c>
      <c r="L67">
        <v>29.8</v>
      </c>
      <c r="M67">
        <v>128</v>
      </c>
      <c r="N67">
        <v>9</v>
      </c>
      <c r="O67">
        <v>1.6</v>
      </c>
      <c r="P67">
        <v>6</v>
      </c>
      <c r="Q67">
        <v>1</v>
      </c>
      <c r="R67" s="14">
        <v>13.7</v>
      </c>
      <c r="S67">
        <v>75</v>
      </c>
      <c r="T67">
        <v>6</v>
      </c>
      <c r="U67">
        <v>27.4</v>
      </c>
      <c r="V67">
        <v>104</v>
      </c>
      <c r="W67">
        <v>11</v>
      </c>
      <c r="X67">
        <f>24.6+4.2</f>
        <v>28.8</v>
      </c>
      <c r="Y67">
        <v>78</v>
      </c>
      <c r="Z67">
        <v>11</v>
      </c>
      <c r="AA67">
        <v>6</v>
      </c>
      <c r="AB67">
        <v>1</v>
      </c>
      <c r="AC67">
        <v>1</v>
      </c>
      <c r="AD67" s="21">
        <v>0.26470588235294118</v>
      </c>
      <c r="AE67" s="21">
        <v>0</v>
      </c>
      <c r="AF67">
        <v>87.5</v>
      </c>
      <c r="AG67">
        <v>2</v>
      </c>
      <c r="AH67">
        <v>34</v>
      </c>
      <c r="AI67">
        <v>17</v>
      </c>
      <c r="AJ67">
        <v>2</v>
      </c>
      <c r="AK67">
        <v>54</v>
      </c>
      <c r="AL67">
        <v>24</v>
      </c>
      <c r="AM67">
        <v>0</v>
      </c>
      <c r="AN67">
        <f t="shared" si="3"/>
        <v>397</v>
      </c>
      <c r="AO67">
        <v>304</v>
      </c>
      <c r="AP67">
        <v>88</v>
      </c>
      <c r="AQ67">
        <v>2</v>
      </c>
      <c r="AR67">
        <v>3</v>
      </c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</row>
    <row r="68" spans="1:84" x14ac:dyDescent="0.2">
      <c r="A68" s="39">
        <v>43730</v>
      </c>
      <c r="B68" s="25" t="s">
        <v>382</v>
      </c>
      <c r="C68" s="41" t="s">
        <v>305</v>
      </c>
      <c r="D68" s="22" t="s">
        <v>288</v>
      </c>
      <c r="E68">
        <v>21.28</v>
      </c>
      <c r="F68">
        <v>38.5</v>
      </c>
      <c r="G68">
        <v>103</v>
      </c>
      <c r="H68">
        <v>4</v>
      </c>
      <c r="I68">
        <v>8.8000000000000007</v>
      </c>
      <c r="J68">
        <v>53</v>
      </c>
      <c r="K68">
        <v>2</v>
      </c>
      <c r="L68">
        <v>6.9</v>
      </c>
      <c r="M68">
        <v>47</v>
      </c>
      <c r="N68">
        <v>9</v>
      </c>
      <c r="O68">
        <v>7.7</v>
      </c>
      <c r="P68">
        <v>49</v>
      </c>
      <c r="Q68">
        <v>5</v>
      </c>
      <c r="R68" s="14">
        <v>5.7</v>
      </c>
      <c r="S68">
        <v>37</v>
      </c>
      <c r="T68">
        <v>2</v>
      </c>
      <c r="U68">
        <v>16.3</v>
      </c>
      <c r="V68">
        <v>93</v>
      </c>
      <c r="W68">
        <v>13</v>
      </c>
      <c r="X68">
        <f>9.9+4.5+3.4</f>
        <v>17.8</v>
      </c>
      <c r="Y68">
        <f>58+15+14</f>
        <v>87</v>
      </c>
      <c r="Z68">
        <v>17</v>
      </c>
      <c r="AA68">
        <v>4</v>
      </c>
      <c r="AB68">
        <v>1</v>
      </c>
      <c r="AC68">
        <v>0</v>
      </c>
      <c r="AD68" s="21">
        <v>0.4</v>
      </c>
      <c r="AE68" s="21">
        <v>0.06</v>
      </c>
      <c r="AF68">
        <v>61.5</v>
      </c>
      <c r="AG68">
        <v>2</v>
      </c>
      <c r="AH68">
        <v>43</v>
      </c>
      <c r="AI68">
        <f>16+8</f>
        <v>24</v>
      </c>
      <c r="AJ68">
        <v>8</v>
      </c>
      <c r="AK68">
        <v>78</v>
      </c>
      <c r="AL68">
        <v>28</v>
      </c>
      <c r="AM68">
        <v>0</v>
      </c>
      <c r="AN68">
        <f t="shared" si="3"/>
        <v>470</v>
      </c>
      <c r="AO68">
        <v>267</v>
      </c>
      <c r="AP68">
        <f>103+53+1</f>
        <v>157</v>
      </c>
      <c r="AQ68">
        <v>0</v>
      </c>
      <c r="AR68">
        <v>46</v>
      </c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</row>
    <row r="69" spans="1:84" x14ac:dyDescent="0.2">
      <c r="A69" s="39">
        <v>43730</v>
      </c>
      <c r="B69" s="25" t="s">
        <v>382</v>
      </c>
      <c r="C69" t="s">
        <v>276</v>
      </c>
      <c r="D69" s="22" t="s">
        <v>272</v>
      </c>
      <c r="E69">
        <v>19.32</v>
      </c>
      <c r="F69">
        <v>16.899999999999999</v>
      </c>
      <c r="G69">
        <v>76</v>
      </c>
      <c r="H69">
        <v>2</v>
      </c>
      <c r="I69">
        <v>5.9</v>
      </c>
      <c r="J69">
        <v>30</v>
      </c>
      <c r="K69">
        <v>3</v>
      </c>
      <c r="L69">
        <v>9.5</v>
      </c>
      <c r="M69">
        <v>51</v>
      </c>
      <c r="N69">
        <v>5</v>
      </c>
      <c r="O69">
        <v>14.8</v>
      </c>
      <c r="P69">
        <v>48</v>
      </c>
      <c r="Q69">
        <v>10</v>
      </c>
      <c r="R69" s="14">
        <v>5.3</v>
      </c>
      <c r="S69">
        <v>33</v>
      </c>
      <c r="T69">
        <v>3</v>
      </c>
      <c r="U69">
        <v>18.099999999999998</v>
      </c>
      <c r="V69">
        <v>91</v>
      </c>
      <c r="W69">
        <v>10</v>
      </c>
      <c r="X69">
        <v>17.899999999999999</v>
      </c>
      <c r="Y69">
        <v>70</v>
      </c>
      <c r="Z69">
        <v>7</v>
      </c>
      <c r="AA69">
        <v>8</v>
      </c>
      <c r="AB69">
        <v>3</v>
      </c>
      <c r="AC69">
        <v>11</v>
      </c>
      <c r="AD69" s="21">
        <v>0.51219512195121952</v>
      </c>
      <c r="AE69" s="21">
        <v>2.4390243902439025E-2</v>
      </c>
      <c r="AF69">
        <v>53.3</v>
      </c>
      <c r="AG69">
        <v>5</v>
      </c>
      <c r="AH69">
        <v>36</v>
      </c>
      <c r="AI69">
        <v>22</v>
      </c>
      <c r="AJ69">
        <v>9</v>
      </c>
      <c r="AK69">
        <v>73</v>
      </c>
      <c r="AL69">
        <v>21</v>
      </c>
      <c r="AM69">
        <v>0</v>
      </c>
      <c r="AN69">
        <f t="shared" si="3"/>
        <v>409</v>
      </c>
      <c r="AO69">
        <v>243</v>
      </c>
      <c r="AP69">
        <v>106</v>
      </c>
      <c r="AQ69">
        <v>14</v>
      </c>
      <c r="AR69">
        <v>46</v>
      </c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</row>
    <row r="70" spans="1:84" x14ac:dyDescent="0.2">
      <c r="A70" s="39">
        <v>43730</v>
      </c>
      <c r="B70" s="25" t="s">
        <v>382</v>
      </c>
      <c r="C70" t="s">
        <v>301</v>
      </c>
      <c r="D70" s="22" t="s">
        <v>285</v>
      </c>
      <c r="E70">
        <v>25.34</v>
      </c>
      <c r="F70">
        <v>30.8</v>
      </c>
      <c r="G70">
        <v>153</v>
      </c>
      <c r="H70">
        <v>4</v>
      </c>
      <c r="I70">
        <v>1.6</v>
      </c>
      <c r="J70">
        <v>4</v>
      </c>
      <c r="K70">
        <v>1</v>
      </c>
      <c r="L70">
        <v>13.4</v>
      </c>
      <c r="M70">
        <v>52</v>
      </c>
      <c r="N70">
        <v>2</v>
      </c>
      <c r="O70">
        <v>16.3</v>
      </c>
      <c r="P70">
        <v>53</v>
      </c>
      <c r="Q70">
        <v>7</v>
      </c>
      <c r="R70">
        <v>5.8</v>
      </c>
      <c r="S70">
        <v>38</v>
      </c>
      <c r="T70">
        <v>2</v>
      </c>
      <c r="U70">
        <v>24.3</v>
      </c>
      <c r="V70">
        <v>63</v>
      </c>
      <c r="W70">
        <v>6</v>
      </c>
      <c r="X70">
        <v>25.5</v>
      </c>
      <c r="Y70">
        <v>75</v>
      </c>
      <c r="Z70">
        <v>7</v>
      </c>
      <c r="AA70">
        <v>8</v>
      </c>
      <c r="AB70">
        <v>1</v>
      </c>
      <c r="AC70">
        <v>13</v>
      </c>
      <c r="AD70" s="21">
        <v>0.41379310344827586</v>
      </c>
      <c r="AE70" s="21">
        <v>6.8965517241379309E-2</v>
      </c>
      <c r="AF70">
        <v>75</v>
      </c>
      <c r="AG70">
        <v>0</v>
      </c>
      <c r="AH70">
        <v>26</v>
      </c>
      <c r="AI70">
        <v>27</v>
      </c>
      <c r="AJ70">
        <v>3</v>
      </c>
      <c r="AK70">
        <v>59</v>
      </c>
      <c r="AL70">
        <v>38</v>
      </c>
      <c r="AM70">
        <v>0</v>
      </c>
      <c r="AN70">
        <f t="shared" si="3"/>
        <v>434</v>
      </c>
      <c r="AO70">
        <v>261</v>
      </c>
      <c r="AP70">
        <v>162</v>
      </c>
      <c r="AQ70">
        <v>12</v>
      </c>
      <c r="AR70">
        <v>-1</v>
      </c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</row>
    <row r="71" spans="1:84" x14ac:dyDescent="0.2">
      <c r="A71" s="39">
        <v>43730</v>
      </c>
      <c r="B71" s="25" t="s">
        <v>382</v>
      </c>
      <c r="C71" t="s">
        <v>265</v>
      </c>
      <c r="D71" s="22" t="s">
        <v>306</v>
      </c>
      <c r="E71">
        <v>20.440000000000001</v>
      </c>
      <c r="F71">
        <v>11.1</v>
      </c>
      <c r="G71">
        <v>67</v>
      </c>
      <c r="H71">
        <v>3</v>
      </c>
      <c r="I71">
        <v>4.4000000000000004</v>
      </c>
      <c r="J71">
        <v>-2</v>
      </c>
      <c r="K71">
        <v>4</v>
      </c>
      <c r="L71">
        <v>12</v>
      </c>
      <c r="M71">
        <v>60</v>
      </c>
      <c r="N71">
        <v>7</v>
      </c>
      <c r="O71">
        <v>32.200000000000003</v>
      </c>
      <c r="P71">
        <v>75</v>
      </c>
      <c r="Q71">
        <v>7</v>
      </c>
      <c r="R71" s="14">
        <v>2.5</v>
      </c>
      <c r="S71">
        <v>15</v>
      </c>
      <c r="T71">
        <v>3</v>
      </c>
      <c r="U71">
        <v>12</v>
      </c>
      <c r="V71">
        <v>50</v>
      </c>
      <c r="W71">
        <v>9</v>
      </c>
      <c r="X71">
        <v>7.7</v>
      </c>
      <c r="Y71">
        <v>27</v>
      </c>
      <c r="Z71">
        <v>5</v>
      </c>
      <c r="AA71">
        <v>7</v>
      </c>
      <c r="AB71">
        <v>2</v>
      </c>
      <c r="AC71">
        <v>21</v>
      </c>
      <c r="AD71" s="21">
        <v>0.35294117647058826</v>
      </c>
      <c r="AE71" s="21">
        <v>8.8235294117647065E-2</v>
      </c>
      <c r="AF71">
        <v>66.7</v>
      </c>
      <c r="AG71">
        <v>5</v>
      </c>
      <c r="AH71">
        <v>31</v>
      </c>
      <c r="AI71">
        <v>18</v>
      </c>
      <c r="AJ71">
        <v>1</v>
      </c>
      <c r="AK71">
        <v>58</v>
      </c>
      <c r="AL71">
        <v>24</v>
      </c>
      <c r="AM71">
        <v>7</v>
      </c>
      <c r="AN71">
        <f>AO71+AP71+AQ71+AR71</f>
        <v>321</v>
      </c>
      <c r="AO71">
        <v>231</v>
      </c>
      <c r="AP71">
        <v>67</v>
      </c>
      <c r="AQ71">
        <v>21</v>
      </c>
      <c r="AR71">
        <v>2</v>
      </c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</row>
    <row r="72" spans="1:84" x14ac:dyDescent="0.2">
      <c r="A72" s="39">
        <v>43730</v>
      </c>
      <c r="B72" s="25" t="s">
        <v>382</v>
      </c>
      <c r="C72" s="17" t="s">
        <v>272</v>
      </c>
      <c r="D72" s="22" t="s">
        <v>276</v>
      </c>
      <c r="E72">
        <v>18.059999999999999</v>
      </c>
      <c r="F72">
        <v>17.5</v>
      </c>
      <c r="G72">
        <v>61</v>
      </c>
      <c r="H72">
        <v>2</v>
      </c>
      <c r="I72">
        <v>3.2</v>
      </c>
      <c r="J72">
        <v>5</v>
      </c>
      <c r="K72">
        <v>2</v>
      </c>
      <c r="L72">
        <v>12.7</v>
      </c>
      <c r="M72">
        <v>67</v>
      </c>
      <c r="N72">
        <v>11</v>
      </c>
      <c r="O72">
        <v>3.2</v>
      </c>
      <c r="P72">
        <v>22</v>
      </c>
      <c r="Q72">
        <v>6</v>
      </c>
      <c r="R72">
        <v>13.8</v>
      </c>
      <c r="S72">
        <v>88</v>
      </c>
      <c r="T72">
        <v>10</v>
      </c>
      <c r="U72">
        <v>9.8000000000000007</v>
      </c>
      <c r="V72">
        <v>48</v>
      </c>
      <c r="W72">
        <v>7</v>
      </c>
      <c r="X72">
        <v>2.8</v>
      </c>
      <c r="Y72">
        <v>18</v>
      </c>
      <c r="Z72">
        <v>1</v>
      </c>
      <c r="AA72">
        <v>6</v>
      </c>
      <c r="AB72">
        <v>1</v>
      </c>
      <c r="AC72">
        <v>5</v>
      </c>
      <c r="AD72" s="21">
        <v>0.31578947368421051</v>
      </c>
      <c r="AE72" s="21">
        <v>5.2631578947368418E-2</v>
      </c>
      <c r="AF72">
        <v>50</v>
      </c>
      <c r="AG72">
        <v>11</v>
      </c>
      <c r="AH72">
        <v>36</v>
      </c>
      <c r="AI72">
        <v>18</v>
      </c>
      <c r="AJ72">
        <v>1</v>
      </c>
      <c r="AK72">
        <v>57</v>
      </c>
      <c r="AL72">
        <v>17</v>
      </c>
      <c r="AM72">
        <v>0</v>
      </c>
      <c r="AN72">
        <f>SUM(AO72:AR72)</f>
        <v>316</v>
      </c>
      <c r="AO72">
        <v>249</v>
      </c>
      <c r="AP72">
        <v>66</v>
      </c>
      <c r="AQ72">
        <v>0</v>
      </c>
      <c r="AR72">
        <v>1</v>
      </c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</row>
    <row r="73" spans="1:84" x14ac:dyDescent="0.2">
      <c r="A73" s="39">
        <v>43730</v>
      </c>
      <c r="B73" s="25" t="s">
        <v>382</v>
      </c>
      <c r="C73" t="s">
        <v>281</v>
      </c>
      <c r="D73" s="22" t="s">
        <v>304</v>
      </c>
      <c r="E73">
        <v>10.7</v>
      </c>
      <c r="F73">
        <v>17.100000000000001</v>
      </c>
      <c r="G73">
        <v>96</v>
      </c>
      <c r="H73">
        <v>7</v>
      </c>
      <c r="I73">
        <v>0</v>
      </c>
      <c r="J73">
        <v>0</v>
      </c>
      <c r="K73">
        <v>0</v>
      </c>
      <c r="L73">
        <v>11.6</v>
      </c>
      <c r="M73">
        <v>56</v>
      </c>
      <c r="N73">
        <v>9</v>
      </c>
      <c r="O73">
        <v>9.1999999999999993</v>
      </c>
      <c r="P73">
        <v>62</v>
      </c>
      <c r="Q73">
        <v>9</v>
      </c>
      <c r="R73">
        <v>5.6</v>
      </c>
      <c r="S73">
        <v>26</v>
      </c>
      <c r="T73">
        <v>5</v>
      </c>
      <c r="U73">
        <v>15.9</v>
      </c>
      <c r="V73">
        <v>59</v>
      </c>
      <c r="W73">
        <v>12</v>
      </c>
      <c r="X73">
        <v>9.6</v>
      </c>
      <c r="Y73">
        <v>16</v>
      </c>
      <c r="Z73">
        <v>4</v>
      </c>
      <c r="AA73">
        <v>7</v>
      </c>
      <c r="AB73">
        <v>2</v>
      </c>
      <c r="AC73">
        <v>9</v>
      </c>
      <c r="AD73" s="21">
        <v>0.46153846153846156</v>
      </c>
      <c r="AE73" s="21">
        <v>7.6923076923076927E-2</v>
      </c>
      <c r="AF73">
        <v>36.4</v>
      </c>
      <c r="AG73">
        <v>9</v>
      </c>
      <c r="AH73">
        <v>36</v>
      </c>
      <c r="AI73">
        <v>23</v>
      </c>
      <c r="AJ73">
        <v>1</v>
      </c>
      <c r="AK73">
        <v>63</v>
      </c>
      <c r="AL73">
        <v>13</v>
      </c>
      <c r="AM73">
        <v>0</v>
      </c>
      <c r="AN73">
        <f>SUM(AO73:AR73)</f>
        <v>290</v>
      </c>
      <c r="AO73">
        <v>195</v>
      </c>
      <c r="AP73">
        <v>96</v>
      </c>
      <c r="AQ73">
        <v>0</v>
      </c>
      <c r="AR73">
        <v>-1</v>
      </c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</row>
    <row r="74" spans="1:84" s="3" customFormat="1" x14ac:dyDescent="0.2">
      <c r="A74" s="39">
        <v>43730</v>
      </c>
      <c r="B74" s="25" t="s">
        <v>382</v>
      </c>
      <c r="C74" t="s">
        <v>291</v>
      </c>
      <c r="D74" s="22" t="s">
        <v>293</v>
      </c>
      <c r="E74">
        <v>23.54</v>
      </c>
      <c r="F74">
        <v>18.899999999999999</v>
      </c>
      <c r="G74">
        <v>125</v>
      </c>
      <c r="H74">
        <v>3</v>
      </c>
      <c r="I74">
        <v>24.8</v>
      </c>
      <c r="J74">
        <v>103</v>
      </c>
      <c r="K74">
        <v>3</v>
      </c>
      <c r="L74">
        <v>26.8</v>
      </c>
      <c r="M74">
        <v>88</v>
      </c>
      <c r="N74">
        <v>7</v>
      </c>
      <c r="O74">
        <v>5.9</v>
      </c>
      <c r="P74">
        <v>39</v>
      </c>
      <c r="Q74">
        <v>5</v>
      </c>
      <c r="R74" s="14">
        <v>4.3</v>
      </c>
      <c r="S74">
        <v>23</v>
      </c>
      <c r="T74">
        <v>4</v>
      </c>
      <c r="U74">
        <v>19.399999999999999</v>
      </c>
      <c r="V74">
        <v>134</v>
      </c>
      <c r="W74">
        <v>11</v>
      </c>
      <c r="X74">
        <v>9.6999999999999993</v>
      </c>
      <c r="Y74">
        <v>57</v>
      </c>
      <c r="Z74">
        <v>7</v>
      </c>
      <c r="AA74">
        <v>7</v>
      </c>
      <c r="AB74">
        <v>2</v>
      </c>
      <c r="AC74">
        <v>12</v>
      </c>
      <c r="AD74" s="21">
        <v>0.3235294117647059</v>
      </c>
      <c r="AE74" s="21">
        <v>2.9411764705882353E-2</v>
      </c>
      <c r="AF74">
        <v>66.7</v>
      </c>
      <c r="AG74">
        <v>2</v>
      </c>
      <c r="AH74">
        <v>32</v>
      </c>
      <c r="AI74">
        <f>13+19</f>
        <v>32</v>
      </c>
      <c r="AJ74">
        <v>2</v>
      </c>
      <c r="AK74">
        <v>67</v>
      </c>
      <c r="AL74">
        <v>31</v>
      </c>
      <c r="AM74">
        <v>0</v>
      </c>
      <c r="AN74">
        <f>SUM(AO74:AR74)</f>
        <v>481</v>
      </c>
      <c r="AO74">
        <v>246</v>
      </c>
      <c r="AP74">
        <v>228</v>
      </c>
      <c r="AQ74">
        <v>0</v>
      </c>
      <c r="AR74">
        <v>7</v>
      </c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</row>
    <row r="75" spans="1:84" s="3" customFormat="1" x14ac:dyDescent="0.2">
      <c r="A75" s="39">
        <v>43730</v>
      </c>
      <c r="B75" t="s">
        <v>382</v>
      </c>
      <c r="C75" t="s">
        <v>278</v>
      </c>
      <c r="D75" t="s">
        <v>300</v>
      </c>
      <c r="E75">
        <v>7.02</v>
      </c>
      <c r="F75">
        <v>29</v>
      </c>
      <c r="G75">
        <v>81</v>
      </c>
      <c r="H75">
        <v>5</v>
      </c>
      <c r="I75">
        <v>11.3</v>
      </c>
      <c r="J75">
        <v>63</v>
      </c>
      <c r="K75">
        <v>5</v>
      </c>
      <c r="L75">
        <v>13.7</v>
      </c>
      <c r="M75">
        <v>87</v>
      </c>
      <c r="N75">
        <v>8</v>
      </c>
      <c r="O75">
        <v>3</v>
      </c>
      <c r="P75">
        <v>10</v>
      </c>
      <c r="Q75">
        <v>4</v>
      </c>
      <c r="R75">
        <v>0</v>
      </c>
      <c r="S75">
        <v>0</v>
      </c>
      <c r="T75">
        <v>0</v>
      </c>
      <c r="U75">
        <v>0</v>
      </c>
      <c r="V75">
        <v>0</v>
      </c>
      <c r="W75">
        <v>2</v>
      </c>
      <c r="X75">
        <v>9.6999999999999993</v>
      </c>
      <c r="Y75">
        <v>57</v>
      </c>
      <c r="Z75">
        <v>5</v>
      </c>
      <c r="AA75">
        <v>4</v>
      </c>
      <c r="AB75">
        <v>1</v>
      </c>
      <c r="AC75">
        <v>0</v>
      </c>
      <c r="AD75">
        <v>0.44444444444444442</v>
      </c>
      <c r="AE75">
        <v>0.16666666666666666</v>
      </c>
      <c r="AF75">
        <v>88.9</v>
      </c>
      <c r="AG75">
        <v>13</v>
      </c>
      <c r="AH75">
        <v>29</v>
      </c>
      <c r="AI75">
        <v>36</v>
      </c>
      <c r="AJ75">
        <v>2</v>
      </c>
      <c r="AK75">
        <v>73</v>
      </c>
      <c r="AL75">
        <v>16</v>
      </c>
      <c r="AM75">
        <v>0</v>
      </c>
      <c r="AN75">
        <v>362</v>
      </c>
      <c r="AO75">
        <v>213</v>
      </c>
      <c r="AP75">
        <v>144</v>
      </c>
      <c r="AQ75">
        <v>0</v>
      </c>
      <c r="AR75">
        <v>5</v>
      </c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</row>
    <row r="76" spans="1:84" x14ac:dyDescent="0.2">
      <c r="A76" s="39">
        <v>43730</v>
      </c>
      <c r="B76" s="25" t="s">
        <v>382</v>
      </c>
      <c r="C76" t="s">
        <v>299</v>
      </c>
      <c r="D76" s="22" t="s">
        <v>294</v>
      </c>
      <c r="E76">
        <v>12.14</v>
      </c>
      <c r="F76">
        <v>11.3</v>
      </c>
      <c r="G76">
        <v>1</v>
      </c>
      <c r="H76">
        <v>1.5</v>
      </c>
      <c r="I76">
        <v>1.5</v>
      </c>
      <c r="J76">
        <v>5</v>
      </c>
      <c r="K76">
        <v>2</v>
      </c>
      <c r="L76">
        <v>3.7</v>
      </c>
      <c r="M76">
        <v>17</v>
      </c>
      <c r="N76">
        <v>8</v>
      </c>
      <c r="O76" s="14">
        <v>25.1</v>
      </c>
      <c r="P76">
        <v>101</v>
      </c>
      <c r="Q76">
        <v>9</v>
      </c>
      <c r="R76">
        <v>7.7</v>
      </c>
      <c r="S76">
        <v>37</v>
      </c>
      <c r="T76">
        <v>5</v>
      </c>
      <c r="U76">
        <v>9.1</v>
      </c>
      <c r="V76">
        <v>61</v>
      </c>
      <c r="W76">
        <v>4</v>
      </c>
      <c r="X76">
        <f>2.5+2.3+1.1</f>
        <v>5.9</v>
      </c>
      <c r="Y76">
        <v>29</v>
      </c>
      <c r="Z76">
        <v>6</v>
      </c>
      <c r="AA76">
        <v>9</v>
      </c>
      <c r="AB76">
        <v>3</v>
      </c>
      <c r="AC76">
        <v>13</v>
      </c>
      <c r="AD76" s="21">
        <v>0.42424242424242425</v>
      </c>
      <c r="AE76" s="21">
        <v>0</v>
      </c>
      <c r="AF76">
        <v>33.299999999999997</v>
      </c>
      <c r="AG76">
        <v>2</v>
      </c>
      <c r="AH76">
        <v>32</v>
      </c>
      <c r="AI76">
        <v>25</v>
      </c>
      <c r="AJ76">
        <v>3</v>
      </c>
      <c r="AK76">
        <v>60</v>
      </c>
      <c r="AL76">
        <v>20</v>
      </c>
      <c r="AM76">
        <v>7</v>
      </c>
      <c r="AN76">
        <f t="shared" ref="AN76:AN92" si="4">SUM(AO76:AR76)</f>
        <v>287</v>
      </c>
      <c r="AO76">
        <v>201</v>
      </c>
      <c r="AP76">
        <f>36+44+5</f>
        <v>85</v>
      </c>
      <c r="AQ76">
        <v>0</v>
      </c>
      <c r="AR76">
        <v>1</v>
      </c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</row>
    <row r="77" spans="1:84" x14ac:dyDescent="0.2">
      <c r="A77" s="39">
        <v>43730</v>
      </c>
      <c r="B77" s="25" t="s">
        <v>382</v>
      </c>
      <c r="C77" t="s">
        <v>300</v>
      </c>
      <c r="D77" s="22" t="s">
        <v>278</v>
      </c>
      <c r="E77">
        <v>13.3</v>
      </c>
      <c r="F77">
        <v>15.3</v>
      </c>
      <c r="G77">
        <v>19</v>
      </c>
      <c r="H77">
        <v>1</v>
      </c>
      <c r="I77">
        <v>10.6</v>
      </c>
      <c r="J77">
        <v>59</v>
      </c>
      <c r="K77">
        <v>2</v>
      </c>
      <c r="L77">
        <v>9.6</v>
      </c>
      <c r="M77">
        <v>56</v>
      </c>
      <c r="N77">
        <v>4</v>
      </c>
      <c r="O77">
        <v>21.9</v>
      </c>
      <c r="P77">
        <v>99</v>
      </c>
      <c r="Q77">
        <v>10</v>
      </c>
      <c r="R77" s="14">
        <v>0.5</v>
      </c>
      <c r="S77">
        <v>-1</v>
      </c>
      <c r="T77">
        <v>3</v>
      </c>
      <c r="U77">
        <v>16.400000000000002</v>
      </c>
      <c r="V77">
        <v>74</v>
      </c>
      <c r="W77">
        <v>5</v>
      </c>
      <c r="X77">
        <f>2.9+1.4</f>
        <v>4.3</v>
      </c>
      <c r="Y77">
        <v>23</v>
      </c>
      <c r="Z77">
        <v>5</v>
      </c>
      <c r="AA77">
        <v>11</v>
      </c>
      <c r="AB77">
        <v>3</v>
      </c>
      <c r="AC77">
        <v>13</v>
      </c>
      <c r="AD77" s="21">
        <v>0.44827586206896552</v>
      </c>
      <c r="AE77" s="21">
        <v>0</v>
      </c>
      <c r="AF77">
        <v>60</v>
      </c>
      <c r="AG77">
        <v>0</v>
      </c>
      <c r="AH77">
        <v>29</v>
      </c>
      <c r="AI77">
        <v>22</v>
      </c>
      <c r="AJ77">
        <v>1</v>
      </c>
      <c r="AK77">
        <v>52</v>
      </c>
      <c r="AL77">
        <v>27</v>
      </c>
      <c r="AM77">
        <v>0</v>
      </c>
      <c r="AN77">
        <f t="shared" si="4"/>
        <v>312</v>
      </c>
      <c r="AO77">
        <v>235</v>
      </c>
      <c r="AP77">
        <f>19+59</f>
        <v>78</v>
      </c>
      <c r="AQ77">
        <v>0</v>
      </c>
      <c r="AR77">
        <v>-1</v>
      </c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</row>
    <row r="78" spans="1:84" x14ac:dyDescent="0.2">
      <c r="A78" s="39">
        <v>43730</v>
      </c>
      <c r="B78" s="25" t="s">
        <v>382</v>
      </c>
      <c r="C78" t="s">
        <v>311</v>
      </c>
      <c r="D78" s="22" t="s">
        <v>287</v>
      </c>
      <c r="E78">
        <v>29.84</v>
      </c>
      <c r="F78">
        <v>7.9</v>
      </c>
      <c r="G78">
        <v>19</v>
      </c>
      <c r="H78">
        <v>0</v>
      </c>
      <c r="I78">
        <v>4.4000000000000004</v>
      </c>
      <c r="J78">
        <v>2</v>
      </c>
      <c r="K78">
        <v>3</v>
      </c>
      <c r="L78">
        <v>12.7</v>
      </c>
      <c r="M78">
        <v>67</v>
      </c>
      <c r="N78">
        <v>7</v>
      </c>
      <c r="O78" s="14">
        <v>10.1</v>
      </c>
      <c r="P78">
        <v>51</v>
      </c>
      <c r="Q78">
        <v>7</v>
      </c>
      <c r="R78">
        <v>12.9</v>
      </c>
      <c r="S78">
        <v>89</v>
      </c>
      <c r="T78">
        <v>6</v>
      </c>
      <c r="U78">
        <v>22.799999999999997</v>
      </c>
      <c r="V78">
        <v>138</v>
      </c>
      <c r="W78">
        <v>12</v>
      </c>
      <c r="X78">
        <f>22.3+15.9</f>
        <v>38.200000000000003</v>
      </c>
      <c r="Y78">
        <f>73+49</f>
        <v>122</v>
      </c>
      <c r="Z78">
        <v>11</v>
      </c>
      <c r="AA78">
        <v>3</v>
      </c>
      <c r="AB78">
        <v>1</v>
      </c>
      <c r="AC78">
        <v>8</v>
      </c>
      <c r="AD78" s="21">
        <v>0.43902439024390244</v>
      </c>
      <c r="AE78" s="21">
        <v>4.878048780487805E-2</v>
      </c>
      <c r="AF78">
        <v>69.2</v>
      </c>
      <c r="AG78">
        <v>4</v>
      </c>
      <c r="AH78">
        <v>34</v>
      </c>
      <c r="AI78">
        <v>12</v>
      </c>
      <c r="AJ78">
        <v>7</v>
      </c>
      <c r="AK78">
        <v>55</v>
      </c>
      <c r="AL78">
        <v>27</v>
      </c>
      <c r="AM78">
        <v>0</v>
      </c>
      <c r="AN78">
        <f t="shared" si="4"/>
        <v>390</v>
      </c>
      <c r="AO78">
        <v>351</v>
      </c>
      <c r="AP78">
        <v>21</v>
      </c>
      <c r="AQ78">
        <v>0</v>
      </c>
      <c r="AR78">
        <v>18</v>
      </c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</row>
    <row r="79" spans="1:84" x14ac:dyDescent="0.2">
      <c r="A79" s="39">
        <v>43730</v>
      </c>
      <c r="B79" s="25" t="s">
        <v>382</v>
      </c>
      <c r="C79" t="s">
        <v>289</v>
      </c>
      <c r="D79" s="22" t="s">
        <v>295</v>
      </c>
      <c r="E79">
        <v>23.8</v>
      </c>
      <c r="F79">
        <v>16.8</v>
      </c>
      <c r="G79">
        <v>74</v>
      </c>
      <c r="H79">
        <v>3</v>
      </c>
      <c r="I79">
        <v>5.9</v>
      </c>
      <c r="J79">
        <v>3</v>
      </c>
      <c r="K79">
        <v>4</v>
      </c>
      <c r="L79">
        <v>20.5</v>
      </c>
      <c r="M79">
        <v>65</v>
      </c>
      <c r="N79">
        <v>10</v>
      </c>
      <c r="O79">
        <v>13.3</v>
      </c>
      <c r="P79">
        <v>53</v>
      </c>
      <c r="Q79">
        <v>3</v>
      </c>
      <c r="R79">
        <v>5.4</v>
      </c>
      <c r="S79">
        <v>24</v>
      </c>
      <c r="T79">
        <v>3</v>
      </c>
      <c r="U79">
        <v>28</v>
      </c>
      <c r="V79">
        <v>70</v>
      </c>
      <c r="W79">
        <v>9</v>
      </c>
      <c r="X79">
        <f>8.8+7.7+4.5</f>
        <v>21</v>
      </c>
      <c r="Y79">
        <f>46+47+25</f>
        <v>118</v>
      </c>
      <c r="Z79">
        <v>10</v>
      </c>
      <c r="AA79">
        <v>10</v>
      </c>
      <c r="AB79">
        <v>2</v>
      </c>
      <c r="AC79">
        <v>2</v>
      </c>
      <c r="AD79" s="21">
        <v>0.28205128205128205</v>
      </c>
      <c r="AE79" s="21">
        <v>2.564102564102564E-2</v>
      </c>
      <c r="AF79">
        <v>50</v>
      </c>
      <c r="AG79">
        <v>1</v>
      </c>
      <c r="AH79">
        <v>37</v>
      </c>
      <c r="AI79">
        <v>21</v>
      </c>
      <c r="AJ79">
        <v>3</v>
      </c>
      <c r="AK79">
        <v>62</v>
      </c>
      <c r="AL79">
        <v>27</v>
      </c>
      <c r="AM79">
        <v>0</v>
      </c>
      <c r="AN79">
        <f t="shared" si="4"/>
        <v>389</v>
      </c>
      <c r="AO79">
        <v>310</v>
      </c>
      <c r="AP79">
        <v>75</v>
      </c>
      <c r="AQ79">
        <v>0</v>
      </c>
      <c r="AR79">
        <v>4</v>
      </c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</row>
    <row r="80" spans="1:84" x14ac:dyDescent="0.2">
      <c r="A80" s="39">
        <v>43730</v>
      </c>
      <c r="B80" s="25" t="s">
        <v>382</v>
      </c>
      <c r="C80" t="s">
        <v>297</v>
      </c>
      <c r="D80" s="22" t="s">
        <v>310</v>
      </c>
      <c r="E80">
        <v>17.96</v>
      </c>
      <c r="F80">
        <v>15.2</v>
      </c>
      <c r="G80">
        <v>66</v>
      </c>
      <c r="H80">
        <v>8</v>
      </c>
      <c r="I80">
        <v>0</v>
      </c>
      <c r="J80">
        <v>0</v>
      </c>
      <c r="K80">
        <v>0</v>
      </c>
      <c r="L80">
        <v>10</v>
      </c>
      <c r="M80">
        <v>49</v>
      </c>
      <c r="N80">
        <v>9</v>
      </c>
      <c r="O80">
        <v>17.600000000000001</v>
      </c>
      <c r="P80">
        <v>76</v>
      </c>
      <c r="Q80">
        <v>5</v>
      </c>
      <c r="R80">
        <v>5</v>
      </c>
      <c r="S80">
        <v>30</v>
      </c>
      <c r="T80">
        <v>3</v>
      </c>
      <c r="U80">
        <v>5.8</v>
      </c>
      <c r="V80">
        <v>18</v>
      </c>
      <c r="W80">
        <v>9</v>
      </c>
      <c r="X80">
        <f>9.8+1.8</f>
        <v>11.600000000000001</v>
      </c>
      <c r="Y80">
        <v>26</v>
      </c>
      <c r="Z80">
        <v>5</v>
      </c>
      <c r="AA80">
        <v>10</v>
      </c>
      <c r="AB80">
        <v>2</v>
      </c>
      <c r="AC80">
        <v>15</v>
      </c>
      <c r="AD80" s="21">
        <v>0.27272727272727271</v>
      </c>
      <c r="AE80" s="21">
        <v>0</v>
      </c>
      <c r="AF80">
        <v>57.1</v>
      </c>
      <c r="AG80">
        <v>1</v>
      </c>
      <c r="AH80">
        <v>30</v>
      </c>
      <c r="AI80">
        <v>15</v>
      </c>
      <c r="AJ80">
        <v>4</v>
      </c>
      <c r="AK80">
        <v>50</v>
      </c>
      <c r="AL80">
        <v>20</v>
      </c>
      <c r="AM80">
        <v>0</v>
      </c>
      <c r="AN80">
        <f t="shared" si="4"/>
        <v>292</v>
      </c>
      <c r="AO80">
        <v>204</v>
      </c>
      <c r="AP80">
        <v>66</v>
      </c>
      <c r="AQ80">
        <v>4</v>
      </c>
      <c r="AR80">
        <v>18</v>
      </c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</row>
    <row r="81" spans="1:84" x14ac:dyDescent="0.2">
      <c r="A81" s="39">
        <v>43730</v>
      </c>
      <c r="B81" s="25" t="s">
        <v>382</v>
      </c>
      <c r="C81" t="s">
        <v>288</v>
      </c>
      <c r="D81" s="22" t="s">
        <v>305</v>
      </c>
      <c r="E81">
        <v>30.86</v>
      </c>
      <c r="F81">
        <v>23</v>
      </c>
      <c r="G81">
        <v>54</v>
      </c>
      <c r="H81">
        <v>3</v>
      </c>
      <c r="I81">
        <v>15.9</v>
      </c>
      <c r="J81">
        <v>62</v>
      </c>
      <c r="K81">
        <v>5</v>
      </c>
      <c r="L81">
        <v>11.4</v>
      </c>
      <c r="M81">
        <v>64</v>
      </c>
      <c r="N81">
        <v>8</v>
      </c>
      <c r="O81">
        <v>13.3</v>
      </c>
      <c r="P81">
        <v>43</v>
      </c>
      <c r="Q81">
        <v>4</v>
      </c>
      <c r="R81" s="14">
        <v>18.399999999999999</v>
      </c>
      <c r="S81">
        <v>95</v>
      </c>
      <c r="T81">
        <v>5</v>
      </c>
      <c r="U81">
        <v>36.299999999999997</v>
      </c>
      <c r="V81">
        <v>203</v>
      </c>
      <c r="W81">
        <v>13</v>
      </c>
      <c r="X81">
        <v>17</v>
      </c>
      <c r="Y81">
        <v>90</v>
      </c>
      <c r="Z81">
        <v>9</v>
      </c>
      <c r="AA81">
        <v>10</v>
      </c>
      <c r="AB81">
        <v>2</v>
      </c>
      <c r="AC81">
        <v>2</v>
      </c>
      <c r="AD81" s="21">
        <v>0.30769230769230771</v>
      </c>
      <c r="AE81" s="21">
        <v>2.564102564102564E-2</v>
      </c>
      <c r="AF81">
        <v>100</v>
      </c>
      <c r="AG81">
        <v>0</v>
      </c>
      <c r="AH81">
        <v>37</v>
      </c>
      <c r="AI81">
        <f>8+9+4</f>
        <v>21</v>
      </c>
      <c r="AJ81">
        <v>4</v>
      </c>
      <c r="AK81">
        <v>64</v>
      </c>
      <c r="AL81">
        <v>33</v>
      </c>
      <c r="AM81">
        <v>0</v>
      </c>
      <c r="AN81">
        <f t="shared" si="4"/>
        <v>514</v>
      </c>
      <c r="AO81">
        <v>374</v>
      </c>
      <c r="AP81">
        <f>54+62+8</f>
        <v>124</v>
      </c>
      <c r="AQ81">
        <v>7</v>
      </c>
      <c r="AR81">
        <v>9</v>
      </c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</row>
    <row r="82" spans="1:84" x14ac:dyDescent="0.2">
      <c r="A82" s="39">
        <v>43730</v>
      </c>
      <c r="B82" s="25" t="s">
        <v>382</v>
      </c>
      <c r="C82" t="s">
        <v>303</v>
      </c>
      <c r="D82" s="22" t="s">
        <v>312</v>
      </c>
      <c r="E82">
        <v>16.68</v>
      </c>
      <c r="F82">
        <v>4.4000000000000004</v>
      </c>
      <c r="G82">
        <v>44</v>
      </c>
      <c r="H82">
        <v>2</v>
      </c>
      <c r="I82">
        <v>5.9</v>
      </c>
      <c r="J82">
        <v>15</v>
      </c>
      <c r="K82">
        <v>3</v>
      </c>
      <c r="L82">
        <v>11.9</v>
      </c>
      <c r="M82">
        <v>29</v>
      </c>
      <c r="N82">
        <v>3</v>
      </c>
      <c r="O82">
        <v>5.8</v>
      </c>
      <c r="P82">
        <v>28</v>
      </c>
      <c r="Q82">
        <v>4</v>
      </c>
      <c r="R82">
        <v>13.6</v>
      </c>
      <c r="S82">
        <v>36</v>
      </c>
      <c r="T82">
        <v>5</v>
      </c>
      <c r="U82">
        <v>28.400000000000002</v>
      </c>
      <c r="V82">
        <v>114</v>
      </c>
      <c r="W82">
        <v>14</v>
      </c>
      <c r="X82">
        <f>30.1+1.1</f>
        <v>31.200000000000003</v>
      </c>
      <c r="Y82">
        <v>135</v>
      </c>
      <c r="Z82">
        <v>16</v>
      </c>
      <c r="AA82">
        <v>2</v>
      </c>
      <c r="AB82">
        <v>1</v>
      </c>
      <c r="AC82">
        <v>-1</v>
      </c>
      <c r="AD82" s="21">
        <v>0.28947368421052633</v>
      </c>
      <c r="AE82" s="21">
        <v>0.10526315789473684</v>
      </c>
      <c r="AF82">
        <v>66.7</v>
      </c>
      <c r="AG82">
        <v>7</v>
      </c>
      <c r="AH82">
        <v>34</v>
      </c>
      <c r="AI82">
        <v>18</v>
      </c>
      <c r="AJ82">
        <v>1</v>
      </c>
      <c r="AK82">
        <v>58</v>
      </c>
      <c r="AL82">
        <v>14</v>
      </c>
      <c r="AM82">
        <v>0</v>
      </c>
      <c r="AN82">
        <f t="shared" si="4"/>
        <v>330</v>
      </c>
      <c r="AO82">
        <v>242</v>
      </c>
      <c r="AP82">
        <f>15+44+22</f>
        <v>81</v>
      </c>
      <c r="AQ82">
        <v>7</v>
      </c>
      <c r="AR82">
        <v>0</v>
      </c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</row>
    <row r="83" spans="1:84" x14ac:dyDescent="0.2">
      <c r="A83" s="39">
        <v>43730</v>
      </c>
      <c r="B83" s="25" t="s">
        <v>382</v>
      </c>
      <c r="C83" t="s">
        <v>287</v>
      </c>
      <c r="D83" s="22" t="s">
        <v>311</v>
      </c>
      <c r="E83">
        <v>23.62</v>
      </c>
      <c r="F83">
        <v>15.1</v>
      </c>
      <c r="G83">
        <v>36</v>
      </c>
      <c r="H83">
        <v>7</v>
      </c>
      <c r="I83">
        <v>7</v>
      </c>
      <c r="J83">
        <v>26</v>
      </c>
      <c r="K83">
        <v>4</v>
      </c>
      <c r="L83">
        <v>46.6</v>
      </c>
      <c r="M83">
        <v>183</v>
      </c>
      <c r="N83">
        <v>17</v>
      </c>
      <c r="O83">
        <v>7.5</v>
      </c>
      <c r="P83">
        <v>45</v>
      </c>
      <c r="Q83">
        <v>7</v>
      </c>
      <c r="R83">
        <v>3.3</v>
      </c>
      <c r="S83">
        <v>23</v>
      </c>
      <c r="T83">
        <v>3</v>
      </c>
      <c r="U83">
        <v>17.2</v>
      </c>
      <c r="V83">
        <v>52</v>
      </c>
      <c r="W83">
        <v>10</v>
      </c>
      <c r="X83">
        <v>2.2999999999999998</v>
      </c>
      <c r="Y83">
        <v>13</v>
      </c>
      <c r="Z83">
        <v>2</v>
      </c>
      <c r="AA83">
        <v>9</v>
      </c>
      <c r="AB83">
        <v>2</v>
      </c>
      <c r="AC83">
        <v>4</v>
      </c>
      <c r="AD83" s="21">
        <v>0.49056603773584906</v>
      </c>
      <c r="AE83" s="21">
        <v>9.4339622641509441E-2</v>
      </c>
      <c r="AF83">
        <v>68.400000000000006</v>
      </c>
      <c r="AG83">
        <v>8</v>
      </c>
      <c r="AH83">
        <v>46</v>
      </c>
      <c r="AI83">
        <v>14</v>
      </c>
      <c r="AJ83">
        <v>2</v>
      </c>
      <c r="AK83">
        <v>69</v>
      </c>
      <c r="AL83">
        <v>20</v>
      </c>
      <c r="AM83">
        <v>0</v>
      </c>
      <c r="AN83">
        <f t="shared" si="4"/>
        <v>391</v>
      </c>
      <c r="AO83">
        <v>318</v>
      </c>
      <c r="AP83">
        <f>36+26-1</f>
        <v>61</v>
      </c>
      <c r="AQ83">
        <v>3</v>
      </c>
      <c r="AR83">
        <v>9</v>
      </c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</row>
    <row r="84" spans="1:84" x14ac:dyDescent="0.2">
      <c r="A84" s="39">
        <v>43730</v>
      </c>
      <c r="B84" s="25" t="s">
        <v>382</v>
      </c>
      <c r="C84" t="s">
        <v>304</v>
      </c>
      <c r="D84" s="22" t="s">
        <v>281</v>
      </c>
      <c r="E84">
        <v>17.16</v>
      </c>
      <c r="F84">
        <v>4.3</v>
      </c>
      <c r="G84">
        <v>43</v>
      </c>
      <c r="H84">
        <v>1</v>
      </c>
      <c r="I84">
        <v>0.7</v>
      </c>
      <c r="J84">
        <v>7</v>
      </c>
      <c r="K84">
        <v>1</v>
      </c>
      <c r="L84" s="14">
        <v>36.200000000000003</v>
      </c>
      <c r="M84">
        <v>102</v>
      </c>
      <c r="N84">
        <v>12</v>
      </c>
      <c r="O84">
        <v>8.8000000000000007</v>
      </c>
      <c r="P84">
        <v>40</v>
      </c>
      <c r="Q84">
        <v>8</v>
      </c>
      <c r="R84">
        <v>23</v>
      </c>
      <c r="S84">
        <v>112</v>
      </c>
      <c r="T84">
        <v>12</v>
      </c>
      <c r="U84">
        <v>25.700000000000003</v>
      </c>
      <c r="V84">
        <v>87</v>
      </c>
      <c r="W84">
        <v>14</v>
      </c>
      <c r="X84">
        <v>3.5</v>
      </c>
      <c r="Y84">
        <v>15</v>
      </c>
      <c r="Z84">
        <v>2</v>
      </c>
      <c r="AA84">
        <v>10</v>
      </c>
      <c r="AB84">
        <v>3</v>
      </c>
      <c r="AC84">
        <v>9</v>
      </c>
      <c r="AD84" s="21">
        <v>0.38095238095238093</v>
      </c>
      <c r="AE84" s="21">
        <v>4.7619047619047616E-2</v>
      </c>
      <c r="AF84">
        <v>58.3</v>
      </c>
      <c r="AG84">
        <v>9</v>
      </c>
      <c r="AH84">
        <v>38</v>
      </c>
      <c r="AI84">
        <v>17</v>
      </c>
      <c r="AJ84">
        <v>4</v>
      </c>
      <c r="AK84">
        <v>64</v>
      </c>
      <c r="AL84">
        <v>20</v>
      </c>
      <c r="AM84">
        <v>0</v>
      </c>
      <c r="AN84">
        <f t="shared" si="4"/>
        <v>359</v>
      </c>
      <c r="AO84">
        <v>269</v>
      </c>
      <c r="AP84">
        <v>50</v>
      </c>
      <c r="AQ84">
        <v>26</v>
      </c>
      <c r="AR84">
        <v>14</v>
      </c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</row>
    <row r="85" spans="1:84" x14ac:dyDescent="0.2">
      <c r="A85" s="39">
        <v>43730</v>
      </c>
      <c r="B85" s="33" t="s">
        <v>382</v>
      </c>
      <c r="C85" t="s">
        <v>293</v>
      </c>
      <c r="D85" s="28" t="s">
        <v>291</v>
      </c>
      <c r="E85" s="3">
        <f>9.3+1.16</f>
        <v>10.46</v>
      </c>
      <c r="F85" s="3">
        <v>9.1999999999999993</v>
      </c>
      <c r="G85" s="3">
        <v>38</v>
      </c>
      <c r="H85" s="3">
        <v>6</v>
      </c>
      <c r="I85" s="3">
        <v>8</v>
      </c>
      <c r="J85" s="3">
        <v>17</v>
      </c>
      <c r="K85" s="3">
        <v>3</v>
      </c>
      <c r="L85" s="30">
        <v>10.8</v>
      </c>
      <c r="M85" s="3">
        <v>68</v>
      </c>
      <c r="N85" s="3">
        <v>12</v>
      </c>
      <c r="O85" s="3">
        <v>8.6</v>
      </c>
      <c r="P85" s="3">
        <v>56</v>
      </c>
      <c r="Q85" s="3">
        <v>6</v>
      </c>
      <c r="R85" s="30">
        <v>7.1</v>
      </c>
      <c r="S85" s="3">
        <v>27</v>
      </c>
      <c r="T85" s="3">
        <v>7</v>
      </c>
      <c r="U85" s="3">
        <v>5.9</v>
      </c>
      <c r="V85" s="3">
        <v>19</v>
      </c>
      <c r="W85" s="3">
        <v>10</v>
      </c>
      <c r="X85" s="3">
        <f>3.9+2.9</f>
        <v>6.8</v>
      </c>
      <c r="Y85" s="3">
        <v>28</v>
      </c>
      <c r="Z85" s="3">
        <v>5</v>
      </c>
      <c r="AA85" s="3">
        <v>6</v>
      </c>
      <c r="AB85" s="3">
        <v>3</v>
      </c>
      <c r="AC85" s="3">
        <v>2</v>
      </c>
      <c r="AD85" s="29">
        <v>0.42553191489361702</v>
      </c>
      <c r="AE85" s="29">
        <v>6.3829787234042548E-2</v>
      </c>
      <c r="AF85" s="3">
        <v>46.2</v>
      </c>
      <c r="AG85" s="3">
        <v>12</v>
      </c>
      <c r="AH85" s="3">
        <v>41</v>
      </c>
      <c r="AI85" s="3">
        <v>20</v>
      </c>
      <c r="AJ85" s="3">
        <v>3</v>
      </c>
      <c r="AK85" s="3">
        <v>68</v>
      </c>
      <c r="AL85" s="3">
        <v>6</v>
      </c>
      <c r="AM85" s="3">
        <v>0</v>
      </c>
      <c r="AN85" s="3">
        <f t="shared" si="4"/>
        <v>301</v>
      </c>
      <c r="AO85" s="3">
        <v>229</v>
      </c>
      <c r="AP85" s="3">
        <f>38+17</f>
        <v>55</v>
      </c>
      <c r="AQ85" s="3">
        <v>4</v>
      </c>
      <c r="AR85" s="3">
        <v>13</v>
      </c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CF85" s="37"/>
    </row>
    <row r="86" spans="1:84" x14ac:dyDescent="0.2">
      <c r="A86" s="39">
        <v>43730</v>
      </c>
      <c r="B86" s="25" t="s">
        <v>382</v>
      </c>
      <c r="C86" t="s">
        <v>312</v>
      </c>
      <c r="D86" s="22" t="s">
        <v>303</v>
      </c>
      <c r="E86">
        <v>12.56</v>
      </c>
      <c r="F86">
        <v>27.3</v>
      </c>
      <c r="G86">
        <v>110</v>
      </c>
      <c r="H86">
        <v>5</v>
      </c>
      <c r="I86">
        <v>11.8</v>
      </c>
      <c r="J86">
        <v>58</v>
      </c>
      <c r="K86">
        <v>0</v>
      </c>
      <c r="L86">
        <v>20.6</v>
      </c>
      <c r="M86">
        <v>55</v>
      </c>
      <c r="N86">
        <v>5</v>
      </c>
      <c r="O86">
        <v>4.5</v>
      </c>
      <c r="P86">
        <v>15</v>
      </c>
      <c r="Q86">
        <v>3</v>
      </c>
      <c r="R86">
        <v>0</v>
      </c>
      <c r="S86">
        <v>0</v>
      </c>
      <c r="T86">
        <v>0</v>
      </c>
      <c r="U86">
        <v>13.4</v>
      </c>
      <c r="V86">
        <v>44</v>
      </c>
      <c r="W86">
        <v>4</v>
      </c>
      <c r="X86">
        <f>9+2.1</f>
        <v>11.1</v>
      </c>
      <c r="Y86">
        <v>71</v>
      </c>
      <c r="Z86">
        <v>4</v>
      </c>
      <c r="AA86">
        <v>12</v>
      </c>
      <c r="AB86">
        <v>2</v>
      </c>
      <c r="AC86">
        <v>7</v>
      </c>
      <c r="AD86" s="21">
        <v>0.34782608695652173</v>
      </c>
      <c r="AE86" s="21">
        <v>0</v>
      </c>
      <c r="AF86">
        <v>83.3</v>
      </c>
      <c r="AG86">
        <v>-1</v>
      </c>
      <c r="AH86">
        <v>21</v>
      </c>
      <c r="AI86">
        <v>31</v>
      </c>
      <c r="AJ86">
        <v>6</v>
      </c>
      <c r="AK86">
        <v>59</v>
      </c>
      <c r="AL86">
        <v>34</v>
      </c>
      <c r="AM86">
        <v>0</v>
      </c>
      <c r="AN86">
        <f t="shared" si="4"/>
        <v>385</v>
      </c>
      <c r="AO86">
        <v>174</v>
      </c>
      <c r="AP86">
        <f>110+58+28</f>
        <v>196</v>
      </c>
      <c r="AQ86">
        <v>1</v>
      </c>
      <c r="AR86">
        <v>14</v>
      </c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37"/>
      <c r="CD86" s="37"/>
      <c r="CE86" s="37"/>
      <c r="CF86" s="37"/>
    </row>
    <row r="87" spans="1:84" x14ac:dyDescent="0.2">
      <c r="A87" s="39">
        <v>43730</v>
      </c>
      <c r="B87" s="25" t="s">
        <v>382</v>
      </c>
      <c r="C87" t="s">
        <v>302</v>
      </c>
      <c r="D87" s="22" t="s">
        <v>298</v>
      </c>
      <c r="E87">
        <f>23.14-0.44</f>
        <v>22.7</v>
      </c>
      <c r="F87">
        <v>7.1</v>
      </c>
      <c r="G87">
        <v>11</v>
      </c>
      <c r="H87">
        <v>1</v>
      </c>
      <c r="I87">
        <v>18.899999999999999</v>
      </c>
      <c r="J87">
        <v>47</v>
      </c>
      <c r="K87">
        <v>7</v>
      </c>
      <c r="L87">
        <v>19.2</v>
      </c>
      <c r="M87">
        <v>62</v>
      </c>
      <c r="N87">
        <v>10</v>
      </c>
      <c r="O87" s="14">
        <v>14.4</v>
      </c>
      <c r="P87">
        <v>83</v>
      </c>
      <c r="Q87">
        <v>11</v>
      </c>
      <c r="R87">
        <v>18.5</v>
      </c>
      <c r="S87">
        <v>53</v>
      </c>
      <c r="T87">
        <v>7</v>
      </c>
      <c r="U87">
        <v>38.9</v>
      </c>
      <c r="V87">
        <v>189</v>
      </c>
      <c r="W87">
        <v>17</v>
      </c>
      <c r="X87">
        <v>5.0999999999999996</v>
      </c>
      <c r="Y87">
        <v>41</v>
      </c>
      <c r="Z87">
        <v>1</v>
      </c>
      <c r="AA87">
        <v>6</v>
      </c>
      <c r="AB87">
        <v>1</v>
      </c>
      <c r="AC87">
        <v>11</v>
      </c>
      <c r="AD87" s="21">
        <v>0.16666666666666666</v>
      </c>
      <c r="AE87" s="21">
        <v>0</v>
      </c>
      <c r="AF87">
        <v>50</v>
      </c>
      <c r="AG87">
        <v>16</v>
      </c>
      <c r="AH87">
        <v>45</v>
      </c>
      <c r="AI87">
        <v>22</v>
      </c>
      <c r="AJ87">
        <v>2</v>
      </c>
      <c r="AK87">
        <v>73</v>
      </c>
      <c r="AL87">
        <v>30</v>
      </c>
      <c r="AM87">
        <v>0</v>
      </c>
      <c r="AN87">
        <f t="shared" si="4"/>
        <v>387</v>
      </c>
      <c r="AO87">
        <v>320</v>
      </c>
      <c r="AP87">
        <v>56</v>
      </c>
      <c r="AQ87">
        <v>12</v>
      </c>
      <c r="AR87">
        <v>-1</v>
      </c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CF87" s="37"/>
    </row>
    <row r="88" spans="1:84" x14ac:dyDescent="0.2">
      <c r="A88" s="39">
        <v>43730</v>
      </c>
      <c r="B88" s="25" t="s">
        <v>382</v>
      </c>
      <c r="C88" t="s">
        <v>307</v>
      </c>
      <c r="D88" s="22" t="s">
        <v>308</v>
      </c>
      <c r="E88">
        <v>18.28</v>
      </c>
      <c r="F88">
        <v>37.1</v>
      </c>
      <c r="G88">
        <v>69</v>
      </c>
      <c r="H88">
        <v>10</v>
      </c>
      <c r="I88">
        <v>0.2</v>
      </c>
      <c r="J88">
        <v>2</v>
      </c>
      <c r="K88">
        <v>0</v>
      </c>
      <c r="L88">
        <v>16.399999999999999</v>
      </c>
      <c r="M88">
        <v>54</v>
      </c>
      <c r="N88">
        <v>7</v>
      </c>
      <c r="O88">
        <v>3.5</v>
      </c>
      <c r="P88">
        <v>15</v>
      </c>
      <c r="Q88">
        <v>5</v>
      </c>
      <c r="R88">
        <v>5</v>
      </c>
      <c r="S88">
        <v>0</v>
      </c>
      <c r="T88">
        <v>0</v>
      </c>
      <c r="U88">
        <v>10.7</v>
      </c>
      <c r="V88">
        <v>57</v>
      </c>
      <c r="W88">
        <v>7</v>
      </c>
      <c r="X88">
        <v>3.1</v>
      </c>
      <c r="Y88">
        <v>11</v>
      </c>
      <c r="Z88">
        <v>4</v>
      </c>
      <c r="AA88">
        <v>3</v>
      </c>
      <c r="AB88">
        <v>0</v>
      </c>
      <c r="AC88">
        <v>14</v>
      </c>
      <c r="AD88" s="21">
        <v>0.41379310344827586</v>
      </c>
      <c r="AE88" s="21">
        <v>0</v>
      </c>
      <c r="AF88">
        <v>66.7</v>
      </c>
      <c r="AG88">
        <v>2</v>
      </c>
      <c r="AH88">
        <v>27</v>
      </c>
      <c r="AI88">
        <v>19</v>
      </c>
      <c r="AJ88">
        <v>4</v>
      </c>
      <c r="AK88">
        <v>50</v>
      </c>
      <c r="AL88">
        <f>33-14</f>
        <v>19</v>
      </c>
      <c r="AM88">
        <v>14</v>
      </c>
      <c r="AN88">
        <f t="shared" si="4"/>
        <v>265</v>
      </c>
      <c r="AO88">
        <v>177</v>
      </c>
      <c r="AP88">
        <v>71</v>
      </c>
      <c r="AQ88">
        <v>0</v>
      </c>
      <c r="AR88">
        <v>17</v>
      </c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CF88" s="37"/>
    </row>
    <row r="89" spans="1:84" x14ac:dyDescent="0.2">
      <c r="A89" s="39">
        <v>43730</v>
      </c>
      <c r="B89" s="25" t="s">
        <v>382</v>
      </c>
      <c r="C89" t="s">
        <v>296</v>
      </c>
      <c r="D89" s="22" t="s">
        <v>284</v>
      </c>
      <c r="E89">
        <v>39.24</v>
      </c>
      <c r="L89">
        <v>30.1</v>
      </c>
      <c r="M89">
        <v>100</v>
      </c>
      <c r="N89">
        <v>9</v>
      </c>
      <c r="O89">
        <v>11.2</v>
      </c>
      <c r="P89">
        <v>82</v>
      </c>
      <c r="Q89">
        <v>5</v>
      </c>
      <c r="R89">
        <v>1.6</v>
      </c>
      <c r="S89">
        <v>6</v>
      </c>
      <c r="T89">
        <v>5</v>
      </c>
      <c r="U89">
        <v>27.3</v>
      </c>
      <c r="V89">
        <v>113</v>
      </c>
      <c r="W89">
        <v>13</v>
      </c>
      <c r="X89">
        <f>27.6</f>
        <v>27.6</v>
      </c>
      <c r="Y89">
        <v>116</v>
      </c>
      <c r="Z89">
        <v>9</v>
      </c>
      <c r="AA89">
        <v>6</v>
      </c>
      <c r="AB89">
        <v>1</v>
      </c>
      <c r="AC89">
        <v>7</v>
      </c>
      <c r="AD89" s="21">
        <v>0.55555555555555558</v>
      </c>
      <c r="AE89" s="21">
        <v>0.1111111111111111</v>
      </c>
      <c r="AF89">
        <v>83.3</v>
      </c>
      <c r="AG89">
        <v>8</v>
      </c>
      <c r="AH89">
        <v>36</v>
      </c>
      <c r="AI89">
        <v>13</v>
      </c>
      <c r="AJ89">
        <v>4</v>
      </c>
      <c r="AK89">
        <v>60</v>
      </c>
      <c r="AL89">
        <v>32</v>
      </c>
      <c r="AM89">
        <v>0</v>
      </c>
      <c r="AN89">
        <f t="shared" si="4"/>
        <v>408</v>
      </c>
      <c r="AO89">
        <v>336</v>
      </c>
      <c r="AP89">
        <f>23</f>
        <v>23</v>
      </c>
      <c r="AQ89">
        <v>21</v>
      </c>
      <c r="AR89">
        <v>28</v>
      </c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</row>
    <row r="90" spans="1:84" x14ac:dyDescent="0.2">
      <c r="A90" s="39">
        <v>43730</v>
      </c>
      <c r="B90" s="33" t="s">
        <v>382</v>
      </c>
      <c r="C90" t="s">
        <v>298</v>
      </c>
      <c r="D90" s="28" t="s">
        <v>302</v>
      </c>
      <c r="E90" s="3">
        <v>2.92</v>
      </c>
      <c r="F90" s="3">
        <v>10.3</v>
      </c>
      <c r="G90" s="3">
        <v>35</v>
      </c>
      <c r="H90" s="3">
        <v>4</v>
      </c>
      <c r="I90" s="3">
        <v>0.1</v>
      </c>
      <c r="J90" s="3">
        <v>1</v>
      </c>
      <c r="K90" s="3">
        <v>1</v>
      </c>
      <c r="L90" s="3">
        <v>4.5</v>
      </c>
      <c r="M90" s="3">
        <v>25</v>
      </c>
      <c r="N90" s="3">
        <v>5</v>
      </c>
      <c r="O90" s="3">
        <v>4.0999999999999996</v>
      </c>
      <c r="P90" s="3">
        <v>11</v>
      </c>
      <c r="Q90" s="3">
        <v>5</v>
      </c>
      <c r="R90" s="3">
        <v>4.9000000000000004</v>
      </c>
      <c r="S90" s="3">
        <v>29</v>
      </c>
      <c r="T90" s="3">
        <v>6</v>
      </c>
      <c r="U90" s="3">
        <v>7.4</v>
      </c>
      <c r="V90" s="3">
        <v>44</v>
      </c>
      <c r="W90" s="3">
        <v>7</v>
      </c>
      <c r="X90" s="3">
        <v>1.5</v>
      </c>
      <c r="Y90" s="3">
        <v>5</v>
      </c>
      <c r="Z90" s="3">
        <v>1</v>
      </c>
      <c r="AA90" s="3">
        <v>2</v>
      </c>
      <c r="AB90" s="3">
        <v>0</v>
      </c>
      <c r="AC90" s="3">
        <v>16</v>
      </c>
      <c r="AD90" s="29">
        <v>0.42857142857142855</v>
      </c>
      <c r="AE90" s="29">
        <v>0.17857142857142858</v>
      </c>
      <c r="AF90" s="3">
        <v>60</v>
      </c>
      <c r="AG90" s="3">
        <v>11</v>
      </c>
      <c r="AH90" s="3">
        <v>22</v>
      </c>
      <c r="AI90" s="3">
        <v>20</v>
      </c>
      <c r="AJ90" s="3">
        <v>0</v>
      </c>
      <c r="AK90" s="3">
        <v>47</v>
      </c>
      <c r="AL90" s="3">
        <v>0</v>
      </c>
      <c r="AM90" s="3">
        <v>14</v>
      </c>
      <c r="AN90" s="3">
        <f t="shared" si="4"/>
        <v>134</v>
      </c>
      <c r="AO90" s="3">
        <v>98</v>
      </c>
      <c r="AP90" s="3">
        <v>36</v>
      </c>
      <c r="AQ90" s="3">
        <v>0</v>
      </c>
      <c r="AR90" s="3">
        <v>0</v>
      </c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</row>
    <row r="91" spans="1:84" x14ac:dyDescent="0.2">
      <c r="A91" s="39">
        <v>43730</v>
      </c>
      <c r="B91" s="25" t="s">
        <v>382</v>
      </c>
      <c r="C91" t="s">
        <v>294</v>
      </c>
      <c r="D91" s="22" t="s">
        <v>299</v>
      </c>
      <c r="E91">
        <v>21.66</v>
      </c>
      <c r="F91">
        <v>13.6</v>
      </c>
      <c r="G91">
        <v>53</v>
      </c>
      <c r="H91">
        <v>4</v>
      </c>
      <c r="I91">
        <v>9.6999999999999993</v>
      </c>
      <c r="J91">
        <v>37</v>
      </c>
      <c r="K91">
        <v>1</v>
      </c>
      <c r="L91">
        <v>24</v>
      </c>
      <c r="M91">
        <v>50</v>
      </c>
      <c r="N91">
        <v>12</v>
      </c>
      <c r="O91">
        <v>10.199999999999999</v>
      </c>
      <c r="P91">
        <v>62</v>
      </c>
      <c r="Q91">
        <v>7</v>
      </c>
      <c r="R91">
        <v>2</v>
      </c>
      <c r="S91">
        <v>10</v>
      </c>
      <c r="T91">
        <v>3</v>
      </c>
      <c r="U91">
        <v>31.4</v>
      </c>
      <c r="V91">
        <v>84</v>
      </c>
      <c r="W91">
        <v>19</v>
      </c>
      <c r="X91">
        <v>10.4</v>
      </c>
      <c r="Y91">
        <v>64</v>
      </c>
      <c r="Z91">
        <v>7</v>
      </c>
      <c r="AA91">
        <v>6</v>
      </c>
      <c r="AB91">
        <v>1</v>
      </c>
      <c r="AC91">
        <v>2</v>
      </c>
      <c r="AD91" s="21">
        <v>0.33333333333333331</v>
      </c>
      <c r="AE91" s="21">
        <v>7.1428571428571425E-2</v>
      </c>
      <c r="AF91">
        <v>62.5</v>
      </c>
      <c r="AG91">
        <v>13</v>
      </c>
      <c r="AH91">
        <v>36</v>
      </c>
      <c r="AI91">
        <v>26</v>
      </c>
      <c r="AJ91">
        <v>4</v>
      </c>
      <c r="AK91">
        <v>69</v>
      </c>
      <c r="AL91">
        <v>24</v>
      </c>
      <c r="AM91">
        <v>0</v>
      </c>
      <c r="AN91">
        <f t="shared" si="4"/>
        <v>386</v>
      </c>
      <c r="AO91">
        <v>259</v>
      </c>
      <c r="AP91">
        <f>53+37+4</f>
        <v>94</v>
      </c>
      <c r="AQ91">
        <v>0</v>
      </c>
      <c r="AR91">
        <v>33</v>
      </c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CF91" s="37"/>
    </row>
    <row r="92" spans="1:84" x14ac:dyDescent="0.2">
      <c r="A92" s="39">
        <v>43730</v>
      </c>
      <c r="B92" s="25" t="s">
        <v>382</v>
      </c>
      <c r="C92" t="s">
        <v>309</v>
      </c>
      <c r="D92" s="22" t="s">
        <v>256</v>
      </c>
      <c r="E92">
        <v>15.46</v>
      </c>
      <c r="F92">
        <v>8.6999999999999993</v>
      </c>
      <c r="G92">
        <v>43</v>
      </c>
      <c r="H92">
        <v>5</v>
      </c>
      <c r="I92">
        <v>0.6</v>
      </c>
      <c r="J92">
        <v>3</v>
      </c>
      <c r="K92">
        <v>0</v>
      </c>
      <c r="L92">
        <v>17.100000000000001</v>
      </c>
      <c r="M92">
        <v>81</v>
      </c>
      <c r="N92">
        <v>7</v>
      </c>
      <c r="O92">
        <v>14.8</v>
      </c>
      <c r="P92">
        <v>52</v>
      </c>
      <c r="Q92">
        <v>6</v>
      </c>
      <c r="R92">
        <v>3.4</v>
      </c>
      <c r="S92">
        <v>14</v>
      </c>
      <c r="T92">
        <v>4</v>
      </c>
      <c r="U92">
        <v>18</v>
      </c>
      <c r="V92">
        <v>90</v>
      </c>
      <c r="W92">
        <v>6</v>
      </c>
      <c r="X92">
        <v>3.3</v>
      </c>
      <c r="Y92">
        <v>13</v>
      </c>
      <c r="Z92">
        <v>4</v>
      </c>
      <c r="AA92">
        <v>9</v>
      </c>
      <c r="AB92">
        <v>2</v>
      </c>
      <c r="AC92">
        <v>11</v>
      </c>
      <c r="AD92" s="21">
        <v>0.36363636363636365</v>
      </c>
      <c r="AE92" s="21">
        <v>6.0606060606060608E-2</v>
      </c>
      <c r="AF92">
        <v>20</v>
      </c>
      <c r="AG92">
        <v>7</v>
      </c>
      <c r="AH92">
        <v>27</v>
      </c>
      <c r="AI92">
        <v>16</v>
      </c>
      <c r="AJ92">
        <v>4</v>
      </c>
      <c r="AK92">
        <v>51</v>
      </c>
      <c r="AL92">
        <v>20</v>
      </c>
      <c r="AM92">
        <v>0</v>
      </c>
      <c r="AN92">
        <f t="shared" si="4"/>
        <v>253</v>
      </c>
      <c r="AO92">
        <v>174</v>
      </c>
      <c r="AP92">
        <v>49</v>
      </c>
      <c r="AQ92">
        <v>15</v>
      </c>
      <c r="AR92">
        <v>15</v>
      </c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/>
      <c r="BZ92" s="37"/>
      <c r="CA92" s="37"/>
      <c r="CB92" s="37"/>
      <c r="CC92" s="37"/>
      <c r="CD92" s="37"/>
      <c r="CE92" s="37"/>
      <c r="CF92" s="37"/>
    </row>
    <row r="93" spans="1:84" x14ac:dyDescent="0.2">
      <c r="A93" s="39">
        <v>43730</v>
      </c>
      <c r="B93" s="25" t="s">
        <v>382</v>
      </c>
      <c r="C93" s="22" t="s">
        <v>256</v>
      </c>
      <c r="D93" s="22" t="s">
        <v>309</v>
      </c>
      <c r="E93">
        <v>12.38</v>
      </c>
      <c r="F93">
        <v>10.8</v>
      </c>
      <c r="G93">
        <v>68</v>
      </c>
      <c r="H93">
        <v>3</v>
      </c>
      <c r="I93">
        <v>6.9</v>
      </c>
      <c r="J93">
        <v>79</v>
      </c>
      <c r="K93">
        <v>1</v>
      </c>
      <c r="L93">
        <v>7.4</v>
      </c>
      <c r="M93">
        <v>44</v>
      </c>
      <c r="N93">
        <v>4</v>
      </c>
      <c r="O93">
        <v>12</v>
      </c>
      <c r="P93">
        <v>20</v>
      </c>
      <c r="Q93">
        <v>5</v>
      </c>
      <c r="R93">
        <v>6.1</v>
      </c>
      <c r="S93">
        <v>42</v>
      </c>
      <c r="T93">
        <v>2</v>
      </c>
      <c r="U93">
        <v>21.9</v>
      </c>
      <c r="V93">
        <v>129</v>
      </c>
      <c r="W93">
        <v>9</v>
      </c>
      <c r="X93">
        <v>11.7</v>
      </c>
      <c r="Y93">
        <v>57</v>
      </c>
      <c r="Z93">
        <v>8</v>
      </c>
      <c r="AA93">
        <v>6</v>
      </c>
      <c r="AB93">
        <v>1</v>
      </c>
      <c r="AC93">
        <v>7</v>
      </c>
      <c r="AD93" s="21">
        <v>0.30303030303030304</v>
      </c>
      <c r="AE93" s="21">
        <v>3.0303030303030304E-2</v>
      </c>
      <c r="AF93">
        <v>57.1</v>
      </c>
      <c r="AG93">
        <v>11</v>
      </c>
      <c r="AH93">
        <v>32</v>
      </c>
      <c r="AI93">
        <f>8+14+12</f>
        <v>34</v>
      </c>
      <c r="AJ93">
        <v>6</v>
      </c>
      <c r="AK93">
        <v>73</v>
      </c>
      <c r="AL93">
        <v>24</v>
      </c>
      <c r="AM93">
        <v>0</v>
      </c>
      <c r="AN93">
        <f>AO93+AP93+AR93+AQ93</f>
        <v>445</v>
      </c>
      <c r="AO93">
        <v>277</v>
      </c>
      <c r="AP93">
        <f>18+68+79</f>
        <v>165</v>
      </c>
      <c r="AQ93">
        <v>0</v>
      </c>
      <c r="AR93">
        <v>3</v>
      </c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  <c r="BT93" s="37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CF93" s="37"/>
    </row>
    <row r="94" spans="1:84" x14ac:dyDescent="0.2">
      <c r="A94" s="39">
        <v>43730</v>
      </c>
      <c r="B94" s="25" t="s">
        <v>382</v>
      </c>
      <c r="C94" t="s">
        <v>308</v>
      </c>
      <c r="D94" s="22" t="s">
        <v>307</v>
      </c>
      <c r="E94">
        <v>44.34</v>
      </c>
      <c r="F94">
        <v>5.0999999999999996</v>
      </c>
      <c r="G94">
        <v>53</v>
      </c>
      <c r="H94">
        <v>1</v>
      </c>
      <c r="I94">
        <v>9.3000000000000007</v>
      </c>
      <c r="J94">
        <v>5</v>
      </c>
      <c r="K94">
        <v>5</v>
      </c>
      <c r="L94">
        <v>35.4</v>
      </c>
      <c r="M94">
        <v>154</v>
      </c>
      <c r="N94">
        <v>14</v>
      </c>
      <c r="O94">
        <v>8.6999999999999993</v>
      </c>
      <c r="P94">
        <v>67</v>
      </c>
      <c r="Q94">
        <v>6</v>
      </c>
      <c r="R94" s="14">
        <v>6</v>
      </c>
      <c r="S94">
        <v>30</v>
      </c>
      <c r="T94">
        <v>6</v>
      </c>
      <c r="U94">
        <v>48.100000000000009</v>
      </c>
      <c r="V94">
        <v>201</v>
      </c>
      <c r="W94">
        <v>20</v>
      </c>
      <c r="X94">
        <f>18.2+1.9</f>
        <v>20.099999999999998</v>
      </c>
      <c r="Y94">
        <v>71</v>
      </c>
      <c r="Z94">
        <v>9</v>
      </c>
      <c r="AA94">
        <v>3</v>
      </c>
      <c r="AB94">
        <v>0</v>
      </c>
      <c r="AC94">
        <v>2</v>
      </c>
      <c r="AD94" s="21">
        <v>0.31481481481481483</v>
      </c>
      <c r="AE94" s="21">
        <v>0</v>
      </c>
      <c r="AF94">
        <v>66.7</v>
      </c>
      <c r="AG94">
        <v>14</v>
      </c>
      <c r="AH94">
        <v>50</v>
      </c>
      <c r="AI94">
        <v>19</v>
      </c>
      <c r="AJ94">
        <v>7</v>
      </c>
      <c r="AK94">
        <v>76</v>
      </c>
      <c r="AL94">
        <v>27</v>
      </c>
      <c r="AM94">
        <v>0</v>
      </c>
      <c r="AN94">
        <f>SUM(AO94:AR94)</f>
        <v>515</v>
      </c>
      <c r="AO94">
        <v>406</v>
      </c>
      <c r="AP94">
        <v>58</v>
      </c>
      <c r="AQ94">
        <v>0</v>
      </c>
      <c r="AR94">
        <v>51</v>
      </c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37"/>
      <c r="CD94" s="37"/>
      <c r="CE94" s="37"/>
      <c r="CF94" s="37"/>
    </row>
    <row r="95" spans="1:84" x14ac:dyDescent="0.2">
      <c r="A95" s="39">
        <v>43730</v>
      </c>
      <c r="B95" s="25" t="s">
        <v>382</v>
      </c>
      <c r="C95" t="s">
        <v>284</v>
      </c>
      <c r="D95" s="22" t="s">
        <v>296</v>
      </c>
      <c r="E95">
        <v>29.5</v>
      </c>
      <c r="F95">
        <v>13.1</v>
      </c>
      <c r="G95">
        <v>80</v>
      </c>
      <c r="H95">
        <v>1</v>
      </c>
      <c r="I95">
        <v>7.5</v>
      </c>
      <c r="J95">
        <v>48</v>
      </c>
      <c r="K95">
        <v>2</v>
      </c>
      <c r="L95">
        <v>48</v>
      </c>
      <c r="M95">
        <v>190</v>
      </c>
      <c r="N95">
        <v>15</v>
      </c>
      <c r="O95">
        <v>7</v>
      </c>
      <c r="P95">
        <v>40</v>
      </c>
      <c r="Q95">
        <v>4</v>
      </c>
      <c r="R95">
        <v>2.9</v>
      </c>
      <c r="S95">
        <v>6</v>
      </c>
      <c r="T95">
        <v>2</v>
      </c>
      <c r="U95">
        <v>18.5</v>
      </c>
      <c r="V95">
        <v>75</v>
      </c>
      <c r="W95">
        <v>5</v>
      </c>
      <c r="X95">
        <f>9.6+2.7</f>
        <v>12.3</v>
      </c>
      <c r="Y95">
        <v>73</v>
      </c>
      <c r="Z95">
        <v>7</v>
      </c>
      <c r="AA95">
        <v>16</v>
      </c>
      <c r="AB95">
        <v>5</v>
      </c>
      <c r="AC95">
        <v>8</v>
      </c>
      <c r="AD95" s="21">
        <v>0.44186046511627908</v>
      </c>
      <c r="AE95" s="21">
        <v>9.3023255813953487E-2</v>
      </c>
      <c r="AF95">
        <v>72.7</v>
      </c>
      <c r="AG95">
        <v>8</v>
      </c>
      <c r="AH95">
        <v>37</v>
      </c>
      <c r="AI95">
        <v>27</v>
      </c>
      <c r="AJ95">
        <v>4</v>
      </c>
      <c r="AK95">
        <v>73</v>
      </c>
      <c r="AL95">
        <v>31</v>
      </c>
      <c r="AM95">
        <v>0</v>
      </c>
      <c r="AN95">
        <f>AO95+AP95+AQ95+AR95</f>
        <v>524</v>
      </c>
      <c r="AO95">
        <v>380</v>
      </c>
      <c r="AP95">
        <f>80+48</f>
        <v>128</v>
      </c>
      <c r="AQ95">
        <v>13</v>
      </c>
      <c r="AR95">
        <v>3</v>
      </c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37"/>
      <c r="CD95" s="37"/>
      <c r="CE95" s="37"/>
      <c r="CF95" s="37"/>
    </row>
    <row r="96" spans="1:84" x14ac:dyDescent="0.2">
      <c r="A96" s="39">
        <v>43730</v>
      </c>
      <c r="B96" s="25" t="s">
        <v>382</v>
      </c>
      <c r="C96" t="s">
        <v>310</v>
      </c>
      <c r="D96" s="22" t="s">
        <v>297</v>
      </c>
      <c r="E96">
        <v>18.559999999999999</v>
      </c>
      <c r="F96">
        <v>11.6</v>
      </c>
      <c r="G96">
        <v>44</v>
      </c>
      <c r="H96">
        <v>2</v>
      </c>
      <c r="I96">
        <v>3</v>
      </c>
      <c r="J96">
        <v>13</v>
      </c>
      <c r="K96">
        <v>1</v>
      </c>
      <c r="L96">
        <v>7.4</v>
      </c>
      <c r="M96">
        <v>44</v>
      </c>
      <c r="N96">
        <v>4</v>
      </c>
      <c r="O96" s="14">
        <v>15.3</v>
      </c>
      <c r="P96">
        <v>93</v>
      </c>
      <c r="Q96">
        <v>9</v>
      </c>
      <c r="R96">
        <v>1.4</v>
      </c>
      <c r="S96">
        <v>4</v>
      </c>
      <c r="T96">
        <v>5</v>
      </c>
      <c r="U96">
        <v>20.6</v>
      </c>
      <c r="V96">
        <v>116</v>
      </c>
      <c r="W96">
        <v>14</v>
      </c>
      <c r="X96">
        <v>17.399999999999999</v>
      </c>
      <c r="Y96">
        <v>84</v>
      </c>
      <c r="Z96">
        <v>12</v>
      </c>
      <c r="AA96">
        <v>1</v>
      </c>
      <c r="AB96">
        <v>0</v>
      </c>
      <c r="AC96">
        <v>1</v>
      </c>
      <c r="AD96" s="21">
        <v>0.35849056603773582</v>
      </c>
      <c r="AE96" s="21">
        <v>0.16981132075471697</v>
      </c>
      <c r="AF96">
        <v>57.1</v>
      </c>
      <c r="AG96">
        <v>15</v>
      </c>
      <c r="AH96">
        <v>40</v>
      </c>
      <c r="AI96">
        <v>20</v>
      </c>
      <c r="AJ96">
        <v>6</v>
      </c>
      <c r="AK96">
        <v>75</v>
      </c>
      <c r="AL96">
        <v>20</v>
      </c>
      <c r="AM96">
        <v>0</v>
      </c>
      <c r="AN96">
        <f t="shared" ref="AN96:AN102" si="5">SUM(AO96:AR96)</f>
        <v>395</v>
      </c>
      <c r="AO96">
        <v>304</v>
      </c>
      <c r="AP96">
        <v>57</v>
      </c>
      <c r="AQ96">
        <v>0</v>
      </c>
      <c r="AR96">
        <v>34</v>
      </c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37"/>
      <c r="CD96" s="37"/>
      <c r="CE96" s="37"/>
      <c r="CF96" s="37"/>
    </row>
    <row r="97" spans="1:84" x14ac:dyDescent="0.2">
      <c r="A97" s="39">
        <v>43730</v>
      </c>
      <c r="B97" s="25" t="s">
        <v>382</v>
      </c>
      <c r="C97" t="s">
        <v>306</v>
      </c>
      <c r="D97" s="22" t="s">
        <v>265</v>
      </c>
      <c r="E97">
        <v>19.579999999999998</v>
      </c>
      <c r="F97">
        <v>4.4000000000000004</v>
      </c>
      <c r="G97">
        <v>37</v>
      </c>
      <c r="H97">
        <v>3</v>
      </c>
      <c r="I97">
        <v>14.8</v>
      </c>
      <c r="J97">
        <v>29</v>
      </c>
      <c r="K97">
        <v>5</v>
      </c>
      <c r="L97">
        <v>19</v>
      </c>
      <c r="M97">
        <v>70</v>
      </c>
      <c r="N97">
        <v>8</v>
      </c>
      <c r="O97">
        <v>22.3</v>
      </c>
      <c r="P97">
        <v>83</v>
      </c>
      <c r="Q97">
        <v>9</v>
      </c>
      <c r="R97" s="14">
        <v>8</v>
      </c>
      <c r="S97">
        <v>30</v>
      </c>
      <c r="T97">
        <v>7</v>
      </c>
      <c r="U97">
        <v>33.700000000000003</v>
      </c>
      <c r="V97">
        <v>117</v>
      </c>
      <c r="W97">
        <v>13</v>
      </c>
      <c r="X97">
        <v>8.9</v>
      </c>
      <c r="Y97">
        <v>49</v>
      </c>
      <c r="Z97">
        <v>8</v>
      </c>
      <c r="AA97">
        <v>3</v>
      </c>
      <c r="AB97">
        <v>2</v>
      </c>
      <c r="AC97">
        <v>5</v>
      </c>
      <c r="AD97" s="21">
        <v>0.375</v>
      </c>
      <c r="AE97" s="21">
        <v>8.3333333333333329E-2</v>
      </c>
      <c r="AF97">
        <v>61.5</v>
      </c>
      <c r="AG97">
        <v>21</v>
      </c>
      <c r="AH97">
        <v>43</v>
      </c>
      <c r="AI97">
        <v>19</v>
      </c>
      <c r="AJ97">
        <v>2</v>
      </c>
      <c r="AK97">
        <v>68</v>
      </c>
      <c r="AL97">
        <v>15</v>
      </c>
      <c r="AM97">
        <v>0</v>
      </c>
      <c r="AN97">
        <f t="shared" si="5"/>
        <v>401</v>
      </c>
      <c r="AO97">
        <v>332</v>
      </c>
      <c r="AP97">
        <f>37+29</f>
        <v>66</v>
      </c>
      <c r="AQ97">
        <v>0</v>
      </c>
      <c r="AR97">
        <v>3</v>
      </c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37"/>
      <c r="CD97" s="37"/>
      <c r="CE97" s="37"/>
      <c r="CF97" s="37"/>
    </row>
    <row r="98" spans="1:84" x14ac:dyDescent="0.2">
      <c r="A98" s="39">
        <v>43737</v>
      </c>
      <c r="B98" s="26" t="s">
        <v>417</v>
      </c>
      <c r="C98" t="s">
        <v>285</v>
      </c>
      <c r="D98" s="26" t="s">
        <v>308</v>
      </c>
      <c r="E98">
        <v>17.34</v>
      </c>
      <c r="F98">
        <v>21.9</v>
      </c>
      <c r="G98">
        <v>40</v>
      </c>
      <c r="H98">
        <v>11</v>
      </c>
      <c r="I98">
        <v>3.7</v>
      </c>
      <c r="J98">
        <v>37</v>
      </c>
      <c r="K98">
        <v>0</v>
      </c>
      <c r="L98">
        <v>9.6999999999999993</v>
      </c>
      <c r="M98">
        <v>47</v>
      </c>
      <c r="N98">
        <v>5</v>
      </c>
      <c r="O98">
        <v>8.3000000000000007</v>
      </c>
      <c r="P98">
        <v>37</v>
      </c>
      <c r="Q98">
        <v>5</v>
      </c>
      <c r="R98" s="14">
        <v>3.9</v>
      </c>
      <c r="S98">
        <v>19</v>
      </c>
      <c r="T98">
        <v>3</v>
      </c>
      <c r="U98">
        <v>19</v>
      </c>
      <c r="V98">
        <v>90</v>
      </c>
      <c r="W98">
        <v>11</v>
      </c>
      <c r="X98" s="14">
        <v>4.4000000000000004</v>
      </c>
      <c r="Y98">
        <v>24</v>
      </c>
      <c r="Z98">
        <v>3</v>
      </c>
      <c r="AA98">
        <v>4</v>
      </c>
      <c r="AB98">
        <v>3</v>
      </c>
      <c r="AC98">
        <v>4</v>
      </c>
      <c r="AD98" s="21">
        <v>0.36842105263157893</v>
      </c>
      <c r="AE98" s="21">
        <v>0.10526315789473684</v>
      </c>
      <c r="AF98">
        <v>85.7</v>
      </c>
      <c r="AG98">
        <v>16</v>
      </c>
      <c r="AH98">
        <v>32</v>
      </c>
      <c r="AI98">
        <v>17</v>
      </c>
      <c r="AJ98">
        <v>4</v>
      </c>
      <c r="AK98">
        <v>59</v>
      </c>
      <c r="AL98">
        <v>10</v>
      </c>
      <c r="AM98">
        <v>0</v>
      </c>
      <c r="AN98">
        <f t="shared" si="5"/>
        <v>356</v>
      </c>
      <c r="AO98">
        <v>241</v>
      </c>
      <c r="AP98">
        <v>77</v>
      </c>
      <c r="AQ98">
        <v>11</v>
      </c>
      <c r="AR98">
        <v>27</v>
      </c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CF98" s="37"/>
    </row>
    <row r="99" spans="1:84" x14ac:dyDescent="0.2">
      <c r="A99" s="39">
        <v>43737</v>
      </c>
      <c r="B99" s="26" t="s">
        <v>417</v>
      </c>
      <c r="C99" t="s">
        <v>295</v>
      </c>
      <c r="D99" s="27" t="s">
        <v>310</v>
      </c>
      <c r="E99">
        <v>19.68</v>
      </c>
      <c r="F99">
        <v>18</v>
      </c>
      <c r="G99">
        <v>28</v>
      </c>
      <c r="H99">
        <v>9</v>
      </c>
      <c r="I99">
        <v>11.1</v>
      </c>
      <c r="J99">
        <v>11</v>
      </c>
      <c r="K99">
        <v>4</v>
      </c>
      <c r="L99">
        <v>9.3000000000000007</v>
      </c>
      <c r="M99">
        <v>52</v>
      </c>
      <c r="N99">
        <v>7</v>
      </c>
      <c r="O99">
        <v>6.2</v>
      </c>
      <c r="P99">
        <v>32</v>
      </c>
      <c r="Q99">
        <v>6</v>
      </c>
      <c r="R99" s="14">
        <v>18.100000000000001</v>
      </c>
      <c r="S99">
        <v>91</v>
      </c>
      <c r="T99">
        <v>12</v>
      </c>
      <c r="U99">
        <v>24.900000000000002</v>
      </c>
      <c r="V99">
        <v>139</v>
      </c>
      <c r="W99">
        <v>16</v>
      </c>
      <c r="X99" s="14">
        <v>25</v>
      </c>
      <c r="Y99">
        <v>130</v>
      </c>
      <c r="Z99">
        <v>12</v>
      </c>
      <c r="AA99">
        <v>5</v>
      </c>
      <c r="AB99">
        <v>2</v>
      </c>
      <c r="AC99">
        <v>0</v>
      </c>
      <c r="AD99" s="21">
        <v>0.38333333333333336</v>
      </c>
      <c r="AE99" s="21">
        <v>8.3333333333333329E-2</v>
      </c>
      <c r="AF99">
        <v>64.3</v>
      </c>
      <c r="AG99">
        <v>11</v>
      </c>
      <c r="AH99">
        <v>53</v>
      </c>
      <c r="AI99">
        <v>14</v>
      </c>
      <c r="AJ99">
        <v>2</v>
      </c>
      <c r="AK99">
        <v>75</v>
      </c>
      <c r="AL99">
        <v>10</v>
      </c>
      <c r="AM99">
        <v>0</v>
      </c>
      <c r="AN99">
        <f t="shared" si="5"/>
        <v>455</v>
      </c>
      <c r="AO99">
        <v>397</v>
      </c>
      <c r="AP99">
        <v>39</v>
      </c>
      <c r="AQ99">
        <v>1</v>
      </c>
      <c r="AR99">
        <v>18</v>
      </c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</row>
    <row r="100" spans="1:84" s="3" customFormat="1" x14ac:dyDescent="0.2">
      <c r="A100" s="39">
        <v>43737</v>
      </c>
      <c r="B100" s="26" t="s">
        <v>417</v>
      </c>
      <c r="C100" s="41" t="s">
        <v>305</v>
      </c>
      <c r="D100" s="27" t="s">
        <v>281</v>
      </c>
      <c r="E100">
        <v>26.48</v>
      </c>
      <c r="F100">
        <v>9.1</v>
      </c>
      <c r="G100">
        <v>71</v>
      </c>
      <c r="H100">
        <v>1</v>
      </c>
      <c r="I100">
        <v>4.5999999999999996</v>
      </c>
      <c r="J100">
        <v>28</v>
      </c>
      <c r="K100">
        <v>1</v>
      </c>
      <c r="L100">
        <v>6.2</v>
      </c>
      <c r="M100">
        <v>22</v>
      </c>
      <c r="N100">
        <v>7</v>
      </c>
      <c r="O100">
        <v>14.1</v>
      </c>
      <c r="P100">
        <v>61</v>
      </c>
      <c r="Q100">
        <v>2</v>
      </c>
      <c r="R100" s="14">
        <v>7.6</v>
      </c>
      <c r="S100">
        <v>36</v>
      </c>
      <c r="T100">
        <v>5</v>
      </c>
      <c r="U100">
        <v>39.099999999999994</v>
      </c>
      <c r="V100">
        <v>131</v>
      </c>
      <c r="W100">
        <v>12</v>
      </c>
      <c r="X100" s="14">
        <f>13.1+5.9+1.9</f>
        <v>20.9</v>
      </c>
      <c r="Y100">
        <f>31+39+9</f>
        <v>79</v>
      </c>
      <c r="Z100">
        <v>11</v>
      </c>
      <c r="AA100">
        <v>6</v>
      </c>
      <c r="AB100">
        <v>1</v>
      </c>
      <c r="AC100">
        <v>-1</v>
      </c>
      <c r="AD100" s="21">
        <v>0.33333333333333331</v>
      </c>
      <c r="AE100" s="21">
        <v>0.10256410256410256</v>
      </c>
      <c r="AF100">
        <v>71.400000000000006</v>
      </c>
      <c r="AG100">
        <v>10</v>
      </c>
      <c r="AH100">
        <v>34</v>
      </c>
      <c r="AI100">
        <v>20</v>
      </c>
      <c r="AJ100">
        <v>9</v>
      </c>
      <c r="AK100">
        <v>67</v>
      </c>
      <c r="AL100">
        <v>25</v>
      </c>
      <c r="AM100">
        <v>0</v>
      </c>
      <c r="AN100">
        <f t="shared" si="5"/>
        <v>420</v>
      </c>
      <c r="AO100">
        <v>247</v>
      </c>
      <c r="AP100">
        <f>71+28+8</f>
        <v>107</v>
      </c>
      <c r="AQ100">
        <v>0</v>
      </c>
      <c r="AR100">
        <v>66</v>
      </c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</row>
    <row r="101" spans="1:84" s="3" customFormat="1" x14ac:dyDescent="0.2">
      <c r="A101" s="39">
        <v>43737</v>
      </c>
      <c r="B101" s="26" t="s">
        <v>417</v>
      </c>
      <c r="C101" t="s">
        <v>276</v>
      </c>
      <c r="D101" s="27" t="s">
        <v>302</v>
      </c>
      <c r="E101">
        <f>11.72+4.08</f>
        <v>15.8</v>
      </c>
      <c r="F101">
        <v>13.9</v>
      </c>
      <c r="G101">
        <v>109</v>
      </c>
      <c r="H101">
        <v>1</v>
      </c>
      <c r="I101">
        <v>10.8</v>
      </c>
      <c r="J101">
        <v>0</v>
      </c>
      <c r="K101">
        <v>4</v>
      </c>
      <c r="L101">
        <v>11.9</v>
      </c>
      <c r="M101">
        <v>69</v>
      </c>
      <c r="N101">
        <v>11</v>
      </c>
      <c r="O101">
        <v>14.5</v>
      </c>
      <c r="P101">
        <v>75</v>
      </c>
      <c r="Q101">
        <v>13</v>
      </c>
      <c r="R101" s="14">
        <v>2.4</v>
      </c>
      <c r="S101">
        <v>4</v>
      </c>
      <c r="T101">
        <v>8</v>
      </c>
      <c r="U101">
        <v>25.700000000000003</v>
      </c>
      <c r="V101">
        <v>137</v>
      </c>
      <c r="W101">
        <v>20</v>
      </c>
      <c r="X101" s="14">
        <v>8.8000000000000007</v>
      </c>
      <c r="Y101">
        <v>58</v>
      </c>
      <c r="Z101">
        <v>3</v>
      </c>
      <c r="AA101">
        <v>5</v>
      </c>
      <c r="AB101">
        <v>2</v>
      </c>
      <c r="AC101">
        <v>3</v>
      </c>
      <c r="AD101" s="21">
        <v>0.38461538461538464</v>
      </c>
      <c r="AE101" s="21">
        <v>9.6153846153846159E-2</v>
      </c>
      <c r="AF101">
        <v>40</v>
      </c>
      <c r="AG101">
        <v>25</v>
      </c>
      <c r="AH101">
        <f>28+16</f>
        <v>44</v>
      </c>
      <c r="AI101">
        <v>17</v>
      </c>
      <c r="AJ101">
        <v>5</v>
      </c>
      <c r="AK101">
        <v>71</v>
      </c>
      <c r="AL101">
        <v>10</v>
      </c>
      <c r="AM101">
        <v>0</v>
      </c>
      <c r="AN101">
        <f t="shared" si="5"/>
        <v>415</v>
      </c>
      <c r="AO101">
        <f>153+127</f>
        <v>280</v>
      </c>
      <c r="AP101">
        <v>109</v>
      </c>
      <c r="AQ101">
        <v>0</v>
      </c>
      <c r="AR101">
        <v>26</v>
      </c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</row>
    <row r="102" spans="1:84" s="3" customFormat="1" x14ac:dyDescent="0.2">
      <c r="A102" s="39">
        <v>43737</v>
      </c>
      <c r="B102" s="26" t="s">
        <v>417</v>
      </c>
      <c r="C102" t="s">
        <v>301</v>
      </c>
      <c r="D102" s="27" t="s">
        <v>311</v>
      </c>
      <c r="E102">
        <v>6.28</v>
      </c>
      <c r="F102">
        <v>33.9</v>
      </c>
      <c r="G102">
        <v>93</v>
      </c>
      <c r="H102">
        <v>10</v>
      </c>
      <c r="I102">
        <v>0</v>
      </c>
      <c r="J102">
        <v>0</v>
      </c>
      <c r="K102">
        <v>0</v>
      </c>
      <c r="L102">
        <v>7.4</v>
      </c>
      <c r="M102">
        <v>44</v>
      </c>
      <c r="N102">
        <v>5</v>
      </c>
      <c r="O102">
        <v>6.3</v>
      </c>
      <c r="P102">
        <v>32</v>
      </c>
      <c r="Q102">
        <v>7</v>
      </c>
      <c r="R102">
        <v>10.9</v>
      </c>
      <c r="S102">
        <v>59</v>
      </c>
      <c r="T102">
        <v>6</v>
      </c>
      <c r="U102">
        <v>12.5</v>
      </c>
      <c r="V102">
        <v>65</v>
      </c>
      <c r="W102">
        <v>9</v>
      </c>
      <c r="X102" s="14">
        <v>2.5</v>
      </c>
      <c r="Y102">
        <v>5</v>
      </c>
      <c r="Z102">
        <v>4</v>
      </c>
      <c r="AA102">
        <v>13</v>
      </c>
      <c r="AB102">
        <v>3</v>
      </c>
      <c r="AC102">
        <v>14</v>
      </c>
      <c r="AD102" s="21">
        <v>0.32432432432432434</v>
      </c>
      <c r="AE102" s="21">
        <v>8.1081081081081086E-2</v>
      </c>
      <c r="AF102">
        <v>57.1</v>
      </c>
      <c r="AG102">
        <v>10</v>
      </c>
      <c r="AH102">
        <v>34</v>
      </c>
      <c r="AI102">
        <v>27</v>
      </c>
      <c r="AJ102">
        <v>0</v>
      </c>
      <c r="AK102">
        <v>65</v>
      </c>
      <c r="AL102">
        <v>16</v>
      </c>
      <c r="AM102">
        <v>0</v>
      </c>
      <c r="AN102">
        <f t="shared" si="5"/>
        <v>326</v>
      </c>
      <c r="AO102">
        <v>232</v>
      </c>
      <c r="AP102">
        <v>93</v>
      </c>
      <c r="AQ102">
        <v>1</v>
      </c>
      <c r="AR102">
        <v>0</v>
      </c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</row>
    <row r="103" spans="1:84" x14ac:dyDescent="0.2">
      <c r="A103" s="39">
        <v>43737</v>
      </c>
      <c r="B103" s="26" t="s">
        <v>417</v>
      </c>
      <c r="C103" t="s">
        <v>265</v>
      </c>
      <c r="D103" s="27" t="s">
        <v>312</v>
      </c>
      <c r="E103">
        <f>12.2+0.36</f>
        <v>12.559999999999999</v>
      </c>
      <c r="F103">
        <v>9.6999999999999993</v>
      </c>
      <c r="G103">
        <v>53</v>
      </c>
      <c r="H103">
        <v>5</v>
      </c>
      <c r="I103">
        <v>9.8000000000000007</v>
      </c>
      <c r="J103">
        <v>11</v>
      </c>
      <c r="K103">
        <v>5</v>
      </c>
      <c r="L103">
        <v>14.7</v>
      </c>
      <c r="M103">
        <v>77</v>
      </c>
      <c r="N103">
        <v>7</v>
      </c>
      <c r="O103">
        <v>9.6</v>
      </c>
      <c r="P103">
        <v>56</v>
      </c>
      <c r="Q103">
        <v>5</v>
      </c>
      <c r="R103">
        <v>3.1</v>
      </c>
      <c r="S103">
        <v>11</v>
      </c>
      <c r="T103">
        <v>3</v>
      </c>
      <c r="U103">
        <v>10.8</v>
      </c>
      <c r="V103">
        <v>58</v>
      </c>
      <c r="W103">
        <v>6</v>
      </c>
      <c r="X103" s="14">
        <f>3.6+3.3+1.7</f>
        <v>8.6</v>
      </c>
      <c r="Y103">
        <f>20+16</f>
        <v>36</v>
      </c>
      <c r="Z103">
        <v>7</v>
      </c>
      <c r="AA103">
        <v>10</v>
      </c>
      <c r="AB103">
        <v>3</v>
      </c>
      <c r="AC103">
        <v>17</v>
      </c>
      <c r="AD103" s="21">
        <v>0.34375</v>
      </c>
      <c r="AE103" s="21">
        <v>3.125E-2</v>
      </c>
      <c r="AF103">
        <v>62.5</v>
      </c>
      <c r="AG103">
        <v>2</v>
      </c>
      <c r="AH103">
        <v>33</v>
      </c>
      <c r="AI103">
        <v>26</v>
      </c>
      <c r="AJ103">
        <v>5</v>
      </c>
      <c r="AK103">
        <v>67</v>
      </c>
      <c r="AL103">
        <v>16</v>
      </c>
      <c r="AM103">
        <v>0</v>
      </c>
      <c r="AN103">
        <f>AO103+AP103+AQ103+AR103</f>
        <v>276</v>
      </c>
      <c r="AO103">
        <v>204</v>
      </c>
      <c r="AP103">
        <v>64</v>
      </c>
      <c r="AQ103">
        <v>4</v>
      </c>
      <c r="AR103">
        <v>4</v>
      </c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</row>
    <row r="104" spans="1:84" x14ac:dyDescent="0.2">
      <c r="A104" s="39">
        <v>43737</v>
      </c>
      <c r="B104" s="26" t="s">
        <v>417</v>
      </c>
      <c r="C104" s="17" t="s">
        <v>272</v>
      </c>
      <c r="D104" s="27" t="s">
        <v>309</v>
      </c>
      <c r="E104">
        <v>5.64</v>
      </c>
      <c r="F104">
        <v>10.3</v>
      </c>
      <c r="G104">
        <v>62</v>
      </c>
      <c r="H104">
        <v>5</v>
      </c>
      <c r="I104">
        <v>5.9</v>
      </c>
      <c r="J104">
        <v>3</v>
      </c>
      <c r="K104">
        <v>6</v>
      </c>
      <c r="L104">
        <v>6.3</v>
      </c>
      <c r="M104">
        <v>33</v>
      </c>
      <c r="N104">
        <v>6</v>
      </c>
      <c r="O104">
        <v>6.6</v>
      </c>
      <c r="P104">
        <v>36</v>
      </c>
      <c r="Q104">
        <v>6</v>
      </c>
      <c r="R104">
        <v>4</v>
      </c>
      <c r="S104">
        <v>50</v>
      </c>
      <c r="T104">
        <v>6</v>
      </c>
      <c r="U104">
        <v>17.899999999999999</v>
      </c>
      <c r="V104">
        <v>89</v>
      </c>
      <c r="W104">
        <v>15</v>
      </c>
      <c r="X104" s="14">
        <v>4.7</v>
      </c>
      <c r="Y104">
        <v>27</v>
      </c>
      <c r="Z104">
        <v>5</v>
      </c>
      <c r="AA104">
        <v>3</v>
      </c>
      <c r="AB104">
        <v>1</v>
      </c>
      <c r="AC104">
        <v>2</v>
      </c>
      <c r="AD104" s="21">
        <v>0.36956521739130432</v>
      </c>
      <c r="AE104" s="21">
        <v>0.17391304347826086</v>
      </c>
      <c r="AF104">
        <v>50</v>
      </c>
      <c r="AG104">
        <v>19</v>
      </c>
      <c r="AH104">
        <v>37</v>
      </c>
      <c r="AI104">
        <v>16</v>
      </c>
      <c r="AJ104">
        <v>3</v>
      </c>
      <c r="AK104">
        <v>64</v>
      </c>
      <c r="AL104">
        <v>3</v>
      </c>
      <c r="AM104">
        <v>0</v>
      </c>
      <c r="AN104">
        <f>SUM(AO104:AR104)</f>
        <v>244</v>
      </c>
      <c r="AO104">
        <v>171</v>
      </c>
      <c r="AP104">
        <v>65</v>
      </c>
      <c r="AQ104">
        <v>0</v>
      </c>
      <c r="AR104">
        <v>8</v>
      </c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</row>
    <row r="105" spans="1:84" x14ac:dyDescent="0.2">
      <c r="A105" s="39">
        <v>43737</v>
      </c>
      <c r="B105" s="26" t="s">
        <v>417</v>
      </c>
      <c r="C105" t="s">
        <v>281</v>
      </c>
      <c r="D105" s="27" t="s">
        <v>305</v>
      </c>
      <c r="E105">
        <v>19.78</v>
      </c>
      <c r="F105">
        <v>42.3</v>
      </c>
      <c r="G105">
        <v>165</v>
      </c>
      <c r="H105">
        <v>4</v>
      </c>
      <c r="I105">
        <v>13.4</v>
      </c>
      <c r="J105">
        <v>27</v>
      </c>
      <c r="K105">
        <v>3</v>
      </c>
      <c r="L105">
        <v>4</v>
      </c>
      <c r="M105">
        <v>20</v>
      </c>
      <c r="N105">
        <v>7</v>
      </c>
      <c r="O105">
        <v>27.7</v>
      </c>
      <c r="P105">
        <v>167</v>
      </c>
      <c r="Q105">
        <v>10</v>
      </c>
      <c r="R105">
        <v>2</v>
      </c>
      <c r="S105">
        <v>10</v>
      </c>
      <c r="T105">
        <v>3</v>
      </c>
      <c r="U105">
        <v>32.200000000000003</v>
      </c>
      <c r="V105">
        <v>232</v>
      </c>
      <c r="W105">
        <v>14</v>
      </c>
      <c r="X105" s="14">
        <v>20</v>
      </c>
      <c r="Y105">
        <v>100</v>
      </c>
      <c r="Z105">
        <v>4</v>
      </c>
      <c r="AA105">
        <v>11</v>
      </c>
      <c r="AB105">
        <v>2</v>
      </c>
      <c r="AC105">
        <v>10</v>
      </c>
      <c r="AD105" s="21">
        <v>0.21875</v>
      </c>
      <c r="AE105" s="21">
        <v>3.125E-2</v>
      </c>
      <c r="AF105">
        <v>60</v>
      </c>
      <c r="AG105">
        <v>-1</v>
      </c>
      <c r="AH105">
        <v>30</v>
      </c>
      <c r="AI105">
        <v>26</v>
      </c>
      <c r="AJ105">
        <v>3</v>
      </c>
      <c r="AK105">
        <v>61</v>
      </c>
      <c r="AL105">
        <v>40</v>
      </c>
      <c r="AM105">
        <v>0</v>
      </c>
      <c r="AN105">
        <f>SUM(AO105:AR105)</f>
        <v>535</v>
      </c>
      <c r="AO105">
        <v>342</v>
      </c>
      <c r="AP105">
        <f>165+27</f>
        <v>192</v>
      </c>
      <c r="AQ105">
        <v>0</v>
      </c>
      <c r="AR105">
        <v>1</v>
      </c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</row>
    <row r="106" spans="1:84" x14ac:dyDescent="0.2">
      <c r="A106" s="39">
        <v>43737</v>
      </c>
      <c r="B106" s="26" t="s">
        <v>417</v>
      </c>
      <c r="C106" t="s">
        <v>291</v>
      </c>
      <c r="D106" s="27" t="s">
        <v>307</v>
      </c>
      <c r="E106">
        <v>8.6199999999999992</v>
      </c>
      <c r="F106">
        <v>17.5</v>
      </c>
      <c r="G106">
        <v>35</v>
      </c>
      <c r="H106">
        <v>7</v>
      </c>
      <c r="I106">
        <v>0</v>
      </c>
      <c r="J106">
        <v>0</v>
      </c>
      <c r="K106">
        <v>0</v>
      </c>
      <c r="L106">
        <v>9.8000000000000007</v>
      </c>
      <c r="M106">
        <v>48</v>
      </c>
      <c r="N106">
        <v>8</v>
      </c>
      <c r="O106">
        <v>0</v>
      </c>
      <c r="P106">
        <v>0</v>
      </c>
      <c r="Q106">
        <v>1</v>
      </c>
      <c r="R106" s="14">
        <v>4.3</v>
      </c>
      <c r="S106">
        <v>41</v>
      </c>
      <c r="T106">
        <v>6</v>
      </c>
      <c r="U106">
        <v>20.200000000000003</v>
      </c>
      <c r="V106">
        <v>102</v>
      </c>
      <c r="W106">
        <v>15</v>
      </c>
      <c r="X106" s="14">
        <v>15.9</v>
      </c>
      <c r="Y106">
        <v>99</v>
      </c>
      <c r="Z106">
        <v>7</v>
      </c>
      <c r="AA106">
        <v>4</v>
      </c>
      <c r="AB106">
        <v>1</v>
      </c>
      <c r="AC106">
        <v>11</v>
      </c>
      <c r="AD106" s="21">
        <v>0.4</v>
      </c>
      <c r="AE106" s="21">
        <v>2.8571428571428571E-2</v>
      </c>
      <c r="AF106">
        <v>70</v>
      </c>
      <c r="AG106">
        <v>11</v>
      </c>
      <c r="AH106">
        <v>33</v>
      </c>
      <c r="AI106">
        <v>18</v>
      </c>
      <c r="AJ106">
        <v>1</v>
      </c>
      <c r="AK106">
        <v>54</v>
      </c>
      <c r="AL106">
        <v>10</v>
      </c>
      <c r="AM106">
        <v>0</v>
      </c>
      <c r="AN106">
        <f>SUM(AO106:AR106)</f>
        <v>268</v>
      </c>
      <c r="AO106">
        <v>223</v>
      </c>
      <c r="AP106">
        <v>35</v>
      </c>
      <c r="AQ106">
        <v>3</v>
      </c>
      <c r="AR106">
        <v>7</v>
      </c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</row>
    <row r="107" spans="1:84" x14ac:dyDescent="0.2">
      <c r="A107" s="39">
        <v>43737</v>
      </c>
      <c r="B107" t="s">
        <v>417</v>
      </c>
      <c r="C107" t="s">
        <v>278</v>
      </c>
      <c r="D107" t="s">
        <v>297</v>
      </c>
      <c r="E107">
        <v>26.02</v>
      </c>
      <c r="F107">
        <v>7</v>
      </c>
      <c r="G107">
        <v>53</v>
      </c>
      <c r="H107">
        <v>1</v>
      </c>
      <c r="I107">
        <v>9</v>
      </c>
      <c r="J107">
        <v>16</v>
      </c>
      <c r="K107">
        <v>6</v>
      </c>
      <c r="L107">
        <v>24.2</v>
      </c>
      <c r="M107">
        <v>62</v>
      </c>
      <c r="N107">
        <v>9</v>
      </c>
      <c r="O107">
        <v>18.399999999999999</v>
      </c>
      <c r="P107">
        <v>104</v>
      </c>
      <c r="Q107">
        <v>9</v>
      </c>
      <c r="R107">
        <v>8.6999999999999993</v>
      </c>
      <c r="S107">
        <v>57</v>
      </c>
      <c r="T107">
        <v>5</v>
      </c>
      <c r="U107">
        <v>20.100000000000001</v>
      </c>
      <c r="V107">
        <v>111</v>
      </c>
      <c r="W107">
        <v>13</v>
      </c>
      <c r="X107">
        <v>11.1</v>
      </c>
      <c r="Y107">
        <v>31</v>
      </c>
      <c r="Z107">
        <v>4</v>
      </c>
      <c r="AA107">
        <v>6</v>
      </c>
      <c r="AB107">
        <v>1</v>
      </c>
      <c r="AC107">
        <v>5</v>
      </c>
      <c r="AD107">
        <v>0.31578947368421051</v>
      </c>
      <c r="AE107">
        <v>0</v>
      </c>
      <c r="AF107">
        <v>71.400000000000006</v>
      </c>
      <c r="AG107">
        <v>2</v>
      </c>
      <c r="AH107">
        <v>38</v>
      </c>
      <c r="AI107">
        <v>15</v>
      </c>
      <c r="AJ107">
        <v>1</v>
      </c>
      <c r="AK107">
        <v>54</v>
      </c>
      <c r="AL107">
        <v>24</v>
      </c>
      <c r="AM107">
        <v>0</v>
      </c>
      <c r="AN107">
        <v>371</v>
      </c>
      <c r="AO107">
        <v>303</v>
      </c>
      <c r="AP107">
        <v>69</v>
      </c>
      <c r="AQ107">
        <v>0</v>
      </c>
      <c r="AR107">
        <v>-1</v>
      </c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</row>
    <row r="108" spans="1:84" x14ac:dyDescent="0.2">
      <c r="A108" s="39">
        <v>43737</v>
      </c>
      <c r="B108" s="26" t="s">
        <v>417</v>
      </c>
      <c r="C108" t="s">
        <v>299</v>
      </c>
      <c r="D108" s="27" t="s">
        <v>288</v>
      </c>
      <c r="E108">
        <v>24.44</v>
      </c>
      <c r="F108">
        <v>19.7</v>
      </c>
      <c r="G108">
        <v>125</v>
      </c>
      <c r="H108">
        <v>3</v>
      </c>
      <c r="I108">
        <v>5.0999999999999996</v>
      </c>
      <c r="J108">
        <v>30</v>
      </c>
      <c r="K108">
        <v>2</v>
      </c>
      <c r="L108">
        <v>23.7</v>
      </c>
      <c r="M108">
        <v>67</v>
      </c>
      <c r="N108">
        <v>9</v>
      </c>
      <c r="O108" s="14">
        <v>10.7</v>
      </c>
      <c r="P108">
        <v>77</v>
      </c>
      <c r="Q108">
        <v>5</v>
      </c>
      <c r="R108">
        <v>6.7</v>
      </c>
      <c r="S108">
        <v>47</v>
      </c>
      <c r="T108">
        <v>3</v>
      </c>
      <c r="U108">
        <v>45.300000000000004</v>
      </c>
      <c r="V108">
        <v>163</v>
      </c>
      <c r="W108">
        <v>14</v>
      </c>
      <c r="X108" s="14">
        <f>11.7+5.5</f>
        <v>17.2</v>
      </c>
      <c r="Y108">
        <v>52</v>
      </c>
      <c r="Z108">
        <v>6</v>
      </c>
      <c r="AA108">
        <v>15</v>
      </c>
      <c r="AB108">
        <v>3</v>
      </c>
      <c r="AC108">
        <v>5</v>
      </c>
      <c r="AD108" s="21">
        <v>0.32500000000000001</v>
      </c>
      <c r="AE108" s="21">
        <v>0.1</v>
      </c>
      <c r="AF108">
        <v>50</v>
      </c>
      <c r="AG108">
        <v>13</v>
      </c>
      <c r="AH108">
        <v>34</v>
      </c>
      <c r="AI108">
        <v>33</v>
      </c>
      <c r="AJ108">
        <v>2</v>
      </c>
      <c r="AK108">
        <v>73</v>
      </c>
      <c r="AL108">
        <v>30</v>
      </c>
      <c r="AM108">
        <v>0</v>
      </c>
      <c r="AN108">
        <f t="shared" ref="AN108:AN124" si="6">SUM(AO108:AR108)</f>
        <v>477</v>
      </c>
      <c r="AO108">
        <v>291</v>
      </c>
      <c r="AP108">
        <f>125+30+13</f>
        <v>168</v>
      </c>
      <c r="AQ108">
        <v>0</v>
      </c>
      <c r="AR108">
        <v>18</v>
      </c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37"/>
      <c r="CD108" s="37"/>
      <c r="CE108" s="37"/>
      <c r="CF108" s="37"/>
    </row>
    <row r="109" spans="1:84" x14ac:dyDescent="0.2">
      <c r="A109" s="39">
        <v>43737</v>
      </c>
      <c r="B109" s="26" t="s">
        <v>417</v>
      </c>
      <c r="C109" t="s">
        <v>300</v>
      </c>
      <c r="D109" s="27" t="s">
        <v>294</v>
      </c>
      <c r="E109">
        <v>30.48</v>
      </c>
      <c r="F109">
        <v>17.8</v>
      </c>
      <c r="G109">
        <v>21</v>
      </c>
      <c r="H109">
        <v>7</v>
      </c>
      <c r="I109">
        <v>1</v>
      </c>
      <c r="J109">
        <v>0</v>
      </c>
      <c r="K109">
        <v>1</v>
      </c>
      <c r="L109">
        <v>31</v>
      </c>
      <c r="M109">
        <v>180</v>
      </c>
      <c r="N109">
        <v>15</v>
      </c>
      <c r="O109">
        <v>7.7</v>
      </c>
      <c r="P109">
        <v>47</v>
      </c>
      <c r="Q109">
        <v>7</v>
      </c>
      <c r="R109" s="14">
        <v>14.9</v>
      </c>
      <c r="S109">
        <v>52</v>
      </c>
      <c r="T109">
        <v>4</v>
      </c>
      <c r="U109">
        <v>26</v>
      </c>
      <c r="V109">
        <v>110</v>
      </c>
      <c r="W109">
        <v>11</v>
      </c>
      <c r="X109" s="14">
        <f>18.1+3.9+2.1</f>
        <v>24.1</v>
      </c>
      <c r="Y109">
        <f>61+19+11</f>
        <v>91</v>
      </c>
      <c r="Z109">
        <v>12</v>
      </c>
      <c r="AA109">
        <v>9</v>
      </c>
      <c r="AB109">
        <v>2</v>
      </c>
      <c r="AC109">
        <v>-1</v>
      </c>
      <c r="AD109" s="21">
        <v>0.40677966101694918</v>
      </c>
      <c r="AE109" s="21">
        <v>1.6949152542372881E-2</v>
      </c>
      <c r="AF109">
        <v>75</v>
      </c>
      <c r="AG109">
        <v>5</v>
      </c>
      <c r="AH109">
        <v>53</v>
      </c>
      <c r="AI109">
        <v>14</v>
      </c>
      <c r="AJ109">
        <v>5</v>
      </c>
      <c r="AK109">
        <v>74</v>
      </c>
      <c r="AL109">
        <v>27</v>
      </c>
      <c r="AM109">
        <v>0</v>
      </c>
      <c r="AN109">
        <f t="shared" si="6"/>
        <v>498</v>
      </c>
      <c r="AO109">
        <v>422</v>
      </c>
      <c r="AP109">
        <v>24</v>
      </c>
      <c r="AQ109">
        <v>7</v>
      </c>
      <c r="AR109">
        <v>45</v>
      </c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37"/>
      <c r="CD109" s="37"/>
      <c r="CE109" s="37"/>
      <c r="CF109" s="37"/>
    </row>
    <row r="110" spans="1:84" x14ac:dyDescent="0.2">
      <c r="A110" s="39">
        <v>43737</v>
      </c>
      <c r="B110" s="26" t="s">
        <v>417</v>
      </c>
      <c r="C110" t="s">
        <v>311</v>
      </c>
      <c r="D110" s="27" t="s">
        <v>301</v>
      </c>
      <c r="E110">
        <v>12.6</v>
      </c>
      <c r="F110">
        <v>10.4</v>
      </c>
      <c r="G110">
        <v>58</v>
      </c>
      <c r="H110">
        <v>5</v>
      </c>
      <c r="I110">
        <v>9.8000000000000007</v>
      </c>
      <c r="J110">
        <v>56</v>
      </c>
      <c r="K110">
        <v>3</v>
      </c>
      <c r="L110">
        <v>8.1</v>
      </c>
      <c r="M110">
        <v>41</v>
      </c>
      <c r="N110">
        <v>8</v>
      </c>
      <c r="O110" s="14">
        <v>5.3</v>
      </c>
      <c r="P110">
        <v>23</v>
      </c>
      <c r="Q110">
        <v>6</v>
      </c>
      <c r="R110">
        <v>4.4000000000000004</v>
      </c>
      <c r="S110">
        <v>24</v>
      </c>
      <c r="T110">
        <v>2</v>
      </c>
      <c r="U110">
        <v>13.399999999999999</v>
      </c>
      <c r="V110">
        <v>64</v>
      </c>
      <c r="W110">
        <v>9</v>
      </c>
      <c r="X110" s="14">
        <v>7.3</v>
      </c>
      <c r="Y110">
        <v>33</v>
      </c>
      <c r="Z110">
        <v>5</v>
      </c>
      <c r="AA110">
        <v>4</v>
      </c>
      <c r="AB110">
        <v>2</v>
      </c>
      <c r="AC110">
        <v>10</v>
      </c>
      <c r="AD110" s="21">
        <v>0.42857142857142855</v>
      </c>
      <c r="AE110" s="21">
        <v>0.14285714285714285</v>
      </c>
      <c r="AF110">
        <v>50</v>
      </c>
      <c r="AG110">
        <v>14</v>
      </c>
      <c r="AH110">
        <v>33</v>
      </c>
      <c r="AI110">
        <v>18</v>
      </c>
      <c r="AJ110">
        <v>3</v>
      </c>
      <c r="AK110">
        <v>62</v>
      </c>
      <c r="AL110">
        <v>10</v>
      </c>
      <c r="AM110">
        <v>0</v>
      </c>
      <c r="AN110">
        <f t="shared" si="6"/>
        <v>296</v>
      </c>
      <c r="AO110">
        <v>160</v>
      </c>
      <c r="AP110">
        <f>58+56</f>
        <v>114</v>
      </c>
      <c r="AQ110">
        <v>10</v>
      </c>
      <c r="AR110">
        <v>12</v>
      </c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37"/>
      <c r="CD110" s="37"/>
      <c r="CE110" s="37"/>
      <c r="CF110" s="37"/>
    </row>
    <row r="111" spans="1:84" x14ac:dyDescent="0.2">
      <c r="A111" s="39">
        <v>43737</v>
      </c>
      <c r="B111" s="26" t="s">
        <v>417</v>
      </c>
      <c r="C111" t="s">
        <v>289</v>
      </c>
      <c r="D111" s="27" t="s">
        <v>303</v>
      </c>
      <c r="E111">
        <v>23.5</v>
      </c>
      <c r="F111">
        <v>3.9</v>
      </c>
      <c r="G111">
        <v>39</v>
      </c>
      <c r="H111">
        <v>0</v>
      </c>
      <c r="I111">
        <v>10.5</v>
      </c>
      <c r="J111">
        <v>6</v>
      </c>
      <c r="K111">
        <v>6</v>
      </c>
      <c r="L111">
        <v>11.2</v>
      </c>
      <c r="M111">
        <v>72</v>
      </c>
      <c r="N111">
        <v>7</v>
      </c>
      <c r="O111">
        <v>13.8</v>
      </c>
      <c r="P111">
        <v>48</v>
      </c>
      <c r="Q111">
        <v>6</v>
      </c>
      <c r="R111">
        <v>6.5</v>
      </c>
      <c r="S111">
        <v>25</v>
      </c>
      <c r="T111">
        <v>8</v>
      </c>
      <c r="U111">
        <v>34.200000000000003</v>
      </c>
      <c r="V111">
        <v>132</v>
      </c>
      <c r="W111">
        <v>18</v>
      </c>
      <c r="X111" s="14">
        <f>12.2+11.8</f>
        <v>24</v>
      </c>
      <c r="Y111">
        <v>70</v>
      </c>
      <c r="Z111">
        <v>13</v>
      </c>
      <c r="AA111">
        <v>6</v>
      </c>
      <c r="AB111">
        <v>2</v>
      </c>
      <c r="AC111">
        <v>3</v>
      </c>
      <c r="AD111" s="21">
        <v>0.28000000000000003</v>
      </c>
      <c r="AE111" s="21">
        <v>0</v>
      </c>
      <c r="AF111">
        <v>50</v>
      </c>
      <c r="AG111">
        <v>10</v>
      </c>
      <c r="AH111">
        <v>46</v>
      </c>
      <c r="AI111">
        <v>18</v>
      </c>
      <c r="AJ111">
        <v>5</v>
      </c>
      <c r="AK111">
        <v>69</v>
      </c>
      <c r="AL111">
        <v>24</v>
      </c>
      <c r="AM111">
        <v>0</v>
      </c>
      <c r="AN111">
        <f t="shared" si="6"/>
        <v>346</v>
      </c>
      <c r="AO111">
        <v>265</v>
      </c>
      <c r="AP111">
        <f>6+39+17</f>
        <v>62</v>
      </c>
      <c r="AQ111">
        <v>0</v>
      </c>
      <c r="AR111">
        <v>19</v>
      </c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  <c r="BP111" s="37"/>
      <c r="BQ111" s="37"/>
      <c r="BR111" s="37"/>
      <c r="BS111" s="37"/>
      <c r="BT111" s="37"/>
      <c r="BU111" s="37"/>
      <c r="BV111" s="37"/>
      <c r="BW111" s="37"/>
      <c r="BX111" s="37"/>
      <c r="BY111" s="37"/>
      <c r="BZ111" s="37"/>
      <c r="CA111" s="37"/>
      <c r="CB111" s="37"/>
      <c r="CC111" s="37"/>
      <c r="CD111" s="37"/>
      <c r="CE111" s="37"/>
      <c r="CF111" s="37"/>
    </row>
    <row r="112" spans="1:84" x14ac:dyDescent="0.2">
      <c r="A112" s="39">
        <v>43737</v>
      </c>
      <c r="B112" s="26" t="s">
        <v>417</v>
      </c>
      <c r="C112" t="s">
        <v>297</v>
      </c>
      <c r="D112" s="27" t="s">
        <v>278</v>
      </c>
      <c r="E112">
        <v>16.72</v>
      </c>
      <c r="F112">
        <v>29.5</v>
      </c>
      <c r="G112">
        <v>225</v>
      </c>
      <c r="H112">
        <v>3</v>
      </c>
      <c r="I112">
        <v>11.9</v>
      </c>
      <c r="J112">
        <v>42</v>
      </c>
      <c r="K112">
        <v>1</v>
      </c>
      <c r="L112">
        <v>11.6</v>
      </c>
      <c r="M112">
        <v>66</v>
      </c>
      <c r="N112">
        <v>6</v>
      </c>
      <c r="O112">
        <v>8.4</v>
      </c>
      <c r="P112">
        <v>44</v>
      </c>
      <c r="Q112">
        <v>8</v>
      </c>
      <c r="R112">
        <v>2.7</v>
      </c>
      <c r="S112">
        <v>17</v>
      </c>
      <c r="T112">
        <v>4</v>
      </c>
      <c r="U112">
        <v>11.6</v>
      </c>
      <c r="V112">
        <v>66</v>
      </c>
      <c r="W112">
        <v>8</v>
      </c>
      <c r="X112" s="14">
        <f>8.8+4.7</f>
        <v>13.5</v>
      </c>
      <c r="Y112">
        <v>35</v>
      </c>
      <c r="Z112">
        <v>8</v>
      </c>
      <c r="AA112">
        <v>15</v>
      </c>
      <c r="AB112">
        <v>4</v>
      </c>
      <c r="AC112">
        <v>2</v>
      </c>
      <c r="AD112" s="21">
        <v>0.4358974358974359</v>
      </c>
      <c r="AE112" s="21">
        <v>0.12820512820512819</v>
      </c>
      <c r="AF112">
        <v>66.7</v>
      </c>
      <c r="AG112">
        <v>5</v>
      </c>
      <c r="AH112">
        <v>33</v>
      </c>
      <c r="AI112">
        <v>37</v>
      </c>
      <c r="AJ112">
        <v>1</v>
      </c>
      <c r="AK112">
        <v>76</v>
      </c>
      <c r="AL112">
        <v>26</v>
      </c>
      <c r="AM112">
        <v>0</v>
      </c>
      <c r="AN112">
        <f t="shared" si="6"/>
        <v>482</v>
      </c>
      <c r="AO112">
        <v>213</v>
      </c>
      <c r="AP112">
        <f>225+42</f>
        <v>267</v>
      </c>
      <c r="AQ112">
        <v>0</v>
      </c>
      <c r="AR112">
        <v>2</v>
      </c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  <c r="BP112" s="37"/>
      <c r="BQ112" s="37"/>
      <c r="BR112" s="37"/>
      <c r="BS112" s="37"/>
      <c r="BT112" s="37"/>
      <c r="BU112" s="37"/>
      <c r="BV112" s="37"/>
      <c r="BW112" s="37"/>
      <c r="BX112" s="37"/>
      <c r="BY112" s="37"/>
      <c r="BZ112" s="37"/>
      <c r="CA112" s="37"/>
      <c r="CB112" s="37"/>
      <c r="CC112" s="37"/>
      <c r="CD112" s="37"/>
      <c r="CE112" s="37"/>
      <c r="CF112" s="37"/>
    </row>
    <row r="113" spans="1:84" x14ac:dyDescent="0.2">
      <c r="A113" s="39">
        <v>43737</v>
      </c>
      <c r="B113" s="26" t="s">
        <v>417</v>
      </c>
      <c r="C113" t="s">
        <v>288</v>
      </c>
      <c r="D113" s="27" t="s">
        <v>299</v>
      </c>
      <c r="E113">
        <v>21</v>
      </c>
      <c r="F113">
        <v>16.899999999999999</v>
      </c>
      <c r="G113">
        <v>56</v>
      </c>
      <c r="H113">
        <v>4</v>
      </c>
      <c r="I113">
        <v>19.600000000000001</v>
      </c>
      <c r="J113">
        <v>13</v>
      </c>
      <c r="K113">
        <v>4</v>
      </c>
      <c r="L113">
        <v>7.4</v>
      </c>
      <c r="M113">
        <v>54</v>
      </c>
      <c r="N113">
        <v>6</v>
      </c>
      <c r="O113">
        <v>7.5</v>
      </c>
      <c r="P113">
        <v>35</v>
      </c>
      <c r="Q113">
        <v>9</v>
      </c>
      <c r="R113" s="14">
        <v>1.9</v>
      </c>
      <c r="S113">
        <v>9</v>
      </c>
      <c r="T113">
        <v>5</v>
      </c>
      <c r="U113">
        <v>20.400000000000002</v>
      </c>
      <c r="V113">
        <v>124</v>
      </c>
      <c r="W113">
        <v>13</v>
      </c>
      <c r="X113" s="14">
        <v>21.8</v>
      </c>
      <c r="Y113">
        <f>85+43</f>
        <v>128</v>
      </c>
      <c r="Z113">
        <v>10</v>
      </c>
      <c r="AA113">
        <v>11</v>
      </c>
      <c r="AB113">
        <v>3</v>
      </c>
      <c r="AC113">
        <v>13</v>
      </c>
      <c r="AD113" s="21">
        <v>0.31914893617021278</v>
      </c>
      <c r="AE113" s="21">
        <v>0</v>
      </c>
      <c r="AF113">
        <v>28.6</v>
      </c>
      <c r="AG113">
        <v>5</v>
      </c>
      <c r="AH113">
        <v>42</v>
      </c>
      <c r="AI113">
        <v>19</v>
      </c>
      <c r="AJ113">
        <v>6</v>
      </c>
      <c r="AK113">
        <v>67</v>
      </c>
      <c r="AL113">
        <v>27</v>
      </c>
      <c r="AM113">
        <v>7</v>
      </c>
      <c r="AN113">
        <f t="shared" si="6"/>
        <v>438</v>
      </c>
      <c r="AO113">
        <v>315</v>
      </c>
      <c r="AP113">
        <v>69</v>
      </c>
      <c r="AQ113">
        <v>0</v>
      </c>
      <c r="AR113">
        <v>54</v>
      </c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  <c r="BP113" s="37"/>
      <c r="BQ113" s="37"/>
      <c r="BR113" s="37"/>
      <c r="BS113" s="37"/>
      <c r="BT113" s="37"/>
      <c r="BU113" s="37"/>
      <c r="BV113" s="37"/>
      <c r="BW113" s="37"/>
      <c r="BX113" s="37"/>
      <c r="BY113" s="37"/>
      <c r="BZ113" s="37"/>
      <c r="CA113" s="37"/>
      <c r="CB113" s="37"/>
      <c r="CC113" s="37"/>
      <c r="CD113" s="37"/>
      <c r="CE113" s="37"/>
      <c r="CF113" s="37"/>
    </row>
    <row r="114" spans="1:84" x14ac:dyDescent="0.2">
      <c r="A114" s="39">
        <v>43737</v>
      </c>
      <c r="B114" s="26" t="s">
        <v>417</v>
      </c>
      <c r="C114" t="s">
        <v>303</v>
      </c>
      <c r="D114" s="27" t="s">
        <v>289</v>
      </c>
      <c r="E114">
        <v>14.46</v>
      </c>
      <c r="F114">
        <v>12.8</v>
      </c>
      <c r="G114">
        <v>79</v>
      </c>
      <c r="H114">
        <v>2</v>
      </c>
      <c r="I114">
        <v>4.5999999999999996</v>
      </c>
      <c r="J114">
        <v>18</v>
      </c>
      <c r="K114">
        <v>3</v>
      </c>
      <c r="L114">
        <v>12.6</v>
      </c>
      <c r="M114">
        <v>36</v>
      </c>
      <c r="N114">
        <v>7</v>
      </c>
      <c r="O114">
        <v>3.8</v>
      </c>
      <c r="P114">
        <v>18</v>
      </c>
      <c r="Q114">
        <v>3</v>
      </c>
      <c r="R114">
        <v>13.4</v>
      </c>
      <c r="S114">
        <v>0</v>
      </c>
      <c r="T114">
        <v>0</v>
      </c>
      <c r="U114">
        <v>9.7000000000000011</v>
      </c>
      <c r="V114">
        <v>37</v>
      </c>
      <c r="W114">
        <v>8</v>
      </c>
      <c r="X114" s="14">
        <f>12.3+12</f>
        <v>24.3</v>
      </c>
      <c r="Y114">
        <v>83</v>
      </c>
      <c r="Z114">
        <v>11</v>
      </c>
      <c r="AA114">
        <v>7</v>
      </c>
      <c r="AB114">
        <v>1</v>
      </c>
      <c r="AC114">
        <v>10</v>
      </c>
      <c r="AD114" s="21">
        <v>0.21875</v>
      </c>
      <c r="AE114" s="21">
        <v>3.125E-2</v>
      </c>
      <c r="AF114">
        <v>50</v>
      </c>
      <c r="AG114">
        <v>3</v>
      </c>
      <c r="AH114">
        <v>31</v>
      </c>
      <c r="AI114">
        <f>17+6+4+1</f>
        <v>28</v>
      </c>
      <c r="AJ114">
        <v>-1</v>
      </c>
      <c r="AK114">
        <v>64</v>
      </c>
      <c r="AL114">
        <v>24</v>
      </c>
      <c r="AM114">
        <v>7</v>
      </c>
      <c r="AN114">
        <f t="shared" si="6"/>
        <v>377</v>
      </c>
      <c r="AO114">
        <v>189</v>
      </c>
      <c r="AP114">
        <f>79+18+17+1</f>
        <v>115</v>
      </c>
      <c r="AQ114">
        <v>74</v>
      </c>
      <c r="AR114">
        <v>-1</v>
      </c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  <c r="BP114" s="37"/>
      <c r="BQ114" s="37"/>
      <c r="BR114" s="37"/>
      <c r="BS114" s="37"/>
      <c r="BT114" s="37"/>
      <c r="BU114" s="37"/>
      <c r="BV114" s="37"/>
      <c r="BW114" s="37"/>
      <c r="BX114" s="37"/>
      <c r="BY114" s="37"/>
      <c r="BZ114" s="37"/>
      <c r="CA114" s="37"/>
      <c r="CB114" s="37"/>
      <c r="CC114" s="37"/>
      <c r="CD114" s="37"/>
      <c r="CE114" s="37"/>
      <c r="CF114" s="37"/>
    </row>
    <row r="115" spans="1:84" x14ac:dyDescent="0.2">
      <c r="A115" s="39">
        <v>43737</v>
      </c>
      <c r="B115" s="26" t="s">
        <v>417</v>
      </c>
      <c r="C115" t="s">
        <v>287</v>
      </c>
      <c r="D115" s="26" t="s">
        <v>293</v>
      </c>
      <c r="E115">
        <v>23.4</v>
      </c>
      <c r="F115">
        <v>29.2</v>
      </c>
      <c r="G115">
        <v>60</v>
      </c>
      <c r="H115">
        <v>5</v>
      </c>
      <c r="I115">
        <v>11.4</v>
      </c>
      <c r="J115">
        <v>20</v>
      </c>
      <c r="K115">
        <v>2</v>
      </c>
      <c r="L115">
        <v>9.8000000000000007</v>
      </c>
      <c r="M115">
        <v>48</v>
      </c>
      <c r="N115">
        <v>6</v>
      </c>
      <c r="O115">
        <v>12.6</v>
      </c>
      <c r="P115">
        <v>76</v>
      </c>
      <c r="Q115">
        <v>7</v>
      </c>
      <c r="R115">
        <v>4.5</v>
      </c>
      <c r="S115">
        <v>25</v>
      </c>
      <c r="T115">
        <v>2</v>
      </c>
      <c r="U115">
        <v>23.1</v>
      </c>
      <c r="V115">
        <v>61</v>
      </c>
      <c r="W115">
        <v>7</v>
      </c>
      <c r="X115" s="14">
        <f>5.7+2.2</f>
        <v>7.9</v>
      </c>
      <c r="Y115">
        <v>49</v>
      </c>
      <c r="Z115">
        <v>4</v>
      </c>
      <c r="AA115">
        <v>16</v>
      </c>
      <c r="AB115">
        <v>3</v>
      </c>
      <c r="AC115">
        <v>11</v>
      </c>
      <c r="AD115" s="21">
        <v>0.29032258064516131</v>
      </c>
      <c r="AE115" s="21">
        <v>3.2258064516129031E-2</v>
      </c>
      <c r="AF115">
        <v>75</v>
      </c>
      <c r="AG115">
        <v>0</v>
      </c>
      <c r="AH115">
        <v>31</v>
      </c>
      <c r="AI115">
        <v>28</v>
      </c>
      <c r="AJ115">
        <v>5</v>
      </c>
      <c r="AK115">
        <v>65</v>
      </c>
      <c r="AL115">
        <v>30</v>
      </c>
      <c r="AM115">
        <v>0</v>
      </c>
      <c r="AN115">
        <f t="shared" si="6"/>
        <v>396</v>
      </c>
      <c r="AO115">
        <v>317</v>
      </c>
      <c r="AP115">
        <v>80</v>
      </c>
      <c r="AQ115">
        <v>0</v>
      </c>
      <c r="AR115">
        <v>-1</v>
      </c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  <c r="BP115" s="37"/>
      <c r="BQ115" s="37"/>
      <c r="BR115" s="37"/>
      <c r="BS115" s="37"/>
      <c r="BT115" s="37"/>
      <c r="BU115" s="37"/>
      <c r="BV115" s="37"/>
      <c r="BW115" s="37"/>
      <c r="BX115" s="37"/>
      <c r="BY115" s="37"/>
      <c r="BZ115" s="37"/>
      <c r="CA115" s="37"/>
      <c r="CB115" s="37"/>
      <c r="CC115" s="37"/>
      <c r="CD115" s="37"/>
      <c r="CE115" s="37"/>
      <c r="CF115" s="37"/>
    </row>
    <row r="116" spans="1:84" x14ac:dyDescent="0.2">
      <c r="A116" s="39">
        <v>43737</v>
      </c>
      <c r="B116" s="26" t="s">
        <v>417</v>
      </c>
      <c r="C116" t="s">
        <v>304</v>
      </c>
      <c r="D116" s="27" t="s">
        <v>284</v>
      </c>
      <c r="E116">
        <v>27.68</v>
      </c>
      <c r="F116">
        <v>26</v>
      </c>
      <c r="G116">
        <v>15</v>
      </c>
      <c r="H116">
        <v>11</v>
      </c>
      <c r="I116">
        <v>1.4</v>
      </c>
      <c r="J116">
        <v>14</v>
      </c>
      <c r="K116">
        <v>1</v>
      </c>
      <c r="L116" s="14">
        <v>29.9</v>
      </c>
      <c r="M116">
        <v>121</v>
      </c>
      <c r="N116">
        <v>15</v>
      </c>
      <c r="O116">
        <v>32.4</v>
      </c>
      <c r="P116">
        <v>164</v>
      </c>
      <c r="Q116">
        <v>15</v>
      </c>
      <c r="R116">
        <v>13.1</v>
      </c>
      <c r="S116">
        <v>71</v>
      </c>
      <c r="T116">
        <v>9</v>
      </c>
      <c r="U116">
        <v>54.2</v>
      </c>
      <c r="V116">
        <v>232</v>
      </c>
      <c r="W116">
        <v>27</v>
      </c>
      <c r="X116" s="14">
        <f>15.4+8.1</f>
        <v>23.5</v>
      </c>
      <c r="Y116">
        <v>85</v>
      </c>
      <c r="Z116">
        <v>15</v>
      </c>
      <c r="AA116">
        <v>17</v>
      </c>
      <c r="AB116">
        <v>2</v>
      </c>
      <c r="AC116">
        <v>6</v>
      </c>
      <c r="AD116" s="21">
        <v>0.45714285714285713</v>
      </c>
      <c r="AE116" s="21">
        <v>2.8571428571428571E-2</v>
      </c>
      <c r="AF116">
        <v>73.099999999999994</v>
      </c>
      <c r="AG116">
        <v>15</v>
      </c>
      <c r="AH116">
        <v>68</v>
      </c>
      <c r="AI116">
        <v>10</v>
      </c>
      <c r="AJ116">
        <v>0</v>
      </c>
      <c r="AK116">
        <v>81</v>
      </c>
      <c r="AL116">
        <v>33</v>
      </c>
      <c r="AM116">
        <v>7</v>
      </c>
      <c r="AN116">
        <f t="shared" si="6"/>
        <v>545</v>
      </c>
      <c r="AO116">
        <v>517</v>
      </c>
      <c r="AP116">
        <v>30</v>
      </c>
      <c r="AQ116">
        <v>-2</v>
      </c>
      <c r="AR116">
        <v>0</v>
      </c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  <c r="BP116" s="37"/>
      <c r="BQ116" s="37"/>
      <c r="BR116" s="37"/>
      <c r="BS116" s="37"/>
      <c r="BT116" s="37"/>
      <c r="BU116" s="37"/>
      <c r="BV116" s="37"/>
      <c r="BW116" s="37"/>
      <c r="BX116" s="37"/>
      <c r="BY116" s="37"/>
      <c r="BZ116" s="37"/>
      <c r="CA116" s="37"/>
      <c r="CB116" s="37"/>
      <c r="CC116" s="37"/>
      <c r="CD116" s="37"/>
      <c r="CE116" s="37"/>
      <c r="CF116" s="37"/>
    </row>
    <row r="117" spans="1:84" x14ac:dyDescent="0.2">
      <c r="A117" s="39">
        <v>43737</v>
      </c>
      <c r="B117" s="31" t="s">
        <v>417</v>
      </c>
      <c r="C117" t="s">
        <v>293</v>
      </c>
      <c r="D117" s="32" t="s">
        <v>287</v>
      </c>
      <c r="E117" s="3">
        <v>10.199999999999999</v>
      </c>
      <c r="F117" s="3">
        <v>10.3</v>
      </c>
      <c r="G117" s="3">
        <v>44</v>
      </c>
      <c r="H117" s="3">
        <v>5</v>
      </c>
      <c r="I117" s="3">
        <v>5.4</v>
      </c>
      <c r="J117" s="3">
        <v>23</v>
      </c>
      <c r="K117" s="3">
        <v>2</v>
      </c>
      <c r="L117" s="30">
        <v>8.6</v>
      </c>
      <c r="M117" s="3">
        <v>46</v>
      </c>
      <c r="N117" s="3">
        <v>7</v>
      </c>
      <c r="O117" s="3">
        <v>17</v>
      </c>
      <c r="P117" s="3">
        <v>70</v>
      </c>
      <c r="Q117" s="3">
        <v>4</v>
      </c>
      <c r="R117" s="30">
        <v>1.4</v>
      </c>
      <c r="S117" s="3">
        <v>6</v>
      </c>
      <c r="T117" s="3">
        <v>1</v>
      </c>
      <c r="U117" s="3">
        <v>15.2</v>
      </c>
      <c r="V117" s="3">
        <v>52</v>
      </c>
      <c r="W117" s="3">
        <v>6</v>
      </c>
      <c r="X117" s="30">
        <v>1.9</v>
      </c>
      <c r="Y117" s="3">
        <v>9</v>
      </c>
      <c r="Z117" s="3">
        <v>1</v>
      </c>
      <c r="AA117" s="3">
        <v>4</v>
      </c>
      <c r="AB117" s="3">
        <v>3</v>
      </c>
      <c r="AC117" s="3">
        <v>0</v>
      </c>
      <c r="AD117" s="29">
        <v>0.32142857142857145</v>
      </c>
      <c r="AE117" s="29">
        <v>0.14285714285714285</v>
      </c>
      <c r="AF117" s="3">
        <v>60</v>
      </c>
      <c r="AG117" s="3">
        <v>11</v>
      </c>
      <c r="AH117" s="3">
        <v>24</v>
      </c>
      <c r="AI117" s="3">
        <v>17</v>
      </c>
      <c r="AJ117" s="3">
        <v>0</v>
      </c>
      <c r="AK117" s="3">
        <v>47</v>
      </c>
      <c r="AL117" s="3">
        <v>10</v>
      </c>
      <c r="AM117" s="3">
        <v>0</v>
      </c>
      <c r="AN117" s="3">
        <f t="shared" si="6"/>
        <v>252</v>
      </c>
      <c r="AO117" s="3">
        <v>180</v>
      </c>
      <c r="AP117" s="3">
        <f>44+23+7</f>
        <v>74</v>
      </c>
      <c r="AQ117" s="3">
        <v>-2</v>
      </c>
      <c r="AR117" s="3">
        <v>0</v>
      </c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CF117" s="37"/>
    </row>
    <row r="118" spans="1:84" x14ac:dyDescent="0.2">
      <c r="A118" s="39">
        <v>43737</v>
      </c>
      <c r="B118" s="26" t="s">
        <v>417</v>
      </c>
      <c r="C118" t="s">
        <v>312</v>
      </c>
      <c r="D118" s="27" t="s">
        <v>265</v>
      </c>
      <c r="E118">
        <v>8.32</v>
      </c>
      <c r="F118">
        <v>19</v>
      </c>
      <c r="G118">
        <v>35</v>
      </c>
      <c r="H118">
        <v>8</v>
      </c>
      <c r="I118">
        <v>2.2999999999999998</v>
      </c>
      <c r="J118">
        <v>5</v>
      </c>
      <c r="K118">
        <v>1</v>
      </c>
      <c r="L118">
        <v>2.6</v>
      </c>
      <c r="M118">
        <v>35</v>
      </c>
      <c r="N118">
        <v>4</v>
      </c>
      <c r="O118">
        <v>19.8</v>
      </c>
      <c r="P118">
        <v>108</v>
      </c>
      <c r="Q118">
        <v>7</v>
      </c>
      <c r="R118">
        <v>7.5</v>
      </c>
      <c r="S118">
        <v>35</v>
      </c>
      <c r="T118">
        <v>4</v>
      </c>
      <c r="U118">
        <v>6.3000000000000007</v>
      </c>
      <c r="V118">
        <v>23</v>
      </c>
      <c r="W118">
        <v>6</v>
      </c>
      <c r="X118" s="14">
        <f>2.2+1.5</f>
        <v>3.7</v>
      </c>
      <c r="Y118">
        <v>17</v>
      </c>
      <c r="Z118">
        <v>2</v>
      </c>
      <c r="AA118">
        <v>0</v>
      </c>
      <c r="AB118">
        <v>0</v>
      </c>
      <c r="AC118">
        <v>2</v>
      </c>
      <c r="AD118" s="21">
        <v>0.40476190476190477</v>
      </c>
      <c r="AE118" s="21">
        <v>0.14285714285714285</v>
      </c>
      <c r="AF118">
        <v>90</v>
      </c>
      <c r="AG118">
        <v>17</v>
      </c>
      <c r="AH118">
        <v>36</v>
      </c>
      <c r="AI118">
        <v>16</v>
      </c>
      <c r="AJ118">
        <v>0</v>
      </c>
      <c r="AK118">
        <v>58</v>
      </c>
      <c r="AL118">
        <v>6</v>
      </c>
      <c r="AM118">
        <v>0</v>
      </c>
      <c r="AN118">
        <f t="shared" si="6"/>
        <v>273</v>
      </c>
      <c r="AO118">
        <v>233</v>
      </c>
      <c r="AP118">
        <v>40</v>
      </c>
      <c r="AQ118">
        <v>0</v>
      </c>
      <c r="AR118">
        <v>0</v>
      </c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  <c r="BP118" s="37"/>
      <c r="BQ118" s="37"/>
      <c r="BR118" s="37"/>
      <c r="BS118" s="37"/>
      <c r="BT118" s="37"/>
      <c r="BU118" s="37"/>
      <c r="BV118" s="37"/>
      <c r="BW118" s="37"/>
      <c r="BX118" s="37"/>
      <c r="BY118" s="37"/>
      <c r="BZ118" s="37"/>
      <c r="CA118" s="37"/>
      <c r="CB118" s="37"/>
      <c r="CC118" s="37"/>
      <c r="CD118" s="37"/>
      <c r="CE118" s="37"/>
      <c r="CF118" s="37"/>
    </row>
    <row r="119" spans="1:84" x14ac:dyDescent="0.2">
      <c r="A119" s="39">
        <v>43737</v>
      </c>
      <c r="B119" s="26" t="s">
        <v>417</v>
      </c>
      <c r="C119" t="s">
        <v>302</v>
      </c>
      <c r="D119" s="27" t="s">
        <v>276</v>
      </c>
      <c r="E119">
        <v>4.7</v>
      </c>
      <c r="F119">
        <v>6.3</v>
      </c>
      <c r="G119">
        <v>63</v>
      </c>
      <c r="H119">
        <v>0</v>
      </c>
      <c r="I119">
        <v>13.8</v>
      </c>
      <c r="J119">
        <v>1</v>
      </c>
      <c r="K119">
        <v>10</v>
      </c>
      <c r="L119">
        <v>7</v>
      </c>
      <c r="M119">
        <v>30</v>
      </c>
      <c r="N119">
        <v>7</v>
      </c>
      <c r="O119" s="14">
        <v>7.6</v>
      </c>
      <c r="P119">
        <v>46</v>
      </c>
      <c r="Q119">
        <v>7</v>
      </c>
      <c r="R119">
        <v>3.9</v>
      </c>
      <c r="S119">
        <v>10</v>
      </c>
      <c r="T119">
        <v>9</v>
      </c>
      <c r="U119">
        <v>9.8000000000000007</v>
      </c>
      <c r="V119">
        <v>58</v>
      </c>
      <c r="W119">
        <v>8</v>
      </c>
      <c r="X119" s="14">
        <v>0</v>
      </c>
      <c r="Y119">
        <v>0</v>
      </c>
      <c r="Z119">
        <v>0</v>
      </c>
      <c r="AA119">
        <v>4</v>
      </c>
      <c r="AB119">
        <v>1</v>
      </c>
      <c r="AC119">
        <v>25</v>
      </c>
      <c r="AD119" s="21">
        <v>0.30769230769230771</v>
      </c>
      <c r="AE119" s="21">
        <v>0</v>
      </c>
      <c r="AF119">
        <v>25</v>
      </c>
      <c r="AG119">
        <v>3</v>
      </c>
      <c r="AH119">
        <v>39</v>
      </c>
      <c r="AI119">
        <v>19</v>
      </c>
      <c r="AJ119">
        <v>3</v>
      </c>
      <c r="AK119">
        <v>62</v>
      </c>
      <c r="AL119">
        <v>9</v>
      </c>
      <c r="AM119">
        <v>7</v>
      </c>
      <c r="AN119">
        <f t="shared" si="6"/>
        <v>224</v>
      </c>
      <c r="AO119">
        <v>150</v>
      </c>
      <c r="AP119">
        <v>68</v>
      </c>
      <c r="AQ119">
        <v>9</v>
      </c>
      <c r="AR119">
        <v>-3</v>
      </c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  <c r="BP119" s="37"/>
      <c r="BQ119" s="37"/>
      <c r="BR119" s="37"/>
      <c r="BS119" s="37"/>
      <c r="BT119" s="37"/>
      <c r="BU119" s="37"/>
      <c r="BV119" s="37"/>
      <c r="BW119" s="37"/>
      <c r="BX119" s="37"/>
      <c r="BY119" s="37"/>
      <c r="BZ119" s="37"/>
      <c r="CA119" s="37"/>
      <c r="CB119" s="37"/>
      <c r="CC119" s="37"/>
      <c r="CD119" s="37"/>
      <c r="CE119" s="37"/>
      <c r="CF119" s="37"/>
    </row>
    <row r="120" spans="1:84" x14ac:dyDescent="0.2">
      <c r="A120" s="39">
        <v>43737</v>
      </c>
      <c r="B120" s="26" t="s">
        <v>417</v>
      </c>
      <c r="C120" t="s">
        <v>307</v>
      </c>
      <c r="D120" s="27" t="s">
        <v>291</v>
      </c>
      <c r="E120">
        <f>7.52+1.6</f>
        <v>9.1199999999999992</v>
      </c>
      <c r="F120">
        <v>11.9</v>
      </c>
      <c r="G120">
        <v>69</v>
      </c>
      <c r="H120">
        <v>3</v>
      </c>
      <c r="I120">
        <v>3</v>
      </c>
      <c r="J120">
        <v>14</v>
      </c>
      <c r="K120">
        <v>1</v>
      </c>
      <c r="L120">
        <v>18.5</v>
      </c>
      <c r="M120">
        <v>95</v>
      </c>
      <c r="N120">
        <v>9</v>
      </c>
      <c r="O120">
        <v>4.9000000000000004</v>
      </c>
      <c r="P120">
        <v>19</v>
      </c>
      <c r="Q120">
        <v>5</v>
      </c>
      <c r="R120">
        <v>1</v>
      </c>
      <c r="S120">
        <v>0</v>
      </c>
      <c r="T120">
        <v>0</v>
      </c>
      <c r="U120">
        <v>10</v>
      </c>
      <c r="V120">
        <v>50</v>
      </c>
      <c r="W120">
        <v>6</v>
      </c>
      <c r="X120" s="14">
        <v>11</v>
      </c>
      <c r="Y120">
        <v>50</v>
      </c>
      <c r="Z120">
        <v>10</v>
      </c>
      <c r="AA120">
        <v>14</v>
      </c>
      <c r="AB120">
        <v>4</v>
      </c>
      <c r="AC120">
        <v>11</v>
      </c>
      <c r="AD120" s="21">
        <v>0.32432432432432434</v>
      </c>
      <c r="AE120" s="21">
        <v>0.13513513513513514</v>
      </c>
      <c r="AF120">
        <v>100</v>
      </c>
      <c r="AG120">
        <v>11</v>
      </c>
      <c r="AH120">
        <v>30</v>
      </c>
      <c r="AI120">
        <v>21</v>
      </c>
      <c r="AJ120">
        <v>5</v>
      </c>
      <c r="AK120">
        <v>62</v>
      </c>
      <c r="AL120">
        <v>12</v>
      </c>
      <c r="AM120">
        <v>0</v>
      </c>
      <c r="AN120">
        <f t="shared" si="6"/>
        <v>310</v>
      </c>
      <c r="AO120">
        <v>193</v>
      </c>
      <c r="AP120">
        <f>69+14</f>
        <v>83</v>
      </c>
      <c r="AQ120">
        <v>10</v>
      </c>
      <c r="AR120">
        <v>24</v>
      </c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  <c r="BP120" s="37"/>
      <c r="BQ120" s="37"/>
      <c r="BR120" s="37"/>
      <c r="BS120" s="37"/>
      <c r="BT120" s="37"/>
      <c r="BU120" s="37"/>
      <c r="BV120" s="37"/>
      <c r="BW120" s="37"/>
      <c r="BX120" s="37"/>
      <c r="BY120" s="37"/>
      <c r="BZ120" s="37"/>
      <c r="CA120" s="37"/>
      <c r="CB120" s="37"/>
      <c r="CC120" s="37"/>
      <c r="CD120" s="37"/>
      <c r="CE120" s="37"/>
      <c r="CF120" s="37"/>
    </row>
    <row r="121" spans="1:84" x14ac:dyDescent="0.2">
      <c r="A121" s="39">
        <v>43737</v>
      </c>
      <c r="B121" s="26" t="s">
        <v>417</v>
      </c>
      <c r="C121" t="s">
        <v>296</v>
      </c>
      <c r="D121" s="27" t="s">
        <v>306</v>
      </c>
      <c r="E121">
        <v>14.3</v>
      </c>
      <c r="F121">
        <v>28.8</v>
      </c>
      <c r="G121">
        <v>63</v>
      </c>
      <c r="H121">
        <v>7</v>
      </c>
      <c r="I121">
        <v>2.2999999999999998</v>
      </c>
      <c r="J121">
        <v>33</v>
      </c>
      <c r="K121">
        <v>0</v>
      </c>
      <c r="L121">
        <v>16.899999999999999</v>
      </c>
      <c r="M121">
        <v>76</v>
      </c>
      <c r="N121">
        <v>9</v>
      </c>
      <c r="O121">
        <v>3.3</v>
      </c>
      <c r="P121">
        <v>13</v>
      </c>
      <c r="Q121">
        <v>2</v>
      </c>
      <c r="R121">
        <v>1.3</v>
      </c>
      <c r="S121">
        <v>3</v>
      </c>
      <c r="T121">
        <v>2</v>
      </c>
      <c r="U121">
        <v>20</v>
      </c>
      <c r="V121">
        <v>110</v>
      </c>
      <c r="W121">
        <v>12</v>
      </c>
      <c r="X121" s="14">
        <f>9.4+5.4</f>
        <v>14.8</v>
      </c>
      <c r="Y121">
        <v>78</v>
      </c>
      <c r="Z121">
        <v>11</v>
      </c>
      <c r="AA121">
        <v>6</v>
      </c>
      <c r="AB121">
        <v>1</v>
      </c>
      <c r="AC121">
        <v>24</v>
      </c>
      <c r="AD121" s="21">
        <v>0.35294117647058826</v>
      </c>
      <c r="AE121" s="21">
        <v>0</v>
      </c>
      <c r="AF121">
        <v>63.6</v>
      </c>
      <c r="AG121">
        <v>9</v>
      </c>
      <c r="AH121">
        <v>31</v>
      </c>
      <c r="AI121">
        <v>31</v>
      </c>
      <c r="AJ121">
        <v>5</v>
      </c>
      <c r="AK121">
        <v>68</v>
      </c>
      <c r="AL121">
        <v>17</v>
      </c>
      <c r="AM121">
        <v>7</v>
      </c>
      <c r="AN121">
        <f t="shared" si="6"/>
        <v>389</v>
      </c>
      <c r="AO121">
        <v>225</v>
      </c>
      <c r="AP121">
        <f>63+33+12</f>
        <v>108</v>
      </c>
      <c r="AQ121">
        <v>23</v>
      </c>
      <c r="AR121">
        <v>33</v>
      </c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  <c r="BP121" s="37"/>
      <c r="BQ121" s="37"/>
      <c r="BR121" s="37"/>
      <c r="BS121" s="37"/>
      <c r="BT121" s="37"/>
      <c r="BU121" s="37"/>
      <c r="BV121" s="37"/>
      <c r="BW121" s="37"/>
      <c r="BX121" s="37"/>
      <c r="BY121" s="37"/>
      <c r="BZ121" s="37"/>
      <c r="CA121" s="37"/>
      <c r="CB121" s="37"/>
      <c r="CC121" s="37"/>
      <c r="CD121" s="37"/>
      <c r="CE121" s="37"/>
      <c r="CF121" s="37"/>
    </row>
    <row r="122" spans="1:84" x14ac:dyDescent="0.2">
      <c r="A122" s="39">
        <v>43737</v>
      </c>
      <c r="B122" s="26" t="s">
        <v>417</v>
      </c>
      <c r="C122" t="s">
        <v>294</v>
      </c>
      <c r="D122" s="27" t="s">
        <v>300</v>
      </c>
      <c r="E122">
        <v>19.7</v>
      </c>
      <c r="F122">
        <v>32.5</v>
      </c>
      <c r="G122">
        <v>87</v>
      </c>
      <c r="H122">
        <v>4</v>
      </c>
      <c r="I122">
        <v>7.2</v>
      </c>
      <c r="J122">
        <v>72</v>
      </c>
      <c r="K122">
        <v>0</v>
      </c>
      <c r="L122">
        <v>12.8</v>
      </c>
      <c r="M122">
        <v>38</v>
      </c>
      <c r="N122">
        <v>9</v>
      </c>
      <c r="O122">
        <v>0</v>
      </c>
      <c r="P122">
        <v>0</v>
      </c>
      <c r="Q122">
        <v>0</v>
      </c>
      <c r="R122">
        <v>2.2999999999999998</v>
      </c>
      <c r="S122">
        <v>13</v>
      </c>
      <c r="T122">
        <v>2</v>
      </c>
      <c r="U122">
        <v>21.1</v>
      </c>
      <c r="V122">
        <v>71</v>
      </c>
      <c r="W122">
        <v>10</v>
      </c>
      <c r="X122" s="14">
        <f>13.5+9.6</f>
        <v>23.1</v>
      </c>
      <c r="Y122">
        <v>81</v>
      </c>
      <c r="Z122">
        <v>11</v>
      </c>
      <c r="AA122">
        <v>4</v>
      </c>
      <c r="AB122">
        <v>0</v>
      </c>
      <c r="AC122">
        <v>5</v>
      </c>
      <c r="AD122" s="21">
        <v>0.34482758620689657</v>
      </c>
      <c r="AE122" s="21">
        <v>0</v>
      </c>
      <c r="AF122">
        <v>50</v>
      </c>
      <c r="AG122">
        <v>-1</v>
      </c>
      <c r="AH122">
        <v>27</v>
      </c>
      <c r="AI122">
        <v>27</v>
      </c>
      <c r="AJ122">
        <v>6</v>
      </c>
      <c r="AK122">
        <v>60</v>
      </c>
      <c r="AL122">
        <v>34</v>
      </c>
      <c r="AM122">
        <v>0</v>
      </c>
      <c r="AN122">
        <f t="shared" si="6"/>
        <v>336</v>
      </c>
      <c r="AO122">
        <v>160</v>
      </c>
      <c r="AP122">
        <f>87+72+4</f>
        <v>163</v>
      </c>
      <c r="AQ122">
        <v>0</v>
      </c>
      <c r="AR122">
        <v>13</v>
      </c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  <c r="BP122" s="37"/>
      <c r="BQ122" s="37"/>
      <c r="BR122" s="37"/>
      <c r="BS122" s="37"/>
      <c r="BT122" s="37"/>
      <c r="BU122" s="37"/>
      <c r="BV122" s="37"/>
      <c r="BW122" s="37"/>
      <c r="BX122" s="37"/>
      <c r="BY122" s="37"/>
      <c r="BZ122" s="37"/>
      <c r="CA122" s="37"/>
      <c r="CB122" s="37"/>
      <c r="CC122" s="37"/>
      <c r="CD122" s="37"/>
      <c r="CE122" s="37"/>
      <c r="CF122" s="37"/>
    </row>
    <row r="123" spans="1:84" x14ac:dyDescent="0.2">
      <c r="A123" s="39">
        <v>43737</v>
      </c>
      <c r="B123" s="26" t="s">
        <v>417</v>
      </c>
      <c r="C123" t="s">
        <v>309</v>
      </c>
      <c r="D123" s="27" t="s">
        <v>272</v>
      </c>
      <c r="E123">
        <v>16.86</v>
      </c>
      <c r="F123">
        <v>26.5</v>
      </c>
      <c r="G123">
        <v>42</v>
      </c>
      <c r="H123">
        <v>8</v>
      </c>
      <c r="I123">
        <v>23.54</v>
      </c>
      <c r="J123">
        <v>26</v>
      </c>
      <c r="K123">
        <v>8</v>
      </c>
      <c r="L123">
        <v>4.5</v>
      </c>
      <c r="M123">
        <v>15</v>
      </c>
      <c r="N123">
        <v>4</v>
      </c>
      <c r="O123">
        <v>18.7</v>
      </c>
      <c r="P123">
        <v>77</v>
      </c>
      <c r="Q123">
        <v>6</v>
      </c>
      <c r="R123">
        <v>0</v>
      </c>
      <c r="S123">
        <v>0</v>
      </c>
      <c r="T123">
        <v>0</v>
      </c>
      <c r="U123">
        <v>19.8</v>
      </c>
      <c r="V123">
        <v>88</v>
      </c>
      <c r="W123">
        <v>12</v>
      </c>
      <c r="X123" s="14">
        <v>4.8</v>
      </c>
      <c r="Y123">
        <v>28</v>
      </c>
      <c r="Z123">
        <v>2</v>
      </c>
      <c r="AA123">
        <v>10</v>
      </c>
      <c r="AB123">
        <v>2</v>
      </c>
      <c r="AC123">
        <v>19</v>
      </c>
      <c r="AD123" s="21">
        <v>0.25</v>
      </c>
      <c r="AE123" s="21">
        <v>0</v>
      </c>
      <c r="AF123">
        <v>85.7</v>
      </c>
      <c r="AG123">
        <v>2</v>
      </c>
      <c r="AH123">
        <v>28</v>
      </c>
      <c r="AI123">
        <v>22</v>
      </c>
      <c r="AJ123">
        <v>3</v>
      </c>
      <c r="AK123">
        <v>56</v>
      </c>
      <c r="AL123">
        <v>27</v>
      </c>
      <c r="AM123">
        <v>0</v>
      </c>
      <c r="AN123">
        <f t="shared" si="6"/>
        <v>295</v>
      </c>
      <c r="AO123">
        <v>229</v>
      </c>
      <c r="AP123">
        <f>42+26+1</f>
        <v>69</v>
      </c>
      <c r="AQ123">
        <v>0</v>
      </c>
      <c r="AR123">
        <v>-3</v>
      </c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  <c r="BP123" s="37"/>
      <c r="BQ123" s="37"/>
      <c r="BR123" s="37"/>
      <c r="BS123" s="37"/>
      <c r="BT123" s="37"/>
      <c r="BU123" s="37"/>
      <c r="BV123" s="37"/>
      <c r="BW123" s="37"/>
      <c r="BX123" s="37"/>
      <c r="BY123" s="37"/>
      <c r="BZ123" s="37"/>
      <c r="CA123" s="37"/>
      <c r="CB123" s="37"/>
      <c r="CC123" s="37"/>
      <c r="CD123" s="37"/>
      <c r="CE123" s="37"/>
      <c r="CF123" s="37"/>
    </row>
    <row r="124" spans="1:84" x14ac:dyDescent="0.2">
      <c r="A124" s="39">
        <v>43737</v>
      </c>
      <c r="B124" s="26" t="s">
        <v>417</v>
      </c>
      <c r="C124" t="s">
        <v>308</v>
      </c>
      <c r="D124" s="27" t="s">
        <v>285</v>
      </c>
      <c r="E124">
        <v>14.3</v>
      </c>
      <c r="F124">
        <v>21.5</v>
      </c>
      <c r="G124">
        <v>104</v>
      </c>
      <c r="H124">
        <v>4</v>
      </c>
      <c r="I124">
        <v>6.4</v>
      </c>
      <c r="J124">
        <v>4</v>
      </c>
      <c r="K124">
        <v>0</v>
      </c>
      <c r="L124">
        <v>9.1</v>
      </c>
      <c r="M124">
        <v>51</v>
      </c>
      <c r="N124">
        <v>4</v>
      </c>
      <c r="O124">
        <v>1.6</v>
      </c>
      <c r="P124">
        <v>6</v>
      </c>
      <c r="Q124">
        <v>4</v>
      </c>
      <c r="R124" s="14">
        <v>8</v>
      </c>
      <c r="S124">
        <v>50</v>
      </c>
      <c r="T124">
        <v>3</v>
      </c>
      <c r="U124">
        <v>17.299999999999997</v>
      </c>
      <c r="V124">
        <v>103</v>
      </c>
      <c r="W124">
        <v>9</v>
      </c>
      <c r="X124" s="14">
        <f>18.7+4.6</f>
        <v>23.299999999999997</v>
      </c>
      <c r="Y124">
        <f>57+26</f>
        <v>83</v>
      </c>
      <c r="Z124">
        <v>10</v>
      </c>
      <c r="AA124">
        <v>9</v>
      </c>
      <c r="AB124">
        <v>2</v>
      </c>
      <c r="AC124">
        <v>16</v>
      </c>
      <c r="AD124" s="21">
        <v>0.47058823529411764</v>
      </c>
      <c r="AE124" s="21">
        <v>0.11764705882352941</v>
      </c>
      <c r="AF124">
        <v>77.8</v>
      </c>
      <c r="AG124">
        <v>4</v>
      </c>
      <c r="AH124">
        <v>28</v>
      </c>
      <c r="AI124">
        <v>25</v>
      </c>
      <c r="AJ124">
        <v>2</v>
      </c>
      <c r="AK124">
        <v>59</v>
      </c>
      <c r="AL124">
        <v>20</v>
      </c>
      <c r="AM124">
        <v>7</v>
      </c>
      <c r="AN124">
        <f t="shared" si="6"/>
        <v>355</v>
      </c>
      <c r="AO124">
        <v>240</v>
      </c>
      <c r="AP124">
        <v>108</v>
      </c>
      <c r="AQ124">
        <v>0</v>
      </c>
      <c r="AR124">
        <v>7</v>
      </c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  <c r="BP124" s="37"/>
      <c r="BQ124" s="37"/>
      <c r="BR124" s="37"/>
      <c r="BS124" s="37"/>
      <c r="BT124" s="37"/>
      <c r="BU124" s="37"/>
      <c r="BV124" s="37"/>
      <c r="BW124" s="37"/>
      <c r="BX124" s="37"/>
      <c r="BY124" s="37"/>
      <c r="BZ124" s="37"/>
      <c r="CA124" s="37"/>
      <c r="CB124" s="37"/>
      <c r="CC124" s="37"/>
      <c r="CD124" s="37"/>
      <c r="CE124" s="37"/>
      <c r="CF124" s="37"/>
    </row>
    <row r="125" spans="1:84" x14ac:dyDescent="0.2">
      <c r="A125" s="39">
        <v>43737</v>
      </c>
      <c r="B125" s="26" t="s">
        <v>417</v>
      </c>
      <c r="C125" t="s">
        <v>284</v>
      </c>
      <c r="D125" s="27" t="s">
        <v>304</v>
      </c>
      <c r="E125">
        <v>33.299999999999997</v>
      </c>
      <c r="F125">
        <v>15.2</v>
      </c>
      <c r="G125">
        <v>70</v>
      </c>
      <c r="H125">
        <v>1</v>
      </c>
      <c r="I125">
        <v>7.9</v>
      </c>
      <c r="J125">
        <v>19</v>
      </c>
      <c r="K125">
        <v>1</v>
      </c>
      <c r="L125">
        <v>18.899999999999999</v>
      </c>
      <c r="M125">
        <v>89</v>
      </c>
      <c r="N125">
        <v>7</v>
      </c>
      <c r="O125">
        <v>44.2</v>
      </c>
      <c r="P125">
        <v>172</v>
      </c>
      <c r="Q125">
        <v>14</v>
      </c>
      <c r="R125">
        <v>2.4</v>
      </c>
      <c r="S125">
        <v>14</v>
      </c>
      <c r="T125">
        <v>4</v>
      </c>
      <c r="U125">
        <v>32.200000000000003</v>
      </c>
      <c r="V125">
        <v>152</v>
      </c>
      <c r="W125">
        <v>13</v>
      </c>
      <c r="X125" s="14">
        <v>18.899999999999999</v>
      </c>
      <c r="Y125">
        <v>69</v>
      </c>
      <c r="Z125">
        <v>6</v>
      </c>
      <c r="AA125">
        <v>15</v>
      </c>
      <c r="AB125">
        <v>2</v>
      </c>
      <c r="AC125">
        <v>15</v>
      </c>
      <c r="AD125" s="21">
        <v>0.32558139534883723</v>
      </c>
      <c r="AE125" s="21">
        <v>4.6511627906976744E-2</v>
      </c>
      <c r="AF125">
        <v>77.8</v>
      </c>
      <c r="AG125">
        <v>6</v>
      </c>
      <c r="AH125">
        <v>41</v>
      </c>
      <c r="AI125">
        <v>29</v>
      </c>
      <c r="AJ125">
        <v>1</v>
      </c>
      <c r="AK125">
        <v>73</v>
      </c>
      <c r="AL125">
        <v>48</v>
      </c>
      <c r="AM125">
        <v>7</v>
      </c>
      <c r="AN125">
        <f>AO125+AP125+AQ125+AR125</f>
        <v>473</v>
      </c>
      <c r="AO125">
        <v>385</v>
      </c>
      <c r="AP125">
        <v>89</v>
      </c>
      <c r="AQ125">
        <v>0</v>
      </c>
      <c r="AR125">
        <v>-1</v>
      </c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  <c r="BP125" s="37"/>
      <c r="BQ125" s="37"/>
      <c r="BR125" s="37"/>
      <c r="BS125" s="37"/>
      <c r="BT125" s="37"/>
      <c r="BU125" s="37"/>
      <c r="BV125" s="37"/>
      <c r="BW125" s="37"/>
      <c r="BX125" s="37"/>
      <c r="BY125" s="37"/>
      <c r="BZ125" s="37"/>
      <c r="CA125" s="37"/>
      <c r="CB125" s="37"/>
      <c r="CC125" s="37"/>
      <c r="CD125" s="37"/>
      <c r="CE125" s="37"/>
      <c r="CF125" s="37"/>
    </row>
    <row r="126" spans="1:84" x14ac:dyDescent="0.2">
      <c r="A126" s="39">
        <v>43737</v>
      </c>
      <c r="B126" s="26" t="s">
        <v>417</v>
      </c>
      <c r="C126" t="s">
        <v>310</v>
      </c>
      <c r="D126" s="27" t="s">
        <v>295</v>
      </c>
      <c r="E126">
        <v>23.28</v>
      </c>
      <c r="F126">
        <v>14.8</v>
      </c>
      <c r="G126">
        <v>100</v>
      </c>
      <c r="H126">
        <v>2</v>
      </c>
      <c r="I126">
        <v>6</v>
      </c>
      <c r="J126">
        <v>16</v>
      </c>
      <c r="K126">
        <v>5</v>
      </c>
      <c r="L126">
        <v>20.100000000000001</v>
      </c>
      <c r="M126">
        <v>91</v>
      </c>
      <c r="N126">
        <v>6</v>
      </c>
      <c r="O126">
        <v>24.4</v>
      </c>
      <c r="P126">
        <v>94</v>
      </c>
      <c r="Q126">
        <v>3</v>
      </c>
      <c r="R126" s="14">
        <v>3.5</v>
      </c>
      <c r="S126">
        <v>15</v>
      </c>
      <c r="T126">
        <v>3</v>
      </c>
      <c r="U126">
        <v>10.8</v>
      </c>
      <c r="V126">
        <v>48</v>
      </c>
      <c r="W126">
        <v>9</v>
      </c>
      <c r="X126" s="14">
        <v>2.9</v>
      </c>
      <c r="Y126">
        <v>9</v>
      </c>
      <c r="Z126">
        <v>3</v>
      </c>
      <c r="AA126">
        <v>7</v>
      </c>
      <c r="AB126">
        <v>1</v>
      </c>
      <c r="AC126">
        <v>11</v>
      </c>
      <c r="AD126" s="21">
        <v>0.34482758620689657</v>
      </c>
      <c r="AE126" s="21">
        <v>0</v>
      </c>
      <c r="AF126">
        <v>66.7</v>
      </c>
      <c r="AG126">
        <v>0</v>
      </c>
      <c r="AH126">
        <v>27</v>
      </c>
      <c r="AI126">
        <v>31</v>
      </c>
      <c r="AJ126">
        <v>3</v>
      </c>
      <c r="AK126">
        <v>61</v>
      </c>
      <c r="AL126">
        <v>24</v>
      </c>
      <c r="AM126">
        <v>0</v>
      </c>
      <c r="AN126">
        <f t="shared" ref="AN126:AN132" si="7">SUM(AO126:AR126)</f>
        <v>365</v>
      </c>
      <c r="AO126">
        <v>227</v>
      </c>
      <c r="AP126">
        <v>116</v>
      </c>
      <c r="AQ126">
        <v>0</v>
      </c>
      <c r="AR126">
        <v>22</v>
      </c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  <c r="BP126" s="37"/>
      <c r="BQ126" s="37"/>
      <c r="BR126" s="37"/>
      <c r="BS126" s="37"/>
      <c r="BT126" s="37"/>
      <c r="BU126" s="37"/>
      <c r="BV126" s="37"/>
      <c r="BW126" s="37"/>
      <c r="BX126" s="37"/>
      <c r="BY126" s="37"/>
      <c r="BZ126" s="37"/>
      <c r="CA126" s="37"/>
      <c r="CB126" s="37"/>
      <c r="CC126" s="37"/>
      <c r="CD126" s="37"/>
      <c r="CE126" s="37"/>
      <c r="CF126" s="37"/>
    </row>
    <row r="127" spans="1:84" x14ac:dyDescent="0.2">
      <c r="A127" s="39">
        <v>43737</v>
      </c>
      <c r="B127" s="26" t="s">
        <v>417</v>
      </c>
      <c r="C127" t="s">
        <v>306</v>
      </c>
      <c r="D127" s="27" t="s">
        <v>296</v>
      </c>
      <c r="E127">
        <f>3.58+0.48</f>
        <v>4.0600000000000005</v>
      </c>
      <c r="F127">
        <v>2.8</v>
      </c>
      <c r="G127">
        <v>28</v>
      </c>
      <c r="H127">
        <v>0</v>
      </c>
      <c r="I127">
        <v>10</v>
      </c>
      <c r="J127">
        <v>4</v>
      </c>
      <c r="K127">
        <v>5</v>
      </c>
      <c r="L127">
        <v>4.4000000000000004</v>
      </c>
      <c r="M127">
        <v>15</v>
      </c>
      <c r="N127">
        <v>5</v>
      </c>
      <c r="O127" s="14">
        <v>3</v>
      </c>
      <c r="P127">
        <v>10</v>
      </c>
      <c r="Q127">
        <v>4</v>
      </c>
      <c r="R127">
        <v>3.4</v>
      </c>
      <c r="S127">
        <v>14</v>
      </c>
      <c r="T127">
        <v>2</v>
      </c>
      <c r="U127">
        <v>3</v>
      </c>
      <c r="V127">
        <v>10</v>
      </c>
      <c r="W127">
        <v>6</v>
      </c>
      <c r="X127" s="14">
        <v>4.5</v>
      </c>
      <c r="Y127">
        <v>25</v>
      </c>
      <c r="Z127">
        <v>7</v>
      </c>
      <c r="AA127">
        <v>3</v>
      </c>
      <c r="AB127">
        <v>1</v>
      </c>
      <c r="AC127">
        <v>9</v>
      </c>
      <c r="AD127" s="21">
        <v>0.30303030303030304</v>
      </c>
      <c r="AE127" s="21">
        <v>9.0909090909090912E-2</v>
      </c>
      <c r="AF127">
        <v>0</v>
      </c>
      <c r="AG127">
        <v>24</v>
      </c>
      <c r="AH127">
        <v>28</v>
      </c>
      <c r="AI127">
        <v>15</v>
      </c>
      <c r="AJ127">
        <v>2</v>
      </c>
      <c r="AK127">
        <v>48</v>
      </c>
      <c r="AL127">
        <v>3</v>
      </c>
      <c r="AM127">
        <v>0</v>
      </c>
      <c r="AN127">
        <f t="shared" si="7"/>
        <v>199</v>
      </c>
      <c r="AO127">
        <f>107+37</f>
        <v>144</v>
      </c>
      <c r="AP127">
        <v>32</v>
      </c>
      <c r="AQ127">
        <v>0</v>
      </c>
      <c r="AR127">
        <v>23</v>
      </c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  <c r="BP127" s="37"/>
      <c r="BQ127" s="37"/>
      <c r="BR127" s="37"/>
      <c r="BS127" s="37"/>
      <c r="BT127" s="37"/>
      <c r="BU127" s="37"/>
      <c r="BV127" s="37"/>
      <c r="BW127" s="37"/>
      <c r="BX127" s="37"/>
      <c r="BY127" s="37"/>
      <c r="BZ127" s="37"/>
      <c r="CA127" s="37"/>
      <c r="CB127" s="37"/>
      <c r="CC127" s="37"/>
      <c r="CD127" s="37"/>
      <c r="CE127" s="37"/>
      <c r="CF127" s="37"/>
    </row>
    <row r="128" spans="1:84" x14ac:dyDescent="0.2">
      <c r="A128" s="39">
        <v>43744</v>
      </c>
      <c r="B128" s="22" t="s">
        <v>381</v>
      </c>
      <c r="C128" t="s">
        <v>285</v>
      </c>
      <c r="D128" s="22" t="s">
        <v>272</v>
      </c>
      <c r="E128">
        <v>25.42</v>
      </c>
      <c r="F128">
        <v>18.600000000000001</v>
      </c>
      <c r="G128">
        <v>91</v>
      </c>
      <c r="H128">
        <v>5</v>
      </c>
      <c r="I128">
        <v>17.600000000000001</v>
      </c>
      <c r="J128">
        <v>68</v>
      </c>
      <c r="K128">
        <v>4</v>
      </c>
      <c r="L128">
        <v>11.8</v>
      </c>
      <c r="M128">
        <v>58</v>
      </c>
      <c r="N128">
        <v>8</v>
      </c>
      <c r="O128">
        <v>5.5</v>
      </c>
      <c r="P128">
        <v>22</v>
      </c>
      <c r="Q128">
        <v>7</v>
      </c>
      <c r="R128">
        <v>5.3</v>
      </c>
      <c r="S128">
        <v>33</v>
      </c>
      <c r="T128">
        <v>2</v>
      </c>
      <c r="U128">
        <v>27.5</v>
      </c>
      <c r="V128">
        <v>155</v>
      </c>
      <c r="W128">
        <v>14</v>
      </c>
      <c r="X128">
        <f>3.7+1.7</f>
        <v>5.4</v>
      </c>
      <c r="Y128">
        <v>34</v>
      </c>
      <c r="Z128">
        <v>2</v>
      </c>
      <c r="AA128">
        <v>14</v>
      </c>
      <c r="AB128">
        <v>5</v>
      </c>
      <c r="AC128">
        <v>1</v>
      </c>
      <c r="AD128" s="21">
        <v>0.22222222222222221</v>
      </c>
      <c r="AE128" s="21">
        <v>2.7777777777777776E-2</v>
      </c>
      <c r="AF128">
        <v>25</v>
      </c>
      <c r="AG128">
        <v>1</v>
      </c>
      <c r="AH128">
        <v>32</v>
      </c>
      <c r="AI128">
        <v>25</v>
      </c>
      <c r="AJ128">
        <v>10</v>
      </c>
      <c r="AK128">
        <v>71</v>
      </c>
      <c r="AL128">
        <v>26</v>
      </c>
      <c r="AM128">
        <v>0</v>
      </c>
      <c r="AN128">
        <f t="shared" si="7"/>
        <v>519</v>
      </c>
      <c r="AO128">
        <v>253</v>
      </c>
      <c r="AP128">
        <f>91+68</f>
        <v>159</v>
      </c>
      <c r="AQ128">
        <v>14</v>
      </c>
      <c r="AR128">
        <v>93</v>
      </c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  <c r="BP128" s="37"/>
      <c r="BQ128" s="37"/>
      <c r="BR128" s="37"/>
      <c r="BS128" s="37"/>
      <c r="BT128" s="37"/>
      <c r="BU128" s="37"/>
      <c r="BV128" s="37"/>
      <c r="BW128" s="37"/>
      <c r="BX128" s="37"/>
      <c r="BY128" s="37"/>
      <c r="BZ128" s="37"/>
      <c r="CA128" s="37"/>
      <c r="CB128" s="37"/>
      <c r="CC128" s="37"/>
      <c r="CD128" s="37"/>
      <c r="CE128" s="37"/>
      <c r="CF128" s="37"/>
    </row>
    <row r="129" spans="1:84" x14ac:dyDescent="0.2">
      <c r="A129" s="39">
        <v>43744</v>
      </c>
      <c r="B129" s="22" t="s">
        <v>381</v>
      </c>
      <c r="C129" t="s">
        <v>295</v>
      </c>
      <c r="D129" s="22" t="s">
        <v>311</v>
      </c>
      <c r="E129">
        <v>35.9</v>
      </c>
      <c r="F129">
        <v>18</v>
      </c>
      <c r="G129">
        <v>30</v>
      </c>
      <c r="H129">
        <v>5</v>
      </c>
      <c r="I129">
        <v>12.4</v>
      </c>
      <c r="J129">
        <v>19</v>
      </c>
      <c r="K129">
        <v>6</v>
      </c>
      <c r="L129">
        <v>7.2</v>
      </c>
      <c r="M129">
        <v>42</v>
      </c>
      <c r="N129">
        <v>7</v>
      </c>
      <c r="O129">
        <v>19.8</v>
      </c>
      <c r="P129">
        <v>88</v>
      </c>
      <c r="Q129">
        <v>9</v>
      </c>
      <c r="R129" s="14">
        <v>15.3</v>
      </c>
      <c r="S129">
        <v>42</v>
      </c>
      <c r="T129">
        <v>5</v>
      </c>
      <c r="U129">
        <v>25.400000000000002</v>
      </c>
      <c r="V129">
        <v>94</v>
      </c>
      <c r="W129">
        <v>12</v>
      </c>
      <c r="X129">
        <v>13.6</v>
      </c>
      <c r="Y129">
        <v>56</v>
      </c>
      <c r="Z129">
        <v>9</v>
      </c>
      <c r="AA129">
        <v>6</v>
      </c>
      <c r="AB129">
        <v>1</v>
      </c>
      <c r="AC129">
        <v>-2</v>
      </c>
      <c r="AD129" s="21">
        <v>0.44897959183673469</v>
      </c>
      <c r="AE129" s="21">
        <v>4.0816326530612242E-2</v>
      </c>
      <c r="AF129">
        <v>81.3</v>
      </c>
      <c r="AG129">
        <v>9</v>
      </c>
      <c r="AH129">
        <v>46</v>
      </c>
      <c r="AI129">
        <v>16</v>
      </c>
      <c r="AJ129">
        <v>3</v>
      </c>
      <c r="AK129">
        <v>68</v>
      </c>
      <c r="AL129">
        <v>32</v>
      </c>
      <c r="AM129">
        <v>0</v>
      </c>
      <c r="AN129">
        <f t="shared" si="7"/>
        <v>387</v>
      </c>
      <c r="AO129">
        <v>330</v>
      </c>
      <c r="AP129">
        <v>49</v>
      </c>
      <c r="AQ129">
        <v>1</v>
      </c>
      <c r="AR129">
        <v>7</v>
      </c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  <c r="BP129" s="37"/>
      <c r="BQ129" s="37"/>
      <c r="BR129" s="37"/>
      <c r="BS129" s="37"/>
      <c r="BT129" s="37"/>
      <c r="BU129" s="37"/>
      <c r="BV129" s="37"/>
      <c r="BW129" s="37"/>
      <c r="BX129" s="37"/>
      <c r="BY129" s="37"/>
      <c r="BZ129" s="37"/>
      <c r="CA129" s="37"/>
      <c r="CB129" s="37"/>
      <c r="CC129" s="37"/>
      <c r="CD129" s="37"/>
      <c r="CE129" s="37"/>
      <c r="CF129" s="37"/>
    </row>
    <row r="130" spans="1:84" x14ac:dyDescent="0.2">
      <c r="A130" s="39">
        <v>43744</v>
      </c>
      <c r="B130" s="22" t="s">
        <v>381</v>
      </c>
      <c r="C130" s="41" t="s">
        <v>305</v>
      </c>
      <c r="D130" s="22" t="s">
        <v>309</v>
      </c>
      <c r="E130">
        <v>14.44</v>
      </c>
      <c r="F130">
        <v>12.9</v>
      </c>
      <c r="G130">
        <v>44</v>
      </c>
      <c r="H130">
        <v>2</v>
      </c>
      <c r="I130">
        <v>3.3</v>
      </c>
      <c r="J130">
        <v>17</v>
      </c>
      <c r="K130">
        <v>1</v>
      </c>
      <c r="L130">
        <v>11.2</v>
      </c>
      <c r="M130">
        <v>22</v>
      </c>
      <c r="N130">
        <v>5</v>
      </c>
      <c r="O130">
        <v>9.1</v>
      </c>
      <c r="P130">
        <v>51</v>
      </c>
      <c r="Q130">
        <v>5</v>
      </c>
      <c r="R130" s="14">
        <v>0</v>
      </c>
      <c r="S130">
        <v>0</v>
      </c>
      <c r="T130">
        <v>0</v>
      </c>
      <c r="U130">
        <v>23.9</v>
      </c>
      <c r="V130">
        <v>79</v>
      </c>
      <c r="W130">
        <v>16</v>
      </c>
      <c r="X130">
        <f>9.5+7.2</f>
        <v>16.7</v>
      </c>
      <c r="Y130">
        <f>45+32</f>
        <v>77</v>
      </c>
      <c r="Z130">
        <v>13</v>
      </c>
      <c r="AA130">
        <v>16</v>
      </c>
      <c r="AB130">
        <v>4</v>
      </c>
      <c r="AC130">
        <v>5</v>
      </c>
      <c r="AD130" s="21">
        <v>0.375</v>
      </c>
      <c r="AE130" s="21">
        <v>0.125</v>
      </c>
      <c r="AF130">
        <v>42.9</v>
      </c>
      <c r="AG130">
        <v>11</v>
      </c>
      <c r="AH130">
        <v>28</v>
      </c>
      <c r="AI130">
        <v>26</v>
      </c>
      <c r="AJ130">
        <v>14</v>
      </c>
      <c r="AK130">
        <v>73</v>
      </c>
      <c r="AL130">
        <v>26</v>
      </c>
      <c r="AM130">
        <v>0</v>
      </c>
      <c r="AN130">
        <f t="shared" si="7"/>
        <v>299</v>
      </c>
      <c r="AO130">
        <v>161</v>
      </c>
      <c r="AP130">
        <f>44+17+7</f>
        <v>68</v>
      </c>
      <c r="AQ130">
        <v>0</v>
      </c>
      <c r="AR130">
        <v>70</v>
      </c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  <c r="BP130" s="37"/>
      <c r="BQ130" s="37"/>
      <c r="BR130" s="37"/>
      <c r="BS130" s="37"/>
      <c r="BT130" s="37"/>
      <c r="BU130" s="37"/>
      <c r="BV130" s="37"/>
      <c r="BW130" s="37"/>
      <c r="BX130" s="37"/>
      <c r="BY130" s="37"/>
      <c r="BZ130" s="37"/>
      <c r="CA130" s="37"/>
      <c r="CB130" s="37"/>
      <c r="CC130" s="37"/>
      <c r="CD130" s="37"/>
      <c r="CE130" s="37"/>
      <c r="CF130" s="37"/>
    </row>
    <row r="131" spans="1:84" x14ac:dyDescent="0.2">
      <c r="A131" s="39">
        <v>43744</v>
      </c>
      <c r="B131" s="22" t="s">
        <v>381</v>
      </c>
      <c r="C131" t="s">
        <v>276</v>
      </c>
      <c r="D131" s="22" t="s">
        <v>310</v>
      </c>
      <c r="E131">
        <v>18.46</v>
      </c>
      <c r="F131">
        <v>8.9</v>
      </c>
      <c r="G131">
        <v>60</v>
      </c>
      <c r="H131">
        <v>2</v>
      </c>
      <c r="I131">
        <v>6.8</v>
      </c>
      <c r="J131">
        <v>15</v>
      </c>
      <c r="K131">
        <v>5</v>
      </c>
      <c r="L131">
        <v>12.5</v>
      </c>
      <c r="M131">
        <v>75</v>
      </c>
      <c r="N131">
        <v>5</v>
      </c>
      <c r="O131">
        <v>5.0999999999999996</v>
      </c>
      <c r="P131">
        <v>21</v>
      </c>
      <c r="Q131">
        <v>3</v>
      </c>
      <c r="R131" s="14">
        <v>7.2</v>
      </c>
      <c r="S131">
        <v>52</v>
      </c>
      <c r="T131">
        <v>2</v>
      </c>
      <c r="U131">
        <v>15.799999999999999</v>
      </c>
      <c r="V131">
        <v>88</v>
      </c>
      <c r="W131">
        <v>8</v>
      </c>
      <c r="X131">
        <f>7.8+3.2</f>
        <v>11</v>
      </c>
      <c r="Y131">
        <v>20</v>
      </c>
      <c r="Z131">
        <v>6</v>
      </c>
      <c r="AA131">
        <v>2</v>
      </c>
      <c r="AB131">
        <v>0</v>
      </c>
      <c r="AC131">
        <v>11</v>
      </c>
      <c r="AD131" s="21">
        <v>0.34146341463414637</v>
      </c>
      <c r="AE131" s="21">
        <v>9.7560975609756101E-2</v>
      </c>
      <c r="AF131">
        <v>60</v>
      </c>
      <c r="AG131">
        <v>7</v>
      </c>
      <c r="AH131">
        <v>32</v>
      </c>
      <c r="AI131">
        <v>16</v>
      </c>
      <c r="AJ131">
        <v>10</v>
      </c>
      <c r="AK131">
        <v>63</v>
      </c>
      <c r="AL131">
        <v>14</v>
      </c>
      <c r="AM131">
        <v>0</v>
      </c>
      <c r="AN131">
        <f t="shared" si="7"/>
        <v>328</v>
      </c>
      <c r="AO131">
        <v>219</v>
      </c>
      <c r="AP131">
        <v>75</v>
      </c>
      <c r="AQ131">
        <v>7</v>
      </c>
      <c r="AR131">
        <v>27</v>
      </c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  <c r="BP131" s="37"/>
      <c r="BQ131" s="37"/>
      <c r="BR131" s="37"/>
      <c r="BS131" s="37"/>
      <c r="BT131" s="37"/>
      <c r="BU131" s="37"/>
      <c r="BV131" s="37"/>
      <c r="BW131" s="37"/>
      <c r="BX131" s="37"/>
      <c r="BY131" s="37"/>
      <c r="BZ131" s="37"/>
      <c r="CA131" s="37"/>
      <c r="CB131" s="37"/>
      <c r="CC131" s="37"/>
      <c r="CD131" s="37"/>
      <c r="CE131" s="37"/>
      <c r="CF131" s="37"/>
    </row>
    <row r="132" spans="1:84" x14ac:dyDescent="0.2">
      <c r="A132" s="39">
        <v>43744</v>
      </c>
      <c r="B132" s="26" t="s">
        <v>381</v>
      </c>
      <c r="C132" t="s">
        <v>301</v>
      </c>
      <c r="D132" s="26" t="s">
        <v>297</v>
      </c>
      <c r="E132">
        <v>11.64</v>
      </c>
      <c r="F132">
        <v>50.7</v>
      </c>
      <c r="G132">
        <v>176</v>
      </c>
      <c r="H132">
        <v>9</v>
      </c>
      <c r="I132">
        <v>14</v>
      </c>
      <c r="J132">
        <v>80</v>
      </c>
      <c r="K132">
        <v>1</v>
      </c>
      <c r="L132">
        <v>15.1</v>
      </c>
      <c r="M132">
        <v>91</v>
      </c>
      <c r="N132">
        <v>8</v>
      </c>
      <c r="O132">
        <v>7.4</v>
      </c>
      <c r="P132">
        <v>19</v>
      </c>
      <c r="Q132">
        <v>6</v>
      </c>
      <c r="R132">
        <v>1.6</v>
      </c>
      <c r="S132">
        <v>6</v>
      </c>
      <c r="T132">
        <v>3</v>
      </c>
      <c r="U132">
        <v>13.8</v>
      </c>
      <c r="V132">
        <v>38</v>
      </c>
      <c r="W132">
        <v>8</v>
      </c>
      <c r="X132">
        <v>0</v>
      </c>
      <c r="Y132">
        <v>0</v>
      </c>
      <c r="Z132">
        <v>2</v>
      </c>
      <c r="AA132">
        <v>4</v>
      </c>
      <c r="AB132">
        <v>2</v>
      </c>
      <c r="AC132">
        <v>14</v>
      </c>
      <c r="AD132" s="21">
        <v>0.26470588235294118</v>
      </c>
      <c r="AE132" s="21">
        <v>8.8235294117647065E-2</v>
      </c>
      <c r="AF132">
        <v>60</v>
      </c>
      <c r="AG132">
        <v>4</v>
      </c>
      <c r="AH132">
        <v>30</v>
      </c>
      <c r="AI132">
        <v>24</v>
      </c>
      <c r="AJ132">
        <v>1</v>
      </c>
      <c r="AK132">
        <v>61</v>
      </c>
      <c r="AL132">
        <v>27</v>
      </c>
      <c r="AM132">
        <v>7</v>
      </c>
      <c r="AN132">
        <f t="shared" si="7"/>
        <v>466</v>
      </c>
      <c r="AO132">
        <v>181</v>
      </c>
      <c r="AP132">
        <f>176+80</f>
        <v>256</v>
      </c>
      <c r="AQ132">
        <v>25</v>
      </c>
      <c r="AR132">
        <v>4</v>
      </c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  <c r="BP132" s="37"/>
      <c r="BQ132" s="37"/>
      <c r="BR132" s="37"/>
      <c r="BS132" s="37"/>
      <c r="BT132" s="37"/>
      <c r="BU132" s="37"/>
      <c r="BV132" s="37"/>
      <c r="BW132" s="37"/>
      <c r="BX132" s="37"/>
      <c r="BY132" s="37"/>
      <c r="BZ132" s="37"/>
      <c r="CA132" s="37"/>
      <c r="CB132" s="37"/>
      <c r="CC132" s="37"/>
      <c r="CD132" s="37"/>
      <c r="CE132" s="37"/>
      <c r="CF132" s="37"/>
    </row>
    <row r="133" spans="1:84" x14ac:dyDescent="0.2">
      <c r="A133" s="39">
        <v>43744</v>
      </c>
      <c r="B133" s="22" t="s">
        <v>381</v>
      </c>
      <c r="C133" t="s">
        <v>265</v>
      </c>
      <c r="D133" s="22" t="s">
        <v>303</v>
      </c>
      <c r="E133">
        <v>15.44</v>
      </c>
      <c r="F133">
        <v>10.6</v>
      </c>
      <c r="G133">
        <v>25</v>
      </c>
      <c r="H133">
        <v>1</v>
      </c>
      <c r="I133">
        <v>10.9</v>
      </c>
      <c r="J133">
        <v>10</v>
      </c>
      <c r="K133">
        <v>7</v>
      </c>
      <c r="L133">
        <v>28.7</v>
      </c>
      <c r="M133">
        <v>97</v>
      </c>
      <c r="N133">
        <v>8</v>
      </c>
      <c r="O133">
        <v>9.1999999999999993</v>
      </c>
      <c r="P133">
        <v>52</v>
      </c>
      <c r="Q133">
        <v>7</v>
      </c>
      <c r="R133">
        <v>0</v>
      </c>
      <c r="S133">
        <v>0</v>
      </c>
      <c r="T133">
        <v>1</v>
      </c>
      <c r="U133">
        <v>18.099999999999998</v>
      </c>
      <c r="V133">
        <v>91</v>
      </c>
      <c r="W133">
        <v>11</v>
      </c>
      <c r="X133">
        <v>7.2</v>
      </c>
      <c r="Y133">
        <v>32</v>
      </c>
      <c r="Z133">
        <v>6</v>
      </c>
      <c r="AA133">
        <v>3</v>
      </c>
      <c r="AB133">
        <v>0</v>
      </c>
      <c r="AC133">
        <v>4</v>
      </c>
      <c r="AD133" s="21">
        <v>0.3611111111111111</v>
      </c>
      <c r="AE133" s="21">
        <v>0.1111111111111111</v>
      </c>
      <c r="AF133">
        <v>66.7</v>
      </c>
      <c r="AG133">
        <v>8</v>
      </c>
      <c r="AH133">
        <v>30</v>
      </c>
      <c r="AI133">
        <v>15</v>
      </c>
      <c r="AJ133">
        <v>1</v>
      </c>
      <c r="AK133">
        <v>51</v>
      </c>
      <c r="AL133">
        <v>21</v>
      </c>
      <c r="AM133">
        <v>0</v>
      </c>
      <c r="AN133">
        <f>AO133+AP133+AQ133+AR133</f>
        <v>273</v>
      </c>
      <c r="AO133">
        <v>231</v>
      </c>
      <c r="AP133">
        <v>35</v>
      </c>
      <c r="AQ133">
        <v>5</v>
      </c>
      <c r="AR133">
        <v>2</v>
      </c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  <c r="BP133" s="37"/>
      <c r="BQ133" s="37"/>
      <c r="BR133" s="37"/>
      <c r="BS133" s="37"/>
      <c r="BT133" s="37"/>
      <c r="BU133" s="37"/>
      <c r="BV133" s="37"/>
      <c r="BW133" s="37"/>
      <c r="BX133" s="37"/>
      <c r="BY133" s="37"/>
      <c r="BZ133" s="37"/>
      <c r="CA133" s="37"/>
      <c r="CB133" s="37"/>
      <c r="CC133" s="37"/>
      <c r="CD133" s="37"/>
      <c r="CE133" s="37"/>
      <c r="CF133" s="37"/>
    </row>
    <row r="134" spans="1:84" x14ac:dyDescent="0.2">
      <c r="A134" s="39">
        <v>43744</v>
      </c>
      <c r="B134" s="22" t="s">
        <v>381</v>
      </c>
      <c r="C134" s="17" t="s">
        <v>272</v>
      </c>
      <c r="D134" s="22" t="s">
        <v>285</v>
      </c>
      <c r="E134">
        <v>18.98</v>
      </c>
      <c r="F134">
        <v>11.9</v>
      </c>
      <c r="G134">
        <v>93</v>
      </c>
      <c r="H134">
        <v>1</v>
      </c>
      <c r="I134">
        <v>5.6</v>
      </c>
      <c r="J134">
        <v>10</v>
      </c>
      <c r="K134">
        <v>3</v>
      </c>
      <c r="L134">
        <v>31.3</v>
      </c>
      <c r="M134">
        <v>123</v>
      </c>
      <c r="N134">
        <v>14</v>
      </c>
      <c r="O134">
        <v>11.6</v>
      </c>
      <c r="P134">
        <v>26</v>
      </c>
      <c r="Q134">
        <v>6</v>
      </c>
      <c r="R134">
        <v>7.8</v>
      </c>
      <c r="S134">
        <v>38</v>
      </c>
      <c r="T134">
        <v>4</v>
      </c>
      <c r="U134">
        <v>34.200000000000003</v>
      </c>
      <c r="V134">
        <v>152</v>
      </c>
      <c r="W134">
        <v>15</v>
      </c>
      <c r="X134">
        <f>3.6+3.4</f>
        <v>7</v>
      </c>
      <c r="Y134">
        <v>30</v>
      </c>
      <c r="Z134">
        <v>6</v>
      </c>
      <c r="AA134">
        <v>12</v>
      </c>
      <c r="AB134">
        <v>3</v>
      </c>
      <c r="AC134">
        <v>1</v>
      </c>
      <c r="AD134" s="21">
        <v>0.30769230769230771</v>
      </c>
      <c r="AE134" s="21">
        <v>2.564102564102564E-2</v>
      </c>
      <c r="AF134">
        <v>70</v>
      </c>
      <c r="AG134">
        <v>1</v>
      </c>
      <c r="AH134">
        <v>38</v>
      </c>
      <c r="AI134">
        <v>21</v>
      </c>
      <c r="AJ134">
        <v>2</v>
      </c>
      <c r="AK134">
        <v>62</v>
      </c>
      <c r="AL134">
        <v>23</v>
      </c>
      <c r="AM134">
        <v>0</v>
      </c>
      <c r="AN134">
        <f>SUM(AO134:AR134)</f>
        <v>370</v>
      </c>
      <c r="AO134">
        <v>262</v>
      </c>
      <c r="AP134">
        <v>103</v>
      </c>
      <c r="AQ134">
        <v>0</v>
      </c>
      <c r="AR134">
        <v>5</v>
      </c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  <c r="BP134" s="37"/>
      <c r="BQ134" s="37"/>
      <c r="BR134" s="37"/>
      <c r="BS134" s="37"/>
      <c r="BT134" s="37"/>
      <c r="BU134" s="37"/>
      <c r="BV134" s="37"/>
      <c r="BW134" s="37"/>
      <c r="BX134" s="37"/>
      <c r="BY134" s="37"/>
      <c r="BZ134" s="37"/>
      <c r="CA134" s="37"/>
      <c r="CB134" s="37"/>
      <c r="CC134" s="37"/>
      <c r="CD134" s="37"/>
      <c r="CE134" s="37"/>
      <c r="CF134" s="37"/>
    </row>
    <row r="135" spans="1:84" x14ac:dyDescent="0.2">
      <c r="A135" s="39">
        <v>43744</v>
      </c>
      <c r="B135" s="22" t="s">
        <v>381</v>
      </c>
      <c r="C135" t="s">
        <v>281</v>
      </c>
      <c r="D135" s="22" t="s">
        <v>256</v>
      </c>
      <c r="E135">
        <v>1</v>
      </c>
      <c r="F135">
        <v>10.9</v>
      </c>
      <c r="G135">
        <v>87</v>
      </c>
      <c r="H135">
        <v>1</v>
      </c>
      <c r="I135">
        <v>1.6</v>
      </c>
      <c r="J135">
        <v>0</v>
      </c>
      <c r="K135">
        <v>1</v>
      </c>
      <c r="L135">
        <v>6</v>
      </c>
      <c r="M135">
        <v>27</v>
      </c>
      <c r="N135">
        <v>6</v>
      </c>
      <c r="O135">
        <v>11.5</v>
      </c>
      <c r="P135">
        <v>75</v>
      </c>
      <c r="Q135">
        <v>6</v>
      </c>
      <c r="R135">
        <v>0</v>
      </c>
      <c r="S135">
        <v>0</v>
      </c>
      <c r="T135">
        <v>3</v>
      </c>
      <c r="U135">
        <v>3</v>
      </c>
      <c r="V135">
        <f>20</f>
        <v>20</v>
      </c>
      <c r="W135">
        <v>4</v>
      </c>
      <c r="X135">
        <v>1</v>
      </c>
      <c r="Y135">
        <v>0</v>
      </c>
      <c r="Z135">
        <v>2</v>
      </c>
      <c r="AA135">
        <v>3</v>
      </c>
      <c r="AB135">
        <v>1</v>
      </c>
      <c r="AC135">
        <v>3</v>
      </c>
      <c r="AD135" s="21">
        <v>0.53846153846153844</v>
      </c>
      <c r="AE135" s="21">
        <v>0.15384615384615385</v>
      </c>
      <c r="AF135">
        <v>28.6</v>
      </c>
      <c r="AG135">
        <v>19</v>
      </c>
      <c r="AH135">
        <v>23</v>
      </c>
      <c r="AI135">
        <v>16</v>
      </c>
      <c r="AJ135">
        <v>0</v>
      </c>
      <c r="AK135">
        <v>46</v>
      </c>
      <c r="AL135">
        <v>3</v>
      </c>
      <c r="AM135">
        <v>0</v>
      </c>
      <c r="AN135">
        <f>SUM(AO135:AR135)</f>
        <v>202</v>
      </c>
      <c r="AO135">
        <v>100</v>
      </c>
      <c r="AP135">
        <v>87</v>
      </c>
      <c r="AQ135">
        <v>15</v>
      </c>
      <c r="AR135">
        <v>0</v>
      </c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  <c r="BP135" s="37"/>
      <c r="BQ135" s="37"/>
      <c r="BR135" s="37"/>
      <c r="BS135" s="37"/>
      <c r="BT135" s="37"/>
      <c r="BU135" s="37"/>
      <c r="BV135" s="37"/>
      <c r="BW135" s="37"/>
      <c r="BX135" s="37"/>
      <c r="BY135" s="37"/>
      <c r="BZ135" s="37"/>
      <c r="CA135" s="37"/>
      <c r="CB135" s="37"/>
      <c r="CC135" s="37"/>
      <c r="CD135" s="37"/>
      <c r="CE135" s="37"/>
      <c r="CF135" s="37"/>
    </row>
    <row r="136" spans="1:84" x14ac:dyDescent="0.2">
      <c r="A136" s="39">
        <v>43744</v>
      </c>
      <c r="B136" s="22" t="s">
        <v>381</v>
      </c>
      <c r="C136" t="s">
        <v>291</v>
      </c>
      <c r="D136" s="22" t="s">
        <v>300</v>
      </c>
      <c r="E136">
        <v>29.22</v>
      </c>
      <c r="F136">
        <v>17.100000000000001</v>
      </c>
      <c r="G136">
        <v>62</v>
      </c>
      <c r="H136">
        <v>4</v>
      </c>
      <c r="I136">
        <v>1.9</v>
      </c>
      <c r="J136">
        <v>19</v>
      </c>
      <c r="K136">
        <v>0</v>
      </c>
      <c r="L136">
        <v>42.6</v>
      </c>
      <c r="M136">
        <v>226</v>
      </c>
      <c r="N136">
        <v>14</v>
      </c>
      <c r="O136">
        <v>27.3</v>
      </c>
      <c r="P136">
        <v>113</v>
      </c>
      <c r="Q136">
        <v>14</v>
      </c>
      <c r="R136" s="14">
        <v>8.3000000000000007</v>
      </c>
      <c r="S136">
        <v>53</v>
      </c>
      <c r="T136">
        <v>6</v>
      </c>
      <c r="U136">
        <v>21.900000000000002</v>
      </c>
      <c r="V136">
        <v>129</v>
      </c>
      <c r="W136">
        <v>10</v>
      </c>
      <c r="X136">
        <v>5.9</v>
      </c>
      <c r="Y136">
        <v>29</v>
      </c>
      <c r="Z136">
        <v>4</v>
      </c>
      <c r="AA136">
        <v>6</v>
      </c>
      <c r="AB136">
        <v>3</v>
      </c>
      <c r="AC136">
        <v>1</v>
      </c>
      <c r="AD136" s="21">
        <v>0.37254901960784315</v>
      </c>
      <c r="AE136" s="21">
        <v>5.8823529411764705E-2</v>
      </c>
      <c r="AF136">
        <v>50</v>
      </c>
      <c r="AG136">
        <v>9</v>
      </c>
      <c r="AH136">
        <v>44</v>
      </c>
      <c r="AI136">
        <v>16</v>
      </c>
      <c r="AJ136">
        <v>4</v>
      </c>
      <c r="AK136">
        <v>68</v>
      </c>
      <c r="AL136">
        <v>24</v>
      </c>
      <c r="AM136">
        <v>0</v>
      </c>
      <c r="AN136">
        <f>SUM(AO136:AR136)</f>
        <v>585</v>
      </c>
      <c r="AO136">
        <v>463</v>
      </c>
      <c r="AP136">
        <f>62+19</f>
        <v>81</v>
      </c>
      <c r="AQ136">
        <v>14</v>
      </c>
      <c r="AR136">
        <v>27</v>
      </c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  <c r="BP136" s="37"/>
      <c r="BQ136" s="37"/>
      <c r="BR136" s="37"/>
      <c r="BS136" s="37"/>
      <c r="BT136" s="37"/>
      <c r="BU136" s="37"/>
      <c r="BV136" s="37"/>
      <c r="BW136" s="37"/>
      <c r="BX136" s="37"/>
      <c r="BY136" s="37"/>
      <c r="BZ136" s="37"/>
      <c r="CA136" s="37"/>
      <c r="CB136" s="37"/>
      <c r="CC136" s="37"/>
      <c r="CD136" s="37"/>
      <c r="CE136" s="37"/>
      <c r="CF136" s="37"/>
    </row>
    <row r="137" spans="1:84" x14ac:dyDescent="0.2">
      <c r="A137" s="39">
        <v>43744</v>
      </c>
      <c r="B137" t="s">
        <v>381</v>
      </c>
      <c r="C137" t="s">
        <v>278</v>
      </c>
      <c r="D137" t="s">
        <v>287</v>
      </c>
      <c r="E137">
        <v>9.98</v>
      </c>
      <c r="F137">
        <v>27.7</v>
      </c>
      <c r="G137">
        <v>114</v>
      </c>
      <c r="H137">
        <v>4</v>
      </c>
      <c r="I137">
        <v>8.6999999999999993</v>
      </c>
      <c r="J137">
        <v>61</v>
      </c>
      <c r="K137">
        <v>2</v>
      </c>
      <c r="L137">
        <v>19.2</v>
      </c>
      <c r="M137">
        <v>92</v>
      </c>
      <c r="N137">
        <v>7</v>
      </c>
      <c r="O137">
        <v>1.9</v>
      </c>
      <c r="P137">
        <v>9</v>
      </c>
      <c r="Q137">
        <v>1</v>
      </c>
      <c r="R137">
        <v>0.9</v>
      </c>
      <c r="S137">
        <v>0</v>
      </c>
      <c r="T137">
        <v>0</v>
      </c>
      <c r="U137">
        <v>14</v>
      </c>
      <c r="V137">
        <v>70</v>
      </c>
      <c r="W137">
        <v>1</v>
      </c>
      <c r="X137">
        <v>7.1999999999999993</v>
      </c>
      <c r="Y137">
        <v>42</v>
      </c>
      <c r="Z137">
        <v>5</v>
      </c>
      <c r="AA137">
        <v>10</v>
      </c>
      <c r="AB137">
        <v>3</v>
      </c>
      <c r="AC137">
        <v>12</v>
      </c>
      <c r="AD137">
        <v>0.44</v>
      </c>
      <c r="AE137">
        <v>0.12</v>
      </c>
      <c r="AF137">
        <v>60</v>
      </c>
      <c r="AG137">
        <v>14</v>
      </c>
      <c r="AH137">
        <v>20</v>
      </c>
      <c r="AI137">
        <v>28</v>
      </c>
      <c r="AJ137">
        <v>3</v>
      </c>
      <c r="AK137">
        <v>55</v>
      </c>
      <c r="AL137">
        <v>20</v>
      </c>
      <c r="AM137">
        <v>0</v>
      </c>
      <c r="AN137">
        <v>373</v>
      </c>
      <c r="AO137">
        <v>182</v>
      </c>
      <c r="AP137">
        <v>175</v>
      </c>
      <c r="AQ137">
        <v>9</v>
      </c>
      <c r="AR137">
        <v>7</v>
      </c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  <c r="BP137" s="37"/>
      <c r="BQ137" s="37"/>
      <c r="BR137" s="37"/>
      <c r="BS137" s="37"/>
      <c r="BT137" s="37"/>
      <c r="BU137" s="37"/>
      <c r="BV137" s="37"/>
      <c r="BW137" s="37"/>
      <c r="BX137" s="37"/>
      <c r="BY137" s="37"/>
      <c r="BZ137" s="37"/>
      <c r="CA137" s="37"/>
      <c r="CB137" s="37"/>
      <c r="CC137" s="37"/>
      <c r="CD137" s="37"/>
      <c r="CE137" s="37"/>
      <c r="CF137" s="37"/>
    </row>
    <row r="138" spans="1:84" x14ac:dyDescent="0.2">
      <c r="A138" s="39">
        <v>43744</v>
      </c>
      <c r="B138" s="22" t="s">
        <v>381</v>
      </c>
      <c r="C138" t="s">
        <v>300</v>
      </c>
      <c r="D138" s="22" t="s">
        <v>291</v>
      </c>
      <c r="E138">
        <v>9.42</v>
      </c>
      <c r="F138">
        <v>52.2</v>
      </c>
      <c r="G138">
        <v>107</v>
      </c>
      <c r="H138">
        <v>8</v>
      </c>
      <c r="I138">
        <v>7.2</v>
      </c>
      <c r="J138">
        <v>14</v>
      </c>
      <c r="K138">
        <v>4</v>
      </c>
      <c r="L138" s="3">
        <v>2.8</v>
      </c>
      <c r="M138" s="3">
        <v>47</v>
      </c>
      <c r="N138" s="3">
        <v>4</v>
      </c>
      <c r="O138" s="30">
        <v>4.8</v>
      </c>
      <c r="P138" s="3">
        <v>28</v>
      </c>
      <c r="Q138" s="3">
        <v>6</v>
      </c>
      <c r="R138" s="3">
        <v>1.9</v>
      </c>
      <c r="S138" s="3">
        <v>2</v>
      </c>
      <c r="T138" s="3">
        <v>2</v>
      </c>
      <c r="U138">
        <v>9.6999999999999993</v>
      </c>
      <c r="V138">
        <v>57</v>
      </c>
      <c r="W138">
        <v>7</v>
      </c>
      <c r="X138">
        <f>7.1+3.7+3.3</f>
        <v>14.100000000000001</v>
      </c>
      <c r="Y138">
        <f>41+17+23</f>
        <v>81</v>
      </c>
      <c r="Z138">
        <v>6</v>
      </c>
      <c r="AA138">
        <v>10</v>
      </c>
      <c r="AB138">
        <v>2</v>
      </c>
      <c r="AC138">
        <v>9</v>
      </c>
      <c r="AD138" s="21">
        <v>0.40540540540540543</v>
      </c>
      <c r="AE138" s="21">
        <v>5.4054054054054057E-2</v>
      </c>
      <c r="AF138">
        <v>90</v>
      </c>
      <c r="AG138">
        <v>1</v>
      </c>
      <c r="AH138">
        <v>34</v>
      </c>
      <c r="AI138">
        <v>25</v>
      </c>
      <c r="AJ138">
        <v>4</v>
      </c>
      <c r="AK138">
        <v>65</v>
      </c>
      <c r="AL138">
        <v>34</v>
      </c>
      <c r="AM138">
        <v>0</v>
      </c>
      <c r="AN138">
        <f t="shared" ref="AN138:AN152" si="8">SUM(AO138:AR138)</f>
        <v>358</v>
      </c>
      <c r="AO138">
        <v>238</v>
      </c>
      <c r="AP138">
        <v>121</v>
      </c>
      <c r="AQ138">
        <v>0</v>
      </c>
      <c r="AR138">
        <v>-1</v>
      </c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  <c r="BP138" s="37"/>
      <c r="BQ138" s="37"/>
      <c r="BR138" s="37"/>
      <c r="BS138" s="37"/>
      <c r="BT138" s="37"/>
      <c r="BU138" s="37"/>
      <c r="BV138" s="37"/>
      <c r="BW138" s="37"/>
      <c r="BX138" s="37"/>
      <c r="BY138" s="37"/>
      <c r="BZ138" s="37"/>
      <c r="CA138" s="37"/>
      <c r="CB138" s="37"/>
      <c r="CC138" s="37"/>
      <c r="CD138" s="37"/>
      <c r="CE138" s="37"/>
      <c r="CF138" s="37"/>
    </row>
    <row r="139" spans="1:84" x14ac:dyDescent="0.2">
      <c r="A139" s="39">
        <v>43744</v>
      </c>
      <c r="B139" s="22" t="s">
        <v>381</v>
      </c>
      <c r="C139" t="s">
        <v>311</v>
      </c>
      <c r="D139" s="22" t="s">
        <v>295</v>
      </c>
      <c r="E139">
        <v>44.74</v>
      </c>
      <c r="F139">
        <v>12</v>
      </c>
      <c r="G139">
        <v>60</v>
      </c>
      <c r="H139">
        <v>1</v>
      </c>
      <c r="I139">
        <v>7.7</v>
      </c>
      <c r="J139">
        <v>59</v>
      </c>
      <c r="K139">
        <v>1</v>
      </c>
      <c r="L139">
        <v>15.8</v>
      </c>
      <c r="M139">
        <v>88</v>
      </c>
      <c r="N139">
        <v>8</v>
      </c>
      <c r="O139" s="14">
        <v>56.7</v>
      </c>
      <c r="P139">
        <v>217</v>
      </c>
      <c r="Q139">
        <v>16</v>
      </c>
      <c r="R139">
        <v>10.199999999999999</v>
      </c>
      <c r="S139">
        <v>72</v>
      </c>
      <c r="T139">
        <v>4</v>
      </c>
      <c r="U139">
        <v>28.3</v>
      </c>
      <c r="V139">
        <v>133</v>
      </c>
      <c r="W139">
        <v>12</v>
      </c>
      <c r="X139">
        <v>19.100000000000001</v>
      </c>
      <c r="Y139">
        <v>41</v>
      </c>
      <c r="Z139">
        <v>3</v>
      </c>
      <c r="AA139">
        <v>13</v>
      </c>
      <c r="AB139">
        <v>2</v>
      </c>
      <c r="AC139">
        <v>9</v>
      </c>
      <c r="AD139" s="21">
        <v>0.16666666666666666</v>
      </c>
      <c r="AE139" s="21">
        <v>0</v>
      </c>
      <c r="AF139">
        <v>100</v>
      </c>
      <c r="AG139">
        <v>-2</v>
      </c>
      <c r="AH139">
        <v>33</v>
      </c>
      <c r="AI139">
        <v>30</v>
      </c>
      <c r="AJ139">
        <v>4</v>
      </c>
      <c r="AK139">
        <v>67</v>
      </c>
      <c r="AL139">
        <f>53-7</f>
        <v>46</v>
      </c>
      <c r="AM139">
        <v>7</v>
      </c>
      <c r="AN139">
        <f t="shared" si="8"/>
        <v>592</v>
      </c>
      <c r="AO139">
        <v>426</v>
      </c>
      <c r="AP139">
        <v>119</v>
      </c>
      <c r="AQ139">
        <v>0</v>
      </c>
      <c r="AR139">
        <v>47</v>
      </c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  <c r="BP139" s="37"/>
      <c r="BQ139" s="37"/>
      <c r="BR139" s="37"/>
      <c r="BS139" s="37"/>
      <c r="BT139" s="37"/>
      <c r="BU139" s="37"/>
      <c r="BV139" s="37"/>
      <c r="BW139" s="37"/>
      <c r="BX139" s="37"/>
      <c r="BY139" s="37"/>
      <c r="BZ139" s="37"/>
      <c r="CA139" s="37"/>
      <c r="CB139" s="37"/>
      <c r="CC139" s="37"/>
      <c r="CD139" s="37"/>
      <c r="CE139" s="37"/>
      <c r="CF139" s="37"/>
    </row>
    <row r="140" spans="1:84" x14ac:dyDescent="0.2">
      <c r="A140" s="39">
        <v>43744</v>
      </c>
      <c r="B140" s="22" t="s">
        <v>381</v>
      </c>
      <c r="C140" t="s">
        <v>289</v>
      </c>
      <c r="D140" s="22" t="s">
        <v>288</v>
      </c>
      <c r="E140">
        <v>11.94</v>
      </c>
      <c r="F140">
        <v>20.8</v>
      </c>
      <c r="G140">
        <v>132</v>
      </c>
      <c r="H140">
        <v>3</v>
      </c>
      <c r="I140">
        <v>8.5</v>
      </c>
      <c r="J140">
        <v>-1</v>
      </c>
      <c r="K140">
        <v>5</v>
      </c>
      <c r="L140">
        <v>7.7</v>
      </c>
      <c r="M140">
        <v>37</v>
      </c>
      <c r="N140">
        <v>5</v>
      </c>
      <c r="O140">
        <v>3</v>
      </c>
      <c r="P140">
        <v>8</v>
      </c>
      <c r="Q140">
        <v>2</v>
      </c>
      <c r="R140">
        <v>1.7</v>
      </c>
      <c r="S140">
        <v>7</v>
      </c>
      <c r="T140">
        <v>1</v>
      </c>
      <c r="U140">
        <v>6.3999999999999995</v>
      </c>
      <c r="V140">
        <v>24</v>
      </c>
      <c r="W140">
        <v>7</v>
      </c>
      <c r="X140">
        <f>4.9+2+1.8</f>
        <v>8.7000000000000011</v>
      </c>
      <c r="Y140">
        <f>19+18</f>
        <v>37</v>
      </c>
      <c r="Z140">
        <v>4</v>
      </c>
      <c r="AA140">
        <v>13</v>
      </c>
      <c r="AB140">
        <v>4</v>
      </c>
      <c r="AC140">
        <v>10</v>
      </c>
      <c r="AD140" s="21">
        <v>0.41935483870967744</v>
      </c>
      <c r="AE140" s="21">
        <v>0</v>
      </c>
      <c r="AF140">
        <v>66.7</v>
      </c>
      <c r="AG140">
        <v>3</v>
      </c>
      <c r="AH140">
        <v>29</v>
      </c>
      <c r="AI140">
        <v>38</v>
      </c>
      <c r="AJ140">
        <v>6</v>
      </c>
      <c r="AK140">
        <v>74</v>
      </c>
      <c r="AL140">
        <v>19</v>
      </c>
      <c r="AM140">
        <v>0</v>
      </c>
      <c r="AN140">
        <f t="shared" si="8"/>
        <v>331</v>
      </c>
      <c r="AO140">
        <v>151</v>
      </c>
      <c r="AP140">
        <f>132-1+28</f>
        <v>159</v>
      </c>
      <c r="AQ140">
        <v>12</v>
      </c>
      <c r="AR140">
        <v>9</v>
      </c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  <c r="BP140" s="37"/>
      <c r="BQ140" s="37"/>
      <c r="BR140" s="37"/>
      <c r="BS140" s="37"/>
      <c r="BT140" s="37"/>
      <c r="BU140" s="37"/>
      <c r="BV140" s="37"/>
      <c r="BW140" s="37"/>
      <c r="BX140" s="37"/>
      <c r="BY140" s="37"/>
      <c r="BZ140" s="37"/>
      <c r="CA140" s="37"/>
      <c r="CB140" s="37"/>
      <c r="CC140" s="37"/>
      <c r="CD140" s="37"/>
      <c r="CE140" s="37"/>
      <c r="CF140" s="37"/>
    </row>
    <row r="141" spans="1:84" x14ac:dyDescent="0.2">
      <c r="A141" s="39">
        <v>43744</v>
      </c>
      <c r="B141" s="26" t="s">
        <v>381</v>
      </c>
      <c r="C141" t="s">
        <v>297</v>
      </c>
      <c r="D141" s="26" t="s">
        <v>301</v>
      </c>
      <c r="E141">
        <v>27.16</v>
      </c>
      <c r="F141">
        <v>26.7</v>
      </c>
      <c r="G141">
        <v>108</v>
      </c>
      <c r="H141">
        <v>7</v>
      </c>
      <c r="I141">
        <v>1.6</v>
      </c>
      <c r="J141">
        <v>-1</v>
      </c>
      <c r="K141">
        <v>1</v>
      </c>
      <c r="L141">
        <v>15.2</v>
      </c>
      <c r="M141">
        <v>82</v>
      </c>
      <c r="N141">
        <v>11</v>
      </c>
      <c r="O141">
        <v>39.4</v>
      </c>
      <c r="P141">
        <v>164</v>
      </c>
      <c r="Q141">
        <v>11</v>
      </c>
      <c r="R141">
        <v>3.6</v>
      </c>
      <c r="S141">
        <v>26</v>
      </c>
      <c r="T141">
        <v>3</v>
      </c>
      <c r="U141">
        <v>31.9</v>
      </c>
      <c r="V141">
        <v>169</v>
      </c>
      <c r="W141">
        <v>15</v>
      </c>
      <c r="X141" s="14">
        <f>8.7+1.4</f>
        <v>10.1</v>
      </c>
      <c r="Y141">
        <v>61</v>
      </c>
      <c r="Z141">
        <v>5</v>
      </c>
      <c r="AA141">
        <v>9</v>
      </c>
      <c r="AB141">
        <v>2</v>
      </c>
      <c r="AC141">
        <v>4</v>
      </c>
      <c r="AD141" s="21">
        <v>0.43137254901960786</v>
      </c>
      <c r="AE141" s="21">
        <v>3.9215686274509803E-2</v>
      </c>
      <c r="AF141">
        <v>53.8</v>
      </c>
      <c r="AG141" s="35">
        <v>14</v>
      </c>
      <c r="AH141" s="35">
        <v>44</v>
      </c>
      <c r="AI141" s="35">
        <v>24</v>
      </c>
      <c r="AJ141" s="35">
        <v>7</v>
      </c>
      <c r="AK141" s="35">
        <v>77</v>
      </c>
      <c r="AL141" s="35">
        <v>27</v>
      </c>
      <c r="AM141" s="35">
        <v>0</v>
      </c>
      <c r="AN141">
        <f t="shared" si="8"/>
        <v>523</v>
      </c>
      <c r="AO141" s="35">
        <v>374</v>
      </c>
      <c r="AP141" s="35">
        <v>107</v>
      </c>
      <c r="AQ141" s="35">
        <v>0</v>
      </c>
      <c r="AR141" s="35">
        <v>42</v>
      </c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  <c r="BP141" s="37"/>
      <c r="BQ141" s="37"/>
      <c r="BR141" s="37"/>
      <c r="BS141" s="37"/>
      <c r="BT141" s="37"/>
      <c r="BU141" s="37"/>
      <c r="BV141" s="37"/>
      <c r="BW141" s="37"/>
      <c r="BX141" s="37"/>
      <c r="BY141" s="37"/>
      <c r="BZ141" s="37"/>
      <c r="CA141" s="37"/>
      <c r="CB141" s="37"/>
      <c r="CC141" s="37"/>
      <c r="CD141" s="37"/>
      <c r="CE141" s="37"/>
      <c r="CF141" s="37"/>
    </row>
    <row r="142" spans="1:84" x14ac:dyDescent="0.2">
      <c r="A142" s="39">
        <v>43744</v>
      </c>
      <c r="B142" s="22" t="s">
        <v>381</v>
      </c>
      <c r="C142" t="s">
        <v>288</v>
      </c>
      <c r="D142" s="22" t="s">
        <v>289</v>
      </c>
      <c r="E142">
        <v>21.54</v>
      </c>
      <c r="F142">
        <v>6.8</v>
      </c>
      <c r="G142">
        <v>23</v>
      </c>
      <c r="H142">
        <v>4</v>
      </c>
      <c r="I142">
        <v>3.3</v>
      </c>
      <c r="J142">
        <v>0</v>
      </c>
      <c r="K142">
        <v>2</v>
      </c>
      <c r="L142">
        <v>25.3</v>
      </c>
      <c r="M142">
        <v>103</v>
      </c>
      <c r="N142">
        <v>9</v>
      </c>
      <c r="O142">
        <v>6.1</v>
      </c>
      <c r="P142">
        <v>31</v>
      </c>
      <c r="Q142">
        <v>6</v>
      </c>
      <c r="R142" s="14">
        <v>11.3</v>
      </c>
      <c r="S142">
        <v>79</v>
      </c>
      <c r="T142">
        <v>6</v>
      </c>
      <c r="U142">
        <v>30.6</v>
      </c>
      <c r="V142">
        <v>146</v>
      </c>
      <c r="W142">
        <v>15</v>
      </c>
      <c r="X142">
        <v>11</v>
      </c>
      <c r="Y142">
        <v>70</v>
      </c>
      <c r="Z142">
        <v>10</v>
      </c>
      <c r="AA142">
        <v>7</v>
      </c>
      <c r="AB142">
        <v>2</v>
      </c>
      <c r="AC142">
        <v>3</v>
      </c>
      <c r="AD142" s="21">
        <v>0.42222222222222222</v>
      </c>
      <c r="AE142" s="21">
        <v>8.8888888888888892E-2</v>
      </c>
      <c r="AF142">
        <v>69.2</v>
      </c>
      <c r="AG142">
        <v>10</v>
      </c>
      <c r="AH142">
        <v>39</v>
      </c>
      <c r="AI142">
        <v>10</v>
      </c>
      <c r="AJ142">
        <v>3</v>
      </c>
      <c r="AK142">
        <v>57</v>
      </c>
      <c r="AL142">
        <v>13</v>
      </c>
      <c r="AM142">
        <v>0</v>
      </c>
      <c r="AN142">
        <f t="shared" si="8"/>
        <v>357</v>
      </c>
      <c r="AO142">
        <v>321</v>
      </c>
      <c r="AP142">
        <v>25</v>
      </c>
      <c r="AQ142">
        <v>-6</v>
      </c>
      <c r="AR142">
        <v>17</v>
      </c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  <c r="BP142" s="37"/>
      <c r="BQ142" s="37"/>
      <c r="BR142" s="37"/>
      <c r="BS142" s="37"/>
      <c r="BT142" s="37"/>
      <c r="BU142" s="37"/>
      <c r="BV142" s="37"/>
      <c r="BW142" s="37"/>
      <c r="BX142" s="37"/>
      <c r="BY142" s="37"/>
      <c r="BZ142" s="37"/>
      <c r="CA142" s="37"/>
      <c r="CB142" s="37"/>
      <c r="CC142" s="37"/>
      <c r="CD142" s="37"/>
      <c r="CE142" s="37"/>
      <c r="CF142" s="37"/>
    </row>
    <row r="143" spans="1:84" x14ac:dyDescent="0.2">
      <c r="A143" s="39">
        <v>43744</v>
      </c>
      <c r="B143" s="22" t="s">
        <v>381</v>
      </c>
      <c r="C143" t="s">
        <v>303</v>
      </c>
      <c r="D143" s="22" t="s">
        <v>265</v>
      </c>
      <c r="E143">
        <v>8.9600000000000009</v>
      </c>
      <c r="F143">
        <v>32.299999999999997</v>
      </c>
      <c r="G143">
        <v>123</v>
      </c>
      <c r="H143">
        <v>4</v>
      </c>
      <c r="I143">
        <v>12.6</v>
      </c>
      <c r="J143">
        <v>17</v>
      </c>
      <c r="K143">
        <v>3</v>
      </c>
      <c r="L143" s="3">
        <v>2.2000000000000002</v>
      </c>
      <c r="M143" s="3">
        <v>12</v>
      </c>
      <c r="N143" s="3">
        <v>5</v>
      </c>
      <c r="O143" s="3">
        <v>7.2</v>
      </c>
      <c r="P143" s="3">
        <v>42</v>
      </c>
      <c r="Q143" s="3">
        <v>4</v>
      </c>
      <c r="R143" s="3">
        <v>3.1</v>
      </c>
      <c r="S143" s="3">
        <v>11</v>
      </c>
      <c r="T143" s="3">
        <v>2</v>
      </c>
      <c r="U143">
        <v>7.1000000000000005</v>
      </c>
      <c r="V143">
        <v>31</v>
      </c>
      <c r="W143">
        <v>6</v>
      </c>
      <c r="X143">
        <f>8.6+7.9+4.2</f>
        <v>20.7</v>
      </c>
      <c r="Y143">
        <f>46+39+22</f>
        <v>107</v>
      </c>
      <c r="Z143">
        <v>12</v>
      </c>
      <c r="AA143">
        <v>7</v>
      </c>
      <c r="AB143">
        <v>1</v>
      </c>
      <c r="AC143">
        <v>8</v>
      </c>
      <c r="AD143" s="21">
        <v>0.21212121212121213</v>
      </c>
      <c r="AE143" s="21">
        <v>0</v>
      </c>
      <c r="AF143">
        <v>100</v>
      </c>
      <c r="AG143">
        <v>4</v>
      </c>
      <c r="AH143">
        <v>32</v>
      </c>
      <c r="AI143">
        <v>35</v>
      </c>
      <c r="AJ143">
        <v>3</v>
      </c>
      <c r="AK143">
        <v>71</v>
      </c>
      <c r="AL143">
        <v>24</v>
      </c>
      <c r="AM143">
        <v>0</v>
      </c>
      <c r="AN143">
        <f t="shared" si="8"/>
        <v>394</v>
      </c>
      <c r="AO143">
        <v>229</v>
      </c>
      <c r="AP143">
        <f>123+17+17</f>
        <v>157</v>
      </c>
      <c r="AQ143">
        <v>0</v>
      </c>
      <c r="AR143">
        <v>8</v>
      </c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  <c r="BP143" s="37"/>
      <c r="BQ143" s="37"/>
      <c r="BR143" s="37"/>
      <c r="BS143" s="37"/>
      <c r="BT143" s="37"/>
      <c r="BU143" s="37"/>
      <c r="BV143" s="37"/>
      <c r="BW143" s="37"/>
      <c r="BX143" s="37"/>
      <c r="BY143" s="37"/>
      <c r="BZ143" s="37"/>
      <c r="CA143" s="37"/>
      <c r="CB143" s="37"/>
      <c r="CC143" s="37"/>
      <c r="CD143" s="37"/>
      <c r="CE143" s="37"/>
      <c r="CF143" s="37"/>
    </row>
    <row r="144" spans="1:84" x14ac:dyDescent="0.2">
      <c r="A144" s="39">
        <v>43744</v>
      </c>
      <c r="B144" s="22" t="s">
        <v>381</v>
      </c>
      <c r="C144" t="s">
        <v>287</v>
      </c>
      <c r="D144" s="22" t="s">
        <v>278</v>
      </c>
      <c r="E144">
        <v>6.14</v>
      </c>
      <c r="F144">
        <v>23.3</v>
      </c>
      <c r="G144">
        <v>7</v>
      </c>
      <c r="H144">
        <v>16</v>
      </c>
      <c r="I144">
        <v>7.8</v>
      </c>
      <c r="J144">
        <v>31</v>
      </c>
      <c r="K144">
        <v>6</v>
      </c>
      <c r="L144">
        <v>5.8</v>
      </c>
      <c r="M144">
        <v>18</v>
      </c>
      <c r="N144">
        <v>6</v>
      </c>
      <c r="O144">
        <v>13.4</v>
      </c>
      <c r="P144">
        <v>74</v>
      </c>
      <c r="Q144">
        <v>13</v>
      </c>
      <c r="R144">
        <v>2.2999999999999998</v>
      </c>
      <c r="S144">
        <v>13</v>
      </c>
      <c r="T144">
        <v>2</v>
      </c>
      <c r="U144">
        <v>12.5</v>
      </c>
      <c r="V144">
        <v>45</v>
      </c>
      <c r="W144">
        <v>11</v>
      </c>
      <c r="X144">
        <v>1.5</v>
      </c>
      <c r="Y144">
        <v>5</v>
      </c>
      <c r="Z144">
        <v>1</v>
      </c>
      <c r="AA144">
        <v>8</v>
      </c>
      <c r="AB144">
        <v>3</v>
      </c>
      <c r="AC144">
        <v>14</v>
      </c>
      <c r="AD144" s="21">
        <v>0.35416666666666669</v>
      </c>
      <c r="AE144" s="21">
        <v>0</v>
      </c>
      <c r="AF144">
        <v>53.3</v>
      </c>
      <c r="AG144">
        <v>12</v>
      </c>
      <c r="AH144">
        <v>48</v>
      </c>
      <c r="AI144">
        <v>15</v>
      </c>
      <c r="AJ144">
        <v>1</v>
      </c>
      <c r="AK144">
        <v>64</v>
      </c>
      <c r="AL144">
        <v>6</v>
      </c>
      <c r="AM144">
        <v>7</v>
      </c>
      <c r="AN144">
        <f t="shared" si="8"/>
        <v>246</v>
      </c>
      <c r="AO144">
        <v>211</v>
      </c>
      <c r="AP144">
        <v>38</v>
      </c>
      <c r="AQ144">
        <v>0</v>
      </c>
      <c r="AR144">
        <v>-3</v>
      </c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  <c r="BP144" s="37"/>
      <c r="BQ144" s="37"/>
      <c r="BR144" s="37"/>
      <c r="BS144" s="37"/>
      <c r="BT144" s="37"/>
      <c r="BU144" s="37"/>
      <c r="BV144" s="37"/>
      <c r="BW144" s="37"/>
      <c r="BX144" s="37"/>
      <c r="BY144" s="37"/>
      <c r="BZ144" s="37"/>
      <c r="CA144" s="37"/>
      <c r="CB144" s="37"/>
      <c r="CC144" s="37"/>
      <c r="CD144" s="37"/>
      <c r="CE144" s="37"/>
      <c r="CF144" s="37"/>
    </row>
    <row r="145" spans="1:84" x14ac:dyDescent="0.2">
      <c r="A145" s="39">
        <v>43744</v>
      </c>
      <c r="B145" s="26" t="s">
        <v>381</v>
      </c>
      <c r="C145" t="s">
        <v>304</v>
      </c>
      <c r="D145" s="26" t="s">
        <v>308</v>
      </c>
      <c r="E145">
        <v>21.9</v>
      </c>
      <c r="F145">
        <v>19.7</v>
      </c>
      <c r="G145">
        <v>51</v>
      </c>
      <c r="H145">
        <v>5</v>
      </c>
      <c r="I145">
        <v>0.3</v>
      </c>
      <c r="J145">
        <v>3</v>
      </c>
      <c r="K145">
        <v>0</v>
      </c>
      <c r="L145" s="14">
        <v>29.7</v>
      </c>
      <c r="M145">
        <v>117</v>
      </c>
      <c r="N145">
        <v>17</v>
      </c>
      <c r="O145">
        <v>9.8000000000000007</v>
      </c>
      <c r="P145">
        <v>48</v>
      </c>
      <c r="Q145">
        <v>9</v>
      </c>
      <c r="R145">
        <v>6.6</v>
      </c>
      <c r="S145">
        <v>29</v>
      </c>
      <c r="T145">
        <v>3</v>
      </c>
      <c r="U145">
        <v>24.9</v>
      </c>
      <c r="V145">
        <v>109</v>
      </c>
      <c r="W145">
        <v>15</v>
      </c>
      <c r="X145" s="14">
        <f>23.6+7.7</f>
        <v>31.3</v>
      </c>
      <c r="Y145">
        <f>136+47</f>
        <v>183</v>
      </c>
      <c r="Z145">
        <v>14</v>
      </c>
      <c r="AA145" s="35">
        <v>12</v>
      </c>
      <c r="AB145" s="35">
        <v>4</v>
      </c>
      <c r="AC145" s="35">
        <v>2</v>
      </c>
      <c r="AD145" s="21">
        <v>0.42</v>
      </c>
      <c r="AE145" s="21">
        <v>0</v>
      </c>
      <c r="AF145">
        <v>55.6</v>
      </c>
      <c r="AG145" s="35">
        <v>3</v>
      </c>
      <c r="AH145" s="35">
        <v>49</v>
      </c>
      <c r="AI145" s="35">
        <v>16</v>
      </c>
      <c r="AJ145" s="35">
        <v>1</v>
      </c>
      <c r="AK145" s="35">
        <v>67</v>
      </c>
      <c r="AL145" s="35">
        <v>29</v>
      </c>
      <c r="AM145" s="35">
        <v>0</v>
      </c>
      <c r="AN145">
        <f t="shared" si="8"/>
        <v>477</v>
      </c>
      <c r="AO145" s="35">
        <v>395</v>
      </c>
      <c r="AP145" s="35">
        <v>54</v>
      </c>
      <c r="AQ145" s="35">
        <v>27</v>
      </c>
      <c r="AR145" s="35">
        <v>1</v>
      </c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  <c r="BP145" s="37"/>
      <c r="BQ145" s="37"/>
      <c r="BR145" s="37"/>
      <c r="BS145" s="37"/>
      <c r="BT145" s="37"/>
      <c r="BU145" s="37"/>
      <c r="BV145" s="37"/>
      <c r="BW145" s="37"/>
      <c r="BX145" s="37"/>
      <c r="BY145" s="37"/>
      <c r="BZ145" s="37"/>
      <c r="CA145" s="37"/>
      <c r="CB145" s="37"/>
      <c r="CC145" s="37"/>
      <c r="CD145" s="37"/>
      <c r="CE145" s="37"/>
      <c r="CF145" s="37"/>
    </row>
    <row r="146" spans="1:84" x14ac:dyDescent="0.2">
      <c r="A146" s="39">
        <v>43744</v>
      </c>
      <c r="B146" s="22" t="s">
        <v>381</v>
      </c>
      <c r="C146" t="s">
        <v>312</v>
      </c>
      <c r="D146" s="22" t="s">
        <v>296</v>
      </c>
      <c r="E146">
        <v>23.54</v>
      </c>
      <c r="F146">
        <v>29.8</v>
      </c>
      <c r="G146">
        <v>132</v>
      </c>
      <c r="H146">
        <v>6</v>
      </c>
      <c r="I146">
        <v>5.2</v>
      </c>
      <c r="J146">
        <v>52</v>
      </c>
      <c r="K146">
        <v>0</v>
      </c>
      <c r="L146">
        <v>35</v>
      </c>
      <c r="M146">
        <v>130</v>
      </c>
      <c r="N146">
        <v>8</v>
      </c>
      <c r="O146">
        <v>7.4</v>
      </c>
      <c r="P146">
        <v>44</v>
      </c>
      <c r="Q146">
        <v>4</v>
      </c>
      <c r="R146">
        <v>8.3000000000000007</v>
      </c>
      <c r="S146">
        <v>43</v>
      </c>
      <c r="T146">
        <v>4</v>
      </c>
      <c r="U146">
        <v>26.3</v>
      </c>
      <c r="V146">
        <v>73</v>
      </c>
      <c r="W146">
        <v>7</v>
      </c>
      <c r="X146">
        <v>1.4</v>
      </c>
      <c r="Y146">
        <v>4</v>
      </c>
      <c r="Z146">
        <v>1</v>
      </c>
      <c r="AA146">
        <v>16</v>
      </c>
      <c r="AB146">
        <v>4</v>
      </c>
      <c r="AC146">
        <v>12</v>
      </c>
      <c r="AD146" s="21">
        <v>0.29032258064516131</v>
      </c>
      <c r="AE146" s="21">
        <v>9.6774193548387094E-2</v>
      </c>
      <c r="AF146">
        <v>100</v>
      </c>
      <c r="AG146">
        <v>5</v>
      </c>
      <c r="AH146">
        <v>27</v>
      </c>
      <c r="AI146">
        <v>31</v>
      </c>
      <c r="AJ146">
        <v>3</v>
      </c>
      <c r="AK146">
        <v>64</v>
      </c>
      <c r="AL146">
        <v>26</v>
      </c>
      <c r="AM146">
        <v>2</v>
      </c>
      <c r="AN146">
        <f t="shared" si="8"/>
        <v>517</v>
      </c>
      <c r="AO146">
        <v>306</v>
      </c>
      <c r="AP146">
        <f>132+52+24</f>
        <v>208</v>
      </c>
      <c r="AQ146">
        <v>0</v>
      </c>
      <c r="AR146">
        <v>3</v>
      </c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  <c r="BP146" s="37"/>
      <c r="BQ146" s="37"/>
      <c r="BR146" s="37"/>
      <c r="BS146" s="37"/>
      <c r="BT146" s="37"/>
      <c r="BU146" s="37"/>
      <c r="BV146" s="37"/>
      <c r="BW146" s="37"/>
      <c r="BX146" s="37"/>
      <c r="BY146" s="37"/>
      <c r="BZ146" s="37"/>
      <c r="CA146" s="37"/>
      <c r="CB146" s="37"/>
      <c r="CC146" s="37"/>
      <c r="CD146" s="37"/>
      <c r="CE146" s="37"/>
      <c r="CF146" s="37"/>
    </row>
    <row r="147" spans="1:84" x14ac:dyDescent="0.2">
      <c r="A147" s="39">
        <v>43744</v>
      </c>
      <c r="B147" s="22" t="s">
        <v>381</v>
      </c>
      <c r="C147" t="s">
        <v>302</v>
      </c>
      <c r="D147" s="22" t="s">
        <v>306</v>
      </c>
      <c r="E147">
        <v>27.92</v>
      </c>
      <c r="F147">
        <v>21.3</v>
      </c>
      <c r="G147">
        <v>91</v>
      </c>
      <c r="H147">
        <v>3</v>
      </c>
      <c r="I147">
        <v>13.2</v>
      </c>
      <c r="J147">
        <v>26</v>
      </c>
      <c r="K147">
        <v>9</v>
      </c>
      <c r="L147">
        <v>28</v>
      </c>
      <c r="M147">
        <v>110</v>
      </c>
      <c r="N147">
        <v>9</v>
      </c>
      <c r="O147" s="14">
        <v>10.9</v>
      </c>
      <c r="P147">
        <v>59</v>
      </c>
      <c r="Q147">
        <v>8</v>
      </c>
      <c r="R147">
        <v>0</v>
      </c>
      <c r="S147">
        <v>0</v>
      </c>
      <c r="T147">
        <v>0</v>
      </c>
      <c r="U147">
        <v>18.600000000000001</v>
      </c>
      <c r="V147">
        <v>66</v>
      </c>
      <c r="W147">
        <v>8</v>
      </c>
      <c r="X147">
        <f>11.9+3.2</f>
        <v>15.100000000000001</v>
      </c>
      <c r="Y147">
        <f>39+22</f>
        <v>61</v>
      </c>
      <c r="Z147">
        <v>6</v>
      </c>
      <c r="AA147">
        <v>9</v>
      </c>
      <c r="AB147">
        <v>2</v>
      </c>
      <c r="AC147">
        <v>14</v>
      </c>
      <c r="AD147" s="21">
        <v>0.30434782608695654</v>
      </c>
      <c r="AE147" s="21">
        <v>8.6956521739130432E-2</v>
      </c>
      <c r="AF147">
        <v>62.5</v>
      </c>
      <c r="AG147">
        <v>5</v>
      </c>
      <c r="AH147">
        <v>42</v>
      </c>
      <c r="AI147">
        <v>27</v>
      </c>
      <c r="AJ147">
        <v>0</v>
      </c>
      <c r="AK147">
        <v>74</v>
      </c>
      <c r="AL147">
        <v>33</v>
      </c>
      <c r="AM147">
        <v>0</v>
      </c>
      <c r="AN147">
        <f t="shared" si="8"/>
        <v>478</v>
      </c>
      <c r="AO147">
        <v>348</v>
      </c>
      <c r="AP147">
        <f>91+26+13</f>
        <v>130</v>
      </c>
      <c r="AQ147">
        <v>0</v>
      </c>
      <c r="AR147">
        <v>0</v>
      </c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  <c r="BP147" s="37"/>
      <c r="BQ147" s="37"/>
      <c r="BR147" s="37"/>
      <c r="BS147" s="37"/>
      <c r="BT147" s="37"/>
      <c r="BU147" s="37"/>
      <c r="BV147" s="37"/>
      <c r="BW147" s="37"/>
      <c r="BX147" s="37"/>
      <c r="BY147" s="37"/>
      <c r="BZ147" s="37"/>
      <c r="CA147" s="37"/>
      <c r="CB147" s="37"/>
      <c r="CC147" s="37"/>
      <c r="CD147" s="37"/>
      <c r="CE147" s="37"/>
      <c r="CF147" s="37"/>
    </row>
    <row r="148" spans="1:84" x14ac:dyDescent="0.2">
      <c r="A148" s="39">
        <v>43744</v>
      </c>
      <c r="B148" s="22" t="s">
        <v>381</v>
      </c>
      <c r="C148" t="s">
        <v>307</v>
      </c>
      <c r="D148" s="22" t="s">
        <v>284</v>
      </c>
      <c r="E148">
        <v>31.26</v>
      </c>
      <c r="F148">
        <v>16.920000000000002</v>
      </c>
      <c r="G148">
        <v>62</v>
      </c>
      <c r="H148">
        <v>7</v>
      </c>
      <c r="I148">
        <v>5.4</v>
      </c>
      <c r="J148">
        <v>28</v>
      </c>
      <c r="K148">
        <v>2</v>
      </c>
      <c r="L148">
        <v>44.2</v>
      </c>
      <c r="M148">
        <v>182</v>
      </c>
      <c r="N148">
        <v>13</v>
      </c>
      <c r="O148">
        <v>11.6</v>
      </c>
      <c r="P148">
        <v>35</v>
      </c>
      <c r="Q148">
        <v>2</v>
      </c>
      <c r="R148">
        <v>0</v>
      </c>
      <c r="S148">
        <v>0</v>
      </c>
      <c r="T148">
        <v>0</v>
      </c>
      <c r="U148">
        <v>17</v>
      </c>
      <c r="V148">
        <v>60</v>
      </c>
      <c r="W148">
        <v>8</v>
      </c>
      <c r="X148">
        <f>14.1+6.9</f>
        <v>21</v>
      </c>
      <c r="Y148">
        <v>80</v>
      </c>
      <c r="Z148">
        <v>10</v>
      </c>
      <c r="AA148">
        <v>7</v>
      </c>
      <c r="AB148">
        <v>1</v>
      </c>
      <c r="AC148">
        <v>6</v>
      </c>
      <c r="AD148" s="21">
        <v>0.15789473684210525</v>
      </c>
      <c r="AE148" s="21">
        <v>0</v>
      </c>
      <c r="AF148">
        <v>100</v>
      </c>
      <c r="AG148">
        <v>1</v>
      </c>
      <c r="AH148">
        <v>34</v>
      </c>
      <c r="AI148">
        <v>23</v>
      </c>
      <c r="AJ148">
        <v>7</v>
      </c>
      <c r="AK148">
        <v>67</v>
      </c>
      <c r="AL148">
        <v>31</v>
      </c>
      <c r="AM148">
        <v>0</v>
      </c>
      <c r="AN148">
        <f t="shared" si="8"/>
        <v>444</v>
      </c>
      <c r="AO148">
        <f>314+18</f>
        <v>332</v>
      </c>
      <c r="AP148">
        <f>62+28</f>
        <v>90</v>
      </c>
      <c r="AQ148">
        <v>1</v>
      </c>
      <c r="AR148">
        <v>21</v>
      </c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  <c r="BP148" s="37"/>
      <c r="BQ148" s="37"/>
      <c r="BR148" s="37"/>
      <c r="BS148" s="37"/>
      <c r="BT148" s="37"/>
      <c r="BU148" s="37"/>
      <c r="BV148" s="37"/>
      <c r="BW148" s="37"/>
      <c r="BX148" s="37"/>
      <c r="BY148" s="37"/>
      <c r="BZ148" s="37"/>
      <c r="CA148" s="37"/>
      <c r="CB148" s="37"/>
      <c r="CC148" s="37"/>
      <c r="CD148" s="37"/>
      <c r="CE148" s="37"/>
      <c r="CF148" s="37"/>
    </row>
    <row r="149" spans="1:84" x14ac:dyDescent="0.2">
      <c r="A149" s="39">
        <v>43744</v>
      </c>
      <c r="B149" s="28" t="s">
        <v>381</v>
      </c>
      <c r="C149" t="s">
        <v>296</v>
      </c>
      <c r="D149" s="28" t="s">
        <v>312</v>
      </c>
      <c r="E149" s="3">
        <v>11.48</v>
      </c>
      <c r="F149" s="3">
        <f>4.8</f>
        <v>4.8</v>
      </c>
      <c r="G149" s="3">
        <v>34</v>
      </c>
      <c r="H149" s="3">
        <v>2</v>
      </c>
      <c r="I149" s="3">
        <v>3.4</v>
      </c>
      <c r="J149" s="3">
        <v>15</v>
      </c>
      <c r="K149" s="3">
        <v>1</v>
      </c>
      <c r="L149" s="3">
        <v>9.6999999999999993</v>
      </c>
      <c r="M149" s="3">
        <v>49</v>
      </c>
      <c r="N149" s="3">
        <v>10</v>
      </c>
      <c r="O149" s="3">
        <v>4.3</v>
      </c>
      <c r="P149" s="3">
        <v>13</v>
      </c>
      <c r="Q149" s="3">
        <v>6</v>
      </c>
      <c r="R149" s="3">
        <v>16.2</v>
      </c>
      <c r="S149" s="3">
        <v>62</v>
      </c>
      <c r="T149" s="3">
        <v>5</v>
      </c>
      <c r="U149" s="3">
        <v>11.1</v>
      </c>
      <c r="V149" s="3">
        <v>41</v>
      </c>
      <c r="W149" s="3">
        <v>11</v>
      </c>
      <c r="X149" s="3">
        <v>12</v>
      </c>
      <c r="Y149" s="3">
        <v>45</v>
      </c>
      <c r="Z149" s="3">
        <v>12</v>
      </c>
      <c r="AA149" s="3">
        <v>4</v>
      </c>
      <c r="AB149" s="3">
        <v>1</v>
      </c>
      <c r="AC149" s="3">
        <v>5</v>
      </c>
      <c r="AD149" s="29">
        <v>0.39534883720930231</v>
      </c>
      <c r="AE149" s="29">
        <v>9.3023255813953487E-2</v>
      </c>
      <c r="AF149" s="3">
        <v>30</v>
      </c>
      <c r="AG149" s="3">
        <v>12</v>
      </c>
      <c r="AH149" s="3">
        <v>38</v>
      </c>
      <c r="AI149" s="3">
        <v>14</v>
      </c>
      <c r="AJ149" s="3">
        <v>3</v>
      </c>
      <c r="AK149" s="3">
        <v>62</v>
      </c>
      <c r="AL149" s="3">
        <v>10</v>
      </c>
      <c r="AM149" s="3">
        <v>0</v>
      </c>
      <c r="AN149" s="3">
        <f t="shared" si="8"/>
        <v>241</v>
      </c>
      <c r="AO149" s="3">
        <v>182</v>
      </c>
      <c r="AP149" s="3">
        <f>15+20+14</f>
        <v>49</v>
      </c>
      <c r="AQ149" s="3">
        <v>-2</v>
      </c>
      <c r="AR149" s="3">
        <v>12</v>
      </c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  <c r="BP149" s="37"/>
      <c r="BQ149" s="37"/>
      <c r="BR149" s="37"/>
      <c r="BS149" s="37"/>
      <c r="BT149" s="37"/>
      <c r="BU149" s="37"/>
      <c r="BV149" s="37"/>
      <c r="BW149" s="37"/>
      <c r="BX149" s="37"/>
      <c r="BY149" s="37"/>
      <c r="BZ149" s="37"/>
      <c r="CA149" s="37"/>
      <c r="CB149" s="37"/>
      <c r="CC149" s="37"/>
      <c r="CD149" s="37"/>
      <c r="CE149" s="37"/>
      <c r="CF149" s="37"/>
    </row>
    <row r="150" spans="1:84" x14ac:dyDescent="0.2">
      <c r="A150" s="39">
        <v>43744</v>
      </c>
      <c r="B150" s="28" t="s">
        <v>381</v>
      </c>
      <c r="C150" t="s">
        <v>298</v>
      </c>
      <c r="D150" s="28" t="s">
        <v>294</v>
      </c>
      <c r="E150" s="3">
        <v>1.8</v>
      </c>
      <c r="F150" s="3">
        <v>15.8</v>
      </c>
      <c r="G150" s="3">
        <v>43</v>
      </c>
      <c r="H150" s="3">
        <v>9</v>
      </c>
      <c r="I150" s="3">
        <v>0.4</v>
      </c>
      <c r="J150" s="3">
        <v>4</v>
      </c>
      <c r="K150" s="3">
        <v>0</v>
      </c>
      <c r="L150" s="3">
        <v>3</v>
      </c>
      <c r="M150" s="3">
        <v>10</v>
      </c>
      <c r="N150" s="3">
        <v>3</v>
      </c>
      <c r="O150" s="3">
        <v>2.6</v>
      </c>
      <c r="P150" s="3">
        <v>16</v>
      </c>
      <c r="Q150" s="3">
        <v>3</v>
      </c>
      <c r="R150" s="3">
        <v>8.6999999999999993</v>
      </c>
      <c r="S150" s="3">
        <v>47</v>
      </c>
      <c r="T150" s="3">
        <v>9</v>
      </c>
      <c r="U150" s="3">
        <v>4.7</v>
      </c>
      <c r="V150" s="3">
        <v>17</v>
      </c>
      <c r="W150" s="3">
        <v>5</v>
      </c>
      <c r="X150" s="3">
        <v>1.2</v>
      </c>
      <c r="Y150" s="3">
        <v>2</v>
      </c>
      <c r="Z150" s="3">
        <v>1</v>
      </c>
      <c r="AA150" s="3">
        <v>0</v>
      </c>
      <c r="AB150" s="3">
        <v>1</v>
      </c>
      <c r="AC150" s="3">
        <v>4</v>
      </c>
      <c r="AD150" s="29">
        <v>0.65714285714285714</v>
      </c>
      <c r="AE150" s="29">
        <v>0.25714285714285712</v>
      </c>
      <c r="AF150" s="3">
        <v>58.3</v>
      </c>
      <c r="AG150" s="3">
        <v>35</v>
      </c>
      <c r="AH150" s="3">
        <v>26</v>
      </c>
      <c r="AI150" s="3">
        <v>18</v>
      </c>
      <c r="AJ150" s="3">
        <v>0</v>
      </c>
      <c r="AK150" s="3">
        <v>55</v>
      </c>
      <c r="AL150" s="3">
        <v>6</v>
      </c>
      <c r="AM150" s="3">
        <v>0</v>
      </c>
      <c r="AN150" s="3">
        <f t="shared" si="8"/>
        <v>187</v>
      </c>
      <c r="AO150" s="3">
        <v>120</v>
      </c>
      <c r="AP150" s="3">
        <v>48</v>
      </c>
      <c r="AQ150" s="3">
        <v>19</v>
      </c>
      <c r="AR150" s="3">
        <v>0</v>
      </c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  <c r="BP150" s="37"/>
      <c r="BQ150" s="37"/>
      <c r="BR150" s="37"/>
      <c r="BS150" s="37"/>
      <c r="BT150" s="37"/>
      <c r="BU150" s="37"/>
      <c r="BV150" s="37"/>
      <c r="BW150" s="37"/>
      <c r="BX150" s="37"/>
      <c r="BY150" s="37"/>
      <c r="BZ150" s="37"/>
      <c r="CA150" s="37"/>
      <c r="CB150" s="37"/>
      <c r="CC150" s="37"/>
      <c r="CD150" s="37"/>
      <c r="CE150" s="37"/>
      <c r="CF150" s="37"/>
    </row>
    <row r="151" spans="1:84" x14ac:dyDescent="0.2">
      <c r="A151" s="39">
        <v>43744</v>
      </c>
      <c r="B151" s="22" t="s">
        <v>381</v>
      </c>
      <c r="C151" t="s">
        <v>294</v>
      </c>
      <c r="D151" s="22" t="s">
        <v>298</v>
      </c>
      <c r="E151">
        <v>12.06</v>
      </c>
      <c r="F151">
        <v>12.2</v>
      </c>
      <c r="G151">
        <v>62</v>
      </c>
      <c r="H151">
        <v>0</v>
      </c>
      <c r="I151">
        <v>10.4</v>
      </c>
      <c r="J151">
        <v>15</v>
      </c>
      <c r="K151">
        <v>5</v>
      </c>
      <c r="L151">
        <v>11.2</v>
      </c>
      <c r="M151">
        <v>52</v>
      </c>
      <c r="N151">
        <v>8</v>
      </c>
      <c r="O151">
        <v>3</v>
      </c>
      <c r="P151">
        <v>20</v>
      </c>
      <c r="Q151">
        <v>3</v>
      </c>
      <c r="R151">
        <v>0</v>
      </c>
      <c r="S151">
        <v>0</v>
      </c>
      <c r="T151">
        <v>1</v>
      </c>
      <c r="U151">
        <v>12.1</v>
      </c>
      <c r="V151">
        <v>71</v>
      </c>
      <c r="W151">
        <v>8</v>
      </c>
      <c r="X151">
        <v>18.8</v>
      </c>
      <c r="Y151">
        <v>68</v>
      </c>
      <c r="Z151">
        <v>10</v>
      </c>
      <c r="AA151">
        <v>7</v>
      </c>
      <c r="AB151">
        <v>1</v>
      </c>
      <c r="AC151">
        <v>35</v>
      </c>
      <c r="AD151" s="21">
        <v>0.5161290322580645</v>
      </c>
      <c r="AE151" s="21">
        <v>3.2258064516129031E-2</v>
      </c>
      <c r="AF151">
        <v>55.6</v>
      </c>
      <c r="AG151">
        <v>4</v>
      </c>
      <c r="AH151">
        <v>29</v>
      </c>
      <c r="AI151">
        <v>25</v>
      </c>
      <c r="AJ151">
        <v>4</v>
      </c>
      <c r="AK151">
        <v>59</v>
      </c>
      <c r="AL151">
        <f>31-14</f>
        <v>17</v>
      </c>
      <c r="AM151">
        <v>14</v>
      </c>
      <c r="AN151">
        <f t="shared" si="8"/>
        <v>273</v>
      </c>
      <c r="AO151">
        <v>189</v>
      </c>
      <c r="AP151">
        <f>62+15+4</f>
        <v>81</v>
      </c>
      <c r="AQ151">
        <v>0</v>
      </c>
      <c r="AR151">
        <v>3</v>
      </c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CF151" s="37"/>
    </row>
    <row r="152" spans="1:84" x14ac:dyDescent="0.2">
      <c r="A152" s="39">
        <v>43744</v>
      </c>
      <c r="B152" s="22" t="s">
        <v>381</v>
      </c>
      <c r="C152" t="s">
        <v>309</v>
      </c>
      <c r="D152" s="22" t="s">
        <v>305</v>
      </c>
      <c r="E152">
        <f>9.24+4.72</f>
        <v>13.96</v>
      </c>
      <c r="F152">
        <v>11.5</v>
      </c>
      <c r="G152">
        <v>55</v>
      </c>
      <c r="H152">
        <v>0</v>
      </c>
      <c r="I152">
        <v>3.46</v>
      </c>
      <c r="J152">
        <v>2</v>
      </c>
      <c r="K152">
        <v>4</v>
      </c>
      <c r="L152">
        <v>19.5</v>
      </c>
      <c r="M152">
        <v>75</v>
      </c>
      <c r="N152">
        <v>7</v>
      </c>
      <c r="O152">
        <v>7.7</v>
      </c>
      <c r="P152">
        <v>27</v>
      </c>
      <c r="Q152">
        <v>8</v>
      </c>
      <c r="R152">
        <v>8.1999999999999993</v>
      </c>
      <c r="S152">
        <v>52</v>
      </c>
      <c r="T152">
        <v>6</v>
      </c>
      <c r="U152">
        <v>6.2</v>
      </c>
      <c r="V152">
        <v>12</v>
      </c>
      <c r="W152">
        <v>6</v>
      </c>
      <c r="X152">
        <v>6.4</v>
      </c>
      <c r="Y152">
        <v>34</v>
      </c>
      <c r="Z152">
        <v>3</v>
      </c>
      <c r="AA152">
        <v>12</v>
      </c>
      <c r="AB152">
        <v>3</v>
      </c>
      <c r="AC152">
        <v>11</v>
      </c>
      <c r="AD152" s="21">
        <v>0.35483870967741937</v>
      </c>
      <c r="AE152" s="21">
        <v>3.2258064516129031E-2</v>
      </c>
      <c r="AF152">
        <v>62.5</v>
      </c>
      <c r="AG152">
        <v>5</v>
      </c>
      <c r="AH152">
        <v>29</v>
      </c>
      <c r="AI152">
        <v>17</v>
      </c>
      <c r="AJ152">
        <v>2</v>
      </c>
      <c r="AK152">
        <v>51</v>
      </c>
      <c r="AL152">
        <v>23</v>
      </c>
      <c r="AM152">
        <v>0</v>
      </c>
      <c r="AN152">
        <f t="shared" si="8"/>
        <v>276</v>
      </c>
      <c r="AO152">
        <f>131+68</f>
        <v>199</v>
      </c>
      <c r="AP152">
        <v>57</v>
      </c>
      <c r="AQ152">
        <v>0</v>
      </c>
      <c r="AR152">
        <v>20</v>
      </c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  <c r="BP152" s="37"/>
      <c r="BQ152" s="37"/>
      <c r="BR152" s="37"/>
      <c r="BS152" s="37"/>
      <c r="BT152" s="37"/>
      <c r="BU152" s="37"/>
      <c r="BV152" s="37"/>
      <c r="BW152" s="37"/>
      <c r="BX152" s="37"/>
      <c r="BY152" s="37"/>
      <c r="BZ152" s="37"/>
      <c r="CA152" s="37"/>
      <c r="CB152" s="37"/>
      <c r="CC152" s="37"/>
      <c r="CD152" s="37"/>
      <c r="CE152" s="37"/>
      <c r="CF152" s="37"/>
    </row>
    <row r="153" spans="1:84" x14ac:dyDescent="0.2">
      <c r="A153" s="39">
        <v>43744</v>
      </c>
      <c r="B153" s="23" t="s">
        <v>381</v>
      </c>
      <c r="C153" s="22" t="s">
        <v>256</v>
      </c>
      <c r="D153" s="24" t="s">
        <v>281</v>
      </c>
      <c r="E153">
        <v>14.94</v>
      </c>
      <c r="F153">
        <v>15.7</v>
      </c>
      <c r="G153">
        <v>97</v>
      </c>
      <c r="H153">
        <v>0</v>
      </c>
      <c r="I153">
        <v>30.9</v>
      </c>
      <c r="J153">
        <v>114</v>
      </c>
      <c r="K153">
        <v>3</v>
      </c>
      <c r="L153">
        <v>8.6</v>
      </c>
      <c r="M153">
        <v>41</v>
      </c>
      <c r="N153">
        <v>4</v>
      </c>
      <c r="O153">
        <v>2.1</v>
      </c>
      <c r="P153">
        <v>11</v>
      </c>
      <c r="Q153">
        <v>3</v>
      </c>
      <c r="R153">
        <v>1.3</v>
      </c>
      <c r="S153">
        <v>3</v>
      </c>
      <c r="T153">
        <v>3</v>
      </c>
      <c r="U153">
        <v>12.6</v>
      </c>
      <c r="V153">
        <f>11+31+8+16</f>
        <v>66</v>
      </c>
      <c r="W153">
        <v>6</v>
      </c>
      <c r="X153">
        <f>20.8+1.7</f>
        <v>22.5</v>
      </c>
      <c r="Y153">
        <v>67</v>
      </c>
      <c r="Z153">
        <v>10</v>
      </c>
      <c r="AA153">
        <v>8</v>
      </c>
      <c r="AB153">
        <v>4</v>
      </c>
      <c r="AC153">
        <v>19</v>
      </c>
      <c r="AD153" s="21">
        <v>0.22580645161290322</v>
      </c>
      <c r="AE153" s="21">
        <v>6.4516129032258063E-2</v>
      </c>
      <c r="AF153">
        <v>50</v>
      </c>
      <c r="AG153">
        <v>3</v>
      </c>
      <c r="AH153">
        <v>29</v>
      </c>
      <c r="AI153">
        <f>11+16+7</f>
        <v>34</v>
      </c>
      <c r="AJ153">
        <v>4</v>
      </c>
      <c r="AK153">
        <v>71</v>
      </c>
      <c r="AL153">
        <v>31</v>
      </c>
      <c r="AM153">
        <v>0</v>
      </c>
      <c r="AN153">
        <f>AO153+AP153+AR153+AQ153</f>
        <v>456</v>
      </c>
      <c r="AO153">
        <v>181</v>
      </c>
      <c r="AP153">
        <f>114+97+34</f>
        <v>245</v>
      </c>
      <c r="AQ153">
        <v>33</v>
      </c>
      <c r="AR153">
        <v>-3</v>
      </c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  <c r="BP153" s="37"/>
      <c r="BQ153" s="37"/>
      <c r="BR153" s="37"/>
      <c r="BS153" s="37"/>
      <c r="BT153" s="37"/>
      <c r="BU153" s="37"/>
      <c r="BV153" s="37"/>
      <c r="BW153" s="37"/>
      <c r="BX153" s="37"/>
      <c r="BY153" s="37"/>
      <c r="BZ153" s="37"/>
      <c r="CA153" s="37"/>
      <c r="CB153" s="37"/>
      <c r="CC153" s="37"/>
      <c r="CD153" s="37"/>
      <c r="CE153" s="37"/>
      <c r="CF153" s="37"/>
    </row>
    <row r="154" spans="1:84" x14ac:dyDescent="0.2">
      <c r="A154" s="39">
        <v>43744</v>
      </c>
      <c r="B154" s="26" t="s">
        <v>381</v>
      </c>
      <c r="C154" t="s">
        <v>308</v>
      </c>
      <c r="D154" s="26" t="s">
        <v>304</v>
      </c>
      <c r="E154">
        <v>29.92</v>
      </c>
      <c r="F154">
        <v>22.3</v>
      </c>
      <c r="G154">
        <v>118</v>
      </c>
      <c r="H154">
        <v>2</v>
      </c>
      <c r="I154">
        <v>6.9</v>
      </c>
      <c r="J154">
        <v>18</v>
      </c>
      <c r="K154">
        <v>2</v>
      </c>
      <c r="L154">
        <v>14.3</v>
      </c>
      <c r="M154">
        <v>51</v>
      </c>
      <c r="N154">
        <v>4</v>
      </c>
      <c r="O154">
        <v>12.4</v>
      </c>
      <c r="P154">
        <v>44</v>
      </c>
      <c r="Q154">
        <v>3</v>
      </c>
      <c r="R154" s="14">
        <v>4.5999999999999996</v>
      </c>
      <c r="S154">
        <v>36</v>
      </c>
      <c r="T154">
        <v>4</v>
      </c>
      <c r="U154">
        <v>8</v>
      </c>
      <c r="V154">
        <v>50</v>
      </c>
      <c r="W154">
        <v>3</v>
      </c>
      <c r="X154" s="14">
        <v>14.8</v>
      </c>
      <c r="Y154">
        <v>91</v>
      </c>
      <c r="Z154">
        <v>5</v>
      </c>
      <c r="AA154">
        <v>7</v>
      </c>
      <c r="AB154">
        <v>2</v>
      </c>
      <c r="AC154">
        <v>3</v>
      </c>
      <c r="AD154" s="21">
        <v>0.56666666666666665</v>
      </c>
      <c r="AE154" s="21">
        <v>3.3333333333333333E-2</v>
      </c>
      <c r="AF154">
        <v>81.8</v>
      </c>
      <c r="AG154" s="35">
        <v>2</v>
      </c>
      <c r="AH154" s="35">
        <v>23</v>
      </c>
      <c r="AI154" s="35">
        <v>33</v>
      </c>
      <c r="AJ154" s="35">
        <v>8</v>
      </c>
      <c r="AK154" s="35">
        <v>67</v>
      </c>
      <c r="AL154" s="35">
        <v>30</v>
      </c>
      <c r="AM154" s="35">
        <v>0</v>
      </c>
      <c r="AN154">
        <f>SUM(AO154:AR154)</f>
        <v>435</v>
      </c>
      <c r="AO154" s="35">
        <v>268</v>
      </c>
      <c r="AP154" s="35">
        <f>118+18</f>
        <v>136</v>
      </c>
      <c r="AQ154" s="35">
        <v>-1</v>
      </c>
      <c r="AR154" s="35">
        <v>32</v>
      </c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  <c r="BP154" s="37"/>
      <c r="BQ154" s="37"/>
      <c r="BR154" s="37"/>
      <c r="BS154" s="37"/>
      <c r="BT154" s="37"/>
      <c r="BU154" s="37"/>
      <c r="BV154" s="37"/>
      <c r="BW154" s="37"/>
      <c r="BX154" s="37"/>
      <c r="BY154" s="37"/>
      <c r="BZ154" s="37"/>
      <c r="CA154" s="37"/>
      <c r="CB154" s="37"/>
      <c r="CC154" s="37"/>
      <c r="CD154" s="37"/>
      <c r="CE154" s="37"/>
      <c r="CF154" s="37"/>
    </row>
    <row r="155" spans="1:84" x14ac:dyDescent="0.2">
      <c r="A155" s="39">
        <v>43744</v>
      </c>
      <c r="B155" s="22" t="s">
        <v>381</v>
      </c>
      <c r="C155" t="s">
        <v>284</v>
      </c>
      <c r="D155" s="22" t="s">
        <v>307</v>
      </c>
      <c r="E155">
        <v>17.46</v>
      </c>
      <c r="F155">
        <v>7.6</v>
      </c>
      <c r="G155">
        <v>35</v>
      </c>
      <c r="H155">
        <v>3</v>
      </c>
      <c r="I155">
        <v>10.1</v>
      </c>
      <c r="J155">
        <v>32</v>
      </c>
      <c r="K155">
        <v>1</v>
      </c>
      <c r="L155">
        <v>0</v>
      </c>
      <c r="M155">
        <v>0</v>
      </c>
      <c r="N155">
        <v>3</v>
      </c>
      <c r="O155">
        <v>34.5</v>
      </c>
      <c r="P155">
        <v>125</v>
      </c>
      <c r="Q155">
        <v>9</v>
      </c>
      <c r="R155">
        <v>2.1</v>
      </c>
      <c r="S155">
        <v>11</v>
      </c>
      <c r="T155">
        <v>2</v>
      </c>
      <c r="U155">
        <v>21.5</v>
      </c>
      <c r="V155">
        <v>95</v>
      </c>
      <c r="W155">
        <v>9</v>
      </c>
      <c r="X155">
        <v>4.0999999999999996</v>
      </c>
      <c r="Y155">
        <v>21</v>
      </c>
      <c r="Z155">
        <v>3</v>
      </c>
      <c r="AA155">
        <v>7</v>
      </c>
      <c r="AB155">
        <v>1</v>
      </c>
      <c r="AC155">
        <v>1</v>
      </c>
      <c r="AD155" s="21">
        <v>0.3611111111111111</v>
      </c>
      <c r="AE155" s="21">
        <v>0.16666666666666666</v>
      </c>
      <c r="AF155">
        <v>33.299999999999997</v>
      </c>
      <c r="AG155">
        <v>6</v>
      </c>
      <c r="AH155">
        <v>27</v>
      </c>
      <c r="AI155">
        <v>18</v>
      </c>
      <c r="AJ155">
        <v>3</v>
      </c>
      <c r="AK155">
        <v>55</v>
      </c>
      <c r="AL155">
        <v>24</v>
      </c>
      <c r="AM155">
        <v>0</v>
      </c>
      <c r="AN155">
        <f>AO155+AP155+AQ155+AR155</f>
        <v>295</v>
      </c>
      <c r="AO155">
        <v>204</v>
      </c>
      <c r="AP155">
        <f>32+35-4</f>
        <v>63</v>
      </c>
      <c r="AQ155">
        <v>15</v>
      </c>
      <c r="AR155">
        <v>13</v>
      </c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  <c r="BP155" s="37"/>
      <c r="BQ155" s="37"/>
      <c r="BR155" s="37"/>
      <c r="BS155" s="37"/>
      <c r="BT155" s="37"/>
      <c r="BU155" s="37"/>
      <c r="BV155" s="37"/>
      <c r="BW155" s="37"/>
      <c r="BX155" s="37"/>
      <c r="BY155" s="37"/>
      <c r="BZ155" s="37"/>
      <c r="CA155" s="37"/>
      <c r="CB155" s="37"/>
      <c r="CC155" s="37"/>
      <c r="CD155" s="37"/>
      <c r="CE155" s="37"/>
      <c r="CF155" s="37"/>
    </row>
    <row r="156" spans="1:84" x14ac:dyDescent="0.2">
      <c r="A156" s="39">
        <v>43744</v>
      </c>
      <c r="B156" s="22" t="s">
        <v>381</v>
      </c>
      <c r="C156" t="s">
        <v>310</v>
      </c>
      <c r="D156" s="22" t="s">
        <v>276</v>
      </c>
      <c r="E156">
        <v>8.6199999999999992</v>
      </c>
      <c r="F156">
        <v>13.8</v>
      </c>
      <c r="G156">
        <v>78</v>
      </c>
      <c r="H156">
        <v>0</v>
      </c>
      <c r="I156">
        <v>5</v>
      </c>
      <c r="J156">
        <v>11</v>
      </c>
      <c r="K156">
        <v>4</v>
      </c>
      <c r="L156">
        <v>4.8</v>
      </c>
      <c r="M156">
        <v>28</v>
      </c>
      <c r="N156">
        <v>4</v>
      </c>
      <c r="O156" s="14">
        <v>7</v>
      </c>
      <c r="P156">
        <v>30</v>
      </c>
      <c r="Q156">
        <v>6</v>
      </c>
      <c r="R156">
        <v>4.7</v>
      </c>
      <c r="S156">
        <v>27</v>
      </c>
      <c r="T156">
        <v>2</v>
      </c>
      <c r="U156">
        <v>8.5</v>
      </c>
      <c r="V156">
        <v>35</v>
      </c>
      <c r="W156">
        <v>10</v>
      </c>
      <c r="X156">
        <v>8.6999999999999993</v>
      </c>
      <c r="Y156">
        <v>67</v>
      </c>
      <c r="Z156">
        <v>4</v>
      </c>
      <c r="AA156">
        <v>1</v>
      </c>
      <c r="AB156">
        <v>4</v>
      </c>
      <c r="AC156">
        <v>7</v>
      </c>
      <c r="AD156" s="21">
        <v>0.35483870967741937</v>
      </c>
      <c r="AE156" s="21">
        <v>0.16129032258064516</v>
      </c>
      <c r="AF156">
        <v>100</v>
      </c>
      <c r="AG156">
        <v>11</v>
      </c>
      <c r="AH156">
        <v>22</v>
      </c>
      <c r="AI156">
        <v>22</v>
      </c>
      <c r="AJ156">
        <v>5</v>
      </c>
      <c r="AK156">
        <v>54</v>
      </c>
      <c r="AL156">
        <v>7</v>
      </c>
      <c r="AM156">
        <v>0</v>
      </c>
      <c r="AN156">
        <f t="shared" ref="AN156:AN164" si="9">SUM(AO156:AR156)</f>
        <v>285</v>
      </c>
      <c r="AO156">
        <v>183</v>
      </c>
      <c r="AP156">
        <v>89</v>
      </c>
      <c r="AQ156">
        <v>0</v>
      </c>
      <c r="AR156">
        <v>13</v>
      </c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  <c r="BP156" s="37"/>
      <c r="BQ156" s="37"/>
      <c r="BR156" s="37"/>
      <c r="BS156" s="37"/>
      <c r="BT156" s="37"/>
      <c r="BU156" s="37"/>
      <c r="BV156" s="37"/>
      <c r="BW156" s="37"/>
      <c r="BX156" s="37"/>
      <c r="BY156" s="37"/>
      <c r="BZ156" s="37"/>
      <c r="CA156" s="37"/>
      <c r="CB156" s="37"/>
      <c r="CC156" s="37"/>
      <c r="CD156" s="37"/>
      <c r="CE156" s="37"/>
      <c r="CF156" s="37"/>
    </row>
    <row r="157" spans="1:84" x14ac:dyDescent="0.2">
      <c r="A157" s="39">
        <v>43744</v>
      </c>
      <c r="B157" s="22" t="s">
        <v>381</v>
      </c>
      <c r="C157" t="s">
        <v>306</v>
      </c>
      <c r="D157" s="22" t="s">
        <v>302</v>
      </c>
      <c r="E157">
        <v>5.16</v>
      </c>
      <c r="F157">
        <v>1.8</v>
      </c>
      <c r="G157">
        <v>18</v>
      </c>
      <c r="H157">
        <v>0</v>
      </c>
      <c r="I157">
        <v>8.8000000000000007</v>
      </c>
      <c r="J157">
        <v>21</v>
      </c>
      <c r="K157">
        <v>7</v>
      </c>
      <c r="L157">
        <v>8.1</v>
      </c>
      <c r="M157">
        <v>51</v>
      </c>
      <c r="N157">
        <v>7</v>
      </c>
      <c r="O157">
        <v>3.4</v>
      </c>
      <c r="P157">
        <v>14</v>
      </c>
      <c r="Q157">
        <v>2</v>
      </c>
      <c r="R157" s="14">
        <v>3.5</v>
      </c>
      <c r="S157">
        <v>15</v>
      </c>
      <c r="T157">
        <v>4</v>
      </c>
      <c r="U157">
        <v>6.6</v>
      </c>
      <c r="V157">
        <v>16</v>
      </c>
      <c r="W157">
        <v>6</v>
      </c>
      <c r="X157">
        <v>3.7</v>
      </c>
      <c r="Y157">
        <v>17</v>
      </c>
      <c r="Z157">
        <v>3</v>
      </c>
      <c r="AA157">
        <v>1</v>
      </c>
      <c r="AB157">
        <v>0</v>
      </c>
      <c r="AC157">
        <v>5</v>
      </c>
      <c r="AD157" s="21">
        <v>0.4</v>
      </c>
      <c r="AE157" s="21">
        <v>0.17142857142857143</v>
      </c>
      <c r="AF157">
        <v>50</v>
      </c>
      <c r="AG157">
        <v>14</v>
      </c>
      <c r="AH157">
        <v>27</v>
      </c>
      <c r="AI157">
        <v>17</v>
      </c>
      <c r="AJ157">
        <v>2</v>
      </c>
      <c r="AK157">
        <v>53</v>
      </c>
      <c r="AL157">
        <v>7</v>
      </c>
      <c r="AM157">
        <v>0</v>
      </c>
      <c r="AN157">
        <f t="shared" si="9"/>
        <v>264</v>
      </c>
      <c r="AO157">
        <v>119</v>
      </c>
      <c r="AP157">
        <f>21+27+18</f>
        <v>66</v>
      </c>
      <c r="AQ157">
        <v>65</v>
      </c>
      <c r="AR157">
        <v>14</v>
      </c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  <c r="BP157" s="37"/>
      <c r="BQ157" s="37"/>
      <c r="BR157" s="37"/>
      <c r="BS157" s="37"/>
      <c r="BT157" s="37"/>
      <c r="BU157" s="37"/>
      <c r="BV157" s="37"/>
      <c r="BW157" s="37"/>
      <c r="BX157" s="37"/>
      <c r="BY157" s="37"/>
      <c r="BZ157" s="37"/>
      <c r="CA157" s="37"/>
      <c r="CB157" s="37"/>
      <c r="CC157" s="37"/>
      <c r="CD157" s="37"/>
      <c r="CE157" s="37"/>
      <c r="CF157" s="37"/>
    </row>
    <row r="158" spans="1:84" x14ac:dyDescent="0.2">
      <c r="A158" s="39">
        <v>43751</v>
      </c>
      <c r="B158" s="22" t="s">
        <v>252</v>
      </c>
      <c r="C158" t="s">
        <v>285</v>
      </c>
      <c r="D158" s="22" t="s">
        <v>295</v>
      </c>
      <c r="E158">
        <v>31.8</v>
      </c>
      <c r="F158">
        <v>28.2</v>
      </c>
      <c r="G158">
        <v>34</v>
      </c>
      <c r="H158">
        <v>8</v>
      </c>
      <c r="I158">
        <v>14.7</v>
      </c>
      <c r="J158">
        <v>34</v>
      </c>
      <c r="K158">
        <v>2</v>
      </c>
      <c r="L158">
        <v>12.9</v>
      </c>
      <c r="M158">
        <v>69</v>
      </c>
      <c r="N158">
        <v>8</v>
      </c>
      <c r="O158">
        <v>8</v>
      </c>
      <c r="P158">
        <v>60</v>
      </c>
      <c r="Q158">
        <v>2</v>
      </c>
      <c r="R158">
        <v>4.8</v>
      </c>
      <c r="S158">
        <v>16</v>
      </c>
      <c r="T158">
        <v>4</v>
      </c>
      <c r="U158">
        <v>27.700000000000003</v>
      </c>
      <c r="V158">
        <v>107</v>
      </c>
      <c r="W158">
        <v>15</v>
      </c>
      <c r="X158">
        <f>12.4+2.8</f>
        <v>15.2</v>
      </c>
      <c r="Y158">
        <v>42</v>
      </c>
      <c r="Z158">
        <v>5</v>
      </c>
      <c r="AA158">
        <v>10</v>
      </c>
      <c r="AB158">
        <v>2</v>
      </c>
      <c r="AC158">
        <v>1</v>
      </c>
      <c r="AD158" s="21">
        <v>0.17073170731707318</v>
      </c>
      <c r="AE158" s="21">
        <v>0</v>
      </c>
      <c r="AF158">
        <v>100</v>
      </c>
      <c r="AG158">
        <v>-1</v>
      </c>
      <c r="AH158">
        <v>37</v>
      </c>
      <c r="AI158">
        <v>17</v>
      </c>
      <c r="AJ158">
        <v>11</v>
      </c>
      <c r="AK158">
        <v>66</v>
      </c>
      <c r="AL158">
        <v>34</v>
      </c>
      <c r="AM158">
        <v>0</v>
      </c>
      <c r="AN158">
        <f t="shared" si="9"/>
        <v>442</v>
      </c>
      <c r="AO158">
        <v>340</v>
      </c>
      <c r="AP158">
        <v>68</v>
      </c>
      <c r="AQ158">
        <v>2</v>
      </c>
      <c r="AR158">
        <v>32</v>
      </c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  <c r="BP158" s="37"/>
      <c r="BQ158" s="37"/>
      <c r="BR158" s="37"/>
      <c r="BS158" s="37"/>
      <c r="BT158" s="37"/>
      <c r="BU158" s="37"/>
      <c r="BV158" s="37"/>
      <c r="BW158" s="37"/>
      <c r="BX158" s="37"/>
      <c r="BY158" s="37"/>
      <c r="BZ158" s="37"/>
      <c r="CA158" s="37"/>
      <c r="CB158" s="37"/>
      <c r="CC158" s="37"/>
      <c r="CD158" s="37"/>
      <c r="CE158" s="37"/>
      <c r="CF158" s="37"/>
    </row>
    <row r="159" spans="1:84" x14ac:dyDescent="0.2">
      <c r="A159" s="39">
        <v>43751</v>
      </c>
      <c r="B159" s="22" t="s">
        <v>252</v>
      </c>
      <c r="C159" t="s">
        <v>295</v>
      </c>
      <c r="D159" s="22" t="s">
        <v>285</v>
      </c>
      <c r="E159">
        <v>33.94</v>
      </c>
      <c r="F159">
        <v>26.8</v>
      </c>
      <c r="G159">
        <v>88</v>
      </c>
      <c r="H159">
        <v>3</v>
      </c>
      <c r="I159">
        <v>0.6</v>
      </c>
      <c r="J159">
        <v>6</v>
      </c>
      <c r="K159">
        <v>0</v>
      </c>
      <c r="L159">
        <v>21.8</v>
      </c>
      <c r="M159">
        <v>108</v>
      </c>
      <c r="N159">
        <v>9</v>
      </c>
      <c r="O159">
        <v>14.8</v>
      </c>
      <c r="P159">
        <v>48</v>
      </c>
      <c r="Q159">
        <v>6</v>
      </c>
      <c r="R159" s="14">
        <v>5.9</v>
      </c>
      <c r="S159">
        <v>29</v>
      </c>
      <c r="T159">
        <v>4</v>
      </c>
      <c r="U159">
        <v>13.6</v>
      </c>
      <c r="V159">
        <v>66</v>
      </c>
      <c r="W159">
        <v>8</v>
      </c>
      <c r="X159">
        <f>28.7+3.1+1</f>
        <v>32.799999999999997</v>
      </c>
      <c r="Y159">
        <f>117+21</f>
        <v>138</v>
      </c>
      <c r="Z159">
        <v>10</v>
      </c>
      <c r="AA159">
        <v>10</v>
      </c>
      <c r="AB159">
        <v>2</v>
      </c>
      <c r="AC159">
        <v>-1</v>
      </c>
      <c r="AD159" s="21">
        <v>0.27500000000000002</v>
      </c>
      <c r="AE159" s="21">
        <v>0.05</v>
      </c>
      <c r="AF159">
        <v>85.7</v>
      </c>
      <c r="AG159">
        <v>1</v>
      </c>
      <c r="AH159">
        <v>36</v>
      </c>
      <c r="AI159">
        <v>23</v>
      </c>
      <c r="AJ159">
        <v>2</v>
      </c>
      <c r="AK159">
        <v>63</v>
      </c>
      <c r="AL159">
        <v>33</v>
      </c>
      <c r="AM159">
        <v>0</v>
      </c>
      <c r="AN159">
        <f t="shared" si="9"/>
        <v>459</v>
      </c>
      <c r="AO159">
        <v>356</v>
      </c>
      <c r="AP159">
        <v>96</v>
      </c>
      <c r="AQ159">
        <v>0</v>
      </c>
      <c r="AR159">
        <v>7</v>
      </c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  <c r="BP159" s="37"/>
      <c r="BQ159" s="37"/>
      <c r="BR159" s="37"/>
      <c r="BS159" s="37"/>
      <c r="BT159" s="37"/>
      <c r="BU159" s="37"/>
      <c r="BV159" s="37"/>
      <c r="BW159" s="37"/>
      <c r="BX159" s="37"/>
      <c r="BY159" s="37"/>
      <c r="BZ159" s="37"/>
      <c r="CA159" s="37"/>
      <c r="CB159" s="37"/>
      <c r="CC159" s="37"/>
      <c r="CD159" s="37"/>
      <c r="CE159" s="37"/>
      <c r="CF159" s="37"/>
    </row>
    <row r="160" spans="1:84" x14ac:dyDescent="0.2">
      <c r="A160" s="39">
        <v>43751</v>
      </c>
      <c r="B160" s="22" t="s">
        <v>252</v>
      </c>
      <c r="C160" s="41" t="s">
        <v>305</v>
      </c>
      <c r="D160" s="22" t="s">
        <v>272</v>
      </c>
      <c r="E160">
        <v>33.64</v>
      </c>
      <c r="F160">
        <v>15.4</v>
      </c>
      <c r="G160">
        <v>52</v>
      </c>
      <c r="H160">
        <v>3</v>
      </c>
      <c r="I160">
        <v>3.4</v>
      </c>
      <c r="J160">
        <v>34</v>
      </c>
      <c r="K160">
        <v>0</v>
      </c>
      <c r="U160">
        <v>20.399999999999999</v>
      </c>
      <c r="V160">
        <v>114</v>
      </c>
      <c r="W160">
        <v>13</v>
      </c>
      <c r="X160">
        <f>14.9+3.8+1.4</f>
        <v>20.099999999999998</v>
      </c>
      <c r="Y160">
        <f>4+18+99</f>
        <v>121</v>
      </c>
      <c r="Z160">
        <v>13</v>
      </c>
      <c r="AA160">
        <v>13</v>
      </c>
      <c r="AB160">
        <v>3</v>
      </c>
      <c r="AC160">
        <v>5</v>
      </c>
      <c r="AD160" s="21">
        <v>0.27027027027027029</v>
      </c>
      <c r="AE160" s="21">
        <v>2.7027027027027029E-2</v>
      </c>
      <c r="AF160">
        <v>75</v>
      </c>
      <c r="AG160">
        <v>9</v>
      </c>
      <c r="AH160">
        <v>33</v>
      </c>
      <c r="AI160">
        <v>24</v>
      </c>
      <c r="AJ160">
        <v>19</v>
      </c>
      <c r="AK160">
        <v>77</v>
      </c>
      <c r="AL160">
        <v>23</v>
      </c>
      <c r="AM160">
        <v>0</v>
      </c>
      <c r="AN160">
        <f t="shared" si="9"/>
        <v>505</v>
      </c>
      <c r="AO160">
        <v>236</v>
      </c>
      <c r="AP160">
        <f>52+34+31</f>
        <v>117</v>
      </c>
      <c r="AQ160">
        <v>0</v>
      </c>
      <c r="AR160">
        <v>152</v>
      </c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  <c r="BP160" s="37"/>
      <c r="BQ160" s="37"/>
      <c r="BR160" s="37"/>
      <c r="BS160" s="37"/>
      <c r="BT160" s="37"/>
      <c r="BU160" s="37"/>
      <c r="BV160" s="37"/>
      <c r="BW160" s="37"/>
      <c r="BX160" s="37"/>
      <c r="BY160" s="37"/>
      <c r="BZ160" s="37"/>
      <c r="CA160" s="37"/>
      <c r="CB160" s="37"/>
      <c r="CC160" s="37"/>
      <c r="CD160" s="37"/>
      <c r="CE160" s="37"/>
      <c r="CF160" s="37"/>
    </row>
    <row r="161" spans="1:84" x14ac:dyDescent="0.2">
      <c r="A161" s="39">
        <v>43751</v>
      </c>
      <c r="B161" s="22" t="s">
        <v>252</v>
      </c>
      <c r="C161" t="s">
        <v>301</v>
      </c>
      <c r="D161" s="22" t="s">
        <v>284</v>
      </c>
      <c r="E161">
        <v>17.38</v>
      </c>
      <c r="F161">
        <v>21.7</v>
      </c>
      <c r="G161">
        <v>31</v>
      </c>
      <c r="H161">
        <v>5</v>
      </c>
      <c r="I161">
        <v>0.4</v>
      </c>
      <c r="J161">
        <v>4</v>
      </c>
      <c r="K161">
        <v>0</v>
      </c>
      <c r="L161">
        <v>15.6</v>
      </c>
      <c r="M161">
        <v>73</v>
      </c>
      <c r="N161">
        <v>10</v>
      </c>
      <c r="O161">
        <v>23.8</v>
      </c>
      <c r="P161">
        <v>70</v>
      </c>
      <c r="Q161">
        <v>6</v>
      </c>
      <c r="R161">
        <v>1.6</v>
      </c>
      <c r="S161">
        <v>6</v>
      </c>
      <c r="T161">
        <v>3</v>
      </c>
      <c r="U161">
        <v>7.8000000000000007</v>
      </c>
      <c r="V161">
        <v>38</v>
      </c>
      <c r="W161">
        <v>7</v>
      </c>
      <c r="X161">
        <v>9.1999999999999993</v>
      </c>
      <c r="Y161">
        <v>52</v>
      </c>
      <c r="Z161">
        <v>7</v>
      </c>
      <c r="AA161">
        <v>15</v>
      </c>
      <c r="AB161">
        <v>5</v>
      </c>
      <c r="AC161">
        <v>21</v>
      </c>
      <c r="AD161" s="21">
        <v>0.23529411764705882</v>
      </c>
      <c r="AE161" s="21">
        <v>5.8823529411764705E-2</v>
      </c>
      <c r="AF161">
        <v>80</v>
      </c>
      <c r="AG161">
        <v>0</v>
      </c>
      <c r="AH161">
        <v>27</v>
      </c>
      <c r="AI161">
        <v>24</v>
      </c>
      <c r="AJ161">
        <v>3</v>
      </c>
      <c r="AK161">
        <v>63</v>
      </c>
      <c r="AL161">
        <v>37</v>
      </c>
      <c r="AM161">
        <v>0</v>
      </c>
      <c r="AN161">
        <f t="shared" si="9"/>
        <v>286</v>
      </c>
      <c r="AO161">
        <v>227</v>
      </c>
      <c r="AP161">
        <v>35</v>
      </c>
      <c r="AQ161">
        <v>21</v>
      </c>
      <c r="AR161">
        <v>3</v>
      </c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  <c r="BP161" s="37"/>
      <c r="BQ161" s="37"/>
      <c r="BR161" s="37"/>
      <c r="BS161" s="37"/>
      <c r="BT161" s="37"/>
      <c r="BU161" s="37"/>
      <c r="BV161" s="37"/>
      <c r="BW161" s="37"/>
      <c r="BX161" s="37"/>
      <c r="BY161" s="37"/>
      <c r="BZ161" s="37"/>
      <c r="CA161" s="37"/>
      <c r="CB161" s="37"/>
      <c r="CC161" s="37"/>
      <c r="CD161" s="37"/>
      <c r="CE161" s="37"/>
      <c r="CF161" s="37"/>
    </row>
    <row r="162" spans="1:84" x14ac:dyDescent="0.2">
      <c r="A162" s="39">
        <v>43751</v>
      </c>
      <c r="B162" s="22" t="s">
        <v>252</v>
      </c>
      <c r="C162" s="17" t="s">
        <v>272</v>
      </c>
      <c r="D162" s="22" t="s">
        <v>305</v>
      </c>
      <c r="E162">
        <v>14.6</v>
      </c>
      <c r="F162">
        <v>5.9</v>
      </c>
      <c r="G162">
        <v>10</v>
      </c>
      <c r="H162">
        <v>3</v>
      </c>
      <c r="I162">
        <v>4.4000000000000004</v>
      </c>
      <c r="J162">
        <v>4</v>
      </c>
      <c r="K162">
        <v>3</v>
      </c>
      <c r="L162">
        <v>4</v>
      </c>
      <c r="M162">
        <v>10</v>
      </c>
      <c r="N162">
        <v>7</v>
      </c>
      <c r="O162">
        <v>14.1</v>
      </c>
      <c r="P162">
        <v>91</v>
      </c>
      <c r="Q162">
        <v>12</v>
      </c>
      <c r="R162">
        <v>10.4</v>
      </c>
      <c r="S162">
        <v>47</v>
      </c>
      <c r="T162">
        <v>6</v>
      </c>
      <c r="U162">
        <v>4.4000000000000004</v>
      </c>
      <c r="V162">
        <v>14</v>
      </c>
      <c r="W162">
        <v>5</v>
      </c>
      <c r="X162">
        <f>4.6+3.3+0.9</f>
        <v>8.7999999999999989</v>
      </c>
      <c r="Y162">
        <f>26+13-1</f>
        <v>38</v>
      </c>
      <c r="Z162">
        <v>6</v>
      </c>
      <c r="AA162">
        <v>5</v>
      </c>
      <c r="AB162">
        <v>1</v>
      </c>
      <c r="AC162">
        <v>9</v>
      </c>
      <c r="AD162" s="21">
        <v>0.19047619047619047</v>
      </c>
      <c r="AE162" s="21">
        <v>4.7619047619047616E-2</v>
      </c>
      <c r="AF162">
        <v>25</v>
      </c>
      <c r="AG162">
        <v>5</v>
      </c>
      <c r="AH162">
        <v>39</v>
      </c>
      <c r="AI162">
        <v>12</v>
      </c>
      <c r="AJ162">
        <v>1</v>
      </c>
      <c r="AK162">
        <v>55</v>
      </c>
      <c r="AL162">
        <v>10</v>
      </c>
      <c r="AM162">
        <v>7</v>
      </c>
      <c r="AN162">
        <f t="shared" si="9"/>
        <v>268</v>
      </c>
      <c r="AO162">
        <v>235</v>
      </c>
      <c r="AP162">
        <v>14</v>
      </c>
      <c r="AQ162">
        <v>17</v>
      </c>
      <c r="AR162">
        <v>2</v>
      </c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  <c r="BP162" s="37"/>
      <c r="BQ162" s="37"/>
      <c r="BR162" s="37"/>
      <c r="BS162" s="37"/>
      <c r="BT162" s="37"/>
      <c r="BU162" s="37"/>
      <c r="BV162" s="37"/>
      <c r="BW162" s="37"/>
      <c r="BX162" s="37"/>
      <c r="BY162" s="37"/>
      <c r="BZ162" s="37"/>
      <c r="CA162" s="37"/>
      <c r="CB162" s="37"/>
      <c r="CC162" s="37"/>
      <c r="CD162" s="37"/>
      <c r="CE162" s="37"/>
      <c r="CF162" s="37"/>
    </row>
    <row r="163" spans="1:84" x14ac:dyDescent="0.2">
      <c r="A163" s="39">
        <v>43751</v>
      </c>
      <c r="B163" s="22" t="s">
        <v>252</v>
      </c>
      <c r="C163" t="s">
        <v>281</v>
      </c>
      <c r="D163" s="22" t="s">
        <v>308</v>
      </c>
      <c r="E163">
        <v>22.46</v>
      </c>
      <c r="F163">
        <v>32.9</v>
      </c>
      <c r="G163">
        <v>122</v>
      </c>
      <c r="H163">
        <v>6</v>
      </c>
      <c r="I163">
        <v>3.7</v>
      </c>
      <c r="J163">
        <v>0</v>
      </c>
      <c r="K163">
        <v>3</v>
      </c>
      <c r="L163">
        <v>19.100000000000001</v>
      </c>
      <c r="M163">
        <v>101</v>
      </c>
      <c r="N163">
        <v>11</v>
      </c>
      <c r="O163">
        <v>6.6</v>
      </c>
      <c r="P163">
        <v>36</v>
      </c>
      <c r="Q163">
        <v>5</v>
      </c>
      <c r="R163">
        <v>4.2</v>
      </c>
      <c r="S163">
        <v>22</v>
      </c>
      <c r="T163">
        <v>4</v>
      </c>
      <c r="U163">
        <v>28.200000000000003</v>
      </c>
      <c r="V163">
        <v>142</v>
      </c>
      <c r="W163">
        <v>11</v>
      </c>
      <c r="X163">
        <f>13.7+2+1.9</f>
        <v>17.599999999999998</v>
      </c>
      <c r="Y163">
        <v>56</v>
      </c>
      <c r="Z163">
        <v>7</v>
      </c>
      <c r="AA163">
        <v>2</v>
      </c>
      <c r="AB163">
        <v>0</v>
      </c>
      <c r="AC163">
        <v>4</v>
      </c>
      <c r="AD163" s="21">
        <v>0.25</v>
      </c>
      <c r="AE163" s="21">
        <v>0</v>
      </c>
      <c r="AF163">
        <v>75</v>
      </c>
      <c r="AG163">
        <v>9</v>
      </c>
      <c r="AH163">
        <v>37</v>
      </c>
      <c r="AI163">
        <v>20</v>
      </c>
      <c r="AJ163">
        <v>4</v>
      </c>
      <c r="AK163">
        <v>61</v>
      </c>
      <c r="AL163">
        <v>28</v>
      </c>
      <c r="AM163">
        <v>0</v>
      </c>
      <c r="AN163">
        <f t="shared" si="9"/>
        <v>406</v>
      </c>
      <c r="AO163">
        <v>249</v>
      </c>
      <c r="AP163">
        <v>122</v>
      </c>
      <c r="AQ163">
        <v>0</v>
      </c>
      <c r="AR163">
        <v>35</v>
      </c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  <c r="BP163" s="37"/>
      <c r="BQ163" s="37"/>
      <c r="BR163" s="37"/>
      <c r="BS163" s="37"/>
      <c r="BT163" s="37"/>
      <c r="BU163" s="37"/>
      <c r="BV163" s="37"/>
      <c r="BW163" s="37"/>
      <c r="BX163" s="37"/>
      <c r="BY163" s="37"/>
      <c r="BZ163" s="37"/>
      <c r="CA163" s="37"/>
      <c r="CB163" s="37"/>
      <c r="CC163" s="37"/>
      <c r="CD163" s="37"/>
      <c r="CE163" s="37"/>
      <c r="CF163" s="37"/>
    </row>
    <row r="164" spans="1:84" x14ac:dyDescent="0.2">
      <c r="A164" s="39">
        <v>43751</v>
      </c>
      <c r="B164" s="22" t="s">
        <v>252</v>
      </c>
      <c r="C164" t="s">
        <v>291</v>
      </c>
      <c r="D164" s="22" t="s">
        <v>298</v>
      </c>
      <c r="E164">
        <v>18.18</v>
      </c>
      <c r="F164">
        <v>29.2</v>
      </c>
      <c r="G164">
        <v>105</v>
      </c>
      <c r="H164">
        <v>6</v>
      </c>
      <c r="I164">
        <v>1.3</v>
      </c>
      <c r="J164">
        <v>13</v>
      </c>
      <c r="K164">
        <v>0</v>
      </c>
      <c r="O164">
        <v>8.8000000000000007</v>
      </c>
      <c r="P164">
        <v>48</v>
      </c>
      <c r="Q164">
        <v>7</v>
      </c>
      <c r="R164">
        <v>11.4</v>
      </c>
      <c r="S164">
        <v>64</v>
      </c>
      <c r="T164">
        <v>6</v>
      </c>
      <c r="U164">
        <v>19.899999999999999</v>
      </c>
      <c r="V164">
        <v>109</v>
      </c>
      <c r="W164">
        <v>13</v>
      </c>
      <c r="X164">
        <f>10.7+2.6+1.6</f>
        <v>14.899999999999999</v>
      </c>
      <c r="Y164">
        <f>57+12</f>
        <v>69</v>
      </c>
      <c r="Z164">
        <v>12</v>
      </c>
      <c r="AA164">
        <v>14</v>
      </c>
      <c r="AB164">
        <v>4</v>
      </c>
      <c r="AC164">
        <v>4</v>
      </c>
      <c r="AD164" s="21">
        <v>0.54761904761904767</v>
      </c>
      <c r="AE164" s="21">
        <v>2.3809523809523808E-2</v>
      </c>
      <c r="AF164">
        <v>77.3</v>
      </c>
      <c r="AG164">
        <v>1</v>
      </c>
      <c r="AH164">
        <v>40</v>
      </c>
      <c r="AI164">
        <v>31</v>
      </c>
      <c r="AJ164">
        <v>3</v>
      </c>
      <c r="AK164">
        <v>75</v>
      </c>
      <c r="AL164">
        <v>22</v>
      </c>
      <c r="AM164">
        <v>0</v>
      </c>
      <c r="AN164">
        <f t="shared" si="9"/>
        <v>406</v>
      </c>
      <c r="AO164">
        <v>277</v>
      </c>
      <c r="AP164">
        <f>105+13</f>
        <v>118</v>
      </c>
      <c r="AQ164">
        <v>0</v>
      </c>
      <c r="AR164">
        <v>11</v>
      </c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  <c r="BP164" s="37"/>
      <c r="BQ164" s="37"/>
      <c r="BR164" s="37"/>
      <c r="BS164" s="37"/>
      <c r="BT164" s="37"/>
      <c r="BU164" s="37"/>
      <c r="BV164" s="37"/>
      <c r="BW164" s="37"/>
      <c r="BX164" s="37"/>
      <c r="BY164" s="37"/>
      <c r="BZ164" s="37"/>
      <c r="CA164" s="37"/>
      <c r="CB164" s="37"/>
      <c r="CC164" s="37"/>
      <c r="CD164" s="37"/>
      <c r="CE164" s="37"/>
      <c r="CF164" s="37"/>
    </row>
    <row r="165" spans="1:84" x14ac:dyDescent="0.2">
      <c r="A165" s="39">
        <v>43751</v>
      </c>
      <c r="B165" t="s">
        <v>252</v>
      </c>
      <c r="C165" t="s">
        <v>278</v>
      </c>
      <c r="D165" t="s">
        <v>310</v>
      </c>
      <c r="E165">
        <v>5.98</v>
      </c>
      <c r="F165">
        <v>15.5</v>
      </c>
      <c r="G165">
        <v>70</v>
      </c>
      <c r="H165">
        <v>3</v>
      </c>
      <c r="I165">
        <v>12.6</v>
      </c>
      <c r="J165">
        <v>34</v>
      </c>
      <c r="K165">
        <v>5</v>
      </c>
      <c r="L165">
        <v>11.6</v>
      </c>
      <c r="M165">
        <v>76</v>
      </c>
      <c r="N165">
        <v>8</v>
      </c>
      <c r="O165">
        <v>1</v>
      </c>
      <c r="P165">
        <v>0</v>
      </c>
      <c r="Q165">
        <v>3</v>
      </c>
      <c r="R165">
        <v>4.5</v>
      </c>
      <c r="S165">
        <v>25</v>
      </c>
      <c r="T165">
        <v>2</v>
      </c>
      <c r="U165">
        <v>2.2000000000000002</v>
      </c>
      <c r="V165">
        <v>12</v>
      </c>
      <c r="W165">
        <v>5</v>
      </c>
      <c r="X165">
        <v>3.6</v>
      </c>
      <c r="Y165">
        <v>16</v>
      </c>
      <c r="Z165">
        <v>3</v>
      </c>
      <c r="AA165">
        <v>13</v>
      </c>
      <c r="AB165">
        <v>3</v>
      </c>
      <c r="AC165">
        <v>23</v>
      </c>
      <c r="AD165">
        <v>0.26666666666666666</v>
      </c>
      <c r="AE165">
        <v>3.3333333333333333E-2</v>
      </c>
      <c r="AF165">
        <v>50</v>
      </c>
      <c r="AG165">
        <v>4</v>
      </c>
      <c r="AH165">
        <v>28</v>
      </c>
      <c r="AI165">
        <v>26</v>
      </c>
      <c r="AJ165">
        <v>4</v>
      </c>
      <c r="AK165">
        <v>59</v>
      </c>
      <c r="AL165">
        <v>16</v>
      </c>
      <c r="AM165">
        <v>0</v>
      </c>
      <c r="AN165">
        <v>280</v>
      </c>
      <c r="AO165">
        <v>177</v>
      </c>
      <c r="AP165">
        <v>104</v>
      </c>
      <c r="AQ165">
        <v>0</v>
      </c>
      <c r="AR165">
        <v>-1</v>
      </c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  <c r="BP165" s="37"/>
      <c r="BQ165" s="37"/>
      <c r="BR165" s="37"/>
      <c r="BS165" s="37"/>
      <c r="BT165" s="37"/>
      <c r="BU165" s="37"/>
      <c r="BV165" s="37"/>
      <c r="BW165" s="37"/>
      <c r="BX165" s="37"/>
      <c r="BY165" s="37"/>
      <c r="BZ165" s="37"/>
      <c r="CA165" s="37"/>
      <c r="CB165" s="37"/>
      <c r="CC165" s="37"/>
      <c r="CD165" s="37"/>
      <c r="CE165" s="37"/>
      <c r="CF165" s="37"/>
    </row>
    <row r="166" spans="1:84" x14ac:dyDescent="0.2">
      <c r="A166" s="39">
        <v>43751</v>
      </c>
      <c r="B166" s="23" t="s">
        <v>252</v>
      </c>
      <c r="C166" t="s">
        <v>299</v>
      </c>
      <c r="D166" s="22" t="s">
        <v>300</v>
      </c>
      <c r="E166">
        <v>11.5</v>
      </c>
      <c r="F166">
        <v>14.1</v>
      </c>
      <c r="G166">
        <v>34</v>
      </c>
      <c r="H166">
        <v>4</v>
      </c>
      <c r="I166">
        <v>3.1</v>
      </c>
      <c r="J166">
        <v>4</v>
      </c>
      <c r="K166">
        <v>3</v>
      </c>
      <c r="L166">
        <v>20.100000000000001</v>
      </c>
      <c r="M166">
        <v>121</v>
      </c>
      <c r="N166">
        <v>9</v>
      </c>
      <c r="O166" s="14">
        <v>3.7</v>
      </c>
      <c r="P166">
        <v>17</v>
      </c>
      <c r="Q166">
        <v>5</v>
      </c>
      <c r="R166">
        <v>6.8</v>
      </c>
      <c r="S166">
        <v>58</v>
      </c>
      <c r="T166">
        <v>1</v>
      </c>
      <c r="U166">
        <v>16</v>
      </c>
      <c r="V166">
        <v>90</v>
      </c>
      <c r="W166">
        <v>8</v>
      </c>
      <c r="X166">
        <f>6.1+1.8</f>
        <v>7.8999999999999995</v>
      </c>
      <c r="Y166">
        <v>29</v>
      </c>
      <c r="Z166">
        <v>7</v>
      </c>
      <c r="AA166">
        <v>21</v>
      </c>
      <c r="AB166">
        <v>5</v>
      </c>
      <c r="AC166">
        <v>7</v>
      </c>
      <c r="AD166" s="21">
        <v>0.30555555555555558</v>
      </c>
      <c r="AE166" s="21">
        <v>8.3333333333333329E-2</v>
      </c>
      <c r="AF166">
        <v>42.9</v>
      </c>
      <c r="AG166">
        <v>3</v>
      </c>
      <c r="AH166">
        <v>32</v>
      </c>
      <c r="AI166">
        <v>16</v>
      </c>
      <c r="AJ166">
        <v>3</v>
      </c>
      <c r="AK166">
        <v>55</v>
      </c>
      <c r="AL166">
        <v>22</v>
      </c>
      <c r="AM166">
        <v>0</v>
      </c>
      <c r="AN166">
        <f t="shared" ref="AN166:AN180" si="10">SUM(AO166:AR166)</f>
        <v>312</v>
      </c>
      <c r="AO166">
        <v>265</v>
      </c>
      <c r="AP166">
        <v>38</v>
      </c>
      <c r="AQ166">
        <v>0</v>
      </c>
      <c r="AR166">
        <v>9</v>
      </c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  <c r="BP166" s="37"/>
      <c r="BQ166" s="37"/>
      <c r="BR166" s="37"/>
      <c r="BS166" s="37"/>
      <c r="BT166" s="37"/>
      <c r="BU166" s="37"/>
      <c r="BV166" s="37"/>
      <c r="BW166" s="37"/>
      <c r="BX166" s="37"/>
      <c r="BY166" s="37"/>
      <c r="BZ166" s="37"/>
      <c r="CA166" s="37"/>
      <c r="CB166" s="37"/>
      <c r="CC166" s="37"/>
      <c r="CD166" s="37"/>
      <c r="CE166" s="37"/>
      <c r="CF166" s="37"/>
    </row>
    <row r="167" spans="1:84" x14ac:dyDescent="0.2">
      <c r="A167" s="39">
        <v>43751</v>
      </c>
      <c r="B167" s="22" t="s">
        <v>252</v>
      </c>
      <c r="C167" t="s">
        <v>300</v>
      </c>
      <c r="D167" s="22" t="s">
        <v>299</v>
      </c>
      <c r="E167">
        <v>19.32</v>
      </c>
      <c r="F167">
        <v>9</v>
      </c>
      <c r="G167">
        <v>47</v>
      </c>
      <c r="H167">
        <v>7</v>
      </c>
      <c r="I167">
        <v>26.6</v>
      </c>
      <c r="J167">
        <v>104</v>
      </c>
      <c r="K167">
        <v>5</v>
      </c>
      <c r="L167" s="30">
        <v>7</v>
      </c>
      <c r="M167" s="3">
        <v>40</v>
      </c>
      <c r="N167" s="3">
        <v>7</v>
      </c>
      <c r="O167" s="3">
        <v>16.5</v>
      </c>
      <c r="P167" s="3">
        <v>65</v>
      </c>
      <c r="Q167" s="3">
        <v>5</v>
      </c>
      <c r="R167" s="3">
        <v>7.7</v>
      </c>
      <c r="S167" s="3">
        <v>48</v>
      </c>
      <c r="T167" s="3">
        <v>2</v>
      </c>
      <c r="U167">
        <v>18.2</v>
      </c>
      <c r="V167">
        <v>52</v>
      </c>
      <c r="W167">
        <v>11</v>
      </c>
      <c r="X167">
        <v>10.7</v>
      </c>
      <c r="Y167">
        <v>67</v>
      </c>
      <c r="Z167">
        <v>7</v>
      </c>
      <c r="AA167">
        <v>12</v>
      </c>
      <c r="AB167">
        <v>3</v>
      </c>
      <c r="AC167">
        <v>3</v>
      </c>
      <c r="AD167" s="21">
        <v>0.1951219512195122</v>
      </c>
      <c r="AE167" s="21">
        <v>2.4390243902439025E-2</v>
      </c>
      <c r="AF167">
        <v>100</v>
      </c>
      <c r="AG167">
        <v>7</v>
      </c>
      <c r="AH167">
        <v>39</v>
      </c>
      <c r="AI167">
        <f>14+11</f>
        <v>25</v>
      </c>
      <c r="AJ167">
        <v>3</v>
      </c>
      <c r="AK167">
        <v>69</v>
      </c>
      <c r="AL167">
        <v>23</v>
      </c>
      <c r="AM167">
        <v>0</v>
      </c>
      <c r="AN167">
        <f t="shared" si="10"/>
        <v>453</v>
      </c>
      <c r="AO167">
        <v>283</v>
      </c>
      <c r="AP167">
        <v>151</v>
      </c>
      <c r="AQ167">
        <v>9</v>
      </c>
      <c r="AR167">
        <v>10</v>
      </c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  <c r="BP167" s="37"/>
      <c r="BQ167" s="37"/>
      <c r="BR167" s="37"/>
      <c r="BS167" s="37"/>
      <c r="BT167" s="37"/>
      <c r="BU167" s="37"/>
      <c r="BV167" s="37"/>
      <c r="BW167" s="37"/>
      <c r="BX167" s="37"/>
      <c r="BY167" s="37"/>
      <c r="BZ167" s="37"/>
      <c r="CA167" s="37"/>
      <c r="CB167" s="37"/>
      <c r="CC167" s="37"/>
      <c r="CD167" s="37"/>
      <c r="CE167" s="37"/>
      <c r="CF167" s="37"/>
    </row>
    <row r="168" spans="1:84" x14ac:dyDescent="0.2">
      <c r="A168" s="39">
        <v>43751</v>
      </c>
      <c r="B168" s="22" t="s">
        <v>252</v>
      </c>
      <c r="C168" t="s">
        <v>311</v>
      </c>
      <c r="D168" s="22" t="s">
        <v>288</v>
      </c>
      <c r="E168">
        <v>31.4</v>
      </c>
      <c r="F168">
        <v>22</v>
      </c>
      <c r="G168">
        <v>116</v>
      </c>
      <c r="H168">
        <v>1</v>
      </c>
      <c r="I168">
        <v>13.4</v>
      </c>
      <c r="J168">
        <v>34</v>
      </c>
      <c r="K168">
        <v>4</v>
      </c>
      <c r="L168">
        <v>16.5</v>
      </c>
      <c r="M168">
        <v>55</v>
      </c>
      <c r="N168">
        <v>12</v>
      </c>
      <c r="O168" s="14">
        <v>9.4</v>
      </c>
      <c r="P168">
        <v>44</v>
      </c>
      <c r="Q168">
        <v>9</v>
      </c>
      <c r="R168">
        <v>7.9</v>
      </c>
      <c r="S168">
        <v>39</v>
      </c>
      <c r="T168">
        <v>6</v>
      </c>
      <c r="U168">
        <v>25.900000000000002</v>
      </c>
      <c r="V168">
        <v>109</v>
      </c>
      <c r="W168">
        <v>19</v>
      </c>
      <c r="X168">
        <f>12.9+6.9</f>
        <v>19.8</v>
      </c>
      <c r="Y168">
        <f>69+39</f>
        <v>108</v>
      </c>
      <c r="Z168">
        <v>10</v>
      </c>
      <c r="AA168">
        <v>6</v>
      </c>
      <c r="AB168">
        <v>2</v>
      </c>
      <c r="AC168">
        <v>5</v>
      </c>
      <c r="AD168" s="21">
        <v>0.27659574468085107</v>
      </c>
      <c r="AE168" s="21">
        <v>0</v>
      </c>
      <c r="AF168">
        <v>50</v>
      </c>
      <c r="AG168">
        <v>5</v>
      </c>
      <c r="AH168">
        <v>42</v>
      </c>
      <c r="AI168">
        <v>31</v>
      </c>
      <c r="AJ168">
        <v>10</v>
      </c>
      <c r="AK168">
        <v>83</v>
      </c>
      <c r="AL168">
        <v>31</v>
      </c>
      <c r="AM168">
        <v>0</v>
      </c>
      <c r="AN168">
        <f t="shared" si="10"/>
        <v>472</v>
      </c>
      <c r="AO168">
        <v>280</v>
      </c>
      <c r="AP168">
        <f>116+34</f>
        <v>150</v>
      </c>
      <c r="AQ168">
        <v>0</v>
      </c>
      <c r="AR168">
        <v>42</v>
      </c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  <c r="BP168" s="37"/>
      <c r="BQ168" s="37"/>
      <c r="BR168" s="37"/>
      <c r="BS168" s="37"/>
      <c r="BT168" s="37"/>
      <c r="BU168" s="37"/>
      <c r="BV168" s="37"/>
      <c r="BW168" s="37"/>
      <c r="BX168" s="37"/>
      <c r="BY168" s="37"/>
      <c r="BZ168" s="37"/>
      <c r="CA168" s="37"/>
      <c r="CB168" s="37"/>
      <c r="CC168" s="37"/>
      <c r="CD168" s="37"/>
      <c r="CE168" s="37"/>
      <c r="CF168" s="37"/>
    </row>
    <row r="169" spans="1:84" x14ac:dyDescent="0.2">
      <c r="A169" s="39">
        <v>43751</v>
      </c>
      <c r="B169" s="22" t="s">
        <v>252</v>
      </c>
      <c r="C169" t="s">
        <v>297</v>
      </c>
      <c r="D169" s="22" t="s">
        <v>307</v>
      </c>
      <c r="E169">
        <v>5.62</v>
      </c>
      <c r="F169">
        <v>17.8</v>
      </c>
      <c r="G169">
        <v>72</v>
      </c>
      <c r="H169">
        <v>6</v>
      </c>
      <c r="I169">
        <v>0.1</v>
      </c>
      <c r="J169">
        <v>1</v>
      </c>
      <c r="K169">
        <v>0</v>
      </c>
      <c r="L169">
        <v>8.3000000000000007</v>
      </c>
      <c r="M169">
        <v>53</v>
      </c>
      <c r="N169">
        <v>8</v>
      </c>
      <c r="O169">
        <v>7.3</v>
      </c>
      <c r="P169">
        <v>43</v>
      </c>
      <c r="Q169">
        <v>7</v>
      </c>
      <c r="R169">
        <v>0</v>
      </c>
      <c r="S169">
        <v>0</v>
      </c>
      <c r="T169">
        <v>3</v>
      </c>
      <c r="U169">
        <v>10.100000000000001</v>
      </c>
      <c r="V169">
        <v>61</v>
      </c>
      <c r="W169">
        <v>8</v>
      </c>
      <c r="X169">
        <f>2.6+1.5</f>
        <v>4.0999999999999996</v>
      </c>
      <c r="Y169">
        <v>21</v>
      </c>
      <c r="Z169">
        <v>4</v>
      </c>
      <c r="AA169">
        <v>6</v>
      </c>
      <c r="AB169">
        <v>2</v>
      </c>
      <c r="AC169">
        <v>7</v>
      </c>
      <c r="AD169" s="21">
        <v>0.3125</v>
      </c>
      <c r="AE169" s="21">
        <v>6.25E-2</v>
      </c>
      <c r="AF169">
        <v>33.299999999999997</v>
      </c>
      <c r="AG169">
        <v>11</v>
      </c>
      <c r="AH169">
        <v>29</v>
      </c>
      <c r="AI169">
        <v>21</v>
      </c>
      <c r="AJ169">
        <v>2</v>
      </c>
      <c r="AK169">
        <v>55</v>
      </c>
      <c r="AL169">
        <v>6</v>
      </c>
      <c r="AM169">
        <v>0</v>
      </c>
      <c r="AN169">
        <f t="shared" si="10"/>
        <v>237</v>
      </c>
      <c r="AO169">
        <v>163</v>
      </c>
      <c r="AP169">
        <v>72</v>
      </c>
      <c r="AQ169">
        <v>1</v>
      </c>
      <c r="AR169">
        <v>1</v>
      </c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  <c r="BP169" s="37"/>
      <c r="BQ169" s="37"/>
      <c r="BR169" s="37"/>
      <c r="BS169" s="37"/>
      <c r="BT169" s="37"/>
      <c r="BU169" s="37"/>
      <c r="BV169" s="37"/>
      <c r="BW169" s="37"/>
      <c r="BX169" s="37"/>
      <c r="BY169" s="37"/>
      <c r="BZ169" s="37"/>
      <c r="CA169" s="37"/>
      <c r="CB169" s="37"/>
      <c r="CC169" s="37"/>
      <c r="CD169" s="37"/>
      <c r="CE169" s="37"/>
      <c r="CF169" s="37"/>
    </row>
    <row r="170" spans="1:84" x14ac:dyDescent="0.2">
      <c r="A170" s="39">
        <v>43751</v>
      </c>
      <c r="B170" s="22" t="s">
        <v>252</v>
      </c>
      <c r="C170" t="s">
        <v>288</v>
      </c>
      <c r="D170" s="22" t="s">
        <v>311</v>
      </c>
      <c r="E170">
        <v>20.82</v>
      </c>
      <c r="F170">
        <v>9</v>
      </c>
      <c r="G170">
        <v>6</v>
      </c>
      <c r="H170">
        <v>1</v>
      </c>
      <c r="I170">
        <v>6.4</v>
      </c>
      <c r="J170">
        <v>44</v>
      </c>
      <c r="K170">
        <v>2</v>
      </c>
      <c r="L170">
        <v>25</v>
      </c>
      <c r="M170">
        <v>80</v>
      </c>
      <c r="N170">
        <v>10</v>
      </c>
      <c r="O170" s="14">
        <v>8.5</v>
      </c>
      <c r="P170">
        <v>45</v>
      </c>
      <c r="Q170">
        <v>4</v>
      </c>
      <c r="R170">
        <v>4.4000000000000004</v>
      </c>
      <c r="S170">
        <v>24</v>
      </c>
      <c r="T170">
        <v>3</v>
      </c>
      <c r="U170">
        <v>14.5</v>
      </c>
      <c r="V170">
        <v>45</v>
      </c>
      <c r="W170">
        <v>9</v>
      </c>
      <c r="X170">
        <v>9.8000000000000007</v>
      </c>
      <c r="Y170">
        <v>58</v>
      </c>
      <c r="Z170">
        <v>7</v>
      </c>
      <c r="AA170">
        <v>7</v>
      </c>
      <c r="AB170">
        <v>2</v>
      </c>
      <c r="AC170">
        <v>5</v>
      </c>
      <c r="AD170" s="21">
        <v>0.30555555555555558</v>
      </c>
      <c r="AE170" s="21">
        <v>2.7777777777777776E-2</v>
      </c>
      <c r="AF170">
        <v>50</v>
      </c>
      <c r="AG170">
        <v>5</v>
      </c>
      <c r="AH170">
        <v>35</v>
      </c>
      <c r="AI170">
        <v>9</v>
      </c>
      <c r="AJ170">
        <v>1</v>
      </c>
      <c r="AK170">
        <v>47</v>
      </c>
      <c r="AL170">
        <v>24</v>
      </c>
      <c r="AM170">
        <v>0</v>
      </c>
      <c r="AN170">
        <f t="shared" si="10"/>
        <v>326</v>
      </c>
      <c r="AO170">
        <v>273</v>
      </c>
      <c r="AP170">
        <v>50</v>
      </c>
      <c r="AQ170">
        <v>4</v>
      </c>
      <c r="AR170">
        <v>-1</v>
      </c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  <c r="BP170" s="37"/>
      <c r="BQ170" s="37"/>
      <c r="BR170" s="37"/>
      <c r="BS170" s="37"/>
      <c r="BT170" s="37"/>
      <c r="BU170" s="37"/>
      <c r="BV170" s="37"/>
      <c r="BW170" s="37"/>
      <c r="BX170" s="37"/>
      <c r="BY170" s="37"/>
      <c r="BZ170" s="37"/>
      <c r="CA170" s="37"/>
      <c r="CB170" s="37"/>
      <c r="CC170" s="37"/>
      <c r="CD170" s="37"/>
      <c r="CE170" s="37"/>
      <c r="CF170" s="37"/>
    </row>
    <row r="171" spans="1:84" x14ac:dyDescent="0.2">
      <c r="A171" s="39">
        <v>43751</v>
      </c>
      <c r="B171" s="22" t="s">
        <v>252</v>
      </c>
      <c r="C171" t="s">
        <v>287</v>
      </c>
      <c r="D171" s="22" t="s">
        <v>309</v>
      </c>
      <c r="E171">
        <v>20.8</v>
      </c>
      <c r="F171">
        <v>7.8</v>
      </c>
      <c r="G171">
        <v>18</v>
      </c>
      <c r="H171">
        <v>4</v>
      </c>
      <c r="I171">
        <v>5.8</v>
      </c>
      <c r="J171">
        <v>14</v>
      </c>
      <c r="K171">
        <v>4</v>
      </c>
      <c r="L171">
        <v>5.3</v>
      </c>
      <c r="M171">
        <v>33</v>
      </c>
      <c r="N171">
        <v>6</v>
      </c>
      <c r="O171">
        <v>12.2</v>
      </c>
      <c r="P171">
        <v>72</v>
      </c>
      <c r="Q171">
        <v>10</v>
      </c>
      <c r="R171">
        <v>6.3</v>
      </c>
      <c r="S171">
        <v>43</v>
      </c>
      <c r="T171">
        <v>2</v>
      </c>
      <c r="U171">
        <v>36.299999999999997</v>
      </c>
      <c r="V171">
        <v>143</v>
      </c>
      <c r="W171">
        <v>15</v>
      </c>
      <c r="X171">
        <f>33+2.5</f>
        <v>35.5</v>
      </c>
      <c r="Y171">
        <v>115</v>
      </c>
      <c r="Z171">
        <v>11</v>
      </c>
      <c r="AA171">
        <v>5</v>
      </c>
      <c r="AB171">
        <v>2</v>
      </c>
      <c r="AC171">
        <v>3</v>
      </c>
      <c r="AD171" s="21">
        <v>0.47826086956521741</v>
      </c>
      <c r="AE171" s="21">
        <v>2.1739130434782608E-2</v>
      </c>
      <c r="AF171">
        <v>66.7</v>
      </c>
      <c r="AG171">
        <v>14</v>
      </c>
      <c r="AH171">
        <v>44</v>
      </c>
      <c r="AI171">
        <v>13</v>
      </c>
      <c r="AJ171">
        <v>1</v>
      </c>
      <c r="AK171">
        <v>59</v>
      </c>
      <c r="AL171">
        <v>17</v>
      </c>
      <c r="AM171">
        <v>0</v>
      </c>
      <c r="AN171">
        <f t="shared" si="10"/>
        <v>352</v>
      </c>
      <c r="AO171">
        <v>320</v>
      </c>
      <c r="AP171">
        <v>32</v>
      </c>
      <c r="AQ171">
        <v>0</v>
      </c>
      <c r="AR171">
        <v>0</v>
      </c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  <c r="BP171" s="37"/>
      <c r="BQ171" s="37"/>
      <c r="BR171" s="37"/>
      <c r="BS171" s="37"/>
      <c r="BT171" s="37"/>
      <c r="BU171" s="37"/>
      <c r="BV171" s="37"/>
      <c r="BW171" s="37"/>
      <c r="BX171" s="37"/>
      <c r="BY171" s="37"/>
      <c r="BZ171" s="37"/>
      <c r="CA171" s="37"/>
      <c r="CB171" s="37"/>
      <c r="CC171" s="37"/>
      <c r="CD171" s="37"/>
      <c r="CE171" s="37"/>
      <c r="CF171" s="37"/>
    </row>
    <row r="172" spans="1:84" x14ac:dyDescent="0.2">
      <c r="A172" s="39">
        <v>43751</v>
      </c>
      <c r="B172" s="22" t="s">
        <v>252</v>
      </c>
      <c r="C172" t="s">
        <v>304</v>
      </c>
      <c r="D172" s="22" t="s">
        <v>256</v>
      </c>
      <c r="E172">
        <v>2.12</v>
      </c>
      <c r="F172">
        <v>4</v>
      </c>
      <c r="G172">
        <v>40</v>
      </c>
      <c r="H172">
        <v>0</v>
      </c>
      <c r="I172">
        <v>5.8</v>
      </c>
      <c r="J172">
        <v>39</v>
      </c>
      <c r="K172">
        <v>2</v>
      </c>
      <c r="L172" s="14">
        <v>5.7</v>
      </c>
      <c r="M172">
        <v>17</v>
      </c>
      <c r="N172">
        <v>6</v>
      </c>
      <c r="O172">
        <v>7.6</v>
      </c>
      <c r="P172">
        <v>0</v>
      </c>
      <c r="Q172">
        <v>4</v>
      </c>
      <c r="R172">
        <v>6.2</v>
      </c>
      <c r="S172">
        <v>18</v>
      </c>
      <c r="T172">
        <v>3</v>
      </c>
      <c r="U172">
        <v>4.2</v>
      </c>
      <c r="V172">
        <v>12</v>
      </c>
      <c r="W172">
        <v>6</v>
      </c>
      <c r="X172">
        <f>5.5+2.9</f>
        <v>8.4</v>
      </c>
      <c r="Y172">
        <v>34</v>
      </c>
      <c r="Z172">
        <v>8</v>
      </c>
      <c r="AA172">
        <v>1</v>
      </c>
      <c r="AB172">
        <v>0</v>
      </c>
      <c r="AC172">
        <v>7</v>
      </c>
      <c r="AD172" s="21">
        <v>0.4642857142857143</v>
      </c>
      <c r="AE172" s="21">
        <v>0.14285714285714285</v>
      </c>
      <c r="AF172">
        <v>42.9</v>
      </c>
      <c r="AG172">
        <v>10</v>
      </c>
      <c r="AH172">
        <v>24</v>
      </c>
      <c r="AI172">
        <v>17</v>
      </c>
      <c r="AJ172">
        <v>1</v>
      </c>
      <c r="AK172">
        <v>50</v>
      </c>
      <c r="AL172">
        <v>7</v>
      </c>
      <c r="AM172">
        <v>0</v>
      </c>
      <c r="AN172">
        <f t="shared" si="10"/>
        <v>187</v>
      </c>
      <c r="AO172">
        <v>78</v>
      </c>
      <c r="AP172">
        <v>79</v>
      </c>
      <c r="AQ172">
        <v>30</v>
      </c>
      <c r="AR172">
        <v>0</v>
      </c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  <c r="BP172" s="37"/>
      <c r="BQ172" s="37"/>
      <c r="BR172" s="37"/>
      <c r="BS172" s="37"/>
      <c r="BT172" s="37"/>
      <c r="BU172" s="37"/>
      <c r="BV172" s="37"/>
      <c r="BW172" s="37"/>
      <c r="BX172" s="37"/>
      <c r="BY172" s="37"/>
      <c r="BZ172" s="37"/>
      <c r="CA172" s="37"/>
      <c r="CB172" s="37"/>
      <c r="CC172" s="37"/>
      <c r="CD172" s="37"/>
      <c r="CE172" s="37"/>
      <c r="CF172" s="37"/>
    </row>
    <row r="173" spans="1:84" x14ac:dyDescent="0.2">
      <c r="A173" s="39">
        <v>43751</v>
      </c>
      <c r="B173" s="28" t="s">
        <v>252</v>
      </c>
      <c r="C173" t="s">
        <v>293</v>
      </c>
      <c r="D173" s="28" t="s">
        <v>306</v>
      </c>
      <c r="E173" s="3">
        <f>9.78+1.4</f>
        <v>11.18</v>
      </c>
      <c r="F173" s="3">
        <v>13.4</v>
      </c>
      <c r="G173" s="3">
        <v>40</v>
      </c>
      <c r="H173" s="3">
        <v>9</v>
      </c>
      <c r="I173" s="3">
        <v>6.7</v>
      </c>
      <c r="J173" s="3">
        <v>43</v>
      </c>
      <c r="K173" s="3">
        <v>6</v>
      </c>
      <c r="L173" s="30">
        <v>5.0999999999999996</v>
      </c>
      <c r="M173" s="3">
        <v>31</v>
      </c>
      <c r="N173" s="3">
        <v>6</v>
      </c>
      <c r="O173" s="3">
        <v>11.8</v>
      </c>
      <c r="P173" s="3">
        <v>28</v>
      </c>
      <c r="Q173" s="3">
        <v>4</v>
      </c>
      <c r="R173" s="3">
        <v>6.5</v>
      </c>
      <c r="S173" s="3">
        <v>15</v>
      </c>
      <c r="T173" s="3">
        <v>6</v>
      </c>
      <c r="U173" s="3">
        <v>18.899999999999999</v>
      </c>
      <c r="V173" s="3">
        <v>89</v>
      </c>
      <c r="W173" s="3">
        <v>13</v>
      </c>
      <c r="X173" s="3">
        <f>8.1+1.3</f>
        <v>9.4</v>
      </c>
      <c r="Y173" s="3">
        <v>54</v>
      </c>
      <c r="Z173" s="3">
        <v>8</v>
      </c>
      <c r="AA173" s="3">
        <v>4</v>
      </c>
      <c r="AB173" s="3">
        <v>1</v>
      </c>
      <c r="AC173" s="3">
        <v>1</v>
      </c>
      <c r="AD173" s="29">
        <v>0.2857142857142857</v>
      </c>
      <c r="AE173" s="29">
        <v>0.10204081632653061</v>
      </c>
      <c r="AF173" s="3">
        <v>66.7</v>
      </c>
      <c r="AG173" s="3">
        <v>10</v>
      </c>
      <c r="AH173" s="3">
        <f>18+25</f>
        <v>43</v>
      </c>
      <c r="AI173" s="3">
        <v>19</v>
      </c>
      <c r="AJ173" s="3">
        <v>2</v>
      </c>
      <c r="AK173" s="3">
        <v>69</v>
      </c>
      <c r="AL173" s="3">
        <v>16</v>
      </c>
      <c r="AM173" s="3">
        <v>0</v>
      </c>
      <c r="AN173" s="3">
        <f t="shared" si="10"/>
        <v>301</v>
      </c>
      <c r="AO173" s="3">
        <f>132+85</f>
        <v>217</v>
      </c>
      <c r="AP173" s="3">
        <f>40+32+7</f>
        <v>79</v>
      </c>
      <c r="AQ173" s="3">
        <v>0</v>
      </c>
      <c r="AR173" s="3">
        <v>5</v>
      </c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  <c r="BP173" s="37"/>
      <c r="BQ173" s="37"/>
      <c r="BR173" s="37"/>
      <c r="BS173" s="37"/>
      <c r="BT173" s="37"/>
      <c r="BU173" s="37"/>
      <c r="BV173" s="37"/>
      <c r="BW173" s="37"/>
      <c r="BX173" s="37"/>
      <c r="BY173" s="37"/>
      <c r="BZ173" s="37"/>
      <c r="CA173" s="37"/>
      <c r="CB173" s="37"/>
      <c r="CC173" s="37"/>
      <c r="CD173" s="37"/>
      <c r="CE173" s="37"/>
      <c r="CF173" s="37"/>
    </row>
    <row r="174" spans="1:84" x14ac:dyDescent="0.2">
      <c r="A174" s="39">
        <v>43751</v>
      </c>
      <c r="B174" s="22" t="s">
        <v>252</v>
      </c>
      <c r="C174" t="s">
        <v>312</v>
      </c>
      <c r="D174" s="22" t="s">
        <v>294</v>
      </c>
      <c r="E174">
        <v>31.32</v>
      </c>
      <c r="F174">
        <v>13.4</v>
      </c>
      <c r="G174">
        <v>41</v>
      </c>
      <c r="H174">
        <v>2</v>
      </c>
      <c r="I174">
        <v>5.3</v>
      </c>
      <c r="J174">
        <v>63</v>
      </c>
      <c r="K174">
        <v>0</v>
      </c>
      <c r="L174">
        <v>17.7</v>
      </c>
      <c r="M174">
        <v>57</v>
      </c>
      <c r="N174">
        <v>8</v>
      </c>
      <c r="O174">
        <v>46.5</v>
      </c>
      <c r="P174">
        <v>167</v>
      </c>
      <c r="Q174">
        <v>11</v>
      </c>
      <c r="R174">
        <v>2.6</v>
      </c>
      <c r="S174">
        <v>16</v>
      </c>
      <c r="T174">
        <v>1</v>
      </c>
      <c r="U174">
        <v>0</v>
      </c>
      <c r="V174">
        <v>0</v>
      </c>
      <c r="W174">
        <v>1</v>
      </c>
      <c r="X174">
        <f>6.6+4.9</f>
        <v>11.5</v>
      </c>
      <c r="Y174">
        <f>36+29</f>
        <v>65</v>
      </c>
      <c r="Z174">
        <v>5</v>
      </c>
      <c r="AA174">
        <v>8</v>
      </c>
      <c r="AB174">
        <v>5</v>
      </c>
      <c r="AC174">
        <v>9</v>
      </c>
      <c r="AD174" s="21">
        <v>0.35483870967741937</v>
      </c>
      <c r="AE174" s="21">
        <v>3.2258064516129031E-2</v>
      </c>
      <c r="AF174">
        <v>87.5</v>
      </c>
      <c r="AG174">
        <v>1</v>
      </c>
      <c r="AH174">
        <v>29</v>
      </c>
      <c r="AI174">
        <v>30</v>
      </c>
      <c r="AJ174">
        <v>2</v>
      </c>
      <c r="AK174">
        <v>65</v>
      </c>
      <c r="AL174">
        <v>38</v>
      </c>
      <c r="AM174">
        <v>0</v>
      </c>
      <c r="AN174">
        <f t="shared" si="10"/>
        <v>455</v>
      </c>
      <c r="AO174">
        <v>333</v>
      </c>
      <c r="AP174">
        <f>41+63</f>
        <v>104</v>
      </c>
      <c r="AQ174">
        <v>18</v>
      </c>
      <c r="AR174">
        <v>0</v>
      </c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  <c r="BE174" s="37"/>
      <c r="BF174" s="37"/>
      <c r="BG174" s="37"/>
      <c r="BH174" s="37"/>
      <c r="BI174" s="37"/>
      <c r="BJ174" s="37"/>
      <c r="BK174" s="37"/>
      <c r="BL174" s="37"/>
      <c r="BM174" s="37"/>
      <c r="BN174" s="37"/>
      <c r="BO174" s="37"/>
      <c r="BP174" s="37"/>
      <c r="BQ174" s="37"/>
      <c r="BR174" s="37"/>
      <c r="BS174" s="37"/>
      <c r="BT174" s="37"/>
      <c r="BU174" s="37"/>
      <c r="BV174" s="37"/>
      <c r="BW174" s="37"/>
      <c r="BX174" s="37"/>
      <c r="BY174" s="37"/>
      <c r="BZ174" s="37"/>
      <c r="CA174" s="37"/>
      <c r="CB174" s="37"/>
      <c r="CC174" s="37"/>
      <c r="CD174" s="37"/>
      <c r="CE174" s="37"/>
      <c r="CF174" s="37"/>
    </row>
    <row r="175" spans="1:84" x14ac:dyDescent="0.2">
      <c r="A175" s="39">
        <v>43751</v>
      </c>
      <c r="B175" s="22" t="s">
        <v>252</v>
      </c>
      <c r="C175" t="s">
        <v>302</v>
      </c>
      <c r="D175" s="22" t="s">
        <v>296</v>
      </c>
      <c r="E175">
        <v>26.96</v>
      </c>
      <c r="F175">
        <v>13.3</v>
      </c>
      <c r="G175">
        <v>86</v>
      </c>
      <c r="H175">
        <v>9</v>
      </c>
      <c r="I175">
        <v>13.5</v>
      </c>
      <c r="J175">
        <v>-1</v>
      </c>
      <c r="K175">
        <v>3</v>
      </c>
      <c r="L175">
        <v>23.3</v>
      </c>
      <c r="M175">
        <v>113</v>
      </c>
      <c r="N175">
        <v>15</v>
      </c>
      <c r="O175" s="14"/>
      <c r="R175">
        <v>9.4</v>
      </c>
      <c r="S175">
        <v>54</v>
      </c>
      <c r="T175">
        <v>4</v>
      </c>
      <c r="U175">
        <f>SUM(T175:T178)</f>
        <v>10</v>
      </c>
      <c r="V175">
        <f>SUM(Q175:Q178)</f>
        <v>22</v>
      </c>
      <c r="W175">
        <f>SUM(S175:S178)</f>
        <v>116</v>
      </c>
      <c r="X175">
        <v>5.0999999999999996</v>
      </c>
      <c r="Y175">
        <v>31</v>
      </c>
      <c r="Z175">
        <v>4</v>
      </c>
      <c r="AA175">
        <v>5</v>
      </c>
      <c r="AB175">
        <v>1</v>
      </c>
      <c r="AC175">
        <v>27</v>
      </c>
      <c r="AD175" s="21">
        <v>0.18181818181818182</v>
      </c>
      <c r="AE175" s="21">
        <v>6.8181818181818177E-2</v>
      </c>
      <c r="AF175">
        <v>60</v>
      </c>
      <c r="AG175">
        <v>12</v>
      </c>
      <c r="AH175">
        <v>41</v>
      </c>
      <c r="AI175">
        <v>27</v>
      </c>
      <c r="AJ175">
        <v>7</v>
      </c>
      <c r="AK175">
        <v>78</v>
      </c>
      <c r="AL175">
        <v>21</v>
      </c>
      <c r="AM175">
        <v>14</v>
      </c>
      <c r="AN175">
        <f t="shared" si="10"/>
        <v>448</v>
      </c>
      <c r="AO175">
        <v>334</v>
      </c>
      <c r="AP175">
        <f>86+23-1</f>
        <v>108</v>
      </c>
      <c r="AQ175">
        <v>0</v>
      </c>
      <c r="AR175">
        <v>6</v>
      </c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37"/>
      <c r="BD175" s="37"/>
      <c r="BE175" s="37"/>
      <c r="BF175" s="37"/>
      <c r="BG175" s="37"/>
      <c r="BH175" s="37"/>
      <c r="BI175" s="37"/>
      <c r="BJ175" s="37"/>
      <c r="BK175" s="37"/>
      <c r="BL175" s="37"/>
      <c r="BM175" s="37"/>
      <c r="BN175" s="37"/>
      <c r="BO175" s="37"/>
      <c r="BP175" s="37"/>
      <c r="BQ175" s="37"/>
      <c r="BR175" s="37"/>
      <c r="BS175" s="37"/>
      <c r="BT175" s="37"/>
      <c r="BU175" s="37"/>
      <c r="BV175" s="37"/>
      <c r="BW175" s="37"/>
      <c r="BX175" s="37"/>
      <c r="BY175" s="37"/>
      <c r="BZ175" s="37"/>
      <c r="CA175" s="37"/>
      <c r="CB175" s="37"/>
      <c r="CC175" s="37"/>
      <c r="CD175" s="37"/>
      <c r="CE175" s="37"/>
      <c r="CF175" s="37"/>
    </row>
    <row r="176" spans="1:84" x14ac:dyDescent="0.2">
      <c r="A176" s="39">
        <v>43751</v>
      </c>
      <c r="B176" s="22" t="s">
        <v>252</v>
      </c>
      <c r="C176" t="s">
        <v>307</v>
      </c>
      <c r="D176" s="22" t="s">
        <v>297</v>
      </c>
      <c r="E176">
        <f>13.6+1.7</f>
        <v>15.299999999999999</v>
      </c>
      <c r="F176">
        <v>13.6</v>
      </c>
      <c r="G176">
        <v>31</v>
      </c>
      <c r="H176">
        <v>8</v>
      </c>
      <c r="I176">
        <v>10.9</v>
      </c>
      <c r="J176">
        <v>44</v>
      </c>
      <c r="K176">
        <v>3</v>
      </c>
      <c r="L176">
        <v>16.899999999999999</v>
      </c>
      <c r="M176">
        <v>89</v>
      </c>
      <c r="N176">
        <v>12</v>
      </c>
      <c r="O176">
        <v>6.8</v>
      </c>
      <c r="P176">
        <v>36</v>
      </c>
      <c r="Q176">
        <v>6</v>
      </c>
      <c r="R176">
        <v>0</v>
      </c>
      <c r="S176">
        <v>0</v>
      </c>
      <c r="T176">
        <v>0</v>
      </c>
      <c r="U176">
        <v>19</v>
      </c>
      <c r="V176">
        <v>70</v>
      </c>
      <c r="W176">
        <v>8</v>
      </c>
      <c r="X176">
        <f>12.7+1.8</f>
        <v>14.5</v>
      </c>
      <c r="Y176">
        <v>45</v>
      </c>
      <c r="Z176">
        <v>5</v>
      </c>
      <c r="AA176">
        <v>8</v>
      </c>
      <c r="AB176">
        <v>2</v>
      </c>
      <c r="AC176">
        <v>11</v>
      </c>
      <c r="AD176" s="21">
        <v>0.46153846153846156</v>
      </c>
      <c r="AE176" s="21">
        <v>7.6923076923076927E-2</v>
      </c>
      <c r="AF176">
        <v>50</v>
      </c>
      <c r="AG176">
        <v>7</v>
      </c>
      <c r="AH176">
        <v>36</v>
      </c>
      <c r="AI176">
        <v>19</v>
      </c>
      <c r="AJ176">
        <v>6</v>
      </c>
      <c r="AK176">
        <v>65</v>
      </c>
      <c r="AL176">
        <v>13</v>
      </c>
      <c r="AM176">
        <v>0</v>
      </c>
      <c r="AN176">
        <f t="shared" si="10"/>
        <v>344</v>
      </c>
      <c r="AO176">
        <v>240</v>
      </c>
      <c r="AP176">
        <v>75</v>
      </c>
      <c r="AQ176">
        <v>12</v>
      </c>
      <c r="AR176">
        <v>17</v>
      </c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37"/>
      <c r="BD176" s="37"/>
      <c r="BE176" s="37"/>
      <c r="BF176" s="37"/>
      <c r="BG176" s="37"/>
      <c r="BH176" s="37"/>
      <c r="BI176" s="37"/>
      <c r="BJ176" s="37"/>
      <c r="BK176" s="37"/>
      <c r="BL176" s="37"/>
      <c r="BM176" s="37"/>
      <c r="BN176" s="37"/>
      <c r="BO176" s="37"/>
      <c r="BP176" s="37"/>
      <c r="BQ176" s="37"/>
      <c r="BR176" s="37"/>
      <c r="BS176" s="37"/>
      <c r="BT176" s="37"/>
      <c r="BU176" s="37"/>
      <c r="BV176" s="37"/>
      <c r="BW176" s="37"/>
      <c r="BX176" s="37"/>
      <c r="BY176" s="37"/>
      <c r="BZ176" s="37"/>
      <c r="CA176" s="37"/>
      <c r="CB176" s="37"/>
      <c r="CC176" s="37"/>
      <c r="CD176" s="37"/>
      <c r="CE176" s="37"/>
      <c r="CF176" s="37"/>
    </row>
    <row r="177" spans="1:84" x14ac:dyDescent="0.2">
      <c r="A177" s="39">
        <v>43751</v>
      </c>
      <c r="B177" s="28" t="s">
        <v>252</v>
      </c>
      <c r="C177" t="s">
        <v>296</v>
      </c>
      <c r="D177" s="28" t="s">
        <v>302</v>
      </c>
      <c r="E177" s="3">
        <v>8.24</v>
      </c>
      <c r="F177" s="3">
        <v>4.5</v>
      </c>
      <c r="G177" s="3">
        <v>38</v>
      </c>
      <c r="H177" s="3">
        <v>2</v>
      </c>
      <c r="I177" s="3">
        <v>1.6</v>
      </c>
      <c r="J177" s="3">
        <v>6</v>
      </c>
      <c r="K177" s="3">
        <v>2</v>
      </c>
      <c r="L177" s="3">
        <v>25.2</v>
      </c>
      <c r="M177" s="3">
        <v>102</v>
      </c>
      <c r="N177" s="3">
        <v>9</v>
      </c>
      <c r="O177" s="3">
        <v>6.2</v>
      </c>
      <c r="P177" s="3">
        <v>32</v>
      </c>
      <c r="Q177" s="3">
        <v>8</v>
      </c>
      <c r="R177" s="3">
        <v>0</v>
      </c>
      <c r="S177" s="3">
        <v>0</v>
      </c>
      <c r="T177" s="3">
        <v>1</v>
      </c>
      <c r="U177" s="3">
        <v>23.9</v>
      </c>
      <c r="V177" s="3">
        <v>109</v>
      </c>
      <c r="W177" s="3">
        <v>11</v>
      </c>
      <c r="X177" s="3">
        <v>6</v>
      </c>
      <c r="Y177" s="3">
        <v>30</v>
      </c>
      <c r="Z177" s="3">
        <v>7</v>
      </c>
      <c r="AA177" s="3">
        <v>2</v>
      </c>
      <c r="AB177" s="3">
        <v>0</v>
      </c>
      <c r="AC177" s="3">
        <v>12</v>
      </c>
      <c r="AD177" s="29">
        <v>0.54545454545454541</v>
      </c>
      <c r="AE177" s="29">
        <v>3.0303030303030304E-2</v>
      </c>
      <c r="AF177" s="3">
        <v>50</v>
      </c>
      <c r="AG177" s="3">
        <v>27</v>
      </c>
      <c r="AH177" s="3">
        <v>31</v>
      </c>
      <c r="AI177" s="3">
        <v>14</v>
      </c>
      <c r="AJ177" s="3">
        <v>2</v>
      </c>
      <c r="AK177" s="3">
        <v>48</v>
      </c>
      <c r="AL177" s="3">
        <v>7</v>
      </c>
      <c r="AM177" s="3">
        <v>7</v>
      </c>
      <c r="AN177" s="3">
        <f t="shared" si="10"/>
        <v>213</v>
      </c>
      <c r="AO177" s="3">
        <v>161</v>
      </c>
      <c r="AP177" s="3">
        <v>44</v>
      </c>
      <c r="AQ177" s="3">
        <v>0</v>
      </c>
      <c r="AR177" s="3">
        <v>8</v>
      </c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  <c r="BE177" s="37"/>
      <c r="BF177" s="37"/>
      <c r="BG177" s="37"/>
      <c r="BH177" s="37"/>
      <c r="BI177" s="37"/>
      <c r="BJ177" s="37"/>
      <c r="BK177" s="37"/>
      <c r="BL177" s="37"/>
      <c r="BM177" s="37"/>
      <c r="BN177" s="37"/>
      <c r="BO177" s="37"/>
      <c r="BP177" s="37"/>
      <c r="BQ177" s="37"/>
      <c r="BR177" s="37"/>
      <c r="BS177" s="37"/>
      <c r="BT177" s="37"/>
      <c r="BU177" s="37"/>
      <c r="BV177" s="37"/>
      <c r="BW177" s="37"/>
      <c r="BX177" s="37"/>
      <c r="BY177" s="37"/>
      <c r="BZ177" s="37"/>
      <c r="CA177" s="37"/>
      <c r="CB177" s="37"/>
      <c r="CC177" s="37"/>
      <c r="CD177" s="37"/>
      <c r="CE177" s="37"/>
      <c r="CF177" s="37"/>
    </row>
    <row r="178" spans="1:84" x14ac:dyDescent="0.2">
      <c r="A178" s="39">
        <v>43751</v>
      </c>
      <c r="B178" s="22" t="s">
        <v>252</v>
      </c>
      <c r="C178" t="s">
        <v>298</v>
      </c>
      <c r="D178" s="22" t="s">
        <v>291</v>
      </c>
      <c r="E178">
        <v>23.62</v>
      </c>
      <c r="F178">
        <v>12.3</v>
      </c>
      <c r="G178">
        <v>50</v>
      </c>
      <c r="H178">
        <v>1</v>
      </c>
      <c r="I178">
        <v>4.7</v>
      </c>
      <c r="J178">
        <v>0</v>
      </c>
      <c r="K178">
        <v>3</v>
      </c>
      <c r="L178">
        <v>15.8</v>
      </c>
      <c r="M178">
        <v>98</v>
      </c>
      <c r="N178">
        <v>9</v>
      </c>
      <c r="O178">
        <v>26.5</v>
      </c>
      <c r="P178">
        <v>125</v>
      </c>
      <c r="Q178">
        <v>8</v>
      </c>
      <c r="R178">
        <v>10.199999999999999</v>
      </c>
      <c r="S178">
        <v>62</v>
      </c>
      <c r="T178">
        <v>5</v>
      </c>
      <c r="U178">
        <v>29.000000000000004</v>
      </c>
      <c r="V178">
        <v>150</v>
      </c>
      <c r="W178">
        <v>11</v>
      </c>
      <c r="X178">
        <v>11.8</v>
      </c>
      <c r="Y178">
        <v>28</v>
      </c>
      <c r="Z178">
        <v>3</v>
      </c>
      <c r="AA178">
        <v>6</v>
      </c>
      <c r="AB178">
        <v>1</v>
      </c>
      <c r="AC178">
        <v>1</v>
      </c>
      <c r="AD178" s="21">
        <v>0.2857142857142857</v>
      </c>
      <c r="AE178" s="21">
        <v>5.7142857142857141E-2</v>
      </c>
      <c r="AF178">
        <v>83.3</v>
      </c>
      <c r="AG178">
        <v>4</v>
      </c>
      <c r="AH178">
        <v>32</v>
      </c>
      <c r="AI178">
        <v>15</v>
      </c>
      <c r="AJ178">
        <v>5</v>
      </c>
      <c r="AK178">
        <v>54</v>
      </c>
      <c r="AL178">
        <v>24</v>
      </c>
      <c r="AM178">
        <v>0</v>
      </c>
      <c r="AN178">
        <f t="shared" si="10"/>
        <v>394</v>
      </c>
      <c r="AO178">
        <v>338</v>
      </c>
      <c r="AP178">
        <v>55</v>
      </c>
      <c r="AQ178">
        <v>0</v>
      </c>
      <c r="AR178">
        <v>1</v>
      </c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  <c r="BI178" s="37"/>
      <c r="BJ178" s="37"/>
      <c r="BK178" s="37"/>
      <c r="BL178" s="37"/>
      <c r="BM178" s="37"/>
      <c r="BN178" s="37"/>
      <c r="BO178" s="37"/>
      <c r="BP178" s="37"/>
      <c r="BQ178" s="37"/>
      <c r="BR178" s="37"/>
      <c r="BS178" s="37"/>
      <c r="BT178" s="37"/>
      <c r="BU178" s="37"/>
      <c r="BV178" s="37"/>
      <c r="BW178" s="37"/>
      <c r="BX178" s="37"/>
      <c r="BY178" s="37"/>
      <c r="BZ178" s="37"/>
      <c r="CA178" s="37"/>
      <c r="CB178" s="37"/>
      <c r="CC178" s="37"/>
      <c r="CD178" s="37"/>
      <c r="CE178" s="37"/>
      <c r="CF178" s="37"/>
    </row>
    <row r="179" spans="1:84" x14ac:dyDescent="0.2">
      <c r="A179" s="39">
        <v>43751</v>
      </c>
      <c r="B179" s="22" t="s">
        <v>252</v>
      </c>
      <c r="C179" t="s">
        <v>294</v>
      </c>
      <c r="D179" s="22" t="s">
        <v>312</v>
      </c>
      <c r="E179">
        <v>24.54</v>
      </c>
      <c r="F179">
        <v>4.9000000000000004</v>
      </c>
      <c r="G179">
        <v>49</v>
      </c>
      <c r="H179">
        <v>0</v>
      </c>
      <c r="I179">
        <v>18.2</v>
      </c>
      <c r="J179">
        <v>6</v>
      </c>
      <c r="K179">
        <v>3</v>
      </c>
      <c r="L179">
        <v>23.6</v>
      </c>
      <c r="M179">
        <v>76</v>
      </c>
      <c r="N179">
        <v>12</v>
      </c>
      <c r="O179">
        <v>8.1999999999999993</v>
      </c>
      <c r="P179">
        <v>42</v>
      </c>
      <c r="Q179">
        <v>7</v>
      </c>
      <c r="R179">
        <v>0</v>
      </c>
      <c r="S179">
        <v>0</v>
      </c>
      <c r="T179">
        <v>2</v>
      </c>
      <c r="U179">
        <v>13.7</v>
      </c>
      <c r="V179">
        <v>27</v>
      </c>
      <c r="W179">
        <v>9</v>
      </c>
      <c r="X179">
        <f>9.8+8.4</f>
        <v>18.200000000000003</v>
      </c>
      <c r="Y179">
        <f>54+48</f>
        <v>102</v>
      </c>
      <c r="Z179">
        <v>17</v>
      </c>
      <c r="AA179">
        <v>10</v>
      </c>
      <c r="AB179">
        <v>2</v>
      </c>
      <c r="AC179">
        <v>1</v>
      </c>
      <c r="AD179" s="21">
        <v>0.37209302325581395</v>
      </c>
      <c r="AE179" s="21">
        <v>4.6511627906976744E-2</v>
      </c>
      <c r="AF179">
        <v>76.900000000000006</v>
      </c>
      <c r="AG179">
        <v>9</v>
      </c>
      <c r="AH179">
        <v>40</v>
      </c>
      <c r="AI179">
        <v>20</v>
      </c>
      <c r="AJ179">
        <v>2</v>
      </c>
      <c r="AK179">
        <v>65</v>
      </c>
      <c r="AL179">
        <v>20</v>
      </c>
      <c r="AM179">
        <v>0</v>
      </c>
      <c r="AN179">
        <f t="shared" si="10"/>
        <v>414</v>
      </c>
      <c r="AO179">
        <v>306</v>
      </c>
      <c r="AP179">
        <f>49+6+30</f>
        <v>85</v>
      </c>
      <c r="AQ179">
        <v>0</v>
      </c>
      <c r="AR179">
        <v>23</v>
      </c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  <c r="BE179" s="37"/>
      <c r="BF179" s="37"/>
      <c r="BG179" s="37"/>
      <c r="BH179" s="37"/>
      <c r="BI179" s="37"/>
      <c r="BJ179" s="37"/>
      <c r="BK179" s="37"/>
      <c r="BL179" s="37"/>
      <c r="BM179" s="37"/>
      <c r="BN179" s="37"/>
      <c r="BO179" s="37"/>
      <c r="BP179" s="37"/>
      <c r="BQ179" s="37"/>
      <c r="BR179" s="37"/>
      <c r="BS179" s="37"/>
      <c r="BT179" s="37"/>
      <c r="BU179" s="37"/>
      <c r="BV179" s="37"/>
      <c r="BW179" s="37"/>
      <c r="BX179" s="37"/>
      <c r="BY179" s="37"/>
      <c r="BZ179" s="37"/>
      <c r="CA179" s="37"/>
      <c r="CB179" s="37"/>
      <c r="CC179" s="37"/>
      <c r="CD179" s="37"/>
      <c r="CE179" s="37"/>
      <c r="CF179" s="37"/>
    </row>
    <row r="180" spans="1:84" x14ac:dyDescent="0.2">
      <c r="A180" s="39">
        <v>43751</v>
      </c>
      <c r="B180" s="22" t="s">
        <v>252</v>
      </c>
      <c r="C180" t="s">
        <v>309</v>
      </c>
      <c r="D180" s="22" t="s">
        <v>287</v>
      </c>
      <c r="E180">
        <v>9.08</v>
      </c>
      <c r="F180">
        <v>30.9</v>
      </c>
      <c r="G180">
        <v>41</v>
      </c>
      <c r="H180">
        <v>7</v>
      </c>
      <c r="I180">
        <v>9.9</v>
      </c>
      <c r="J180">
        <v>75</v>
      </c>
      <c r="K180">
        <v>1</v>
      </c>
      <c r="L180">
        <v>1.7</v>
      </c>
      <c r="M180">
        <v>7</v>
      </c>
      <c r="N180">
        <v>4</v>
      </c>
      <c r="O180">
        <v>3.4</v>
      </c>
      <c r="P180">
        <v>14</v>
      </c>
      <c r="Q180">
        <v>2</v>
      </c>
      <c r="R180">
        <v>2.1</v>
      </c>
      <c r="S180">
        <v>11</v>
      </c>
      <c r="T180">
        <v>2</v>
      </c>
      <c r="U180">
        <v>4.2</v>
      </c>
      <c r="V180">
        <v>12</v>
      </c>
      <c r="W180">
        <v>4</v>
      </c>
      <c r="X180">
        <v>3</v>
      </c>
      <c r="Y180">
        <v>10</v>
      </c>
      <c r="Z180">
        <v>2</v>
      </c>
      <c r="AA180">
        <v>10</v>
      </c>
      <c r="AB180">
        <v>2</v>
      </c>
      <c r="AC180">
        <v>14</v>
      </c>
      <c r="AD180" s="21">
        <v>0.2857142857142857</v>
      </c>
      <c r="AE180" s="21">
        <v>0</v>
      </c>
      <c r="AF180">
        <v>75</v>
      </c>
      <c r="AG180">
        <v>3</v>
      </c>
      <c r="AH180">
        <v>20</v>
      </c>
      <c r="AI180">
        <v>33</v>
      </c>
      <c r="AJ180">
        <v>3</v>
      </c>
      <c r="AK180">
        <v>56</v>
      </c>
      <c r="AL180">
        <v>17</v>
      </c>
      <c r="AM180">
        <v>7</v>
      </c>
      <c r="AN180">
        <f t="shared" si="10"/>
        <v>256</v>
      </c>
      <c r="AO180">
        <v>132</v>
      </c>
      <c r="AP180">
        <f>41+75</f>
        <v>116</v>
      </c>
      <c r="AQ180">
        <v>0</v>
      </c>
      <c r="AR180">
        <v>8</v>
      </c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  <c r="BE180" s="37"/>
      <c r="BF180" s="37"/>
      <c r="BG180" s="37"/>
      <c r="BH180" s="37"/>
      <c r="BI180" s="37"/>
      <c r="BJ180" s="37"/>
      <c r="BK180" s="37"/>
      <c r="BL180" s="37"/>
      <c r="BM180" s="37"/>
      <c r="BN180" s="37"/>
      <c r="BO180" s="37"/>
      <c r="BP180" s="37"/>
      <c r="BQ180" s="37"/>
      <c r="BR180" s="37"/>
      <c r="BS180" s="37"/>
      <c r="BT180" s="37"/>
      <c r="BU180" s="37"/>
      <c r="BV180" s="37"/>
      <c r="BW180" s="37"/>
      <c r="BX180" s="37"/>
      <c r="BY180" s="37"/>
      <c r="BZ180" s="37"/>
      <c r="CA180" s="37"/>
      <c r="CB180" s="37"/>
      <c r="CC180" s="37"/>
      <c r="CD180" s="37"/>
      <c r="CE180" s="37"/>
      <c r="CF180" s="37"/>
    </row>
    <row r="181" spans="1:84" x14ac:dyDescent="0.2">
      <c r="A181" s="39">
        <v>43751</v>
      </c>
      <c r="B181" s="22" t="s">
        <v>252</v>
      </c>
      <c r="C181" s="22" t="s">
        <v>256</v>
      </c>
      <c r="D181" s="22" t="s">
        <v>304</v>
      </c>
      <c r="E181">
        <v>14.12</v>
      </c>
      <c r="F181">
        <v>14.1</v>
      </c>
      <c r="G181">
        <v>45</v>
      </c>
      <c r="H181">
        <v>3</v>
      </c>
      <c r="I181">
        <v>10.3</v>
      </c>
      <c r="J181">
        <v>36</v>
      </c>
      <c r="K181">
        <v>4</v>
      </c>
      <c r="L181">
        <v>7.5</v>
      </c>
      <c r="M181">
        <v>45</v>
      </c>
      <c r="N181">
        <v>6</v>
      </c>
      <c r="O181">
        <v>4.9000000000000004</v>
      </c>
      <c r="P181">
        <v>18</v>
      </c>
      <c r="Q181">
        <v>5</v>
      </c>
      <c r="R181">
        <v>3.5</v>
      </c>
      <c r="S181">
        <v>15</v>
      </c>
      <c r="T181">
        <v>3</v>
      </c>
      <c r="U181">
        <v>13.899999999999999</v>
      </c>
      <c r="V181">
        <v>69</v>
      </c>
      <c r="W181">
        <v>9</v>
      </c>
      <c r="X181">
        <f>21.3+1.8</f>
        <v>23.1</v>
      </c>
      <c r="Y181">
        <v>111</v>
      </c>
      <c r="Z181">
        <v>9</v>
      </c>
      <c r="AA181">
        <v>8</v>
      </c>
      <c r="AB181">
        <v>3</v>
      </c>
      <c r="AC181">
        <v>10</v>
      </c>
      <c r="AD181" s="21">
        <v>0.34285714285714286</v>
      </c>
      <c r="AE181" s="21">
        <v>5.7142857142857141E-2</v>
      </c>
      <c r="AF181">
        <v>70</v>
      </c>
      <c r="AG181">
        <v>7</v>
      </c>
      <c r="AH181">
        <v>33</v>
      </c>
      <c r="AI181">
        <f>18+13+4</f>
        <v>35</v>
      </c>
      <c r="AJ181">
        <v>5</v>
      </c>
      <c r="AK181">
        <v>76</v>
      </c>
      <c r="AL181">
        <v>20</v>
      </c>
      <c r="AM181">
        <v>0</v>
      </c>
      <c r="AN181">
        <f>AO181+AP181+AR181+AQ181</f>
        <v>342</v>
      </c>
      <c r="AO181">
        <v>243</v>
      </c>
      <c r="AP181">
        <f>45+36+13</f>
        <v>94</v>
      </c>
      <c r="AQ181">
        <v>1</v>
      </c>
      <c r="AR181">
        <v>4</v>
      </c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  <c r="BE181" s="37"/>
      <c r="BF181" s="37"/>
      <c r="BG181" s="37"/>
      <c r="BH181" s="37"/>
      <c r="BI181" s="37"/>
      <c r="BJ181" s="37"/>
      <c r="BK181" s="37"/>
      <c r="BL181" s="37"/>
      <c r="BM181" s="37"/>
      <c r="BN181" s="37"/>
      <c r="BO181" s="37"/>
      <c r="BP181" s="37"/>
      <c r="BQ181" s="37"/>
      <c r="BR181" s="37"/>
      <c r="BS181" s="37"/>
      <c r="BT181" s="37"/>
      <c r="BU181" s="37"/>
      <c r="BV181" s="37"/>
      <c r="BW181" s="37"/>
      <c r="BX181" s="37"/>
      <c r="BY181" s="37"/>
      <c r="BZ181" s="37"/>
      <c r="CA181" s="37"/>
      <c r="CB181" s="37"/>
      <c r="CC181" s="37"/>
      <c r="CD181" s="37"/>
      <c r="CE181" s="37"/>
      <c r="CF181" s="37"/>
    </row>
    <row r="182" spans="1:84" x14ac:dyDescent="0.2">
      <c r="A182" s="39">
        <v>43751</v>
      </c>
      <c r="B182" s="22" t="s">
        <v>252</v>
      </c>
      <c r="C182" t="s">
        <v>308</v>
      </c>
      <c r="D182" s="22" t="s">
        <v>281</v>
      </c>
      <c r="E182">
        <v>28.9</v>
      </c>
      <c r="F182">
        <v>28.9</v>
      </c>
      <c r="G182">
        <v>124</v>
      </c>
      <c r="H182">
        <v>4</v>
      </c>
      <c r="I182">
        <v>2.2999999999999998</v>
      </c>
      <c r="J182">
        <v>8</v>
      </c>
      <c r="K182">
        <v>3</v>
      </c>
      <c r="L182">
        <v>12.8</v>
      </c>
      <c r="M182">
        <v>75</v>
      </c>
      <c r="N182">
        <v>5</v>
      </c>
      <c r="O182">
        <v>11.3</v>
      </c>
      <c r="P182">
        <v>69</v>
      </c>
      <c r="Q182">
        <v>5</v>
      </c>
      <c r="R182" s="14">
        <v>17.899999999999999</v>
      </c>
      <c r="S182">
        <v>29</v>
      </c>
      <c r="T182">
        <v>5</v>
      </c>
      <c r="U182" s="22">
        <v>16.2</v>
      </c>
      <c r="V182" s="22">
        <v>62</v>
      </c>
      <c r="W182" s="22">
        <v>8</v>
      </c>
      <c r="X182" s="22"/>
      <c r="Y182" s="22"/>
      <c r="Z182" s="22"/>
      <c r="AA182">
        <v>8</v>
      </c>
      <c r="AB182">
        <v>2</v>
      </c>
      <c r="AC182">
        <v>9</v>
      </c>
      <c r="AD182" s="21">
        <v>0.51219512195121952</v>
      </c>
      <c r="AE182" s="21">
        <v>7.3170731707317069E-2</v>
      </c>
      <c r="AF182">
        <v>92.3</v>
      </c>
      <c r="AG182">
        <v>4</v>
      </c>
      <c r="AH182">
        <v>33</v>
      </c>
      <c r="AI182">
        <v>27</v>
      </c>
      <c r="AJ182">
        <v>9</v>
      </c>
      <c r="AK182">
        <v>74</v>
      </c>
      <c r="AL182">
        <v>32</v>
      </c>
      <c r="AM182">
        <v>0</v>
      </c>
      <c r="AN182">
        <f>SUM(AO182:AR182)</f>
        <v>465</v>
      </c>
      <c r="AO182">
        <v>295</v>
      </c>
      <c r="AP182">
        <v>132</v>
      </c>
      <c r="AQ182">
        <v>7</v>
      </c>
      <c r="AR182">
        <v>31</v>
      </c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37"/>
      <c r="BD182" s="37"/>
      <c r="BE182" s="37"/>
      <c r="BF182" s="37"/>
      <c r="BG182" s="37"/>
      <c r="BH182" s="37"/>
      <c r="BI182" s="37"/>
      <c r="BJ182" s="37"/>
      <c r="BK182" s="37"/>
      <c r="BL182" s="37"/>
      <c r="BM182" s="37"/>
      <c r="BN182" s="37"/>
      <c r="BO182" s="37"/>
      <c r="BP182" s="37"/>
      <c r="BQ182" s="37"/>
      <c r="BR182" s="37"/>
      <c r="BS182" s="37"/>
      <c r="BT182" s="37"/>
      <c r="BU182" s="37"/>
      <c r="BV182" s="37"/>
      <c r="BW182" s="37"/>
      <c r="BX182" s="37"/>
      <c r="BY182" s="37"/>
      <c r="BZ182" s="37"/>
      <c r="CA182" s="37"/>
      <c r="CB182" s="37"/>
      <c r="CC182" s="37"/>
      <c r="CD182" s="37"/>
      <c r="CE182" s="37"/>
      <c r="CF182" s="37"/>
    </row>
    <row r="183" spans="1:84" x14ac:dyDescent="0.2">
      <c r="A183" s="39">
        <v>43751</v>
      </c>
      <c r="B183" s="22" t="s">
        <v>252</v>
      </c>
      <c r="C183" t="s">
        <v>284</v>
      </c>
      <c r="D183" s="22" t="s">
        <v>301</v>
      </c>
      <c r="E183">
        <v>21.1</v>
      </c>
      <c r="F183">
        <v>7</v>
      </c>
      <c r="G183">
        <v>10</v>
      </c>
      <c r="H183">
        <v>0</v>
      </c>
      <c r="I183">
        <v>11.5</v>
      </c>
      <c r="J183">
        <v>3</v>
      </c>
      <c r="K183">
        <v>5</v>
      </c>
      <c r="L183">
        <v>20.6</v>
      </c>
      <c r="M183">
        <v>96</v>
      </c>
      <c r="N183">
        <v>17</v>
      </c>
      <c r="O183">
        <v>28.1</v>
      </c>
      <c r="P183">
        <v>151</v>
      </c>
      <c r="Q183">
        <v>12</v>
      </c>
      <c r="R183">
        <v>6.9</v>
      </c>
      <c r="S183">
        <v>39</v>
      </c>
      <c r="T183">
        <v>7</v>
      </c>
      <c r="U183">
        <v>31.2</v>
      </c>
      <c r="V183">
        <v>152</v>
      </c>
      <c r="W183">
        <v>15</v>
      </c>
      <c r="X183">
        <f>12.7+5.5</f>
        <v>18.2</v>
      </c>
      <c r="Y183">
        <f>47+35</f>
        <v>82</v>
      </c>
      <c r="Z183">
        <v>8</v>
      </c>
      <c r="AA183">
        <v>6</v>
      </c>
      <c r="AB183">
        <v>1</v>
      </c>
      <c r="AC183">
        <v>0</v>
      </c>
      <c r="AD183" s="21">
        <v>0.37096774193548387</v>
      </c>
      <c r="AE183" s="21">
        <v>0.11290322580645161</v>
      </c>
      <c r="AF183">
        <v>75</v>
      </c>
      <c r="AG183">
        <v>21</v>
      </c>
      <c r="AH183">
        <v>54</v>
      </c>
      <c r="AI183">
        <v>13</v>
      </c>
      <c r="AJ183">
        <v>1</v>
      </c>
      <c r="AK183">
        <v>75</v>
      </c>
      <c r="AL183">
        <v>26</v>
      </c>
      <c r="AM183">
        <v>0</v>
      </c>
      <c r="AN183">
        <f>AO183+AP183+AQ183+AR183</f>
        <v>442</v>
      </c>
      <c r="AO183">
        <v>400</v>
      </c>
      <c r="AP183">
        <f>13+28</f>
        <v>41</v>
      </c>
      <c r="AQ183">
        <v>0</v>
      </c>
      <c r="AR183">
        <v>1</v>
      </c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37"/>
      <c r="BD183" s="37"/>
      <c r="BE183" s="37"/>
      <c r="BF183" s="37"/>
      <c r="BG183" s="37"/>
      <c r="BH183" s="37"/>
      <c r="BI183" s="37"/>
      <c r="BJ183" s="37"/>
      <c r="BK183" s="37"/>
      <c r="BL183" s="37"/>
      <c r="BM183" s="37"/>
      <c r="BN183" s="37"/>
      <c r="BO183" s="37"/>
      <c r="BP183" s="37"/>
      <c r="BQ183" s="37"/>
      <c r="BR183" s="37"/>
      <c r="BS183" s="37"/>
      <c r="BT183" s="37"/>
      <c r="BU183" s="37"/>
      <c r="BV183" s="37"/>
      <c r="BW183" s="37"/>
      <c r="BX183" s="37"/>
      <c r="BY183" s="37"/>
      <c r="BZ183" s="37"/>
      <c r="CA183" s="37"/>
      <c r="CB183" s="37"/>
      <c r="CC183" s="37"/>
      <c r="CD183" s="37"/>
      <c r="CE183" s="37"/>
      <c r="CF183" s="37"/>
    </row>
    <row r="184" spans="1:84" x14ac:dyDescent="0.2">
      <c r="A184" s="39">
        <v>43751</v>
      </c>
      <c r="B184" s="22" t="s">
        <v>252</v>
      </c>
      <c r="C184" t="s">
        <v>310</v>
      </c>
      <c r="D184" s="22" t="s">
        <v>278</v>
      </c>
      <c r="E184">
        <f>5.36+0.92</f>
        <v>6.28</v>
      </c>
      <c r="F184">
        <v>4.3</v>
      </c>
      <c r="G184">
        <v>28</v>
      </c>
      <c r="H184">
        <v>3</v>
      </c>
      <c r="I184">
        <v>4.9000000000000004</v>
      </c>
      <c r="J184">
        <v>-1</v>
      </c>
      <c r="K184">
        <v>3</v>
      </c>
      <c r="L184">
        <v>6.6</v>
      </c>
      <c r="M184">
        <v>36</v>
      </c>
      <c r="N184">
        <v>5</v>
      </c>
      <c r="O184" s="14">
        <v>10.7</v>
      </c>
      <c r="P184">
        <v>47</v>
      </c>
      <c r="Q184">
        <v>6</v>
      </c>
      <c r="R184">
        <v>4.3</v>
      </c>
      <c r="S184">
        <v>23</v>
      </c>
      <c r="T184">
        <v>4</v>
      </c>
      <c r="U184">
        <v>20.299999999999997</v>
      </c>
      <c r="V184">
        <v>103</v>
      </c>
      <c r="W184">
        <v>13</v>
      </c>
      <c r="X184">
        <f>7.3+3.5+1.8</f>
        <v>12.600000000000001</v>
      </c>
      <c r="Y184">
        <f>43+25+8</f>
        <v>76</v>
      </c>
      <c r="Z184">
        <v>9</v>
      </c>
      <c r="AA184">
        <v>0</v>
      </c>
      <c r="AB184">
        <v>0</v>
      </c>
      <c r="AC184">
        <v>4</v>
      </c>
      <c r="AD184" s="21">
        <v>0.31818181818181818</v>
      </c>
      <c r="AE184" s="21">
        <v>0.15909090909090909</v>
      </c>
      <c r="AF184">
        <v>50</v>
      </c>
      <c r="AG184">
        <v>23</v>
      </c>
      <c r="AH184">
        <f>16+18</f>
        <v>34</v>
      </c>
      <c r="AI184">
        <v>18</v>
      </c>
      <c r="AJ184">
        <v>3</v>
      </c>
      <c r="AK184">
        <v>62</v>
      </c>
      <c r="AL184">
        <v>0</v>
      </c>
      <c r="AM184">
        <v>0</v>
      </c>
      <c r="AN184">
        <f t="shared" ref="AN184:AN189" si="11">SUM(AO184:AR184)</f>
        <v>246</v>
      </c>
      <c r="AO184">
        <f>144+63</f>
        <v>207</v>
      </c>
      <c r="AP184">
        <v>29</v>
      </c>
      <c r="AQ184">
        <v>0</v>
      </c>
      <c r="AR184">
        <v>10</v>
      </c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37"/>
      <c r="BD184" s="37"/>
      <c r="BE184" s="37"/>
      <c r="BF184" s="37"/>
      <c r="BG184" s="37"/>
      <c r="BH184" s="37"/>
      <c r="BI184" s="37"/>
      <c r="BJ184" s="37"/>
      <c r="BK184" s="37"/>
      <c r="BL184" s="37"/>
      <c r="BM184" s="37"/>
      <c r="BN184" s="37"/>
      <c r="BO184" s="37"/>
      <c r="BP184" s="37"/>
      <c r="BQ184" s="37"/>
      <c r="BR184" s="37"/>
      <c r="BS184" s="37"/>
      <c r="BT184" s="37"/>
      <c r="BU184" s="37"/>
      <c r="BV184" s="37"/>
      <c r="BW184" s="37"/>
      <c r="BX184" s="37"/>
      <c r="BY184" s="37"/>
      <c r="BZ184" s="37"/>
      <c r="CA184" s="37"/>
      <c r="CB184" s="37"/>
      <c r="CC184" s="37"/>
      <c r="CD184" s="37"/>
      <c r="CE184" s="37"/>
      <c r="CF184" s="37"/>
    </row>
    <row r="185" spans="1:84" x14ac:dyDescent="0.2">
      <c r="A185" s="39">
        <v>43751</v>
      </c>
      <c r="B185" s="22" t="s">
        <v>252</v>
      </c>
      <c r="C185" t="s">
        <v>306</v>
      </c>
      <c r="D185" s="22" t="s">
        <v>293</v>
      </c>
      <c r="E185">
        <v>15.64</v>
      </c>
      <c r="F185">
        <v>18.600000000000001</v>
      </c>
      <c r="G185">
        <v>118</v>
      </c>
      <c r="H185">
        <v>2</v>
      </c>
      <c r="I185">
        <v>4</v>
      </c>
      <c r="J185">
        <v>12</v>
      </c>
      <c r="K185">
        <v>3</v>
      </c>
      <c r="L185">
        <v>29</v>
      </c>
      <c r="M185">
        <v>100</v>
      </c>
      <c r="N185">
        <v>7</v>
      </c>
      <c r="O185">
        <v>0</v>
      </c>
      <c r="P185">
        <v>0</v>
      </c>
      <c r="Q185">
        <v>4</v>
      </c>
      <c r="R185" s="14">
        <v>2.8</v>
      </c>
      <c r="S185">
        <v>8</v>
      </c>
      <c r="T185">
        <v>4</v>
      </c>
      <c r="U185">
        <v>12</v>
      </c>
      <c r="V185">
        <v>40</v>
      </c>
      <c r="W185">
        <v>7</v>
      </c>
      <c r="X185">
        <v>4.4000000000000004</v>
      </c>
      <c r="Y185">
        <v>24</v>
      </c>
      <c r="Z185">
        <v>3</v>
      </c>
      <c r="AA185">
        <v>5</v>
      </c>
      <c r="AB185">
        <v>2</v>
      </c>
      <c r="AC185">
        <v>10</v>
      </c>
      <c r="AD185" s="21">
        <v>0.25925925925925924</v>
      </c>
      <c r="AE185" s="21">
        <v>0</v>
      </c>
      <c r="AF185">
        <v>60</v>
      </c>
      <c r="AG185">
        <v>1</v>
      </c>
      <c r="AH185">
        <v>25</v>
      </c>
      <c r="AI185">
        <v>27</v>
      </c>
      <c r="AJ185">
        <v>4</v>
      </c>
      <c r="AK185">
        <v>58</v>
      </c>
      <c r="AL185">
        <v>17</v>
      </c>
      <c r="AM185">
        <v>0</v>
      </c>
      <c r="AN185">
        <f t="shared" si="11"/>
        <v>311</v>
      </c>
      <c r="AO185">
        <v>166</v>
      </c>
      <c r="AP185">
        <f>118+12+4</f>
        <v>134</v>
      </c>
      <c r="AQ185">
        <v>1</v>
      </c>
      <c r="AR185">
        <v>10</v>
      </c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37"/>
      <c r="BD185" s="37"/>
      <c r="BE185" s="37"/>
      <c r="BF185" s="37"/>
      <c r="BG185" s="37"/>
      <c r="BH185" s="37"/>
      <c r="BI185" s="37"/>
      <c r="BJ185" s="37"/>
      <c r="BK185" s="37"/>
      <c r="BL185" s="37"/>
      <c r="BM185" s="37"/>
      <c r="BN185" s="37"/>
      <c r="BO185" s="37"/>
      <c r="BP185" s="37"/>
      <c r="BQ185" s="37"/>
      <c r="BR185" s="37"/>
      <c r="BS185" s="37"/>
      <c r="BT185" s="37"/>
      <c r="BU185" s="37"/>
      <c r="BV185" s="37"/>
      <c r="BW185" s="37"/>
      <c r="BX185" s="37"/>
      <c r="BY185" s="37"/>
      <c r="BZ185" s="37"/>
      <c r="CA185" s="37"/>
      <c r="CB185" s="37"/>
      <c r="CC185" s="37"/>
      <c r="CD185" s="37"/>
      <c r="CE185" s="37"/>
      <c r="CF185" s="37"/>
    </row>
    <row r="186" spans="1:84" x14ac:dyDescent="0.2">
      <c r="A186" s="39">
        <v>43758</v>
      </c>
      <c r="B186" s="22" t="s">
        <v>250</v>
      </c>
      <c r="C186" t="s">
        <v>285</v>
      </c>
      <c r="D186" s="22" t="s">
        <v>296</v>
      </c>
      <c r="E186">
        <v>6.96</v>
      </c>
      <c r="F186">
        <v>38</v>
      </c>
      <c r="G186">
        <v>126</v>
      </c>
      <c r="H186">
        <v>4</v>
      </c>
      <c r="I186">
        <v>0.2</v>
      </c>
      <c r="J186">
        <v>2</v>
      </c>
      <c r="K186">
        <v>0</v>
      </c>
      <c r="L186">
        <v>2.2000000000000002</v>
      </c>
      <c r="M186">
        <v>12</v>
      </c>
      <c r="N186">
        <v>3</v>
      </c>
      <c r="O186">
        <v>6.9</v>
      </c>
      <c r="P186">
        <v>29</v>
      </c>
      <c r="Q186">
        <v>4</v>
      </c>
      <c r="R186">
        <v>2.8</v>
      </c>
      <c r="S186">
        <v>8</v>
      </c>
      <c r="T186">
        <v>2</v>
      </c>
      <c r="U186">
        <v>16.5</v>
      </c>
      <c r="V186">
        <v>75</v>
      </c>
      <c r="W186">
        <v>11</v>
      </c>
      <c r="X186">
        <f>2.2+1.5</f>
        <v>3.7</v>
      </c>
      <c r="Y186">
        <v>17</v>
      </c>
      <c r="Z186">
        <v>3</v>
      </c>
      <c r="AA186">
        <v>10</v>
      </c>
      <c r="AB186">
        <v>3</v>
      </c>
      <c r="AC186">
        <v>14</v>
      </c>
      <c r="AD186" s="21">
        <v>0.1111111111111111</v>
      </c>
      <c r="AE186" s="21">
        <v>3.7037037037037035E-2</v>
      </c>
      <c r="AF186">
        <v>0</v>
      </c>
      <c r="AG186">
        <v>10</v>
      </c>
      <c r="AH186">
        <v>21</v>
      </c>
      <c r="AI186">
        <v>28</v>
      </c>
      <c r="AJ186">
        <v>10</v>
      </c>
      <c r="AK186">
        <v>61</v>
      </c>
      <c r="AL186">
        <v>27</v>
      </c>
      <c r="AM186">
        <v>0</v>
      </c>
      <c r="AN186">
        <f t="shared" si="11"/>
        <v>260</v>
      </c>
      <c r="AO186">
        <v>104</v>
      </c>
      <c r="AP186">
        <v>128</v>
      </c>
      <c r="AQ186">
        <v>0</v>
      </c>
      <c r="AR186">
        <v>28</v>
      </c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37"/>
      <c r="BD186" s="37"/>
      <c r="BE186" s="37"/>
      <c r="BF186" s="37"/>
      <c r="BG186" s="37"/>
      <c r="BH186" s="37"/>
      <c r="BI186" s="37"/>
      <c r="BJ186" s="37"/>
      <c r="BK186" s="37"/>
      <c r="BL186" s="37"/>
      <c r="BM186" s="37"/>
      <c r="BN186" s="37"/>
      <c r="BO186" s="37"/>
      <c r="BP186" s="37"/>
      <c r="BQ186" s="37"/>
      <c r="BR186" s="37"/>
      <c r="BS186" s="37"/>
      <c r="BT186" s="37"/>
      <c r="BU186" s="37"/>
      <c r="BV186" s="37"/>
      <c r="BW186" s="37"/>
      <c r="BX186" s="37"/>
      <c r="BY186" s="37"/>
      <c r="BZ186" s="37"/>
      <c r="CA186" s="37"/>
      <c r="CB186" s="37"/>
      <c r="CC186" s="37"/>
      <c r="CD186" s="37"/>
      <c r="CE186" s="37"/>
      <c r="CF186" s="37"/>
    </row>
    <row r="187" spans="1:84" x14ac:dyDescent="0.2">
      <c r="A187" s="39">
        <v>43758</v>
      </c>
      <c r="B187" s="22" t="s">
        <v>250</v>
      </c>
      <c r="C187" t="s">
        <v>295</v>
      </c>
      <c r="D187" s="22" t="s">
        <v>304</v>
      </c>
      <c r="E187">
        <f>6.5+4.56</f>
        <v>11.059999999999999</v>
      </c>
      <c r="F187">
        <v>4.5</v>
      </c>
      <c r="G187">
        <v>19</v>
      </c>
      <c r="H187">
        <v>3</v>
      </c>
      <c r="I187">
        <v>4.5</v>
      </c>
      <c r="J187">
        <v>11</v>
      </c>
      <c r="K187">
        <v>2</v>
      </c>
      <c r="L187">
        <v>15.3</v>
      </c>
      <c r="M187">
        <v>93</v>
      </c>
      <c r="N187">
        <v>9</v>
      </c>
      <c r="O187">
        <v>7</v>
      </c>
      <c r="P187">
        <v>30</v>
      </c>
      <c r="Q187">
        <v>6</v>
      </c>
      <c r="R187" s="14">
        <v>1.3</v>
      </c>
      <c r="S187">
        <v>3</v>
      </c>
      <c r="T187">
        <v>2</v>
      </c>
      <c r="U187">
        <v>13.2</v>
      </c>
      <c r="V187">
        <v>32</v>
      </c>
      <c r="W187">
        <v>5</v>
      </c>
      <c r="X187">
        <v>14.6</v>
      </c>
      <c r="Y187">
        <v>46</v>
      </c>
      <c r="Z187">
        <v>5</v>
      </c>
      <c r="AA187">
        <v>6</v>
      </c>
      <c r="AB187">
        <v>2</v>
      </c>
      <c r="AC187">
        <v>-4</v>
      </c>
      <c r="AD187" s="21">
        <v>0.48484848484848486</v>
      </c>
      <c r="AE187" s="21">
        <v>0.15151515151515152</v>
      </c>
      <c r="AF187">
        <v>50</v>
      </c>
      <c r="AG187">
        <v>21</v>
      </c>
      <c r="AH187">
        <v>33</v>
      </c>
      <c r="AI187">
        <v>13</v>
      </c>
      <c r="AJ187">
        <v>2</v>
      </c>
      <c r="AK187">
        <v>53</v>
      </c>
      <c r="AL187">
        <v>10</v>
      </c>
      <c r="AM187">
        <v>0</v>
      </c>
      <c r="AN187">
        <f t="shared" si="11"/>
        <v>262</v>
      </c>
      <c r="AO187">
        <f>159+65</f>
        <v>224</v>
      </c>
      <c r="AP187">
        <v>37</v>
      </c>
      <c r="AQ187">
        <v>0</v>
      </c>
      <c r="AR187">
        <v>1</v>
      </c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37"/>
      <c r="BD187" s="37"/>
      <c r="BE187" s="37"/>
      <c r="BF187" s="37"/>
      <c r="BG187" s="37"/>
      <c r="BH187" s="37"/>
      <c r="BI187" s="37"/>
      <c r="BJ187" s="37"/>
      <c r="BK187" s="37"/>
      <c r="BL187" s="37"/>
      <c r="BM187" s="37"/>
      <c r="BN187" s="37"/>
      <c r="BO187" s="37"/>
      <c r="BP187" s="37"/>
      <c r="BQ187" s="37"/>
      <c r="BR187" s="37"/>
      <c r="BS187" s="37"/>
      <c r="BT187" s="37"/>
      <c r="BU187" s="37"/>
      <c r="BV187" s="37"/>
      <c r="BW187" s="37"/>
      <c r="BX187" s="37"/>
      <c r="BY187" s="37"/>
      <c r="BZ187" s="37"/>
      <c r="CA187" s="37"/>
      <c r="CB187" s="37"/>
      <c r="CC187" s="37"/>
      <c r="CD187" s="37"/>
      <c r="CE187" s="37"/>
      <c r="CF187" s="37"/>
    </row>
    <row r="188" spans="1:84" x14ac:dyDescent="0.2">
      <c r="A188" s="39">
        <v>43758</v>
      </c>
      <c r="B188" s="22" t="s">
        <v>250</v>
      </c>
      <c r="C188" s="41" t="s">
        <v>305</v>
      </c>
      <c r="D188" s="22" t="s">
        <v>308</v>
      </c>
      <c r="E188">
        <v>26.32</v>
      </c>
      <c r="F188">
        <v>6.3</v>
      </c>
      <c r="G188">
        <v>46</v>
      </c>
      <c r="H188">
        <v>1</v>
      </c>
      <c r="I188">
        <v>3.5</v>
      </c>
      <c r="J188">
        <v>35</v>
      </c>
      <c r="K188">
        <v>0</v>
      </c>
      <c r="U188">
        <v>9.1999999999999993</v>
      </c>
      <c r="V188">
        <v>52</v>
      </c>
      <c r="W188">
        <v>10</v>
      </c>
      <c r="X188">
        <f>5.9+3+2</f>
        <v>10.9</v>
      </c>
      <c r="Y188">
        <v>69</v>
      </c>
      <c r="Z188">
        <v>11</v>
      </c>
      <c r="AA188">
        <v>12</v>
      </c>
      <c r="AB188">
        <v>3</v>
      </c>
      <c r="AC188">
        <v>18</v>
      </c>
      <c r="AD188" s="21">
        <v>0.34615384615384615</v>
      </c>
      <c r="AE188" s="21">
        <v>3.8461538461538464E-2</v>
      </c>
      <c r="AF188">
        <v>66.7</v>
      </c>
      <c r="AG188">
        <v>2</v>
      </c>
      <c r="AH188">
        <v>20</v>
      </c>
      <c r="AI188">
        <v>20</v>
      </c>
      <c r="AJ188">
        <v>14</v>
      </c>
      <c r="AK188">
        <v>56</v>
      </c>
      <c r="AL188">
        <v>16</v>
      </c>
      <c r="AM188">
        <v>14</v>
      </c>
      <c r="AN188">
        <f t="shared" si="11"/>
        <v>342</v>
      </c>
      <c r="AO188">
        <v>143</v>
      </c>
      <c r="AP188">
        <f>46+35</f>
        <v>81</v>
      </c>
      <c r="AQ188">
        <v>2</v>
      </c>
      <c r="AR188">
        <v>116</v>
      </c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37"/>
      <c r="BD188" s="37"/>
      <c r="BE188" s="37"/>
      <c r="BF188" s="37"/>
      <c r="BG188" s="37"/>
      <c r="BH188" s="37"/>
      <c r="BI188" s="37"/>
      <c r="BJ188" s="37"/>
      <c r="BK188" s="37"/>
      <c r="BL188" s="37"/>
      <c r="BM188" s="37"/>
      <c r="BN188" s="37"/>
      <c r="BO188" s="37"/>
      <c r="BP188" s="37"/>
      <c r="BQ188" s="37"/>
      <c r="BR188" s="37"/>
      <c r="BS188" s="37"/>
      <c r="BT188" s="37"/>
      <c r="BU188" s="37"/>
      <c r="BV188" s="37"/>
      <c r="BW188" s="37"/>
      <c r="BX188" s="37"/>
      <c r="BY188" s="37"/>
      <c r="BZ188" s="37"/>
      <c r="CA188" s="37"/>
      <c r="CB188" s="37"/>
      <c r="CC188" s="37"/>
      <c r="CD188" s="37"/>
      <c r="CE188" s="37"/>
      <c r="CF188" s="37"/>
    </row>
    <row r="189" spans="1:84" x14ac:dyDescent="0.2">
      <c r="A189" s="39">
        <v>43758</v>
      </c>
      <c r="B189" s="22" t="s">
        <v>250</v>
      </c>
      <c r="C189" t="s">
        <v>276</v>
      </c>
      <c r="D189" s="23" t="s">
        <v>293</v>
      </c>
      <c r="E189">
        <v>21.28</v>
      </c>
      <c r="F189">
        <v>2.6</v>
      </c>
      <c r="G189">
        <v>26</v>
      </c>
      <c r="H189">
        <v>0</v>
      </c>
      <c r="I189">
        <v>7.6</v>
      </c>
      <c r="J189">
        <v>55</v>
      </c>
      <c r="K189">
        <v>1</v>
      </c>
      <c r="L189">
        <v>19.3</v>
      </c>
      <c r="M189">
        <v>83</v>
      </c>
      <c r="N189">
        <v>6</v>
      </c>
      <c r="O189">
        <v>10.6</v>
      </c>
      <c r="P189">
        <v>16</v>
      </c>
      <c r="Q189">
        <v>6</v>
      </c>
      <c r="R189" s="14">
        <v>3.3</v>
      </c>
      <c r="S189">
        <v>23</v>
      </c>
      <c r="T189">
        <v>1</v>
      </c>
      <c r="U189">
        <v>14.799999999999999</v>
      </c>
      <c r="V189">
        <v>28</v>
      </c>
      <c r="W189">
        <v>10</v>
      </c>
      <c r="X189">
        <f>4.2+1.9</f>
        <v>6.1</v>
      </c>
      <c r="Y189">
        <v>31</v>
      </c>
      <c r="Z189">
        <v>6</v>
      </c>
      <c r="AA189">
        <v>13</v>
      </c>
      <c r="AB189">
        <v>3</v>
      </c>
      <c r="AC189">
        <v>11</v>
      </c>
      <c r="AD189" s="21">
        <v>0.26666666666666666</v>
      </c>
      <c r="AE189" s="21">
        <v>6.6666666666666666E-2</v>
      </c>
      <c r="AF189">
        <v>50</v>
      </c>
      <c r="AG189">
        <v>1</v>
      </c>
      <c r="AH189">
        <v>26</v>
      </c>
      <c r="AI189">
        <v>19</v>
      </c>
      <c r="AJ189">
        <v>4</v>
      </c>
      <c r="AK189">
        <v>51</v>
      </c>
      <c r="AL189">
        <v>24</v>
      </c>
      <c r="AM189">
        <v>7</v>
      </c>
      <c r="AN189">
        <f t="shared" si="11"/>
        <v>319</v>
      </c>
      <c r="AO189">
        <v>202</v>
      </c>
      <c r="AP189">
        <f>55+4+26</f>
        <v>85</v>
      </c>
      <c r="AQ189">
        <v>0</v>
      </c>
      <c r="AR189">
        <v>32</v>
      </c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37"/>
      <c r="BD189" s="37"/>
      <c r="BE189" s="37"/>
      <c r="BF189" s="37"/>
      <c r="BG189" s="37"/>
      <c r="BH189" s="37"/>
      <c r="BI189" s="37"/>
      <c r="BJ189" s="37"/>
      <c r="BK189" s="37"/>
      <c r="BL189" s="37"/>
      <c r="BM189" s="37"/>
      <c r="BN189" s="37"/>
      <c r="BO189" s="37"/>
      <c r="BP189" s="37"/>
      <c r="BQ189" s="37"/>
      <c r="BR189" s="37"/>
      <c r="BS189" s="37"/>
      <c r="BT189" s="37"/>
      <c r="BU189" s="37"/>
      <c r="BV189" s="37"/>
      <c r="BW189" s="37"/>
      <c r="BX189" s="37"/>
      <c r="BY189" s="37"/>
      <c r="BZ189" s="37"/>
      <c r="CA189" s="37"/>
      <c r="CB189" s="37"/>
      <c r="CC189" s="37"/>
      <c r="CD189" s="37"/>
      <c r="CE189" s="37"/>
      <c r="CF189" s="37"/>
    </row>
    <row r="190" spans="1:84" x14ac:dyDescent="0.2">
      <c r="A190" s="39">
        <v>43758</v>
      </c>
      <c r="B190" s="22" t="s">
        <v>250</v>
      </c>
      <c r="C190" t="s">
        <v>265</v>
      </c>
      <c r="D190" s="23" t="s">
        <v>307</v>
      </c>
      <c r="E190">
        <v>20.04</v>
      </c>
      <c r="F190">
        <v>2.9</v>
      </c>
      <c r="G190">
        <v>6</v>
      </c>
      <c r="H190">
        <v>2</v>
      </c>
      <c r="I190">
        <v>11.9</v>
      </c>
      <c r="J190">
        <v>10</v>
      </c>
      <c r="K190">
        <v>12</v>
      </c>
      <c r="L190">
        <v>24.7</v>
      </c>
      <c r="M190">
        <v>87</v>
      </c>
      <c r="N190">
        <v>16</v>
      </c>
      <c r="O190" s="14">
        <v>10.3</v>
      </c>
      <c r="P190">
        <v>64</v>
      </c>
      <c r="Q190">
        <v>9</v>
      </c>
      <c r="R190">
        <v>1.6</v>
      </c>
      <c r="S190">
        <v>6</v>
      </c>
      <c r="T190">
        <v>2</v>
      </c>
      <c r="U190">
        <v>35.799999999999997</v>
      </c>
      <c r="V190">
        <v>158</v>
      </c>
      <c r="W190">
        <v>23</v>
      </c>
      <c r="X190">
        <v>9.5</v>
      </c>
      <c r="Y190">
        <v>35</v>
      </c>
      <c r="Z190">
        <v>6</v>
      </c>
      <c r="AA190">
        <v>6</v>
      </c>
      <c r="AB190">
        <v>1</v>
      </c>
      <c r="AC190">
        <v>6</v>
      </c>
      <c r="AD190" s="21">
        <v>0.4107142857142857</v>
      </c>
      <c r="AE190" s="21">
        <v>3.5714285714285712E-2</v>
      </c>
      <c r="AF190">
        <v>53.3</v>
      </c>
      <c r="AG190">
        <v>10</v>
      </c>
      <c r="AH190">
        <v>54</v>
      </c>
      <c r="AI190">
        <v>5</v>
      </c>
      <c r="AJ190">
        <v>0</v>
      </c>
      <c r="AK190">
        <v>63</v>
      </c>
      <c r="AL190">
        <v>18</v>
      </c>
      <c r="AM190">
        <v>7</v>
      </c>
      <c r="AN190">
        <f>AO190+AP190+AQ190+AR190</f>
        <v>268</v>
      </c>
      <c r="AO190">
        <v>251</v>
      </c>
      <c r="AP190">
        <v>16</v>
      </c>
      <c r="AQ190">
        <v>1</v>
      </c>
      <c r="AR190">
        <v>0</v>
      </c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37"/>
      <c r="BD190" s="37"/>
      <c r="BE190" s="37"/>
      <c r="BF190" s="37"/>
      <c r="BG190" s="37"/>
      <c r="BH190" s="37"/>
      <c r="BI190" s="37"/>
      <c r="BJ190" s="37"/>
      <c r="BK190" s="37"/>
      <c r="BL190" s="37"/>
      <c r="BM190" s="37"/>
      <c r="BN190" s="37"/>
      <c r="BO190" s="37"/>
      <c r="BP190" s="37"/>
      <c r="BQ190" s="37"/>
      <c r="BR190" s="37"/>
      <c r="BS190" s="37"/>
      <c r="BT190" s="37"/>
      <c r="BU190" s="37"/>
      <c r="BV190" s="37"/>
      <c r="BW190" s="37"/>
      <c r="BX190" s="37"/>
      <c r="BY190" s="37"/>
      <c r="BZ190" s="37"/>
      <c r="CA190" s="37"/>
      <c r="CB190" s="37"/>
      <c r="CC190" s="37"/>
      <c r="CD190" s="37"/>
      <c r="CE190" s="37"/>
      <c r="CF190" s="37"/>
    </row>
    <row r="191" spans="1:84" x14ac:dyDescent="0.2">
      <c r="A191" s="39">
        <v>43758</v>
      </c>
      <c r="B191" s="22" t="s">
        <v>250</v>
      </c>
      <c r="C191" s="17" t="s">
        <v>272</v>
      </c>
      <c r="D191" s="22" t="s">
        <v>297</v>
      </c>
      <c r="E191">
        <v>21.34</v>
      </c>
      <c r="F191">
        <v>7.4</v>
      </c>
      <c r="G191">
        <v>2</v>
      </c>
      <c r="H191">
        <v>2</v>
      </c>
      <c r="I191">
        <v>2.4</v>
      </c>
      <c r="J191">
        <v>0</v>
      </c>
      <c r="K191">
        <v>3</v>
      </c>
      <c r="L191">
        <v>9.5</v>
      </c>
      <c r="M191">
        <v>55</v>
      </c>
      <c r="N191">
        <v>14</v>
      </c>
      <c r="O191">
        <v>9.5</v>
      </c>
      <c r="P191">
        <v>65</v>
      </c>
      <c r="Q191">
        <v>6</v>
      </c>
      <c r="R191">
        <v>24.5</v>
      </c>
      <c r="S191">
        <v>137</v>
      </c>
      <c r="T191">
        <v>14</v>
      </c>
      <c r="U191">
        <v>20.100000000000001</v>
      </c>
      <c r="V191">
        <v>91</v>
      </c>
      <c r="W191">
        <v>13</v>
      </c>
      <c r="X191">
        <v>4.3</v>
      </c>
      <c r="Y191">
        <v>13</v>
      </c>
      <c r="Z191">
        <v>3</v>
      </c>
      <c r="AA191">
        <v>5</v>
      </c>
      <c r="AB191">
        <v>1</v>
      </c>
      <c r="AC191">
        <v>2</v>
      </c>
      <c r="AD191" s="21">
        <v>0.40425531914893614</v>
      </c>
      <c r="AE191" s="21">
        <v>4.2553191489361701E-2</v>
      </c>
      <c r="AF191">
        <v>50</v>
      </c>
      <c r="AG191">
        <v>17</v>
      </c>
      <c r="AH191">
        <v>43</v>
      </c>
      <c r="AI191">
        <v>14</v>
      </c>
      <c r="AJ191">
        <v>4</v>
      </c>
      <c r="AK191">
        <v>65</v>
      </c>
      <c r="AL191">
        <v>17</v>
      </c>
      <c r="AM191">
        <v>0</v>
      </c>
      <c r="AN191">
        <f>SUM(AO191:AR191)</f>
        <v>309</v>
      </c>
      <c r="AO191">
        <v>276</v>
      </c>
      <c r="AP191">
        <v>2</v>
      </c>
      <c r="AQ191">
        <v>-2</v>
      </c>
      <c r="AR191">
        <v>33</v>
      </c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37"/>
      <c r="BD191" s="37"/>
      <c r="BE191" s="37"/>
      <c r="BF191" s="37"/>
      <c r="BG191" s="37"/>
      <c r="BH191" s="37"/>
      <c r="BI191" s="37"/>
      <c r="BJ191" s="37"/>
      <c r="BK191" s="37"/>
      <c r="BL191" s="37"/>
      <c r="BM191" s="37"/>
      <c r="BN191" s="37"/>
      <c r="BO191" s="37"/>
      <c r="BP191" s="37"/>
      <c r="BQ191" s="37"/>
      <c r="BR191" s="37"/>
      <c r="BS191" s="37"/>
      <c r="BT191" s="37"/>
      <c r="BU191" s="37"/>
      <c r="BV191" s="37"/>
      <c r="BW191" s="37"/>
      <c r="BX191" s="37"/>
      <c r="BY191" s="37"/>
      <c r="BZ191" s="37"/>
      <c r="CA191" s="37"/>
      <c r="CB191" s="37"/>
      <c r="CC191" s="37"/>
      <c r="CD191" s="37"/>
      <c r="CE191" s="37"/>
      <c r="CF191" s="37"/>
    </row>
    <row r="192" spans="1:84" x14ac:dyDescent="0.2">
      <c r="A192" s="39">
        <v>43758</v>
      </c>
      <c r="B192" s="22" t="s">
        <v>250</v>
      </c>
      <c r="C192" t="s">
        <v>291</v>
      </c>
      <c r="D192" s="22" t="s">
        <v>294</v>
      </c>
      <c r="E192">
        <v>21.56</v>
      </c>
      <c r="F192">
        <v>29.7</v>
      </c>
      <c r="G192">
        <v>111</v>
      </c>
      <c r="H192">
        <v>7</v>
      </c>
      <c r="I192">
        <v>2.8</v>
      </c>
      <c r="J192">
        <v>28</v>
      </c>
      <c r="K192">
        <v>0</v>
      </c>
      <c r="L192">
        <v>18.600000000000001</v>
      </c>
      <c r="M192">
        <v>106</v>
      </c>
      <c r="N192">
        <v>5</v>
      </c>
      <c r="O192">
        <v>6.4</v>
      </c>
      <c r="P192">
        <v>34</v>
      </c>
      <c r="Q192">
        <v>4</v>
      </c>
      <c r="R192" s="14">
        <v>4.9000000000000004</v>
      </c>
      <c r="S192">
        <v>29</v>
      </c>
      <c r="T192">
        <v>3</v>
      </c>
      <c r="U192">
        <v>10.5</v>
      </c>
      <c r="V192">
        <v>55</v>
      </c>
      <c r="W192">
        <v>6</v>
      </c>
      <c r="X192">
        <v>14.4</v>
      </c>
      <c r="Y192">
        <v>34</v>
      </c>
      <c r="Z192">
        <v>5</v>
      </c>
      <c r="AA192">
        <v>15</v>
      </c>
      <c r="AB192">
        <v>3</v>
      </c>
      <c r="AC192">
        <v>15</v>
      </c>
      <c r="AD192" s="21">
        <v>0.16129032258064516</v>
      </c>
      <c r="AE192" s="21">
        <v>9.6774193548387094E-2</v>
      </c>
      <c r="AF192">
        <v>100</v>
      </c>
      <c r="AG192">
        <v>1</v>
      </c>
      <c r="AH192">
        <v>27</v>
      </c>
      <c r="AI192">
        <v>30</v>
      </c>
      <c r="AJ192">
        <v>5</v>
      </c>
      <c r="AK192">
        <v>66</v>
      </c>
      <c r="AL192">
        <v>37</v>
      </c>
      <c r="AM192">
        <v>0</v>
      </c>
      <c r="AN192">
        <f>SUM(AO192:AR192)</f>
        <v>426</v>
      </c>
      <c r="AO192">
        <v>237</v>
      </c>
      <c r="AP192">
        <v>139</v>
      </c>
      <c r="AQ192">
        <v>20</v>
      </c>
      <c r="AR192">
        <v>30</v>
      </c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37"/>
      <c r="BD192" s="37"/>
      <c r="BE192" s="37"/>
      <c r="BF192" s="37"/>
      <c r="BG192" s="37"/>
      <c r="BH192" s="37"/>
      <c r="BI192" s="37"/>
      <c r="BJ192" s="37"/>
      <c r="BK192" s="37"/>
      <c r="BL192" s="37"/>
      <c r="BM192" s="37"/>
      <c r="BN192" s="37"/>
      <c r="BO192" s="37"/>
      <c r="BP192" s="37"/>
      <c r="BQ192" s="37"/>
      <c r="BR192" s="37"/>
      <c r="BS192" s="37"/>
      <c r="BT192" s="37"/>
      <c r="BU192" s="37"/>
      <c r="BV192" s="37"/>
      <c r="BW192" s="37"/>
      <c r="BX192" s="37"/>
      <c r="BY192" s="37"/>
      <c r="BZ192" s="37"/>
      <c r="CA192" s="37"/>
      <c r="CB192" s="37"/>
      <c r="CC192" s="37"/>
      <c r="CD192" s="37"/>
      <c r="CE192" s="37"/>
      <c r="CF192" s="37"/>
    </row>
    <row r="193" spans="1:84" x14ac:dyDescent="0.2">
      <c r="A193" s="39">
        <v>43758</v>
      </c>
      <c r="B193" t="s">
        <v>250</v>
      </c>
      <c r="C193" t="s">
        <v>278</v>
      </c>
      <c r="D193" t="s">
        <v>288</v>
      </c>
      <c r="E193">
        <v>7.52</v>
      </c>
      <c r="F193">
        <v>4.2</v>
      </c>
      <c r="G193">
        <v>36</v>
      </c>
      <c r="H193">
        <v>1</v>
      </c>
      <c r="I193">
        <v>16.7</v>
      </c>
      <c r="J193">
        <v>35</v>
      </c>
      <c r="K193">
        <v>5</v>
      </c>
      <c r="L193">
        <v>14.7</v>
      </c>
      <c r="M193">
        <v>87</v>
      </c>
      <c r="N193">
        <v>8</v>
      </c>
      <c r="O193">
        <v>11</v>
      </c>
      <c r="P193">
        <v>60</v>
      </c>
      <c r="Q193">
        <v>6</v>
      </c>
      <c r="R193">
        <v>2.4</v>
      </c>
      <c r="S193">
        <v>4</v>
      </c>
      <c r="T193">
        <v>5</v>
      </c>
      <c r="U193">
        <v>15.6</v>
      </c>
      <c r="V193">
        <v>76</v>
      </c>
      <c r="W193">
        <v>12</v>
      </c>
      <c r="X193">
        <v>1.7</v>
      </c>
      <c r="Y193">
        <v>7</v>
      </c>
      <c r="Z193">
        <v>5</v>
      </c>
      <c r="AA193">
        <v>0</v>
      </c>
      <c r="AB193">
        <v>1</v>
      </c>
      <c r="AC193">
        <v>1</v>
      </c>
      <c r="AD193">
        <v>0.42857142857142855</v>
      </c>
      <c r="AE193">
        <v>0.19047619047619047</v>
      </c>
      <c r="AF193">
        <v>42.9</v>
      </c>
      <c r="AG193">
        <v>24</v>
      </c>
      <c r="AH193">
        <v>34</v>
      </c>
      <c r="AI193">
        <v>21</v>
      </c>
      <c r="AJ193">
        <v>0</v>
      </c>
      <c r="AK193">
        <v>64</v>
      </c>
      <c r="AL193">
        <v>6</v>
      </c>
      <c r="AM193">
        <v>0</v>
      </c>
      <c r="AN193">
        <v>284</v>
      </c>
      <c r="AO193">
        <v>213</v>
      </c>
      <c r="AP193">
        <v>71</v>
      </c>
      <c r="AQ193">
        <v>0</v>
      </c>
      <c r="AR193">
        <v>0</v>
      </c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37"/>
      <c r="BD193" s="37"/>
      <c r="BE193" s="37"/>
      <c r="BF193" s="37"/>
      <c r="BG193" s="37"/>
      <c r="BH193" s="37"/>
      <c r="BI193" s="37"/>
      <c r="BJ193" s="37"/>
      <c r="BK193" s="37"/>
      <c r="BL193" s="37"/>
      <c r="BM193" s="37"/>
      <c r="BN193" s="37"/>
      <c r="BO193" s="37"/>
      <c r="BP193" s="37"/>
      <c r="BQ193" s="37"/>
      <c r="BR193" s="37"/>
      <c r="BS193" s="37"/>
      <c r="BT193" s="37"/>
      <c r="BU193" s="37"/>
      <c r="BV193" s="37"/>
      <c r="BW193" s="37"/>
      <c r="BX193" s="37"/>
      <c r="BY193" s="37"/>
      <c r="BZ193" s="37"/>
      <c r="CA193" s="37"/>
      <c r="CB193" s="37"/>
      <c r="CC193" s="37"/>
      <c r="CD193" s="37"/>
      <c r="CE193" s="37"/>
      <c r="CF193" s="37"/>
    </row>
    <row r="194" spans="1:84" x14ac:dyDescent="0.2">
      <c r="A194" s="39">
        <v>43758</v>
      </c>
      <c r="B194" s="22" t="s">
        <v>250</v>
      </c>
      <c r="C194" t="s">
        <v>299</v>
      </c>
      <c r="D194" s="22" t="s">
        <v>312</v>
      </c>
      <c r="E194">
        <v>32.56</v>
      </c>
      <c r="F194">
        <f>9.7+2.3</f>
        <v>12</v>
      </c>
      <c r="G194">
        <f>29+23</f>
        <v>52</v>
      </c>
      <c r="H194">
        <v>5</v>
      </c>
      <c r="I194">
        <v>8</v>
      </c>
      <c r="J194">
        <v>29</v>
      </c>
      <c r="K194">
        <v>3</v>
      </c>
      <c r="L194">
        <v>3.1</v>
      </c>
      <c r="M194">
        <v>21</v>
      </c>
      <c r="N194">
        <v>2</v>
      </c>
      <c r="O194" s="14">
        <v>43.3</v>
      </c>
      <c r="P194">
        <v>93</v>
      </c>
      <c r="Q194">
        <v>13</v>
      </c>
      <c r="R194">
        <v>21.5</v>
      </c>
      <c r="S194">
        <v>105</v>
      </c>
      <c r="T194">
        <v>11</v>
      </c>
      <c r="U194">
        <v>25.900000000000002</v>
      </c>
      <c r="V194">
        <v>139</v>
      </c>
      <c r="W194">
        <v>18</v>
      </c>
      <c r="X194">
        <f>6.2+1.7</f>
        <v>7.9</v>
      </c>
      <c r="Y194">
        <v>39</v>
      </c>
      <c r="Z194">
        <v>9</v>
      </c>
      <c r="AA194">
        <v>7</v>
      </c>
      <c r="AB194">
        <v>1</v>
      </c>
      <c r="AC194">
        <v>-4</v>
      </c>
      <c r="AD194" s="21">
        <v>0.47916666666666669</v>
      </c>
      <c r="AE194" s="21">
        <v>4.1666666666666664E-2</v>
      </c>
      <c r="AF194">
        <v>57.9</v>
      </c>
      <c r="AG194">
        <v>3</v>
      </c>
      <c r="AH194">
        <v>45</v>
      </c>
      <c r="AI194">
        <v>20</v>
      </c>
      <c r="AJ194">
        <v>0</v>
      </c>
      <c r="AK194">
        <v>67</v>
      </c>
      <c r="AL194">
        <v>30</v>
      </c>
      <c r="AM194">
        <v>0</v>
      </c>
      <c r="AN194">
        <f t="shared" ref="AN194:AN209" si="12">SUM(AO194:AR194)</f>
        <v>445</v>
      </c>
      <c r="AO194">
        <v>364</v>
      </c>
      <c r="AP194">
        <f>29+29+23</f>
        <v>81</v>
      </c>
      <c r="AQ194">
        <v>0</v>
      </c>
      <c r="AR194">
        <v>0</v>
      </c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37"/>
      <c r="BD194" s="37"/>
      <c r="BE194" s="37"/>
      <c r="BF194" s="37"/>
      <c r="BG194" s="37"/>
      <c r="BH194" s="37"/>
      <c r="BI194" s="37"/>
      <c r="BJ194" s="37"/>
      <c r="BK194" s="37"/>
      <c r="BL194" s="37"/>
      <c r="BM194" s="37"/>
      <c r="BN194" s="37"/>
      <c r="BO194" s="37"/>
      <c r="BP194" s="37"/>
      <c r="BQ194" s="37"/>
      <c r="BR194" s="37"/>
      <c r="BS194" s="37"/>
      <c r="BT194" s="37"/>
      <c r="BU194" s="37"/>
      <c r="BV194" s="37"/>
      <c r="BW194" s="37"/>
      <c r="BX194" s="37"/>
      <c r="BY194" s="37"/>
      <c r="BZ194" s="37"/>
      <c r="CA194" s="37"/>
      <c r="CB194" s="37"/>
      <c r="CC194" s="37"/>
      <c r="CD194" s="37"/>
      <c r="CE194" s="37"/>
      <c r="CF194" s="37"/>
    </row>
    <row r="195" spans="1:84" x14ac:dyDescent="0.2">
      <c r="A195" s="39">
        <v>43758</v>
      </c>
      <c r="B195" s="22" t="s">
        <v>250</v>
      </c>
      <c r="C195" t="s">
        <v>300</v>
      </c>
      <c r="D195" s="22" t="s">
        <v>303</v>
      </c>
      <c r="E195">
        <v>46.76</v>
      </c>
      <c r="F195">
        <v>18.3</v>
      </c>
      <c r="G195">
        <v>50</v>
      </c>
      <c r="H195">
        <v>4</v>
      </c>
      <c r="I195">
        <v>13.1</v>
      </c>
      <c r="J195">
        <v>5</v>
      </c>
      <c r="K195">
        <v>5</v>
      </c>
      <c r="L195" s="3">
        <v>24.3</v>
      </c>
      <c r="M195" s="3">
        <v>133</v>
      </c>
      <c r="N195" s="3">
        <v>3</v>
      </c>
      <c r="O195" s="30">
        <v>7.3</v>
      </c>
      <c r="P195" s="3">
        <v>33</v>
      </c>
      <c r="Q195" s="3">
        <v>5</v>
      </c>
      <c r="R195" s="3">
        <v>7.2</v>
      </c>
      <c r="S195" s="3">
        <v>42</v>
      </c>
      <c r="T195" s="3">
        <v>4</v>
      </c>
      <c r="U195">
        <v>30.2</v>
      </c>
      <c r="V195">
        <v>152</v>
      </c>
      <c r="W195">
        <v>10</v>
      </c>
      <c r="X195">
        <v>16.5</v>
      </c>
      <c r="Y195">
        <v>65</v>
      </c>
      <c r="Z195">
        <v>4</v>
      </c>
      <c r="AA195">
        <v>6</v>
      </c>
      <c r="AB195">
        <v>0</v>
      </c>
      <c r="AC195">
        <v>4</v>
      </c>
      <c r="AD195" s="21">
        <v>0.29411764705882354</v>
      </c>
      <c r="AE195" s="21">
        <v>2.9411764705882353E-2</v>
      </c>
      <c r="AF195">
        <v>100</v>
      </c>
      <c r="AG195">
        <v>-3</v>
      </c>
      <c r="AH195">
        <v>31</v>
      </c>
      <c r="AI195">
        <v>18</v>
      </c>
      <c r="AJ195">
        <v>5</v>
      </c>
      <c r="AK195">
        <v>55</v>
      </c>
      <c r="AL195">
        <v>42</v>
      </c>
      <c r="AM195">
        <v>0</v>
      </c>
      <c r="AN195">
        <f t="shared" si="12"/>
        <v>489</v>
      </c>
      <c r="AO195">
        <v>429</v>
      </c>
      <c r="AP195">
        <v>57</v>
      </c>
      <c r="AQ195">
        <v>0</v>
      </c>
      <c r="AR195">
        <v>3</v>
      </c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37"/>
      <c r="BD195" s="37"/>
      <c r="BE195" s="37"/>
      <c r="BF195" s="37"/>
      <c r="BG195" s="37"/>
      <c r="BH195" s="37"/>
      <c r="BI195" s="37"/>
      <c r="BJ195" s="37"/>
      <c r="BK195" s="37"/>
      <c r="BL195" s="37"/>
      <c r="BM195" s="37"/>
      <c r="BN195" s="37"/>
      <c r="BO195" s="37"/>
      <c r="BP195" s="37"/>
      <c r="BQ195" s="37"/>
      <c r="BR195" s="37"/>
      <c r="BS195" s="37"/>
      <c r="BT195" s="37"/>
      <c r="BU195" s="37"/>
      <c r="BV195" s="37"/>
      <c r="BW195" s="37"/>
      <c r="BX195" s="37"/>
      <c r="BY195" s="37"/>
      <c r="BZ195" s="37"/>
      <c r="CA195" s="37"/>
      <c r="CB195" s="37"/>
      <c r="CC195" s="37"/>
      <c r="CD195" s="37"/>
      <c r="CE195" s="37"/>
      <c r="CF195" s="37"/>
    </row>
    <row r="196" spans="1:84" x14ac:dyDescent="0.2">
      <c r="A196" s="39">
        <v>43758</v>
      </c>
      <c r="B196" s="22" t="s">
        <v>250</v>
      </c>
      <c r="C196" t="s">
        <v>311</v>
      </c>
      <c r="D196" s="22" t="s">
        <v>289</v>
      </c>
      <c r="E196">
        <v>20.52</v>
      </c>
      <c r="F196">
        <v>3.5</v>
      </c>
      <c r="G196">
        <v>35</v>
      </c>
      <c r="H196">
        <v>0</v>
      </c>
      <c r="I196">
        <v>7.6</v>
      </c>
      <c r="J196">
        <v>34</v>
      </c>
      <c r="K196">
        <v>0</v>
      </c>
      <c r="L196">
        <v>28.6</v>
      </c>
      <c r="M196">
        <v>106</v>
      </c>
      <c r="N196">
        <v>12</v>
      </c>
      <c r="O196">
        <v>17.5</v>
      </c>
      <c r="P196">
        <v>105</v>
      </c>
      <c r="Q196">
        <v>5</v>
      </c>
      <c r="R196">
        <v>11.9</v>
      </c>
      <c r="S196">
        <v>25</v>
      </c>
      <c r="T196">
        <v>5</v>
      </c>
      <c r="U196">
        <v>15.3</v>
      </c>
      <c r="V196">
        <v>73</v>
      </c>
      <c r="W196">
        <v>12</v>
      </c>
      <c r="X196">
        <f>4.7+3.7</f>
        <v>8.4</v>
      </c>
      <c r="Y196">
        <v>44</v>
      </c>
      <c r="Z196">
        <v>4</v>
      </c>
      <c r="AA196">
        <v>12</v>
      </c>
      <c r="AB196">
        <v>3</v>
      </c>
      <c r="AC196">
        <v>2</v>
      </c>
      <c r="AD196" s="21">
        <v>0.375</v>
      </c>
      <c r="AE196" s="21">
        <v>7.4999999999999997E-2</v>
      </c>
      <c r="AF196">
        <v>57.1</v>
      </c>
      <c r="AG196">
        <v>9</v>
      </c>
      <c r="AH196">
        <v>34</v>
      </c>
      <c r="AI196">
        <v>19</v>
      </c>
      <c r="AJ196">
        <v>3</v>
      </c>
      <c r="AK196">
        <v>61</v>
      </c>
      <c r="AL196">
        <v>23</v>
      </c>
      <c r="AM196">
        <v>0</v>
      </c>
      <c r="AN196">
        <f t="shared" si="12"/>
        <v>413</v>
      </c>
      <c r="AO196">
        <v>308</v>
      </c>
      <c r="AP196">
        <f>35+34</f>
        <v>69</v>
      </c>
      <c r="AQ196">
        <v>4</v>
      </c>
      <c r="AR196">
        <v>32</v>
      </c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37"/>
      <c r="BD196" s="37"/>
      <c r="BE196" s="37"/>
      <c r="BF196" s="37"/>
      <c r="BG196" s="37"/>
      <c r="BH196" s="37"/>
      <c r="BI196" s="37"/>
      <c r="BJ196" s="37"/>
      <c r="BK196" s="37"/>
      <c r="BL196" s="37"/>
      <c r="BM196" s="37"/>
      <c r="BN196" s="37"/>
      <c r="BO196" s="37"/>
      <c r="BP196" s="37"/>
      <c r="BQ196" s="37"/>
      <c r="BR196" s="37"/>
      <c r="BS196" s="37"/>
      <c r="BT196" s="37"/>
      <c r="BU196" s="37"/>
      <c r="BV196" s="37"/>
      <c r="BW196" s="37"/>
      <c r="BX196" s="37"/>
      <c r="BY196" s="37"/>
      <c r="BZ196" s="37"/>
      <c r="CA196" s="37"/>
      <c r="CB196" s="37"/>
      <c r="CC196" s="37"/>
      <c r="CD196" s="37"/>
      <c r="CE196" s="37"/>
      <c r="CF196" s="37"/>
    </row>
    <row r="197" spans="1:84" x14ac:dyDescent="0.2">
      <c r="A197" s="39">
        <v>43758</v>
      </c>
      <c r="B197" s="22" t="s">
        <v>250</v>
      </c>
      <c r="C197" t="s">
        <v>289</v>
      </c>
      <c r="D197" s="22" t="s">
        <v>311</v>
      </c>
      <c r="E197">
        <v>31.64</v>
      </c>
      <c r="F197">
        <v>8.6</v>
      </c>
      <c r="G197">
        <v>44</v>
      </c>
      <c r="H197">
        <v>3</v>
      </c>
      <c r="I197">
        <v>2.6</v>
      </c>
      <c r="J197">
        <v>3</v>
      </c>
      <c r="K197">
        <v>2</v>
      </c>
      <c r="L197">
        <v>19.399999999999999</v>
      </c>
      <c r="M197">
        <v>74</v>
      </c>
      <c r="N197">
        <v>11</v>
      </c>
      <c r="O197">
        <v>31.6</v>
      </c>
      <c r="P197">
        <v>106</v>
      </c>
      <c r="Q197">
        <v>7</v>
      </c>
      <c r="R197">
        <v>4.4000000000000004</v>
      </c>
      <c r="S197">
        <v>24</v>
      </c>
      <c r="T197">
        <v>2</v>
      </c>
      <c r="U197">
        <v>31.700000000000003</v>
      </c>
      <c r="V197">
        <v>167</v>
      </c>
      <c r="W197">
        <v>11</v>
      </c>
      <c r="X197">
        <v>22.1</v>
      </c>
      <c r="Y197">
        <v>91</v>
      </c>
      <c r="Z197">
        <v>10</v>
      </c>
      <c r="AA197">
        <v>4</v>
      </c>
      <c r="AB197">
        <v>0</v>
      </c>
      <c r="AC197">
        <v>9</v>
      </c>
      <c r="AD197" s="21">
        <v>0.48780487804878048</v>
      </c>
      <c r="AE197" s="21">
        <v>2.4390243902439025E-2</v>
      </c>
      <c r="AF197">
        <v>75</v>
      </c>
      <c r="AG197">
        <v>2</v>
      </c>
      <c r="AH197">
        <v>39</v>
      </c>
      <c r="AI197">
        <v>21</v>
      </c>
      <c r="AJ197">
        <v>5</v>
      </c>
      <c r="AK197">
        <v>67</v>
      </c>
      <c r="AL197">
        <v>28</v>
      </c>
      <c r="AM197">
        <v>2</v>
      </c>
      <c r="AN197">
        <f t="shared" si="12"/>
        <v>388</v>
      </c>
      <c r="AO197">
        <v>326</v>
      </c>
      <c r="AP197">
        <v>56</v>
      </c>
      <c r="AQ197">
        <v>0</v>
      </c>
      <c r="AR197">
        <v>6</v>
      </c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37"/>
      <c r="BD197" s="37"/>
      <c r="BE197" s="37"/>
      <c r="BF197" s="37"/>
      <c r="BG197" s="37"/>
      <c r="BH197" s="37"/>
      <c r="BI197" s="37"/>
      <c r="BJ197" s="37"/>
      <c r="BK197" s="37"/>
      <c r="BL197" s="37"/>
      <c r="BM197" s="37"/>
      <c r="BN197" s="37"/>
      <c r="BO197" s="37"/>
      <c r="BP197" s="37"/>
      <c r="BQ197" s="37"/>
      <c r="BR197" s="37"/>
      <c r="BS197" s="37"/>
      <c r="BT197" s="37"/>
      <c r="BU197" s="37"/>
      <c r="BV197" s="37"/>
      <c r="BW197" s="37"/>
      <c r="BX197" s="37"/>
      <c r="BY197" s="37"/>
      <c r="BZ197" s="37"/>
      <c r="CA197" s="37"/>
      <c r="CB197" s="37"/>
      <c r="CC197" s="37"/>
      <c r="CD197" s="37"/>
      <c r="CE197" s="37"/>
      <c r="CF197" s="37"/>
    </row>
    <row r="198" spans="1:84" x14ac:dyDescent="0.2">
      <c r="A198" s="39">
        <v>43758</v>
      </c>
      <c r="B198" s="22" t="s">
        <v>250</v>
      </c>
      <c r="C198" t="s">
        <v>297</v>
      </c>
      <c r="D198" s="22" t="s">
        <v>272</v>
      </c>
      <c r="E198">
        <v>21</v>
      </c>
      <c r="F198">
        <v>19.5</v>
      </c>
      <c r="G198">
        <v>131</v>
      </c>
      <c r="H198">
        <v>2</v>
      </c>
      <c r="I198">
        <v>0.3</v>
      </c>
      <c r="J198">
        <v>3</v>
      </c>
      <c r="K198">
        <v>1</v>
      </c>
      <c r="L198">
        <v>20.7</v>
      </c>
      <c r="M198">
        <v>103</v>
      </c>
      <c r="N198">
        <v>9</v>
      </c>
      <c r="O198">
        <v>10.3</v>
      </c>
      <c r="P198">
        <v>53</v>
      </c>
      <c r="Q198">
        <v>4</v>
      </c>
      <c r="R198">
        <v>13.3</v>
      </c>
      <c r="S198">
        <v>83</v>
      </c>
      <c r="T198">
        <v>8</v>
      </c>
      <c r="U198">
        <v>21.1</v>
      </c>
      <c r="V198">
        <v>91</v>
      </c>
      <c r="W198">
        <v>11</v>
      </c>
      <c r="X198">
        <v>0</v>
      </c>
      <c r="Y198">
        <v>0</v>
      </c>
      <c r="Z198">
        <v>2</v>
      </c>
      <c r="AA198">
        <v>13</v>
      </c>
      <c r="AB198">
        <v>4</v>
      </c>
      <c r="AC198">
        <v>17</v>
      </c>
      <c r="AD198" s="21">
        <v>0.43902439024390244</v>
      </c>
      <c r="AE198" s="21">
        <v>4.878048780487805E-2</v>
      </c>
      <c r="AF198">
        <v>12.5</v>
      </c>
      <c r="AG198">
        <v>2</v>
      </c>
      <c r="AH198">
        <v>32</v>
      </c>
      <c r="AI198">
        <v>32</v>
      </c>
      <c r="AJ198">
        <v>9</v>
      </c>
      <c r="AK198">
        <v>78</v>
      </c>
      <c r="AL198">
        <v>20</v>
      </c>
      <c r="AM198">
        <v>7</v>
      </c>
      <c r="AN198">
        <f t="shared" si="12"/>
        <v>471</v>
      </c>
      <c r="AO198">
        <v>255</v>
      </c>
      <c r="AP198">
        <v>134</v>
      </c>
      <c r="AQ198">
        <v>34</v>
      </c>
      <c r="AR198">
        <v>48</v>
      </c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37"/>
      <c r="BD198" s="37"/>
      <c r="BE198" s="37"/>
      <c r="BF198" s="37"/>
      <c r="BG198" s="37"/>
      <c r="BH198" s="37"/>
      <c r="BI198" s="37"/>
      <c r="BJ198" s="37"/>
      <c r="BK198" s="37"/>
      <c r="BL198" s="37"/>
      <c r="BM198" s="37"/>
      <c r="BN198" s="37"/>
      <c r="BO198" s="37"/>
      <c r="BP198" s="37"/>
      <c r="BQ198" s="37"/>
      <c r="BR198" s="37"/>
      <c r="BS198" s="37"/>
      <c r="BT198" s="37"/>
      <c r="BU198" s="37"/>
      <c r="BV198" s="37"/>
      <c r="BW198" s="37"/>
      <c r="BX198" s="37"/>
      <c r="BY198" s="37"/>
      <c r="BZ198" s="37"/>
      <c r="CA198" s="37"/>
      <c r="CB198" s="37"/>
      <c r="CC198" s="37"/>
      <c r="CD198" s="37"/>
      <c r="CE198" s="37"/>
      <c r="CF198" s="37"/>
    </row>
    <row r="199" spans="1:84" x14ac:dyDescent="0.2">
      <c r="A199" s="39">
        <v>43758</v>
      </c>
      <c r="B199" s="28" t="s">
        <v>250</v>
      </c>
      <c r="C199" t="s">
        <v>288</v>
      </c>
      <c r="D199" s="28" t="s">
        <v>278</v>
      </c>
      <c r="E199" s="3">
        <f>8.58+7.24</f>
        <v>15.82</v>
      </c>
      <c r="F199" s="3">
        <v>9.6</v>
      </c>
      <c r="G199" s="3">
        <v>64</v>
      </c>
      <c r="H199" s="3">
        <v>2</v>
      </c>
      <c r="I199" s="3">
        <v>2.6</v>
      </c>
      <c r="J199" s="3">
        <v>7</v>
      </c>
      <c r="K199" s="3">
        <v>3</v>
      </c>
      <c r="L199" s="3">
        <v>16.399999999999999</v>
      </c>
      <c r="M199" s="3">
        <v>74</v>
      </c>
      <c r="N199" s="3">
        <v>5</v>
      </c>
      <c r="O199" s="30">
        <v>10.8</v>
      </c>
      <c r="P199" s="3">
        <v>28</v>
      </c>
      <c r="Q199" s="3">
        <v>3</v>
      </c>
      <c r="R199" s="3">
        <v>6.1</v>
      </c>
      <c r="S199" s="3">
        <v>31</v>
      </c>
      <c r="T199" s="3">
        <v>5</v>
      </c>
      <c r="U199" s="3">
        <v>14.499999999999998</v>
      </c>
      <c r="V199" s="3">
        <v>45</v>
      </c>
      <c r="W199" s="3">
        <v>6</v>
      </c>
      <c r="X199" s="3">
        <v>10.4</v>
      </c>
      <c r="Y199" s="3">
        <v>44</v>
      </c>
      <c r="Z199" s="3">
        <v>8</v>
      </c>
      <c r="AA199" s="3">
        <v>12</v>
      </c>
      <c r="AB199" s="3">
        <v>3</v>
      </c>
      <c r="AC199" s="3">
        <v>24</v>
      </c>
      <c r="AD199" s="29">
        <v>0.18181818181818182</v>
      </c>
      <c r="AE199" s="29">
        <v>0</v>
      </c>
      <c r="AF199" s="3">
        <v>100</v>
      </c>
      <c r="AG199" s="3">
        <v>1</v>
      </c>
      <c r="AH199" s="3">
        <v>30</v>
      </c>
      <c r="AI199" s="3">
        <v>25</v>
      </c>
      <c r="AJ199" s="3">
        <v>2</v>
      </c>
      <c r="AK199" s="3">
        <v>58</v>
      </c>
      <c r="AL199" s="3">
        <v>23</v>
      </c>
      <c r="AM199" s="3">
        <v>7</v>
      </c>
      <c r="AN199" s="3">
        <f t="shared" si="12"/>
        <v>273</v>
      </c>
      <c r="AO199" s="3">
        <f>117+76</f>
        <v>193</v>
      </c>
      <c r="AP199" s="3">
        <f>64+7+1+7</f>
        <v>79</v>
      </c>
      <c r="AQ199" s="3">
        <v>0</v>
      </c>
      <c r="AR199" s="3">
        <v>1</v>
      </c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37"/>
      <c r="BD199" s="37"/>
      <c r="BE199" s="37"/>
      <c r="BF199" s="37"/>
      <c r="BG199" s="37"/>
      <c r="BH199" s="37"/>
      <c r="BI199" s="37"/>
      <c r="BJ199" s="37"/>
      <c r="BK199" s="37"/>
      <c r="BL199" s="37"/>
      <c r="BM199" s="37"/>
      <c r="BN199" s="37"/>
      <c r="BO199" s="37"/>
      <c r="BP199" s="37"/>
      <c r="BQ199" s="37"/>
      <c r="BR199" s="37"/>
      <c r="BS199" s="37"/>
      <c r="BT199" s="37"/>
      <c r="BU199" s="37"/>
      <c r="BV199" s="37"/>
      <c r="BW199" s="37"/>
      <c r="BX199" s="37"/>
      <c r="BY199" s="37"/>
      <c r="BZ199" s="37"/>
      <c r="CA199" s="37"/>
      <c r="CB199" s="37"/>
      <c r="CC199" s="37"/>
      <c r="CD199" s="37"/>
      <c r="CE199" s="37"/>
      <c r="CF199" s="37"/>
    </row>
    <row r="200" spans="1:84" x14ac:dyDescent="0.2">
      <c r="A200" s="39">
        <v>43758</v>
      </c>
      <c r="B200" s="22" t="s">
        <v>250</v>
      </c>
      <c r="C200" t="s">
        <v>303</v>
      </c>
      <c r="D200" s="23" t="s">
        <v>300</v>
      </c>
      <c r="E200">
        <f>17.72+5.44</f>
        <v>23.16</v>
      </c>
      <c r="F200">
        <v>19.399999999999999</v>
      </c>
      <c r="G200">
        <v>124</v>
      </c>
      <c r="H200">
        <v>3</v>
      </c>
      <c r="I200">
        <v>5.0999999999999996</v>
      </c>
      <c r="J200">
        <v>29</v>
      </c>
      <c r="K200">
        <v>1</v>
      </c>
      <c r="L200" s="3">
        <v>8.4</v>
      </c>
      <c r="M200" s="3">
        <v>54</v>
      </c>
      <c r="N200" s="3">
        <v>5</v>
      </c>
      <c r="O200" s="3">
        <v>3.4</v>
      </c>
      <c r="P200" s="3">
        <v>14</v>
      </c>
      <c r="Q200" s="3">
        <v>3</v>
      </c>
      <c r="R200" s="3">
        <v>4.5999999999999996</v>
      </c>
      <c r="S200" s="3">
        <v>26</v>
      </c>
      <c r="T200" s="3">
        <v>2</v>
      </c>
      <c r="U200">
        <v>26.5</v>
      </c>
      <c r="V200">
        <v>75</v>
      </c>
      <c r="W200">
        <v>9</v>
      </c>
      <c r="X200">
        <f>34.6+10.4+4.2</f>
        <v>49.2</v>
      </c>
      <c r="Y200">
        <f>126+24+22</f>
        <v>172</v>
      </c>
      <c r="Z200">
        <v>15</v>
      </c>
      <c r="AA200">
        <v>7</v>
      </c>
      <c r="AB200">
        <v>1</v>
      </c>
      <c r="AC200">
        <v>-3</v>
      </c>
      <c r="AD200" s="21">
        <v>0.27586206896551724</v>
      </c>
      <c r="AE200" s="21">
        <v>0</v>
      </c>
      <c r="AF200">
        <v>100</v>
      </c>
      <c r="AG200">
        <v>4</v>
      </c>
      <c r="AH200">
        <v>31</v>
      </c>
      <c r="AI200">
        <v>29</v>
      </c>
      <c r="AJ200">
        <v>2</v>
      </c>
      <c r="AK200">
        <v>62</v>
      </c>
      <c r="AL200">
        <v>24</v>
      </c>
      <c r="AM200">
        <v>0</v>
      </c>
      <c r="AN200">
        <f t="shared" si="12"/>
        <v>484</v>
      </c>
      <c r="AO200">
        <f>293+36</f>
        <v>329</v>
      </c>
      <c r="AP200">
        <f>124+31</f>
        <v>155</v>
      </c>
      <c r="AQ200">
        <v>0</v>
      </c>
      <c r="AR200">
        <v>0</v>
      </c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37"/>
      <c r="BD200" s="37"/>
      <c r="BE200" s="37"/>
      <c r="BF200" s="37"/>
      <c r="BG200" s="37"/>
      <c r="BH200" s="37"/>
      <c r="BI200" s="37"/>
      <c r="BJ200" s="37"/>
      <c r="BK200" s="37"/>
      <c r="BL200" s="37"/>
      <c r="BM200" s="37"/>
      <c r="BN200" s="37"/>
      <c r="BO200" s="37"/>
      <c r="BP200" s="37"/>
      <c r="BQ200" s="37"/>
      <c r="BR200" s="37"/>
      <c r="BS200" s="37"/>
      <c r="BT200" s="37"/>
      <c r="BU200" s="37"/>
      <c r="BV200" s="37"/>
      <c r="BW200" s="37"/>
      <c r="BX200" s="37"/>
      <c r="BY200" s="37"/>
      <c r="BZ200" s="37"/>
      <c r="CA200" s="37"/>
      <c r="CB200" s="37"/>
      <c r="CC200" s="37"/>
      <c r="CD200" s="37"/>
      <c r="CE200" s="37"/>
      <c r="CF200" s="37"/>
    </row>
    <row r="201" spans="1:84" x14ac:dyDescent="0.2">
      <c r="A201" s="39">
        <v>43758</v>
      </c>
      <c r="B201" s="22" t="s">
        <v>250</v>
      </c>
      <c r="C201" t="s">
        <v>287</v>
      </c>
      <c r="D201" s="22" t="s">
        <v>310</v>
      </c>
      <c r="E201">
        <v>24.16</v>
      </c>
      <c r="F201">
        <v>9.9</v>
      </c>
      <c r="G201">
        <v>32</v>
      </c>
      <c r="H201">
        <v>3</v>
      </c>
      <c r="I201">
        <v>28.5</v>
      </c>
      <c r="J201">
        <v>7</v>
      </c>
      <c r="K201">
        <v>8</v>
      </c>
      <c r="L201">
        <v>10.1</v>
      </c>
      <c r="M201">
        <v>61</v>
      </c>
      <c r="N201">
        <v>11</v>
      </c>
      <c r="O201">
        <v>8.6999999999999993</v>
      </c>
      <c r="P201">
        <v>47</v>
      </c>
      <c r="Q201">
        <v>6</v>
      </c>
      <c r="R201">
        <v>0</v>
      </c>
      <c r="S201">
        <v>0</v>
      </c>
      <c r="T201">
        <v>0</v>
      </c>
      <c r="U201">
        <v>17.600000000000001</v>
      </c>
      <c r="V201">
        <v>96</v>
      </c>
      <c r="W201">
        <v>13</v>
      </c>
      <c r="X201">
        <f>15.7+1.9</f>
        <v>17.599999999999998</v>
      </c>
      <c r="Y201">
        <v>106</v>
      </c>
      <c r="Z201">
        <v>9</v>
      </c>
      <c r="AA201">
        <v>10</v>
      </c>
      <c r="AB201">
        <v>2</v>
      </c>
      <c r="AC201">
        <v>4</v>
      </c>
      <c r="AD201" s="21">
        <v>0.46153846153846156</v>
      </c>
      <c r="AE201" s="21">
        <v>2.564102564102564E-2</v>
      </c>
      <c r="AF201">
        <v>56.3</v>
      </c>
      <c r="AG201">
        <v>4</v>
      </c>
      <c r="AH201">
        <v>38</v>
      </c>
      <c r="AI201">
        <v>21</v>
      </c>
      <c r="AJ201">
        <v>0</v>
      </c>
      <c r="AK201">
        <v>60</v>
      </c>
      <c r="AL201">
        <v>20</v>
      </c>
      <c r="AM201">
        <v>0</v>
      </c>
      <c r="AN201">
        <f t="shared" si="12"/>
        <v>368</v>
      </c>
      <c r="AO201">
        <v>329</v>
      </c>
      <c r="AP201">
        <v>39</v>
      </c>
      <c r="AQ201">
        <v>0</v>
      </c>
      <c r="AR201">
        <v>0</v>
      </c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37"/>
      <c r="BD201" s="37"/>
      <c r="BE201" s="37"/>
      <c r="BF201" s="37"/>
      <c r="BG201" s="37"/>
      <c r="BH201" s="37"/>
      <c r="BI201" s="37"/>
      <c r="BJ201" s="37"/>
      <c r="BK201" s="37"/>
      <c r="BL201" s="37"/>
      <c r="BM201" s="37"/>
      <c r="BN201" s="37"/>
      <c r="BO201" s="37"/>
      <c r="BP201" s="37"/>
      <c r="BQ201" s="37"/>
      <c r="BR201" s="37"/>
      <c r="BS201" s="37"/>
      <c r="BT201" s="37"/>
      <c r="BU201" s="37"/>
      <c r="BV201" s="37"/>
      <c r="BW201" s="37"/>
      <c r="BX201" s="37"/>
      <c r="BY201" s="37"/>
      <c r="BZ201" s="37"/>
      <c r="CA201" s="37"/>
      <c r="CB201" s="37"/>
      <c r="CC201" s="37"/>
      <c r="CD201" s="37"/>
      <c r="CE201" s="37"/>
      <c r="CF201" s="37"/>
    </row>
    <row r="202" spans="1:84" x14ac:dyDescent="0.2">
      <c r="A202" s="39">
        <v>43758</v>
      </c>
      <c r="B202" s="22" t="s">
        <v>250</v>
      </c>
      <c r="C202" t="s">
        <v>304</v>
      </c>
      <c r="D202" s="22" t="s">
        <v>295</v>
      </c>
      <c r="E202">
        <v>25.02</v>
      </c>
      <c r="F202">
        <v>12.4</v>
      </c>
      <c r="G202">
        <v>41</v>
      </c>
      <c r="H202">
        <v>1</v>
      </c>
      <c r="I202">
        <v>4.9000000000000004</v>
      </c>
      <c r="J202">
        <v>31</v>
      </c>
      <c r="K202">
        <v>1</v>
      </c>
      <c r="L202" s="14">
        <v>11</v>
      </c>
      <c r="M202">
        <v>50</v>
      </c>
      <c r="N202">
        <v>8</v>
      </c>
      <c r="O202">
        <v>13.6</v>
      </c>
      <c r="P202">
        <v>80</v>
      </c>
      <c r="Q202">
        <v>7</v>
      </c>
      <c r="R202">
        <v>9.9</v>
      </c>
      <c r="S202">
        <v>59</v>
      </c>
      <c r="T202">
        <v>7</v>
      </c>
      <c r="U202">
        <v>14.200000000000001</v>
      </c>
      <c r="V202">
        <v>62</v>
      </c>
      <c r="W202">
        <v>13</v>
      </c>
      <c r="X202">
        <v>16.8</v>
      </c>
      <c r="Y202">
        <v>58</v>
      </c>
      <c r="Z202">
        <v>11</v>
      </c>
      <c r="AA202">
        <v>15</v>
      </c>
      <c r="AB202">
        <v>4</v>
      </c>
      <c r="AC202">
        <v>21</v>
      </c>
      <c r="AD202" s="21">
        <v>0.21052631578947367</v>
      </c>
      <c r="AE202" s="21">
        <v>0</v>
      </c>
      <c r="AF202">
        <v>33.299999999999997</v>
      </c>
      <c r="AG202">
        <v>-4</v>
      </c>
      <c r="AH202">
        <v>37</v>
      </c>
      <c r="AI202">
        <v>32</v>
      </c>
      <c r="AJ202">
        <v>3</v>
      </c>
      <c r="AK202">
        <v>74</v>
      </c>
      <c r="AL202">
        <v>30</v>
      </c>
      <c r="AM202">
        <v>7</v>
      </c>
      <c r="AN202">
        <f t="shared" si="12"/>
        <v>358</v>
      </c>
      <c r="AO202">
        <v>268</v>
      </c>
      <c r="AP202">
        <f>41+31+9</f>
        <v>81</v>
      </c>
      <c r="AQ202">
        <v>6</v>
      </c>
      <c r="AR202">
        <v>3</v>
      </c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37"/>
      <c r="BD202" s="37"/>
      <c r="BE202" s="37"/>
      <c r="BF202" s="37"/>
      <c r="BG202" s="37"/>
      <c r="BH202" s="37"/>
      <c r="BI202" s="37"/>
      <c r="BJ202" s="37"/>
      <c r="BK202" s="37"/>
      <c r="BL202" s="37"/>
      <c r="BM202" s="37"/>
      <c r="BN202" s="37"/>
      <c r="BO202" s="37"/>
      <c r="BP202" s="37"/>
      <c r="BQ202" s="37"/>
      <c r="BR202" s="37"/>
      <c r="BS202" s="37"/>
      <c r="BT202" s="37"/>
      <c r="BU202" s="37"/>
      <c r="BV202" s="37"/>
      <c r="BW202" s="37"/>
      <c r="BX202" s="37"/>
      <c r="BY202" s="37"/>
      <c r="BZ202" s="37"/>
      <c r="CA202" s="37"/>
      <c r="CB202" s="37"/>
      <c r="CC202" s="37"/>
      <c r="CD202" s="37"/>
      <c r="CE202" s="37"/>
      <c r="CF202" s="37"/>
    </row>
    <row r="203" spans="1:84" x14ac:dyDescent="0.2">
      <c r="A203" s="39">
        <v>43758</v>
      </c>
      <c r="B203" s="22" t="s">
        <v>250</v>
      </c>
      <c r="C203" t="s">
        <v>293</v>
      </c>
      <c r="D203" s="22" t="s">
        <v>276</v>
      </c>
      <c r="E203">
        <v>21.85</v>
      </c>
      <c r="F203">
        <v>8.8000000000000007</v>
      </c>
      <c r="G203">
        <v>21</v>
      </c>
      <c r="H203">
        <v>4</v>
      </c>
      <c r="I203">
        <v>6.8</v>
      </c>
      <c r="J203">
        <v>66</v>
      </c>
      <c r="K203">
        <v>1</v>
      </c>
      <c r="L203" s="14">
        <v>13.2</v>
      </c>
      <c r="M203">
        <v>82</v>
      </c>
      <c r="N203">
        <v>8</v>
      </c>
      <c r="O203">
        <v>16.5</v>
      </c>
      <c r="P203">
        <v>55</v>
      </c>
      <c r="Q203">
        <v>10</v>
      </c>
      <c r="R203">
        <v>8.3000000000000007</v>
      </c>
      <c r="S203">
        <v>53</v>
      </c>
      <c r="T203">
        <v>3</v>
      </c>
      <c r="U203">
        <v>24.8</v>
      </c>
      <c r="V203">
        <v>138</v>
      </c>
      <c r="W203">
        <v>12</v>
      </c>
      <c r="X203">
        <v>8.1</v>
      </c>
      <c r="Y203">
        <v>41</v>
      </c>
      <c r="Z203">
        <v>4</v>
      </c>
      <c r="AA203">
        <v>3</v>
      </c>
      <c r="AB203">
        <v>0</v>
      </c>
      <c r="AC203">
        <v>1</v>
      </c>
      <c r="AD203" s="21">
        <v>0.44736842105263158</v>
      </c>
      <c r="AE203" s="21">
        <v>0</v>
      </c>
      <c r="AF203">
        <v>71.400000000000006</v>
      </c>
      <c r="AG203">
        <v>11</v>
      </c>
      <c r="AH203">
        <v>35</v>
      </c>
      <c r="AI203">
        <v>23</v>
      </c>
      <c r="AJ203">
        <v>6</v>
      </c>
      <c r="AK203">
        <v>66</v>
      </c>
      <c r="AL203">
        <v>21</v>
      </c>
      <c r="AM203">
        <v>0</v>
      </c>
      <c r="AN203">
        <f t="shared" si="12"/>
        <v>389</v>
      </c>
      <c r="AO203">
        <v>282</v>
      </c>
      <c r="AP203">
        <f>66+21+7</f>
        <v>94</v>
      </c>
      <c r="AQ203">
        <v>0</v>
      </c>
      <c r="AR203">
        <v>13</v>
      </c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  <c r="BP203" s="37"/>
      <c r="BQ203" s="37"/>
      <c r="BR203" s="37"/>
      <c r="BS203" s="37"/>
      <c r="BT203" s="37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CF203" s="37"/>
    </row>
    <row r="204" spans="1:84" x14ac:dyDescent="0.2">
      <c r="A204" s="39">
        <v>43758</v>
      </c>
      <c r="B204" s="22" t="s">
        <v>250</v>
      </c>
      <c r="C204" t="s">
        <v>312</v>
      </c>
      <c r="D204" s="22" t="s">
        <v>299</v>
      </c>
      <c r="E204">
        <v>32.18</v>
      </c>
      <c r="F204">
        <v>30.9</v>
      </c>
      <c r="G204">
        <v>142</v>
      </c>
      <c r="H204">
        <v>2</v>
      </c>
      <c r="I204">
        <v>8.4</v>
      </c>
      <c r="J204">
        <v>9</v>
      </c>
      <c r="K204">
        <v>1</v>
      </c>
      <c r="L204">
        <f>14+9.5</f>
        <v>23.5</v>
      </c>
      <c r="M204">
        <v>65</v>
      </c>
      <c r="N204">
        <v>10</v>
      </c>
      <c r="O204">
        <v>24.2</v>
      </c>
      <c r="P204">
        <v>142</v>
      </c>
      <c r="Q204">
        <v>8</v>
      </c>
      <c r="R204">
        <v>0</v>
      </c>
      <c r="S204">
        <v>0</v>
      </c>
      <c r="T204">
        <v>0</v>
      </c>
      <c r="U204">
        <v>12.1</v>
      </c>
      <c r="V204">
        <v>31</v>
      </c>
      <c r="W204">
        <v>5</v>
      </c>
      <c r="X204">
        <v>27.8</v>
      </c>
      <c r="Y204">
        <v>118</v>
      </c>
      <c r="Z204">
        <v>12</v>
      </c>
      <c r="AA204">
        <v>6</v>
      </c>
      <c r="AB204">
        <v>1</v>
      </c>
      <c r="AC204">
        <v>3</v>
      </c>
      <c r="AD204" s="21">
        <v>0.35294117647058826</v>
      </c>
      <c r="AE204" s="21">
        <v>0</v>
      </c>
      <c r="AF204">
        <v>80</v>
      </c>
      <c r="AG204">
        <v>-4</v>
      </c>
      <c r="AH204">
        <v>34</v>
      </c>
      <c r="AI204">
        <v>33</v>
      </c>
      <c r="AJ204">
        <v>4</v>
      </c>
      <c r="AK204">
        <v>71</v>
      </c>
      <c r="AL204">
        <v>42</v>
      </c>
      <c r="AM204">
        <v>0</v>
      </c>
      <c r="AN204">
        <f t="shared" si="12"/>
        <v>503</v>
      </c>
      <c r="AO204">
        <v>337</v>
      </c>
      <c r="AP204">
        <f>142+9+18</f>
        <v>169</v>
      </c>
      <c r="AQ204">
        <v>0</v>
      </c>
      <c r="AR204">
        <v>-3</v>
      </c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37"/>
      <c r="BK204" s="37"/>
      <c r="BL204" s="37"/>
      <c r="BM204" s="37"/>
      <c r="BN204" s="37"/>
      <c r="BO204" s="37"/>
      <c r="BP204" s="37"/>
      <c r="BQ204" s="37"/>
      <c r="BR204" s="37"/>
      <c r="BS204" s="37"/>
      <c r="BT204" s="37"/>
      <c r="BU204" s="37"/>
      <c r="BV204" s="37"/>
      <c r="BW204" s="37"/>
      <c r="BX204" s="37"/>
      <c r="BY204" s="37"/>
      <c r="BZ204" s="37"/>
      <c r="CA204" s="37"/>
      <c r="CB204" s="37"/>
      <c r="CC204" s="37"/>
      <c r="CD204" s="37"/>
      <c r="CE204" s="37"/>
      <c r="CF204" s="37"/>
    </row>
    <row r="205" spans="1:84" x14ac:dyDescent="0.2">
      <c r="A205" s="39">
        <v>43758</v>
      </c>
      <c r="B205" s="22" t="s">
        <v>250</v>
      </c>
      <c r="C205" t="s">
        <v>302</v>
      </c>
      <c r="D205" s="22" t="s">
        <v>298</v>
      </c>
      <c r="E205">
        <v>12.96</v>
      </c>
      <c r="F205">
        <v>22.4</v>
      </c>
      <c r="G205">
        <v>42</v>
      </c>
      <c r="H205">
        <v>2</v>
      </c>
      <c r="I205">
        <v>12.9</v>
      </c>
      <c r="J205">
        <v>0</v>
      </c>
      <c r="K205">
        <v>8</v>
      </c>
      <c r="L205">
        <v>13.7</v>
      </c>
      <c r="M205">
        <v>47</v>
      </c>
      <c r="N205">
        <v>12</v>
      </c>
      <c r="O205" s="14">
        <v>13.6</v>
      </c>
      <c r="P205">
        <v>46</v>
      </c>
      <c r="Q205">
        <v>4</v>
      </c>
      <c r="R205">
        <v>9.6999999999999993</v>
      </c>
      <c r="S205">
        <v>47</v>
      </c>
      <c r="T205">
        <v>5</v>
      </c>
      <c r="U205">
        <v>21</v>
      </c>
      <c r="V205">
        <v>80</v>
      </c>
      <c r="W205">
        <v>17</v>
      </c>
      <c r="X205">
        <v>5.9</v>
      </c>
      <c r="Y205">
        <v>19</v>
      </c>
      <c r="Z205">
        <v>6</v>
      </c>
      <c r="AA205">
        <v>7</v>
      </c>
      <c r="AB205">
        <v>1</v>
      </c>
      <c r="AC205">
        <v>25</v>
      </c>
      <c r="AD205" s="21">
        <v>0.31111111111111112</v>
      </c>
      <c r="AE205" s="21">
        <v>0</v>
      </c>
      <c r="AF205">
        <v>63.6</v>
      </c>
      <c r="AG205">
        <v>1</v>
      </c>
      <c r="AH205">
        <v>45</v>
      </c>
      <c r="AI205">
        <v>29</v>
      </c>
      <c r="AJ205">
        <v>2</v>
      </c>
      <c r="AK205">
        <v>79</v>
      </c>
      <c r="AL205">
        <v>31</v>
      </c>
      <c r="AM205">
        <v>2</v>
      </c>
      <c r="AN205">
        <f t="shared" si="12"/>
        <v>323</v>
      </c>
      <c r="AO205">
        <v>249</v>
      </c>
      <c r="AP205">
        <f>42+2+12</f>
        <v>56</v>
      </c>
      <c r="AQ205">
        <v>20</v>
      </c>
      <c r="AR205">
        <v>-2</v>
      </c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  <c r="BP205" s="37"/>
      <c r="BQ205" s="37"/>
      <c r="BR205" s="37"/>
      <c r="BS205" s="37"/>
      <c r="BT205" s="37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CF205" s="37"/>
    </row>
    <row r="206" spans="1:84" x14ac:dyDescent="0.2">
      <c r="A206" s="39">
        <v>43758</v>
      </c>
      <c r="B206" s="22" t="s">
        <v>250</v>
      </c>
      <c r="C206" t="s">
        <v>307</v>
      </c>
      <c r="D206" s="22" t="s">
        <v>265</v>
      </c>
      <c r="E206">
        <f>19.94+9.5</f>
        <v>29.44</v>
      </c>
      <c r="F206">
        <v>35</v>
      </c>
      <c r="G206">
        <v>119</v>
      </c>
      <c r="H206">
        <v>6</v>
      </c>
      <c r="I206">
        <v>2.5</v>
      </c>
      <c r="J206">
        <v>3</v>
      </c>
      <c r="K206">
        <v>3</v>
      </c>
      <c r="L206">
        <v>25.1</v>
      </c>
      <c r="M206">
        <v>131</v>
      </c>
      <c r="N206">
        <v>11</v>
      </c>
      <c r="O206">
        <v>6.8</v>
      </c>
      <c r="P206">
        <v>48</v>
      </c>
      <c r="Q206">
        <v>5</v>
      </c>
      <c r="R206">
        <v>0</v>
      </c>
      <c r="S206">
        <v>0</v>
      </c>
      <c r="T206">
        <v>2</v>
      </c>
      <c r="U206">
        <v>14.100000000000001</v>
      </c>
      <c r="V206">
        <v>31</v>
      </c>
      <c r="W206">
        <v>9</v>
      </c>
      <c r="X206">
        <v>13.3</v>
      </c>
      <c r="Y206">
        <v>43</v>
      </c>
      <c r="Z206">
        <v>4</v>
      </c>
      <c r="AA206">
        <v>10</v>
      </c>
      <c r="AB206">
        <v>4</v>
      </c>
      <c r="AC206">
        <v>10</v>
      </c>
      <c r="AD206" s="21">
        <v>0.29268292682926828</v>
      </c>
      <c r="AE206" s="21">
        <v>2.4390243902439025E-2</v>
      </c>
      <c r="AF206">
        <v>75</v>
      </c>
      <c r="AG206">
        <v>6</v>
      </c>
      <c r="AH206">
        <v>38</v>
      </c>
      <c r="AI206">
        <v>29</v>
      </c>
      <c r="AJ206">
        <v>6</v>
      </c>
      <c r="AK206">
        <v>74</v>
      </c>
      <c r="AL206">
        <v>34</v>
      </c>
      <c r="AM206">
        <v>2</v>
      </c>
      <c r="AN206">
        <f t="shared" si="12"/>
        <v>432</v>
      </c>
      <c r="AO206">
        <v>281</v>
      </c>
      <c r="AP206">
        <v>123</v>
      </c>
      <c r="AQ206">
        <v>0</v>
      </c>
      <c r="AR206">
        <v>28</v>
      </c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37"/>
      <c r="BD206" s="37"/>
      <c r="BE206" s="37"/>
      <c r="BF206" s="37"/>
      <c r="BG206" s="37"/>
      <c r="BH206" s="37"/>
      <c r="BI206" s="37"/>
      <c r="BJ206" s="37"/>
      <c r="BK206" s="37"/>
      <c r="BL206" s="37"/>
      <c r="BM206" s="37"/>
      <c r="BN206" s="37"/>
      <c r="BO206" s="37"/>
      <c r="BP206" s="37"/>
      <c r="BQ206" s="37"/>
      <c r="BR206" s="37"/>
      <c r="BS206" s="37"/>
      <c r="BT206" s="37"/>
      <c r="BU206" s="37"/>
      <c r="BV206" s="37"/>
      <c r="BW206" s="37"/>
      <c r="BX206" s="37"/>
      <c r="BY206" s="37"/>
      <c r="BZ206" s="37"/>
      <c r="CA206" s="37"/>
      <c r="CB206" s="37"/>
      <c r="CC206" s="37"/>
      <c r="CD206" s="37"/>
      <c r="CE206" s="37"/>
      <c r="CF206" s="37"/>
    </row>
    <row r="207" spans="1:84" x14ac:dyDescent="0.2">
      <c r="A207" s="39">
        <v>43758</v>
      </c>
      <c r="B207" s="22" t="s">
        <v>250</v>
      </c>
      <c r="C207" t="s">
        <v>296</v>
      </c>
      <c r="D207" s="22" t="s">
        <v>285</v>
      </c>
      <c r="E207">
        <v>13.42</v>
      </c>
      <c r="F207">
        <v>17</v>
      </c>
      <c r="G207">
        <v>72</v>
      </c>
      <c r="H207">
        <v>5</v>
      </c>
      <c r="I207">
        <v>0</v>
      </c>
      <c r="J207">
        <v>0</v>
      </c>
      <c r="K207">
        <v>0</v>
      </c>
      <c r="L207">
        <v>14</v>
      </c>
      <c r="M207">
        <v>80</v>
      </c>
      <c r="N207">
        <v>11</v>
      </c>
      <c r="O207">
        <v>7.5</v>
      </c>
      <c r="P207">
        <v>35</v>
      </c>
      <c r="Q207">
        <v>5</v>
      </c>
      <c r="R207">
        <v>4.8</v>
      </c>
      <c r="S207">
        <v>28</v>
      </c>
      <c r="T207">
        <v>2</v>
      </c>
      <c r="U207">
        <v>16.3</v>
      </c>
      <c r="V207">
        <v>93</v>
      </c>
      <c r="W207">
        <v>11</v>
      </c>
      <c r="X207">
        <f>12.9</f>
        <v>12.9</v>
      </c>
      <c r="Y207">
        <v>39</v>
      </c>
      <c r="Z207">
        <v>7</v>
      </c>
      <c r="AA207">
        <v>3</v>
      </c>
      <c r="AB207">
        <v>1</v>
      </c>
      <c r="AC207">
        <v>10</v>
      </c>
      <c r="AD207" s="21">
        <v>0.42553191489361702</v>
      </c>
      <c r="AE207" s="21">
        <v>0.1702127659574468</v>
      </c>
      <c r="AF207">
        <v>90</v>
      </c>
      <c r="AG207">
        <v>14</v>
      </c>
      <c r="AH207">
        <v>35</v>
      </c>
      <c r="AI207">
        <v>18</v>
      </c>
      <c r="AJ207">
        <v>4</v>
      </c>
      <c r="AK207">
        <v>65</v>
      </c>
      <c r="AL207">
        <v>14</v>
      </c>
      <c r="AM207">
        <v>7</v>
      </c>
      <c r="AN207">
        <f t="shared" si="12"/>
        <v>330</v>
      </c>
      <c r="AO207">
        <v>223</v>
      </c>
      <c r="AP207">
        <v>72</v>
      </c>
      <c r="AQ207">
        <v>0</v>
      </c>
      <c r="AR207">
        <v>35</v>
      </c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37"/>
      <c r="BD207" s="37"/>
      <c r="BE207" s="37"/>
      <c r="BF207" s="37"/>
      <c r="BG207" s="37"/>
      <c r="BH207" s="37"/>
      <c r="BI207" s="37"/>
      <c r="BJ207" s="37"/>
      <c r="BK207" s="37"/>
      <c r="BL207" s="37"/>
      <c r="BM207" s="37"/>
      <c r="BN207" s="37"/>
      <c r="BO207" s="37"/>
      <c r="BP207" s="37"/>
      <c r="BQ207" s="37"/>
      <c r="BR207" s="37"/>
      <c r="BS207" s="37"/>
      <c r="BT207" s="37"/>
      <c r="BU207" s="37"/>
      <c r="BV207" s="37"/>
      <c r="BW207" s="37"/>
      <c r="BX207" s="37"/>
      <c r="BY207" s="37"/>
      <c r="BZ207" s="37"/>
      <c r="CA207" s="37"/>
      <c r="CB207" s="37"/>
      <c r="CC207" s="37"/>
      <c r="CD207" s="37"/>
      <c r="CE207" s="37"/>
      <c r="CF207" s="37"/>
    </row>
    <row r="208" spans="1:84" x14ac:dyDescent="0.2">
      <c r="A208" s="39">
        <v>43758</v>
      </c>
      <c r="B208" s="22" t="s">
        <v>250</v>
      </c>
      <c r="C208" t="s">
        <v>298</v>
      </c>
      <c r="D208" s="22" t="s">
        <v>302</v>
      </c>
      <c r="E208">
        <v>-1.66</v>
      </c>
      <c r="F208">
        <v>8.6</v>
      </c>
      <c r="G208">
        <v>70</v>
      </c>
      <c r="H208">
        <v>4</v>
      </c>
      <c r="I208">
        <v>0.9</v>
      </c>
      <c r="J208">
        <v>9</v>
      </c>
      <c r="K208">
        <v>1</v>
      </c>
      <c r="L208">
        <v>6.6</v>
      </c>
      <c r="M208">
        <v>26</v>
      </c>
      <c r="N208">
        <v>5</v>
      </c>
      <c r="O208">
        <v>2</v>
      </c>
      <c r="P208">
        <v>10</v>
      </c>
      <c r="Q208">
        <v>8</v>
      </c>
      <c r="R208">
        <v>7.2</v>
      </c>
      <c r="S208">
        <v>42</v>
      </c>
      <c r="T208">
        <v>9</v>
      </c>
      <c r="U208">
        <v>3.6</v>
      </c>
      <c r="V208">
        <v>16</v>
      </c>
      <c r="W208">
        <v>6</v>
      </c>
      <c r="X208">
        <v>1.1000000000000001</v>
      </c>
      <c r="Y208">
        <v>1</v>
      </c>
      <c r="Z208">
        <v>2</v>
      </c>
      <c r="AA208">
        <v>0</v>
      </c>
      <c r="AB208">
        <v>0</v>
      </c>
      <c r="AC208">
        <v>1</v>
      </c>
      <c r="AD208" s="21">
        <v>0.48484848484848486</v>
      </c>
      <c r="AE208" s="21">
        <v>3.0303030303030304E-2</v>
      </c>
      <c r="AF208">
        <v>35.700000000000003</v>
      </c>
      <c r="AG208">
        <v>25</v>
      </c>
      <c r="AH208">
        <v>32</v>
      </c>
      <c r="AI208">
        <v>18</v>
      </c>
      <c r="AJ208">
        <v>2</v>
      </c>
      <c r="AK208">
        <v>53</v>
      </c>
      <c r="AL208">
        <v>0</v>
      </c>
      <c r="AM208">
        <v>0</v>
      </c>
      <c r="AN208">
        <f t="shared" si="12"/>
        <v>167</v>
      </c>
      <c r="AO208">
        <v>86</v>
      </c>
      <c r="AP208">
        <v>82</v>
      </c>
      <c r="AQ208">
        <v>0</v>
      </c>
      <c r="AR208">
        <v>-1</v>
      </c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37"/>
      <c r="BD208" s="37"/>
      <c r="BE208" s="37"/>
      <c r="BF208" s="37"/>
      <c r="BG208" s="37"/>
      <c r="BH208" s="37"/>
      <c r="BI208" s="37"/>
      <c r="BJ208" s="37"/>
      <c r="BK208" s="37"/>
      <c r="BL208" s="37"/>
      <c r="BM208" s="37"/>
      <c r="BN208" s="37"/>
      <c r="BO208" s="37"/>
      <c r="BP208" s="37"/>
      <c r="BQ208" s="37"/>
      <c r="BR208" s="37"/>
      <c r="BS208" s="37"/>
      <c r="BT208" s="37"/>
      <c r="BU208" s="37"/>
      <c r="BV208" s="37"/>
      <c r="BW208" s="37"/>
      <c r="BX208" s="37"/>
      <c r="BY208" s="37"/>
      <c r="BZ208" s="37"/>
      <c r="CA208" s="37"/>
      <c r="CB208" s="37"/>
      <c r="CC208" s="37"/>
      <c r="CD208" s="37"/>
      <c r="CE208" s="37"/>
      <c r="CF208" s="37"/>
    </row>
    <row r="209" spans="1:84" x14ac:dyDescent="0.2">
      <c r="A209" s="39">
        <v>43758</v>
      </c>
      <c r="B209" s="22" t="s">
        <v>250</v>
      </c>
      <c r="C209" t="s">
        <v>294</v>
      </c>
      <c r="D209" s="22" t="s">
        <v>291</v>
      </c>
      <c r="E209">
        <v>9.84</v>
      </c>
      <c r="F209">
        <v>7.6</v>
      </c>
      <c r="G209">
        <v>50</v>
      </c>
      <c r="H209">
        <v>2</v>
      </c>
      <c r="I209">
        <v>6.2</v>
      </c>
      <c r="J209">
        <v>21</v>
      </c>
      <c r="K209">
        <v>3</v>
      </c>
      <c r="L209">
        <v>5.8</v>
      </c>
      <c r="M209">
        <v>38</v>
      </c>
      <c r="N209">
        <v>5</v>
      </c>
      <c r="O209">
        <v>4.4000000000000004</v>
      </c>
      <c r="P209">
        <v>24</v>
      </c>
      <c r="Q209">
        <v>4</v>
      </c>
      <c r="R209">
        <v>0</v>
      </c>
      <c r="S209">
        <v>0</v>
      </c>
      <c r="T209">
        <v>1</v>
      </c>
      <c r="U209">
        <v>22.400000000000002</v>
      </c>
      <c r="V209">
        <v>104</v>
      </c>
      <c r="W209">
        <v>9</v>
      </c>
      <c r="X209">
        <f>15.9+5.8</f>
        <v>21.7</v>
      </c>
      <c r="Y209">
        <f>69+38</f>
        <v>107</v>
      </c>
      <c r="Z209">
        <v>9</v>
      </c>
      <c r="AA209">
        <v>4</v>
      </c>
      <c r="AB209">
        <v>1</v>
      </c>
      <c r="AC209">
        <v>1</v>
      </c>
      <c r="AD209" s="21">
        <v>0.41935483870967744</v>
      </c>
      <c r="AE209" s="21">
        <v>9.6774193548387094E-2</v>
      </c>
      <c r="AF209">
        <v>62.5</v>
      </c>
      <c r="AG209">
        <v>15</v>
      </c>
      <c r="AH209">
        <v>26</v>
      </c>
      <c r="AI209">
        <v>24</v>
      </c>
      <c r="AJ209">
        <v>4</v>
      </c>
      <c r="AK209">
        <v>57</v>
      </c>
      <c r="AL209">
        <v>10</v>
      </c>
      <c r="AM209">
        <v>0</v>
      </c>
      <c r="AN209">
        <f t="shared" si="12"/>
        <v>297</v>
      </c>
      <c r="AO209">
        <v>191</v>
      </c>
      <c r="AP209">
        <f>50+21+23</f>
        <v>94</v>
      </c>
      <c r="AQ209">
        <v>0</v>
      </c>
      <c r="AR209">
        <v>12</v>
      </c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  <c r="BE209" s="37"/>
      <c r="BF209" s="37"/>
      <c r="BG209" s="37"/>
      <c r="BH209" s="37"/>
      <c r="BI209" s="37"/>
      <c r="BJ209" s="37"/>
      <c r="BK209" s="37"/>
      <c r="BL209" s="37"/>
      <c r="BM209" s="37"/>
      <c r="BN209" s="37"/>
      <c r="BO209" s="37"/>
      <c r="BP209" s="37"/>
      <c r="BQ209" s="37"/>
      <c r="BR209" s="37"/>
      <c r="BS209" s="37"/>
      <c r="BT209" s="37"/>
      <c r="BU209" s="37"/>
      <c r="BV209" s="37"/>
      <c r="BW209" s="37"/>
      <c r="BX209" s="37"/>
      <c r="BY209" s="37"/>
      <c r="BZ209" s="37"/>
      <c r="CA209" s="37"/>
      <c r="CB209" s="37"/>
      <c r="CC209" s="37"/>
      <c r="CD209" s="37"/>
      <c r="CE209" s="37"/>
      <c r="CF209" s="37"/>
    </row>
    <row r="210" spans="1:84" x14ac:dyDescent="0.2">
      <c r="A210" s="39">
        <v>43758</v>
      </c>
      <c r="B210" s="22" t="s">
        <v>250</v>
      </c>
      <c r="C210" s="22" t="s">
        <v>256</v>
      </c>
      <c r="D210" s="22" t="s">
        <v>306</v>
      </c>
      <c r="E210">
        <v>7.04</v>
      </c>
      <c r="F210">
        <v>8.1</v>
      </c>
      <c r="G210">
        <v>62</v>
      </c>
      <c r="H210">
        <v>2</v>
      </c>
      <c r="I210">
        <v>4.5999999999999996</v>
      </c>
      <c r="J210">
        <v>35</v>
      </c>
      <c r="K210">
        <v>1</v>
      </c>
      <c r="L210">
        <v>9.9</v>
      </c>
      <c r="M210">
        <v>69</v>
      </c>
      <c r="N210">
        <v>4</v>
      </c>
      <c r="O210">
        <v>5</v>
      </c>
      <c r="P210">
        <v>40</v>
      </c>
      <c r="Q210">
        <v>1</v>
      </c>
      <c r="R210">
        <v>0</v>
      </c>
      <c r="S210">
        <v>0</v>
      </c>
      <c r="T210">
        <v>1</v>
      </c>
      <c r="U210">
        <v>11.1</v>
      </c>
      <c r="V210">
        <v>81</v>
      </c>
      <c r="W210">
        <v>4</v>
      </c>
      <c r="X210">
        <f>6.8+2.4</f>
        <v>9.1999999999999993</v>
      </c>
      <c r="Y210">
        <v>42</v>
      </c>
      <c r="Z210">
        <v>9</v>
      </c>
      <c r="AA210">
        <v>9</v>
      </c>
      <c r="AB210">
        <v>4</v>
      </c>
      <c r="AC210">
        <v>15</v>
      </c>
      <c r="AD210" s="21">
        <v>0.32</v>
      </c>
      <c r="AE210" s="21">
        <v>0.08</v>
      </c>
      <c r="AF210">
        <v>100</v>
      </c>
      <c r="AG210">
        <v>8</v>
      </c>
      <c r="AH210">
        <v>21</v>
      </c>
      <c r="AI210">
        <v>33</v>
      </c>
      <c r="AJ210">
        <v>4</v>
      </c>
      <c r="AK210">
        <v>62</v>
      </c>
      <c r="AL210">
        <v>9</v>
      </c>
      <c r="AM210">
        <v>0</v>
      </c>
      <c r="AN210">
        <f>AO210+AP210+AR210+AQ210</f>
        <v>288</v>
      </c>
      <c r="AO210">
        <v>151</v>
      </c>
      <c r="AP210">
        <f>62+35+20</f>
        <v>117</v>
      </c>
      <c r="AQ210">
        <v>0</v>
      </c>
      <c r="AR210">
        <v>20</v>
      </c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37"/>
      <c r="BD210" s="37"/>
      <c r="BE210" s="37"/>
      <c r="BF210" s="37"/>
      <c r="BG210" s="37"/>
      <c r="BH210" s="37"/>
      <c r="BI210" s="37"/>
      <c r="BJ210" s="37"/>
      <c r="BK210" s="37"/>
      <c r="BL210" s="37"/>
      <c r="BM210" s="37"/>
      <c r="BN210" s="37"/>
      <c r="BO210" s="37"/>
      <c r="BP210" s="37"/>
      <c r="BQ210" s="37"/>
      <c r="BR210" s="37"/>
      <c r="BS210" s="37"/>
      <c r="BT210" s="37"/>
      <c r="BU210" s="37"/>
      <c r="BV210" s="37"/>
      <c r="BW210" s="37"/>
      <c r="BX210" s="37"/>
      <c r="BY210" s="37"/>
      <c r="BZ210" s="37"/>
      <c r="CA210" s="37"/>
      <c r="CB210" s="37"/>
      <c r="CC210" s="37"/>
      <c r="CD210" s="37"/>
      <c r="CE210" s="37"/>
      <c r="CF210" s="37"/>
    </row>
    <row r="211" spans="1:84" x14ac:dyDescent="0.2">
      <c r="A211" s="39">
        <v>43758</v>
      </c>
      <c r="B211" s="22" t="s">
        <v>250</v>
      </c>
      <c r="C211" t="s">
        <v>308</v>
      </c>
      <c r="D211" s="22" t="s">
        <v>305</v>
      </c>
      <c r="E211">
        <v>15.34</v>
      </c>
      <c r="F211">
        <v>10.4</v>
      </c>
      <c r="G211">
        <v>65</v>
      </c>
      <c r="H211">
        <v>5</v>
      </c>
      <c r="I211">
        <v>1.7</v>
      </c>
      <c r="J211">
        <v>17</v>
      </c>
      <c r="K211">
        <v>0</v>
      </c>
      <c r="L211">
        <v>16.8</v>
      </c>
      <c r="M211">
        <v>61</v>
      </c>
      <c r="N211">
        <v>7</v>
      </c>
      <c r="O211">
        <v>8.3000000000000007</v>
      </c>
      <c r="P211">
        <v>53</v>
      </c>
      <c r="Q211">
        <v>9</v>
      </c>
      <c r="R211" s="14">
        <v>9</v>
      </c>
      <c r="S211">
        <v>60</v>
      </c>
      <c r="T211">
        <v>6</v>
      </c>
      <c r="U211">
        <v>31.400000000000002</v>
      </c>
      <c r="V211">
        <v>154</v>
      </c>
      <c r="W211">
        <v>16</v>
      </c>
      <c r="X211">
        <v>5</v>
      </c>
      <c r="Y211">
        <v>20</v>
      </c>
      <c r="Z211">
        <v>7</v>
      </c>
      <c r="AA211">
        <v>10</v>
      </c>
      <c r="AB211">
        <v>4</v>
      </c>
      <c r="AC211">
        <v>2</v>
      </c>
      <c r="AD211" s="21">
        <v>0.45454545454545453</v>
      </c>
      <c r="AE211" s="21">
        <v>2.2727272727272728E-2</v>
      </c>
      <c r="AF211">
        <v>42.9</v>
      </c>
      <c r="AG211">
        <v>18</v>
      </c>
      <c r="AH211">
        <v>41</v>
      </c>
      <c r="AI211">
        <v>22</v>
      </c>
      <c r="AJ211">
        <v>3</v>
      </c>
      <c r="AK211">
        <v>68</v>
      </c>
      <c r="AL211">
        <v>16</v>
      </c>
      <c r="AM211">
        <v>0</v>
      </c>
      <c r="AN211">
        <f t="shared" ref="AN211:AN217" si="13">SUM(AO211:AR211)</f>
        <v>337</v>
      </c>
      <c r="AO211">
        <v>241</v>
      </c>
      <c r="AP211">
        <v>72</v>
      </c>
      <c r="AQ211">
        <v>-3</v>
      </c>
      <c r="AR211">
        <v>27</v>
      </c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37"/>
      <c r="BD211" s="37"/>
      <c r="BE211" s="37"/>
      <c r="BF211" s="37"/>
      <c r="BG211" s="37"/>
      <c r="BH211" s="37"/>
      <c r="BI211" s="37"/>
      <c r="BJ211" s="37"/>
      <c r="BK211" s="37"/>
      <c r="BL211" s="37"/>
      <c r="BM211" s="37"/>
      <c r="BN211" s="37"/>
      <c r="BO211" s="37"/>
      <c r="BP211" s="37"/>
      <c r="BQ211" s="37"/>
      <c r="BR211" s="37"/>
      <c r="BS211" s="37"/>
      <c r="BT211" s="37"/>
      <c r="BU211" s="37"/>
      <c r="BV211" s="37"/>
      <c r="BW211" s="37"/>
      <c r="BX211" s="37"/>
      <c r="BY211" s="37"/>
      <c r="BZ211" s="37"/>
      <c r="CA211" s="37"/>
      <c r="CB211" s="37"/>
      <c r="CC211" s="37"/>
      <c r="CD211" s="37"/>
      <c r="CE211" s="37"/>
      <c r="CF211" s="37"/>
    </row>
    <row r="212" spans="1:84" x14ac:dyDescent="0.2">
      <c r="A212" s="39">
        <v>43758</v>
      </c>
      <c r="B212" s="22" t="s">
        <v>250</v>
      </c>
      <c r="C212" t="s">
        <v>310</v>
      </c>
      <c r="D212" s="22" t="s">
        <v>287</v>
      </c>
      <c r="E212">
        <v>23.18</v>
      </c>
      <c r="F212">
        <v>17.8</v>
      </c>
      <c r="G212">
        <v>90</v>
      </c>
      <c r="H212">
        <v>1</v>
      </c>
      <c r="I212">
        <v>0.2</v>
      </c>
      <c r="J212">
        <v>2</v>
      </c>
      <c r="K212">
        <v>1</v>
      </c>
      <c r="L212">
        <v>20</v>
      </c>
      <c r="M212">
        <v>80</v>
      </c>
      <c r="N212">
        <v>7</v>
      </c>
      <c r="O212">
        <v>12.2</v>
      </c>
      <c r="P212">
        <v>64</v>
      </c>
      <c r="Q212">
        <v>8</v>
      </c>
      <c r="R212" s="14">
        <v>8</v>
      </c>
      <c r="S212">
        <v>40</v>
      </c>
      <c r="T212">
        <v>4</v>
      </c>
      <c r="U212">
        <v>22</v>
      </c>
      <c r="V212">
        <v>90</v>
      </c>
      <c r="W212">
        <v>7</v>
      </c>
      <c r="X212">
        <f>9.4+3.7</f>
        <v>13.100000000000001</v>
      </c>
      <c r="Y212">
        <f>64+27</f>
        <v>91</v>
      </c>
      <c r="Z212">
        <v>4</v>
      </c>
      <c r="AA212">
        <v>6</v>
      </c>
      <c r="AB212">
        <v>1</v>
      </c>
      <c r="AC212" s="35">
        <v>4</v>
      </c>
      <c r="AD212" s="21">
        <v>0.3125</v>
      </c>
      <c r="AE212" s="21">
        <v>6.25E-2</v>
      </c>
      <c r="AF212">
        <v>60</v>
      </c>
      <c r="AG212">
        <v>4</v>
      </c>
      <c r="AH212">
        <v>29</v>
      </c>
      <c r="AI212">
        <v>23</v>
      </c>
      <c r="AJ212">
        <v>5</v>
      </c>
      <c r="AK212">
        <v>61</v>
      </c>
      <c r="AL212">
        <v>23</v>
      </c>
      <c r="AM212">
        <v>0</v>
      </c>
      <c r="AN212">
        <f t="shared" si="13"/>
        <v>409</v>
      </c>
      <c r="AO212">
        <v>312</v>
      </c>
      <c r="AP212">
        <v>92</v>
      </c>
      <c r="AQ212">
        <v>-2</v>
      </c>
      <c r="AR212">
        <v>7</v>
      </c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37"/>
      <c r="BD212" s="37"/>
      <c r="BE212" s="37"/>
      <c r="BF212" s="37"/>
      <c r="BG212" s="37"/>
      <c r="BH212" s="37"/>
      <c r="BI212" s="37"/>
      <c r="BJ212" s="37"/>
      <c r="BK212" s="37"/>
      <c r="BL212" s="37"/>
      <c r="BM212" s="37"/>
      <c r="BN212" s="37"/>
      <c r="BO212" s="37"/>
      <c r="BP212" s="37"/>
      <c r="BQ212" s="37"/>
      <c r="BR212" s="37"/>
      <c r="BS212" s="37"/>
      <c r="BT212" s="37"/>
      <c r="BU212" s="37"/>
      <c r="BV212" s="37"/>
      <c r="BW212" s="37"/>
      <c r="BX212" s="37"/>
      <c r="BY212" s="37"/>
      <c r="BZ212" s="37"/>
      <c r="CA212" s="37"/>
      <c r="CB212" s="37"/>
      <c r="CC212" s="37"/>
      <c r="CD212" s="37"/>
      <c r="CE212" s="37"/>
      <c r="CF212" s="37"/>
    </row>
    <row r="213" spans="1:84" x14ac:dyDescent="0.2">
      <c r="A213" s="39">
        <v>43758</v>
      </c>
      <c r="B213" s="22" t="s">
        <v>250</v>
      </c>
      <c r="C213" t="s">
        <v>306</v>
      </c>
      <c r="D213" s="22" t="s">
        <v>256</v>
      </c>
      <c r="E213">
        <v>3.08</v>
      </c>
      <c r="F213">
        <v>7.1</v>
      </c>
      <c r="G213">
        <v>81</v>
      </c>
      <c r="H213">
        <v>0</v>
      </c>
      <c r="I213">
        <v>5.0999999999999996</v>
      </c>
      <c r="J213">
        <v>23</v>
      </c>
      <c r="K213">
        <v>1</v>
      </c>
      <c r="L213">
        <v>2.1</v>
      </c>
      <c r="M213">
        <v>11</v>
      </c>
      <c r="N213">
        <v>2</v>
      </c>
      <c r="O213" s="14">
        <v>5</v>
      </c>
      <c r="P213">
        <v>30</v>
      </c>
      <c r="Q213">
        <v>3</v>
      </c>
      <c r="R213">
        <v>0</v>
      </c>
      <c r="S213">
        <v>0</v>
      </c>
      <c r="T213">
        <v>1</v>
      </c>
      <c r="U213">
        <v>6.1</v>
      </c>
      <c r="V213">
        <v>21</v>
      </c>
      <c r="W213">
        <v>4</v>
      </c>
      <c r="X213">
        <v>3.3</v>
      </c>
      <c r="Y213">
        <v>13</v>
      </c>
      <c r="Z213">
        <v>2</v>
      </c>
      <c r="AA213">
        <v>0</v>
      </c>
      <c r="AB213">
        <v>1</v>
      </c>
      <c r="AC213">
        <v>8</v>
      </c>
      <c r="AD213" s="21">
        <v>0.26666666666666666</v>
      </c>
      <c r="AE213" s="21">
        <v>0.2</v>
      </c>
      <c r="AF213">
        <v>100</v>
      </c>
      <c r="AG213">
        <v>15</v>
      </c>
      <c r="AH213">
        <v>12</v>
      </c>
      <c r="AI213">
        <v>25</v>
      </c>
      <c r="AJ213">
        <v>0</v>
      </c>
      <c r="AK213">
        <v>41</v>
      </c>
      <c r="AL213">
        <v>0</v>
      </c>
      <c r="AM213">
        <v>0</v>
      </c>
      <c r="AN213">
        <f t="shared" si="13"/>
        <v>181</v>
      </c>
      <c r="AO213">
        <v>77</v>
      </c>
      <c r="AP213">
        <f>81+23</f>
        <v>104</v>
      </c>
      <c r="AQ213">
        <v>0</v>
      </c>
      <c r="AR213">
        <v>0</v>
      </c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37"/>
      <c r="BD213" s="37"/>
      <c r="BE213" s="37"/>
      <c r="BF213" s="37"/>
      <c r="BG213" s="37"/>
      <c r="BH213" s="37"/>
      <c r="BI213" s="37"/>
      <c r="BJ213" s="37"/>
      <c r="BK213" s="37"/>
      <c r="BL213" s="37"/>
      <c r="BM213" s="37"/>
      <c r="BN213" s="37"/>
      <c r="BO213" s="37"/>
      <c r="BP213" s="37"/>
      <c r="BQ213" s="37"/>
      <c r="BR213" s="37"/>
      <c r="BS213" s="37"/>
      <c r="BT213" s="37"/>
      <c r="BU213" s="37"/>
      <c r="BV213" s="37"/>
      <c r="BW213" s="37"/>
      <c r="BX213" s="37"/>
      <c r="BY213" s="37"/>
      <c r="BZ213" s="37"/>
      <c r="CA213" s="37"/>
      <c r="CB213" s="37"/>
      <c r="CC213" s="37"/>
      <c r="CD213" s="37"/>
      <c r="CE213" s="37"/>
      <c r="CF213" s="37"/>
    </row>
    <row r="214" spans="1:84" x14ac:dyDescent="0.2">
      <c r="A214" s="39">
        <v>43765</v>
      </c>
      <c r="B214" s="22" t="s">
        <v>248</v>
      </c>
      <c r="C214" t="s">
        <v>285</v>
      </c>
      <c r="D214" s="22" t="s">
        <v>307</v>
      </c>
      <c r="E214">
        <v>10.1</v>
      </c>
      <c r="L214">
        <v>2.8</v>
      </c>
      <c r="M214">
        <v>8</v>
      </c>
      <c r="N214">
        <v>4</v>
      </c>
      <c r="O214">
        <v>17.8</v>
      </c>
      <c r="P214">
        <v>79</v>
      </c>
      <c r="Q214">
        <v>11</v>
      </c>
      <c r="R214">
        <v>3.8</v>
      </c>
      <c r="S214">
        <v>18</v>
      </c>
      <c r="T214">
        <v>5</v>
      </c>
      <c r="U214">
        <v>15.8</v>
      </c>
      <c r="V214">
        <v>68</v>
      </c>
      <c r="W214">
        <v>13</v>
      </c>
      <c r="X214">
        <f>11.8+1.9</f>
        <v>13.700000000000001</v>
      </c>
      <c r="Y214">
        <v>97</v>
      </c>
      <c r="Z214">
        <v>4</v>
      </c>
      <c r="AA214">
        <v>11</v>
      </c>
      <c r="AB214">
        <v>3</v>
      </c>
      <c r="AC214">
        <v>1</v>
      </c>
      <c r="AD214" s="21">
        <v>0.30555555555555558</v>
      </c>
      <c r="AE214" s="21">
        <v>8.3333333333333329E-2</v>
      </c>
      <c r="AF214">
        <v>66.7</v>
      </c>
      <c r="AG214">
        <v>8</v>
      </c>
      <c r="AH214">
        <v>34</v>
      </c>
      <c r="AI214">
        <v>8</v>
      </c>
      <c r="AJ214">
        <v>2</v>
      </c>
      <c r="AK214">
        <v>49</v>
      </c>
      <c r="AL214">
        <v>9</v>
      </c>
      <c r="AM214">
        <v>0</v>
      </c>
      <c r="AN214">
        <f t="shared" si="13"/>
        <v>260</v>
      </c>
      <c r="AO214">
        <v>220</v>
      </c>
      <c r="AP214">
        <v>8</v>
      </c>
      <c r="AQ214">
        <v>19</v>
      </c>
      <c r="AR214">
        <v>13</v>
      </c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37"/>
      <c r="BD214" s="37"/>
      <c r="BE214" s="37"/>
      <c r="BF214" s="37"/>
      <c r="BG214" s="37"/>
      <c r="BH214" s="37"/>
      <c r="BI214" s="37"/>
      <c r="BJ214" s="37"/>
      <c r="BK214" s="37"/>
      <c r="BL214" s="37"/>
      <c r="BM214" s="37"/>
      <c r="BN214" s="37"/>
      <c r="BO214" s="37"/>
      <c r="BP214" s="37"/>
      <c r="BQ214" s="37"/>
      <c r="BR214" s="37"/>
      <c r="BS214" s="37"/>
      <c r="BT214" s="37"/>
      <c r="BU214" s="37"/>
      <c r="BV214" s="37"/>
      <c r="BW214" s="37"/>
      <c r="BX214" s="37"/>
      <c r="BY214" s="37"/>
      <c r="BZ214" s="37"/>
      <c r="CA214" s="37"/>
      <c r="CB214" s="37"/>
      <c r="CC214" s="37"/>
      <c r="CD214" s="37"/>
      <c r="CE214" s="37"/>
      <c r="CF214" s="37"/>
    </row>
    <row r="215" spans="1:84" x14ac:dyDescent="0.2">
      <c r="A215" s="39">
        <v>43765</v>
      </c>
      <c r="B215" s="22" t="s">
        <v>248</v>
      </c>
      <c r="C215" t="s">
        <v>295</v>
      </c>
      <c r="D215" s="22" t="s">
        <v>308</v>
      </c>
      <c r="E215">
        <v>25.4</v>
      </c>
      <c r="F215">
        <v>17.2</v>
      </c>
      <c r="G215">
        <v>39</v>
      </c>
      <c r="H215">
        <v>8</v>
      </c>
      <c r="I215">
        <v>8.9</v>
      </c>
      <c r="J215">
        <v>29</v>
      </c>
      <c r="K215">
        <v>0</v>
      </c>
      <c r="L215">
        <v>28.2</v>
      </c>
      <c r="M215">
        <v>152</v>
      </c>
      <c r="N215">
        <v>12</v>
      </c>
      <c r="O215">
        <v>13</v>
      </c>
      <c r="P215">
        <v>70</v>
      </c>
      <c r="Q215">
        <v>7</v>
      </c>
      <c r="R215">
        <v>12.8</v>
      </c>
      <c r="S215">
        <v>58</v>
      </c>
      <c r="T215">
        <v>9</v>
      </c>
      <c r="U215">
        <v>27</v>
      </c>
      <c r="V215">
        <v>140</v>
      </c>
      <c r="W215">
        <v>15</v>
      </c>
      <c r="X215">
        <f>18.5+2.8+2.1</f>
        <v>23.400000000000002</v>
      </c>
      <c r="Y215">
        <f>65+18+11</f>
        <v>94</v>
      </c>
      <c r="Z215">
        <v>9</v>
      </c>
      <c r="AA215">
        <v>7</v>
      </c>
      <c r="AB215">
        <v>4</v>
      </c>
      <c r="AC215">
        <v>2</v>
      </c>
      <c r="AD215" s="21">
        <v>0.25925925925925924</v>
      </c>
      <c r="AE215" s="21">
        <v>3.7037037037037035E-2</v>
      </c>
      <c r="AF215">
        <v>70</v>
      </c>
      <c r="AG215">
        <v>9</v>
      </c>
      <c r="AH215">
        <v>52</v>
      </c>
      <c r="AI215">
        <v>17</v>
      </c>
      <c r="AJ215">
        <v>0</v>
      </c>
      <c r="AK215">
        <v>71</v>
      </c>
      <c r="AL215">
        <v>20</v>
      </c>
      <c r="AM215">
        <v>0</v>
      </c>
      <c r="AN215">
        <f t="shared" si="13"/>
        <v>529</v>
      </c>
      <c r="AO215">
        <v>460</v>
      </c>
      <c r="AP215">
        <f>29+39+1</f>
        <v>69</v>
      </c>
      <c r="AQ215">
        <v>0</v>
      </c>
      <c r="AR215">
        <v>0</v>
      </c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  <c r="BE215" s="37"/>
      <c r="BF215" s="37"/>
      <c r="BG215" s="37"/>
      <c r="BH215" s="37"/>
      <c r="BI215" s="37"/>
      <c r="BJ215" s="37"/>
      <c r="BK215" s="37"/>
      <c r="BL215" s="37"/>
      <c r="BM215" s="37"/>
      <c r="BN215" s="37"/>
      <c r="BO215" s="37"/>
      <c r="BP215" s="37"/>
      <c r="BQ215" s="37"/>
      <c r="BR215" s="37"/>
      <c r="BS215" s="37"/>
      <c r="BT215" s="37"/>
      <c r="BU215" s="37"/>
      <c r="BV215" s="37"/>
      <c r="BW215" s="37"/>
      <c r="BX215" s="37"/>
      <c r="BY215" s="37"/>
      <c r="BZ215" s="37"/>
      <c r="CA215" s="37"/>
      <c r="CB215" s="37"/>
      <c r="CC215" s="37"/>
      <c r="CD215" s="37"/>
      <c r="CE215" s="37"/>
      <c r="CF215" s="37"/>
    </row>
    <row r="216" spans="1:84" x14ac:dyDescent="0.2">
      <c r="A216" s="39">
        <v>43765</v>
      </c>
      <c r="B216" s="22" t="s">
        <v>248</v>
      </c>
      <c r="C216" t="s">
        <v>276</v>
      </c>
      <c r="D216" s="22" t="s">
        <v>294</v>
      </c>
      <c r="E216">
        <v>18.260000000000002</v>
      </c>
      <c r="F216">
        <v>14.9</v>
      </c>
      <c r="G216">
        <v>19</v>
      </c>
      <c r="H216">
        <v>6</v>
      </c>
      <c r="I216">
        <v>3.4</v>
      </c>
      <c r="J216">
        <v>34</v>
      </c>
      <c r="K216">
        <v>0</v>
      </c>
      <c r="L216">
        <v>10.4</v>
      </c>
      <c r="M216">
        <v>54</v>
      </c>
      <c r="N216">
        <v>8</v>
      </c>
      <c r="O216">
        <v>13.1</v>
      </c>
      <c r="P216">
        <v>41</v>
      </c>
      <c r="Q216">
        <v>7</v>
      </c>
      <c r="R216" s="14">
        <v>1.6</v>
      </c>
      <c r="S216">
        <v>6</v>
      </c>
      <c r="T216">
        <v>2</v>
      </c>
      <c r="U216">
        <v>7.2</v>
      </c>
      <c r="V216">
        <v>32</v>
      </c>
      <c r="W216">
        <v>8</v>
      </c>
      <c r="X216">
        <v>6.8</v>
      </c>
      <c r="Y216">
        <v>38</v>
      </c>
      <c r="Z216">
        <v>5</v>
      </c>
      <c r="AA216">
        <v>1</v>
      </c>
      <c r="AB216">
        <v>1</v>
      </c>
      <c r="AC216">
        <v>4</v>
      </c>
      <c r="AD216" s="21">
        <v>0.48837209302325579</v>
      </c>
      <c r="AE216" s="21">
        <v>9.3023255813953487E-2</v>
      </c>
      <c r="AF216">
        <v>54.5</v>
      </c>
      <c r="AG216">
        <v>12</v>
      </c>
      <c r="AH216">
        <v>34</v>
      </c>
      <c r="AI216">
        <v>12</v>
      </c>
      <c r="AJ216">
        <v>8</v>
      </c>
      <c r="AK216">
        <v>58</v>
      </c>
      <c r="AL216">
        <v>13</v>
      </c>
      <c r="AM216">
        <v>0</v>
      </c>
      <c r="AN216">
        <f t="shared" si="13"/>
        <v>267</v>
      </c>
      <c r="AO216">
        <v>169</v>
      </c>
      <c r="AP216">
        <f>19+34</f>
        <v>53</v>
      </c>
      <c r="AQ216">
        <v>0</v>
      </c>
      <c r="AR216">
        <v>45</v>
      </c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37"/>
      <c r="BD216" s="37"/>
      <c r="BE216" s="37"/>
      <c r="BF216" s="37"/>
      <c r="BG216" s="37"/>
      <c r="BH216" s="37"/>
      <c r="BI216" s="37"/>
      <c r="BJ216" s="37"/>
      <c r="BK216" s="37"/>
      <c r="BL216" s="37"/>
      <c r="BM216" s="37"/>
      <c r="BN216" s="37"/>
      <c r="BO216" s="37"/>
      <c r="BP216" s="37"/>
      <c r="BQ216" s="37"/>
      <c r="BR216" s="37"/>
      <c r="BS216" s="37"/>
      <c r="BT216" s="37"/>
      <c r="BU216" s="37"/>
      <c r="BV216" s="37"/>
      <c r="BW216" s="37"/>
      <c r="BX216" s="37"/>
      <c r="BY216" s="37"/>
      <c r="BZ216" s="37"/>
      <c r="CA216" s="37"/>
      <c r="CB216" s="37"/>
      <c r="CC216" s="37"/>
      <c r="CD216" s="37"/>
      <c r="CE216" s="37"/>
      <c r="CF216" s="37"/>
    </row>
    <row r="217" spans="1:84" x14ac:dyDescent="0.2">
      <c r="A217" s="39">
        <v>43765</v>
      </c>
      <c r="B217" s="22" t="s">
        <v>248</v>
      </c>
      <c r="C217" t="s">
        <v>301</v>
      </c>
      <c r="D217" s="22" t="s">
        <v>256</v>
      </c>
      <c r="E217">
        <v>3.32</v>
      </c>
      <c r="F217">
        <v>30.5</v>
      </c>
      <c r="G217">
        <v>117</v>
      </c>
      <c r="H217">
        <v>5</v>
      </c>
      <c r="I217">
        <v>1.7</v>
      </c>
      <c r="J217">
        <v>4</v>
      </c>
      <c r="K217">
        <v>3</v>
      </c>
      <c r="L217">
        <v>8.8000000000000007</v>
      </c>
      <c r="M217">
        <v>38</v>
      </c>
      <c r="N217">
        <v>9</v>
      </c>
      <c r="O217">
        <v>8.6</v>
      </c>
      <c r="P217">
        <v>46</v>
      </c>
      <c r="Q217">
        <v>11</v>
      </c>
      <c r="R217">
        <v>3.2</v>
      </c>
      <c r="S217">
        <v>12</v>
      </c>
      <c r="T217">
        <v>4</v>
      </c>
      <c r="U217">
        <v>7.6</v>
      </c>
      <c r="V217">
        <v>36</v>
      </c>
      <c r="W217">
        <v>8</v>
      </c>
      <c r="X217">
        <v>3.3</v>
      </c>
      <c r="Y217">
        <v>13</v>
      </c>
      <c r="Z217">
        <v>2</v>
      </c>
      <c r="AA217">
        <v>4</v>
      </c>
      <c r="AB217">
        <v>1</v>
      </c>
      <c r="AC217">
        <v>3</v>
      </c>
      <c r="AD217" s="21">
        <v>0.29545454545454547</v>
      </c>
      <c r="AE217" s="21">
        <v>0.15909090909090909</v>
      </c>
      <c r="AF217">
        <v>33.299999999999997</v>
      </c>
      <c r="AG217">
        <v>17</v>
      </c>
      <c r="AH217">
        <v>37</v>
      </c>
      <c r="AI217">
        <v>19</v>
      </c>
      <c r="AJ217">
        <v>0</v>
      </c>
      <c r="AK217">
        <v>63</v>
      </c>
      <c r="AL217">
        <v>11</v>
      </c>
      <c r="AM217">
        <v>2</v>
      </c>
      <c r="AN217">
        <f t="shared" si="13"/>
        <v>288</v>
      </c>
      <c r="AO217">
        <v>158</v>
      </c>
      <c r="AP217">
        <f>117+4+9</f>
        <v>130</v>
      </c>
      <c r="AQ217">
        <v>0</v>
      </c>
      <c r="AR217">
        <v>0</v>
      </c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37"/>
      <c r="BD217" s="37"/>
      <c r="BE217" s="37"/>
      <c r="BF217" s="37"/>
      <c r="BG217" s="37"/>
      <c r="BH217" s="37"/>
      <c r="BI217" s="37"/>
      <c r="BJ217" s="37"/>
      <c r="BK217" s="37"/>
      <c r="BL217" s="37"/>
      <c r="BM217" s="37"/>
      <c r="BN217" s="37"/>
      <c r="BO217" s="37"/>
      <c r="BP217" s="37"/>
      <c r="BQ217" s="37"/>
      <c r="BR217" s="37"/>
      <c r="BS217" s="37"/>
      <c r="BT217" s="37"/>
      <c r="BU217" s="37"/>
      <c r="BV217" s="37"/>
      <c r="BW217" s="37"/>
      <c r="BX217" s="37"/>
      <c r="BY217" s="37"/>
      <c r="BZ217" s="37"/>
      <c r="CA217" s="37"/>
      <c r="CB217" s="37"/>
      <c r="CC217" s="37"/>
      <c r="CD217" s="37"/>
      <c r="CE217" s="37"/>
      <c r="CF217" s="37"/>
    </row>
    <row r="218" spans="1:84" x14ac:dyDescent="0.2">
      <c r="A218" s="39">
        <v>43765</v>
      </c>
      <c r="B218" s="22" t="s">
        <v>248</v>
      </c>
      <c r="C218" t="s">
        <v>265</v>
      </c>
      <c r="D218" s="22" t="s">
        <v>287</v>
      </c>
      <c r="E218">
        <v>9.1199999999999992</v>
      </c>
      <c r="F218">
        <v>27.7</v>
      </c>
      <c r="G218">
        <v>135</v>
      </c>
      <c r="H218">
        <v>5</v>
      </c>
      <c r="I218">
        <v>7.6</v>
      </c>
      <c r="J218">
        <v>9</v>
      </c>
      <c r="K218">
        <v>3</v>
      </c>
      <c r="L218">
        <v>11.2</v>
      </c>
      <c r="M218">
        <v>62</v>
      </c>
      <c r="N218">
        <v>7</v>
      </c>
      <c r="O218" s="14">
        <v>9.6999999999999993</v>
      </c>
      <c r="P218">
        <v>67</v>
      </c>
      <c r="Q218">
        <v>3</v>
      </c>
      <c r="R218">
        <v>9.3000000000000007</v>
      </c>
      <c r="S218">
        <v>53</v>
      </c>
      <c r="T218">
        <v>6</v>
      </c>
      <c r="U218">
        <v>23.9</v>
      </c>
      <c r="V218">
        <v>139</v>
      </c>
      <c r="W218">
        <v>16</v>
      </c>
      <c r="X218">
        <v>2.6</v>
      </c>
      <c r="Y218">
        <v>16</v>
      </c>
      <c r="Z218">
        <v>4</v>
      </c>
      <c r="AA218">
        <v>10</v>
      </c>
      <c r="AB218">
        <v>5</v>
      </c>
      <c r="AC218">
        <v>4</v>
      </c>
      <c r="AD218" s="21">
        <v>0.2857142857142857</v>
      </c>
      <c r="AE218" s="21">
        <v>9.5238095238095233E-2</v>
      </c>
      <c r="AF218">
        <v>60</v>
      </c>
      <c r="AG218">
        <v>9</v>
      </c>
      <c r="AH218">
        <v>35</v>
      </c>
      <c r="AI218">
        <v>33</v>
      </c>
      <c r="AJ218">
        <v>4</v>
      </c>
      <c r="AK218">
        <v>77</v>
      </c>
      <c r="AL218">
        <v>16</v>
      </c>
      <c r="AM218">
        <v>0</v>
      </c>
      <c r="AN218">
        <f>AO218+AP218+AQ218+AR218</f>
        <v>420</v>
      </c>
      <c r="AO218">
        <v>253</v>
      </c>
      <c r="AP218">
        <v>152</v>
      </c>
      <c r="AQ218">
        <v>5</v>
      </c>
      <c r="AR218">
        <v>10</v>
      </c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37"/>
      <c r="BD218" s="37"/>
      <c r="BE218" s="37"/>
      <c r="BF218" s="37"/>
      <c r="BG218" s="37"/>
      <c r="BH218" s="37"/>
      <c r="BI218" s="37"/>
      <c r="BJ218" s="37"/>
      <c r="BK218" s="37"/>
      <c r="BL218" s="37"/>
      <c r="BM218" s="37"/>
      <c r="BN218" s="37"/>
      <c r="BO218" s="37"/>
      <c r="BP218" s="37"/>
      <c r="BQ218" s="37"/>
      <c r="BR218" s="37"/>
      <c r="BS218" s="37"/>
      <c r="BT218" s="37"/>
      <c r="BU218" s="37"/>
      <c r="BV218" s="37"/>
      <c r="BW218" s="37"/>
      <c r="BX218" s="37"/>
      <c r="BY218" s="37"/>
      <c r="BZ218" s="37"/>
      <c r="CA218" s="37"/>
      <c r="CB218" s="37"/>
      <c r="CC218" s="37"/>
      <c r="CD218" s="37"/>
      <c r="CE218" s="37"/>
      <c r="CF218" s="37"/>
    </row>
    <row r="219" spans="1:84" x14ac:dyDescent="0.2">
      <c r="A219" s="39">
        <v>43765</v>
      </c>
      <c r="B219" s="22" t="s">
        <v>248</v>
      </c>
      <c r="C219" s="17" t="s">
        <v>272</v>
      </c>
      <c r="D219" s="22" t="s">
        <v>304</v>
      </c>
      <c r="E219">
        <v>21.16</v>
      </c>
      <c r="F219">
        <v>17.7</v>
      </c>
      <c r="G219">
        <v>66</v>
      </c>
      <c r="H219">
        <v>4</v>
      </c>
      <c r="I219">
        <v>6.5</v>
      </c>
      <c r="J219">
        <v>31</v>
      </c>
      <c r="K219">
        <v>2</v>
      </c>
      <c r="L219">
        <v>12.8</v>
      </c>
      <c r="M219">
        <v>65</v>
      </c>
      <c r="N219">
        <v>9</v>
      </c>
      <c r="O219">
        <v>11.5</v>
      </c>
      <c r="P219">
        <v>65</v>
      </c>
      <c r="Q219">
        <v>13</v>
      </c>
      <c r="R219">
        <v>15.7</v>
      </c>
      <c r="S219">
        <v>97</v>
      </c>
      <c r="T219">
        <v>7</v>
      </c>
      <c r="U219">
        <v>25.499999999999996</v>
      </c>
      <c r="V219">
        <v>135</v>
      </c>
      <c r="W219">
        <v>17</v>
      </c>
      <c r="X219">
        <v>14.8</v>
      </c>
      <c r="Y219">
        <v>78</v>
      </c>
      <c r="Z219">
        <v>11</v>
      </c>
      <c r="AA219">
        <v>4</v>
      </c>
      <c r="AB219">
        <v>1</v>
      </c>
      <c r="AC219">
        <v>0</v>
      </c>
      <c r="AD219" s="21">
        <v>0.2413793103448276</v>
      </c>
      <c r="AE219" s="21">
        <v>8.6206896551724144E-2</v>
      </c>
      <c r="AF219">
        <v>75</v>
      </c>
      <c r="AG219">
        <v>9</v>
      </c>
      <c r="AH219">
        <v>52</v>
      </c>
      <c r="AI219">
        <v>20</v>
      </c>
      <c r="AJ219">
        <v>1</v>
      </c>
      <c r="AK219">
        <v>79</v>
      </c>
      <c r="AL219">
        <v>10</v>
      </c>
      <c r="AM219">
        <v>0</v>
      </c>
      <c r="AN219">
        <f>SUM(AO219:AR219)</f>
        <v>433</v>
      </c>
      <c r="AO219">
        <v>329</v>
      </c>
      <c r="AP219">
        <v>97</v>
      </c>
      <c r="AQ219">
        <v>3</v>
      </c>
      <c r="AR219">
        <v>4</v>
      </c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37"/>
      <c r="BD219" s="37"/>
      <c r="BE219" s="37"/>
      <c r="BF219" s="37"/>
      <c r="BG219" s="37"/>
      <c r="BH219" s="37"/>
      <c r="BI219" s="37"/>
      <c r="BJ219" s="37"/>
      <c r="BK219" s="37"/>
      <c r="BL219" s="37"/>
      <c r="BM219" s="37"/>
      <c r="BN219" s="37"/>
      <c r="BO219" s="37"/>
      <c r="BP219" s="37"/>
      <c r="BQ219" s="37"/>
      <c r="BR219" s="37"/>
      <c r="BS219" s="37"/>
      <c r="BT219" s="37"/>
      <c r="BU219" s="37"/>
      <c r="BV219" s="37"/>
      <c r="BW219" s="37"/>
      <c r="BX219" s="37"/>
      <c r="BY219" s="37"/>
      <c r="BZ219" s="37"/>
      <c r="CA219" s="37"/>
      <c r="CB219" s="37"/>
      <c r="CC219" s="37"/>
      <c r="CD219" s="37"/>
      <c r="CE219" s="37"/>
      <c r="CF219" s="37"/>
    </row>
    <row r="220" spans="1:84" x14ac:dyDescent="0.2">
      <c r="A220" s="39">
        <v>43765</v>
      </c>
      <c r="B220" s="22" t="s">
        <v>248</v>
      </c>
      <c r="C220" t="s">
        <v>281</v>
      </c>
      <c r="D220" s="23" t="s">
        <v>302</v>
      </c>
      <c r="E220">
        <v>12.56</v>
      </c>
      <c r="F220">
        <v>15.8</v>
      </c>
      <c r="G220">
        <v>131</v>
      </c>
      <c r="H220">
        <v>1</v>
      </c>
      <c r="I220">
        <v>7.4</v>
      </c>
      <c r="J220">
        <v>10</v>
      </c>
      <c r="K220">
        <v>4</v>
      </c>
      <c r="L220">
        <v>10.199999999999999</v>
      </c>
      <c r="M220">
        <v>52</v>
      </c>
      <c r="N220">
        <v>7</v>
      </c>
      <c r="O220">
        <v>11.5</v>
      </c>
      <c r="P220">
        <v>65</v>
      </c>
      <c r="Q220">
        <v>10</v>
      </c>
      <c r="R220">
        <v>3.1</v>
      </c>
      <c r="S220">
        <v>11</v>
      </c>
      <c r="T220">
        <v>3</v>
      </c>
      <c r="U220">
        <v>10</v>
      </c>
      <c r="V220">
        <v>40</v>
      </c>
      <c r="W220">
        <v>12</v>
      </c>
      <c r="X220">
        <v>11.3</v>
      </c>
      <c r="Y220">
        <v>33</v>
      </c>
      <c r="Z220">
        <v>3</v>
      </c>
      <c r="AA220">
        <v>8</v>
      </c>
      <c r="AB220">
        <v>2</v>
      </c>
      <c r="AC220">
        <v>5</v>
      </c>
      <c r="AD220" s="21">
        <v>0.43243243243243246</v>
      </c>
      <c r="AE220" s="21">
        <v>0.13513513513513514</v>
      </c>
      <c r="AF220">
        <v>66.7</v>
      </c>
      <c r="AG220">
        <v>21</v>
      </c>
      <c r="AH220">
        <v>31</v>
      </c>
      <c r="AI220">
        <v>21</v>
      </c>
      <c r="AJ220">
        <v>1</v>
      </c>
      <c r="AK220">
        <v>58</v>
      </c>
      <c r="AL220">
        <v>13</v>
      </c>
      <c r="AM220">
        <v>0</v>
      </c>
      <c r="AN220">
        <f>SUM(AO220:AR220)</f>
        <v>353</v>
      </c>
      <c r="AO220">
        <v>194</v>
      </c>
      <c r="AP220">
        <v>141</v>
      </c>
      <c r="AQ220">
        <v>0</v>
      </c>
      <c r="AR220">
        <v>18</v>
      </c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37"/>
      <c r="BD220" s="37"/>
      <c r="BE220" s="37"/>
      <c r="BF220" s="37"/>
      <c r="BG220" s="37"/>
      <c r="BH220" s="37"/>
      <c r="BI220" s="37"/>
      <c r="BJ220" s="37"/>
      <c r="BK220" s="37"/>
      <c r="BL220" s="37"/>
      <c r="BM220" s="37"/>
      <c r="BN220" s="37"/>
      <c r="BO220" s="37"/>
      <c r="BP220" s="37"/>
      <c r="BQ220" s="37"/>
      <c r="BR220" s="37"/>
      <c r="BS220" s="37"/>
      <c r="BT220" s="37"/>
      <c r="BU220" s="37"/>
      <c r="BV220" s="37"/>
      <c r="BW220" s="37"/>
      <c r="BX220" s="37"/>
      <c r="BY220" s="37"/>
      <c r="BZ220" s="37"/>
      <c r="CA220" s="37"/>
      <c r="CB220" s="37"/>
      <c r="CC220" s="37"/>
      <c r="CD220" s="37"/>
      <c r="CE220" s="37"/>
      <c r="CF220" s="37"/>
    </row>
    <row r="221" spans="1:84" x14ac:dyDescent="0.2">
      <c r="A221" s="39">
        <v>43765</v>
      </c>
      <c r="B221" t="s">
        <v>248</v>
      </c>
      <c r="C221" t="s">
        <v>278</v>
      </c>
      <c r="D221" t="s">
        <v>289</v>
      </c>
      <c r="E221">
        <v>7.86</v>
      </c>
      <c r="F221">
        <v>12.6</v>
      </c>
      <c r="G221">
        <v>59</v>
      </c>
      <c r="H221">
        <v>5</v>
      </c>
      <c r="I221">
        <v>11.5</v>
      </c>
      <c r="J221">
        <v>40</v>
      </c>
      <c r="K221">
        <v>2</v>
      </c>
      <c r="L221">
        <v>10.199999999999999</v>
      </c>
      <c r="M221">
        <v>72</v>
      </c>
      <c r="N221">
        <v>6</v>
      </c>
      <c r="O221">
        <v>4.3</v>
      </c>
      <c r="P221">
        <v>18</v>
      </c>
      <c r="Q221">
        <v>2</v>
      </c>
      <c r="R221">
        <v>2.6</v>
      </c>
      <c r="S221">
        <v>16</v>
      </c>
      <c r="T221">
        <v>2</v>
      </c>
      <c r="U221">
        <v>1.4</v>
      </c>
      <c r="V221">
        <v>-6</v>
      </c>
      <c r="W221">
        <v>4</v>
      </c>
      <c r="X221">
        <v>9.6999999999999993</v>
      </c>
      <c r="Y221">
        <v>37</v>
      </c>
      <c r="Z221">
        <v>9</v>
      </c>
      <c r="AA221">
        <v>7</v>
      </c>
      <c r="AB221">
        <v>2</v>
      </c>
      <c r="AC221">
        <v>7</v>
      </c>
      <c r="AD221">
        <v>0.3611111111111111</v>
      </c>
      <c r="AE221">
        <v>8.3333333333333329E-2</v>
      </c>
      <c r="AF221">
        <v>75</v>
      </c>
      <c r="AG221">
        <v>7</v>
      </c>
      <c r="AH221">
        <v>32</v>
      </c>
      <c r="AI221">
        <v>26</v>
      </c>
      <c r="AJ221">
        <v>1</v>
      </c>
      <c r="AK221">
        <v>63</v>
      </c>
      <c r="AL221">
        <v>13</v>
      </c>
      <c r="AM221">
        <v>0</v>
      </c>
      <c r="AN221">
        <v>297</v>
      </c>
      <c r="AO221">
        <v>174</v>
      </c>
      <c r="AP221">
        <v>109</v>
      </c>
      <c r="AQ221">
        <v>5</v>
      </c>
      <c r="AR221">
        <v>9</v>
      </c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37"/>
      <c r="BD221" s="37"/>
      <c r="BE221" s="37"/>
      <c r="BF221" s="37"/>
      <c r="BG221" s="37"/>
      <c r="BH221" s="37"/>
      <c r="BI221" s="37"/>
      <c r="BJ221" s="37"/>
      <c r="BK221" s="37"/>
      <c r="BL221" s="37"/>
      <c r="BM221" s="37"/>
      <c r="BN221" s="37"/>
      <c r="BO221" s="37"/>
      <c r="BP221" s="37"/>
      <c r="BQ221" s="37"/>
      <c r="BR221" s="37"/>
      <c r="BS221" s="37"/>
      <c r="BT221" s="37"/>
      <c r="BU221" s="37"/>
      <c r="BV221" s="37"/>
      <c r="BW221" s="37"/>
      <c r="BX221" s="37"/>
      <c r="BY221" s="37"/>
      <c r="BZ221" s="37"/>
      <c r="CA221" s="37"/>
      <c r="CB221" s="37"/>
      <c r="CC221" s="37"/>
      <c r="CD221" s="37"/>
      <c r="CE221" s="37"/>
      <c r="CF221" s="37"/>
    </row>
    <row r="222" spans="1:84" x14ac:dyDescent="0.2">
      <c r="A222" s="39">
        <v>43765</v>
      </c>
      <c r="B222" s="22" t="s">
        <v>248</v>
      </c>
      <c r="C222" t="s">
        <v>299</v>
      </c>
      <c r="D222" s="22" t="s">
        <v>296</v>
      </c>
      <c r="E222">
        <v>27.38</v>
      </c>
      <c r="F222">
        <v>4.8</v>
      </c>
      <c r="G222">
        <v>25</v>
      </c>
      <c r="H222">
        <v>4</v>
      </c>
      <c r="I222">
        <v>3.4</v>
      </c>
      <c r="J222">
        <v>34</v>
      </c>
      <c r="K222">
        <v>0</v>
      </c>
      <c r="L222">
        <v>32.299999999999997</v>
      </c>
      <c r="M222">
        <v>123</v>
      </c>
      <c r="N222">
        <v>8</v>
      </c>
      <c r="O222">
        <v>17.5</v>
      </c>
      <c r="P222">
        <v>95</v>
      </c>
      <c r="Q222">
        <v>8</v>
      </c>
      <c r="R222">
        <v>11.9</v>
      </c>
      <c r="S222">
        <v>49</v>
      </c>
      <c r="T222">
        <v>1</v>
      </c>
      <c r="U222">
        <v>37.799999999999997</v>
      </c>
      <c r="V222">
        <v>198</v>
      </c>
      <c r="W222">
        <v>12</v>
      </c>
      <c r="X222">
        <v>5.8</v>
      </c>
      <c r="Y222">
        <v>38</v>
      </c>
      <c r="Z222">
        <v>2</v>
      </c>
      <c r="AA222">
        <v>9</v>
      </c>
      <c r="AB222">
        <v>2</v>
      </c>
      <c r="AC222">
        <v>11</v>
      </c>
      <c r="AD222" s="21">
        <v>0.25</v>
      </c>
      <c r="AE222" s="21">
        <v>0.1111111111111111</v>
      </c>
      <c r="AF222">
        <v>100</v>
      </c>
      <c r="AG222">
        <v>8</v>
      </c>
      <c r="AH222">
        <v>32</v>
      </c>
      <c r="AI222">
        <v>23</v>
      </c>
      <c r="AJ222">
        <v>2</v>
      </c>
      <c r="AK222">
        <v>61</v>
      </c>
      <c r="AL222">
        <v>24</v>
      </c>
      <c r="AM222">
        <v>7</v>
      </c>
      <c r="AN222">
        <f t="shared" ref="AN222:AN238" si="14">SUM(AO222:AR222)</f>
        <v>401</v>
      </c>
      <c r="AO222">
        <v>342</v>
      </c>
      <c r="AP222">
        <f>25+34-1+4</f>
        <v>62</v>
      </c>
      <c r="AQ222">
        <v>0</v>
      </c>
      <c r="AR222">
        <v>-3</v>
      </c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37"/>
      <c r="BD222" s="37"/>
      <c r="BE222" s="37"/>
      <c r="BF222" s="37"/>
      <c r="BG222" s="37"/>
      <c r="BH222" s="37"/>
      <c r="BI222" s="37"/>
      <c r="BJ222" s="37"/>
      <c r="BK222" s="37"/>
      <c r="BL222" s="37"/>
      <c r="BM222" s="37"/>
      <c r="BN222" s="37"/>
      <c r="BO222" s="37"/>
      <c r="BP222" s="37"/>
      <c r="BQ222" s="37"/>
      <c r="BR222" s="37"/>
      <c r="BS222" s="37"/>
      <c r="BT222" s="37"/>
      <c r="BU222" s="37"/>
      <c r="BV222" s="37"/>
      <c r="BW222" s="37"/>
      <c r="BX222" s="37"/>
      <c r="BY222" s="37"/>
      <c r="BZ222" s="37"/>
      <c r="CA222" s="37"/>
      <c r="CB222" s="37"/>
      <c r="CC222" s="37"/>
      <c r="CD222" s="37"/>
      <c r="CE222" s="37"/>
      <c r="CF222" s="37"/>
    </row>
    <row r="223" spans="1:84" x14ac:dyDescent="0.2">
      <c r="A223" s="39">
        <v>43765</v>
      </c>
      <c r="B223" s="22" t="s">
        <v>248</v>
      </c>
      <c r="C223" t="s">
        <v>300</v>
      </c>
      <c r="D223" s="22" t="s">
        <v>288</v>
      </c>
      <c r="E223">
        <v>30.1</v>
      </c>
      <c r="F223">
        <v>44.6</v>
      </c>
      <c r="G223">
        <v>67</v>
      </c>
      <c r="H223">
        <v>8</v>
      </c>
      <c r="I223">
        <v>18.600000000000001</v>
      </c>
      <c r="J223">
        <v>22</v>
      </c>
      <c r="K223">
        <v>3</v>
      </c>
      <c r="L223" s="3">
        <v>1.4</v>
      </c>
      <c r="M223" s="3">
        <v>4</v>
      </c>
      <c r="N223" s="3">
        <v>2</v>
      </c>
      <c r="O223" s="30">
        <v>1.7</v>
      </c>
      <c r="P223" s="3">
        <v>7</v>
      </c>
      <c r="Q223" s="3">
        <v>3</v>
      </c>
      <c r="R223" s="3">
        <v>9.1999999999999993</v>
      </c>
      <c r="S223" s="3">
        <v>42</v>
      </c>
      <c r="T223" s="3">
        <v>5</v>
      </c>
      <c r="U223">
        <v>24.4</v>
      </c>
      <c r="V223">
        <v>94</v>
      </c>
      <c r="W223">
        <v>12</v>
      </c>
      <c r="X223">
        <v>7.1</v>
      </c>
      <c r="Y223">
        <v>31</v>
      </c>
      <c r="Z223">
        <v>6</v>
      </c>
      <c r="AA223">
        <v>7</v>
      </c>
      <c r="AB223">
        <v>1</v>
      </c>
      <c r="AC223">
        <v>4</v>
      </c>
      <c r="AD223" s="21">
        <v>0.41463414634146339</v>
      </c>
      <c r="AE223" s="21">
        <v>0.12195121951219512</v>
      </c>
      <c r="AF223">
        <v>62.5</v>
      </c>
      <c r="AG223">
        <v>4</v>
      </c>
      <c r="AH223">
        <v>33</v>
      </c>
      <c r="AI223">
        <v>20</v>
      </c>
      <c r="AJ223">
        <v>6</v>
      </c>
      <c r="AK223">
        <v>64</v>
      </c>
      <c r="AL223">
        <v>30</v>
      </c>
      <c r="AM223">
        <v>0</v>
      </c>
      <c r="AN223">
        <f t="shared" si="14"/>
        <v>423</v>
      </c>
      <c r="AO223">
        <v>305</v>
      </c>
      <c r="AP223">
        <v>89</v>
      </c>
      <c r="AQ223">
        <v>0</v>
      </c>
      <c r="AR223">
        <v>29</v>
      </c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37"/>
      <c r="BD223" s="37"/>
      <c r="BE223" s="37"/>
      <c r="BF223" s="37"/>
      <c r="BG223" s="37"/>
      <c r="BH223" s="37"/>
      <c r="BI223" s="37"/>
      <c r="BJ223" s="37"/>
      <c r="BK223" s="37"/>
      <c r="BL223" s="37"/>
      <c r="BM223" s="37"/>
      <c r="BN223" s="37"/>
      <c r="BO223" s="37"/>
      <c r="BP223" s="37"/>
      <c r="BQ223" s="37"/>
      <c r="BR223" s="37"/>
      <c r="BS223" s="37"/>
      <c r="BT223" s="37"/>
      <c r="BU223" s="37"/>
      <c r="BV223" s="37"/>
      <c r="BW223" s="37"/>
      <c r="BX223" s="37"/>
      <c r="BY223" s="37"/>
      <c r="BZ223" s="37"/>
      <c r="CA223" s="37"/>
      <c r="CB223" s="37"/>
      <c r="CC223" s="37"/>
      <c r="CD223" s="37"/>
      <c r="CE223" s="37"/>
      <c r="CF223" s="37"/>
    </row>
    <row r="224" spans="1:84" x14ac:dyDescent="0.2">
      <c r="A224" s="39">
        <v>43765</v>
      </c>
      <c r="B224" s="22" t="s">
        <v>248</v>
      </c>
      <c r="C224" t="s">
        <v>311</v>
      </c>
      <c r="D224" s="22" t="s">
        <v>303</v>
      </c>
      <c r="E224">
        <v>27.76</v>
      </c>
      <c r="F224">
        <v>8.3000000000000007</v>
      </c>
      <c r="G224">
        <v>83</v>
      </c>
      <c r="H224">
        <v>1</v>
      </c>
      <c r="I224">
        <v>13.4</v>
      </c>
      <c r="J224">
        <v>1</v>
      </c>
      <c r="K224">
        <v>5</v>
      </c>
      <c r="L224">
        <v>24.9</v>
      </c>
      <c r="M224">
        <v>109</v>
      </c>
      <c r="N224">
        <v>13</v>
      </c>
      <c r="O224">
        <v>5.2</v>
      </c>
      <c r="P224">
        <v>22</v>
      </c>
      <c r="Q224">
        <v>5</v>
      </c>
      <c r="R224">
        <v>5.6</v>
      </c>
      <c r="S224">
        <v>46</v>
      </c>
      <c r="T224">
        <v>3</v>
      </c>
      <c r="U224">
        <v>9.4</v>
      </c>
      <c r="V224">
        <v>44</v>
      </c>
      <c r="W224">
        <v>8</v>
      </c>
      <c r="X224">
        <f>23.8+3.1</f>
        <v>26.900000000000002</v>
      </c>
      <c r="Y224">
        <v>69</v>
      </c>
      <c r="Z224">
        <v>11</v>
      </c>
      <c r="AA224">
        <v>10</v>
      </c>
      <c r="AB224">
        <v>2</v>
      </c>
      <c r="AC224">
        <v>0</v>
      </c>
      <c r="AD224" s="21">
        <v>0.39130434782608697</v>
      </c>
      <c r="AE224" s="21">
        <v>6.5217391304347824E-2</v>
      </c>
      <c r="AF224">
        <v>83.3</v>
      </c>
      <c r="AG224">
        <v>3</v>
      </c>
      <c r="AH224">
        <v>39</v>
      </c>
      <c r="AI224">
        <v>22</v>
      </c>
      <c r="AJ224">
        <v>10</v>
      </c>
      <c r="AK224">
        <v>74</v>
      </c>
      <c r="AL224">
        <v>27</v>
      </c>
      <c r="AM224">
        <v>0</v>
      </c>
      <c r="AN224">
        <f t="shared" si="14"/>
        <v>409</v>
      </c>
      <c r="AO224">
        <v>279</v>
      </c>
      <c r="AP224">
        <v>84</v>
      </c>
      <c r="AQ224">
        <v>0</v>
      </c>
      <c r="AR224">
        <v>46</v>
      </c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37"/>
      <c r="BD224" s="37"/>
      <c r="BE224" s="37"/>
      <c r="BF224" s="37"/>
      <c r="BG224" s="37"/>
      <c r="BH224" s="37"/>
      <c r="BI224" s="37"/>
      <c r="BJ224" s="37"/>
      <c r="BK224" s="37"/>
      <c r="BL224" s="37"/>
      <c r="BM224" s="37"/>
      <c r="BN224" s="37"/>
      <c r="BO224" s="37"/>
      <c r="BP224" s="37"/>
      <c r="BQ224" s="37"/>
      <c r="BR224" s="37"/>
      <c r="BS224" s="37"/>
      <c r="BT224" s="37"/>
      <c r="BU224" s="37"/>
      <c r="BV224" s="37"/>
      <c r="BW224" s="37"/>
      <c r="BX224" s="37"/>
      <c r="BY224" s="37"/>
      <c r="BZ224" s="37"/>
      <c r="CA224" s="37"/>
      <c r="CB224" s="37"/>
      <c r="CC224" s="37"/>
      <c r="CD224" s="37"/>
      <c r="CE224" s="37"/>
      <c r="CF224" s="37"/>
    </row>
    <row r="225" spans="1:84" x14ac:dyDescent="0.2">
      <c r="A225" s="39">
        <v>43765</v>
      </c>
      <c r="B225" s="22" t="s">
        <v>248</v>
      </c>
      <c r="C225" t="s">
        <v>289</v>
      </c>
      <c r="D225" s="22" t="s">
        <v>278</v>
      </c>
      <c r="E225">
        <v>10.48</v>
      </c>
      <c r="F225">
        <v>16</v>
      </c>
      <c r="G225">
        <v>76</v>
      </c>
      <c r="H225">
        <v>1</v>
      </c>
      <c r="I225">
        <v>7.6</v>
      </c>
      <c r="J225">
        <v>12</v>
      </c>
      <c r="K225">
        <v>3</v>
      </c>
      <c r="L225">
        <v>7.4</v>
      </c>
      <c r="M225">
        <v>54</v>
      </c>
      <c r="N225">
        <v>6</v>
      </c>
      <c r="O225">
        <v>1.6</v>
      </c>
      <c r="P225">
        <v>6</v>
      </c>
      <c r="Q225">
        <v>2</v>
      </c>
      <c r="R225">
        <v>1.7</v>
      </c>
      <c r="S225">
        <v>7</v>
      </c>
      <c r="T225">
        <v>2</v>
      </c>
      <c r="U225">
        <v>7</v>
      </c>
      <c r="V225">
        <v>30</v>
      </c>
      <c r="W225">
        <v>6</v>
      </c>
      <c r="X225">
        <v>15.7</v>
      </c>
      <c r="Y225">
        <f>61+26</f>
        <v>87</v>
      </c>
      <c r="Z225">
        <v>9</v>
      </c>
      <c r="AA225">
        <v>14</v>
      </c>
      <c r="AB225">
        <v>4</v>
      </c>
      <c r="AC225">
        <v>7</v>
      </c>
      <c r="AD225" s="21">
        <v>0.52941176470588236</v>
      </c>
      <c r="AE225" s="21">
        <v>0.11764705882352941</v>
      </c>
      <c r="AF225">
        <v>70</v>
      </c>
      <c r="AG225">
        <v>7</v>
      </c>
      <c r="AH225">
        <v>25</v>
      </c>
      <c r="AI225">
        <v>25</v>
      </c>
      <c r="AJ225">
        <v>6</v>
      </c>
      <c r="AK225">
        <v>60</v>
      </c>
      <c r="AL225">
        <v>15</v>
      </c>
      <c r="AM225">
        <v>0</v>
      </c>
      <c r="AN225">
        <f t="shared" si="14"/>
        <v>329</v>
      </c>
      <c r="AO225">
        <v>202</v>
      </c>
      <c r="AP225">
        <f>76+12+5</f>
        <v>93</v>
      </c>
      <c r="AQ225">
        <v>0</v>
      </c>
      <c r="AR225">
        <v>34</v>
      </c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37"/>
      <c r="BD225" s="37"/>
      <c r="BE225" s="37"/>
      <c r="BF225" s="37"/>
      <c r="BG225" s="37"/>
      <c r="BH225" s="37"/>
      <c r="BI225" s="37"/>
      <c r="BJ225" s="37"/>
      <c r="BK225" s="37"/>
      <c r="BL225" s="37"/>
      <c r="BM225" s="37"/>
      <c r="BN225" s="37"/>
      <c r="BO225" s="37"/>
      <c r="BP225" s="37"/>
      <c r="BQ225" s="37"/>
      <c r="BR225" s="37"/>
      <c r="BS225" s="37"/>
      <c r="BT225" s="37"/>
      <c r="BU225" s="37"/>
      <c r="BV225" s="37"/>
      <c r="BW225" s="37"/>
      <c r="BX225" s="37"/>
      <c r="BY225" s="37"/>
      <c r="BZ225" s="37"/>
      <c r="CA225" s="37"/>
      <c r="CB225" s="37"/>
      <c r="CC225" s="37"/>
      <c r="CD225" s="37"/>
      <c r="CE225" s="37"/>
      <c r="CF225" s="37"/>
    </row>
    <row r="226" spans="1:84" x14ac:dyDescent="0.2">
      <c r="A226" s="39">
        <v>43765</v>
      </c>
      <c r="B226" s="22" t="s">
        <v>248</v>
      </c>
      <c r="C226" t="s">
        <v>297</v>
      </c>
      <c r="D226" s="22" t="s">
        <v>298</v>
      </c>
      <c r="E226">
        <v>24.96</v>
      </c>
      <c r="F226">
        <v>20.6</v>
      </c>
      <c r="G226">
        <v>76</v>
      </c>
      <c r="H226">
        <v>7</v>
      </c>
      <c r="I226">
        <v>0.7</v>
      </c>
      <c r="J226">
        <v>7</v>
      </c>
      <c r="K226">
        <v>0</v>
      </c>
      <c r="L226">
        <v>19.899999999999999</v>
      </c>
      <c r="M226">
        <v>79</v>
      </c>
      <c r="N226">
        <v>12</v>
      </c>
      <c r="O226">
        <v>23.3</v>
      </c>
      <c r="P226">
        <v>103</v>
      </c>
      <c r="Q226">
        <v>7</v>
      </c>
      <c r="R226">
        <v>9.1999999999999993</v>
      </c>
      <c r="S226">
        <v>12</v>
      </c>
      <c r="T226">
        <v>2</v>
      </c>
      <c r="U226">
        <v>39.5</v>
      </c>
      <c r="V226">
        <v>135</v>
      </c>
      <c r="W226">
        <v>9</v>
      </c>
      <c r="X226">
        <v>3.7</v>
      </c>
      <c r="Y226">
        <v>17</v>
      </c>
      <c r="Z226">
        <v>3</v>
      </c>
      <c r="AA226">
        <v>12</v>
      </c>
      <c r="AB226">
        <v>3</v>
      </c>
      <c r="AC226">
        <v>15</v>
      </c>
      <c r="AD226" s="21">
        <v>0.4</v>
      </c>
      <c r="AE226" s="21">
        <v>0.05</v>
      </c>
      <c r="AF226">
        <v>66.7</v>
      </c>
      <c r="AG226">
        <v>3</v>
      </c>
      <c r="AH226">
        <v>34</v>
      </c>
      <c r="AI226">
        <v>25</v>
      </c>
      <c r="AJ226">
        <v>8</v>
      </c>
      <c r="AK226">
        <v>70</v>
      </c>
      <c r="AL226">
        <v>29</v>
      </c>
      <c r="AM226">
        <v>0</v>
      </c>
      <c r="AN226">
        <f t="shared" si="14"/>
        <v>390</v>
      </c>
      <c r="AO226">
        <v>279</v>
      </c>
      <c r="AP226">
        <v>83</v>
      </c>
      <c r="AQ226">
        <v>0</v>
      </c>
      <c r="AR226">
        <v>28</v>
      </c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37"/>
      <c r="BD226" s="37"/>
      <c r="BE226" s="37"/>
      <c r="BF226" s="37"/>
      <c r="BG226" s="37"/>
      <c r="BH226" s="37"/>
      <c r="BI226" s="37"/>
      <c r="BJ226" s="37"/>
      <c r="BK226" s="37"/>
      <c r="BL226" s="37"/>
      <c r="BM226" s="37"/>
      <c r="BN226" s="37"/>
      <c r="BO226" s="37"/>
      <c r="BP226" s="37"/>
      <c r="BQ226" s="37"/>
      <c r="BR226" s="37"/>
      <c r="BS226" s="37"/>
      <c r="BT226" s="37"/>
      <c r="BU226" s="37"/>
      <c r="BV226" s="37"/>
      <c r="BW226" s="37"/>
      <c r="BX226" s="37"/>
      <c r="BY226" s="37"/>
      <c r="BZ226" s="37"/>
      <c r="CA226" s="37"/>
      <c r="CB226" s="37"/>
      <c r="CC226" s="37"/>
      <c r="CD226" s="37"/>
      <c r="CE226" s="37"/>
      <c r="CF226" s="37"/>
    </row>
    <row r="227" spans="1:84" x14ac:dyDescent="0.2">
      <c r="A227" s="39">
        <v>43765</v>
      </c>
      <c r="B227" s="28" t="s">
        <v>248</v>
      </c>
      <c r="C227" t="s">
        <v>288</v>
      </c>
      <c r="D227" s="28" t="s">
        <v>300</v>
      </c>
      <c r="E227" s="3">
        <v>18.98</v>
      </c>
      <c r="F227" s="3">
        <v>9.3000000000000007</v>
      </c>
      <c r="G227" s="3">
        <v>40</v>
      </c>
      <c r="H227" s="3">
        <v>4</v>
      </c>
      <c r="I227" s="3">
        <v>9</v>
      </c>
      <c r="J227" s="3">
        <v>30</v>
      </c>
      <c r="K227" s="3">
        <v>0</v>
      </c>
      <c r="L227" s="3">
        <v>14.1</v>
      </c>
      <c r="M227" s="3">
        <v>76</v>
      </c>
      <c r="N227" s="3">
        <v>9</v>
      </c>
      <c r="O227" s="3">
        <v>9.5</v>
      </c>
      <c r="P227" s="3">
        <v>45</v>
      </c>
      <c r="Q227" s="3">
        <v>8</v>
      </c>
      <c r="R227" s="30">
        <v>13.5</v>
      </c>
      <c r="S227" s="3">
        <v>55</v>
      </c>
      <c r="T227" s="3">
        <v>2</v>
      </c>
      <c r="U227" s="3">
        <v>28.5</v>
      </c>
      <c r="V227" s="3">
        <v>115</v>
      </c>
      <c r="W227" s="3">
        <v>13</v>
      </c>
      <c r="X227" s="3">
        <v>16.3</v>
      </c>
      <c r="Y227" s="3">
        <v>63</v>
      </c>
      <c r="Z227" s="3">
        <v>9</v>
      </c>
      <c r="AA227" s="3">
        <v>6</v>
      </c>
      <c r="AB227" s="3">
        <v>2</v>
      </c>
      <c r="AC227" s="3">
        <v>4</v>
      </c>
      <c r="AD227" s="29">
        <v>0.23076923076923078</v>
      </c>
      <c r="AE227" s="29">
        <v>5.128205128205128E-2</v>
      </c>
      <c r="AF227" s="3">
        <v>57.1</v>
      </c>
      <c r="AG227" s="3">
        <v>4</v>
      </c>
      <c r="AH227" s="3">
        <v>36</v>
      </c>
      <c r="AI227" s="3">
        <v>18</v>
      </c>
      <c r="AJ227" s="3">
        <v>1</v>
      </c>
      <c r="AK227" s="3">
        <v>58</v>
      </c>
      <c r="AL227" s="3">
        <v>24</v>
      </c>
      <c r="AM227" s="3">
        <v>0</v>
      </c>
      <c r="AN227" s="3">
        <f t="shared" si="14"/>
        <v>355</v>
      </c>
      <c r="AO227" s="3">
        <v>267</v>
      </c>
      <c r="AP227" s="3">
        <v>80</v>
      </c>
      <c r="AQ227" s="3">
        <v>5</v>
      </c>
      <c r="AR227" s="3">
        <v>3</v>
      </c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37"/>
      <c r="BD227" s="37"/>
      <c r="BE227" s="37"/>
      <c r="BF227" s="37"/>
      <c r="BG227" s="37"/>
      <c r="BH227" s="37"/>
      <c r="BI227" s="37"/>
      <c r="BJ227" s="37"/>
      <c r="BK227" s="37"/>
      <c r="BL227" s="37"/>
      <c r="BM227" s="37"/>
      <c r="BN227" s="37"/>
      <c r="BO227" s="37"/>
      <c r="BP227" s="37"/>
      <c r="BQ227" s="37"/>
      <c r="BR227" s="37"/>
      <c r="BS227" s="37"/>
      <c r="BT227" s="37"/>
      <c r="BU227" s="37"/>
      <c r="BV227" s="37"/>
      <c r="BW227" s="37"/>
      <c r="BX227" s="37"/>
      <c r="BY227" s="37"/>
      <c r="BZ227" s="37"/>
      <c r="CA227" s="37"/>
      <c r="CB227" s="37"/>
      <c r="CC227" s="37"/>
      <c r="CD227" s="37"/>
      <c r="CE227" s="37"/>
      <c r="CF227" s="37"/>
    </row>
    <row r="228" spans="1:84" x14ac:dyDescent="0.2">
      <c r="A228" s="39">
        <v>43765</v>
      </c>
      <c r="B228" s="22" t="s">
        <v>248</v>
      </c>
      <c r="C228" t="s">
        <v>303</v>
      </c>
      <c r="D228" s="22" t="s">
        <v>311</v>
      </c>
      <c r="E228">
        <v>23.4</v>
      </c>
      <c r="F228">
        <v>10.1</v>
      </c>
      <c r="G228">
        <v>66</v>
      </c>
      <c r="H228">
        <v>2</v>
      </c>
      <c r="I228">
        <v>4.7</v>
      </c>
      <c r="J228">
        <v>3</v>
      </c>
      <c r="K228">
        <v>3</v>
      </c>
      <c r="L228">
        <v>18.100000000000001</v>
      </c>
      <c r="M228">
        <v>91</v>
      </c>
      <c r="N228">
        <v>6</v>
      </c>
      <c r="O228">
        <v>18.8</v>
      </c>
      <c r="P228">
        <v>88</v>
      </c>
      <c r="Q228">
        <v>4</v>
      </c>
      <c r="R228">
        <v>4.7</v>
      </c>
      <c r="S228">
        <v>27</v>
      </c>
      <c r="T228">
        <v>2</v>
      </c>
      <c r="U228">
        <v>12.100000000000001</v>
      </c>
      <c r="V228">
        <v>61</v>
      </c>
      <c r="W228">
        <v>8</v>
      </c>
      <c r="X228">
        <v>11.1</v>
      </c>
      <c r="Y228">
        <v>21</v>
      </c>
      <c r="Z228">
        <v>10</v>
      </c>
      <c r="AA228">
        <v>7</v>
      </c>
      <c r="AB228">
        <v>1</v>
      </c>
      <c r="AC228">
        <v>3</v>
      </c>
      <c r="AD228" s="21">
        <v>0.13333333333333333</v>
      </c>
      <c r="AE228" s="21">
        <v>0</v>
      </c>
      <c r="AF228">
        <v>66.7</v>
      </c>
      <c r="AG228">
        <v>0</v>
      </c>
      <c r="AH228">
        <v>30</v>
      </c>
      <c r="AI228">
        <v>22</v>
      </c>
      <c r="AJ228">
        <v>0</v>
      </c>
      <c r="AK228">
        <v>53</v>
      </c>
      <c r="AL228">
        <v>24</v>
      </c>
      <c r="AM228">
        <v>0</v>
      </c>
      <c r="AN228">
        <f t="shared" si="14"/>
        <v>378</v>
      </c>
      <c r="AO228">
        <v>285</v>
      </c>
      <c r="AP228">
        <f>66+23+3+2</f>
        <v>94</v>
      </c>
      <c r="AQ228">
        <v>-1</v>
      </c>
      <c r="AR228">
        <v>0</v>
      </c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37"/>
      <c r="BD228" s="37"/>
      <c r="BE228" s="37"/>
      <c r="BF228" s="37"/>
      <c r="BG228" s="37"/>
      <c r="BH228" s="37"/>
      <c r="BI228" s="37"/>
      <c r="BJ228" s="37"/>
      <c r="BK228" s="37"/>
      <c r="BL228" s="37"/>
      <c r="BM228" s="37"/>
      <c r="BN228" s="37"/>
      <c r="BO228" s="37"/>
      <c r="BP228" s="37"/>
      <c r="BQ228" s="37"/>
      <c r="BR228" s="37"/>
      <c r="BS228" s="37"/>
      <c r="BT228" s="37"/>
      <c r="BU228" s="37"/>
      <c r="BV228" s="37"/>
      <c r="BW228" s="37"/>
      <c r="BX228" s="37"/>
      <c r="BY228" s="37"/>
      <c r="BZ228" s="37"/>
      <c r="CA228" s="37"/>
      <c r="CB228" s="37"/>
      <c r="CC228" s="37"/>
      <c r="CD228" s="37"/>
      <c r="CE228" s="37"/>
      <c r="CF228" s="37"/>
    </row>
    <row r="229" spans="1:84" x14ac:dyDescent="0.2">
      <c r="A229" s="39">
        <v>43765</v>
      </c>
      <c r="B229" s="22" t="s">
        <v>248</v>
      </c>
      <c r="C229" t="s">
        <v>287</v>
      </c>
      <c r="D229" s="22" t="s">
        <v>265</v>
      </c>
      <c r="E229">
        <v>11.04</v>
      </c>
      <c r="F229">
        <v>11.4</v>
      </c>
      <c r="G229">
        <v>31</v>
      </c>
      <c r="H229">
        <v>3</v>
      </c>
      <c r="I229">
        <v>10.199999999999999</v>
      </c>
      <c r="J229">
        <v>3</v>
      </c>
      <c r="K229">
        <v>3</v>
      </c>
      <c r="L229">
        <v>12.3</v>
      </c>
      <c r="M229">
        <v>53</v>
      </c>
      <c r="N229">
        <v>10</v>
      </c>
      <c r="O229">
        <v>9.9</v>
      </c>
      <c r="P229">
        <v>69</v>
      </c>
      <c r="Q229">
        <v>6</v>
      </c>
      <c r="R229">
        <v>0</v>
      </c>
      <c r="S229">
        <v>0</v>
      </c>
      <c r="T229">
        <v>0</v>
      </c>
      <c r="U229">
        <v>15.4</v>
      </c>
      <c r="V229">
        <v>84</v>
      </c>
      <c r="W229">
        <v>10</v>
      </c>
      <c r="X229">
        <v>10.7</v>
      </c>
      <c r="Y229">
        <v>57</v>
      </c>
      <c r="Z229">
        <v>7</v>
      </c>
      <c r="AA229">
        <v>5</v>
      </c>
      <c r="AB229">
        <v>2</v>
      </c>
      <c r="AC229">
        <v>9</v>
      </c>
      <c r="AD229" s="21">
        <v>0.26666666666666666</v>
      </c>
      <c r="AE229" s="21">
        <v>3.3333333333333333E-2</v>
      </c>
      <c r="AF229">
        <v>57.1</v>
      </c>
      <c r="AG229">
        <v>4</v>
      </c>
      <c r="AH229">
        <v>29</v>
      </c>
      <c r="AI229">
        <v>12</v>
      </c>
      <c r="AJ229">
        <v>0</v>
      </c>
      <c r="AK229">
        <v>42</v>
      </c>
      <c r="AL229">
        <v>17</v>
      </c>
      <c r="AM229">
        <v>0</v>
      </c>
      <c r="AN229">
        <f t="shared" si="14"/>
        <v>237</v>
      </c>
      <c r="AO229">
        <v>201</v>
      </c>
      <c r="AP229">
        <v>36</v>
      </c>
      <c r="AQ229">
        <v>0</v>
      </c>
      <c r="AR229">
        <v>0</v>
      </c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37"/>
      <c r="BD229" s="37"/>
      <c r="BE229" s="37"/>
      <c r="BF229" s="37"/>
      <c r="BG229" s="37"/>
      <c r="BH229" s="37"/>
      <c r="BI229" s="37"/>
      <c r="BJ229" s="37"/>
      <c r="BK229" s="37"/>
      <c r="BL229" s="37"/>
      <c r="BM229" s="37"/>
      <c r="BN229" s="37"/>
      <c r="BO229" s="37"/>
      <c r="BP229" s="37"/>
      <c r="BQ229" s="37"/>
      <c r="BR229" s="37"/>
      <c r="BS229" s="37"/>
      <c r="BT229" s="37"/>
      <c r="BU229" s="37"/>
      <c r="BV229" s="37"/>
      <c r="BW229" s="37"/>
      <c r="BX229" s="37"/>
      <c r="BY229" s="37"/>
      <c r="BZ229" s="37"/>
      <c r="CA229" s="37"/>
      <c r="CB229" s="37"/>
      <c r="CC229" s="37"/>
      <c r="CD229" s="37"/>
      <c r="CE229" s="37"/>
      <c r="CF229" s="37"/>
    </row>
    <row r="230" spans="1:84" x14ac:dyDescent="0.2">
      <c r="A230" s="39">
        <v>43765</v>
      </c>
      <c r="B230" s="22" t="s">
        <v>248</v>
      </c>
      <c r="C230" t="s">
        <v>304</v>
      </c>
      <c r="D230" s="22" t="s">
        <v>272</v>
      </c>
      <c r="E230">
        <v>25.88</v>
      </c>
      <c r="F230">
        <v>10.4</v>
      </c>
      <c r="G230">
        <v>44</v>
      </c>
      <c r="H230">
        <v>1</v>
      </c>
      <c r="I230">
        <v>8.9</v>
      </c>
      <c r="J230">
        <v>49</v>
      </c>
      <c r="K230">
        <v>3</v>
      </c>
      <c r="L230" s="14">
        <v>38</v>
      </c>
      <c r="M230">
        <v>220</v>
      </c>
      <c r="N230">
        <v>10</v>
      </c>
      <c r="O230">
        <v>6.2</v>
      </c>
      <c r="P230">
        <v>36</v>
      </c>
      <c r="Q230">
        <v>2</v>
      </c>
      <c r="R230">
        <v>16.2</v>
      </c>
      <c r="S230">
        <v>73</v>
      </c>
      <c r="T230">
        <v>8</v>
      </c>
      <c r="U230">
        <v>46.5</v>
      </c>
      <c r="V230">
        <v>265</v>
      </c>
      <c r="W230">
        <v>11</v>
      </c>
      <c r="X230">
        <f>3.5+1.8</f>
        <v>5.3</v>
      </c>
      <c r="Y230">
        <v>23</v>
      </c>
      <c r="Z230">
        <v>4</v>
      </c>
      <c r="AA230">
        <v>6</v>
      </c>
      <c r="AB230">
        <v>1</v>
      </c>
      <c r="AC230">
        <v>9</v>
      </c>
      <c r="AD230" s="21">
        <v>0.25806451612903225</v>
      </c>
      <c r="AE230" s="21">
        <v>0</v>
      </c>
      <c r="AF230">
        <v>42.9</v>
      </c>
      <c r="AG230">
        <v>0</v>
      </c>
      <c r="AH230">
        <v>31</v>
      </c>
      <c r="AI230">
        <v>21</v>
      </c>
      <c r="AJ230">
        <v>0</v>
      </c>
      <c r="AK230">
        <v>57</v>
      </c>
      <c r="AL230">
        <v>24</v>
      </c>
      <c r="AM230">
        <v>0</v>
      </c>
      <c r="AN230">
        <f t="shared" si="14"/>
        <v>470</v>
      </c>
      <c r="AO230">
        <v>372</v>
      </c>
      <c r="AP230">
        <v>93</v>
      </c>
      <c r="AQ230">
        <v>5</v>
      </c>
      <c r="AR230">
        <v>0</v>
      </c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37"/>
      <c r="BD230" s="37"/>
      <c r="BE230" s="37"/>
      <c r="BF230" s="37"/>
      <c r="BG230" s="37"/>
      <c r="BH230" s="37"/>
      <c r="BI230" s="37"/>
      <c r="BJ230" s="37"/>
      <c r="BK230" s="37"/>
      <c r="BL230" s="37"/>
      <c r="BM230" s="37"/>
      <c r="BN230" s="37"/>
      <c r="BO230" s="37"/>
      <c r="BP230" s="37"/>
      <c r="BQ230" s="37"/>
      <c r="BR230" s="37"/>
      <c r="BS230" s="37"/>
      <c r="BT230" s="37"/>
      <c r="BU230" s="37"/>
      <c r="BV230" s="37"/>
      <c r="BW230" s="37"/>
      <c r="BX230" s="37"/>
      <c r="BY230" s="37"/>
      <c r="BZ230" s="37"/>
      <c r="CA230" s="37"/>
      <c r="CB230" s="37"/>
      <c r="CC230" s="37"/>
      <c r="CD230" s="37"/>
      <c r="CE230" s="37"/>
      <c r="CF230" s="37"/>
    </row>
    <row r="231" spans="1:84" x14ac:dyDescent="0.2">
      <c r="A231" s="39">
        <v>43765</v>
      </c>
      <c r="B231" s="22" t="s">
        <v>248</v>
      </c>
      <c r="C231" t="s">
        <v>293</v>
      </c>
      <c r="D231" s="22" t="s">
        <v>309</v>
      </c>
      <c r="E231">
        <v>14.3</v>
      </c>
      <c r="F231">
        <v>7.4</v>
      </c>
      <c r="G231">
        <v>35</v>
      </c>
      <c r="H231">
        <v>6</v>
      </c>
      <c r="I231">
        <v>2.9</v>
      </c>
      <c r="J231">
        <v>8</v>
      </c>
      <c r="K231">
        <v>1</v>
      </c>
      <c r="L231" s="14">
        <v>8.1999999999999993</v>
      </c>
      <c r="M231">
        <v>42</v>
      </c>
      <c r="N231">
        <v>7</v>
      </c>
      <c r="O231">
        <v>11.9</v>
      </c>
      <c r="P231">
        <v>59</v>
      </c>
      <c r="Q231">
        <v>8</v>
      </c>
      <c r="R231">
        <v>8.1999999999999993</v>
      </c>
      <c r="S231">
        <v>12</v>
      </c>
      <c r="T231">
        <v>1</v>
      </c>
      <c r="U231">
        <v>14.7</v>
      </c>
      <c r="V231">
        <v>37</v>
      </c>
      <c r="W231">
        <v>9</v>
      </c>
      <c r="X231">
        <v>3</v>
      </c>
      <c r="Y231">
        <v>10</v>
      </c>
      <c r="Z231">
        <v>3</v>
      </c>
      <c r="AA231">
        <v>2</v>
      </c>
      <c r="AB231">
        <v>0</v>
      </c>
      <c r="AC231">
        <v>4</v>
      </c>
      <c r="AD231" s="21">
        <v>0.47619047619047616</v>
      </c>
      <c r="AE231" s="21">
        <v>9.5238095238095233E-2</v>
      </c>
      <c r="AF231">
        <v>61.5</v>
      </c>
      <c r="AG231">
        <v>13</v>
      </c>
      <c r="AH231">
        <v>34</v>
      </c>
      <c r="AI231">
        <v>14</v>
      </c>
      <c r="AJ231">
        <v>5</v>
      </c>
      <c r="AK231">
        <v>57</v>
      </c>
      <c r="AL231">
        <v>14</v>
      </c>
      <c r="AM231">
        <v>0</v>
      </c>
      <c r="AN231">
        <f t="shared" si="14"/>
        <v>250</v>
      </c>
      <c r="AO231">
        <v>190</v>
      </c>
      <c r="AP231">
        <v>43</v>
      </c>
      <c r="AQ231">
        <v>0</v>
      </c>
      <c r="AR231">
        <v>17</v>
      </c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37"/>
      <c r="BD231" s="37"/>
      <c r="BE231" s="37"/>
      <c r="BF231" s="37"/>
      <c r="BG231" s="37"/>
      <c r="BH231" s="37"/>
      <c r="BI231" s="37"/>
      <c r="BJ231" s="37"/>
      <c r="BK231" s="37"/>
      <c r="BL231" s="37"/>
      <c r="BM231" s="37"/>
      <c r="BN231" s="37"/>
      <c r="BO231" s="37"/>
      <c r="BP231" s="37"/>
      <c r="BQ231" s="37"/>
      <c r="BR231" s="37"/>
      <c r="BS231" s="37"/>
      <c r="BT231" s="37"/>
      <c r="BU231" s="37"/>
      <c r="BV231" s="37"/>
      <c r="BW231" s="37"/>
      <c r="BX231" s="37"/>
      <c r="BY231" s="37"/>
      <c r="BZ231" s="37"/>
      <c r="CA231" s="37"/>
      <c r="CB231" s="37"/>
      <c r="CC231" s="37"/>
      <c r="CD231" s="37"/>
      <c r="CE231" s="37"/>
      <c r="CF231" s="37"/>
    </row>
    <row r="232" spans="1:84" x14ac:dyDescent="0.2">
      <c r="A232" s="39">
        <v>43765</v>
      </c>
      <c r="B232" s="22" t="s">
        <v>248</v>
      </c>
      <c r="C232" t="s">
        <v>312</v>
      </c>
      <c r="D232" s="22" t="s">
        <v>306</v>
      </c>
      <c r="E232">
        <v>11.6</v>
      </c>
      <c r="F232">
        <v>28.1</v>
      </c>
      <c r="G232">
        <v>98</v>
      </c>
      <c r="H232">
        <v>6</v>
      </c>
      <c r="I232">
        <v>8.4</v>
      </c>
      <c r="J232">
        <v>61</v>
      </c>
      <c r="K232">
        <v>2</v>
      </c>
      <c r="L232" s="3">
        <v>23.3</v>
      </c>
      <c r="M232">
        <v>143</v>
      </c>
      <c r="N232">
        <v>7</v>
      </c>
      <c r="O232">
        <v>4.7</v>
      </c>
      <c r="P232">
        <v>27</v>
      </c>
      <c r="Q232">
        <v>2</v>
      </c>
      <c r="R232">
        <v>1.1000000000000001</v>
      </c>
      <c r="S232">
        <v>1</v>
      </c>
      <c r="T232">
        <v>1</v>
      </c>
      <c r="U232">
        <v>9.5</v>
      </c>
      <c r="V232">
        <v>65</v>
      </c>
      <c r="W232">
        <v>3</v>
      </c>
      <c r="X232">
        <f>5.1+4.7</f>
        <v>9.8000000000000007</v>
      </c>
      <c r="Y232">
        <v>38</v>
      </c>
      <c r="Z232">
        <v>6</v>
      </c>
      <c r="AA232">
        <v>16</v>
      </c>
      <c r="AB232">
        <v>4</v>
      </c>
      <c r="AC232">
        <v>12</v>
      </c>
      <c r="AD232" s="21">
        <v>0.36666666666666664</v>
      </c>
      <c r="AE232" s="21">
        <v>0.1</v>
      </c>
      <c r="AF232">
        <v>100</v>
      </c>
      <c r="AG232">
        <v>6</v>
      </c>
      <c r="AH232">
        <v>26</v>
      </c>
      <c r="AI232">
        <v>36</v>
      </c>
      <c r="AJ232">
        <v>2</v>
      </c>
      <c r="AK232">
        <v>67</v>
      </c>
      <c r="AL232">
        <v>19</v>
      </c>
      <c r="AM232">
        <v>0</v>
      </c>
      <c r="AN232">
        <f t="shared" si="14"/>
        <v>446</v>
      </c>
      <c r="AO232">
        <v>285</v>
      </c>
      <c r="AP232">
        <f>98+61</f>
        <v>159</v>
      </c>
      <c r="AQ232">
        <v>0</v>
      </c>
      <c r="AR232">
        <v>2</v>
      </c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37"/>
      <c r="BD232" s="37"/>
      <c r="BE232" s="37"/>
      <c r="BF232" s="37"/>
      <c r="BG232" s="37"/>
      <c r="BH232" s="37"/>
      <c r="BI232" s="37"/>
      <c r="BJ232" s="37"/>
      <c r="BK232" s="37"/>
      <c r="BL232" s="37"/>
      <c r="BM232" s="37"/>
      <c r="BN232" s="37"/>
      <c r="BO232" s="37"/>
      <c r="BP232" s="37"/>
      <c r="BQ232" s="37"/>
      <c r="BR232" s="37"/>
      <c r="BS232" s="37"/>
      <c r="BT232" s="37"/>
      <c r="BU232" s="37"/>
      <c r="BV232" s="37"/>
      <c r="BW232" s="37"/>
      <c r="BX232" s="37"/>
      <c r="BY232" s="37"/>
      <c r="BZ232" s="37"/>
      <c r="CA232" s="37"/>
      <c r="CB232" s="37"/>
      <c r="CC232" s="37"/>
      <c r="CD232" s="37"/>
      <c r="CE232" s="37"/>
      <c r="CF232" s="37"/>
    </row>
    <row r="233" spans="1:84" x14ac:dyDescent="0.2">
      <c r="A233" s="39">
        <v>43765</v>
      </c>
      <c r="B233" s="22" t="s">
        <v>248</v>
      </c>
      <c r="C233" t="s">
        <v>302</v>
      </c>
      <c r="D233" s="22" t="s">
        <v>281</v>
      </c>
      <c r="E233">
        <v>18.36</v>
      </c>
      <c r="F233">
        <v>7.4</v>
      </c>
      <c r="G233">
        <v>74</v>
      </c>
      <c r="H233">
        <v>0</v>
      </c>
      <c r="I233">
        <v>11.9</v>
      </c>
      <c r="J233">
        <v>4</v>
      </c>
      <c r="K233">
        <v>5</v>
      </c>
      <c r="L233">
        <v>27.5</v>
      </c>
      <c r="M233">
        <v>78</v>
      </c>
      <c r="N233">
        <v>11</v>
      </c>
      <c r="O233">
        <v>7.3</v>
      </c>
      <c r="P233">
        <v>43</v>
      </c>
      <c r="Q233">
        <v>6</v>
      </c>
      <c r="R233">
        <v>4.3</v>
      </c>
      <c r="S233">
        <v>23</v>
      </c>
      <c r="T233">
        <v>5</v>
      </c>
      <c r="U233">
        <v>30.6</v>
      </c>
      <c r="V233">
        <v>96</v>
      </c>
      <c r="W233">
        <v>11</v>
      </c>
      <c r="X233">
        <v>3.6</v>
      </c>
      <c r="Y233">
        <v>26</v>
      </c>
      <c r="Z233">
        <v>1</v>
      </c>
      <c r="AA233">
        <v>9</v>
      </c>
      <c r="AB233">
        <v>4</v>
      </c>
      <c r="AC233">
        <v>21</v>
      </c>
      <c r="AD233" s="21">
        <v>0.4358974358974359</v>
      </c>
      <c r="AE233" s="21">
        <v>7.6923076923076927E-2</v>
      </c>
      <c r="AF233">
        <v>55.6</v>
      </c>
      <c r="AG233">
        <v>5</v>
      </c>
      <c r="AH233">
        <v>36</v>
      </c>
      <c r="AI233">
        <v>26</v>
      </c>
      <c r="AJ233">
        <v>0</v>
      </c>
      <c r="AK233">
        <v>66</v>
      </c>
      <c r="AL233">
        <v>20</v>
      </c>
      <c r="AM233">
        <v>7</v>
      </c>
      <c r="AN233">
        <f t="shared" si="14"/>
        <v>338</v>
      </c>
      <c r="AO233">
        <v>259</v>
      </c>
      <c r="AP233">
        <v>82</v>
      </c>
      <c r="AQ233">
        <v>-3</v>
      </c>
      <c r="AR233">
        <v>0</v>
      </c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37"/>
      <c r="BD233" s="37"/>
      <c r="BE233" s="37"/>
      <c r="BF233" s="37"/>
      <c r="BG233" s="37"/>
      <c r="BH233" s="37"/>
      <c r="BI233" s="37"/>
      <c r="BJ233" s="37"/>
      <c r="BK233" s="37"/>
      <c r="BL233" s="37"/>
      <c r="BM233" s="37"/>
      <c r="BN233" s="37"/>
      <c r="BO233" s="37"/>
      <c r="BP233" s="37"/>
      <c r="BQ233" s="37"/>
      <c r="BR233" s="37"/>
      <c r="BS233" s="37"/>
      <c r="BT233" s="37"/>
      <c r="BU233" s="37"/>
      <c r="BV233" s="37"/>
      <c r="BW233" s="37"/>
      <c r="BX233" s="37"/>
      <c r="BY233" s="37"/>
      <c r="BZ233" s="37"/>
      <c r="CA233" s="37"/>
      <c r="CB233" s="37"/>
      <c r="CC233" s="37"/>
      <c r="CD233" s="37"/>
      <c r="CE233" s="37"/>
      <c r="CF233" s="37"/>
    </row>
    <row r="234" spans="1:84" x14ac:dyDescent="0.2">
      <c r="A234" s="39">
        <v>43765</v>
      </c>
      <c r="B234" s="22" t="s">
        <v>248</v>
      </c>
      <c r="C234" t="s">
        <v>307</v>
      </c>
      <c r="D234" s="22" t="s">
        <v>285</v>
      </c>
      <c r="E234">
        <v>28.92</v>
      </c>
      <c r="F234">
        <v>39.700000000000003</v>
      </c>
      <c r="G234">
        <v>102</v>
      </c>
      <c r="H234">
        <v>12</v>
      </c>
      <c r="I234">
        <v>3.8</v>
      </c>
      <c r="J234">
        <v>38</v>
      </c>
      <c r="K234">
        <v>0</v>
      </c>
      <c r="L234">
        <v>30.3</v>
      </c>
      <c r="M234">
        <v>112</v>
      </c>
      <c r="N234">
        <v>11</v>
      </c>
      <c r="O234">
        <v>6.2</v>
      </c>
      <c r="P234">
        <v>42</v>
      </c>
      <c r="Q234">
        <v>2</v>
      </c>
      <c r="R234">
        <v>3.7</v>
      </c>
      <c r="S234">
        <v>17</v>
      </c>
      <c r="T234">
        <v>2</v>
      </c>
      <c r="U234">
        <v>22.2</v>
      </c>
      <c r="V234">
        <v>92</v>
      </c>
      <c r="W234">
        <v>9</v>
      </c>
      <c r="X234">
        <f>6.9+4.5</f>
        <v>11.4</v>
      </c>
      <c r="Y234">
        <f>39+25</f>
        <v>64</v>
      </c>
      <c r="Z234">
        <v>8</v>
      </c>
      <c r="AA234">
        <v>7</v>
      </c>
      <c r="AB234">
        <v>2</v>
      </c>
      <c r="AC234">
        <v>8</v>
      </c>
      <c r="AD234" s="21">
        <v>0.27906976744186046</v>
      </c>
      <c r="AE234" s="21">
        <v>0</v>
      </c>
      <c r="AF234">
        <v>81.8</v>
      </c>
      <c r="AG234">
        <v>1</v>
      </c>
      <c r="AH234">
        <v>43</v>
      </c>
      <c r="AI234">
        <v>26</v>
      </c>
      <c r="AJ234">
        <v>2</v>
      </c>
      <c r="AK234">
        <v>72</v>
      </c>
      <c r="AL234">
        <v>31</v>
      </c>
      <c r="AM234">
        <v>0</v>
      </c>
      <c r="AN234">
        <f t="shared" si="14"/>
        <v>510</v>
      </c>
      <c r="AO234">
        <v>373</v>
      </c>
      <c r="AP234">
        <f>102+38+8</f>
        <v>148</v>
      </c>
      <c r="AQ234">
        <v>-9</v>
      </c>
      <c r="AR234">
        <v>-2</v>
      </c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37"/>
      <c r="BD234" s="37"/>
      <c r="BE234" s="37"/>
      <c r="BF234" s="37"/>
      <c r="BG234" s="37"/>
      <c r="BH234" s="37"/>
      <c r="BI234" s="37"/>
      <c r="BJ234" s="37"/>
      <c r="BK234" s="37"/>
      <c r="BL234" s="37"/>
      <c r="BM234" s="37"/>
      <c r="BN234" s="37"/>
      <c r="BO234" s="37"/>
      <c r="BP234" s="37"/>
      <c r="BQ234" s="37"/>
      <c r="BR234" s="37"/>
      <c r="BS234" s="37"/>
      <c r="BT234" s="37"/>
      <c r="BU234" s="37"/>
      <c r="BV234" s="37"/>
      <c r="BW234" s="37"/>
      <c r="BX234" s="37"/>
      <c r="BY234" s="37"/>
      <c r="BZ234" s="37"/>
      <c r="CA234" s="37"/>
      <c r="CB234" s="37"/>
      <c r="CC234" s="37"/>
      <c r="CD234" s="37"/>
      <c r="CE234" s="37"/>
      <c r="CF234" s="37"/>
    </row>
    <row r="235" spans="1:84" x14ac:dyDescent="0.2">
      <c r="A235" s="39">
        <v>43765</v>
      </c>
      <c r="B235" s="22" t="s">
        <v>248</v>
      </c>
      <c r="C235" t="s">
        <v>296</v>
      </c>
      <c r="D235" s="22" t="s">
        <v>299</v>
      </c>
      <c r="E235">
        <v>32.18</v>
      </c>
      <c r="F235">
        <v>28.3</v>
      </c>
      <c r="G235">
        <v>64</v>
      </c>
      <c r="H235">
        <v>1</v>
      </c>
      <c r="I235">
        <v>3</v>
      </c>
      <c r="J235">
        <v>0</v>
      </c>
      <c r="K235">
        <v>0</v>
      </c>
      <c r="L235">
        <v>16.5</v>
      </c>
      <c r="M235">
        <v>85</v>
      </c>
      <c r="N235">
        <v>10</v>
      </c>
      <c r="O235">
        <v>19</v>
      </c>
      <c r="P235">
        <v>50</v>
      </c>
      <c r="Q235">
        <v>5</v>
      </c>
      <c r="R235">
        <v>4.8</v>
      </c>
      <c r="S235">
        <v>28</v>
      </c>
      <c r="T235">
        <v>3</v>
      </c>
      <c r="U235">
        <v>32.200000000000003</v>
      </c>
      <c r="V235">
        <v>112</v>
      </c>
      <c r="W235">
        <v>11</v>
      </c>
      <c r="X235">
        <v>14.9</v>
      </c>
      <c r="Y235">
        <v>39</v>
      </c>
      <c r="Z235">
        <v>9</v>
      </c>
      <c r="AA235">
        <v>2</v>
      </c>
      <c r="AB235">
        <v>0</v>
      </c>
      <c r="AC235">
        <v>8</v>
      </c>
      <c r="AD235" s="21">
        <v>0.35555555555555557</v>
      </c>
      <c r="AE235" s="21">
        <v>6.6666666666666666E-2</v>
      </c>
      <c r="AF235">
        <v>77.8</v>
      </c>
      <c r="AG235">
        <v>11</v>
      </c>
      <c r="AH235">
        <v>41</v>
      </c>
      <c r="AI235">
        <v>20</v>
      </c>
      <c r="AJ235">
        <v>4</v>
      </c>
      <c r="AK235">
        <v>68</v>
      </c>
      <c r="AL235">
        <v>26</v>
      </c>
      <c r="AM235">
        <v>0</v>
      </c>
      <c r="AN235">
        <f t="shared" si="14"/>
        <v>402</v>
      </c>
      <c r="AO235">
        <v>322</v>
      </c>
      <c r="AP235">
        <v>67</v>
      </c>
      <c r="AQ235">
        <v>0</v>
      </c>
      <c r="AR235">
        <v>13</v>
      </c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37"/>
      <c r="BD235" s="37"/>
      <c r="BE235" s="37"/>
      <c r="BF235" s="37"/>
      <c r="BG235" s="37"/>
      <c r="BH235" s="37"/>
      <c r="BI235" s="37"/>
      <c r="BJ235" s="37"/>
      <c r="BK235" s="37"/>
      <c r="BL235" s="37"/>
      <c r="BM235" s="37"/>
      <c r="BN235" s="37"/>
      <c r="BO235" s="37"/>
      <c r="BP235" s="37"/>
      <c r="BQ235" s="37"/>
      <c r="BR235" s="37"/>
      <c r="BS235" s="37"/>
      <c r="BT235" s="37"/>
      <c r="BU235" s="37"/>
      <c r="BV235" s="37"/>
      <c r="BW235" s="37"/>
      <c r="BX235" s="37"/>
      <c r="BY235" s="37"/>
      <c r="BZ235" s="37"/>
      <c r="CA235" s="37"/>
      <c r="CB235" s="37"/>
      <c r="CC235" s="37"/>
      <c r="CD235" s="37"/>
      <c r="CE235" s="37"/>
      <c r="CF235" s="37"/>
    </row>
    <row r="236" spans="1:84" x14ac:dyDescent="0.2">
      <c r="A236" s="39">
        <v>43765</v>
      </c>
      <c r="B236" s="22" t="s">
        <v>248</v>
      </c>
      <c r="C236" t="s">
        <v>298</v>
      </c>
      <c r="D236" s="22" t="s">
        <v>297</v>
      </c>
      <c r="E236">
        <v>15.62</v>
      </c>
      <c r="F236">
        <v>6.5</v>
      </c>
      <c r="G236">
        <v>23</v>
      </c>
      <c r="H236">
        <v>5</v>
      </c>
      <c r="I236">
        <v>1.1000000000000001</v>
      </c>
      <c r="J236">
        <v>11</v>
      </c>
      <c r="K236">
        <v>0</v>
      </c>
      <c r="L236">
        <v>5.4</v>
      </c>
      <c r="M236">
        <v>24</v>
      </c>
      <c r="N236">
        <v>5</v>
      </c>
      <c r="O236">
        <v>8.3000000000000007</v>
      </c>
      <c r="P236">
        <v>43</v>
      </c>
      <c r="Q236">
        <v>6</v>
      </c>
      <c r="R236">
        <v>11.3</v>
      </c>
      <c r="S236">
        <v>63</v>
      </c>
      <c r="T236">
        <v>5</v>
      </c>
      <c r="U236">
        <v>9.6999999999999993</v>
      </c>
      <c r="V236">
        <v>57</v>
      </c>
      <c r="W236">
        <v>5</v>
      </c>
      <c r="X236">
        <v>24.6</v>
      </c>
      <c r="Y236">
        <v>66</v>
      </c>
      <c r="Z236">
        <v>4</v>
      </c>
      <c r="AA236">
        <v>1</v>
      </c>
      <c r="AB236">
        <v>0</v>
      </c>
      <c r="AC236">
        <v>3</v>
      </c>
      <c r="AD236" s="21">
        <v>0.47368421052631576</v>
      </c>
      <c r="AE236" s="21">
        <v>0.18421052631578946</v>
      </c>
      <c r="AF236">
        <v>66.7</v>
      </c>
      <c r="AG236">
        <v>15</v>
      </c>
      <c r="AH236">
        <v>30</v>
      </c>
      <c r="AI236">
        <v>13</v>
      </c>
      <c r="AJ236">
        <v>1</v>
      </c>
      <c r="AK236">
        <v>53</v>
      </c>
      <c r="AL236">
        <v>15</v>
      </c>
      <c r="AM236">
        <v>0</v>
      </c>
      <c r="AN236">
        <f t="shared" si="14"/>
        <v>264</v>
      </c>
      <c r="AO236">
        <v>218</v>
      </c>
      <c r="AP236">
        <v>34</v>
      </c>
      <c r="AQ236">
        <v>13</v>
      </c>
      <c r="AR236">
        <v>-1</v>
      </c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37"/>
      <c r="BD236" s="37"/>
      <c r="BE236" s="37"/>
      <c r="BF236" s="37"/>
      <c r="BG236" s="37"/>
      <c r="BH236" s="37"/>
      <c r="BI236" s="37"/>
      <c r="BJ236" s="37"/>
      <c r="BK236" s="37"/>
      <c r="BL236" s="37"/>
      <c r="BM236" s="37"/>
      <c r="BN236" s="37"/>
      <c r="BO236" s="37"/>
      <c r="BP236" s="37"/>
      <c r="BQ236" s="37"/>
      <c r="BR236" s="37"/>
      <c r="BS236" s="37"/>
      <c r="BT236" s="37"/>
      <c r="BU236" s="37"/>
      <c r="BV236" s="37"/>
      <c r="BW236" s="37"/>
      <c r="BX236" s="37"/>
      <c r="BY236" s="37"/>
      <c r="BZ236" s="37"/>
      <c r="CA236" s="37"/>
      <c r="CB236" s="37"/>
      <c r="CC236" s="37"/>
      <c r="CD236" s="37"/>
      <c r="CE236" s="37"/>
      <c r="CF236" s="37"/>
    </row>
    <row r="237" spans="1:84" x14ac:dyDescent="0.2">
      <c r="A237" s="39">
        <v>43765</v>
      </c>
      <c r="B237" s="22" t="s">
        <v>248</v>
      </c>
      <c r="C237" t="s">
        <v>294</v>
      </c>
      <c r="D237" s="22" t="s">
        <v>276</v>
      </c>
      <c r="E237">
        <v>14.38</v>
      </c>
      <c r="F237">
        <v>18.100000000000001</v>
      </c>
      <c r="G237">
        <v>96</v>
      </c>
      <c r="H237">
        <v>2</v>
      </c>
      <c r="I237">
        <v>22.8</v>
      </c>
      <c r="J237">
        <v>74</v>
      </c>
      <c r="K237">
        <v>3</v>
      </c>
      <c r="L237">
        <v>10.4</v>
      </c>
      <c r="M237">
        <v>64</v>
      </c>
      <c r="N237">
        <v>6</v>
      </c>
      <c r="O237">
        <v>5.4</v>
      </c>
      <c r="P237">
        <v>7</v>
      </c>
      <c r="Q237">
        <v>4</v>
      </c>
      <c r="R237">
        <v>0</v>
      </c>
      <c r="S237">
        <v>0</v>
      </c>
      <c r="T237">
        <v>0</v>
      </c>
      <c r="U237">
        <v>5.9</v>
      </c>
      <c r="V237">
        <v>9</v>
      </c>
      <c r="W237">
        <v>6</v>
      </c>
      <c r="X237">
        <v>15.2</v>
      </c>
      <c r="Y237">
        <v>44</v>
      </c>
      <c r="Z237">
        <v>9</v>
      </c>
      <c r="AA237">
        <v>5</v>
      </c>
      <c r="AB237">
        <v>1</v>
      </c>
      <c r="AC237">
        <v>12</v>
      </c>
      <c r="AD237" s="21">
        <v>0.35483870967741937</v>
      </c>
      <c r="AE237" s="21">
        <v>9.6774193548387094E-2</v>
      </c>
      <c r="AF237">
        <v>50</v>
      </c>
      <c r="AG237">
        <v>4</v>
      </c>
      <c r="AH237">
        <v>24</v>
      </c>
      <c r="AI237">
        <v>31</v>
      </c>
      <c r="AJ237">
        <v>8</v>
      </c>
      <c r="AK237">
        <v>68</v>
      </c>
      <c r="AL237">
        <v>31</v>
      </c>
      <c r="AM237">
        <v>0</v>
      </c>
      <c r="AN237">
        <f t="shared" si="14"/>
        <v>390</v>
      </c>
      <c r="AO237">
        <v>172</v>
      </c>
      <c r="AP237">
        <f>74+96+6</f>
        <v>176</v>
      </c>
      <c r="AQ237">
        <v>7</v>
      </c>
      <c r="AR237">
        <v>35</v>
      </c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37"/>
      <c r="BD237" s="37"/>
      <c r="BE237" s="37"/>
      <c r="BF237" s="37"/>
      <c r="BG237" s="37"/>
      <c r="BH237" s="37"/>
      <c r="BI237" s="37"/>
      <c r="BJ237" s="37"/>
      <c r="BK237" s="37"/>
      <c r="BL237" s="37"/>
      <c r="BM237" s="37"/>
      <c r="BN237" s="37"/>
      <c r="BO237" s="37"/>
      <c r="BP237" s="37"/>
      <c r="BQ237" s="37"/>
      <c r="BR237" s="37"/>
      <c r="BS237" s="37"/>
      <c r="BT237" s="37"/>
      <c r="BU237" s="37"/>
      <c r="BV237" s="37"/>
      <c r="BW237" s="37"/>
      <c r="BX237" s="37"/>
      <c r="BY237" s="37"/>
      <c r="BZ237" s="37"/>
      <c r="CA237" s="37"/>
      <c r="CB237" s="37"/>
      <c r="CC237" s="37"/>
      <c r="CD237" s="37"/>
      <c r="CE237" s="37"/>
      <c r="CF237" s="37"/>
    </row>
    <row r="238" spans="1:84" x14ac:dyDescent="0.2">
      <c r="A238" s="39">
        <v>43765</v>
      </c>
      <c r="B238" s="22" t="s">
        <v>248</v>
      </c>
      <c r="C238" t="s">
        <v>309</v>
      </c>
      <c r="D238" s="22" t="s">
        <v>293</v>
      </c>
      <c r="E238">
        <v>17.04</v>
      </c>
      <c r="F238">
        <v>27</v>
      </c>
      <c r="G238">
        <v>145</v>
      </c>
      <c r="H238">
        <v>4</v>
      </c>
      <c r="I238">
        <v>2.4</v>
      </c>
      <c r="J238">
        <v>0</v>
      </c>
      <c r="K238">
        <v>2</v>
      </c>
      <c r="L238">
        <v>24.3</v>
      </c>
      <c r="M238">
        <v>103</v>
      </c>
      <c r="N238">
        <v>9</v>
      </c>
      <c r="O238">
        <v>19.399999999999999</v>
      </c>
      <c r="P238">
        <v>84</v>
      </c>
      <c r="Q238">
        <v>7</v>
      </c>
      <c r="R238">
        <v>3.1</v>
      </c>
      <c r="S238">
        <v>21</v>
      </c>
      <c r="T238">
        <v>6</v>
      </c>
      <c r="U238">
        <v>16.3</v>
      </c>
      <c r="V238">
        <v>63</v>
      </c>
      <c r="W238">
        <v>6</v>
      </c>
      <c r="X238">
        <f>4.9+2.5</f>
        <v>7.4</v>
      </c>
      <c r="Y238">
        <v>34</v>
      </c>
      <c r="Z238">
        <v>6</v>
      </c>
      <c r="AA238">
        <v>11</v>
      </c>
      <c r="AB238">
        <v>3</v>
      </c>
      <c r="AC238">
        <v>13</v>
      </c>
      <c r="AD238" s="21">
        <v>0.34210526315789475</v>
      </c>
      <c r="AE238" s="21">
        <v>5.2631578947368418E-2</v>
      </c>
      <c r="AF238">
        <v>70</v>
      </c>
      <c r="AG238">
        <v>4</v>
      </c>
      <c r="AH238">
        <v>36</v>
      </c>
      <c r="AI238">
        <v>29</v>
      </c>
      <c r="AJ238">
        <v>0</v>
      </c>
      <c r="AK238">
        <v>67</v>
      </c>
      <c r="AL238">
        <v>27</v>
      </c>
      <c r="AM238">
        <v>0</v>
      </c>
      <c r="AN238">
        <f t="shared" si="14"/>
        <v>409</v>
      </c>
      <c r="AO238">
        <v>251</v>
      </c>
      <c r="AP238">
        <v>158</v>
      </c>
      <c r="AQ238">
        <v>0</v>
      </c>
      <c r="AR238">
        <v>0</v>
      </c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37"/>
      <c r="BD238" s="37"/>
      <c r="BE238" s="37"/>
      <c r="BF238" s="37"/>
      <c r="BG238" s="37"/>
      <c r="BH238" s="37"/>
      <c r="BI238" s="37"/>
      <c r="BJ238" s="37"/>
      <c r="BK238" s="37"/>
      <c r="BL238" s="37"/>
      <c r="BM238" s="37"/>
      <c r="BN238" s="37"/>
      <c r="BO238" s="37"/>
      <c r="BP238" s="37"/>
      <c r="BQ238" s="37"/>
      <c r="BR238" s="37"/>
      <c r="BS238" s="37"/>
      <c r="BT238" s="37"/>
      <c r="BU238" s="37"/>
      <c r="BV238" s="37"/>
      <c r="BW238" s="37"/>
      <c r="BX238" s="37"/>
      <c r="BY238" s="37"/>
      <c r="BZ238" s="37"/>
      <c r="CA238" s="37"/>
      <c r="CB238" s="37"/>
      <c r="CC238" s="37"/>
      <c r="CD238" s="37"/>
      <c r="CE238" s="37"/>
      <c r="CF238" s="37"/>
    </row>
    <row r="239" spans="1:84" x14ac:dyDescent="0.2">
      <c r="A239" s="39">
        <v>43765</v>
      </c>
      <c r="B239" s="22" t="s">
        <v>248</v>
      </c>
      <c r="C239" s="22" t="s">
        <v>256</v>
      </c>
      <c r="D239" s="22" t="s">
        <v>301</v>
      </c>
      <c r="E239">
        <v>14</v>
      </c>
      <c r="F239">
        <v>40.799999999999997</v>
      </c>
      <c r="G239">
        <v>105</v>
      </c>
      <c r="H239">
        <v>2</v>
      </c>
      <c r="I239">
        <v>6</v>
      </c>
      <c r="J239">
        <v>35</v>
      </c>
      <c r="K239">
        <v>1</v>
      </c>
      <c r="L239">
        <v>12.5</v>
      </c>
      <c r="M239">
        <v>25</v>
      </c>
      <c r="N239">
        <v>5</v>
      </c>
      <c r="O239">
        <v>13.8</v>
      </c>
      <c r="P239">
        <v>19</v>
      </c>
      <c r="Q239">
        <v>3</v>
      </c>
      <c r="R239">
        <v>2.2000000000000002</v>
      </c>
      <c r="S239">
        <v>12</v>
      </c>
      <c r="T239">
        <v>1</v>
      </c>
      <c r="U239">
        <v>17.2</v>
      </c>
      <c r="V239">
        <v>42</v>
      </c>
      <c r="W239">
        <v>7</v>
      </c>
      <c r="X239">
        <v>14.6</v>
      </c>
      <c r="Y239">
        <v>86</v>
      </c>
      <c r="Z239">
        <v>7</v>
      </c>
      <c r="AA239">
        <v>9</v>
      </c>
      <c r="AB239">
        <v>1</v>
      </c>
      <c r="AC239">
        <v>17</v>
      </c>
      <c r="AD239" s="21">
        <v>0.23076923076923078</v>
      </c>
      <c r="AE239" s="21">
        <v>0.11538461538461539</v>
      </c>
      <c r="AF239">
        <v>66.7</v>
      </c>
      <c r="AG239">
        <v>3</v>
      </c>
      <c r="AH239">
        <v>22</v>
      </c>
      <c r="AI239">
        <v>33</v>
      </c>
      <c r="AJ239">
        <v>3</v>
      </c>
      <c r="AK239">
        <v>63</v>
      </c>
      <c r="AL239">
        <v>51</v>
      </c>
      <c r="AM239">
        <v>0</v>
      </c>
      <c r="AN239">
        <f>AO239+AP239+AR239+AQ239</f>
        <v>407</v>
      </c>
      <c r="AO239">
        <v>175</v>
      </c>
      <c r="AP239">
        <f>105+60+35+6</f>
        <v>206</v>
      </c>
      <c r="AQ239">
        <v>29</v>
      </c>
      <c r="AR239">
        <v>-3</v>
      </c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37"/>
      <c r="BD239" s="37"/>
      <c r="BE239" s="37"/>
      <c r="BF239" s="37"/>
      <c r="BG239" s="37"/>
      <c r="BH239" s="37"/>
      <c r="BI239" s="37"/>
      <c r="BJ239" s="37"/>
      <c r="BK239" s="37"/>
      <c r="BL239" s="37"/>
      <c r="BM239" s="37"/>
      <c r="BN239" s="37"/>
      <c r="BO239" s="37"/>
      <c r="BP239" s="37"/>
      <c r="BQ239" s="37"/>
      <c r="BR239" s="37"/>
      <c r="BS239" s="37"/>
      <c r="BT239" s="37"/>
      <c r="BU239" s="37"/>
      <c r="BV239" s="37"/>
      <c r="BW239" s="37"/>
      <c r="BX239" s="37"/>
      <c r="BY239" s="37"/>
      <c r="BZ239" s="37"/>
      <c r="CA239" s="37"/>
      <c r="CB239" s="37"/>
      <c r="CC239" s="37"/>
      <c r="CD239" s="37"/>
      <c r="CE239" s="37"/>
      <c r="CF239" s="37"/>
    </row>
    <row r="240" spans="1:84" x14ac:dyDescent="0.2">
      <c r="A240" s="39">
        <v>43765</v>
      </c>
      <c r="B240" s="22" t="s">
        <v>248</v>
      </c>
      <c r="C240" t="s">
        <v>308</v>
      </c>
      <c r="D240" s="22" t="s">
        <v>295</v>
      </c>
      <c r="E240">
        <v>15.68</v>
      </c>
      <c r="F240">
        <v>15</v>
      </c>
      <c r="G240">
        <v>90</v>
      </c>
      <c r="H240">
        <v>1</v>
      </c>
      <c r="I240">
        <v>5.5</v>
      </c>
      <c r="J240">
        <v>55</v>
      </c>
      <c r="K240">
        <v>0</v>
      </c>
      <c r="L240">
        <v>19</v>
      </c>
      <c r="M240">
        <v>100</v>
      </c>
      <c r="N240">
        <v>6</v>
      </c>
      <c r="O240">
        <v>16.3</v>
      </c>
      <c r="P240">
        <v>13</v>
      </c>
      <c r="Q240">
        <v>5</v>
      </c>
      <c r="R240">
        <v>3.5</v>
      </c>
      <c r="S240">
        <v>23</v>
      </c>
      <c r="T240">
        <v>4</v>
      </c>
      <c r="U240">
        <v>17.5</v>
      </c>
      <c r="V240">
        <v>105</v>
      </c>
      <c r="W240">
        <v>9</v>
      </c>
      <c r="X240">
        <f>3.8+1.7</f>
        <v>5.5</v>
      </c>
      <c r="Y240">
        <v>25</v>
      </c>
      <c r="Z240">
        <v>3</v>
      </c>
      <c r="AA240">
        <v>12</v>
      </c>
      <c r="AB240">
        <v>2</v>
      </c>
      <c r="AC240">
        <v>9</v>
      </c>
      <c r="AD240" s="21">
        <v>0.45833333333333331</v>
      </c>
      <c r="AE240" s="21">
        <v>8.3333333333333329E-2</v>
      </c>
      <c r="AF240">
        <v>100</v>
      </c>
      <c r="AG240">
        <v>2</v>
      </c>
      <c r="AH240">
        <v>20</v>
      </c>
      <c r="AI240">
        <v>28</v>
      </c>
      <c r="AJ240">
        <v>4</v>
      </c>
      <c r="AK240">
        <v>55</v>
      </c>
      <c r="AL240">
        <v>27</v>
      </c>
      <c r="AM240">
        <v>0</v>
      </c>
      <c r="AN240">
        <f>SUM(AO240:AR240)</f>
        <v>333</v>
      </c>
      <c r="AO240">
        <v>182</v>
      </c>
      <c r="AP240">
        <v>145</v>
      </c>
      <c r="AQ240">
        <v>2</v>
      </c>
      <c r="AR240">
        <v>4</v>
      </c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37"/>
      <c r="BD240" s="37"/>
      <c r="BE240" s="37"/>
      <c r="BF240" s="37"/>
      <c r="BG240" s="37"/>
      <c r="BH240" s="37"/>
      <c r="BI240" s="37"/>
      <c r="BJ240" s="37"/>
      <c r="BK240" s="37"/>
      <c r="BL240" s="37"/>
      <c r="BM240" s="37"/>
      <c r="BN240" s="37"/>
      <c r="BO240" s="37"/>
      <c r="BP240" s="37"/>
      <c r="BQ240" s="37"/>
      <c r="BR240" s="37"/>
      <c r="BS240" s="37"/>
      <c r="BT240" s="37"/>
      <c r="BU240" s="37"/>
      <c r="BV240" s="37"/>
      <c r="BW240" s="37"/>
      <c r="BX240" s="37"/>
      <c r="BY240" s="37"/>
      <c r="BZ240" s="37"/>
      <c r="CA240" s="37"/>
      <c r="CB240" s="37"/>
      <c r="CC240" s="37"/>
      <c r="CD240" s="37"/>
      <c r="CE240" s="37"/>
      <c r="CF240" s="37"/>
    </row>
    <row r="241" spans="1:84" x14ac:dyDescent="0.2">
      <c r="A241" s="39">
        <v>43765</v>
      </c>
      <c r="B241" s="22" t="s">
        <v>248</v>
      </c>
      <c r="C241" t="s">
        <v>284</v>
      </c>
      <c r="D241" s="23" t="s">
        <v>310</v>
      </c>
      <c r="E241">
        <v>26.34</v>
      </c>
      <c r="F241">
        <v>6.2</v>
      </c>
      <c r="G241">
        <v>35</v>
      </c>
      <c r="H241">
        <v>4</v>
      </c>
      <c r="I241">
        <v>3.8</v>
      </c>
      <c r="J241">
        <v>20</v>
      </c>
      <c r="K241">
        <v>3</v>
      </c>
      <c r="L241">
        <v>45.8</v>
      </c>
      <c r="M241">
        <v>198</v>
      </c>
      <c r="N241">
        <v>12</v>
      </c>
      <c r="O241">
        <v>10.3</v>
      </c>
      <c r="P241">
        <v>43</v>
      </c>
      <c r="Q241">
        <v>8</v>
      </c>
      <c r="R241">
        <v>0</v>
      </c>
      <c r="S241">
        <v>0</v>
      </c>
      <c r="T241">
        <v>4</v>
      </c>
      <c r="U241">
        <v>25.799999999999997</v>
      </c>
      <c r="V241">
        <v>118</v>
      </c>
      <c r="W241">
        <v>14</v>
      </c>
      <c r="X241">
        <v>6.2</v>
      </c>
      <c r="Y241">
        <v>32</v>
      </c>
      <c r="Z241">
        <v>6</v>
      </c>
      <c r="AA241">
        <v>10</v>
      </c>
      <c r="AB241">
        <v>3</v>
      </c>
      <c r="AC241">
        <v>5</v>
      </c>
      <c r="AD241" s="21">
        <v>0.40384615384615385</v>
      </c>
      <c r="AE241" s="21">
        <v>5.7692307692307696E-2</v>
      </c>
      <c r="AF241">
        <v>58.3</v>
      </c>
      <c r="AG241">
        <v>11</v>
      </c>
      <c r="AH241">
        <v>43</v>
      </c>
      <c r="AI241">
        <v>22</v>
      </c>
      <c r="AJ241">
        <v>8</v>
      </c>
      <c r="AK241">
        <v>76</v>
      </c>
      <c r="AL241">
        <v>23</v>
      </c>
      <c r="AM241">
        <v>0</v>
      </c>
      <c r="AN241">
        <f>AO241+AP241+AQ241+AR241</f>
        <v>407</v>
      </c>
      <c r="AO241">
        <v>301</v>
      </c>
      <c r="AP241">
        <f>35+20-2</f>
        <v>53</v>
      </c>
      <c r="AQ241">
        <v>0</v>
      </c>
      <c r="AR241">
        <v>53</v>
      </c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37"/>
      <c r="BD241" s="37"/>
      <c r="BE241" s="37"/>
      <c r="BF241" s="37"/>
      <c r="BG241" s="37"/>
      <c r="BH241" s="37"/>
      <c r="BI241" s="37"/>
      <c r="BJ241" s="37"/>
      <c r="BK241" s="37"/>
      <c r="BL241" s="37"/>
      <c r="BM241" s="37"/>
      <c r="BN241" s="37"/>
      <c r="BO241" s="37"/>
      <c r="BP241" s="37"/>
      <c r="BQ241" s="37"/>
      <c r="BR241" s="37"/>
      <c r="BS241" s="37"/>
      <c r="BT241" s="37"/>
      <c r="BU241" s="37"/>
      <c r="BV241" s="37"/>
      <c r="BW241" s="37"/>
      <c r="BX241" s="37"/>
      <c r="BY241" s="37"/>
      <c r="BZ241" s="37"/>
      <c r="CA241" s="37"/>
      <c r="CB241" s="37"/>
      <c r="CC241" s="37"/>
      <c r="CD241" s="37"/>
      <c r="CE241" s="37"/>
      <c r="CF241" s="37"/>
    </row>
    <row r="242" spans="1:84" x14ac:dyDescent="0.2">
      <c r="A242" s="39">
        <v>43765</v>
      </c>
      <c r="B242" s="22" t="s">
        <v>248</v>
      </c>
      <c r="C242" t="s">
        <v>310</v>
      </c>
      <c r="D242" s="22" t="s">
        <v>284</v>
      </c>
      <c r="E242">
        <v>19.420000000000002</v>
      </c>
      <c r="F242">
        <v>8.3000000000000007</v>
      </c>
      <c r="G242">
        <v>75</v>
      </c>
      <c r="H242">
        <v>1</v>
      </c>
      <c r="I242">
        <v>1.2</v>
      </c>
      <c r="J242">
        <v>0</v>
      </c>
      <c r="K242">
        <v>1</v>
      </c>
      <c r="L242">
        <v>2.9</v>
      </c>
      <c r="M242">
        <v>9</v>
      </c>
      <c r="N242">
        <v>6</v>
      </c>
      <c r="O242">
        <v>9.1</v>
      </c>
      <c r="P242">
        <v>11</v>
      </c>
      <c r="Q242">
        <v>3</v>
      </c>
      <c r="R242">
        <v>10.8</v>
      </c>
      <c r="S242">
        <v>18</v>
      </c>
      <c r="T242">
        <v>3</v>
      </c>
      <c r="U242">
        <v>18</v>
      </c>
      <c r="V242">
        <v>90</v>
      </c>
      <c r="W242">
        <v>17</v>
      </c>
      <c r="X242">
        <f>19.8+7.3</f>
        <v>27.1</v>
      </c>
      <c r="Y242">
        <f>78+43</f>
        <v>121</v>
      </c>
      <c r="Z242">
        <v>12</v>
      </c>
      <c r="AA242">
        <v>12</v>
      </c>
      <c r="AB242">
        <v>2</v>
      </c>
      <c r="AC242">
        <v>11</v>
      </c>
      <c r="AD242" s="21">
        <v>0.30555555555555558</v>
      </c>
      <c r="AE242" s="21">
        <v>8.3333333333333329E-2</v>
      </c>
      <c r="AF242">
        <v>75</v>
      </c>
      <c r="AG242">
        <v>5</v>
      </c>
      <c r="AH242">
        <v>33</v>
      </c>
      <c r="AI242">
        <v>16</v>
      </c>
      <c r="AJ242">
        <v>4</v>
      </c>
      <c r="AK242">
        <v>57</v>
      </c>
      <c r="AL242">
        <v>27</v>
      </c>
      <c r="AM242">
        <v>0</v>
      </c>
      <c r="AN242">
        <f t="shared" ref="AN242:AN247" si="15">SUM(AO242:AR242)</f>
        <v>265</v>
      </c>
      <c r="AO242">
        <v>193</v>
      </c>
      <c r="AP242">
        <v>75</v>
      </c>
      <c r="AQ242">
        <v>0</v>
      </c>
      <c r="AR242">
        <v>-3</v>
      </c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37"/>
      <c r="BD242" s="37"/>
      <c r="BE242" s="37"/>
      <c r="BF242" s="37"/>
      <c r="BG242" s="37"/>
      <c r="BH242" s="37"/>
      <c r="BI242" s="37"/>
      <c r="BJ242" s="37"/>
      <c r="BK242" s="37"/>
      <c r="BL242" s="37"/>
      <c r="BM242" s="37"/>
      <c r="BN242" s="37"/>
      <c r="BO242" s="37"/>
      <c r="BP242" s="37"/>
      <c r="BQ242" s="37"/>
      <c r="BR242" s="37"/>
      <c r="BS242" s="37"/>
      <c r="BT242" s="37"/>
      <c r="BU242" s="37"/>
      <c r="BV242" s="37"/>
      <c r="BW242" s="37"/>
      <c r="BX242" s="37"/>
      <c r="BY242" s="37"/>
      <c r="BZ242" s="37"/>
      <c r="CA242" s="37"/>
      <c r="CB242" s="37"/>
      <c r="CC242" s="37"/>
      <c r="CD242" s="37"/>
      <c r="CE242" s="37"/>
      <c r="CF242" s="37"/>
    </row>
    <row r="243" spans="1:84" x14ac:dyDescent="0.2">
      <c r="A243" s="39">
        <v>43765</v>
      </c>
      <c r="B243" s="22" t="s">
        <v>248</v>
      </c>
      <c r="C243" t="s">
        <v>306</v>
      </c>
      <c r="D243" s="22" t="s">
        <v>312</v>
      </c>
      <c r="E243">
        <f>4.2+0.32</f>
        <v>4.5200000000000005</v>
      </c>
      <c r="F243">
        <v>12.3</v>
      </c>
      <c r="G243">
        <v>76</v>
      </c>
      <c r="H243">
        <v>2</v>
      </c>
      <c r="I243">
        <v>3</v>
      </c>
      <c r="J243">
        <v>9</v>
      </c>
      <c r="K243">
        <v>2</v>
      </c>
      <c r="L243">
        <v>7.9</v>
      </c>
      <c r="M243">
        <v>39</v>
      </c>
      <c r="N243">
        <v>6</v>
      </c>
      <c r="O243" s="14">
        <v>6.4</v>
      </c>
      <c r="P243">
        <v>34</v>
      </c>
      <c r="Q243">
        <v>4</v>
      </c>
      <c r="R243">
        <v>2.5</v>
      </c>
      <c r="S243">
        <v>15</v>
      </c>
      <c r="T243">
        <v>3</v>
      </c>
      <c r="U243">
        <v>4.5999999999999996</v>
      </c>
      <c r="V243">
        <v>26</v>
      </c>
      <c r="W243">
        <v>3</v>
      </c>
      <c r="X243">
        <v>5.5</v>
      </c>
      <c r="Y243">
        <v>25</v>
      </c>
      <c r="Z243">
        <v>3</v>
      </c>
      <c r="AA243">
        <v>10</v>
      </c>
      <c r="AB243">
        <v>3</v>
      </c>
      <c r="AC243">
        <v>6</v>
      </c>
      <c r="AD243" s="21">
        <v>0.36</v>
      </c>
      <c r="AE243" s="21">
        <v>0.16</v>
      </c>
      <c r="AG243">
        <v>12</v>
      </c>
      <c r="AH243">
        <v>21</v>
      </c>
      <c r="AI243">
        <v>16</v>
      </c>
      <c r="AJ243">
        <v>0</v>
      </c>
      <c r="AK243">
        <v>41</v>
      </c>
      <c r="AL243">
        <v>9</v>
      </c>
      <c r="AM243">
        <v>0</v>
      </c>
      <c r="AN243">
        <f t="shared" si="15"/>
        <v>251</v>
      </c>
      <c r="AO243">
        <v>166</v>
      </c>
      <c r="AP243">
        <v>85</v>
      </c>
      <c r="AQ243">
        <v>0</v>
      </c>
      <c r="AR243">
        <v>0</v>
      </c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37"/>
      <c r="BD243" s="37"/>
      <c r="BE243" s="37"/>
      <c r="BF243" s="37"/>
      <c r="BG243" s="37"/>
      <c r="BH243" s="37"/>
      <c r="BI243" s="37"/>
      <c r="BJ243" s="37"/>
      <c r="BK243" s="37"/>
      <c r="BL243" s="37"/>
      <c r="BM243" s="37"/>
      <c r="BN243" s="37"/>
      <c r="BO243" s="37"/>
      <c r="BP243" s="37"/>
      <c r="BQ243" s="37"/>
      <c r="BR243" s="37"/>
      <c r="BS243" s="37"/>
      <c r="BT243" s="37"/>
      <c r="BU243" s="37"/>
      <c r="BV243" s="37"/>
      <c r="BW243" s="37"/>
      <c r="BX243" s="37"/>
      <c r="BY243" s="37"/>
      <c r="BZ243" s="37"/>
      <c r="CA243" s="37"/>
      <c r="CB243" s="37"/>
      <c r="CC243" s="37"/>
      <c r="CD243" s="37"/>
      <c r="CE243" s="37"/>
      <c r="CF243" s="37"/>
    </row>
    <row r="244" spans="1:84" x14ac:dyDescent="0.2">
      <c r="A244" s="39">
        <v>43772</v>
      </c>
      <c r="B244" s="22" t="s">
        <v>246</v>
      </c>
      <c r="C244" t="s">
        <v>285</v>
      </c>
      <c r="D244" s="22" t="s">
        <v>256</v>
      </c>
      <c r="E244">
        <v>23.04</v>
      </c>
      <c r="F244">
        <v>31.2</v>
      </c>
      <c r="G244">
        <v>110</v>
      </c>
      <c r="H244">
        <v>4</v>
      </c>
      <c r="I244">
        <v>0.4</v>
      </c>
      <c r="J244">
        <v>4</v>
      </c>
      <c r="K244">
        <v>0</v>
      </c>
      <c r="L244">
        <v>7.8</v>
      </c>
      <c r="M244">
        <v>38</v>
      </c>
      <c r="N244">
        <v>4</v>
      </c>
      <c r="O244">
        <v>3.6</v>
      </c>
      <c r="P244">
        <v>8</v>
      </c>
      <c r="Q244">
        <v>5</v>
      </c>
      <c r="R244">
        <v>15.8</v>
      </c>
      <c r="S244">
        <v>88</v>
      </c>
      <c r="T244">
        <v>1</v>
      </c>
      <c r="U244">
        <v>7</v>
      </c>
      <c r="V244">
        <v>30</v>
      </c>
      <c r="W244">
        <v>6</v>
      </c>
      <c r="X244">
        <v>3.8</v>
      </c>
      <c r="Y244">
        <v>18</v>
      </c>
      <c r="Z244">
        <v>4</v>
      </c>
      <c r="AA244">
        <v>5</v>
      </c>
      <c r="AB244">
        <v>1</v>
      </c>
      <c r="AC244">
        <v>0</v>
      </c>
      <c r="AD244" s="21">
        <v>0.2857142857142857</v>
      </c>
      <c r="AE244" s="21">
        <v>0.10714285714285714</v>
      </c>
      <c r="AF244">
        <v>75</v>
      </c>
      <c r="AG244">
        <v>3</v>
      </c>
      <c r="AH244">
        <v>24</v>
      </c>
      <c r="AI244">
        <v>17</v>
      </c>
      <c r="AJ244">
        <v>5</v>
      </c>
      <c r="AK244">
        <v>50</v>
      </c>
      <c r="AL244">
        <v>25</v>
      </c>
      <c r="AM244">
        <v>0</v>
      </c>
      <c r="AN244">
        <f t="shared" si="15"/>
        <v>394</v>
      </c>
      <c r="AO244">
        <v>241</v>
      </c>
      <c r="AP244">
        <v>111</v>
      </c>
      <c r="AQ244">
        <v>8</v>
      </c>
      <c r="AR244">
        <v>34</v>
      </c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37"/>
      <c r="BD244" s="37"/>
      <c r="BE244" s="37"/>
      <c r="BF244" s="37"/>
      <c r="BG244" s="37"/>
      <c r="BH244" s="37"/>
      <c r="BI244" s="37"/>
      <c r="BJ244" s="37"/>
      <c r="BK244" s="37"/>
      <c r="BL244" s="37"/>
      <c r="BM244" s="37"/>
      <c r="BN244" s="37"/>
      <c r="BO244" s="37"/>
      <c r="BP244" s="37"/>
      <c r="BQ244" s="37"/>
      <c r="BR244" s="37"/>
      <c r="BS244" s="37"/>
      <c r="BT244" s="37"/>
      <c r="BU244" s="37"/>
      <c r="BV244" s="37"/>
      <c r="BW244" s="37"/>
      <c r="BX244" s="37"/>
      <c r="BY244" s="37"/>
      <c r="BZ244" s="37"/>
      <c r="CA244" s="37"/>
      <c r="CB244" s="37"/>
      <c r="CC244" s="37"/>
      <c r="CD244" s="37"/>
      <c r="CE244" s="37"/>
      <c r="CF244" s="37"/>
    </row>
    <row r="245" spans="1:84" x14ac:dyDescent="0.2">
      <c r="A245" s="39">
        <v>43772</v>
      </c>
      <c r="B245" s="22" t="s">
        <v>246</v>
      </c>
      <c r="C245" s="41" t="s">
        <v>305</v>
      </c>
      <c r="D245" s="22" t="s">
        <v>302</v>
      </c>
      <c r="E245">
        <v>28.62</v>
      </c>
      <c r="F245">
        <v>18.399999999999999</v>
      </c>
      <c r="G245">
        <v>115</v>
      </c>
      <c r="H245">
        <v>3</v>
      </c>
      <c r="I245">
        <v>8.6999999999999993</v>
      </c>
      <c r="J245">
        <v>27</v>
      </c>
      <c r="K245">
        <v>0</v>
      </c>
      <c r="L245">
        <v>7.8</v>
      </c>
      <c r="M245">
        <v>48</v>
      </c>
      <c r="N245">
        <v>4</v>
      </c>
      <c r="O245">
        <v>3.5</v>
      </c>
      <c r="P245">
        <v>15</v>
      </c>
      <c r="Q245">
        <v>2</v>
      </c>
      <c r="R245">
        <v>0</v>
      </c>
      <c r="S245">
        <v>0</v>
      </c>
      <c r="T245">
        <v>0</v>
      </c>
      <c r="U245">
        <v>12</v>
      </c>
      <c r="V245">
        <v>50</v>
      </c>
      <c r="W245">
        <v>7</v>
      </c>
      <c r="X245">
        <f>13.7+4.1+3.5</f>
        <v>21.299999999999997</v>
      </c>
      <c r="Y245">
        <f>27+21+15</f>
        <v>63</v>
      </c>
      <c r="Z245">
        <v>10</v>
      </c>
      <c r="AA245">
        <v>7</v>
      </c>
      <c r="AB245">
        <v>1</v>
      </c>
      <c r="AC245">
        <v>13</v>
      </c>
      <c r="AD245" s="21">
        <v>0.42307692307692307</v>
      </c>
      <c r="AE245" s="21">
        <v>3.8461538461538464E-2</v>
      </c>
      <c r="AF245">
        <v>75</v>
      </c>
      <c r="AG245">
        <v>4</v>
      </c>
      <c r="AH245">
        <v>23</v>
      </c>
      <c r="AI245">
        <v>25</v>
      </c>
      <c r="AJ245">
        <v>16</v>
      </c>
      <c r="AK245">
        <v>65</v>
      </c>
      <c r="AL245">
        <v>30</v>
      </c>
      <c r="AM245">
        <v>7</v>
      </c>
      <c r="AN245">
        <f t="shared" si="15"/>
        <v>373</v>
      </c>
      <c r="AO245">
        <v>163</v>
      </c>
      <c r="AP245">
        <f>115+27+7</f>
        <v>149</v>
      </c>
      <c r="AQ245">
        <v>0</v>
      </c>
      <c r="AR245">
        <v>61</v>
      </c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37"/>
      <c r="BD245" s="37"/>
      <c r="BE245" s="37"/>
      <c r="BF245" s="37"/>
      <c r="BG245" s="37"/>
      <c r="BH245" s="37"/>
      <c r="BI245" s="37"/>
      <c r="BJ245" s="37"/>
      <c r="BK245" s="37"/>
      <c r="BL245" s="37"/>
      <c r="BM245" s="37"/>
      <c r="BN245" s="37"/>
      <c r="BO245" s="37"/>
      <c r="BP245" s="37"/>
      <c r="BQ245" s="37"/>
      <c r="BR245" s="37"/>
      <c r="BS245" s="37"/>
      <c r="BT245" s="37"/>
      <c r="BU245" s="37"/>
      <c r="BV245" s="37"/>
      <c r="BW245" s="37"/>
      <c r="BX245" s="37"/>
      <c r="BY245" s="37"/>
      <c r="BZ245" s="37"/>
      <c r="CA245" s="37"/>
      <c r="CB245" s="37"/>
      <c r="CC245" s="37"/>
      <c r="CD245" s="37"/>
      <c r="CE245" s="37"/>
      <c r="CF245" s="37"/>
    </row>
    <row r="246" spans="1:84" x14ac:dyDescent="0.2">
      <c r="A246" s="39">
        <v>43772</v>
      </c>
      <c r="B246" s="22" t="s">
        <v>246</v>
      </c>
      <c r="C246" t="s">
        <v>276</v>
      </c>
      <c r="D246" s="22" t="s">
        <v>306</v>
      </c>
      <c r="E246">
        <v>17.600000000000001</v>
      </c>
      <c r="F246">
        <v>23</v>
      </c>
      <c r="G246">
        <v>95</v>
      </c>
      <c r="H246">
        <v>4</v>
      </c>
      <c r="I246">
        <v>1.5</v>
      </c>
      <c r="J246">
        <v>15</v>
      </c>
      <c r="K246">
        <v>0</v>
      </c>
      <c r="L246">
        <v>11.6</v>
      </c>
      <c r="M246">
        <v>76</v>
      </c>
      <c r="N246">
        <v>7</v>
      </c>
      <c r="O246">
        <v>9.3000000000000007</v>
      </c>
      <c r="P246">
        <v>13</v>
      </c>
      <c r="Q246">
        <v>2</v>
      </c>
      <c r="R246">
        <v>4.2</v>
      </c>
      <c r="S246">
        <v>12</v>
      </c>
      <c r="T246">
        <v>3</v>
      </c>
      <c r="U246">
        <v>8</v>
      </c>
      <c r="V246">
        <v>30</v>
      </c>
      <c r="W246">
        <v>6</v>
      </c>
      <c r="X246">
        <v>3.4</v>
      </c>
      <c r="Y246">
        <v>14</v>
      </c>
      <c r="Z246">
        <v>2</v>
      </c>
      <c r="AA246">
        <v>7</v>
      </c>
      <c r="AB246">
        <v>1</v>
      </c>
      <c r="AC246">
        <v>8</v>
      </c>
      <c r="AD246" s="21">
        <v>0.2608695652173913</v>
      </c>
      <c r="AE246" s="21">
        <v>8.6956521739130432E-2</v>
      </c>
      <c r="AF246">
        <v>0</v>
      </c>
      <c r="AG246">
        <v>2</v>
      </c>
      <c r="AH246">
        <v>20</v>
      </c>
      <c r="AI246">
        <v>31</v>
      </c>
      <c r="AJ246">
        <v>8</v>
      </c>
      <c r="AK246">
        <v>61</v>
      </c>
      <c r="AL246">
        <v>24</v>
      </c>
      <c r="AM246">
        <v>0</v>
      </c>
      <c r="AN246">
        <f t="shared" si="15"/>
        <v>282</v>
      </c>
      <c r="AO246">
        <v>160</v>
      </c>
      <c r="AP246">
        <v>110</v>
      </c>
      <c r="AQ246">
        <v>0</v>
      </c>
      <c r="AR246">
        <v>12</v>
      </c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7"/>
      <c r="BG246" s="37"/>
      <c r="BH246" s="37"/>
      <c r="BI246" s="37"/>
      <c r="BJ246" s="37"/>
      <c r="BK246" s="37"/>
      <c r="BL246" s="37"/>
      <c r="BM246" s="37"/>
      <c r="BN246" s="37"/>
      <c r="BO246" s="37"/>
      <c r="BP246" s="37"/>
      <c r="BQ246" s="37"/>
      <c r="BR246" s="37"/>
      <c r="BS246" s="37"/>
      <c r="BT246" s="37"/>
      <c r="BU246" s="37"/>
      <c r="BV246" s="37"/>
      <c r="BW246" s="37"/>
      <c r="BX246" s="37"/>
      <c r="BY246" s="37"/>
      <c r="BZ246" s="37"/>
      <c r="CA246" s="37"/>
      <c r="CB246" s="37"/>
      <c r="CC246" s="37"/>
      <c r="CD246" s="37"/>
      <c r="CE246" s="37"/>
      <c r="CF246" s="37"/>
    </row>
    <row r="247" spans="1:84" x14ac:dyDescent="0.2">
      <c r="A247" s="39">
        <v>43772</v>
      </c>
      <c r="B247" s="22" t="s">
        <v>246</v>
      </c>
      <c r="C247" t="s">
        <v>301</v>
      </c>
      <c r="D247" s="22" t="s">
        <v>310</v>
      </c>
      <c r="E247">
        <v>15.88</v>
      </c>
      <c r="F247">
        <v>40.6</v>
      </c>
      <c r="G247">
        <v>146</v>
      </c>
      <c r="H247">
        <v>3</v>
      </c>
      <c r="I247">
        <v>2.2999999999999998</v>
      </c>
      <c r="J247">
        <v>6</v>
      </c>
      <c r="K247">
        <v>1</v>
      </c>
      <c r="L247">
        <v>20.100000000000001</v>
      </c>
      <c r="M247">
        <v>101</v>
      </c>
      <c r="N247">
        <v>10</v>
      </c>
      <c r="O247">
        <v>16.399999999999999</v>
      </c>
      <c r="P247">
        <v>64</v>
      </c>
      <c r="Q247">
        <v>6</v>
      </c>
      <c r="R247">
        <v>0</v>
      </c>
      <c r="S247">
        <v>0</v>
      </c>
      <c r="T247">
        <v>4</v>
      </c>
      <c r="U247">
        <v>10.8</v>
      </c>
      <c r="V247">
        <v>48</v>
      </c>
      <c r="W247">
        <v>9</v>
      </c>
      <c r="X247">
        <v>7</v>
      </c>
      <c r="Y247">
        <v>40</v>
      </c>
      <c r="Z247">
        <v>5</v>
      </c>
      <c r="AA247">
        <v>6</v>
      </c>
      <c r="AB247">
        <v>2</v>
      </c>
      <c r="AC247">
        <v>11</v>
      </c>
      <c r="AD247" s="21">
        <v>0.42857142857142855</v>
      </c>
      <c r="AE247" s="21">
        <v>8.5714285714285715E-2</v>
      </c>
      <c r="AF247">
        <v>60</v>
      </c>
      <c r="AG247">
        <v>6</v>
      </c>
      <c r="AH247">
        <v>32</v>
      </c>
      <c r="AI247">
        <v>27</v>
      </c>
      <c r="AJ247">
        <v>3</v>
      </c>
      <c r="AK247">
        <v>68</v>
      </c>
      <c r="AL247">
        <v>30</v>
      </c>
      <c r="AM247">
        <v>0</v>
      </c>
      <c r="AN247">
        <f t="shared" si="15"/>
        <v>383</v>
      </c>
      <c r="AO247">
        <v>232</v>
      </c>
      <c r="AP247">
        <v>152</v>
      </c>
      <c r="AQ247">
        <v>3</v>
      </c>
      <c r="AR247">
        <v>-4</v>
      </c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  <c r="BE247" s="37"/>
      <c r="BF247" s="37"/>
      <c r="BG247" s="37"/>
      <c r="BH247" s="37"/>
      <c r="BI247" s="37"/>
      <c r="BJ247" s="37"/>
      <c r="BK247" s="37"/>
      <c r="BL247" s="37"/>
      <c r="BM247" s="37"/>
      <c r="BN247" s="37"/>
      <c r="BO247" s="37"/>
      <c r="BP247" s="37"/>
      <c r="BQ247" s="37"/>
      <c r="BR247" s="37"/>
      <c r="BS247" s="37"/>
      <c r="BT247" s="37"/>
      <c r="BU247" s="37"/>
      <c r="BV247" s="37"/>
      <c r="BW247" s="37"/>
      <c r="BX247" s="37"/>
      <c r="BY247" s="37"/>
      <c r="BZ247" s="37"/>
      <c r="CA247" s="37"/>
      <c r="CB247" s="37"/>
      <c r="CC247" s="37"/>
      <c r="CD247" s="37"/>
      <c r="CE247" s="37"/>
      <c r="CF247" s="37"/>
    </row>
    <row r="248" spans="1:84" x14ac:dyDescent="0.2">
      <c r="A248" s="39">
        <v>43772</v>
      </c>
      <c r="B248" s="22" t="s">
        <v>246</v>
      </c>
      <c r="C248" t="s">
        <v>265</v>
      </c>
      <c r="D248" s="22" t="s">
        <v>294</v>
      </c>
      <c r="E248">
        <v>6.5</v>
      </c>
      <c r="F248">
        <v>22.6</v>
      </c>
      <c r="G248">
        <v>40</v>
      </c>
      <c r="H248">
        <v>4</v>
      </c>
      <c r="I248">
        <v>3.6</v>
      </c>
      <c r="J248">
        <v>7</v>
      </c>
      <c r="K248">
        <v>5</v>
      </c>
      <c r="L248">
        <v>1.6</v>
      </c>
      <c r="M248">
        <v>6</v>
      </c>
      <c r="N248">
        <v>5</v>
      </c>
      <c r="O248">
        <v>9.9</v>
      </c>
      <c r="P248">
        <v>69</v>
      </c>
      <c r="Q248">
        <v>3</v>
      </c>
      <c r="R248">
        <v>1.5</v>
      </c>
      <c r="S248">
        <v>5</v>
      </c>
      <c r="T248">
        <v>1</v>
      </c>
      <c r="U248">
        <v>1.3</v>
      </c>
      <c r="V248">
        <v>3</v>
      </c>
      <c r="W248">
        <v>4</v>
      </c>
      <c r="X248">
        <v>0</v>
      </c>
      <c r="Y248">
        <v>0</v>
      </c>
      <c r="Z248">
        <v>2</v>
      </c>
      <c r="AA248">
        <v>2</v>
      </c>
      <c r="AB248">
        <v>0</v>
      </c>
      <c r="AC248">
        <v>4</v>
      </c>
      <c r="AD248" s="21">
        <v>0.48</v>
      </c>
      <c r="AE248" s="21">
        <v>0.12</v>
      </c>
      <c r="AF248">
        <v>50</v>
      </c>
      <c r="AG248">
        <v>6</v>
      </c>
      <c r="AH248">
        <v>21</v>
      </c>
      <c r="AI248">
        <v>16</v>
      </c>
      <c r="AJ248">
        <v>2</v>
      </c>
      <c r="AK248">
        <v>42</v>
      </c>
      <c r="AL248">
        <v>14</v>
      </c>
      <c r="AM248">
        <v>0</v>
      </c>
      <c r="AN248">
        <f>AO248+AP248+AQ248+AR248</f>
        <v>187</v>
      </c>
      <c r="AO248">
        <v>125</v>
      </c>
      <c r="AP248">
        <v>47</v>
      </c>
      <c r="AQ248">
        <v>0</v>
      </c>
      <c r="AR248">
        <v>15</v>
      </c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37"/>
      <c r="BD248" s="37"/>
      <c r="BE248" s="37"/>
      <c r="BF248" s="37"/>
      <c r="BG248" s="37"/>
      <c r="BH248" s="37"/>
      <c r="BI248" s="37"/>
      <c r="BJ248" s="37"/>
      <c r="BK248" s="37"/>
      <c r="BL248" s="37"/>
      <c r="BM248" s="37"/>
      <c r="BN248" s="37"/>
      <c r="BO248" s="37"/>
      <c r="BP248" s="37"/>
      <c r="BQ248" s="37"/>
      <c r="BR248" s="37"/>
      <c r="BS248" s="37"/>
      <c r="BT248" s="37"/>
      <c r="BU248" s="37"/>
      <c r="BV248" s="37"/>
      <c r="BW248" s="37"/>
      <c r="BX248" s="37"/>
      <c r="BY248" s="37"/>
      <c r="BZ248" s="37"/>
      <c r="CA248" s="37"/>
      <c r="CB248" s="37"/>
      <c r="CC248" s="37"/>
      <c r="CD248" s="37"/>
      <c r="CE248" s="37"/>
      <c r="CF248" s="37"/>
    </row>
    <row r="249" spans="1:84" x14ac:dyDescent="0.2">
      <c r="A249" s="39">
        <v>43772</v>
      </c>
      <c r="B249" s="22" t="s">
        <v>246</v>
      </c>
      <c r="C249" t="s">
        <v>281</v>
      </c>
      <c r="D249" s="22" t="s">
        <v>278</v>
      </c>
      <c r="E249">
        <v>17.12</v>
      </c>
      <c r="F249">
        <v>13.1</v>
      </c>
      <c r="G249">
        <v>65</v>
      </c>
      <c r="H249">
        <v>5</v>
      </c>
      <c r="I249">
        <v>3.4</v>
      </c>
      <c r="J249">
        <v>8</v>
      </c>
      <c r="K249">
        <v>2</v>
      </c>
      <c r="L249">
        <v>13.2</v>
      </c>
      <c r="M249">
        <v>87</v>
      </c>
      <c r="N249">
        <v>6</v>
      </c>
      <c r="O249">
        <v>17.100000000000001</v>
      </c>
      <c r="P249">
        <v>51</v>
      </c>
      <c r="Q249">
        <v>13</v>
      </c>
      <c r="R249">
        <v>9.6</v>
      </c>
      <c r="S249">
        <v>56</v>
      </c>
      <c r="T249">
        <v>5</v>
      </c>
      <c r="U249">
        <v>19</v>
      </c>
      <c r="V249">
        <v>60</v>
      </c>
      <c r="W249">
        <v>10</v>
      </c>
      <c r="X249">
        <v>8.6999999999999993</v>
      </c>
      <c r="Y249">
        <v>37</v>
      </c>
      <c r="Z249">
        <v>7</v>
      </c>
      <c r="AA249">
        <v>13</v>
      </c>
      <c r="AB249">
        <v>4</v>
      </c>
      <c r="AC249">
        <v>5</v>
      </c>
      <c r="AD249" s="21">
        <v>0.21739130434782608</v>
      </c>
      <c r="AE249" s="21">
        <v>4.3478260869565216E-2</v>
      </c>
      <c r="AF249">
        <v>80</v>
      </c>
      <c r="AG249">
        <v>3</v>
      </c>
      <c r="AH249">
        <v>42</v>
      </c>
      <c r="AI249">
        <v>25</v>
      </c>
      <c r="AJ249">
        <v>3</v>
      </c>
      <c r="AK249">
        <v>73</v>
      </c>
      <c r="AL249">
        <v>19</v>
      </c>
      <c r="AM249">
        <v>0</v>
      </c>
      <c r="AN249">
        <f>SUM(AO249:AR249)</f>
        <v>363</v>
      </c>
      <c r="AO249">
        <v>273</v>
      </c>
      <c r="AP249">
        <v>73</v>
      </c>
      <c r="AQ249">
        <v>-5</v>
      </c>
      <c r="AR249">
        <v>22</v>
      </c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37"/>
      <c r="BD249" s="37"/>
      <c r="BE249" s="37"/>
      <c r="BF249" s="37"/>
      <c r="BG249" s="37"/>
      <c r="BH249" s="37"/>
      <c r="BI249" s="37"/>
      <c r="BJ249" s="37"/>
      <c r="BK249" s="37"/>
      <c r="BL249" s="37"/>
      <c r="BM249" s="37"/>
      <c r="BN249" s="37"/>
      <c r="BO249" s="37"/>
      <c r="BP249" s="37"/>
      <c r="BQ249" s="37"/>
      <c r="BR249" s="37"/>
      <c r="BS249" s="37"/>
      <c r="BT249" s="37"/>
      <c r="BU249" s="37"/>
      <c r="BV249" s="37"/>
      <c r="BW249" s="37"/>
      <c r="BX249" s="37"/>
      <c r="BY249" s="37"/>
      <c r="BZ249" s="37"/>
      <c r="CA249" s="37"/>
      <c r="CB249" s="37"/>
      <c r="CC249" s="37"/>
      <c r="CD249" s="37"/>
      <c r="CE249" s="37"/>
      <c r="CF249" s="37"/>
    </row>
    <row r="250" spans="1:84" x14ac:dyDescent="0.2">
      <c r="A250" s="39">
        <v>43772</v>
      </c>
      <c r="B250" s="22" t="s">
        <v>246</v>
      </c>
      <c r="C250" t="s">
        <v>291</v>
      </c>
      <c r="D250" s="22" t="s">
        <v>296</v>
      </c>
      <c r="E250">
        <v>22.48</v>
      </c>
      <c r="F250">
        <v>16.899999999999999</v>
      </c>
      <c r="G250">
        <v>139</v>
      </c>
      <c r="H250">
        <v>0</v>
      </c>
      <c r="I250">
        <v>4</v>
      </c>
      <c r="J250">
        <v>21</v>
      </c>
      <c r="K250">
        <v>3</v>
      </c>
      <c r="L250">
        <v>18</v>
      </c>
      <c r="M250">
        <v>80</v>
      </c>
      <c r="N250">
        <v>7</v>
      </c>
      <c r="O250">
        <v>11.3</v>
      </c>
      <c r="P250">
        <v>33</v>
      </c>
      <c r="Q250">
        <v>6</v>
      </c>
      <c r="R250">
        <v>8.5</v>
      </c>
      <c r="S250">
        <v>35</v>
      </c>
      <c r="T250">
        <v>8</v>
      </c>
      <c r="U250">
        <v>16.7</v>
      </c>
      <c r="V250">
        <v>77</v>
      </c>
      <c r="W250">
        <v>11</v>
      </c>
      <c r="X250">
        <f>13.8+11.2</f>
        <v>25</v>
      </c>
      <c r="Y250">
        <v>100</v>
      </c>
      <c r="Z250">
        <v>10</v>
      </c>
      <c r="AA250">
        <v>15</v>
      </c>
      <c r="AB250">
        <v>4</v>
      </c>
      <c r="AC250">
        <v>18</v>
      </c>
      <c r="AD250" s="21">
        <v>0.47222222222222221</v>
      </c>
      <c r="AE250" s="21">
        <v>0</v>
      </c>
      <c r="AF250">
        <v>66.7</v>
      </c>
      <c r="AG250">
        <v>3</v>
      </c>
      <c r="AH250">
        <v>35</v>
      </c>
      <c r="AI250">
        <v>26</v>
      </c>
      <c r="AJ250">
        <v>3</v>
      </c>
      <c r="AK250">
        <v>65</v>
      </c>
      <c r="AL250">
        <v>30</v>
      </c>
      <c r="AM250">
        <v>7</v>
      </c>
      <c r="AN250">
        <f>SUM(AO250:AR250)</f>
        <v>429</v>
      </c>
      <c r="AO250">
        <v>257</v>
      </c>
      <c r="AP250">
        <v>160</v>
      </c>
      <c r="AQ250">
        <v>0</v>
      </c>
      <c r="AR250">
        <v>12</v>
      </c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37"/>
      <c r="BD250" s="37"/>
      <c r="BE250" s="37"/>
      <c r="BF250" s="37"/>
      <c r="BG250" s="37"/>
      <c r="BH250" s="37"/>
      <c r="BI250" s="37"/>
      <c r="BJ250" s="37"/>
      <c r="BK250" s="37"/>
      <c r="BL250" s="37"/>
      <c r="BM250" s="37"/>
      <c r="BN250" s="37"/>
      <c r="BO250" s="37"/>
      <c r="BP250" s="37"/>
      <c r="BQ250" s="37"/>
      <c r="BR250" s="37"/>
      <c r="BS250" s="37"/>
      <c r="BT250" s="37"/>
      <c r="BU250" s="37"/>
      <c r="BV250" s="37"/>
      <c r="BW250" s="37"/>
      <c r="BX250" s="37"/>
      <c r="BY250" s="37"/>
      <c r="BZ250" s="37"/>
      <c r="CA250" s="37"/>
      <c r="CB250" s="37"/>
      <c r="CC250" s="37"/>
      <c r="CD250" s="37"/>
      <c r="CE250" s="37"/>
      <c r="CF250" s="37"/>
    </row>
    <row r="251" spans="1:84" x14ac:dyDescent="0.2">
      <c r="A251" s="39">
        <v>43772</v>
      </c>
      <c r="B251" t="s">
        <v>246</v>
      </c>
      <c r="C251" t="s">
        <v>278</v>
      </c>
      <c r="D251" t="s">
        <v>281</v>
      </c>
      <c r="E251">
        <v>17.02</v>
      </c>
      <c r="F251">
        <v>15.2</v>
      </c>
      <c r="G251">
        <v>92</v>
      </c>
      <c r="H251">
        <v>0</v>
      </c>
      <c r="I251">
        <v>2.4</v>
      </c>
      <c r="J251">
        <v>15</v>
      </c>
      <c r="K251">
        <v>1</v>
      </c>
      <c r="L251">
        <v>17.3</v>
      </c>
      <c r="M251">
        <v>56</v>
      </c>
      <c r="N251">
        <v>8</v>
      </c>
      <c r="O251">
        <v>0</v>
      </c>
      <c r="P251">
        <v>0</v>
      </c>
      <c r="Q251">
        <v>3</v>
      </c>
      <c r="R251">
        <v>0</v>
      </c>
      <c r="S251">
        <v>0</v>
      </c>
      <c r="T251">
        <v>0</v>
      </c>
      <c r="U251">
        <v>3.4</v>
      </c>
      <c r="V251">
        <v>14</v>
      </c>
      <c r="W251">
        <v>2</v>
      </c>
      <c r="X251">
        <v>25.4</v>
      </c>
      <c r="Y251">
        <v>124</v>
      </c>
      <c r="Z251">
        <v>5</v>
      </c>
      <c r="AA251">
        <v>7</v>
      </c>
      <c r="AB251">
        <v>1</v>
      </c>
      <c r="AC251">
        <v>3</v>
      </c>
      <c r="AD251">
        <v>0.36</v>
      </c>
      <c r="AE251">
        <v>0.12</v>
      </c>
      <c r="AF251">
        <v>100</v>
      </c>
      <c r="AG251">
        <v>5</v>
      </c>
      <c r="AH251">
        <v>20</v>
      </c>
      <c r="AI251">
        <v>14</v>
      </c>
      <c r="AJ251">
        <v>5</v>
      </c>
      <c r="AK251">
        <v>43</v>
      </c>
      <c r="AL251">
        <v>24</v>
      </c>
      <c r="AM251">
        <v>0</v>
      </c>
      <c r="AN251">
        <v>320</v>
      </c>
      <c r="AO251">
        <v>193</v>
      </c>
      <c r="AP251">
        <v>107</v>
      </c>
      <c r="AQ251">
        <v>7</v>
      </c>
      <c r="AR251">
        <v>13</v>
      </c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37"/>
      <c r="BD251" s="37"/>
      <c r="BE251" s="37"/>
      <c r="BF251" s="37"/>
      <c r="BG251" s="37"/>
      <c r="BH251" s="37"/>
      <c r="BI251" s="37"/>
      <c r="BJ251" s="37"/>
      <c r="BK251" s="37"/>
      <c r="BL251" s="37"/>
      <c r="BM251" s="37"/>
      <c r="BN251" s="37"/>
      <c r="BO251" s="37"/>
      <c r="BP251" s="37"/>
      <c r="BQ251" s="37"/>
      <c r="BR251" s="37"/>
      <c r="BS251" s="37"/>
      <c r="BT251" s="37"/>
      <c r="BU251" s="37"/>
      <c r="BV251" s="37"/>
      <c r="BW251" s="37"/>
      <c r="BX251" s="37"/>
      <c r="BY251" s="37"/>
      <c r="BZ251" s="37"/>
      <c r="CA251" s="37"/>
      <c r="CB251" s="37"/>
      <c r="CC251" s="37"/>
      <c r="CD251" s="37"/>
      <c r="CE251" s="37"/>
      <c r="CF251" s="37"/>
    </row>
    <row r="252" spans="1:84" x14ac:dyDescent="0.2">
      <c r="A252" s="39">
        <v>43772</v>
      </c>
      <c r="B252" s="22" t="s">
        <v>246</v>
      </c>
      <c r="C252" t="s">
        <v>299</v>
      </c>
      <c r="D252" s="22" t="s">
        <v>303</v>
      </c>
      <c r="E252">
        <v>29.84</v>
      </c>
      <c r="F252">
        <v>6.6</v>
      </c>
      <c r="G252">
        <v>29</v>
      </c>
      <c r="H252">
        <v>3</v>
      </c>
      <c r="I252">
        <v>16.2</v>
      </c>
      <c r="J252">
        <v>32</v>
      </c>
      <c r="K252">
        <v>4</v>
      </c>
      <c r="L252">
        <v>26.2</v>
      </c>
      <c r="M252">
        <v>126</v>
      </c>
      <c r="N252">
        <v>10</v>
      </c>
      <c r="O252" s="14">
        <v>29.6</v>
      </c>
      <c r="P252">
        <v>126</v>
      </c>
      <c r="Q252">
        <v>10</v>
      </c>
      <c r="R252">
        <v>5.9</v>
      </c>
      <c r="S252">
        <v>29</v>
      </c>
      <c r="T252">
        <v>5</v>
      </c>
      <c r="U252">
        <v>10.9</v>
      </c>
      <c r="V252">
        <v>59</v>
      </c>
      <c r="W252">
        <v>11</v>
      </c>
      <c r="X252">
        <f>8.6+2.3+1.3</f>
        <v>12.2</v>
      </c>
      <c r="Y252">
        <f>56+13+3</f>
        <v>72</v>
      </c>
      <c r="Z252">
        <v>11</v>
      </c>
      <c r="AA252">
        <v>6</v>
      </c>
      <c r="AB252">
        <v>1</v>
      </c>
      <c r="AC252">
        <v>0</v>
      </c>
      <c r="AD252" s="21">
        <v>0.43181818181818182</v>
      </c>
      <c r="AE252" s="21">
        <v>4.5454545454545456E-2</v>
      </c>
      <c r="AF252">
        <v>73.3</v>
      </c>
      <c r="AG252">
        <v>6</v>
      </c>
      <c r="AH252">
        <v>41</v>
      </c>
      <c r="AI252">
        <v>16</v>
      </c>
      <c r="AJ252">
        <v>3</v>
      </c>
      <c r="AK252">
        <v>63</v>
      </c>
      <c r="AL252">
        <v>24</v>
      </c>
      <c r="AM252">
        <v>0</v>
      </c>
      <c r="AN252">
        <f t="shared" ref="AN252:AN266" si="16">SUM(AO252:AR252)</f>
        <v>496</v>
      </c>
      <c r="AO252">
        <v>406</v>
      </c>
      <c r="AP252">
        <f>32+29+16</f>
        <v>77</v>
      </c>
      <c r="AQ252">
        <v>7</v>
      </c>
      <c r="AR252">
        <v>6</v>
      </c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37"/>
      <c r="BD252" s="37"/>
      <c r="BE252" s="37"/>
      <c r="BF252" s="37"/>
      <c r="BG252" s="37"/>
      <c r="BH252" s="37"/>
      <c r="BI252" s="37"/>
      <c r="BJ252" s="37"/>
      <c r="BK252" s="37"/>
      <c r="BL252" s="37"/>
      <c r="BM252" s="37"/>
      <c r="BN252" s="37"/>
      <c r="BO252" s="37"/>
      <c r="BP252" s="37"/>
      <c r="BQ252" s="37"/>
      <c r="BR252" s="37"/>
      <c r="BS252" s="37"/>
      <c r="BT252" s="37"/>
      <c r="BU252" s="37"/>
      <c r="BV252" s="37"/>
      <c r="BW252" s="37"/>
      <c r="BX252" s="37"/>
      <c r="BY252" s="37"/>
      <c r="BZ252" s="37"/>
      <c r="CA252" s="37"/>
      <c r="CB252" s="37"/>
      <c r="CC252" s="37"/>
      <c r="CD252" s="37"/>
      <c r="CE252" s="37"/>
      <c r="CF252" s="37"/>
    </row>
    <row r="253" spans="1:84" x14ac:dyDescent="0.2">
      <c r="A253" s="39">
        <v>43772</v>
      </c>
      <c r="B253" s="22" t="s">
        <v>246</v>
      </c>
      <c r="C253" t="s">
        <v>300</v>
      </c>
      <c r="D253" s="22" t="s">
        <v>287</v>
      </c>
      <c r="E253">
        <v>12.94</v>
      </c>
      <c r="F253">
        <v>3.9</v>
      </c>
      <c r="G253">
        <v>30</v>
      </c>
      <c r="H253">
        <v>4</v>
      </c>
      <c r="I253">
        <v>16.899999999999999</v>
      </c>
      <c r="J253">
        <v>10</v>
      </c>
      <c r="K253">
        <v>6</v>
      </c>
      <c r="L253">
        <v>11.1</v>
      </c>
      <c r="M253">
        <v>41</v>
      </c>
      <c r="N253">
        <v>11</v>
      </c>
      <c r="O253">
        <v>7.4</v>
      </c>
      <c r="P253">
        <v>44</v>
      </c>
      <c r="Q253">
        <v>4</v>
      </c>
      <c r="R253">
        <v>4.0999999999999996</v>
      </c>
      <c r="S253">
        <v>21</v>
      </c>
      <c r="T253">
        <v>2</v>
      </c>
      <c r="U253">
        <v>16.7</v>
      </c>
      <c r="V253">
        <v>77</v>
      </c>
      <c r="W253">
        <v>10</v>
      </c>
      <c r="X253">
        <v>5.7</v>
      </c>
      <c r="Y253">
        <v>17</v>
      </c>
      <c r="Z253">
        <v>4</v>
      </c>
      <c r="AA253">
        <v>5</v>
      </c>
      <c r="AB253">
        <v>1</v>
      </c>
      <c r="AC253">
        <v>2</v>
      </c>
      <c r="AD253" s="21">
        <v>0.33333333333333331</v>
      </c>
      <c r="AE253" s="21">
        <v>7.6923076923076927E-2</v>
      </c>
      <c r="AF253">
        <v>62.5</v>
      </c>
      <c r="AG253">
        <v>7</v>
      </c>
      <c r="AH253">
        <v>35</v>
      </c>
      <c r="AI253">
        <v>10</v>
      </c>
      <c r="AJ253">
        <v>1</v>
      </c>
      <c r="AK253">
        <v>49</v>
      </c>
      <c r="AL253">
        <v>11</v>
      </c>
      <c r="AM253">
        <v>0</v>
      </c>
      <c r="AN253">
        <f t="shared" si="16"/>
        <v>206</v>
      </c>
      <c r="AO253">
        <v>161</v>
      </c>
      <c r="AP253">
        <v>40</v>
      </c>
      <c r="AQ253">
        <v>0</v>
      </c>
      <c r="AR253">
        <v>5</v>
      </c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37"/>
      <c r="BD253" s="37"/>
      <c r="BE253" s="37"/>
      <c r="BF253" s="37"/>
      <c r="BG253" s="37"/>
      <c r="BH253" s="37"/>
      <c r="BI253" s="37"/>
      <c r="BJ253" s="37"/>
      <c r="BK253" s="37"/>
      <c r="BL253" s="37"/>
      <c r="BM253" s="37"/>
      <c r="BN253" s="37"/>
      <c r="BO253" s="37"/>
      <c r="BP253" s="37"/>
      <c r="BQ253" s="37"/>
      <c r="BR253" s="37"/>
      <c r="BS253" s="37"/>
      <c r="BT253" s="37"/>
      <c r="BU253" s="37"/>
      <c r="BV253" s="37"/>
      <c r="BW253" s="37"/>
      <c r="BX253" s="37"/>
      <c r="BY253" s="37"/>
      <c r="BZ253" s="37"/>
      <c r="CA253" s="37"/>
      <c r="CB253" s="37"/>
      <c r="CC253" s="37"/>
      <c r="CD253" s="37"/>
      <c r="CE253" s="37"/>
      <c r="CF253" s="37"/>
    </row>
    <row r="254" spans="1:84" x14ac:dyDescent="0.2">
      <c r="A254" s="39">
        <v>43772</v>
      </c>
      <c r="B254" s="22" t="s">
        <v>246</v>
      </c>
      <c r="C254" t="s">
        <v>311</v>
      </c>
      <c r="D254" s="22" t="s">
        <v>297</v>
      </c>
      <c r="E254">
        <v>19.739999999999998</v>
      </c>
      <c r="F254">
        <v>18</v>
      </c>
      <c r="G254">
        <v>160</v>
      </c>
      <c r="H254">
        <v>0</v>
      </c>
      <c r="I254">
        <v>19.100000000000001</v>
      </c>
      <c r="J254">
        <v>7</v>
      </c>
      <c r="K254">
        <v>5</v>
      </c>
      <c r="L254">
        <v>19.399999999999999</v>
      </c>
      <c r="M254">
        <v>48</v>
      </c>
      <c r="N254">
        <v>11</v>
      </c>
      <c r="O254">
        <v>9.1999999999999993</v>
      </c>
      <c r="P254">
        <v>52</v>
      </c>
      <c r="Q254">
        <v>4</v>
      </c>
      <c r="R254">
        <v>1.8</v>
      </c>
      <c r="S254">
        <v>8</v>
      </c>
      <c r="T254">
        <v>1</v>
      </c>
      <c r="U254">
        <v>11.600000000000001</v>
      </c>
      <c r="V254">
        <v>46</v>
      </c>
      <c r="W254">
        <v>8</v>
      </c>
      <c r="X254">
        <v>12.6</v>
      </c>
      <c r="Y254">
        <v>25</v>
      </c>
      <c r="Z254">
        <v>6</v>
      </c>
      <c r="AA254">
        <v>11</v>
      </c>
      <c r="AB254">
        <v>3</v>
      </c>
      <c r="AC254">
        <v>19</v>
      </c>
      <c r="AD254" s="21">
        <v>0.35294117647058826</v>
      </c>
      <c r="AE254" s="21">
        <v>2.9411764705882353E-2</v>
      </c>
      <c r="AF254">
        <v>63.6</v>
      </c>
      <c r="AG254">
        <v>5</v>
      </c>
      <c r="AH254">
        <v>28</v>
      </c>
      <c r="AI254">
        <v>26</v>
      </c>
      <c r="AJ254">
        <v>7</v>
      </c>
      <c r="AK254">
        <v>63</v>
      </c>
      <c r="AL254">
        <v>26</v>
      </c>
      <c r="AM254">
        <v>0</v>
      </c>
      <c r="AN254">
        <f t="shared" si="16"/>
        <v>417</v>
      </c>
      <c r="AO254">
        <v>201</v>
      </c>
      <c r="AP254">
        <v>173</v>
      </c>
      <c r="AQ254">
        <v>6</v>
      </c>
      <c r="AR254">
        <v>37</v>
      </c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37"/>
      <c r="BD254" s="37"/>
      <c r="BE254" s="37"/>
      <c r="BF254" s="37"/>
      <c r="BG254" s="37"/>
      <c r="BH254" s="37"/>
      <c r="BI254" s="37"/>
      <c r="BJ254" s="37"/>
      <c r="BK254" s="37"/>
      <c r="BL254" s="37"/>
      <c r="BM254" s="37"/>
      <c r="BN254" s="37"/>
      <c r="BO254" s="37"/>
      <c r="BP254" s="37"/>
      <c r="BQ254" s="37"/>
      <c r="BR254" s="37"/>
      <c r="BS254" s="37"/>
      <c r="BT254" s="37"/>
      <c r="BU254" s="37"/>
      <c r="BV254" s="37"/>
      <c r="BW254" s="37"/>
      <c r="BX254" s="37"/>
      <c r="BY254" s="37"/>
      <c r="BZ254" s="37"/>
      <c r="CA254" s="37"/>
      <c r="CB254" s="37"/>
      <c r="CC254" s="37"/>
      <c r="CD254" s="37"/>
      <c r="CE254" s="37"/>
      <c r="CF254" s="37"/>
    </row>
    <row r="255" spans="1:84" x14ac:dyDescent="0.2">
      <c r="A255" s="39">
        <v>43772</v>
      </c>
      <c r="B255" s="28" t="s">
        <v>246</v>
      </c>
      <c r="C255" t="s">
        <v>289</v>
      </c>
      <c r="D255" s="28" t="s">
        <v>309</v>
      </c>
      <c r="E255" s="3">
        <f>17.32+2.76</f>
        <v>20.079999999999998</v>
      </c>
      <c r="F255" s="3">
        <v>8.9</v>
      </c>
      <c r="G255" s="3">
        <v>89</v>
      </c>
      <c r="H255" s="3">
        <v>0</v>
      </c>
      <c r="I255" s="3">
        <v>3.8</v>
      </c>
      <c r="J255" s="3">
        <v>7</v>
      </c>
      <c r="K255" s="3">
        <v>3</v>
      </c>
      <c r="L255" s="3">
        <v>18.600000000000001</v>
      </c>
      <c r="M255" s="3">
        <v>76</v>
      </c>
      <c r="N255" s="3">
        <v>6</v>
      </c>
      <c r="O255" s="3">
        <v>13</v>
      </c>
      <c r="P255" s="3">
        <v>53</v>
      </c>
      <c r="Q255" s="3">
        <v>5</v>
      </c>
      <c r="R255" s="3">
        <v>10.199999999999999</v>
      </c>
      <c r="S255" s="3">
        <v>22</v>
      </c>
      <c r="T255" s="3">
        <v>5</v>
      </c>
      <c r="U255" s="3">
        <v>28</v>
      </c>
      <c r="V255" s="3">
        <v>70</v>
      </c>
      <c r="W255" s="3">
        <v>10</v>
      </c>
      <c r="X255" s="3">
        <f>11.2+3.6+2.1</f>
        <v>16.899999999999999</v>
      </c>
      <c r="Y255" s="3">
        <f>22+16+11</f>
        <v>49</v>
      </c>
      <c r="Z255" s="3">
        <v>7</v>
      </c>
      <c r="AA255" s="3">
        <v>4</v>
      </c>
      <c r="AB255" s="3">
        <v>2</v>
      </c>
      <c r="AC255" s="3">
        <v>8</v>
      </c>
      <c r="AD255" s="29">
        <v>0.57894736842105265</v>
      </c>
      <c r="AE255" s="29">
        <v>0.13157894736842105</v>
      </c>
      <c r="AF255" s="3">
        <v>81.8</v>
      </c>
      <c r="AG255" s="3">
        <v>19</v>
      </c>
      <c r="AH255" s="3">
        <v>31</v>
      </c>
      <c r="AI255" s="3">
        <v>23</v>
      </c>
      <c r="AJ255" s="3">
        <v>3</v>
      </c>
      <c r="AK255" s="3">
        <v>65</v>
      </c>
      <c r="AL255" s="3">
        <v>22</v>
      </c>
      <c r="AM255" s="3">
        <v>2</v>
      </c>
      <c r="AN255" s="3">
        <f t="shared" si="16"/>
        <v>366</v>
      </c>
      <c r="AO255" s="3">
        <f>168+59</f>
        <v>227</v>
      </c>
      <c r="AP255" s="3">
        <v>102</v>
      </c>
      <c r="AQ255" s="3">
        <v>27</v>
      </c>
      <c r="AR255" s="3">
        <v>10</v>
      </c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37"/>
      <c r="BD255" s="37"/>
      <c r="BE255" s="37"/>
      <c r="BF255" s="37"/>
      <c r="BG255" s="37"/>
      <c r="BH255" s="37"/>
      <c r="BI255" s="37"/>
      <c r="BJ255" s="37"/>
      <c r="BK255" s="37"/>
      <c r="BL255" s="37"/>
      <c r="BM255" s="37"/>
      <c r="BN255" s="37"/>
      <c r="BO255" s="37"/>
      <c r="BP255" s="37"/>
      <c r="BQ255" s="37"/>
      <c r="BR255" s="37"/>
      <c r="BS255" s="37"/>
      <c r="BT255" s="37"/>
      <c r="BU255" s="37"/>
      <c r="BV255" s="37"/>
      <c r="BW255" s="37"/>
      <c r="BX255" s="37"/>
      <c r="BY255" s="37"/>
      <c r="BZ255" s="37"/>
      <c r="CA255" s="37"/>
      <c r="CB255" s="37"/>
      <c r="CC255" s="37"/>
      <c r="CD255" s="37"/>
      <c r="CE255" s="37"/>
      <c r="CF255" s="37"/>
    </row>
    <row r="256" spans="1:84" x14ac:dyDescent="0.2">
      <c r="A256" s="39">
        <v>43772</v>
      </c>
      <c r="B256" s="22" t="s">
        <v>246</v>
      </c>
      <c r="C256" t="s">
        <v>297</v>
      </c>
      <c r="D256" s="22" t="s">
        <v>311</v>
      </c>
      <c r="E256">
        <v>14.76</v>
      </c>
      <c r="F256">
        <v>12.2</v>
      </c>
      <c r="G256">
        <v>40</v>
      </c>
      <c r="H256">
        <v>6</v>
      </c>
      <c r="I256">
        <v>11.5</v>
      </c>
      <c r="J256">
        <v>0</v>
      </c>
      <c r="K256">
        <v>5</v>
      </c>
      <c r="L256">
        <v>7.2</v>
      </c>
      <c r="M256">
        <v>32</v>
      </c>
      <c r="N256">
        <v>9</v>
      </c>
      <c r="O256">
        <v>5.2</v>
      </c>
      <c r="P256">
        <v>32</v>
      </c>
      <c r="Q256">
        <v>7</v>
      </c>
      <c r="R256">
        <v>13</v>
      </c>
      <c r="S256">
        <v>80</v>
      </c>
      <c r="T256">
        <v>6</v>
      </c>
      <c r="U256">
        <v>16.899999999999999</v>
      </c>
      <c r="V256">
        <v>89</v>
      </c>
      <c r="W256">
        <v>12</v>
      </c>
      <c r="X256">
        <v>9.5</v>
      </c>
      <c r="Y256">
        <v>45</v>
      </c>
      <c r="Z256">
        <v>7</v>
      </c>
      <c r="AA256">
        <v>3</v>
      </c>
      <c r="AB256">
        <v>1</v>
      </c>
      <c r="AC256">
        <v>5</v>
      </c>
      <c r="AD256" s="21">
        <v>0.31481481481481483</v>
      </c>
      <c r="AE256" s="21">
        <v>5.5555555555555552E-2</v>
      </c>
      <c r="AF256">
        <v>44.4</v>
      </c>
      <c r="AG256">
        <v>19</v>
      </c>
      <c r="AH256">
        <v>47</v>
      </c>
      <c r="AI256">
        <v>11</v>
      </c>
      <c r="AJ256">
        <v>4</v>
      </c>
      <c r="AK256">
        <v>66</v>
      </c>
      <c r="AL256">
        <v>3</v>
      </c>
      <c r="AM256">
        <v>0</v>
      </c>
      <c r="AN256">
        <f t="shared" si="16"/>
        <v>383</v>
      </c>
      <c r="AO256">
        <v>309</v>
      </c>
      <c r="AP256">
        <v>40</v>
      </c>
      <c r="AQ256">
        <v>0</v>
      </c>
      <c r="AR256">
        <v>34</v>
      </c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37"/>
      <c r="BD256" s="37"/>
      <c r="BE256" s="37"/>
      <c r="BF256" s="37"/>
      <c r="BG256" s="37"/>
      <c r="BH256" s="37"/>
      <c r="BI256" s="37"/>
      <c r="BJ256" s="37"/>
      <c r="BK256" s="37"/>
      <c r="BL256" s="37"/>
      <c r="BM256" s="37"/>
      <c r="BN256" s="37"/>
      <c r="BO256" s="37"/>
      <c r="BP256" s="37"/>
      <c r="BQ256" s="37"/>
      <c r="BR256" s="37"/>
      <c r="BS256" s="37"/>
      <c r="BT256" s="37"/>
      <c r="BU256" s="37"/>
      <c r="BV256" s="37"/>
      <c r="BW256" s="37"/>
      <c r="BX256" s="37"/>
      <c r="BY256" s="37"/>
      <c r="BZ256" s="37"/>
      <c r="CA256" s="37"/>
      <c r="CB256" s="37"/>
      <c r="CC256" s="37"/>
      <c r="CD256" s="37"/>
      <c r="CE256" s="37"/>
      <c r="CF256" s="37"/>
    </row>
    <row r="257" spans="1:84" x14ac:dyDescent="0.2">
      <c r="A257" s="39">
        <v>43772</v>
      </c>
      <c r="B257" s="28" t="s">
        <v>246</v>
      </c>
      <c r="C257" t="s">
        <v>288</v>
      </c>
      <c r="D257" s="28" t="s">
        <v>312</v>
      </c>
      <c r="E257" s="3">
        <v>15</v>
      </c>
      <c r="F257" s="3">
        <v>23.8</v>
      </c>
      <c r="G257" s="3">
        <v>125</v>
      </c>
      <c r="H257" s="3">
        <v>2</v>
      </c>
      <c r="I257" s="3">
        <v>1.9</v>
      </c>
      <c r="J257" s="3">
        <v>9</v>
      </c>
      <c r="K257" s="3">
        <v>1</v>
      </c>
      <c r="L257" s="3">
        <v>29.5</v>
      </c>
      <c r="M257" s="3">
        <v>140</v>
      </c>
      <c r="N257" s="3">
        <v>8</v>
      </c>
      <c r="O257" s="3">
        <v>13.3</v>
      </c>
      <c r="P257" s="3">
        <v>63</v>
      </c>
      <c r="Q257" s="3">
        <v>10</v>
      </c>
      <c r="R257" s="3">
        <v>1.5</v>
      </c>
      <c r="S257" s="3">
        <v>5</v>
      </c>
      <c r="T257" s="3">
        <v>2</v>
      </c>
      <c r="U257" s="3">
        <v>14.099999999999998</v>
      </c>
      <c r="V257" s="3">
        <v>71</v>
      </c>
      <c r="W257" s="3">
        <v>8</v>
      </c>
      <c r="X257" s="3">
        <v>14.4</v>
      </c>
      <c r="Y257" s="3">
        <v>64</v>
      </c>
      <c r="Z257" s="3">
        <v>10</v>
      </c>
      <c r="AA257" s="3">
        <v>18</v>
      </c>
      <c r="AB257" s="3">
        <v>4</v>
      </c>
      <c r="AC257" s="3">
        <v>1</v>
      </c>
      <c r="AD257" s="29">
        <v>0.3</v>
      </c>
      <c r="AE257" s="29">
        <v>0.125</v>
      </c>
      <c r="AF257" s="3">
        <v>85.7</v>
      </c>
      <c r="AG257" s="3">
        <v>7</v>
      </c>
      <c r="AH257" s="3">
        <v>35</v>
      </c>
      <c r="AI257" s="3">
        <v>16</v>
      </c>
      <c r="AJ257" s="3">
        <v>0</v>
      </c>
      <c r="AK257" s="3">
        <v>58</v>
      </c>
      <c r="AL257" s="3">
        <v>26</v>
      </c>
      <c r="AM257" s="3">
        <v>0</v>
      </c>
      <c r="AN257" s="3">
        <f t="shared" si="16"/>
        <v>422</v>
      </c>
      <c r="AO257" s="3">
        <v>275</v>
      </c>
      <c r="AP257" s="3">
        <v>135</v>
      </c>
      <c r="AQ257" s="3">
        <v>12</v>
      </c>
      <c r="AR257" s="3">
        <v>0</v>
      </c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</row>
    <row r="258" spans="1:84" x14ac:dyDescent="0.2">
      <c r="A258" s="39">
        <v>43772</v>
      </c>
      <c r="B258" s="22" t="s">
        <v>246</v>
      </c>
      <c r="C258" t="s">
        <v>303</v>
      </c>
      <c r="D258" s="22" t="s">
        <v>299</v>
      </c>
      <c r="E258">
        <v>19.559999999999999</v>
      </c>
      <c r="F258">
        <v>27</v>
      </c>
      <c r="G258">
        <v>120</v>
      </c>
      <c r="H258">
        <v>2</v>
      </c>
      <c r="I258">
        <v>9.8000000000000007</v>
      </c>
      <c r="J258">
        <v>12</v>
      </c>
      <c r="K258">
        <v>4</v>
      </c>
      <c r="L258">
        <v>7.8</v>
      </c>
      <c r="M258">
        <v>48</v>
      </c>
      <c r="N258">
        <v>4</v>
      </c>
      <c r="O258">
        <v>17.399999999999999</v>
      </c>
      <c r="P258">
        <v>54</v>
      </c>
      <c r="Q258">
        <v>7</v>
      </c>
      <c r="R258">
        <v>5.4</v>
      </c>
      <c r="S258">
        <v>21</v>
      </c>
      <c r="T258">
        <v>4</v>
      </c>
      <c r="U258" s="22">
        <v>24.299999999999997</v>
      </c>
      <c r="V258" s="22">
        <v>103</v>
      </c>
      <c r="W258" s="22">
        <v>9</v>
      </c>
      <c r="X258">
        <f>7.3+7.2+2.7</f>
        <v>17.2</v>
      </c>
      <c r="Y258">
        <f>55</f>
        <v>55</v>
      </c>
      <c r="Z258">
        <v>4</v>
      </c>
      <c r="AA258">
        <v>7</v>
      </c>
      <c r="AB258">
        <v>2</v>
      </c>
      <c r="AC258">
        <v>6</v>
      </c>
      <c r="AD258" s="21">
        <v>0.40625</v>
      </c>
      <c r="AE258" s="21">
        <v>3.125E-2</v>
      </c>
      <c r="AF258">
        <v>77.8</v>
      </c>
      <c r="AG258">
        <v>0</v>
      </c>
      <c r="AH258">
        <v>31</v>
      </c>
      <c r="AI258">
        <v>33</v>
      </c>
      <c r="AJ258">
        <v>0</v>
      </c>
      <c r="AK258">
        <v>68</v>
      </c>
      <c r="AL258">
        <v>31</v>
      </c>
      <c r="AM258">
        <v>0</v>
      </c>
      <c r="AN258">
        <f t="shared" si="16"/>
        <v>460</v>
      </c>
      <c r="AO258">
        <v>289</v>
      </c>
      <c r="AP258">
        <f>120+12+7+2</f>
        <v>141</v>
      </c>
      <c r="AQ258">
        <v>30</v>
      </c>
      <c r="AR258">
        <v>0</v>
      </c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</row>
    <row r="259" spans="1:84" x14ac:dyDescent="0.2">
      <c r="A259" s="39">
        <v>43772</v>
      </c>
      <c r="B259" s="22" t="s">
        <v>246</v>
      </c>
      <c r="C259" t="s">
        <v>287</v>
      </c>
      <c r="D259" s="22" t="s">
        <v>300</v>
      </c>
      <c r="E259">
        <v>11.76</v>
      </c>
      <c r="F259">
        <v>25.9</v>
      </c>
      <c r="G259">
        <v>80</v>
      </c>
      <c r="H259">
        <v>4</v>
      </c>
      <c r="I259">
        <v>13.3</v>
      </c>
      <c r="J259">
        <v>70</v>
      </c>
      <c r="K259">
        <v>4</v>
      </c>
      <c r="L259">
        <v>7</v>
      </c>
      <c r="M259">
        <v>40</v>
      </c>
      <c r="N259">
        <v>4</v>
      </c>
      <c r="O259">
        <v>17.3</v>
      </c>
      <c r="P259">
        <v>111</v>
      </c>
      <c r="Q259">
        <v>4</v>
      </c>
      <c r="R259">
        <v>0</v>
      </c>
      <c r="S259">
        <v>0</v>
      </c>
      <c r="T259">
        <v>0</v>
      </c>
      <c r="U259">
        <v>11.1</v>
      </c>
      <c r="V259">
        <v>81</v>
      </c>
      <c r="W259">
        <v>5</v>
      </c>
      <c r="X259">
        <v>15.4</v>
      </c>
      <c r="Y259">
        <v>84</v>
      </c>
      <c r="Z259">
        <v>10</v>
      </c>
      <c r="AA259">
        <v>16</v>
      </c>
      <c r="AB259">
        <v>5</v>
      </c>
      <c r="AC259">
        <v>7</v>
      </c>
      <c r="AD259" s="21">
        <v>0.22580645161290322</v>
      </c>
      <c r="AE259" s="21">
        <v>6.4516129032258063E-2</v>
      </c>
      <c r="AF259">
        <v>100</v>
      </c>
      <c r="AG259">
        <v>2</v>
      </c>
      <c r="AH259">
        <v>28</v>
      </c>
      <c r="AI259">
        <v>34</v>
      </c>
      <c r="AJ259">
        <v>3</v>
      </c>
      <c r="AK259">
        <v>68</v>
      </c>
      <c r="AL259">
        <v>26</v>
      </c>
      <c r="AM259">
        <v>0</v>
      </c>
      <c r="AN259">
        <f t="shared" si="16"/>
        <v>453</v>
      </c>
      <c r="AO259">
        <v>294</v>
      </c>
      <c r="AP259">
        <v>157</v>
      </c>
      <c r="AQ259">
        <v>2</v>
      </c>
      <c r="AR259">
        <v>0</v>
      </c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37"/>
      <c r="BK259" s="37"/>
      <c r="BL259" s="37"/>
      <c r="BM259" s="37"/>
      <c r="BN259" s="37"/>
      <c r="BO259" s="37"/>
      <c r="BP259" s="37"/>
      <c r="BQ259" s="37"/>
      <c r="BR259" s="37"/>
      <c r="BS259" s="37"/>
      <c r="BT259" s="37"/>
      <c r="BU259" s="37"/>
      <c r="BV259" s="37"/>
      <c r="BW259" s="37"/>
      <c r="BX259" s="37"/>
      <c r="BY259" s="37"/>
      <c r="BZ259" s="37"/>
      <c r="CA259" s="37"/>
      <c r="CB259" s="37"/>
      <c r="CC259" s="37"/>
      <c r="CD259" s="37"/>
      <c r="CE259" s="37"/>
      <c r="CF259" s="37"/>
    </row>
    <row r="260" spans="1:84" x14ac:dyDescent="0.2">
      <c r="A260" s="39">
        <v>43772</v>
      </c>
      <c r="B260" s="22" t="s">
        <v>246</v>
      </c>
      <c r="C260" t="s">
        <v>293</v>
      </c>
      <c r="D260" s="22" t="s">
        <v>298</v>
      </c>
      <c r="E260">
        <v>23.72</v>
      </c>
      <c r="F260">
        <v>7.1</v>
      </c>
      <c r="G260">
        <v>29</v>
      </c>
      <c r="H260">
        <v>4</v>
      </c>
      <c r="I260">
        <v>1.9</v>
      </c>
      <c r="J260">
        <v>19</v>
      </c>
      <c r="K260">
        <v>1</v>
      </c>
      <c r="L260" s="14">
        <v>24.2</v>
      </c>
      <c r="M260">
        <v>72</v>
      </c>
      <c r="N260">
        <v>9</v>
      </c>
      <c r="O260">
        <v>15.7</v>
      </c>
      <c r="P260">
        <v>57</v>
      </c>
      <c r="Q260">
        <v>6</v>
      </c>
      <c r="R260">
        <v>6.3</v>
      </c>
      <c r="S260">
        <v>33</v>
      </c>
      <c r="T260">
        <v>5</v>
      </c>
      <c r="U260">
        <v>14.700000000000001</v>
      </c>
      <c r="V260">
        <v>77</v>
      </c>
      <c r="W260">
        <v>10</v>
      </c>
      <c r="X260">
        <v>15.5</v>
      </c>
      <c r="Y260">
        <v>95</v>
      </c>
      <c r="Z260">
        <v>6</v>
      </c>
      <c r="AA260">
        <v>6</v>
      </c>
      <c r="AB260">
        <v>2</v>
      </c>
      <c r="AC260">
        <v>8</v>
      </c>
      <c r="AD260" s="21">
        <v>0.21428571428571427</v>
      </c>
      <c r="AE260" s="21">
        <v>9.5238095238095233E-2</v>
      </c>
      <c r="AF260">
        <v>80</v>
      </c>
      <c r="AG260">
        <v>6</v>
      </c>
      <c r="AH260">
        <v>36</v>
      </c>
      <c r="AI260">
        <v>19</v>
      </c>
      <c r="AJ260">
        <v>5</v>
      </c>
      <c r="AK260">
        <v>64</v>
      </c>
      <c r="AL260">
        <v>24</v>
      </c>
      <c r="AM260">
        <v>2</v>
      </c>
      <c r="AN260">
        <f t="shared" si="16"/>
        <v>341</v>
      </c>
      <c r="AO260">
        <v>288</v>
      </c>
      <c r="AP260">
        <v>48</v>
      </c>
      <c r="AQ260">
        <v>0</v>
      </c>
      <c r="AR260">
        <v>5</v>
      </c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37"/>
      <c r="BD260" s="37"/>
      <c r="BE260" s="37"/>
      <c r="BF260" s="37"/>
      <c r="BG260" s="37"/>
      <c r="BH260" s="37"/>
      <c r="BI260" s="37"/>
      <c r="BJ260" s="37"/>
      <c r="BK260" s="37"/>
      <c r="BL260" s="37"/>
      <c r="BM260" s="37"/>
      <c r="BN260" s="37"/>
      <c r="BO260" s="37"/>
      <c r="BP260" s="37"/>
      <c r="BQ260" s="37"/>
      <c r="BR260" s="37"/>
      <c r="BS260" s="37"/>
      <c r="BT260" s="37"/>
      <c r="BU260" s="37"/>
      <c r="BV260" s="37"/>
      <c r="BW260" s="37"/>
      <c r="BX260" s="37"/>
      <c r="BY260" s="37"/>
      <c r="BZ260" s="37"/>
      <c r="CA260" s="37"/>
      <c r="CB260" s="37"/>
      <c r="CC260" s="37"/>
      <c r="CD260" s="37"/>
      <c r="CE260" s="37"/>
      <c r="CF260" s="37"/>
    </row>
    <row r="261" spans="1:84" x14ac:dyDescent="0.2">
      <c r="A261" s="39">
        <v>43772</v>
      </c>
      <c r="B261" s="22" t="s">
        <v>246</v>
      </c>
      <c r="C261" t="s">
        <v>312</v>
      </c>
      <c r="D261" s="22" t="s">
        <v>288</v>
      </c>
      <c r="E261">
        <v>21.3</v>
      </c>
      <c r="F261">
        <v>15.69</v>
      </c>
      <c r="G261">
        <v>71</v>
      </c>
      <c r="H261">
        <v>7</v>
      </c>
      <c r="I261">
        <v>8.8000000000000007</v>
      </c>
      <c r="J261">
        <v>2</v>
      </c>
      <c r="K261">
        <v>4</v>
      </c>
      <c r="L261" s="3">
        <v>2.6</v>
      </c>
      <c r="M261">
        <v>4</v>
      </c>
      <c r="N261">
        <v>4</v>
      </c>
      <c r="O261">
        <v>8.8000000000000007</v>
      </c>
      <c r="P261">
        <v>58</v>
      </c>
      <c r="Q261">
        <v>5</v>
      </c>
      <c r="R261">
        <v>7.4</v>
      </c>
      <c r="S261">
        <v>4</v>
      </c>
      <c r="T261">
        <v>2</v>
      </c>
      <c r="U261">
        <v>25.1</v>
      </c>
      <c r="V261">
        <v>71</v>
      </c>
      <c r="W261">
        <v>9</v>
      </c>
      <c r="X261">
        <v>18.600000000000001</v>
      </c>
      <c r="Y261">
        <v>56</v>
      </c>
      <c r="Z261">
        <v>11</v>
      </c>
      <c r="AA261">
        <v>5</v>
      </c>
      <c r="AB261">
        <v>1</v>
      </c>
      <c r="AC261">
        <v>7</v>
      </c>
      <c r="AD261" s="21">
        <v>0.42499999999999999</v>
      </c>
      <c r="AE261" s="21">
        <v>2.5000000000000001E-2</v>
      </c>
      <c r="AF261">
        <v>41.7</v>
      </c>
      <c r="AG261">
        <v>1</v>
      </c>
      <c r="AH261">
        <v>38</v>
      </c>
      <c r="AI261">
        <v>25</v>
      </c>
      <c r="AJ261">
        <v>1</v>
      </c>
      <c r="AK261">
        <v>66</v>
      </c>
      <c r="AL261">
        <v>26</v>
      </c>
      <c r="AM261">
        <v>0</v>
      </c>
      <c r="AN261">
        <f t="shared" si="16"/>
        <v>316</v>
      </c>
      <c r="AO261">
        <v>220</v>
      </c>
      <c r="AP261">
        <f>71+2+6</f>
        <v>79</v>
      </c>
      <c r="AQ261">
        <v>12</v>
      </c>
      <c r="AR261">
        <v>5</v>
      </c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37"/>
      <c r="BD261" s="37"/>
      <c r="BE261" s="37"/>
      <c r="BF261" s="37"/>
      <c r="BG261" s="37"/>
      <c r="BH261" s="37"/>
      <c r="BI261" s="37"/>
      <c r="BJ261" s="37"/>
      <c r="BK261" s="37"/>
      <c r="BL261" s="37"/>
      <c r="BM261" s="37"/>
      <c r="BN261" s="37"/>
      <c r="BO261" s="37"/>
      <c r="BP261" s="37"/>
      <c r="BQ261" s="37"/>
      <c r="BR261" s="37"/>
      <c r="BS261" s="37"/>
      <c r="BT261" s="37"/>
      <c r="BU261" s="37"/>
      <c r="BV261" s="37"/>
      <c r="BW261" s="37"/>
      <c r="BX261" s="37"/>
      <c r="BY261" s="37"/>
      <c r="BZ261" s="37"/>
      <c r="CA261" s="37"/>
      <c r="CB261" s="37"/>
      <c r="CC261" s="37"/>
      <c r="CD261" s="37"/>
      <c r="CE261" s="37"/>
      <c r="CF261" s="37"/>
    </row>
    <row r="262" spans="1:84" x14ac:dyDescent="0.2">
      <c r="A262" s="39">
        <v>43772</v>
      </c>
      <c r="B262" s="22" t="s">
        <v>246</v>
      </c>
      <c r="C262" t="s">
        <v>302</v>
      </c>
      <c r="D262" s="22" t="s">
        <v>305</v>
      </c>
      <c r="E262">
        <v>14.4</v>
      </c>
      <c r="F262">
        <v>4</v>
      </c>
      <c r="G262">
        <v>18</v>
      </c>
      <c r="H262">
        <v>2</v>
      </c>
      <c r="I262">
        <v>16.399999999999999</v>
      </c>
      <c r="J262">
        <v>38</v>
      </c>
      <c r="K262">
        <v>3</v>
      </c>
      <c r="L262">
        <v>17.899999999999999</v>
      </c>
      <c r="M262">
        <v>89</v>
      </c>
      <c r="N262">
        <v>11</v>
      </c>
      <c r="O262">
        <v>24.1</v>
      </c>
      <c r="P262">
        <v>81</v>
      </c>
      <c r="Q262">
        <v>14</v>
      </c>
      <c r="R262">
        <v>3.3</v>
      </c>
      <c r="S262">
        <v>13</v>
      </c>
      <c r="T262">
        <v>4</v>
      </c>
      <c r="U262">
        <v>27.4</v>
      </c>
      <c r="V262">
        <v>74</v>
      </c>
      <c r="W262">
        <v>16</v>
      </c>
      <c r="X262">
        <v>6.8</v>
      </c>
      <c r="Y262">
        <v>28</v>
      </c>
      <c r="Z262">
        <v>5</v>
      </c>
      <c r="AA262">
        <v>8</v>
      </c>
      <c r="AB262">
        <v>2</v>
      </c>
      <c r="AC262">
        <v>4</v>
      </c>
      <c r="AD262" s="21">
        <v>0.33333333333333331</v>
      </c>
      <c r="AE262" s="21">
        <v>4.1666666666666664E-2</v>
      </c>
      <c r="AF262">
        <v>70</v>
      </c>
      <c r="AG262">
        <v>13</v>
      </c>
      <c r="AH262">
        <v>46</v>
      </c>
      <c r="AI262">
        <v>17</v>
      </c>
      <c r="AJ262">
        <v>0</v>
      </c>
      <c r="AK262">
        <v>65</v>
      </c>
      <c r="AL262">
        <v>20</v>
      </c>
      <c r="AM262">
        <v>0</v>
      </c>
      <c r="AN262">
        <f t="shared" si="16"/>
        <v>359</v>
      </c>
      <c r="AO262">
        <v>285</v>
      </c>
      <c r="AP262">
        <f>38+18+18</f>
        <v>74</v>
      </c>
      <c r="AQ262">
        <v>0</v>
      </c>
      <c r="AR262">
        <v>0</v>
      </c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37"/>
      <c r="BD262" s="37"/>
      <c r="BE262" s="37"/>
      <c r="BF262" s="37"/>
      <c r="BG262" s="37"/>
      <c r="BH262" s="37"/>
      <c r="BI262" s="37"/>
      <c r="BJ262" s="37"/>
      <c r="BK262" s="37"/>
      <c r="BL262" s="37"/>
      <c r="BM262" s="37"/>
      <c r="BN262" s="37"/>
      <c r="BO262" s="37"/>
      <c r="BP262" s="37"/>
      <c r="BQ262" s="37"/>
      <c r="BR262" s="37"/>
      <c r="BS262" s="37"/>
      <c r="BT262" s="37"/>
      <c r="BU262" s="37"/>
      <c r="BV262" s="37"/>
      <c r="BW262" s="37"/>
      <c r="BX262" s="37"/>
      <c r="BY262" s="37"/>
      <c r="BZ262" s="37"/>
      <c r="CA262" s="37"/>
      <c r="CB262" s="37"/>
      <c r="CC262" s="37"/>
      <c r="CD262" s="37"/>
      <c r="CE262" s="37"/>
      <c r="CF262" s="37"/>
    </row>
    <row r="263" spans="1:84" x14ac:dyDescent="0.2">
      <c r="A263" s="39">
        <v>43772</v>
      </c>
      <c r="B263" s="22" t="s">
        <v>246</v>
      </c>
      <c r="C263" t="s">
        <v>296</v>
      </c>
      <c r="D263" s="22" t="s">
        <v>291</v>
      </c>
      <c r="E263">
        <v>14.8</v>
      </c>
      <c r="F263">
        <v>15.5</v>
      </c>
      <c r="G263">
        <v>28</v>
      </c>
      <c r="H263">
        <v>6</v>
      </c>
      <c r="I263">
        <v>0</v>
      </c>
      <c r="J263">
        <v>0</v>
      </c>
      <c r="K263">
        <v>0</v>
      </c>
      <c r="L263">
        <v>11.8</v>
      </c>
      <c r="M263">
        <v>42</v>
      </c>
      <c r="N263">
        <v>6</v>
      </c>
      <c r="O263">
        <v>8.8000000000000007</v>
      </c>
      <c r="P263">
        <v>8</v>
      </c>
      <c r="Q263">
        <v>3</v>
      </c>
      <c r="R263">
        <v>5.2</v>
      </c>
      <c r="S263">
        <v>22</v>
      </c>
      <c r="T263">
        <v>6</v>
      </c>
      <c r="U263">
        <v>16.100000000000001</v>
      </c>
      <c r="V263">
        <v>31</v>
      </c>
      <c r="W263">
        <v>7</v>
      </c>
      <c r="X263">
        <v>14.7</v>
      </c>
      <c r="Y263">
        <v>65</v>
      </c>
      <c r="Z263">
        <v>13</v>
      </c>
      <c r="AA263">
        <v>12</v>
      </c>
      <c r="AB263">
        <v>4</v>
      </c>
      <c r="AC263">
        <v>3</v>
      </c>
      <c r="AD263" s="21">
        <v>0.4</v>
      </c>
      <c r="AE263" s="21">
        <v>0.1</v>
      </c>
      <c r="AF263">
        <v>77.8</v>
      </c>
      <c r="AG263">
        <v>18</v>
      </c>
      <c r="AH263">
        <v>41</v>
      </c>
      <c r="AI263">
        <v>14</v>
      </c>
      <c r="AJ263">
        <v>6</v>
      </c>
      <c r="AK263">
        <v>68</v>
      </c>
      <c r="AL263">
        <v>18</v>
      </c>
      <c r="AM263">
        <v>0</v>
      </c>
      <c r="AN263">
        <f t="shared" si="16"/>
        <v>310</v>
      </c>
      <c r="AO263">
        <v>210</v>
      </c>
      <c r="AP263">
        <v>28</v>
      </c>
      <c r="AQ263">
        <v>18</v>
      </c>
      <c r="AR263">
        <v>54</v>
      </c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37"/>
      <c r="BD263" s="37"/>
      <c r="BE263" s="37"/>
      <c r="BF263" s="37"/>
      <c r="BG263" s="37"/>
      <c r="BH263" s="37"/>
      <c r="BI263" s="37"/>
      <c r="BJ263" s="37"/>
      <c r="BK263" s="37"/>
      <c r="BL263" s="37"/>
      <c r="BM263" s="37"/>
      <c r="BN263" s="37"/>
      <c r="BO263" s="37"/>
      <c r="BP263" s="37"/>
      <c r="BQ263" s="37"/>
      <c r="BR263" s="37"/>
      <c r="BS263" s="37"/>
      <c r="BT263" s="37"/>
      <c r="BU263" s="37"/>
      <c r="BV263" s="37"/>
      <c r="BW263" s="37"/>
      <c r="BX263" s="37"/>
      <c r="BY263" s="37"/>
      <c r="BZ263" s="37"/>
      <c r="CA263" s="37"/>
      <c r="CB263" s="37"/>
      <c r="CC263" s="37"/>
      <c r="CD263" s="37"/>
      <c r="CE263" s="37"/>
      <c r="CF263" s="37"/>
    </row>
    <row r="264" spans="1:84" x14ac:dyDescent="0.2">
      <c r="A264" s="39">
        <v>43772</v>
      </c>
      <c r="B264" s="22" t="s">
        <v>246</v>
      </c>
      <c r="C264" t="s">
        <v>298</v>
      </c>
      <c r="D264" s="22" t="s">
        <v>293</v>
      </c>
      <c r="E264">
        <v>13.5</v>
      </c>
      <c r="F264">
        <v>20.100000000000001</v>
      </c>
      <c r="G264">
        <v>66</v>
      </c>
      <c r="H264">
        <v>9</v>
      </c>
      <c r="I264">
        <v>1.6</v>
      </c>
      <c r="J264">
        <v>16</v>
      </c>
      <c r="K264">
        <v>0</v>
      </c>
      <c r="L264">
        <v>22.3</v>
      </c>
      <c r="M264">
        <v>83</v>
      </c>
      <c r="N264">
        <v>9</v>
      </c>
      <c r="O264">
        <v>5.3</v>
      </c>
      <c r="P264">
        <v>33</v>
      </c>
      <c r="Q264">
        <v>4</v>
      </c>
      <c r="R264">
        <v>3.9</v>
      </c>
      <c r="S264">
        <v>19</v>
      </c>
      <c r="T264">
        <v>3</v>
      </c>
      <c r="U264">
        <v>20.8</v>
      </c>
      <c r="V264">
        <v>78</v>
      </c>
      <c r="W264">
        <v>11</v>
      </c>
      <c r="X264">
        <v>11</v>
      </c>
      <c r="Y264">
        <v>50</v>
      </c>
      <c r="Z264">
        <v>8</v>
      </c>
      <c r="AA264">
        <v>13</v>
      </c>
      <c r="AB264">
        <v>4</v>
      </c>
      <c r="AC264">
        <v>6</v>
      </c>
      <c r="AD264" s="21">
        <v>0.44186046511627908</v>
      </c>
      <c r="AE264" s="21">
        <v>6.9767441860465115E-2</v>
      </c>
      <c r="AF264">
        <v>76.900000000000006</v>
      </c>
      <c r="AG264">
        <v>8</v>
      </c>
      <c r="AH264">
        <v>39</v>
      </c>
      <c r="AI264">
        <v>19</v>
      </c>
      <c r="AJ264">
        <v>2</v>
      </c>
      <c r="AK264">
        <v>63</v>
      </c>
      <c r="AL264">
        <v>16</v>
      </c>
      <c r="AM264">
        <v>2</v>
      </c>
      <c r="AN264">
        <f t="shared" si="16"/>
        <v>343</v>
      </c>
      <c r="AO264">
        <v>260</v>
      </c>
      <c r="AP264">
        <v>82</v>
      </c>
      <c r="AQ264">
        <v>0</v>
      </c>
      <c r="AR264">
        <v>1</v>
      </c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37"/>
      <c r="BD264" s="37"/>
      <c r="BE264" s="37"/>
      <c r="BF264" s="37"/>
      <c r="BG264" s="37"/>
      <c r="BH264" s="37"/>
      <c r="BI264" s="37"/>
      <c r="BJ264" s="37"/>
      <c r="BK264" s="37"/>
      <c r="BL264" s="37"/>
      <c r="BM264" s="37"/>
      <c r="BN264" s="37"/>
      <c r="BO264" s="37"/>
      <c r="BP264" s="37"/>
      <c r="BQ264" s="37"/>
      <c r="BR264" s="37"/>
      <c r="BS264" s="37"/>
      <c r="BT264" s="37"/>
      <c r="BU264" s="37"/>
      <c r="BV264" s="37"/>
      <c r="BW264" s="37"/>
      <c r="BX264" s="37"/>
      <c r="BY264" s="37"/>
      <c r="BZ264" s="37"/>
      <c r="CA264" s="37"/>
      <c r="CB264" s="37"/>
      <c r="CC264" s="37"/>
      <c r="CD264" s="37"/>
      <c r="CE264" s="37"/>
      <c r="CF264" s="37"/>
    </row>
    <row r="265" spans="1:84" x14ac:dyDescent="0.2">
      <c r="A265" s="39">
        <v>43772</v>
      </c>
      <c r="B265" s="22" t="s">
        <v>246</v>
      </c>
      <c r="C265" t="s">
        <v>294</v>
      </c>
      <c r="D265" s="22" t="s">
        <v>265</v>
      </c>
      <c r="E265">
        <v>15.06</v>
      </c>
      <c r="F265">
        <v>15.3</v>
      </c>
      <c r="G265">
        <v>82</v>
      </c>
      <c r="H265">
        <v>1</v>
      </c>
      <c r="I265">
        <v>10.3</v>
      </c>
      <c r="J265">
        <v>42</v>
      </c>
      <c r="K265">
        <v>3</v>
      </c>
      <c r="L265">
        <v>7.6</v>
      </c>
      <c r="M265">
        <v>36</v>
      </c>
      <c r="N265">
        <v>8</v>
      </c>
      <c r="O265">
        <v>5.0999999999999996</v>
      </c>
      <c r="P265">
        <v>21</v>
      </c>
      <c r="Q265">
        <v>8</v>
      </c>
      <c r="R265">
        <v>1.5</v>
      </c>
      <c r="S265">
        <v>5</v>
      </c>
      <c r="T265">
        <v>1</v>
      </c>
      <c r="U265">
        <v>13.6</v>
      </c>
      <c r="V265">
        <v>56</v>
      </c>
      <c r="W265">
        <v>11</v>
      </c>
      <c r="X265">
        <f>28.3+7.9</f>
        <v>36.200000000000003</v>
      </c>
      <c r="Y265">
        <v>142</v>
      </c>
      <c r="Z265">
        <v>16</v>
      </c>
      <c r="AA265">
        <v>10</v>
      </c>
      <c r="AB265">
        <v>3</v>
      </c>
      <c r="AC265">
        <v>6</v>
      </c>
      <c r="AD265" s="21">
        <v>0.31111111111111112</v>
      </c>
      <c r="AE265" s="21">
        <v>8.8888888888888892E-2</v>
      </c>
      <c r="AF265">
        <v>83.3</v>
      </c>
      <c r="AG265">
        <v>4</v>
      </c>
      <c r="AH265">
        <v>39</v>
      </c>
      <c r="AI265">
        <v>31</v>
      </c>
      <c r="AJ265">
        <v>4</v>
      </c>
      <c r="AK265">
        <v>78</v>
      </c>
      <c r="AL265">
        <v>22</v>
      </c>
      <c r="AM265">
        <v>0</v>
      </c>
      <c r="AN265">
        <f t="shared" si="16"/>
        <v>385</v>
      </c>
      <c r="AO265">
        <v>239</v>
      </c>
      <c r="AP265">
        <f>82+42+7</f>
        <v>131</v>
      </c>
      <c r="AQ265">
        <v>0</v>
      </c>
      <c r="AR265">
        <v>15</v>
      </c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37"/>
      <c r="BD265" s="37"/>
      <c r="BE265" s="37"/>
      <c r="BF265" s="37"/>
      <c r="BG265" s="37"/>
      <c r="BH265" s="37"/>
      <c r="BI265" s="37"/>
      <c r="BJ265" s="37"/>
      <c r="BK265" s="37"/>
      <c r="BL265" s="37"/>
      <c r="BM265" s="37"/>
      <c r="BN265" s="37"/>
      <c r="BO265" s="37"/>
      <c r="BP265" s="37"/>
      <c r="BQ265" s="37"/>
      <c r="BR265" s="37"/>
      <c r="BS265" s="37"/>
      <c r="BT265" s="37"/>
      <c r="BU265" s="37"/>
      <c r="BV265" s="37"/>
      <c r="BW265" s="37"/>
      <c r="BX265" s="37"/>
      <c r="BY265" s="37"/>
      <c r="BZ265" s="37"/>
      <c r="CA265" s="37"/>
      <c r="CB265" s="37"/>
      <c r="CC265" s="37"/>
      <c r="CD265" s="37"/>
      <c r="CE265" s="37"/>
      <c r="CF265" s="37"/>
    </row>
    <row r="266" spans="1:84" x14ac:dyDescent="0.2">
      <c r="A266" s="39">
        <v>43772</v>
      </c>
      <c r="B266" s="22" t="s">
        <v>246</v>
      </c>
      <c r="C266" t="s">
        <v>309</v>
      </c>
      <c r="D266" s="22" t="s">
        <v>289</v>
      </c>
      <c r="E266">
        <v>11.14</v>
      </c>
      <c r="F266">
        <v>20.3</v>
      </c>
      <c r="G266">
        <v>10</v>
      </c>
      <c r="H266">
        <v>13</v>
      </c>
      <c r="I266">
        <v>7.3</v>
      </c>
      <c r="J266">
        <v>73</v>
      </c>
      <c r="K266">
        <v>0</v>
      </c>
      <c r="L266">
        <v>4.5999999999999996</v>
      </c>
      <c r="M266">
        <v>69</v>
      </c>
      <c r="N266">
        <v>4</v>
      </c>
      <c r="O266">
        <v>10.9</v>
      </c>
      <c r="P266">
        <v>69</v>
      </c>
      <c r="Q266">
        <v>4</v>
      </c>
      <c r="R266">
        <v>1.5</v>
      </c>
      <c r="S266">
        <v>3</v>
      </c>
      <c r="T266">
        <v>2</v>
      </c>
      <c r="U266">
        <v>4.6999999999999993</v>
      </c>
      <c r="V266">
        <v>17</v>
      </c>
      <c r="W266">
        <v>3</v>
      </c>
      <c r="X266">
        <v>14</v>
      </c>
      <c r="Y266">
        <v>30</v>
      </c>
      <c r="Z266">
        <v>7</v>
      </c>
      <c r="AA266">
        <v>16</v>
      </c>
      <c r="AB266">
        <v>4</v>
      </c>
      <c r="AC266">
        <v>19</v>
      </c>
      <c r="AD266" s="21">
        <v>0.32432432432432434</v>
      </c>
      <c r="AE266" s="21">
        <v>2.7027027027027029E-2</v>
      </c>
      <c r="AF266">
        <v>83.3</v>
      </c>
      <c r="AG266">
        <v>8</v>
      </c>
      <c r="AH266">
        <v>35</v>
      </c>
      <c r="AI266">
        <v>21</v>
      </c>
      <c r="AJ266">
        <v>3</v>
      </c>
      <c r="AK266">
        <v>61</v>
      </c>
      <c r="AL266">
        <v>19</v>
      </c>
      <c r="AM266">
        <v>7</v>
      </c>
      <c r="AN266">
        <f t="shared" si="16"/>
        <v>281</v>
      </c>
      <c r="AO266">
        <v>191</v>
      </c>
      <c r="AP266">
        <v>83</v>
      </c>
      <c r="AQ266">
        <v>2</v>
      </c>
      <c r="AR266">
        <v>5</v>
      </c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37"/>
      <c r="BD266" s="37"/>
      <c r="BE266" s="37"/>
      <c r="BF266" s="37"/>
      <c r="BG266" s="37"/>
      <c r="BH266" s="37"/>
      <c r="BI266" s="37"/>
      <c r="BJ266" s="37"/>
      <c r="BK266" s="37"/>
      <c r="BL266" s="37"/>
      <c r="BM266" s="37"/>
      <c r="BN266" s="37"/>
      <c r="BO266" s="37"/>
      <c r="BP266" s="37"/>
      <c r="BQ266" s="37"/>
      <c r="BR266" s="37"/>
      <c r="BS266" s="37"/>
      <c r="BT266" s="37"/>
      <c r="BU266" s="37"/>
      <c r="BV266" s="37"/>
      <c r="BW266" s="37"/>
      <c r="BX266" s="37"/>
      <c r="BY266" s="37"/>
      <c r="BZ266" s="37"/>
      <c r="CA266" s="37"/>
      <c r="CB266" s="37"/>
      <c r="CC266" s="37"/>
      <c r="CD266" s="37"/>
      <c r="CE266" s="37"/>
      <c r="CF266" s="37"/>
    </row>
    <row r="267" spans="1:84" x14ac:dyDescent="0.2">
      <c r="A267" s="39">
        <v>43772</v>
      </c>
      <c r="B267" s="22" t="s">
        <v>246</v>
      </c>
      <c r="C267" s="22" t="s">
        <v>256</v>
      </c>
      <c r="D267" s="22" t="s">
        <v>285</v>
      </c>
      <c r="E267">
        <v>31.88</v>
      </c>
      <c r="F267">
        <v>5.6</v>
      </c>
      <c r="G267">
        <v>23</v>
      </c>
      <c r="H267">
        <v>4</v>
      </c>
      <c r="I267">
        <v>11.2</v>
      </c>
      <c r="J267">
        <v>78</v>
      </c>
      <c r="K267">
        <v>2</v>
      </c>
      <c r="L267">
        <v>27.2</v>
      </c>
      <c r="M267">
        <v>112</v>
      </c>
      <c r="N267">
        <v>9</v>
      </c>
      <c r="O267">
        <v>8</v>
      </c>
      <c r="P267">
        <v>40</v>
      </c>
      <c r="Q267">
        <v>7</v>
      </c>
      <c r="R267">
        <v>9.1</v>
      </c>
      <c r="S267">
        <v>21</v>
      </c>
      <c r="T267">
        <v>1</v>
      </c>
      <c r="U267">
        <v>25.3</v>
      </c>
      <c r="V267">
        <v>113</v>
      </c>
      <c r="W267">
        <v>9</v>
      </c>
      <c r="X267">
        <f>19.9+6.9</f>
        <v>26.799999999999997</v>
      </c>
      <c r="Y267">
        <f>79+29</f>
        <v>108</v>
      </c>
      <c r="Z267">
        <v>12</v>
      </c>
      <c r="AA267">
        <v>4</v>
      </c>
      <c r="AB267">
        <v>0</v>
      </c>
      <c r="AC267">
        <v>3</v>
      </c>
      <c r="AD267" s="21">
        <v>0.25641025641025639</v>
      </c>
      <c r="AE267" s="21">
        <v>2.564102564102564E-2</v>
      </c>
      <c r="AF267">
        <v>66.7</v>
      </c>
      <c r="AG267">
        <v>0</v>
      </c>
      <c r="AH267">
        <v>37</v>
      </c>
      <c r="AI267">
        <f>15+12+1</f>
        <v>28</v>
      </c>
      <c r="AJ267">
        <v>3</v>
      </c>
      <c r="AK267">
        <v>69</v>
      </c>
      <c r="AL267">
        <v>28</v>
      </c>
      <c r="AM267">
        <v>0</v>
      </c>
      <c r="AN267">
        <f>AO267+AP267+AR267+AQ267</f>
        <v>418</v>
      </c>
      <c r="AO267">
        <v>317</v>
      </c>
      <c r="AP267">
        <f>78+23-2</f>
        <v>99</v>
      </c>
      <c r="AQ267">
        <v>0</v>
      </c>
      <c r="AR267">
        <v>2</v>
      </c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37"/>
      <c r="BD267" s="37"/>
      <c r="BE267" s="37"/>
      <c r="BF267" s="37"/>
      <c r="BG267" s="37"/>
      <c r="BH267" s="37"/>
      <c r="BI267" s="37"/>
      <c r="BJ267" s="37"/>
      <c r="BK267" s="37"/>
      <c r="BL267" s="37"/>
      <c r="BM267" s="37"/>
      <c r="BN267" s="37"/>
      <c r="BO267" s="37"/>
      <c r="BP267" s="37"/>
      <c r="BQ267" s="37"/>
      <c r="BR267" s="37"/>
      <c r="BS267" s="37"/>
      <c r="BT267" s="37"/>
      <c r="BU267" s="37"/>
      <c r="BV267" s="37"/>
      <c r="BW267" s="37"/>
      <c r="BX267" s="37"/>
      <c r="BY267" s="37"/>
      <c r="BZ267" s="37"/>
      <c r="CA267" s="37"/>
      <c r="CB267" s="37"/>
      <c r="CC267" s="37"/>
      <c r="CD267" s="37"/>
      <c r="CE267" s="37"/>
      <c r="CF267" s="37"/>
    </row>
    <row r="268" spans="1:84" x14ac:dyDescent="0.2">
      <c r="A268" s="39">
        <v>43772</v>
      </c>
      <c r="B268" s="22" t="s">
        <v>246</v>
      </c>
      <c r="C268" t="s">
        <v>308</v>
      </c>
      <c r="D268" s="22" t="s">
        <v>284</v>
      </c>
      <c r="E268">
        <v>42.22</v>
      </c>
      <c r="F268">
        <v>17.3</v>
      </c>
      <c r="G268">
        <v>105</v>
      </c>
      <c r="H268">
        <v>2</v>
      </c>
      <c r="I268">
        <v>1.2</v>
      </c>
      <c r="J268">
        <v>12</v>
      </c>
      <c r="K268">
        <v>1</v>
      </c>
      <c r="L268">
        <v>43.2</v>
      </c>
      <c r="M268">
        <v>152</v>
      </c>
      <c r="N268">
        <v>18</v>
      </c>
      <c r="O268">
        <v>30</v>
      </c>
      <c r="P268">
        <v>123</v>
      </c>
      <c r="Q268">
        <v>9</v>
      </c>
      <c r="R268">
        <v>3.8</v>
      </c>
      <c r="S268">
        <v>18</v>
      </c>
      <c r="T268">
        <v>4</v>
      </c>
      <c r="U268">
        <v>41.1</v>
      </c>
      <c r="V268">
        <v>121</v>
      </c>
      <c r="W268">
        <v>18</v>
      </c>
      <c r="X268">
        <v>23.7</v>
      </c>
      <c r="Y268">
        <v>57</v>
      </c>
      <c r="Z268">
        <v>8</v>
      </c>
      <c r="AA268">
        <v>8</v>
      </c>
      <c r="AB268">
        <v>4</v>
      </c>
      <c r="AC268">
        <v>3</v>
      </c>
      <c r="AD268" s="21">
        <v>0.40425531914893614</v>
      </c>
      <c r="AE268" s="21">
        <v>6.3829787234042548E-2</v>
      </c>
      <c r="AF268">
        <v>64.3</v>
      </c>
      <c r="AG268">
        <v>1</v>
      </c>
      <c r="AH268">
        <v>43</v>
      </c>
      <c r="AI268">
        <v>20</v>
      </c>
      <c r="AJ268">
        <v>1</v>
      </c>
      <c r="AK268">
        <v>68</v>
      </c>
      <c r="AL268">
        <v>40</v>
      </c>
      <c r="AM268">
        <v>0</v>
      </c>
      <c r="AN268">
        <f>SUM(AO268:AR268)</f>
        <v>523</v>
      </c>
      <c r="AO268">
        <v>378</v>
      </c>
      <c r="AP268">
        <v>117</v>
      </c>
      <c r="AQ268">
        <v>7</v>
      </c>
      <c r="AR268">
        <v>21</v>
      </c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37"/>
      <c r="BD268" s="37"/>
      <c r="BE268" s="37"/>
      <c r="BF268" s="37"/>
      <c r="BG268" s="37"/>
      <c r="BH268" s="37"/>
      <c r="BI268" s="37"/>
      <c r="BJ268" s="37"/>
      <c r="BK268" s="37"/>
      <c r="BL268" s="37"/>
      <c r="BM268" s="37"/>
      <c r="BN268" s="37"/>
      <c r="BO268" s="37"/>
      <c r="BP268" s="37"/>
      <c r="BQ268" s="37"/>
      <c r="BR268" s="37"/>
      <c r="BS268" s="37"/>
      <c r="BT268" s="37"/>
      <c r="BU268" s="37"/>
      <c r="BV268" s="37"/>
      <c r="BW268" s="37"/>
      <c r="BX268" s="37"/>
      <c r="BY268" s="37"/>
      <c r="BZ268" s="37"/>
      <c r="CA268" s="37"/>
      <c r="CB268" s="37"/>
      <c r="CC268" s="37"/>
      <c r="CD268" s="37"/>
      <c r="CE268" s="37"/>
      <c r="CF268" s="37"/>
    </row>
    <row r="269" spans="1:84" x14ac:dyDescent="0.2">
      <c r="A269" s="39">
        <v>43772</v>
      </c>
      <c r="B269" s="22" t="s">
        <v>246</v>
      </c>
      <c r="C269" t="s">
        <v>284</v>
      </c>
      <c r="D269" s="22" t="s">
        <v>308</v>
      </c>
      <c r="E269">
        <v>24.2</v>
      </c>
      <c r="F269">
        <v>16.2</v>
      </c>
      <c r="G269">
        <v>67</v>
      </c>
      <c r="H269">
        <v>2</v>
      </c>
      <c r="I269">
        <v>8.3000000000000007</v>
      </c>
      <c r="J269">
        <v>1</v>
      </c>
      <c r="K269">
        <v>1</v>
      </c>
      <c r="L269">
        <v>39</v>
      </c>
      <c r="M269">
        <v>180</v>
      </c>
      <c r="N269">
        <v>6</v>
      </c>
      <c r="O269">
        <v>13.9</v>
      </c>
      <c r="P269">
        <v>61</v>
      </c>
      <c r="Q269">
        <v>9</v>
      </c>
      <c r="R269">
        <v>14.2</v>
      </c>
      <c r="S269">
        <v>42</v>
      </c>
      <c r="T269">
        <v>8</v>
      </c>
      <c r="U269">
        <v>27.7</v>
      </c>
      <c r="V269">
        <v>117</v>
      </c>
      <c r="W269">
        <v>12</v>
      </c>
      <c r="X269">
        <v>4.3</v>
      </c>
      <c r="Y269">
        <v>23</v>
      </c>
      <c r="Z269">
        <v>4</v>
      </c>
      <c r="AA269">
        <v>12</v>
      </c>
      <c r="AB269">
        <v>3</v>
      </c>
      <c r="AC269">
        <v>1</v>
      </c>
      <c r="AD269" s="21">
        <v>0.10638297872340426</v>
      </c>
      <c r="AE269" s="21">
        <v>4.2553191489361701E-2</v>
      </c>
      <c r="AF269">
        <v>0</v>
      </c>
      <c r="AG269">
        <v>3</v>
      </c>
      <c r="AH269">
        <v>44</v>
      </c>
      <c r="AI269">
        <v>23</v>
      </c>
      <c r="AJ269">
        <v>2</v>
      </c>
      <c r="AK269">
        <v>72</v>
      </c>
      <c r="AL269">
        <v>40</v>
      </c>
      <c r="AM269">
        <v>0</v>
      </c>
      <c r="AN269">
        <f>AO269+AP269+AQ269+AR269</f>
        <v>434</v>
      </c>
      <c r="AO269">
        <v>335</v>
      </c>
      <c r="AP269">
        <f>67+1+15</f>
        <v>83</v>
      </c>
      <c r="AQ269">
        <v>8</v>
      </c>
      <c r="AR269">
        <v>8</v>
      </c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37"/>
      <c r="BD269" s="37"/>
      <c r="BE269" s="37"/>
      <c r="BF269" s="37"/>
      <c r="BG269" s="37"/>
      <c r="BH269" s="37"/>
      <c r="BI269" s="37"/>
      <c r="BJ269" s="37"/>
      <c r="BK269" s="37"/>
      <c r="BL269" s="37"/>
      <c r="BM269" s="37"/>
      <c r="BN269" s="37"/>
      <c r="BO269" s="37"/>
      <c r="BP269" s="37"/>
      <c r="BQ269" s="37"/>
      <c r="BR269" s="37"/>
      <c r="BS269" s="37"/>
      <c r="BT269" s="37"/>
      <c r="BU269" s="37"/>
      <c r="BV269" s="37"/>
      <c r="BW269" s="37"/>
      <c r="BX269" s="37"/>
      <c r="BY269" s="37"/>
      <c r="BZ269" s="37"/>
      <c r="CA269" s="37"/>
      <c r="CB269" s="37"/>
      <c r="CC269" s="37"/>
      <c r="CD269" s="37"/>
      <c r="CE269" s="37"/>
      <c r="CF269" s="37"/>
    </row>
    <row r="270" spans="1:84" x14ac:dyDescent="0.2">
      <c r="A270" s="39">
        <v>43772</v>
      </c>
      <c r="B270" s="22" t="s">
        <v>246</v>
      </c>
      <c r="C270" t="s">
        <v>310</v>
      </c>
      <c r="D270" s="22" t="s">
        <v>301</v>
      </c>
      <c r="E270">
        <v>28.04</v>
      </c>
      <c r="F270">
        <v>24.9</v>
      </c>
      <c r="G270">
        <v>63</v>
      </c>
      <c r="H270">
        <v>3</v>
      </c>
      <c r="I270">
        <v>9.3000000000000007</v>
      </c>
      <c r="J270">
        <v>20</v>
      </c>
      <c r="K270">
        <v>5</v>
      </c>
      <c r="L270">
        <v>8.8000000000000007</v>
      </c>
      <c r="M270">
        <v>48</v>
      </c>
      <c r="N270">
        <v>5</v>
      </c>
      <c r="O270">
        <v>12.1</v>
      </c>
      <c r="P270">
        <v>81</v>
      </c>
      <c r="Q270">
        <v>7</v>
      </c>
      <c r="R270">
        <v>10.5</v>
      </c>
      <c r="S270">
        <v>65</v>
      </c>
      <c r="T270">
        <v>4</v>
      </c>
      <c r="U270">
        <v>19.2</v>
      </c>
      <c r="V270">
        <v>102</v>
      </c>
      <c r="W270">
        <v>12</v>
      </c>
      <c r="X270">
        <v>4.8</v>
      </c>
      <c r="Y270">
        <v>18</v>
      </c>
      <c r="Z270">
        <v>5</v>
      </c>
      <c r="AA270">
        <v>2</v>
      </c>
      <c r="AB270">
        <v>3</v>
      </c>
      <c r="AC270">
        <v>6</v>
      </c>
      <c r="AD270" s="21">
        <v>0.28260869565217389</v>
      </c>
      <c r="AE270" s="21">
        <v>8.6956521739130432E-2</v>
      </c>
      <c r="AF270">
        <v>85.7</v>
      </c>
      <c r="AG270">
        <v>11</v>
      </c>
      <c r="AH270">
        <v>39</v>
      </c>
      <c r="AI270">
        <v>17</v>
      </c>
      <c r="AJ270">
        <v>4</v>
      </c>
      <c r="AK270">
        <v>64</v>
      </c>
      <c r="AL270">
        <v>30</v>
      </c>
      <c r="AM270">
        <v>0</v>
      </c>
      <c r="AN270">
        <f t="shared" ref="AN270:AN276" si="17">SUM(AO270:AR270)</f>
        <v>452</v>
      </c>
      <c r="AO270">
        <v>331</v>
      </c>
      <c r="AP270">
        <v>83</v>
      </c>
      <c r="AQ270">
        <v>0</v>
      </c>
      <c r="AR270">
        <v>38</v>
      </c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37"/>
      <c r="BD270" s="37"/>
      <c r="BE270" s="37"/>
      <c r="BF270" s="37"/>
      <c r="BG270" s="37"/>
      <c r="BH270" s="37"/>
      <c r="BI270" s="37"/>
      <c r="BJ270" s="37"/>
      <c r="BK270" s="37"/>
      <c r="BL270" s="37"/>
      <c r="BM270" s="37"/>
      <c r="BN270" s="37"/>
      <c r="BO270" s="37"/>
      <c r="BP270" s="37"/>
      <c r="BQ270" s="37"/>
      <c r="BR270" s="37"/>
      <c r="BS270" s="37"/>
      <c r="BT270" s="37"/>
      <c r="BU270" s="37"/>
      <c r="BV270" s="37"/>
      <c r="BW270" s="37"/>
      <c r="BX270" s="37"/>
      <c r="BY270" s="37"/>
      <c r="BZ270" s="37"/>
      <c r="CA270" s="37"/>
      <c r="CB270" s="37"/>
      <c r="CC270" s="37"/>
      <c r="CD270" s="37"/>
      <c r="CE270" s="37"/>
      <c r="CF270" s="37"/>
    </row>
    <row r="271" spans="1:84" x14ac:dyDescent="0.2">
      <c r="A271" s="39">
        <v>43772</v>
      </c>
      <c r="B271" s="22" t="s">
        <v>246</v>
      </c>
      <c r="C271" t="s">
        <v>306</v>
      </c>
      <c r="D271" s="22" t="s">
        <v>276</v>
      </c>
      <c r="E271">
        <v>7.16</v>
      </c>
      <c r="F271">
        <v>17</v>
      </c>
      <c r="G271">
        <v>108</v>
      </c>
      <c r="H271">
        <v>1</v>
      </c>
      <c r="I271">
        <v>2.2999999999999998</v>
      </c>
      <c r="J271">
        <v>5</v>
      </c>
      <c r="K271">
        <v>3</v>
      </c>
      <c r="L271">
        <v>7.9</v>
      </c>
      <c r="M271">
        <v>39</v>
      </c>
      <c r="N271">
        <v>6</v>
      </c>
      <c r="O271">
        <v>8.1999999999999993</v>
      </c>
      <c r="P271">
        <v>42</v>
      </c>
      <c r="Q271">
        <v>5</v>
      </c>
      <c r="R271">
        <v>2.2000000000000002</v>
      </c>
      <c r="S271">
        <v>12</v>
      </c>
      <c r="T271">
        <v>1</v>
      </c>
      <c r="U271">
        <v>5.7</v>
      </c>
      <c r="V271">
        <v>27</v>
      </c>
      <c r="W271">
        <v>7</v>
      </c>
      <c r="X271">
        <v>2.6</v>
      </c>
      <c r="Y271">
        <v>16</v>
      </c>
      <c r="Z271">
        <v>1</v>
      </c>
      <c r="AA271">
        <v>9</v>
      </c>
      <c r="AB271">
        <v>3</v>
      </c>
      <c r="AC271">
        <v>2</v>
      </c>
      <c r="AD271" s="21">
        <v>0.37931034482758619</v>
      </c>
      <c r="AE271" s="21">
        <v>0.13793103448275862</v>
      </c>
      <c r="AF271">
        <v>60</v>
      </c>
      <c r="AG271">
        <v>8</v>
      </c>
      <c r="AH271">
        <v>22</v>
      </c>
      <c r="AI271">
        <v>20</v>
      </c>
      <c r="AJ271">
        <v>3</v>
      </c>
      <c r="AK271">
        <v>49</v>
      </c>
      <c r="AL271">
        <v>9</v>
      </c>
      <c r="AM271">
        <v>0</v>
      </c>
      <c r="AN271">
        <f t="shared" si="17"/>
        <v>271</v>
      </c>
      <c r="AO271">
        <v>144</v>
      </c>
      <c r="AP271">
        <v>113</v>
      </c>
      <c r="AQ271">
        <v>0</v>
      </c>
      <c r="AR271">
        <v>14</v>
      </c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37"/>
      <c r="BD271" s="37"/>
      <c r="BE271" s="37"/>
      <c r="BF271" s="37"/>
      <c r="BG271" s="37"/>
      <c r="BH271" s="37"/>
      <c r="BI271" s="37"/>
      <c r="BJ271" s="37"/>
      <c r="BK271" s="37"/>
      <c r="BL271" s="37"/>
      <c r="BM271" s="37"/>
      <c r="BN271" s="37"/>
      <c r="BO271" s="37"/>
      <c r="BP271" s="37"/>
      <c r="BQ271" s="37"/>
      <c r="BR271" s="37"/>
      <c r="BS271" s="37"/>
      <c r="BT271" s="37"/>
      <c r="BU271" s="37"/>
      <c r="BV271" s="37"/>
      <c r="BW271" s="37"/>
      <c r="BX271" s="37"/>
      <c r="BY271" s="37"/>
      <c r="BZ271" s="37"/>
      <c r="CA271" s="37"/>
      <c r="CB271" s="37"/>
      <c r="CC271" s="37"/>
      <c r="CD271" s="37"/>
      <c r="CE271" s="37"/>
      <c r="CF271" s="37"/>
    </row>
    <row r="272" spans="1:84" x14ac:dyDescent="0.2">
      <c r="A272" s="39">
        <v>43779</v>
      </c>
      <c r="B272" s="22" t="s">
        <v>244</v>
      </c>
      <c r="C272" s="18" t="s">
        <v>285</v>
      </c>
      <c r="D272" s="22" t="s">
        <v>284</v>
      </c>
      <c r="E272">
        <v>30.76</v>
      </c>
      <c r="F272">
        <v>10.1</v>
      </c>
      <c r="G272">
        <v>35</v>
      </c>
      <c r="H272">
        <v>7</v>
      </c>
      <c r="I272">
        <v>1</v>
      </c>
      <c r="J272">
        <v>2</v>
      </c>
      <c r="K272">
        <v>1</v>
      </c>
      <c r="L272">
        <v>15.1</v>
      </c>
      <c r="M272">
        <v>71</v>
      </c>
      <c r="N272">
        <v>8</v>
      </c>
      <c r="O272">
        <v>40.799999999999997</v>
      </c>
      <c r="P272">
        <v>138</v>
      </c>
      <c r="Q272">
        <v>10</v>
      </c>
      <c r="R272">
        <v>10.8</v>
      </c>
      <c r="S272">
        <v>73</v>
      </c>
      <c r="T272">
        <v>3</v>
      </c>
      <c r="U272">
        <v>31.3</v>
      </c>
      <c r="V272">
        <v>143</v>
      </c>
      <c r="W272">
        <v>15</v>
      </c>
      <c r="X272">
        <v>4</v>
      </c>
      <c r="Y272">
        <v>20</v>
      </c>
      <c r="Z272">
        <v>3</v>
      </c>
      <c r="AA272">
        <v>11</v>
      </c>
      <c r="AB272">
        <v>2</v>
      </c>
      <c r="AC272">
        <v>9</v>
      </c>
      <c r="AD272" s="21">
        <v>0.41304347826086957</v>
      </c>
      <c r="AE272" s="21">
        <v>4.3478260869565216E-2</v>
      </c>
      <c r="AF272">
        <v>46.2</v>
      </c>
      <c r="AG272">
        <v>6</v>
      </c>
      <c r="AH272">
        <v>44</v>
      </c>
      <c r="AI272">
        <v>15</v>
      </c>
      <c r="AJ272">
        <v>3</v>
      </c>
      <c r="AK272">
        <v>65</v>
      </c>
      <c r="AL272">
        <v>27</v>
      </c>
      <c r="AM272">
        <v>0</v>
      </c>
      <c r="AN272">
        <f t="shared" si="17"/>
        <v>399</v>
      </c>
      <c r="AO272">
        <v>324</v>
      </c>
      <c r="AP272">
        <v>37</v>
      </c>
      <c r="AQ272">
        <v>0</v>
      </c>
      <c r="AR272">
        <v>38</v>
      </c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37"/>
      <c r="BD272" s="37"/>
      <c r="BE272" s="37"/>
      <c r="BF272" s="37"/>
      <c r="BG272" s="37"/>
      <c r="BH272" s="37"/>
      <c r="BI272" s="37"/>
      <c r="BJ272" s="37"/>
      <c r="BK272" s="37"/>
      <c r="BL272" s="37"/>
      <c r="BM272" s="37"/>
      <c r="BN272" s="37"/>
      <c r="BO272" s="37"/>
      <c r="BP272" s="37"/>
      <c r="BQ272" s="37"/>
      <c r="BR272" s="37"/>
      <c r="BS272" s="37"/>
      <c r="BT272" s="37"/>
      <c r="BU272" s="37"/>
      <c r="BV272" s="37"/>
      <c r="BW272" s="37"/>
      <c r="BX272" s="37"/>
      <c r="BY272" s="37"/>
      <c r="BZ272" s="37"/>
      <c r="CA272" s="37"/>
      <c r="CB272" s="37"/>
      <c r="CC272" s="37"/>
      <c r="CD272" s="37"/>
      <c r="CE272" s="37"/>
      <c r="CF272" s="37"/>
    </row>
    <row r="273" spans="1:84" x14ac:dyDescent="0.2">
      <c r="A273" s="39">
        <v>43779</v>
      </c>
      <c r="B273" s="22" t="s">
        <v>244</v>
      </c>
      <c r="C273" s="18" t="s">
        <v>295</v>
      </c>
      <c r="D273" s="22" t="s">
        <v>307</v>
      </c>
      <c r="E273">
        <v>15.58</v>
      </c>
      <c r="F273">
        <v>7.8</v>
      </c>
      <c r="G273">
        <v>38</v>
      </c>
      <c r="H273">
        <v>4</v>
      </c>
      <c r="I273">
        <v>14.1</v>
      </c>
      <c r="J273">
        <v>61</v>
      </c>
      <c r="K273">
        <v>2</v>
      </c>
      <c r="L273">
        <v>10.9</v>
      </c>
      <c r="M273">
        <v>79</v>
      </c>
      <c r="N273">
        <v>9</v>
      </c>
      <c r="O273">
        <v>7.7</v>
      </c>
      <c r="P273">
        <v>28</v>
      </c>
      <c r="Q273">
        <v>5</v>
      </c>
      <c r="R273">
        <v>6.3</v>
      </c>
      <c r="S273">
        <v>23</v>
      </c>
      <c r="T273">
        <v>5</v>
      </c>
      <c r="U273">
        <v>8.4</v>
      </c>
      <c r="V273">
        <v>34</v>
      </c>
      <c r="W273">
        <v>7</v>
      </c>
      <c r="X273">
        <v>11.7</v>
      </c>
      <c r="Y273">
        <v>17</v>
      </c>
      <c r="Z273">
        <v>5</v>
      </c>
      <c r="AA273">
        <v>15</v>
      </c>
      <c r="AB273">
        <v>4</v>
      </c>
      <c r="AC273">
        <v>10</v>
      </c>
      <c r="AD273" s="21">
        <v>0.42105263157894735</v>
      </c>
      <c r="AE273" s="21">
        <v>2.6315789473684209E-2</v>
      </c>
      <c r="AF273">
        <v>60</v>
      </c>
      <c r="AG273">
        <v>3</v>
      </c>
      <c r="AH273">
        <v>35</v>
      </c>
      <c r="AI273">
        <v>31</v>
      </c>
      <c r="AJ273">
        <v>2</v>
      </c>
      <c r="AK273">
        <v>70</v>
      </c>
      <c r="AL273">
        <v>26</v>
      </c>
      <c r="AM273">
        <v>0</v>
      </c>
      <c r="AN273">
        <f t="shared" si="17"/>
        <v>325</v>
      </c>
      <c r="AO273">
        <v>182</v>
      </c>
      <c r="AP273">
        <f>61+38+12</f>
        <v>111</v>
      </c>
      <c r="AQ273">
        <v>19</v>
      </c>
      <c r="AR273">
        <v>13</v>
      </c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37"/>
      <c r="BD273" s="37"/>
      <c r="BE273" s="37"/>
      <c r="BF273" s="37"/>
      <c r="BG273" s="37"/>
      <c r="BH273" s="37"/>
      <c r="BI273" s="37"/>
      <c r="BJ273" s="37"/>
      <c r="BK273" s="37"/>
      <c r="BL273" s="37"/>
      <c r="BM273" s="37"/>
      <c r="BN273" s="37"/>
      <c r="BO273" s="37"/>
      <c r="BP273" s="37"/>
      <c r="BQ273" s="37"/>
      <c r="BR273" s="37"/>
      <c r="BS273" s="37"/>
      <c r="BT273" s="37"/>
      <c r="BU273" s="37"/>
      <c r="BV273" s="37"/>
      <c r="BW273" s="37"/>
      <c r="BX273" s="37"/>
      <c r="BY273" s="37"/>
      <c r="BZ273" s="37"/>
      <c r="CA273" s="37"/>
      <c r="CB273" s="37"/>
      <c r="CC273" s="37"/>
      <c r="CD273" s="37"/>
      <c r="CE273" s="37"/>
      <c r="CF273" s="37"/>
    </row>
    <row r="274" spans="1:84" x14ac:dyDescent="0.2">
      <c r="A274" s="39">
        <v>43779</v>
      </c>
      <c r="B274" s="22" t="s">
        <v>244</v>
      </c>
      <c r="C274" s="18" t="s">
        <v>305</v>
      </c>
      <c r="D274" s="22" t="s">
        <v>272</v>
      </c>
      <c r="E274">
        <v>33.42</v>
      </c>
      <c r="F274">
        <v>9.4</v>
      </c>
      <c r="G274">
        <v>34</v>
      </c>
      <c r="H274">
        <v>0</v>
      </c>
      <c r="I274">
        <v>1.7</v>
      </c>
      <c r="J274">
        <v>17</v>
      </c>
      <c r="K274">
        <v>0</v>
      </c>
      <c r="L274">
        <v>18</v>
      </c>
      <c r="M274">
        <v>80</v>
      </c>
      <c r="N274">
        <v>4</v>
      </c>
      <c r="O274">
        <v>3.2</v>
      </c>
      <c r="P274">
        <v>12</v>
      </c>
      <c r="Q274">
        <v>3</v>
      </c>
      <c r="R274">
        <v>0</v>
      </c>
      <c r="S274">
        <v>0</v>
      </c>
      <c r="T274">
        <v>0</v>
      </c>
      <c r="U274">
        <v>23.9</v>
      </c>
      <c r="V274">
        <v>99</v>
      </c>
      <c r="W274">
        <v>9</v>
      </c>
      <c r="X274">
        <f>23.3+11.8+4</f>
        <v>39.1</v>
      </c>
      <c r="Y274">
        <f>53+78+20</f>
        <v>151</v>
      </c>
      <c r="Z274">
        <v>14</v>
      </c>
      <c r="AA274">
        <v>7</v>
      </c>
      <c r="AB274">
        <v>0</v>
      </c>
      <c r="AC274">
        <v>24</v>
      </c>
      <c r="AD274" s="21">
        <v>0.27777777777777779</v>
      </c>
      <c r="AE274" s="21">
        <v>0</v>
      </c>
      <c r="AF274">
        <v>100</v>
      </c>
      <c r="AG274">
        <v>-1</v>
      </c>
      <c r="AH274">
        <v>22</v>
      </c>
      <c r="AI274">
        <v>16</v>
      </c>
      <c r="AJ274">
        <v>7</v>
      </c>
      <c r="AK274">
        <v>46</v>
      </c>
      <c r="AL274">
        <v>35</v>
      </c>
      <c r="AM274">
        <v>14</v>
      </c>
      <c r="AN274">
        <f t="shared" si="17"/>
        <v>379</v>
      </c>
      <c r="AO274">
        <v>243</v>
      </c>
      <c r="AP274">
        <f>34+17+11</f>
        <v>62</v>
      </c>
      <c r="AQ274">
        <v>0</v>
      </c>
      <c r="AR274">
        <v>74</v>
      </c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37"/>
      <c r="BD274" s="37"/>
      <c r="BE274" s="37"/>
      <c r="BF274" s="37"/>
      <c r="BG274" s="37"/>
      <c r="BH274" s="37"/>
      <c r="BI274" s="37"/>
      <c r="BJ274" s="37"/>
      <c r="BK274" s="37"/>
      <c r="BL274" s="37"/>
      <c r="BM274" s="37"/>
      <c r="BN274" s="37"/>
      <c r="BO274" s="37"/>
      <c r="BP274" s="37"/>
      <c r="BQ274" s="37"/>
      <c r="BR274" s="37"/>
      <c r="BS274" s="37"/>
      <c r="BT274" s="37"/>
      <c r="BU274" s="37"/>
      <c r="BV274" s="37"/>
      <c r="BW274" s="37"/>
      <c r="BX274" s="37"/>
      <c r="BY274" s="37"/>
      <c r="BZ274" s="37"/>
      <c r="CA274" s="37"/>
      <c r="CB274" s="37"/>
      <c r="CC274" s="37"/>
      <c r="CD274" s="37"/>
      <c r="CE274" s="37"/>
      <c r="CF274" s="37"/>
    </row>
    <row r="275" spans="1:84" x14ac:dyDescent="0.2">
      <c r="A275" s="39">
        <v>43779</v>
      </c>
      <c r="B275" s="22" t="s">
        <v>244</v>
      </c>
      <c r="C275" s="18" t="s">
        <v>276</v>
      </c>
      <c r="D275" s="22" t="s">
        <v>281</v>
      </c>
      <c r="E275">
        <v>25.44</v>
      </c>
      <c r="F275">
        <v>8</v>
      </c>
      <c r="G275">
        <v>42</v>
      </c>
      <c r="H275">
        <v>7</v>
      </c>
      <c r="I275">
        <v>2.6</v>
      </c>
      <c r="J275">
        <v>12</v>
      </c>
      <c r="K275">
        <v>1</v>
      </c>
      <c r="L275">
        <v>12.7</v>
      </c>
      <c r="M275">
        <v>77</v>
      </c>
      <c r="N275">
        <v>11</v>
      </c>
      <c r="O275">
        <v>11.4</v>
      </c>
      <c r="P275">
        <v>74</v>
      </c>
      <c r="Q275">
        <v>6</v>
      </c>
      <c r="R275">
        <v>3.9</v>
      </c>
      <c r="S275">
        <v>19</v>
      </c>
      <c r="T275">
        <v>4</v>
      </c>
      <c r="U275">
        <v>7.4</v>
      </c>
      <c r="V275">
        <v>44</v>
      </c>
      <c r="W275">
        <v>6</v>
      </c>
      <c r="X275">
        <v>9.5</v>
      </c>
      <c r="Y275">
        <v>55</v>
      </c>
      <c r="Z275">
        <v>6</v>
      </c>
      <c r="AA275">
        <v>2</v>
      </c>
      <c r="AB275">
        <v>2</v>
      </c>
      <c r="AC275">
        <v>5</v>
      </c>
      <c r="AD275" s="21">
        <v>0.40909090909090912</v>
      </c>
      <c r="AE275" s="21">
        <v>2.2727272727272728E-2</v>
      </c>
      <c r="AF275">
        <v>46.2</v>
      </c>
      <c r="AG275">
        <v>2</v>
      </c>
      <c r="AH275">
        <v>41</v>
      </c>
      <c r="AI275">
        <v>14</v>
      </c>
      <c r="AJ275">
        <v>6</v>
      </c>
      <c r="AK275">
        <v>66</v>
      </c>
      <c r="AL275">
        <v>14</v>
      </c>
      <c r="AM275">
        <v>2</v>
      </c>
      <c r="AN275">
        <f t="shared" si="17"/>
        <v>350</v>
      </c>
      <c r="AO275">
        <v>266</v>
      </c>
      <c r="AP275">
        <v>56</v>
      </c>
      <c r="AQ275">
        <v>0</v>
      </c>
      <c r="AR275">
        <v>28</v>
      </c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37"/>
      <c r="BD275" s="37"/>
      <c r="BE275" s="37"/>
      <c r="BF275" s="37"/>
      <c r="BG275" s="37"/>
      <c r="BH275" s="37"/>
      <c r="BI275" s="37"/>
      <c r="BJ275" s="37"/>
      <c r="BK275" s="37"/>
      <c r="BL275" s="37"/>
      <c r="BM275" s="37"/>
      <c r="BN275" s="37"/>
      <c r="BO275" s="37"/>
      <c r="BP275" s="37"/>
      <c r="BQ275" s="37"/>
      <c r="BR275" s="37"/>
      <c r="BS275" s="37"/>
      <c r="BT275" s="37"/>
      <c r="BU275" s="37"/>
      <c r="BV275" s="37"/>
      <c r="BW275" s="37"/>
      <c r="BX275" s="37"/>
      <c r="BY275" s="37"/>
      <c r="BZ275" s="37"/>
      <c r="CA275" s="37"/>
      <c r="CB275" s="37"/>
      <c r="CC275" s="37"/>
      <c r="CD275" s="37"/>
      <c r="CE275" s="37"/>
      <c r="CF275" s="37"/>
    </row>
    <row r="276" spans="1:84" x14ac:dyDescent="0.2">
      <c r="A276" s="39">
        <v>43779</v>
      </c>
      <c r="B276" s="22" t="s">
        <v>244</v>
      </c>
      <c r="C276" t="s">
        <v>301</v>
      </c>
      <c r="D276" s="22" t="s">
        <v>300</v>
      </c>
      <c r="E276">
        <v>18.48</v>
      </c>
      <c r="F276">
        <v>29.1</v>
      </c>
      <c r="G276">
        <v>108</v>
      </c>
      <c r="H276">
        <v>7</v>
      </c>
      <c r="I276">
        <v>0</v>
      </c>
      <c r="J276">
        <v>0</v>
      </c>
      <c r="K276">
        <v>0</v>
      </c>
      <c r="L276">
        <v>24</v>
      </c>
      <c r="M276">
        <v>120</v>
      </c>
      <c r="N276">
        <v>11</v>
      </c>
      <c r="O276">
        <v>13.5</v>
      </c>
      <c r="P276">
        <v>35</v>
      </c>
      <c r="Q276">
        <v>8</v>
      </c>
      <c r="R276">
        <v>3.1</v>
      </c>
      <c r="S276">
        <v>21</v>
      </c>
      <c r="T276">
        <v>2</v>
      </c>
      <c r="U276">
        <v>16.5</v>
      </c>
      <c r="V276">
        <v>55</v>
      </c>
      <c r="W276">
        <v>8</v>
      </c>
      <c r="X276">
        <v>17.8</v>
      </c>
      <c r="Y276">
        <v>98</v>
      </c>
      <c r="Z276">
        <v>10</v>
      </c>
      <c r="AA276">
        <v>6</v>
      </c>
      <c r="AB276">
        <v>1</v>
      </c>
      <c r="AC276">
        <v>2</v>
      </c>
      <c r="AD276" s="21">
        <v>0.52083333333333337</v>
      </c>
      <c r="AE276" s="21">
        <v>6.25E-2</v>
      </c>
      <c r="AF276">
        <v>64.3</v>
      </c>
      <c r="AG276">
        <v>8</v>
      </c>
      <c r="AH276">
        <v>43</v>
      </c>
      <c r="AI276">
        <v>20</v>
      </c>
      <c r="AJ276">
        <v>3</v>
      </c>
      <c r="AK276">
        <v>69</v>
      </c>
      <c r="AL276">
        <v>16</v>
      </c>
      <c r="AM276">
        <v>0</v>
      </c>
      <c r="AN276">
        <f t="shared" si="17"/>
        <v>427</v>
      </c>
      <c r="AO276">
        <v>307</v>
      </c>
      <c r="AP276">
        <v>108</v>
      </c>
      <c r="AQ276">
        <v>0</v>
      </c>
      <c r="AR276">
        <v>12</v>
      </c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37"/>
      <c r="BD276" s="37"/>
      <c r="BE276" s="37"/>
      <c r="BF276" s="37"/>
      <c r="BG276" s="37"/>
      <c r="BH276" s="37"/>
      <c r="BI276" s="37"/>
      <c r="BJ276" s="37"/>
      <c r="BK276" s="37"/>
      <c r="BL276" s="37"/>
      <c r="BM276" s="37"/>
      <c r="BN276" s="37"/>
      <c r="BO276" s="37"/>
      <c r="BP276" s="37"/>
      <c r="BQ276" s="37"/>
      <c r="BR276" s="37"/>
      <c r="BS276" s="37"/>
      <c r="BT276" s="37"/>
      <c r="BU276" s="37"/>
      <c r="BV276" s="37"/>
      <c r="BW276" s="37"/>
      <c r="BX276" s="37"/>
      <c r="BY276" s="37"/>
      <c r="BZ276" s="37"/>
      <c r="CA276" s="37"/>
      <c r="CB276" s="37"/>
      <c r="CC276" s="37"/>
      <c r="CD276" s="37"/>
      <c r="CE276" s="37"/>
      <c r="CF276" s="37"/>
    </row>
    <row r="277" spans="1:84" x14ac:dyDescent="0.2">
      <c r="A277" s="39">
        <v>43779</v>
      </c>
      <c r="B277" s="22" t="s">
        <v>244</v>
      </c>
      <c r="C277" s="41" t="s">
        <v>265</v>
      </c>
      <c r="D277" s="22" t="s">
        <v>299</v>
      </c>
      <c r="E277">
        <v>19.72</v>
      </c>
      <c r="F277">
        <v>6</v>
      </c>
      <c r="G277">
        <v>60</v>
      </c>
      <c r="H277">
        <v>0</v>
      </c>
      <c r="I277">
        <v>13.7</v>
      </c>
      <c r="J277">
        <v>14</v>
      </c>
      <c r="K277">
        <v>4</v>
      </c>
      <c r="L277">
        <v>14.6</v>
      </c>
      <c r="M277">
        <v>86</v>
      </c>
      <c r="N277">
        <v>9</v>
      </c>
      <c r="O277">
        <v>13.8</v>
      </c>
      <c r="P277">
        <v>39</v>
      </c>
      <c r="Q277">
        <v>6</v>
      </c>
      <c r="R277">
        <v>1.7</v>
      </c>
      <c r="S277">
        <v>7</v>
      </c>
      <c r="T277">
        <v>2</v>
      </c>
      <c r="U277">
        <v>31</v>
      </c>
      <c r="V277">
        <v>100</v>
      </c>
      <c r="W277">
        <v>14</v>
      </c>
      <c r="X277">
        <v>8.8000000000000007</v>
      </c>
      <c r="Y277">
        <v>18</v>
      </c>
      <c r="Z277">
        <v>2</v>
      </c>
      <c r="AA277">
        <v>2</v>
      </c>
      <c r="AB277">
        <v>0</v>
      </c>
      <c r="AC277">
        <v>8</v>
      </c>
      <c r="AD277" s="21">
        <v>0.37931034482758619</v>
      </c>
      <c r="AE277" s="21">
        <v>0.17241379310344829</v>
      </c>
      <c r="AF277">
        <v>60</v>
      </c>
      <c r="AG277">
        <v>6</v>
      </c>
      <c r="AH277">
        <v>23</v>
      </c>
      <c r="AI277">
        <v>20</v>
      </c>
      <c r="AJ277">
        <v>3</v>
      </c>
      <c r="AK277">
        <v>52</v>
      </c>
      <c r="AL277">
        <v>20</v>
      </c>
      <c r="AM277">
        <v>0</v>
      </c>
      <c r="AN277">
        <f>AO277+AP277+AQ277+AR277</f>
        <v>254</v>
      </c>
      <c r="AO277">
        <v>173</v>
      </c>
      <c r="AP277">
        <v>74</v>
      </c>
      <c r="AQ277">
        <v>-1</v>
      </c>
      <c r="AR277">
        <v>8</v>
      </c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37"/>
      <c r="BD277" s="37"/>
      <c r="BE277" s="37"/>
      <c r="BF277" s="37"/>
      <c r="BG277" s="37"/>
      <c r="BH277" s="37"/>
      <c r="BI277" s="37"/>
      <c r="BJ277" s="37"/>
      <c r="BK277" s="37"/>
      <c r="BL277" s="37"/>
      <c r="BM277" s="37"/>
      <c r="BN277" s="37"/>
      <c r="BO277" s="37"/>
      <c r="BP277" s="37"/>
      <c r="BQ277" s="37"/>
      <c r="BR277" s="37"/>
      <c r="BS277" s="37"/>
      <c r="BT277" s="37"/>
      <c r="BU277" s="37"/>
      <c r="BV277" s="37"/>
      <c r="BW277" s="37"/>
      <c r="BX277" s="37"/>
      <c r="BY277" s="37"/>
      <c r="BZ277" s="37"/>
      <c r="CA277" s="37"/>
      <c r="CB277" s="37"/>
      <c r="CC277" s="37"/>
      <c r="CD277" s="37"/>
      <c r="CE277" s="37"/>
      <c r="CF277" s="37"/>
    </row>
    <row r="278" spans="1:84" x14ac:dyDescent="0.2">
      <c r="A278" s="39">
        <v>43779</v>
      </c>
      <c r="B278" s="28" t="s">
        <v>244</v>
      </c>
      <c r="C278" s="17" t="s">
        <v>272</v>
      </c>
      <c r="D278" s="28" t="s">
        <v>305</v>
      </c>
      <c r="E278" s="3">
        <v>10.88</v>
      </c>
      <c r="F278" s="3">
        <v>20.100000000000001</v>
      </c>
      <c r="G278" s="3">
        <v>114</v>
      </c>
      <c r="H278" s="3">
        <v>3</v>
      </c>
      <c r="I278" s="3">
        <v>0.8</v>
      </c>
      <c r="J278" s="3">
        <v>8</v>
      </c>
      <c r="K278" s="3">
        <v>1</v>
      </c>
      <c r="L278" s="3">
        <v>12.2</v>
      </c>
      <c r="M278" s="3">
        <v>62</v>
      </c>
      <c r="N278" s="3">
        <v>8</v>
      </c>
      <c r="O278" s="3">
        <v>6.6</v>
      </c>
      <c r="P278" s="3">
        <v>36</v>
      </c>
      <c r="Q278" s="3">
        <v>6</v>
      </c>
      <c r="R278" s="3">
        <v>1.9</v>
      </c>
      <c r="S278" s="3">
        <v>9</v>
      </c>
      <c r="T278" s="3">
        <v>4</v>
      </c>
      <c r="U278" s="3">
        <v>19.899999999999999</v>
      </c>
      <c r="V278" s="3">
        <v>69</v>
      </c>
      <c r="W278" s="3">
        <v>11</v>
      </c>
      <c r="X278" s="3">
        <v>11.3</v>
      </c>
      <c r="Y278" s="3">
        <v>23</v>
      </c>
      <c r="Z278" s="3">
        <v>5</v>
      </c>
      <c r="AA278" s="3">
        <v>8</v>
      </c>
      <c r="AB278" s="3">
        <v>2</v>
      </c>
      <c r="AC278" s="3">
        <v>-1</v>
      </c>
      <c r="AD278" s="29">
        <v>0.51428571428571423</v>
      </c>
      <c r="AE278" s="29">
        <v>5.7142857142857141E-2</v>
      </c>
      <c r="AF278" s="3">
        <v>75</v>
      </c>
      <c r="AG278" s="3">
        <v>24</v>
      </c>
      <c r="AH278" s="3">
        <v>30</v>
      </c>
      <c r="AI278" s="3">
        <v>34</v>
      </c>
      <c r="AJ278" s="3">
        <v>5</v>
      </c>
      <c r="AK278" s="3">
        <v>72</v>
      </c>
      <c r="AL278" s="3">
        <v>13</v>
      </c>
      <c r="AM278" s="3">
        <v>0</v>
      </c>
      <c r="AN278" s="3">
        <f t="shared" ref="AN278:AN293" si="18">SUM(AO278:AR278)</f>
        <v>324</v>
      </c>
      <c r="AO278" s="3">
        <v>167</v>
      </c>
      <c r="AP278" s="3">
        <v>122</v>
      </c>
      <c r="AQ278" s="3">
        <v>13</v>
      </c>
      <c r="AR278" s="3">
        <v>22</v>
      </c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  <c r="BE278" s="37"/>
      <c r="BF278" s="37"/>
      <c r="BG278" s="37"/>
      <c r="BH278" s="37"/>
      <c r="BI278" s="37"/>
      <c r="BJ278" s="37"/>
      <c r="BK278" s="37"/>
      <c r="BL278" s="37"/>
      <c r="BM278" s="37"/>
      <c r="BN278" s="37"/>
      <c r="BO278" s="37"/>
      <c r="BP278" s="37"/>
      <c r="BQ278" s="37"/>
      <c r="BR278" s="37"/>
      <c r="BS278" s="37"/>
      <c r="BT278" s="37"/>
      <c r="BU278" s="37"/>
      <c r="BV278" s="37"/>
      <c r="BW278" s="37"/>
      <c r="BX278" s="37"/>
      <c r="BY278" s="37"/>
      <c r="BZ278" s="37"/>
      <c r="CA278" s="37"/>
      <c r="CB278" s="37"/>
      <c r="CC278" s="37"/>
      <c r="CD278" s="37"/>
      <c r="CE278" s="37"/>
      <c r="CF278" s="37"/>
    </row>
    <row r="279" spans="1:84" x14ac:dyDescent="0.2">
      <c r="A279" s="39">
        <v>43779</v>
      </c>
      <c r="B279" s="22" t="s">
        <v>244</v>
      </c>
      <c r="C279" t="s">
        <v>281</v>
      </c>
      <c r="D279" s="22" t="s">
        <v>276</v>
      </c>
      <c r="E279">
        <v>17.62</v>
      </c>
      <c r="F279">
        <v>17.100000000000001</v>
      </c>
      <c r="G279">
        <v>116</v>
      </c>
      <c r="H279">
        <v>4</v>
      </c>
      <c r="I279">
        <v>14.4</v>
      </c>
      <c r="J279">
        <v>30</v>
      </c>
      <c r="K279">
        <v>9</v>
      </c>
      <c r="L279">
        <v>10.7</v>
      </c>
      <c r="M279">
        <v>57</v>
      </c>
      <c r="N279">
        <v>12</v>
      </c>
      <c r="O279">
        <v>24.7</v>
      </c>
      <c r="P279">
        <v>97</v>
      </c>
      <c r="Q279">
        <v>10</v>
      </c>
      <c r="R279">
        <v>7.7</v>
      </c>
      <c r="S279">
        <v>7</v>
      </c>
      <c r="T279">
        <v>1</v>
      </c>
      <c r="U279">
        <v>8.1999999999999993</v>
      </c>
      <c r="V279">
        <v>42</v>
      </c>
      <c r="W279">
        <v>5</v>
      </c>
      <c r="X279">
        <v>4.8</v>
      </c>
      <c r="Y279">
        <v>28</v>
      </c>
      <c r="Z279">
        <v>2</v>
      </c>
      <c r="AA279">
        <v>8</v>
      </c>
      <c r="AB279">
        <v>2</v>
      </c>
      <c r="AC279">
        <v>2</v>
      </c>
      <c r="AD279" s="21">
        <v>0.1951219512195122</v>
      </c>
      <c r="AE279" s="21">
        <v>4.878048780487805E-2</v>
      </c>
      <c r="AF279">
        <v>50</v>
      </c>
      <c r="AG279">
        <v>5</v>
      </c>
      <c r="AH279">
        <v>38</v>
      </c>
      <c r="AI279">
        <v>24</v>
      </c>
      <c r="AJ279">
        <v>2</v>
      </c>
      <c r="AK279">
        <v>66</v>
      </c>
      <c r="AL279">
        <v>19</v>
      </c>
      <c r="AM279">
        <v>0</v>
      </c>
      <c r="AN279">
        <f t="shared" si="18"/>
        <v>386</v>
      </c>
      <c r="AO279">
        <v>238</v>
      </c>
      <c r="AP279">
        <v>146</v>
      </c>
      <c r="AQ279">
        <v>0</v>
      </c>
      <c r="AR279">
        <v>2</v>
      </c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  <c r="BE279" s="37"/>
      <c r="BF279" s="37"/>
      <c r="BG279" s="37"/>
      <c r="BH279" s="37"/>
      <c r="BI279" s="37"/>
      <c r="BJ279" s="37"/>
      <c r="BK279" s="37"/>
      <c r="BL279" s="37"/>
      <c r="BM279" s="37"/>
      <c r="BN279" s="37"/>
      <c r="BO279" s="37"/>
      <c r="BP279" s="37"/>
      <c r="BQ279" s="37"/>
      <c r="BR279" s="37"/>
      <c r="BS279" s="37"/>
      <c r="BT279" s="37"/>
      <c r="BU279" s="37"/>
      <c r="BV279" s="37"/>
      <c r="BW279" s="37"/>
      <c r="BX279" s="37"/>
      <c r="BY279" s="37"/>
      <c r="BZ279" s="37"/>
      <c r="CA279" s="37"/>
      <c r="CB279" s="37"/>
      <c r="CC279" s="37"/>
      <c r="CD279" s="37"/>
      <c r="CE279" s="37"/>
      <c r="CF279" s="37"/>
    </row>
    <row r="280" spans="1:84" x14ac:dyDescent="0.2">
      <c r="A280" s="39">
        <v>43779</v>
      </c>
      <c r="B280" s="22" t="s">
        <v>244</v>
      </c>
      <c r="C280" t="s">
        <v>291</v>
      </c>
      <c r="D280" s="22" t="s">
        <v>312</v>
      </c>
      <c r="E280">
        <v>29.88</v>
      </c>
      <c r="F280">
        <v>8.3000000000000007</v>
      </c>
      <c r="G280">
        <v>47</v>
      </c>
      <c r="H280">
        <v>3</v>
      </c>
      <c r="I280">
        <v>0</v>
      </c>
      <c r="J280">
        <v>0</v>
      </c>
      <c r="K280">
        <v>0</v>
      </c>
      <c r="L280">
        <v>34.700000000000003</v>
      </c>
      <c r="M280">
        <v>147</v>
      </c>
      <c r="N280">
        <v>14</v>
      </c>
      <c r="O280">
        <v>17.600000000000001</v>
      </c>
      <c r="P280">
        <v>76</v>
      </c>
      <c r="Q280">
        <v>10</v>
      </c>
      <c r="R280">
        <v>25.6</v>
      </c>
      <c r="S280">
        <v>106</v>
      </c>
      <c r="T280">
        <v>8</v>
      </c>
      <c r="U280">
        <v>31.2</v>
      </c>
      <c r="V280">
        <v>142</v>
      </c>
      <c r="W280">
        <v>19</v>
      </c>
      <c r="X280">
        <f>6.5+3.7</f>
        <v>10.199999999999999</v>
      </c>
      <c r="Y280">
        <v>52</v>
      </c>
      <c r="Z280">
        <v>9</v>
      </c>
      <c r="AA280">
        <v>6</v>
      </c>
      <c r="AB280">
        <v>2</v>
      </c>
      <c r="AC280">
        <v>0</v>
      </c>
      <c r="AD280" s="21">
        <v>0.44680851063829785</v>
      </c>
      <c r="AE280" s="21">
        <v>2.1276595744680851E-2</v>
      </c>
      <c r="AF280">
        <v>66.7</v>
      </c>
      <c r="AG280">
        <v>3</v>
      </c>
      <c r="AH280">
        <v>46</v>
      </c>
      <c r="AI280">
        <v>21</v>
      </c>
      <c r="AJ280">
        <v>0</v>
      </c>
      <c r="AK280">
        <v>70</v>
      </c>
      <c r="AL280">
        <v>24</v>
      </c>
      <c r="AM280">
        <v>0</v>
      </c>
      <c r="AN280">
        <f t="shared" si="18"/>
        <v>447</v>
      </c>
      <c r="AO280">
        <v>397</v>
      </c>
      <c r="AP280">
        <v>43</v>
      </c>
      <c r="AQ280">
        <v>7</v>
      </c>
      <c r="AR280">
        <v>0</v>
      </c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37"/>
      <c r="BD280" s="37"/>
      <c r="BE280" s="37"/>
      <c r="BF280" s="37"/>
      <c r="BG280" s="37"/>
      <c r="BH280" s="37"/>
      <c r="BI280" s="37"/>
      <c r="BJ280" s="37"/>
      <c r="BK280" s="37"/>
      <c r="BL280" s="37"/>
      <c r="BM280" s="37"/>
      <c r="BN280" s="37"/>
      <c r="BO280" s="37"/>
      <c r="BP280" s="37"/>
      <c r="BQ280" s="37"/>
      <c r="BR280" s="37"/>
      <c r="BS280" s="37"/>
      <c r="BT280" s="37"/>
      <c r="BU280" s="37"/>
      <c r="BV280" s="37"/>
      <c r="BW280" s="37"/>
      <c r="BX280" s="37"/>
      <c r="BY280" s="37"/>
      <c r="BZ280" s="37"/>
      <c r="CA280" s="37"/>
      <c r="CB280" s="37"/>
      <c r="CC280" s="37"/>
      <c r="CD280" s="37"/>
      <c r="CE280" s="37"/>
      <c r="CF280" s="37"/>
    </row>
    <row r="281" spans="1:84" x14ac:dyDescent="0.2">
      <c r="A281" s="39">
        <v>43779</v>
      </c>
      <c r="B281" s="22" t="s">
        <v>244</v>
      </c>
      <c r="C281" t="s">
        <v>299</v>
      </c>
      <c r="D281" s="22" t="s">
        <v>265</v>
      </c>
      <c r="E281">
        <v>19.059999999999999</v>
      </c>
      <c r="F281">
        <v>11.5</v>
      </c>
      <c r="G281">
        <v>36</v>
      </c>
      <c r="H281">
        <v>7</v>
      </c>
      <c r="I281">
        <v>2.9</v>
      </c>
      <c r="J281">
        <v>16</v>
      </c>
      <c r="K281">
        <v>1</v>
      </c>
      <c r="L281">
        <v>14.7</v>
      </c>
      <c r="M281">
        <v>57</v>
      </c>
      <c r="N281">
        <v>9</v>
      </c>
      <c r="O281">
        <v>12.7</v>
      </c>
      <c r="P281">
        <v>77</v>
      </c>
      <c r="Q281">
        <v>6</v>
      </c>
      <c r="R281">
        <v>6.9</v>
      </c>
      <c r="S281">
        <v>29</v>
      </c>
      <c r="T281">
        <v>8</v>
      </c>
      <c r="U281">
        <v>18.8</v>
      </c>
      <c r="V281">
        <v>98</v>
      </c>
      <c r="W281">
        <v>16</v>
      </c>
      <c r="X281">
        <f>7.7+3.9</f>
        <v>11.6</v>
      </c>
      <c r="Y281">
        <v>66</v>
      </c>
      <c r="Z281">
        <v>9</v>
      </c>
      <c r="AA281">
        <v>9</v>
      </c>
      <c r="AB281">
        <v>2</v>
      </c>
      <c r="AC281">
        <v>6</v>
      </c>
      <c r="AD281" s="21">
        <v>0.38461538461538464</v>
      </c>
      <c r="AE281" s="21">
        <v>3.8461538461538464E-2</v>
      </c>
      <c r="AF281">
        <v>57.1</v>
      </c>
      <c r="AG281">
        <v>8</v>
      </c>
      <c r="AH281">
        <v>46</v>
      </c>
      <c r="AI281">
        <v>22</v>
      </c>
      <c r="AJ281">
        <v>5</v>
      </c>
      <c r="AK281">
        <v>75</v>
      </c>
      <c r="AL281">
        <v>13</v>
      </c>
      <c r="AM281">
        <v>0</v>
      </c>
      <c r="AN281">
        <f t="shared" si="18"/>
        <v>337</v>
      </c>
      <c r="AO281">
        <v>269</v>
      </c>
      <c r="AP281">
        <f>36+16+9</f>
        <v>61</v>
      </c>
      <c r="AQ281">
        <v>-1</v>
      </c>
      <c r="AR281">
        <v>8</v>
      </c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37"/>
      <c r="BD281" s="37"/>
      <c r="BE281" s="37"/>
      <c r="BF281" s="37"/>
      <c r="BG281" s="37"/>
      <c r="BH281" s="37"/>
      <c r="BI281" s="37"/>
      <c r="BJ281" s="37"/>
      <c r="BK281" s="37"/>
      <c r="BL281" s="37"/>
      <c r="BM281" s="37"/>
      <c r="BN281" s="37"/>
      <c r="BO281" s="37"/>
      <c r="BP281" s="37"/>
      <c r="BQ281" s="37"/>
      <c r="BR281" s="37"/>
      <c r="BS281" s="37"/>
      <c r="BT281" s="37"/>
      <c r="BU281" s="37"/>
      <c r="BV281" s="37"/>
      <c r="BW281" s="37"/>
      <c r="BX281" s="37"/>
      <c r="BY281" s="37"/>
      <c r="BZ281" s="37"/>
      <c r="CA281" s="37"/>
      <c r="CB281" s="37"/>
      <c r="CC281" s="37"/>
      <c r="CD281" s="37"/>
      <c r="CE281" s="37"/>
      <c r="CF281" s="37"/>
    </row>
    <row r="282" spans="1:84" x14ac:dyDescent="0.2">
      <c r="A282" s="39">
        <v>43779</v>
      </c>
      <c r="B282" s="22" t="s">
        <v>244</v>
      </c>
      <c r="C282" t="s">
        <v>300</v>
      </c>
      <c r="D282" s="22" t="s">
        <v>301</v>
      </c>
      <c r="E282">
        <v>10.02</v>
      </c>
      <c r="F282">
        <v>27.3</v>
      </c>
      <c r="G282">
        <v>93</v>
      </c>
      <c r="H282">
        <v>0</v>
      </c>
      <c r="I282">
        <v>6.3</v>
      </c>
      <c r="J282">
        <v>63</v>
      </c>
      <c r="K282">
        <v>1</v>
      </c>
      <c r="L282">
        <v>21.8</v>
      </c>
      <c r="M282">
        <v>118</v>
      </c>
      <c r="N282">
        <v>10</v>
      </c>
      <c r="O282">
        <v>5.7</v>
      </c>
      <c r="P282">
        <v>27</v>
      </c>
      <c r="Q282">
        <v>6</v>
      </c>
      <c r="R282">
        <v>4.3</v>
      </c>
      <c r="S282">
        <v>23</v>
      </c>
      <c r="T282">
        <v>2</v>
      </c>
      <c r="U282">
        <v>17.7</v>
      </c>
      <c r="V282">
        <v>97</v>
      </c>
      <c r="W282">
        <v>11</v>
      </c>
      <c r="X282">
        <v>7.9</v>
      </c>
      <c r="Y282">
        <v>59</v>
      </c>
      <c r="Z282">
        <v>4</v>
      </c>
      <c r="AA282">
        <v>7</v>
      </c>
      <c r="AB282">
        <v>1</v>
      </c>
      <c r="AC282">
        <v>8</v>
      </c>
      <c r="AD282" s="21">
        <v>0.1875</v>
      </c>
      <c r="AE282" s="21">
        <v>6.25E-2</v>
      </c>
      <c r="AF282">
        <v>0</v>
      </c>
      <c r="AG282">
        <v>2</v>
      </c>
      <c r="AH282">
        <v>29</v>
      </c>
      <c r="AI282">
        <v>26</v>
      </c>
      <c r="AJ282">
        <v>1</v>
      </c>
      <c r="AK282">
        <v>58</v>
      </c>
      <c r="AL282">
        <v>24</v>
      </c>
      <c r="AM282">
        <v>0</v>
      </c>
      <c r="AN282">
        <f t="shared" si="18"/>
        <v>396</v>
      </c>
      <c r="AO282">
        <v>233</v>
      </c>
      <c r="AP282">
        <f>93+63</f>
        <v>156</v>
      </c>
      <c r="AQ282">
        <v>0</v>
      </c>
      <c r="AR282">
        <v>7</v>
      </c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37"/>
      <c r="BD282" s="37"/>
      <c r="BE282" s="37"/>
      <c r="BF282" s="37"/>
      <c r="BG282" s="37"/>
      <c r="BH282" s="37"/>
      <c r="BI282" s="37"/>
      <c r="BJ282" s="37"/>
      <c r="BK282" s="37"/>
      <c r="BL282" s="37"/>
      <c r="BM282" s="37"/>
      <c r="BN282" s="37"/>
      <c r="BO282" s="37"/>
      <c r="BP282" s="37"/>
      <c r="BQ282" s="37"/>
      <c r="BR282" s="37"/>
      <c r="BS282" s="37"/>
      <c r="BT282" s="37"/>
      <c r="BU282" s="37"/>
      <c r="BV282" s="37"/>
      <c r="BW282" s="37"/>
      <c r="BX282" s="37"/>
      <c r="BY282" s="37"/>
      <c r="BZ282" s="37"/>
      <c r="CA282" s="37"/>
      <c r="CB282" s="37"/>
      <c r="CC282" s="37"/>
      <c r="CD282" s="37"/>
      <c r="CE282" s="37"/>
      <c r="CF282" s="37"/>
    </row>
    <row r="283" spans="1:84" x14ac:dyDescent="0.2">
      <c r="A283" s="39">
        <v>43779</v>
      </c>
      <c r="B283" s="28" t="s">
        <v>244</v>
      </c>
      <c r="C283" t="s">
        <v>289</v>
      </c>
      <c r="D283" s="28" t="s">
        <v>293</v>
      </c>
      <c r="E283" s="3">
        <v>9.16</v>
      </c>
      <c r="F283" s="3">
        <v>9.1999999999999993</v>
      </c>
      <c r="G283" s="3">
        <v>74</v>
      </c>
      <c r="H283" s="3">
        <v>1</v>
      </c>
      <c r="I283" s="3">
        <v>8.4</v>
      </c>
      <c r="J283" s="3">
        <v>14</v>
      </c>
      <c r="K283" s="3">
        <v>7</v>
      </c>
      <c r="L283" s="3">
        <v>4.5999999999999996</v>
      </c>
      <c r="M283" s="3">
        <v>26</v>
      </c>
      <c r="N283" s="3">
        <v>7</v>
      </c>
      <c r="O283" s="3">
        <v>5.0999999999999996</v>
      </c>
      <c r="P283" s="3">
        <v>31</v>
      </c>
      <c r="Q283" s="3">
        <v>4</v>
      </c>
      <c r="R283" s="3">
        <v>1.9</v>
      </c>
      <c r="S283" s="3">
        <v>9</v>
      </c>
      <c r="T283" s="3">
        <v>3</v>
      </c>
      <c r="U283" s="3">
        <v>14.2</v>
      </c>
      <c r="V283" s="3">
        <v>82</v>
      </c>
      <c r="W283" s="3">
        <v>16</v>
      </c>
      <c r="X283" s="3">
        <f>13.4+10.6</f>
        <v>24</v>
      </c>
      <c r="Y283" s="3">
        <v>100</v>
      </c>
      <c r="Z283" s="3">
        <v>16</v>
      </c>
      <c r="AA283" s="3">
        <v>6</v>
      </c>
      <c r="AB283" s="3">
        <v>2</v>
      </c>
      <c r="AC283" s="3">
        <v>8</v>
      </c>
      <c r="AD283" s="29">
        <v>0.31707317073170732</v>
      </c>
      <c r="AE283" s="29">
        <v>2.4390243902439025E-2</v>
      </c>
      <c r="AF283" s="3">
        <v>54.5</v>
      </c>
      <c r="AG283" s="3">
        <v>11</v>
      </c>
      <c r="AH283" s="3">
        <v>39</v>
      </c>
      <c r="AI283" s="3">
        <v>27</v>
      </c>
      <c r="AJ283" s="3">
        <v>2</v>
      </c>
      <c r="AK283" s="3">
        <v>69</v>
      </c>
      <c r="AL283" s="3">
        <v>12</v>
      </c>
      <c r="AM283" s="3">
        <v>0</v>
      </c>
      <c r="AN283" s="3">
        <f t="shared" si="18"/>
        <v>313</v>
      </c>
      <c r="AO283" s="3">
        <v>204</v>
      </c>
      <c r="AP283" s="3">
        <f>74+14+20+1</f>
        <v>109</v>
      </c>
      <c r="AQ283" s="3">
        <v>0</v>
      </c>
      <c r="AR283" s="3">
        <v>0</v>
      </c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37"/>
      <c r="BD283" s="37"/>
      <c r="BE283" s="37"/>
      <c r="BF283" s="37"/>
      <c r="BG283" s="37"/>
      <c r="BH283" s="37"/>
      <c r="BI283" s="37"/>
      <c r="BJ283" s="37"/>
      <c r="BK283" s="37"/>
      <c r="BL283" s="37"/>
      <c r="BM283" s="37"/>
      <c r="BN283" s="37"/>
      <c r="BO283" s="37"/>
      <c r="BP283" s="37"/>
      <c r="BQ283" s="37"/>
      <c r="BR283" s="37"/>
      <c r="BS283" s="37"/>
      <c r="BT283" s="37"/>
      <c r="BU283" s="37"/>
      <c r="BV283" s="37"/>
      <c r="BW283" s="37"/>
      <c r="BX283" s="37"/>
      <c r="BY283" s="37"/>
      <c r="BZ283" s="37"/>
      <c r="CA283" s="37"/>
      <c r="CB283" s="37"/>
      <c r="CC283" s="37"/>
      <c r="CD283" s="37"/>
      <c r="CE283" s="37"/>
      <c r="CF283" s="37"/>
    </row>
    <row r="284" spans="1:84" x14ac:dyDescent="0.2">
      <c r="A284" s="39">
        <v>43779</v>
      </c>
      <c r="B284" s="22" t="s">
        <v>244</v>
      </c>
      <c r="C284" t="s">
        <v>288</v>
      </c>
      <c r="D284" s="22" t="s">
        <v>310</v>
      </c>
      <c r="E284">
        <v>32.840000000000003</v>
      </c>
      <c r="F284">
        <v>14.9</v>
      </c>
      <c r="G284">
        <v>77</v>
      </c>
      <c r="H284">
        <v>5</v>
      </c>
      <c r="I284">
        <v>2.5</v>
      </c>
      <c r="J284">
        <v>6</v>
      </c>
      <c r="K284">
        <v>1</v>
      </c>
      <c r="L284">
        <v>36</v>
      </c>
      <c r="M284">
        <v>157</v>
      </c>
      <c r="N284">
        <v>19</v>
      </c>
      <c r="O284">
        <v>13.3</v>
      </c>
      <c r="P284">
        <v>63</v>
      </c>
      <c r="Q284">
        <v>1</v>
      </c>
      <c r="R284">
        <v>10.1</v>
      </c>
      <c r="S284">
        <v>39</v>
      </c>
      <c r="T284">
        <v>9</v>
      </c>
      <c r="U284">
        <v>55.5</v>
      </c>
      <c r="V284">
        <v>275</v>
      </c>
      <c r="W284">
        <v>19</v>
      </c>
      <c r="X284">
        <v>22.2</v>
      </c>
      <c r="Y284">
        <v>82</v>
      </c>
      <c r="Z284">
        <v>8</v>
      </c>
      <c r="AA284">
        <v>16</v>
      </c>
      <c r="AB284">
        <v>5</v>
      </c>
      <c r="AC284">
        <v>5</v>
      </c>
      <c r="AD284" s="21">
        <v>0.17307692307692307</v>
      </c>
      <c r="AE284" s="21">
        <v>3.8461538461538464E-2</v>
      </c>
      <c r="AF284">
        <v>57.1</v>
      </c>
      <c r="AG284">
        <v>11</v>
      </c>
      <c r="AH284">
        <v>50</v>
      </c>
      <c r="AI284">
        <v>22</v>
      </c>
      <c r="AJ284">
        <v>0</v>
      </c>
      <c r="AK284">
        <v>78</v>
      </c>
      <c r="AL284">
        <v>32</v>
      </c>
      <c r="AM284">
        <v>0</v>
      </c>
      <c r="AN284">
        <f t="shared" si="18"/>
        <v>543</v>
      </c>
      <c r="AO284">
        <v>446</v>
      </c>
      <c r="AP284">
        <v>82</v>
      </c>
      <c r="AQ284">
        <v>15</v>
      </c>
      <c r="AR284">
        <v>0</v>
      </c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37"/>
      <c r="BD284" s="37"/>
      <c r="BE284" s="37"/>
      <c r="BF284" s="37"/>
      <c r="BG284" s="37"/>
      <c r="BH284" s="37"/>
      <c r="BI284" s="37"/>
      <c r="BJ284" s="37"/>
      <c r="BK284" s="37"/>
      <c r="BL284" s="37"/>
      <c r="BM284" s="37"/>
      <c r="BN284" s="37"/>
      <c r="BO284" s="37"/>
      <c r="BP284" s="37"/>
      <c r="BQ284" s="37"/>
      <c r="BR284" s="37"/>
      <c r="BS284" s="37"/>
      <c r="BT284" s="37"/>
      <c r="BU284" s="37"/>
      <c r="BV284" s="37"/>
      <c r="BW284" s="37"/>
      <c r="BX284" s="37"/>
      <c r="BY284" s="37"/>
      <c r="BZ284" s="37"/>
      <c r="CA284" s="37"/>
      <c r="CB284" s="37"/>
      <c r="CC284" s="37"/>
      <c r="CD284" s="37"/>
      <c r="CE284" s="37"/>
      <c r="CF284" s="37"/>
    </row>
    <row r="285" spans="1:84" x14ac:dyDescent="0.2">
      <c r="A285" s="39">
        <v>43779</v>
      </c>
      <c r="B285" s="22" t="s">
        <v>244</v>
      </c>
      <c r="C285" t="s">
        <v>303</v>
      </c>
      <c r="D285" s="22" t="s">
        <v>287</v>
      </c>
      <c r="E285">
        <v>13.12</v>
      </c>
      <c r="F285">
        <v>19.100000000000001</v>
      </c>
      <c r="G285">
        <v>71</v>
      </c>
      <c r="H285">
        <v>5</v>
      </c>
      <c r="I285">
        <v>8.3000000000000007</v>
      </c>
      <c r="J285">
        <v>0</v>
      </c>
      <c r="K285">
        <v>4</v>
      </c>
      <c r="L285">
        <v>5.5</v>
      </c>
      <c r="M285">
        <v>25</v>
      </c>
      <c r="N285">
        <v>5</v>
      </c>
      <c r="O285">
        <v>8.1999999999999993</v>
      </c>
      <c r="P285">
        <v>42</v>
      </c>
      <c r="Q285">
        <v>5</v>
      </c>
      <c r="R285">
        <v>2</v>
      </c>
      <c r="S285">
        <v>10</v>
      </c>
      <c r="T285">
        <v>3</v>
      </c>
      <c r="U285">
        <v>7.8</v>
      </c>
      <c r="V285">
        <v>38</v>
      </c>
      <c r="W285">
        <v>8</v>
      </c>
      <c r="X285">
        <v>7</v>
      </c>
      <c r="Y285">
        <v>40</v>
      </c>
      <c r="Z285">
        <v>5</v>
      </c>
      <c r="AA285">
        <v>9</v>
      </c>
      <c r="AB285">
        <v>3</v>
      </c>
      <c r="AC285">
        <v>17</v>
      </c>
      <c r="AD285" s="21">
        <v>0.2857142857142857</v>
      </c>
      <c r="AE285" s="21">
        <v>8.5714285714285715E-2</v>
      </c>
      <c r="AF285">
        <v>100</v>
      </c>
      <c r="AG285">
        <v>4</v>
      </c>
      <c r="AH285">
        <v>31</v>
      </c>
      <c r="AI285">
        <v>20</v>
      </c>
      <c r="AJ285">
        <v>1</v>
      </c>
      <c r="AK285">
        <v>55</v>
      </c>
      <c r="AL285">
        <v>19</v>
      </c>
      <c r="AM285">
        <v>7</v>
      </c>
      <c r="AN285">
        <f t="shared" si="18"/>
        <v>296</v>
      </c>
      <c r="AO285">
        <v>218</v>
      </c>
      <c r="AP285">
        <v>74</v>
      </c>
      <c r="AQ285">
        <v>0</v>
      </c>
      <c r="AR285">
        <v>4</v>
      </c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  <c r="BE285" s="37"/>
      <c r="BF285" s="37"/>
      <c r="BG285" s="37"/>
      <c r="BH285" s="37"/>
      <c r="BI285" s="37"/>
      <c r="BJ285" s="37"/>
      <c r="BK285" s="37"/>
      <c r="BL285" s="37"/>
      <c r="BM285" s="37"/>
      <c r="BN285" s="37"/>
      <c r="BO285" s="37"/>
      <c r="BP285" s="37"/>
      <c r="BQ285" s="37"/>
      <c r="BR285" s="37"/>
      <c r="BS285" s="37"/>
      <c r="BT285" s="37"/>
      <c r="BU285" s="37"/>
      <c r="BV285" s="37"/>
      <c r="BW285" s="37"/>
      <c r="BX285" s="37"/>
      <c r="BY285" s="37"/>
      <c r="BZ285" s="37"/>
      <c r="CA285" s="37"/>
      <c r="CB285" s="37"/>
      <c r="CC285" s="37"/>
      <c r="CD285" s="37"/>
      <c r="CE285" s="37"/>
      <c r="CF285" s="37"/>
    </row>
    <row r="286" spans="1:84" x14ac:dyDescent="0.2">
      <c r="A286" s="39">
        <v>43779</v>
      </c>
      <c r="B286" s="22" t="s">
        <v>244</v>
      </c>
      <c r="C286" t="s">
        <v>287</v>
      </c>
      <c r="D286" s="22" t="s">
        <v>303</v>
      </c>
      <c r="E286">
        <v>13.28</v>
      </c>
      <c r="F286">
        <v>23.3</v>
      </c>
      <c r="G286">
        <v>108</v>
      </c>
      <c r="H286">
        <v>1</v>
      </c>
      <c r="I286">
        <v>12.8</v>
      </c>
      <c r="J286">
        <v>19</v>
      </c>
      <c r="K286">
        <v>2</v>
      </c>
      <c r="L286">
        <v>16.600000000000001</v>
      </c>
      <c r="M286">
        <v>68</v>
      </c>
      <c r="N286">
        <v>11</v>
      </c>
      <c r="O286">
        <v>7.5</v>
      </c>
      <c r="P286">
        <v>55</v>
      </c>
      <c r="Q286">
        <v>3</v>
      </c>
      <c r="R286">
        <v>0</v>
      </c>
      <c r="S286">
        <v>0</v>
      </c>
      <c r="T286">
        <v>4</v>
      </c>
      <c r="U286">
        <v>26.2</v>
      </c>
      <c r="V286">
        <v>62</v>
      </c>
      <c r="W286">
        <v>14</v>
      </c>
      <c r="X286">
        <v>13</v>
      </c>
      <c r="Y286">
        <v>30</v>
      </c>
      <c r="Z286">
        <v>8</v>
      </c>
      <c r="AA286">
        <v>6</v>
      </c>
      <c r="AB286">
        <v>1</v>
      </c>
      <c r="AC286">
        <v>4</v>
      </c>
      <c r="AD286" s="21">
        <v>0.41666666666666669</v>
      </c>
      <c r="AE286" s="21">
        <v>0.1388888888888889</v>
      </c>
      <c r="AF286">
        <v>12.5</v>
      </c>
      <c r="AG286">
        <v>17</v>
      </c>
      <c r="AH286">
        <v>31</v>
      </c>
      <c r="AI286">
        <v>29</v>
      </c>
      <c r="AJ286">
        <v>0</v>
      </c>
      <c r="AK286">
        <v>66</v>
      </c>
      <c r="AL286">
        <v>24</v>
      </c>
      <c r="AM286">
        <v>0</v>
      </c>
      <c r="AN286">
        <f t="shared" si="18"/>
        <v>353</v>
      </c>
      <c r="AO286">
        <v>207</v>
      </c>
      <c r="AP286">
        <v>128</v>
      </c>
      <c r="AQ286">
        <v>18</v>
      </c>
      <c r="AR286">
        <v>0</v>
      </c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37"/>
      <c r="BD286" s="37"/>
      <c r="BE286" s="37"/>
      <c r="BF286" s="37"/>
      <c r="BG286" s="37"/>
      <c r="BH286" s="37"/>
      <c r="BI286" s="37"/>
      <c r="BJ286" s="37"/>
      <c r="BK286" s="37"/>
      <c r="BL286" s="37"/>
      <c r="BM286" s="37"/>
      <c r="BN286" s="37"/>
      <c r="BO286" s="37"/>
      <c r="BP286" s="37"/>
      <c r="BQ286" s="37"/>
      <c r="BR286" s="37"/>
      <c r="BS286" s="37"/>
      <c r="BT286" s="37"/>
      <c r="BU286" s="37"/>
      <c r="BV286" s="37"/>
      <c r="BW286" s="37"/>
      <c r="BX286" s="37"/>
      <c r="BY286" s="37"/>
      <c r="BZ286" s="37"/>
      <c r="CA286" s="37"/>
      <c r="CB286" s="37"/>
      <c r="CC286" s="37"/>
      <c r="CD286" s="37"/>
      <c r="CE286" s="37"/>
      <c r="CF286" s="37"/>
    </row>
    <row r="287" spans="1:84" x14ac:dyDescent="0.2">
      <c r="A287" s="39">
        <v>43779</v>
      </c>
      <c r="B287" s="22" t="s">
        <v>244</v>
      </c>
      <c r="C287" t="s">
        <v>304</v>
      </c>
      <c r="D287" s="22" t="s">
        <v>309</v>
      </c>
      <c r="E287">
        <v>6.72</v>
      </c>
      <c r="F287">
        <v>7.3</v>
      </c>
      <c r="G287">
        <v>73</v>
      </c>
      <c r="H287">
        <v>4</v>
      </c>
      <c r="I287">
        <v>1</v>
      </c>
      <c r="J287">
        <v>10</v>
      </c>
      <c r="K287">
        <v>0</v>
      </c>
      <c r="L287" s="14">
        <v>0</v>
      </c>
      <c r="M287">
        <v>0</v>
      </c>
      <c r="N287">
        <v>4</v>
      </c>
      <c r="O287">
        <v>16.5</v>
      </c>
      <c r="P287">
        <v>95</v>
      </c>
      <c r="Q287">
        <v>11</v>
      </c>
      <c r="R287">
        <v>7.9</v>
      </c>
      <c r="S287">
        <v>49</v>
      </c>
      <c r="T287">
        <v>5</v>
      </c>
      <c r="U287">
        <v>7.7</v>
      </c>
      <c r="V287">
        <v>47</v>
      </c>
      <c r="W287">
        <v>7</v>
      </c>
      <c r="X287">
        <f>14.8+5.2+1.9</f>
        <v>21.9</v>
      </c>
      <c r="Y287">
        <f>68+22+9</f>
        <v>99</v>
      </c>
      <c r="Z287">
        <v>17</v>
      </c>
      <c r="AA287">
        <v>4</v>
      </c>
      <c r="AB287">
        <v>2</v>
      </c>
      <c r="AC287">
        <v>19</v>
      </c>
      <c r="AD287" s="21">
        <v>0.36956521739130432</v>
      </c>
      <c r="AE287" s="21">
        <v>8.6956521739130432E-2</v>
      </c>
      <c r="AF287">
        <v>53.8</v>
      </c>
      <c r="AG287">
        <v>25</v>
      </c>
      <c r="AH287">
        <v>41</v>
      </c>
      <c r="AI287">
        <v>21</v>
      </c>
      <c r="AJ287">
        <v>2</v>
      </c>
      <c r="AK287">
        <v>69</v>
      </c>
      <c r="AL287">
        <v>3</v>
      </c>
      <c r="AM287">
        <v>9</v>
      </c>
      <c r="AN287">
        <f t="shared" si="18"/>
        <v>331</v>
      </c>
      <c r="AO287">
        <v>243</v>
      </c>
      <c r="AP287">
        <v>87</v>
      </c>
      <c r="AQ287">
        <v>0</v>
      </c>
      <c r="AR287">
        <v>1</v>
      </c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37"/>
      <c r="BD287" s="37"/>
      <c r="BE287" s="37"/>
      <c r="BF287" s="37"/>
      <c r="BG287" s="37"/>
      <c r="BH287" s="37"/>
      <c r="BI287" s="37"/>
      <c r="BJ287" s="37"/>
      <c r="BK287" s="37"/>
      <c r="BL287" s="37"/>
      <c r="BM287" s="37"/>
      <c r="BN287" s="37"/>
      <c r="BO287" s="37"/>
      <c r="BP287" s="37"/>
      <c r="BQ287" s="37"/>
      <c r="BR287" s="37"/>
      <c r="BS287" s="37"/>
      <c r="BT287" s="37"/>
      <c r="BU287" s="37"/>
      <c r="BV287" s="37"/>
      <c r="BW287" s="37"/>
      <c r="BX287" s="37"/>
      <c r="BY287" s="37"/>
      <c r="BZ287" s="37"/>
      <c r="CA287" s="37"/>
      <c r="CB287" s="37"/>
      <c r="CC287" s="37"/>
      <c r="CD287" s="37"/>
      <c r="CE287" s="37"/>
      <c r="CF287" s="37"/>
    </row>
    <row r="288" spans="1:84" x14ac:dyDescent="0.2">
      <c r="A288" s="39">
        <v>43779</v>
      </c>
      <c r="B288" s="22" t="s">
        <v>244</v>
      </c>
      <c r="C288" t="s">
        <v>293</v>
      </c>
      <c r="D288" s="22" t="s">
        <v>289</v>
      </c>
      <c r="E288">
        <v>14.06</v>
      </c>
      <c r="F288">
        <v>8.5</v>
      </c>
      <c r="G288">
        <v>43</v>
      </c>
      <c r="H288">
        <v>4</v>
      </c>
      <c r="I288">
        <v>3.9</v>
      </c>
      <c r="J288">
        <v>4</v>
      </c>
      <c r="K288">
        <v>2</v>
      </c>
      <c r="L288">
        <v>11.9</v>
      </c>
      <c r="M288">
        <v>69</v>
      </c>
      <c r="N288">
        <v>10</v>
      </c>
      <c r="O288">
        <v>5.2</v>
      </c>
      <c r="P288">
        <v>32</v>
      </c>
      <c r="Q288">
        <v>4</v>
      </c>
      <c r="R288">
        <v>3.5</v>
      </c>
      <c r="S288">
        <v>15</v>
      </c>
      <c r="T288">
        <v>2</v>
      </c>
      <c r="U288">
        <v>10.500000000000002</v>
      </c>
      <c r="V288">
        <v>45</v>
      </c>
      <c r="W288">
        <v>10</v>
      </c>
      <c r="X288">
        <f>4.8+1.8</f>
        <v>6.6</v>
      </c>
      <c r="Y288">
        <v>36</v>
      </c>
      <c r="Z288">
        <v>7</v>
      </c>
      <c r="AA288">
        <v>13</v>
      </c>
      <c r="AB288">
        <v>3</v>
      </c>
      <c r="AC288">
        <v>11</v>
      </c>
      <c r="AD288" s="21">
        <v>0.46153846153846156</v>
      </c>
      <c r="AE288" s="21">
        <v>7.6923076923076927E-2</v>
      </c>
      <c r="AF288">
        <v>63.6</v>
      </c>
      <c r="AG288">
        <v>8</v>
      </c>
      <c r="AH288">
        <v>33</v>
      </c>
      <c r="AI288">
        <v>22</v>
      </c>
      <c r="AJ288">
        <v>4</v>
      </c>
      <c r="AK288">
        <v>62</v>
      </c>
      <c r="AL288">
        <v>16</v>
      </c>
      <c r="AM288">
        <v>0</v>
      </c>
      <c r="AN288">
        <f t="shared" si="18"/>
        <v>239</v>
      </c>
      <c r="AO288">
        <v>169</v>
      </c>
      <c r="AP288">
        <v>47</v>
      </c>
      <c r="AQ288">
        <v>0</v>
      </c>
      <c r="AR288">
        <v>23</v>
      </c>
    </row>
    <row r="289" spans="1:84" x14ac:dyDescent="0.2">
      <c r="A289" s="39">
        <v>43779</v>
      </c>
      <c r="B289" s="22" t="s">
        <v>244</v>
      </c>
      <c r="C289" t="s">
        <v>312</v>
      </c>
      <c r="D289" s="22" t="s">
        <v>291</v>
      </c>
      <c r="E289">
        <v>19.3</v>
      </c>
      <c r="F289">
        <v>31.3</v>
      </c>
      <c r="G289">
        <v>97</v>
      </c>
      <c r="H289">
        <v>7</v>
      </c>
      <c r="I289">
        <v>6.4</v>
      </c>
      <c r="J289">
        <v>82</v>
      </c>
      <c r="K289">
        <v>1</v>
      </c>
      <c r="L289" s="3">
        <v>7.9</v>
      </c>
      <c r="M289">
        <v>49</v>
      </c>
      <c r="N289">
        <v>6</v>
      </c>
      <c r="O289">
        <v>4.5</v>
      </c>
      <c r="P289">
        <v>25</v>
      </c>
      <c r="Q289">
        <v>4</v>
      </c>
      <c r="R289">
        <v>2</v>
      </c>
      <c r="S289">
        <v>10</v>
      </c>
      <c r="T289">
        <v>1</v>
      </c>
      <c r="U289">
        <v>7.9</v>
      </c>
      <c r="V289">
        <v>29</v>
      </c>
      <c r="W289">
        <v>6</v>
      </c>
      <c r="X289">
        <f>19.4+8.4</f>
        <v>27.799999999999997</v>
      </c>
      <c r="Y289">
        <v>48</v>
      </c>
      <c r="Z289">
        <v>12</v>
      </c>
      <c r="AA289">
        <v>8</v>
      </c>
      <c r="AB289">
        <v>2</v>
      </c>
      <c r="AC289">
        <v>3</v>
      </c>
      <c r="AD289" s="21">
        <v>0.41176470588235292</v>
      </c>
      <c r="AE289" s="21">
        <v>2.9411764705882353E-2</v>
      </c>
      <c r="AF289">
        <v>80</v>
      </c>
      <c r="AG289">
        <v>0</v>
      </c>
      <c r="AH289">
        <v>32</v>
      </c>
      <c r="AI289">
        <v>35</v>
      </c>
      <c r="AJ289">
        <v>1</v>
      </c>
      <c r="AK289">
        <v>69</v>
      </c>
      <c r="AL289">
        <v>28</v>
      </c>
      <c r="AM289">
        <v>0</v>
      </c>
      <c r="AN289">
        <f t="shared" si="18"/>
        <v>373</v>
      </c>
      <c r="AO289">
        <v>220</v>
      </c>
      <c r="AP289">
        <f>97+52-1</f>
        <v>148</v>
      </c>
      <c r="AQ289">
        <v>0</v>
      </c>
      <c r="AR289">
        <v>5</v>
      </c>
    </row>
    <row r="290" spans="1:84" x14ac:dyDescent="0.2">
      <c r="A290" s="39">
        <v>43779</v>
      </c>
      <c r="B290" s="22" t="s">
        <v>244</v>
      </c>
      <c r="C290" t="s">
        <v>307</v>
      </c>
      <c r="D290" s="22" t="s">
        <v>295</v>
      </c>
      <c r="E290">
        <f>11.48+3.08</f>
        <v>14.56</v>
      </c>
      <c r="F290">
        <v>15.4</v>
      </c>
      <c r="G290">
        <v>24</v>
      </c>
      <c r="H290">
        <v>10</v>
      </c>
      <c r="I290">
        <v>3.9</v>
      </c>
      <c r="J290">
        <v>12</v>
      </c>
      <c r="K290">
        <v>2</v>
      </c>
      <c r="L290">
        <v>31.2</v>
      </c>
      <c r="M290">
        <v>152</v>
      </c>
      <c r="N290">
        <v>14</v>
      </c>
      <c r="O290">
        <v>2.2999999999999998</v>
      </c>
      <c r="P290">
        <v>13</v>
      </c>
      <c r="Q290">
        <v>2</v>
      </c>
      <c r="R290">
        <v>0.5</v>
      </c>
      <c r="S290">
        <v>0</v>
      </c>
      <c r="T290">
        <v>3</v>
      </c>
      <c r="U290">
        <v>17.2</v>
      </c>
      <c r="V290">
        <v>92</v>
      </c>
      <c r="W290">
        <v>11</v>
      </c>
      <c r="X290">
        <v>13.4</v>
      </c>
      <c r="Y290">
        <v>74</v>
      </c>
      <c r="Z290">
        <v>10</v>
      </c>
      <c r="AA290">
        <v>10</v>
      </c>
      <c r="AB290">
        <v>3</v>
      </c>
      <c r="AC290">
        <v>3</v>
      </c>
      <c r="AD290" s="21">
        <v>0.33333333333333331</v>
      </c>
      <c r="AE290" s="21">
        <v>0.11764705882352941</v>
      </c>
      <c r="AF290">
        <v>75</v>
      </c>
      <c r="AG290">
        <v>10</v>
      </c>
      <c r="AH290">
        <v>46</v>
      </c>
      <c r="AI290">
        <v>9</v>
      </c>
      <c r="AJ290">
        <v>1</v>
      </c>
      <c r="AK290">
        <v>63</v>
      </c>
      <c r="AL290">
        <v>9</v>
      </c>
      <c r="AM290">
        <v>0</v>
      </c>
      <c r="AN290">
        <f t="shared" si="18"/>
        <v>382</v>
      </c>
      <c r="AO290">
        <f>287+17</f>
        <v>304</v>
      </c>
      <c r="AP290">
        <v>62</v>
      </c>
      <c r="AQ290">
        <v>5</v>
      </c>
      <c r="AR290">
        <v>11</v>
      </c>
    </row>
    <row r="291" spans="1:84" x14ac:dyDescent="0.2">
      <c r="A291" s="39">
        <v>43779</v>
      </c>
      <c r="B291" s="22" t="s">
        <v>244</v>
      </c>
      <c r="C291" t="s">
        <v>296</v>
      </c>
      <c r="D291" s="22" t="s">
        <v>298</v>
      </c>
      <c r="E291">
        <v>34.32</v>
      </c>
      <c r="F291">
        <v>8.1</v>
      </c>
      <c r="G291">
        <v>1</v>
      </c>
      <c r="H291">
        <v>5</v>
      </c>
      <c r="I291">
        <v>1.5</v>
      </c>
      <c r="J291">
        <v>2</v>
      </c>
      <c r="K291">
        <v>2</v>
      </c>
      <c r="L291">
        <v>24.5</v>
      </c>
      <c r="M291">
        <v>95</v>
      </c>
      <c r="N291">
        <v>8</v>
      </c>
      <c r="O291">
        <v>37.1</v>
      </c>
      <c r="P291">
        <v>121</v>
      </c>
      <c r="Q291">
        <v>14</v>
      </c>
      <c r="R291">
        <v>5.6</v>
      </c>
      <c r="S291">
        <v>16</v>
      </c>
      <c r="T291">
        <v>3</v>
      </c>
      <c r="U291">
        <v>13.3</v>
      </c>
      <c r="V291">
        <v>33</v>
      </c>
      <c r="W291">
        <v>6</v>
      </c>
      <c r="X291">
        <v>8.3000000000000007</v>
      </c>
      <c r="Y291">
        <v>43</v>
      </c>
      <c r="Z291">
        <v>4</v>
      </c>
      <c r="AA291">
        <v>1</v>
      </c>
      <c r="AB291">
        <v>0</v>
      </c>
      <c r="AC291">
        <v>1</v>
      </c>
      <c r="AD291" s="21">
        <v>0.375</v>
      </c>
      <c r="AE291" s="21">
        <v>0.125</v>
      </c>
      <c r="AF291">
        <v>55.6</v>
      </c>
      <c r="AG291">
        <v>16</v>
      </c>
      <c r="AH291">
        <v>40</v>
      </c>
      <c r="AI291">
        <v>14</v>
      </c>
      <c r="AJ291">
        <v>3</v>
      </c>
      <c r="AK291">
        <v>63</v>
      </c>
      <c r="AL291">
        <v>27</v>
      </c>
      <c r="AM291">
        <v>0</v>
      </c>
      <c r="AN291">
        <f t="shared" si="18"/>
        <v>331</v>
      </c>
      <c r="AO291">
        <v>308</v>
      </c>
      <c r="AP291">
        <v>3</v>
      </c>
      <c r="AQ291">
        <v>0</v>
      </c>
      <c r="AR291">
        <v>20</v>
      </c>
    </row>
    <row r="292" spans="1:84" x14ac:dyDescent="0.2">
      <c r="A292" s="39">
        <v>43779</v>
      </c>
      <c r="B292" s="22" t="s">
        <v>244</v>
      </c>
      <c r="C292" t="s">
        <v>298</v>
      </c>
      <c r="D292" s="22" t="s">
        <v>296</v>
      </c>
      <c r="E292">
        <v>21.7</v>
      </c>
      <c r="F292">
        <v>16.8</v>
      </c>
      <c r="G292">
        <v>34</v>
      </c>
      <c r="H292">
        <v>4</v>
      </c>
      <c r="I292">
        <v>1.5</v>
      </c>
      <c r="J292">
        <v>15</v>
      </c>
      <c r="K292">
        <v>0</v>
      </c>
      <c r="L292">
        <v>19.100000000000001</v>
      </c>
      <c r="M292">
        <v>81</v>
      </c>
      <c r="N292">
        <v>6</v>
      </c>
      <c r="O292">
        <v>2.1</v>
      </c>
      <c r="P292">
        <v>11</v>
      </c>
      <c r="Q292">
        <v>3</v>
      </c>
      <c r="R292">
        <v>14.4</v>
      </c>
      <c r="S292">
        <v>84</v>
      </c>
      <c r="T292">
        <v>9</v>
      </c>
      <c r="U292">
        <v>14.2</v>
      </c>
      <c r="V292">
        <v>82</v>
      </c>
      <c r="W292">
        <v>8</v>
      </c>
      <c r="X292">
        <v>4.4000000000000004</v>
      </c>
      <c r="Y292">
        <v>20</v>
      </c>
      <c r="Z292">
        <v>4</v>
      </c>
      <c r="AA292">
        <v>12</v>
      </c>
      <c r="AB292">
        <v>3</v>
      </c>
      <c r="AC292">
        <v>16</v>
      </c>
      <c r="AD292" s="21">
        <v>0.48484848484848486</v>
      </c>
      <c r="AE292" s="21">
        <v>6.0606060606060608E-2</v>
      </c>
      <c r="AF292">
        <v>63.6</v>
      </c>
      <c r="AG292">
        <v>1</v>
      </c>
      <c r="AH292">
        <v>30</v>
      </c>
      <c r="AI292">
        <v>25</v>
      </c>
      <c r="AJ292">
        <v>3</v>
      </c>
      <c r="AK292">
        <v>61</v>
      </c>
      <c r="AL292">
        <v>27</v>
      </c>
      <c r="AM292">
        <v>7</v>
      </c>
      <c r="AN292">
        <f t="shared" si="18"/>
        <v>306</v>
      </c>
      <c r="AO292">
        <v>230</v>
      </c>
      <c r="AP292">
        <v>49</v>
      </c>
      <c r="AQ292">
        <v>2</v>
      </c>
      <c r="AR292">
        <v>25</v>
      </c>
    </row>
    <row r="293" spans="1:84" x14ac:dyDescent="0.2">
      <c r="A293" s="39">
        <v>43779</v>
      </c>
      <c r="B293" s="22" t="s">
        <v>244</v>
      </c>
      <c r="C293" t="s">
        <v>309</v>
      </c>
      <c r="D293" s="22" t="s">
        <v>304</v>
      </c>
      <c r="E293">
        <v>13.58</v>
      </c>
      <c r="F293">
        <v>7</v>
      </c>
      <c r="G293">
        <v>29</v>
      </c>
      <c r="H293">
        <v>7</v>
      </c>
      <c r="I293">
        <v>3.5</v>
      </c>
      <c r="J293">
        <v>1</v>
      </c>
      <c r="K293">
        <v>3</v>
      </c>
      <c r="L293">
        <v>7.4</v>
      </c>
      <c r="M293">
        <v>44</v>
      </c>
      <c r="N293">
        <v>6</v>
      </c>
      <c r="O293">
        <v>20</v>
      </c>
      <c r="P293">
        <v>90</v>
      </c>
      <c r="Q293">
        <v>7</v>
      </c>
      <c r="R293">
        <v>10.4</v>
      </c>
      <c r="S293">
        <v>64</v>
      </c>
      <c r="T293">
        <v>6</v>
      </c>
      <c r="U293">
        <v>2.6</v>
      </c>
      <c r="V293">
        <v>6</v>
      </c>
      <c r="W293">
        <v>6</v>
      </c>
      <c r="X293">
        <f>4.3+1.8</f>
        <v>6.1</v>
      </c>
      <c r="Y293">
        <v>19</v>
      </c>
      <c r="Z293">
        <v>8</v>
      </c>
      <c r="AA293">
        <v>5</v>
      </c>
      <c r="AB293">
        <v>1</v>
      </c>
      <c r="AC293">
        <v>25</v>
      </c>
      <c r="AD293" s="21">
        <v>0.36585365853658536</v>
      </c>
      <c r="AE293" s="21">
        <v>7.3170731707317069E-2</v>
      </c>
      <c r="AF293">
        <v>75</v>
      </c>
      <c r="AG293">
        <v>19</v>
      </c>
      <c r="AH293">
        <v>38</v>
      </c>
      <c r="AI293">
        <v>24</v>
      </c>
      <c r="AJ293">
        <v>2</v>
      </c>
      <c r="AK293">
        <v>68</v>
      </c>
      <c r="AL293">
        <v>10</v>
      </c>
      <c r="AM293">
        <v>7</v>
      </c>
      <c r="AN293">
        <f t="shared" si="18"/>
        <v>284</v>
      </c>
      <c r="AO293">
        <v>242</v>
      </c>
      <c r="AP293">
        <v>41</v>
      </c>
      <c r="AQ293">
        <v>2</v>
      </c>
      <c r="AR293">
        <v>-1</v>
      </c>
    </row>
    <row r="294" spans="1:84" x14ac:dyDescent="0.2">
      <c r="A294" s="39">
        <v>43779</v>
      </c>
      <c r="B294" s="22" t="s">
        <v>244</v>
      </c>
      <c r="C294" s="40" t="s">
        <v>256</v>
      </c>
      <c r="D294" s="22" t="s">
        <v>308</v>
      </c>
      <c r="E294">
        <v>13.02</v>
      </c>
      <c r="F294">
        <v>11.2</v>
      </c>
      <c r="G294">
        <v>40</v>
      </c>
      <c r="H294">
        <v>4</v>
      </c>
      <c r="I294">
        <v>4.5</v>
      </c>
      <c r="J294">
        <v>18</v>
      </c>
      <c r="K294">
        <v>2</v>
      </c>
      <c r="L294">
        <v>22.2</v>
      </c>
      <c r="M294">
        <v>112</v>
      </c>
      <c r="N294">
        <v>11</v>
      </c>
      <c r="O294">
        <v>16.2</v>
      </c>
      <c r="P294">
        <v>42</v>
      </c>
      <c r="Q294">
        <v>8</v>
      </c>
      <c r="R294">
        <v>4.4000000000000004</v>
      </c>
      <c r="S294">
        <v>24</v>
      </c>
      <c r="T294">
        <v>4</v>
      </c>
      <c r="U294">
        <v>21.700000000000003</v>
      </c>
      <c r="V294">
        <v>77</v>
      </c>
      <c r="W294">
        <v>15</v>
      </c>
      <c r="X294">
        <v>5.4</v>
      </c>
      <c r="Y294">
        <v>24</v>
      </c>
      <c r="Z294">
        <v>7</v>
      </c>
      <c r="AA294">
        <v>12</v>
      </c>
      <c r="AB294">
        <v>4</v>
      </c>
      <c r="AC294">
        <v>19</v>
      </c>
      <c r="AD294" s="21">
        <v>0.35294117647058826</v>
      </c>
      <c r="AE294" s="21">
        <v>9.8039215686274508E-2</v>
      </c>
      <c r="AF294">
        <v>45.5</v>
      </c>
      <c r="AG294">
        <v>18</v>
      </c>
      <c r="AH294">
        <v>46</v>
      </c>
      <c r="AI294">
        <v>25</v>
      </c>
      <c r="AJ294">
        <v>2</v>
      </c>
      <c r="AK294">
        <v>78</v>
      </c>
      <c r="AL294">
        <v>17</v>
      </c>
      <c r="AM294">
        <v>7</v>
      </c>
      <c r="AN294">
        <f>AO294+AP294+AR294+AQ294</f>
        <v>335</v>
      </c>
      <c r="AO294">
        <v>248</v>
      </c>
      <c r="AP294">
        <f>40+28+18</f>
        <v>86</v>
      </c>
      <c r="AQ294">
        <v>0</v>
      </c>
      <c r="AR294">
        <v>1</v>
      </c>
    </row>
    <row r="295" spans="1:84" x14ac:dyDescent="0.2">
      <c r="A295" s="39">
        <v>43779</v>
      </c>
      <c r="B295" s="22" t="s">
        <v>244</v>
      </c>
      <c r="C295" t="s">
        <v>308</v>
      </c>
      <c r="D295" s="22" t="s">
        <v>256</v>
      </c>
      <c r="E295">
        <v>17.579999999999998</v>
      </c>
      <c r="F295">
        <v>19.100000000000001</v>
      </c>
      <c r="G295">
        <v>89</v>
      </c>
      <c r="H295">
        <v>4</v>
      </c>
      <c r="I295">
        <v>0</v>
      </c>
      <c r="J295">
        <v>0</v>
      </c>
      <c r="K295">
        <v>0</v>
      </c>
      <c r="L295">
        <v>5.9</v>
      </c>
      <c r="M295">
        <v>26</v>
      </c>
      <c r="N295">
        <v>4</v>
      </c>
      <c r="O295">
        <v>12</v>
      </c>
      <c r="P295">
        <v>70</v>
      </c>
      <c r="Q295">
        <v>10</v>
      </c>
      <c r="R295">
        <v>5.5</v>
      </c>
      <c r="S295">
        <v>35</v>
      </c>
      <c r="T295">
        <v>2</v>
      </c>
      <c r="U295">
        <v>11.299999999999999</v>
      </c>
      <c r="V295">
        <v>63</v>
      </c>
      <c r="W295">
        <v>8</v>
      </c>
      <c r="X295">
        <v>20.2</v>
      </c>
      <c r="Y295">
        <v>62</v>
      </c>
      <c r="Z295">
        <v>10</v>
      </c>
      <c r="AA295">
        <v>11</v>
      </c>
      <c r="AB295">
        <v>2</v>
      </c>
      <c r="AC295">
        <v>18</v>
      </c>
      <c r="AD295" s="21">
        <v>0.43181818181818182</v>
      </c>
      <c r="AE295" s="21">
        <v>0.11363636363636363</v>
      </c>
      <c r="AF295">
        <v>60</v>
      </c>
      <c r="AG295">
        <v>19</v>
      </c>
      <c r="AH295">
        <v>34</v>
      </c>
      <c r="AI295">
        <v>27</v>
      </c>
      <c r="AJ295">
        <v>6</v>
      </c>
      <c r="AK295">
        <v>73</v>
      </c>
      <c r="AL295">
        <v>20</v>
      </c>
      <c r="AM295">
        <v>7</v>
      </c>
      <c r="AN295">
        <f>SUM(AO295:AR295)</f>
        <v>379</v>
      </c>
      <c r="AO295">
        <v>232</v>
      </c>
      <c r="AP295">
        <v>91</v>
      </c>
      <c r="AQ295">
        <v>3</v>
      </c>
      <c r="AR295">
        <v>53</v>
      </c>
    </row>
    <row r="296" spans="1:84" x14ac:dyDescent="0.2">
      <c r="A296" s="39">
        <v>43779</v>
      </c>
      <c r="B296" s="22" t="s">
        <v>244</v>
      </c>
      <c r="C296" t="s">
        <v>284</v>
      </c>
      <c r="D296" s="22" t="s">
        <v>285</v>
      </c>
      <c r="E296">
        <v>23.32</v>
      </c>
      <c r="F296">
        <v>23.6</v>
      </c>
      <c r="G296">
        <v>77</v>
      </c>
      <c r="H296">
        <v>8</v>
      </c>
      <c r="I296">
        <v>11.7</v>
      </c>
      <c r="J296">
        <v>4</v>
      </c>
      <c r="K296">
        <v>1</v>
      </c>
      <c r="L296">
        <v>12.2</v>
      </c>
      <c r="M296">
        <v>82</v>
      </c>
      <c r="N296">
        <v>6</v>
      </c>
      <c r="O296">
        <v>13.4</v>
      </c>
      <c r="P296">
        <v>74</v>
      </c>
      <c r="Q296">
        <v>12</v>
      </c>
      <c r="R296">
        <v>5.3</v>
      </c>
      <c r="S296">
        <v>33</v>
      </c>
      <c r="T296">
        <v>3</v>
      </c>
      <c r="U296">
        <v>27.5</v>
      </c>
      <c r="V296">
        <v>185</v>
      </c>
      <c r="W296">
        <v>13</v>
      </c>
      <c r="X296">
        <v>14.7</v>
      </c>
      <c r="Y296">
        <v>47</v>
      </c>
      <c r="Z296">
        <v>7</v>
      </c>
      <c r="AA296">
        <v>14</v>
      </c>
      <c r="AB296">
        <v>3</v>
      </c>
      <c r="AC296">
        <v>6</v>
      </c>
      <c r="AD296" s="21">
        <v>0.30909090909090908</v>
      </c>
      <c r="AE296" s="21">
        <v>7.2727272727272724E-2</v>
      </c>
      <c r="AF296">
        <v>28.6</v>
      </c>
      <c r="AG296">
        <v>9</v>
      </c>
      <c r="AH296">
        <v>48</v>
      </c>
      <c r="AI296">
        <v>23</v>
      </c>
      <c r="AJ296">
        <v>3</v>
      </c>
      <c r="AK296">
        <v>78</v>
      </c>
      <c r="AL296">
        <v>30</v>
      </c>
      <c r="AM296">
        <v>0</v>
      </c>
      <c r="AN296">
        <f>AO296+AP296+AQ296+AR296</f>
        <v>476</v>
      </c>
      <c r="AO296">
        <v>358</v>
      </c>
      <c r="AP296">
        <f>29+43+6</f>
        <v>78</v>
      </c>
      <c r="AQ296">
        <v>0</v>
      </c>
      <c r="AR296">
        <v>40</v>
      </c>
    </row>
    <row r="297" spans="1:84" x14ac:dyDescent="0.2">
      <c r="A297" s="39">
        <v>43779</v>
      </c>
      <c r="B297" s="22" t="s">
        <v>244</v>
      </c>
      <c r="C297" t="s">
        <v>310</v>
      </c>
      <c r="D297" s="22" t="s">
        <v>288</v>
      </c>
      <c r="E297">
        <v>19.940000000000001</v>
      </c>
      <c r="F297">
        <v>36.1</v>
      </c>
      <c r="G297">
        <v>188</v>
      </c>
      <c r="H297">
        <v>2</v>
      </c>
      <c r="I297">
        <v>0</v>
      </c>
      <c r="J297">
        <v>0</v>
      </c>
      <c r="K297">
        <v>0</v>
      </c>
      <c r="L297">
        <v>2.7</v>
      </c>
      <c r="M297">
        <v>17</v>
      </c>
      <c r="N297">
        <v>4</v>
      </c>
      <c r="O297" s="14">
        <v>9.3000000000000007</v>
      </c>
      <c r="P297">
        <v>23</v>
      </c>
      <c r="Q297">
        <v>1</v>
      </c>
      <c r="R297">
        <v>3</v>
      </c>
      <c r="S297">
        <v>20</v>
      </c>
      <c r="T297">
        <v>1</v>
      </c>
      <c r="U297">
        <v>13.600000000000001</v>
      </c>
      <c r="V297">
        <v>46</v>
      </c>
      <c r="W297">
        <v>5</v>
      </c>
      <c r="X297">
        <f>12.6+7</f>
        <v>19.600000000000001</v>
      </c>
      <c r="Y297">
        <v>66</v>
      </c>
      <c r="Z297">
        <v>10</v>
      </c>
      <c r="AA297">
        <v>3</v>
      </c>
      <c r="AB297">
        <v>0</v>
      </c>
      <c r="AC297">
        <v>11</v>
      </c>
      <c r="AD297" s="21">
        <v>0.32</v>
      </c>
      <c r="AE297" s="21">
        <v>0.16</v>
      </c>
      <c r="AF297">
        <v>33.299999999999997</v>
      </c>
      <c r="AG297">
        <v>5</v>
      </c>
      <c r="AH297">
        <v>19</v>
      </c>
      <c r="AI297">
        <v>23</v>
      </c>
      <c r="AJ297">
        <v>3</v>
      </c>
      <c r="AK297">
        <v>49</v>
      </c>
      <c r="AL297">
        <v>28</v>
      </c>
      <c r="AM297">
        <v>7</v>
      </c>
      <c r="AN297">
        <f t="shared" ref="AN297:AN302" si="19">SUM(AO297:AR297)</f>
        <v>406</v>
      </c>
      <c r="AO297">
        <v>181</v>
      </c>
      <c r="AP297">
        <v>188</v>
      </c>
      <c r="AQ297">
        <v>0</v>
      </c>
      <c r="AR297">
        <v>37</v>
      </c>
    </row>
    <row r="298" spans="1:84" x14ac:dyDescent="0.2">
      <c r="A298" s="39">
        <v>43786</v>
      </c>
      <c r="B298" s="22" t="s">
        <v>259</v>
      </c>
      <c r="C298" t="s">
        <v>285</v>
      </c>
      <c r="D298" s="22" t="s">
        <v>256</v>
      </c>
      <c r="E298">
        <v>26.7</v>
      </c>
      <c r="F298">
        <v>14</v>
      </c>
      <c r="G298">
        <v>67</v>
      </c>
      <c r="H298">
        <v>7</v>
      </c>
      <c r="I298">
        <v>0</v>
      </c>
      <c r="J298">
        <v>0</v>
      </c>
      <c r="K298">
        <v>0</v>
      </c>
      <c r="L298">
        <v>13.7</v>
      </c>
      <c r="M298">
        <v>37</v>
      </c>
      <c r="N298">
        <v>5</v>
      </c>
      <c r="O298">
        <v>10.199999999999999</v>
      </c>
      <c r="P298">
        <v>41</v>
      </c>
      <c r="Q298">
        <v>9</v>
      </c>
      <c r="R298">
        <v>12.5</v>
      </c>
      <c r="S298">
        <v>35</v>
      </c>
      <c r="T298">
        <v>4</v>
      </c>
      <c r="U298">
        <v>26.8</v>
      </c>
      <c r="V298">
        <v>68</v>
      </c>
      <c r="W298">
        <v>11</v>
      </c>
      <c r="X298">
        <v>1.4</v>
      </c>
      <c r="Y298">
        <v>4</v>
      </c>
      <c r="Z298">
        <v>1</v>
      </c>
      <c r="AA298">
        <v>9</v>
      </c>
      <c r="AB298">
        <v>2</v>
      </c>
      <c r="AC298">
        <v>5</v>
      </c>
      <c r="AD298" s="21">
        <v>0.32432432432432434</v>
      </c>
      <c r="AE298" s="21">
        <v>0.10810810810810811</v>
      </c>
      <c r="AF298">
        <v>62.5</v>
      </c>
      <c r="AG298">
        <v>14</v>
      </c>
      <c r="AH298">
        <v>33</v>
      </c>
      <c r="AI298">
        <v>16</v>
      </c>
      <c r="AJ298">
        <v>8</v>
      </c>
      <c r="AK298">
        <v>62</v>
      </c>
      <c r="AL298">
        <v>26</v>
      </c>
      <c r="AM298">
        <v>0</v>
      </c>
      <c r="AN298">
        <f t="shared" si="19"/>
        <v>285</v>
      </c>
      <c r="AO298">
        <v>150</v>
      </c>
      <c r="AP298">
        <v>67</v>
      </c>
      <c r="AQ298">
        <v>1</v>
      </c>
      <c r="AR298">
        <v>67</v>
      </c>
    </row>
    <row r="299" spans="1:84" x14ac:dyDescent="0.2">
      <c r="A299" s="39">
        <v>43786</v>
      </c>
      <c r="B299" s="22" t="s">
        <v>259</v>
      </c>
      <c r="C299" t="s">
        <v>295</v>
      </c>
      <c r="D299" s="22" t="s">
        <v>301</v>
      </c>
      <c r="E299">
        <v>19.440000000000001</v>
      </c>
      <c r="F299">
        <v>4.8</v>
      </c>
      <c r="G299">
        <v>30</v>
      </c>
      <c r="H299">
        <v>3</v>
      </c>
      <c r="I299">
        <v>7.1</v>
      </c>
      <c r="J299">
        <v>11</v>
      </c>
      <c r="K299">
        <v>1</v>
      </c>
      <c r="L299">
        <v>14.7</v>
      </c>
      <c r="M299">
        <v>91</v>
      </c>
      <c r="N299">
        <v>8</v>
      </c>
      <c r="O299">
        <v>31.3</v>
      </c>
      <c r="P299">
        <v>143</v>
      </c>
      <c r="Q299">
        <v>8</v>
      </c>
      <c r="R299">
        <v>5.2</v>
      </c>
      <c r="S299">
        <v>32</v>
      </c>
      <c r="T299">
        <v>4</v>
      </c>
      <c r="U299">
        <v>17.2</v>
      </c>
      <c r="V299">
        <v>112</v>
      </c>
      <c r="W299">
        <v>9</v>
      </c>
      <c r="X299">
        <v>4.3</v>
      </c>
      <c r="Y299">
        <v>23</v>
      </c>
      <c r="Z299">
        <v>2</v>
      </c>
      <c r="AA299">
        <v>11</v>
      </c>
      <c r="AB299">
        <v>4</v>
      </c>
      <c r="AC299">
        <v>26</v>
      </c>
      <c r="AD299" s="21">
        <v>0.47058823529411764</v>
      </c>
      <c r="AE299" s="21">
        <v>8.8235294117647065E-2</v>
      </c>
      <c r="AF299">
        <v>91.7</v>
      </c>
      <c r="AG299">
        <v>2</v>
      </c>
      <c r="AH299">
        <v>31</v>
      </c>
      <c r="AI299">
        <v>22</v>
      </c>
      <c r="AJ299">
        <v>3</v>
      </c>
      <c r="AK299">
        <v>61</v>
      </c>
      <c r="AL299">
        <v>22</v>
      </c>
      <c r="AM299">
        <v>7</v>
      </c>
      <c r="AN299">
        <f t="shared" si="19"/>
        <v>365</v>
      </c>
      <c r="AO299">
        <v>311</v>
      </c>
      <c r="AP299">
        <f>15+11+30+3</f>
        <v>59</v>
      </c>
      <c r="AQ299">
        <v>-4</v>
      </c>
      <c r="AR299">
        <v>-1</v>
      </c>
    </row>
    <row r="300" spans="1:84" x14ac:dyDescent="0.2">
      <c r="A300" s="39">
        <v>43786</v>
      </c>
      <c r="B300" s="22" t="s">
        <v>259</v>
      </c>
      <c r="C300" s="41" t="s">
        <v>305</v>
      </c>
      <c r="D300" s="22" t="s">
        <v>311</v>
      </c>
      <c r="E300">
        <v>33.479999999999997</v>
      </c>
      <c r="F300">
        <v>23.5</v>
      </c>
      <c r="G300">
        <v>48</v>
      </c>
      <c r="H300">
        <v>4</v>
      </c>
      <c r="I300">
        <v>20.2</v>
      </c>
      <c r="J300">
        <v>112</v>
      </c>
      <c r="K300">
        <v>0</v>
      </c>
      <c r="L300">
        <v>4.3</v>
      </c>
      <c r="M300">
        <v>23</v>
      </c>
      <c r="N300">
        <v>4</v>
      </c>
      <c r="O300">
        <v>3.3</v>
      </c>
      <c r="P300">
        <v>13</v>
      </c>
      <c r="Q300">
        <v>3</v>
      </c>
      <c r="R300">
        <v>8.5</v>
      </c>
      <c r="S300">
        <v>15</v>
      </c>
      <c r="T300">
        <v>1</v>
      </c>
      <c r="U300">
        <v>26.7</v>
      </c>
      <c r="V300">
        <v>117</v>
      </c>
      <c r="W300">
        <v>13</v>
      </c>
      <c r="X300">
        <f>17.5+4+3.6</f>
        <v>25.1</v>
      </c>
      <c r="Y300">
        <f>75+20+16</f>
        <v>111</v>
      </c>
      <c r="Z300">
        <v>9</v>
      </c>
      <c r="AA300">
        <v>12</v>
      </c>
      <c r="AB300">
        <v>3</v>
      </c>
      <c r="AC300">
        <v>15</v>
      </c>
      <c r="AD300" s="21">
        <v>0.14285714285714285</v>
      </c>
      <c r="AE300" s="21">
        <v>0</v>
      </c>
      <c r="AF300">
        <v>50</v>
      </c>
      <c r="AG300">
        <v>-3</v>
      </c>
      <c r="AH300">
        <v>26</v>
      </c>
      <c r="AI300">
        <f>13+8+5</f>
        <v>26</v>
      </c>
      <c r="AJ300">
        <v>10</v>
      </c>
      <c r="AK300">
        <v>64</v>
      </c>
      <c r="AL300">
        <v>41</v>
      </c>
      <c r="AM300">
        <v>0</v>
      </c>
      <c r="AN300">
        <f t="shared" si="19"/>
        <v>500</v>
      </c>
      <c r="AO300">
        <v>237</v>
      </c>
      <c r="AP300">
        <f>48+112+18</f>
        <v>178</v>
      </c>
      <c r="AQ300">
        <v>0</v>
      </c>
      <c r="AR300">
        <v>85</v>
      </c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37"/>
      <c r="BD300" s="37"/>
      <c r="BE300" s="37"/>
      <c r="BF300" s="37"/>
      <c r="BG300" s="37"/>
      <c r="BH300" s="37"/>
      <c r="BI300" s="37"/>
      <c r="BJ300" s="37"/>
      <c r="BK300" s="37"/>
      <c r="BL300" s="37"/>
      <c r="BM300" s="37"/>
      <c r="BN300" s="37"/>
      <c r="BO300" s="37"/>
      <c r="BP300" s="37"/>
      <c r="BQ300" s="37"/>
      <c r="BR300" s="37"/>
      <c r="BS300" s="37"/>
      <c r="BT300" s="37"/>
      <c r="BU300" s="37"/>
      <c r="BV300" s="37"/>
      <c r="BW300" s="37"/>
      <c r="BX300" s="37"/>
      <c r="BY300" s="37"/>
      <c r="BZ300" s="37"/>
      <c r="CA300" s="37"/>
      <c r="CB300" s="37"/>
      <c r="CC300" s="37"/>
      <c r="CD300" s="37"/>
      <c r="CE300" s="37"/>
      <c r="CF300" s="37"/>
    </row>
    <row r="301" spans="1:84" x14ac:dyDescent="0.2">
      <c r="A301" s="39">
        <v>43786</v>
      </c>
      <c r="B301" s="22" t="s">
        <v>259</v>
      </c>
      <c r="C301" t="s">
        <v>276</v>
      </c>
      <c r="D301" s="22" t="s">
        <v>293</v>
      </c>
      <c r="E301">
        <v>33.840000000000003</v>
      </c>
      <c r="F301">
        <v>8.9</v>
      </c>
      <c r="G301">
        <v>75</v>
      </c>
      <c r="H301">
        <v>1</v>
      </c>
      <c r="I301">
        <v>5.5</v>
      </c>
      <c r="J301">
        <v>27</v>
      </c>
      <c r="K301">
        <v>2</v>
      </c>
      <c r="L301">
        <v>37.700000000000003</v>
      </c>
      <c r="M301">
        <v>137</v>
      </c>
      <c r="N301">
        <v>14</v>
      </c>
      <c r="O301">
        <v>7.8</v>
      </c>
      <c r="P301">
        <v>38</v>
      </c>
      <c r="Q301">
        <v>4</v>
      </c>
      <c r="R301">
        <v>6.1</v>
      </c>
      <c r="S301">
        <v>21</v>
      </c>
      <c r="T301">
        <v>6</v>
      </c>
      <c r="U301">
        <v>12</v>
      </c>
      <c r="V301">
        <v>60</v>
      </c>
      <c r="W301">
        <v>8</v>
      </c>
      <c r="X301">
        <v>12.8</v>
      </c>
      <c r="Y301">
        <v>38</v>
      </c>
      <c r="Z301">
        <v>4</v>
      </c>
      <c r="AA301">
        <v>15</v>
      </c>
      <c r="AB301">
        <v>3</v>
      </c>
      <c r="AC301">
        <v>10</v>
      </c>
      <c r="AD301" s="21">
        <v>0.16666666666666666</v>
      </c>
      <c r="AE301" s="21">
        <v>0</v>
      </c>
      <c r="AF301">
        <v>100</v>
      </c>
      <c r="AG301">
        <v>2</v>
      </c>
      <c r="AH301">
        <v>33</v>
      </c>
      <c r="AI301">
        <v>26</v>
      </c>
      <c r="AJ301">
        <v>7</v>
      </c>
      <c r="AK301">
        <v>67</v>
      </c>
      <c r="AL301">
        <v>37</v>
      </c>
      <c r="AM301">
        <v>0</v>
      </c>
      <c r="AN301">
        <f t="shared" si="19"/>
        <v>424</v>
      </c>
      <c r="AO301">
        <v>256</v>
      </c>
      <c r="AP301">
        <f>75+27</f>
        <v>102</v>
      </c>
      <c r="AQ301">
        <v>10</v>
      </c>
      <c r="AR301">
        <v>56</v>
      </c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37"/>
      <c r="BD301" s="37"/>
      <c r="BE301" s="37"/>
      <c r="BF301" s="37"/>
      <c r="BG301" s="37"/>
      <c r="BH301" s="37"/>
      <c r="BI301" s="37"/>
      <c r="BJ301" s="37"/>
      <c r="BK301" s="37"/>
      <c r="BL301" s="37"/>
      <c r="BM301" s="37"/>
      <c r="BN301" s="37"/>
      <c r="BO301" s="37"/>
      <c r="BP301" s="37"/>
      <c r="BQ301" s="37"/>
      <c r="BR301" s="37"/>
      <c r="BS301" s="37"/>
      <c r="BT301" s="37"/>
      <c r="BU301" s="37"/>
      <c r="BV301" s="37"/>
      <c r="BW301" s="37"/>
      <c r="BX301" s="37"/>
      <c r="BY301" s="37"/>
      <c r="BZ301" s="37"/>
      <c r="CA301" s="37"/>
      <c r="CB301" s="37"/>
      <c r="CC301" s="37"/>
      <c r="CD301" s="37"/>
      <c r="CE301" s="37"/>
      <c r="CF301" s="37"/>
    </row>
    <row r="302" spans="1:84" x14ac:dyDescent="0.2">
      <c r="A302" s="39">
        <v>43786</v>
      </c>
      <c r="B302" s="22" t="s">
        <v>259</v>
      </c>
      <c r="C302" t="s">
        <v>301</v>
      </c>
      <c r="D302" s="22" t="s">
        <v>295</v>
      </c>
      <c r="E302">
        <v>12.7</v>
      </c>
      <c r="F302">
        <v>33.1</v>
      </c>
      <c r="G302">
        <v>70</v>
      </c>
      <c r="H302">
        <v>14</v>
      </c>
      <c r="I302">
        <v>2.8</v>
      </c>
      <c r="J302">
        <v>0</v>
      </c>
      <c r="K302">
        <v>3</v>
      </c>
      <c r="L302">
        <v>17.5</v>
      </c>
      <c r="M302">
        <v>95</v>
      </c>
      <c r="N302">
        <v>15</v>
      </c>
      <c r="O302">
        <v>6.5</v>
      </c>
      <c r="P302">
        <v>25</v>
      </c>
      <c r="Q302">
        <v>7</v>
      </c>
      <c r="R302">
        <v>2.9</v>
      </c>
      <c r="S302">
        <v>19</v>
      </c>
      <c r="T302">
        <v>2</v>
      </c>
      <c r="U302">
        <v>10.9</v>
      </c>
      <c r="V302">
        <v>49</v>
      </c>
      <c r="W302">
        <v>11</v>
      </c>
      <c r="X302">
        <v>10.7</v>
      </c>
      <c r="Y302">
        <v>57</v>
      </c>
      <c r="Z302">
        <v>6</v>
      </c>
      <c r="AA302">
        <v>3</v>
      </c>
      <c r="AB302">
        <v>1</v>
      </c>
      <c r="AC302">
        <v>2</v>
      </c>
      <c r="AD302" s="21">
        <v>0.4642857142857143</v>
      </c>
      <c r="AE302" s="21">
        <v>8.9285714285714288E-2</v>
      </c>
      <c r="AF302">
        <v>76.5</v>
      </c>
      <c r="AG302">
        <v>26</v>
      </c>
      <c r="AH302">
        <v>50</v>
      </c>
      <c r="AI302">
        <v>14</v>
      </c>
      <c r="AJ302">
        <v>1</v>
      </c>
      <c r="AK302">
        <v>70</v>
      </c>
      <c r="AL302">
        <v>3</v>
      </c>
      <c r="AM302">
        <v>0</v>
      </c>
      <c r="AN302">
        <f t="shared" si="19"/>
        <v>402</v>
      </c>
      <c r="AO302">
        <v>325</v>
      </c>
      <c r="AP302">
        <v>70</v>
      </c>
      <c r="AQ302">
        <v>0</v>
      </c>
      <c r="AR302">
        <v>7</v>
      </c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37"/>
      <c r="BD302" s="37"/>
      <c r="BE302" s="37"/>
      <c r="BF302" s="37"/>
      <c r="BG302" s="37"/>
      <c r="BH302" s="37"/>
      <c r="BI302" s="37"/>
      <c r="BJ302" s="37"/>
      <c r="BK302" s="37"/>
      <c r="BL302" s="37"/>
      <c r="BM302" s="37"/>
      <c r="BN302" s="37"/>
      <c r="BO302" s="37"/>
      <c r="BP302" s="37"/>
      <c r="BQ302" s="37"/>
      <c r="BR302" s="37"/>
      <c r="BS302" s="37"/>
      <c r="BT302" s="37"/>
      <c r="BU302" s="37"/>
      <c r="BV302" s="37"/>
      <c r="BW302" s="37"/>
      <c r="BX302" s="37"/>
      <c r="BY302" s="37"/>
      <c r="BZ302" s="37"/>
      <c r="CA302" s="37"/>
      <c r="CB302" s="37"/>
      <c r="CC302" s="37"/>
      <c r="CD302" s="37"/>
      <c r="CE302" s="37"/>
      <c r="CF302" s="37"/>
    </row>
    <row r="303" spans="1:84" x14ac:dyDescent="0.2">
      <c r="A303" s="39">
        <v>43786</v>
      </c>
      <c r="B303" s="22" t="s">
        <v>259</v>
      </c>
      <c r="C303" t="s">
        <v>265</v>
      </c>
      <c r="D303" s="22" t="s">
        <v>304</v>
      </c>
      <c r="E303">
        <v>11.36</v>
      </c>
      <c r="F303">
        <v>6</v>
      </c>
      <c r="G303">
        <v>31</v>
      </c>
      <c r="H303">
        <v>6</v>
      </c>
      <c r="I303">
        <v>18.399999999999999</v>
      </c>
      <c r="J303">
        <v>39</v>
      </c>
      <c r="K303">
        <v>3</v>
      </c>
      <c r="L303">
        <v>5.5</v>
      </c>
      <c r="M303">
        <v>15</v>
      </c>
      <c r="N303">
        <v>6</v>
      </c>
      <c r="O303">
        <v>12.7</v>
      </c>
      <c r="P303">
        <v>57</v>
      </c>
      <c r="Q303">
        <v>14</v>
      </c>
      <c r="R303">
        <v>11.4</v>
      </c>
      <c r="S303">
        <v>54</v>
      </c>
      <c r="T303">
        <v>11</v>
      </c>
      <c r="U303">
        <v>21.5</v>
      </c>
      <c r="V303">
        <v>65</v>
      </c>
      <c r="W303">
        <v>16</v>
      </c>
      <c r="X303">
        <v>1.8</v>
      </c>
      <c r="Y303">
        <v>8</v>
      </c>
      <c r="Z303">
        <v>3</v>
      </c>
      <c r="AA303">
        <v>1</v>
      </c>
      <c r="AB303">
        <v>2</v>
      </c>
      <c r="AC303">
        <v>5</v>
      </c>
      <c r="AD303" s="21">
        <v>0.31111111111111112</v>
      </c>
      <c r="AE303" s="21">
        <v>2.2222222222222223E-2</v>
      </c>
      <c r="AF303">
        <v>81.8</v>
      </c>
      <c r="AG303">
        <v>9</v>
      </c>
      <c r="AH303">
        <v>47</v>
      </c>
      <c r="AI303">
        <v>23</v>
      </c>
      <c r="AJ303">
        <v>1</v>
      </c>
      <c r="AK303">
        <v>74</v>
      </c>
      <c r="AL303">
        <v>7</v>
      </c>
      <c r="AM303">
        <v>0</v>
      </c>
      <c r="AN303">
        <f>AO303+AP303+AQ303+AR303</f>
        <v>273</v>
      </c>
      <c r="AO303">
        <v>199</v>
      </c>
      <c r="AP303">
        <v>70</v>
      </c>
      <c r="AQ303">
        <v>0</v>
      </c>
      <c r="AR303">
        <v>4</v>
      </c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37"/>
      <c r="BD303" s="37"/>
      <c r="BE303" s="37"/>
      <c r="BF303" s="37"/>
      <c r="BG303" s="37"/>
      <c r="BH303" s="37"/>
      <c r="BI303" s="37"/>
      <c r="BJ303" s="37"/>
      <c r="BK303" s="37"/>
      <c r="BL303" s="37"/>
      <c r="BM303" s="37"/>
      <c r="BN303" s="37"/>
      <c r="BO303" s="37"/>
      <c r="BP303" s="37"/>
      <c r="BQ303" s="37"/>
      <c r="BR303" s="37"/>
      <c r="BS303" s="37"/>
      <c r="BT303" s="37"/>
      <c r="BU303" s="37"/>
      <c r="BV303" s="37"/>
      <c r="BW303" s="37"/>
      <c r="BX303" s="37"/>
      <c r="BY303" s="37"/>
      <c r="BZ303" s="37"/>
      <c r="CA303" s="37"/>
      <c r="CB303" s="37"/>
      <c r="CC303" s="37"/>
      <c r="CD303" s="37"/>
      <c r="CE303" s="37"/>
      <c r="CF303" s="37"/>
    </row>
    <row r="304" spans="1:84" x14ac:dyDescent="0.2">
      <c r="A304" s="39">
        <v>43786</v>
      </c>
      <c r="B304" s="28" t="s">
        <v>259</v>
      </c>
      <c r="C304" s="17" t="s">
        <v>272</v>
      </c>
      <c r="D304" s="28" t="s">
        <v>303</v>
      </c>
      <c r="E304" s="3">
        <v>7.3</v>
      </c>
      <c r="F304" s="3">
        <v>17.3</v>
      </c>
      <c r="G304" s="3">
        <v>86</v>
      </c>
      <c r="H304" s="3">
        <v>3</v>
      </c>
      <c r="I304" s="3">
        <v>5.6</v>
      </c>
      <c r="J304" s="3">
        <v>30</v>
      </c>
      <c r="K304" s="3">
        <v>3</v>
      </c>
      <c r="L304" s="3">
        <v>2</v>
      </c>
      <c r="M304" s="3">
        <v>0</v>
      </c>
      <c r="N304" s="3">
        <v>3</v>
      </c>
      <c r="O304" s="3">
        <v>9.6</v>
      </c>
      <c r="P304" s="3">
        <v>56</v>
      </c>
      <c r="Q304" s="3">
        <v>6</v>
      </c>
      <c r="R304" s="3">
        <v>1</v>
      </c>
      <c r="S304" s="3">
        <v>0</v>
      </c>
      <c r="T304" s="3">
        <v>5</v>
      </c>
      <c r="U304" s="3">
        <v>5</v>
      </c>
      <c r="V304" s="3">
        <v>20</v>
      </c>
      <c r="W304" s="3">
        <v>7</v>
      </c>
      <c r="X304" s="3">
        <v>2.6</v>
      </c>
      <c r="Y304" s="3">
        <v>26</v>
      </c>
      <c r="Z304" s="3">
        <v>9</v>
      </c>
      <c r="AA304" s="3">
        <v>5</v>
      </c>
      <c r="AB304" s="3">
        <v>2</v>
      </c>
      <c r="AC304" s="3">
        <v>8</v>
      </c>
      <c r="AD304" s="29">
        <v>0.34210526315789475</v>
      </c>
      <c r="AE304" s="29">
        <v>0.13157894736842105</v>
      </c>
      <c r="AF304" s="3">
        <v>85.7</v>
      </c>
      <c r="AG304" s="3">
        <v>13</v>
      </c>
      <c r="AH304" s="3">
        <v>31</v>
      </c>
      <c r="AI304" s="3">
        <v>18</v>
      </c>
      <c r="AJ304" s="3">
        <v>3</v>
      </c>
      <c r="AK304" s="3">
        <v>58</v>
      </c>
      <c r="AL304" s="3">
        <v>10</v>
      </c>
      <c r="AM304" s="3">
        <v>0</v>
      </c>
      <c r="AN304" s="3">
        <f>SUM(AO304:AR304)</f>
        <v>288</v>
      </c>
      <c r="AO304" s="3">
        <v>115</v>
      </c>
      <c r="AP304" s="3">
        <v>116</v>
      </c>
      <c r="AQ304" s="3">
        <v>10</v>
      </c>
      <c r="AR304" s="3">
        <v>47</v>
      </c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37"/>
      <c r="BD304" s="37"/>
      <c r="BE304" s="37"/>
      <c r="BF304" s="37"/>
      <c r="BG304" s="37"/>
      <c r="BH304" s="37"/>
      <c r="BI304" s="37"/>
      <c r="BJ304" s="37"/>
      <c r="BK304" s="37"/>
      <c r="BL304" s="37"/>
      <c r="BM304" s="37"/>
      <c r="BN304" s="37"/>
      <c r="BO304" s="37"/>
      <c r="BP304" s="37"/>
      <c r="BQ304" s="37"/>
      <c r="BR304" s="37"/>
      <c r="BS304" s="37"/>
      <c r="BT304" s="37"/>
      <c r="BU304" s="37"/>
      <c r="BV304" s="37"/>
      <c r="BW304" s="37"/>
      <c r="BX304" s="37"/>
      <c r="BY304" s="37"/>
      <c r="BZ304" s="37"/>
      <c r="CA304" s="37"/>
      <c r="CB304" s="37"/>
      <c r="CC304" s="37"/>
      <c r="CD304" s="37"/>
      <c r="CE304" s="37"/>
      <c r="CF304" s="37"/>
    </row>
    <row r="305" spans="1:84" x14ac:dyDescent="0.2">
      <c r="A305" s="39">
        <v>43786</v>
      </c>
      <c r="B305" s="22" t="s">
        <v>259</v>
      </c>
      <c r="C305" t="s">
        <v>281</v>
      </c>
      <c r="D305" s="22" t="s">
        <v>309</v>
      </c>
      <c r="E305">
        <v>21.82</v>
      </c>
      <c r="F305">
        <v>9.1999999999999993</v>
      </c>
      <c r="G305">
        <v>92</v>
      </c>
      <c r="H305">
        <v>1</v>
      </c>
      <c r="I305">
        <v>11.8</v>
      </c>
      <c r="J305">
        <v>12</v>
      </c>
      <c r="K305">
        <v>8</v>
      </c>
      <c r="L305">
        <v>10</v>
      </c>
      <c r="M305">
        <v>60</v>
      </c>
      <c r="N305">
        <v>10</v>
      </c>
      <c r="O305">
        <v>14.3</v>
      </c>
      <c r="P305">
        <v>43</v>
      </c>
      <c r="Q305">
        <v>7</v>
      </c>
      <c r="R305">
        <v>5.0999999999999996</v>
      </c>
      <c r="S305">
        <v>41</v>
      </c>
      <c r="T305">
        <v>2</v>
      </c>
      <c r="U305">
        <v>11.6</v>
      </c>
      <c r="V305">
        <v>76</v>
      </c>
      <c r="W305">
        <v>7</v>
      </c>
      <c r="X305">
        <v>7.8</v>
      </c>
      <c r="Y305">
        <v>8</v>
      </c>
      <c r="Z305">
        <v>1</v>
      </c>
      <c r="AA305">
        <v>3</v>
      </c>
      <c r="AB305">
        <v>2</v>
      </c>
      <c r="AC305">
        <v>16</v>
      </c>
      <c r="AD305" s="21">
        <v>0.42424242424242425</v>
      </c>
      <c r="AE305" s="21">
        <v>3.0303030303030304E-2</v>
      </c>
      <c r="AF305">
        <v>54.5</v>
      </c>
      <c r="AG305">
        <v>1</v>
      </c>
      <c r="AH305">
        <v>32</v>
      </c>
      <c r="AI305">
        <v>33</v>
      </c>
      <c r="AJ305">
        <v>2</v>
      </c>
      <c r="AK305">
        <v>68</v>
      </c>
      <c r="AL305">
        <v>21</v>
      </c>
      <c r="AM305">
        <v>0</v>
      </c>
      <c r="AN305">
        <f>SUM(AO305:AR305)</f>
        <v>297</v>
      </c>
      <c r="AO305">
        <v>193</v>
      </c>
      <c r="AP305">
        <v>104</v>
      </c>
      <c r="AQ305">
        <v>0</v>
      </c>
      <c r="AR305">
        <v>0</v>
      </c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37"/>
      <c r="BD305" s="37"/>
      <c r="BE305" s="37"/>
      <c r="BF305" s="37"/>
      <c r="BG305" s="37"/>
      <c r="BH305" s="37"/>
      <c r="BI305" s="37"/>
      <c r="BJ305" s="37"/>
      <c r="BK305" s="37"/>
      <c r="BL305" s="37"/>
      <c r="BM305" s="37"/>
      <c r="BN305" s="37"/>
      <c r="BO305" s="37"/>
      <c r="BP305" s="37"/>
      <c r="BQ305" s="37"/>
      <c r="BR305" s="37"/>
      <c r="BS305" s="37"/>
      <c r="BT305" s="37"/>
      <c r="BU305" s="37"/>
      <c r="BV305" s="37"/>
      <c r="BW305" s="37"/>
      <c r="BX305" s="37"/>
      <c r="BY305" s="37"/>
      <c r="BZ305" s="37"/>
      <c r="CA305" s="37"/>
      <c r="CB305" s="37"/>
      <c r="CC305" s="37"/>
      <c r="CD305" s="37"/>
      <c r="CE305" s="37"/>
      <c r="CF305" s="37"/>
    </row>
    <row r="306" spans="1:84" x14ac:dyDescent="0.2">
      <c r="A306" s="39">
        <v>43786</v>
      </c>
      <c r="B306" s="22" t="s">
        <v>259</v>
      </c>
      <c r="C306" t="s">
        <v>291</v>
      </c>
      <c r="D306" s="22" t="s">
        <v>299</v>
      </c>
      <c r="E306">
        <v>34.56</v>
      </c>
      <c r="F306">
        <v>20.3</v>
      </c>
      <c r="G306">
        <v>45</v>
      </c>
      <c r="H306">
        <v>3</v>
      </c>
      <c r="I306">
        <v>17.600000000000001</v>
      </c>
      <c r="J306">
        <v>12</v>
      </c>
      <c r="K306">
        <v>4</v>
      </c>
      <c r="L306">
        <v>6.8</v>
      </c>
      <c r="M306">
        <v>38</v>
      </c>
      <c r="N306">
        <v>8</v>
      </c>
      <c r="O306">
        <v>26.8</v>
      </c>
      <c r="P306">
        <v>148</v>
      </c>
      <c r="Q306">
        <v>13</v>
      </c>
      <c r="R306">
        <v>24.5</v>
      </c>
      <c r="S306">
        <v>115</v>
      </c>
      <c r="T306">
        <v>7</v>
      </c>
      <c r="U306">
        <v>34.9</v>
      </c>
      <c r="V306">
        <v>189</v>
      </c>
      <c r="W306">
        <v>14</v>
      </c>
      <c r="X306">
        <f>8.3+5.8</f>
        <v>14.100000000000001</v>
      </c>
      <c r="Y306">
        <f>33+38</f>
        <v>71</v>
      </c>
      <c r="Z306">
        <v>9</v>
      </c>
      <c r="AA306">
        <v>9</v>
      </c>
      <c r="AB306">
        <v>2</v>
      </c>
      <c r="AC306">
        <v>3</v>
      </c>
      <c r="AD306" s="21">
        <v>0.30612244897959184</v>
      </c>
      <c r="AE306" s="21">
        <v>2.0408163265306121E-2</v>
      </c>
      <c r="AF306">
        <v>60</v>
      </c>
      <c r="AG306">
        <v>-1</v>
      </c>
      <c r="AH306">
        <v>46</v>
      </c>
      <c r="AI306">
        <v>18</v>
      </c>
      <c r="AJ306">
        <v>6</v>
      </c>
      <c r="AK306">
        <v>71</v>
      </c>
      <c r="AL306">
        <v>35</v>
      </c>
      <c r="AM306">
        <v>0</v>
      </c>
      <c r="AN306">
        <f>SUM(AO306:AR306)</f>
        <v>519</v>
      </c>
      <c r="AO306">
        <v>444</v>
      </c>
      <c r="AP306">
        <v>57</v>
      </c>
      <c r="AQ306">
        <v>0</v>
      </c>
      <c r="AR306">
        <v>18</v>
      </c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37"/>
      <c r="BD306" s="37"/>
      <c r="BE306" s="37"/>
      <c r="BF306" s="37"/>
      <c r="BG306" s="37"/>
      <c r="BH306" s="37"/>
      <c r="BI306" s="37"/>
      <c r="BJ306" s="37"/>
      <c r="BK306" s="37"/>
      <c r="BL306" s="37"/>
      <c r="BM306" s="37"/>
      <c r="BN306" s="37"/>
      <c r="BO306" s="37"/>
      <c r="BP306" s="37"/>
      <c r="BQ306" s="37"/>
      <c r="BR306" s="37"/>
      <c r="BS306" s="37"/>
      <c r="BT306" s="37"/>
      <c r="BU306" s="37"/>
      <c r="BV306" s="37"/>
      <c r="BW306" s="37"/>
      <c r="BX306" s="37"/>
      <c r="BY306" s="37"/>
      <c r="BZ306" s="37"/>
      <c r="CA306" s="37"/>
      <c r="CB306" s="37"/>
      <c r="CC306" s="37"/>
      <c r="CD306" s="37"/>
      <c r="CE306" s="37"/>
      <c r="CF306" s="37"/>
    </row>
    <row r="307" spans="1:84" x14ac:dyDescent="0.2">
      <c r="A307" s="39">
        <v>43786</v>
      </c>
      <c r="B307" t="s">
        <v>259</v>
      </c>
      <c r="C307" t="s">
        <v>278</v>
      </c>
      <c r="D307" t="s">
        <v>312</v>
      </c>
      <c r="E307">
        <v>14.4</v>
      </c>
      <c r="F307">
        <v>9.5</v>
      </c>
      <c r="G307">
        <v>67</v>
      </c>
      <c r="H307">
        <v>2</v>
      </c>
      <c r="I307">
        <v>5.5</v>
      </c>
      <c r="J307">
        <v>31</v>
      </c>
      <c r="K307">
        <v>1</v>
      </c>
      <c r="L307">
        <v>21.82</v>
      </c>
      <c r="M307">
        <v>113</v>
      </c>
      <c r="N307">
        <v>9</v>
      </c>
      <c r="O307">
        <v>11.7</v>
      </c>
      <c r="P307">
        <v>77</v>
      </c>
      <c r="Q307">
        <v>8</v>
      </c>
      <c r="R307">
        <v>0</v>
      </c>
      <c r="S307">
        <v>0</v>
      </c>
      <c r="T307">
        <v>0</v>
      </c>
      <c r="U307">
        <v>4.5</v>
      </c>
      <c r="V307">
        <v>15</v>
      </c>
      <c r="W307">
        <v>7</v>
      </c>
      <c r="X307">
        <v>16.600000000000001</v>
      </c>
      <c r="Y307">
        <v>63</v>
      </c>
      <c r="Z307">
        <v>14</v>
      </c>
      <c r="AA307">
        <v>13</v>
      </c>
      <c r="AB307">
        <v>4</v>
      </c>
      <c r="AC307">
        <v>9</v>
      </c>
      <c r="AD307">
        <v>0.33333333333333331</v>
      </c>
      <c r="AE307">
        <v>4.7619047619047616E-2</v>
      </c>
      <c r="AF307">
        <v>42.9</v>
      </c>
      <c r="AG307">
        <v>4</v>
      </c>
      <c r="AH307">
        <v>39</v>
      </c>
      <c r="AI307">
        <v>26</v>
      </c>
      <c r="AJ307">
        <v>3</v>
      </c>
      <c r="AK307">
        <v>75</v>
      </c>
      <c r="AL307">
        <v>23</v>
      </c>
      <c r="AM307">
        <v>0</v>
      </c>
      <c r="AN307">
        <v>364</v>
      </c>
      <c r="AO307">
        <v>240</v>
      </c>
      <c r="AP307">
        <v>103</v>
      </c>
      <c r="AQ307">
        <v>3</v>
      </c>
      <c r="AR307">
        <v>18</v>
      </c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37"/>
      <c r="BD307" s="37"/>
      <c r="BE307" s="37"/>
      <c r="BF307" s="37"/>
      <c r="BG307" s="37"/>
      <c r="BH307" s="37"/>
      <c r="BI307" s="37"/>
      <c r="BJ307" s="37"/>
      <c r="BK307" s="37"/>
      <c r="BL307" s="37"/>
      <c r="BM307" s="37"/>
      <c r="BN307" s="37"/>
      <c r="BO307" s="37"/>
      <c r="BP307" s="37"/>
      <c r="BQ307" s="37"/>
      <c r="BR307" s="37"/>
      <c r="BS307" s="37"/>
      <c r="BT307" s="37"/>
      <c r="BU307" s="37"/>
      <c r="BV307" s="37"/>
      <c r="BW307" s="37"/>
      <c r="BX307" s="37"/>
      <c r="BY307" s="37"/>
      <c r="BZ307" s="37"/>
      <c r="CA307" s="37"/>
      <c r="CB307" s="37"/>
      <c r="CC307" s="37"/>
      <c r="CD307" s="37"/>
      <c r="CE307" s="37"/>
      <c r="CF307" s="37"/>
    </row>
    <row r="308" spans="1:84" x14ac:dyDescent="0.2">
      <c r="A308" s="39">
        <v>43786</v>
      </c>
      <c r="B308" s="22" t="s">
        <v>259</v>
      </c>
      <c r="C308" t="s">
        <v>299</v>
      </c>
      <c r="D308" s="22" t="s">
        <v>291</v>
      </c>
      <c r="E308">
        <v>27.46</v>
      </c>
      <c r="F308">
        <v>11.5</v>
      </c>
      <c r="G308">
        <v>55</v>
      </c>
      <c r="H308">
        <v>0</v>
      </c>
      <c r="I308">
        <v>8.3000000000000007</v>
      </c>
      <c r="J308">
        <v>13</v>
      </c>
      <c r="K308">
        <v>4</v>
      </c>
      <c r="L308">
        <v>4.4000000000000004</v>
      </c>
      <c r="M308">
        <v>34</v>
      </c>
      <c r="N308">
        <v>5</v>
      </c>
      <c r="O308">
        <v>19.899999999999999</v>
      </c>
      <c r="P308">
        <v>43</v>
      </c>
      <c r="Q308">
        <v>5</v>
      </c>
      <c r="R308">
        <v>8.6999999999999993</v>
      </c>
      <c r="S308">
        <v>47</v>
      </c>
      <c r="T308">
        <v>5</v>
      </c>
      <c r="U308">
        <v>32.700000000000003</v>
      </c>
      <c r="V308">
        <v>167</v>
      </c>
      <c r="W308">
        <v>15</v>
      </c>
      <c r="X308">
        <v>1.6</v>
      </c>
      <c r="Y308">
        <v>6</v>
      </c>
      <c r="Z308">
        <v>2</v>
      </c>
      <c r="AA308">
        <v>3</v>
      </c>
      <c r="AB308">
        <v>0</v>
      </c>
      <c r="AC308">
        <v>-1</v>
      </c>
      <c r="AD308" s="21">
        <v>0.5</v>
      </c>
      <c r="AE308" s="21">
        <v>8.8235294117647065E-2</v>
      </c>
      <c r="AF308">
        <v>57.1</v>
      </c>
      <c r="AG308">
        <v>3</v>
      </c>
      <c r="AH308">
        <v>26</v>
      </c>
      <c r="AI308">
        <v>19</v>
      </c>
      <c r="AJ308">
        <v>8</v>
      </c>
      <c r="AK308">
        <v>57</v>
      </c>
      <c r="AL308">
        <v>27</v>
      </c>
      <c r="AM308">
        <v>0</v>
      </c>
      <c r="AN308">
        <f t="shared" ref="AN308:AN322" si="20">SUM(AO308:AR308)</f>
        <v>330</v>
      </c>
      <c r="AO308">
        <v>209</v>
      </c>
      <c r="AP308">
        <f>55+13+6</f>
        <v>74</v>
      </c>
      <c r="AQ308">
        <v>-4</v>
      </c>
      <c r="AR308">
        <v>51</v>
      </c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37"/>
      <c r="BD308" s="37"/>
      <c r="BE308" s="37"/>
      <c r="BF308" s="37"/>
      <c r="BG308" s="37"/>
      <c r="BH308" s="37"/>
      <c r="BI308" s="37"/>
      <c r="BJ308" s="37"/>
      <c r="BK308" s="37"/>
      <c r="BL308" s="37"/>
      <c r="BM308" s="37"/>
      <c r="BN308" s="37"/>
      <c r="BO308" s="37"/>
      <c r="BP308" s="37"/>
      <c r="BQ308" s="37"/>
      <c r="BR308" s="37"/>
      <c r="BS308" s="37"/>
      <c r="BT308" s="37"/>
      <c r="BU308" s="37"/>
      <c r="BV308" s="37"/>
      <c r="BW308" s="37"/>
      <c r="BX308" s="37"/>
      <c r="BY308" s="37"/>
      <c r="BZ308" s="37"/>
      <c r="CA308" s="37"/>
      <c r="CB308" s="37"/>
      <c r="CC308" s="37"/>
      <c r="CD308" s="37"/>
      <c r="CE308" s="37"/>
      <c r="CF308" s="37"/>
    </row>
    <row r="309" spans="1:84" x14ac:dyDescent="0.2">
      <c r="A309" s="39">
        <v>43786</v>
      </c>
      <c r="B309" s="22" t="s">
        <v>259</v>
      </c>
      <c r="C309" t="s">
        <v>311</v>
      </c>
      <c r="D309" s="22" t="s">
        <v>305</v>
      </c>
      <c r="E309">
        <v>5.96</v>
      </c>
      <c r="F309">
        <v>12.5</v>
      </c>
      <c r="G309">
        <v>65</v>
      </c>
      <c r="H309">
        <v>1</v>
      </c>
      <c r="I309">
        <v>6.4</v>
      </c>
      <c r="J309">
        <v>40</v>
      </c>
      <c r="K309">
        <v>2</v>
      </c>
      <c r="L309">
        <v>15</v>
      </c>
      <c r="M309">
        <v>80</v>
      </c>
      <c r="N309">
        <v>12</v>
      </c>
      <c r="O309">
        <v>6.7</v>
      </c>
      <c r="P309">
        <v>27</v>
      </c>
      <c r="Q309">
        <v>7</v>
      </c>
      <c r="R309">
        <v>5.5</v>
      </c>
      <c r="S309">
        <v>25</v>
      </c>
      <c r="T309">
        <v>3</v>
      </c>
      <c r="U309">
        <v>10.199999999999999</v>
      </c>
      <c r="V309">
        <v>52</v>
      </c>
      <c r="W309">
        <v>9</v>
      </c>
      <c r="X309">
        <v>5.3</v>
      </c>
      <c r="Y309">
        <v>33</v>
      </c>
      <c r="Z309">
        <v>5</v>
      </c>
      <c r="AA309">
        <v>1</v>
      </c>
      <c r="AB309">
        <v>1</v>
      </c>
      <c r="AC309">
        <v>-3</v>
      </c>
      <c r="AD309" s="21">
        <v>0.40540540540540543</v>
      </c>
      <c r="AE309" s="21">
        <v>0.16216216216216217</v>
      </c>
      <c r="AF309">
        <v>33.299999999999997</v>
      </c>
      <c r="AG309">
        <v>15</v>
      </c>
      <c r="AH309">
        <v>30</v>
      </c>
      <c r="AI309">
        <f>9+6+2</f>
        <v>17</v>
      </c>
      <c r="AJ309">
        <v>3</v>
      </c>
      <c r="AK309">
        <v>57</v>
      </c>
      <c r="AL309">
        <v>7</v>
      </c>
      <c r="AM309">
        <v>0</v>
      </c>
      <c r="AN309">
        <f t="shared" si="20"/>
        <v>291</v>
      </c>
      <c r="AO309">
        <v>169</v>
      </c>
      <c r="AP309">
        <f>65+40+5</f>
        <v>110</v>
      </c>
      <c r="AQ309">
        <v>0</v>
      </c>
      <c r="AR309">
        <v>12</v>
      </c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  <c r="BE309" s="37"/>
      <c r="BF309" s="37"/>
      <c r="BG309" s="37"/>
      <c r="BH309" s="37"/>
      <c r="BI309" s="37"/>
      <c r="BJ309" s="37"/>
      <c r="BK309" s="37"/>
      <c r="BL309" s="37"/>
      <c r="BM309" s="37"/>
      <c r="BN309" s="37"/>
      <c r="BO309" s="37"/>
      <c r="BP309" s="37"/>
      <c r="BQ309" s="37"/>
      <c r="BR309" s="37"/>
      <c r="BS309" s="37"/>
      <c r="BT309" s="37"/>
      <c r="BU309" s="37"/>
      <c r="BV309" s="37"/>
      <c r="BW309" s="37"/>
      <c r="BX309" s="37"/>
      <c r="BY309" s="37"/>
      <c r="BZ309" s="37"/>
      <c r="CA309" s="37"/>
      <c r="CB309" s="37"/>
      <c r="CC309" s="37"/>
      <c r="CD309" s="37"/>
      <c r="CE309" s="37"/>
      <c r="CF309" s="37"/>
    </row>
    <row r="310" spans="1:84" x14ac:dyDescent="0.2">
      <c r="A310" s="39">
        <v>43786</v>
      </c>
      <c r="B310" s="22" t="s">
        <v>259</v>
      </c>
      <c r="C310" t="s">
        <v>289</v>
      </c>
      <c r="D310" s="22" t="s">
        <v>297</v>
      </c>
      <c r="E310">
        <v>16.12</v>
      </c>
      <c r="F310">
        <f>19.9+18.7</f>
        <v>38.599999999999994</v>
      </c>
      <c r="G310">
        <f>109+116</f>
        <v>225</v>
      </c>
      <c r="H310">
        <v>1</v>
      </c>
      <c r="I310">
        <v>12.5</v>
      </c>
      <c r="J310">
        <v>11</v>
      </c>
      <c r="K310">
        <v>4</v>
      </c>
      <c r="L310" s="3">
        <v>3.7</v>
      </c>
      <c r="M310" s="3">
        <v>17</v>
      </c>
      <c r="N310" s="3">
        <v>6</v>
      </c>
      <c r="O310" s="3">
        <v>13.8</v>
      </c>
      <c r="P310" s="3">
        <v>38</v>
      </c>
      <c r="Q310" s="3">
        <v>4</v>
      </c>
      <c r="R310" s="3">
        <v>3.9</v>
      </c>
      <c r="S310" s="3">
        <v>11</v>
      </c>
      <c r="T310" s="3">
        <v>2</v>
      </c>
      <c r="U310">
        <v>19.399999999999999</v>
      </c>
      <c r="V310">
        <v>104</v>
      </c>
      <c r="W310">
        <v>10</v>
      </c>
      <c r="X310">
        <v>6.7</v>
      </c>
      <c r="Y310">
        <v>27</v>
      </c>
      <c r="Z310">
        <v>4</v>
      </c>
      <c r="AA310">
        <v>7</v>
      </c>
      <c r="AB310">
        <v>1</v>
      </c>
      <c r="AC310">
        <v>10</v>
      </c>
      <c r="AD310" s="21">
        <v>0.41379310344827586</v>
      </c>
      <c r="AE310" s="21">
        <v>0.10344827586206896</v>
      </c>
      <c r="AF310">
        <v>80</v>
      </c>
      <c r="AG310">
        <v>6</v>
      </c>
      <c r="AH310">
        <v>24</v>
      </c>
      <c r="AI310">
        <f>13+14+3</f>
        <v>30</v>
      </c>
      <c r="AJ310">
        <v>4</v>
      </c>
      <c r="AK310">
        <v>63</v>
      </c>
      <c r="AL310">
        <v>33</v>
      </c>
      <c r="AM310">
        <v>0</v>
      </c>
      <c r="AN310">
        <f t="shared" si="20"/>
        <v>412</v>
      </c>
      <c r="AO310">
        <v>148</v>
      </c>
      <c r="AP310">
        <f>109+116+11</f>
        <v>236</v>
      </c>
      <c r="AQ310">
        <v>18</v>
      </c>
      <c r="AR310">
        <v>10</v>
      </c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37"/>
      <c r="BD310" s="37"/>
      <c r="BE310" s="37"/>
      <c r="BF310" s="37"/>
      <c r="BG310" s="37"/>
      <c r="BH310" s="37"/>
      <c r="BI310" s="37"/>
      <c r="BJ310" s="37"/>
      <c r="BK310" s="37"/>
      <c r="BL310" s="37"/>
      <c r="BM310" s="37"/>
      <c r="BN310" s="37"/>
      <c r="BO310" s="37"/>
      <c r="BP310" s="37"/>
      <c r="BQ310" s="37"/>
      <c r="BR310" s="37"/>
      <c r="BS310" s="37"/>
      <c r="BT310" s="37"/>
      <c r="BU310" s="37"/>
      <c r="BV310" s="37"/>
      <c r="BW310" s="37"/>
      <c r="BX310" s="37"/>
      <c r="BY310" s="37"/>
      <c r="BZ310" s="37"/>
      <c r="CA310" s="37"/>
      <c r="CB310" s="37"/>
      <c r="CC310" s="37"/>
      <c r="CD310" s="37"/>
      <c r="CE310" s="37"/>
      <c r="CF310" s="37"/>
    </row>
    <row r="311" spans="1:84" x14ac:dyDescent="0.2">
      <c r="A311" s="39">
        <v>43786</v>
      </c>
      <c r="B311" s="22" t="s">
        <v>259</v>
      </c>
      <c r="C311" t="s">
        <v>297</v>
      </c>
      <c r="D311" s="22" t="s">
        <v>289</v>
      </c>
      <c r="E311">
        <v>18.84</v>
      </c>
      <c r="F311">
        <v>12.7</v>
      </c>
      <c r="G311">
        <v>23</v>
      </c>
      <c r="H311">
        <v>7</v>
      </c>
      <c r="I311">
        <v>3.9</v>
      </c>
      <c r="J311">
        <v>6</v>
      </c>
      <c r="K311">
        <v>2</v>
      </c>
      <c r="L311">
        <v>7.2</v>
      </c>
      <c r="M311">
        <v>32</v>
      </c>
      <c r="N311">
        <v>6</v>
      </c>
      <c r="O311">
        <v>33.4</v>
      </c>
      <c r="P311">
        <v>104</v>
      </c>
      <c r="Q311">
        <v>15</v>
      </c>
      <c r="R311">
        <v>11.8</v>
      </c>
      <c r="S311">
        <v>58</v>
      </c>
      <c r="T311">
        <v>8</v>
      </c>
      <c r="U311">
        <v>26.700000000000003</v>
      </c>
      <c r="V311">
        <v>107</v>
      </c>
      <c r="W311">
        <v>15</v>
      </c>
      <c r="X311">
        <f>1.9+1.5</f>
        <v>3.4</v>
      </c>
      <c r="Y311">
        <v>14</v>
      </c>
      <c r="Z311">
        <v>3</v>
      </c>
      <c r="AA311">
        <v>1</v>
      </c>
      <c r="AB311">
        <v>1</v>
      </c>
      <c r="AC311">
        <v>6</v>
      </c>
      <c r="AD311" s="21">
        <v>0.2857142857142857</v>
      </c>
      <c r="AE311" s="21">
        <v>4.0816326530612242E-2</v>
      </c>
      <c r="AF311">
        <v>63.6</v>
      </c>
      <c r="AG311">
        <v>10</v>
      </c>
      <c r="AH311">
        <v>47</v>
      </c>
      <c r="AI311">
        <v>9</v>
      </c>
      <c r="AJ311">
        <v>0</v>
      </c>
      <c r="AK311">
        <v>58</v>
      </c>
      <c r="AL311">
        <v>13</v>
      </c>
      <c r="AM311">
        <v>0</v>
      </c>
      <c r="AN311">
        <f t="shared" si="20"/>
        <v>325</v>
      </c>
      <c r="AO311">
        <v>296</v>
      </c>
      <c r="AP311">
        <v>29</v>
      </c>
      <c r="AQ311">
        <v>0</v>
      </c>
      <c r="AR311">
        <v>0</v>
      </c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37"/>
      <c r="BK311" s="37"/>
      <c r="BL311" s="37"/>
      <c r="BM311" s="37"/>
      <c r="BN311" s="37"/>
      <c r="BO311" s="37"/>
      <c r="BP311" s="37"/>
      <c r="BQ311" s="37"/>
      <c r="BR311" s="37"/>
      <c r="BS311" s="37"/>
      <c r="BT311" s="37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CF311" s="37"/>
    </row>
    <row r="312" spans="1:84" x14ac:dyDescent="0.2">
      <c r="A312" s="39">
        <v>43786</v>
      </c>
      <c r="B312" s="22" t="s">
        <v>259</v>
      </c>
      <c r="C312" t="s">
        <v>288</v>
      </c>
      <c r="D312" s="22" t="s">
        <v>287</v>
      </c>
      <c r="E312">
        <v>16.18</v>
      </c>
      <c r="F312">
        <v>15.7</v>
      </c>
      <c r="G312">
        <v>29</v>
      </c>
      <c r="H312">
        <v>6</v>
      </c>
      <c r="I312">
        <v>12.3</v>
      </c>
      <c r="J312">
        <v>35</v>
      </c>
      <c r="K312">
        <v>3</v>
      </c>
      <c r="L312">
        <v>4.5999999999999996</v>
      </c>
      <c r="M312">
        <v>26</v>
      </c>
      <c r="N312">
        <v>3</v>
      </c>
      <c r="O312">
        <v>3.3</v>
      </c>
      <c r="P312">
        <v>13</v>
      </c>
      <c r="Q312">
        <v>4</v>
      </c>
      <c r="R312">
        <v>1.9</v>
      </c>
      <c r="S312">
        <v>9</v>
      </c>
      <c r="T312">
        <v>1</v>
      </c>
      <c r="U312">
        <f>4+3.2</f>
        <v>7.2</v>
      </c>
      <c r="V312">
        <f>13+19</f>
        <v>32</v>
      </c>
      <c r="W312">
        <v>6</v>
      </c>
      <c r="X312">
        <v>22.2</v>
      </c>
      <c r="Y312">
        <v>92</v>
      </c>
      <c r="Z312">
        <v>10</v>
      </c>
      <c r="AA312">
        <v>7</v>
      </c>
      <c r="AB312">
        <v>1</v>
      </c>
      <c r="AC312">
        <v>11</v>
      </c>
      <c r="AD312" s="21">
        <v>0.32432432432432434</v>
      </c>
      <c r="AE312" s="21">
        <v>2.7027027027027029E-2</v>
      </c>
      <c r="AF312">
        <v>62.5</v>
      </c>
      <c r="AG312">
        <v>3</v>
      </c>
      <c r="AH312">
        <v>32</v>
      </c>
      <c r="AI312">
        <v>22</v>
      </c>
      <c r="AJ312">
        <v>5</v>
      </c>
      <c r="AK312">
        <v>60</v>
      </c>
      <c r="AL312">
        <v>24</v>
      </c>
      <c r="AM312">
        <v>0</v>
      </c>
      <c r="AN312">
        <f t="shared" si="20"/>
        <v>312</v>
      </c>
      <c r="AO312">
        <v>182</v>
      </c>
      <c r="AP312">
        <f>29+35+7</f>
        <v>71</v>
      </c>
      <c r="AQ312">
        <v>0</v>
      </c>
      <c r="AR312">
        <v>59</v>
      </c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37"/>
      <c r="BK312" s="37"/>
      <c r="BL312" s="37"/>
      <c r="BM312" s="37"/>
      <c r="BN312" s="37"/>
      <c r="BO312" s="37"/>
      <c r="BP312" s="37"/>
      <c r="BQ312" s="37"/>
      <c r="BR312" s="37"/>
      <c r="BS312" s="37"/>
      <c r="BT312" s="37"/>
      <c r="BU312" s="37"/>
      <c r="BV312" s="37"/>
      <c r="BW312" s="37"/>
      <c r="BX312" s="37"/>
      <c r="BY312" s="37"/>
      <c r="BZ312" s="37"/>
      <c r="CA312" s="37"/>
      <c r="CB312" s="37"/>
      <c r="CC312" s="37"/>
      <c r="CD312" s="37"/>
      <c r="CE312" s="37"/>
      <c r="CF312" s="37"/>
    </row>
    <row r="313" spans="1:84" x14ac:dyDescent="0.2">
      <c r="A313" s="39">
        <v>43786</v>
      </c>
      <c r="B313" s="22" t="s">
        <v>259</v>
      </c>
      <c r="C313" t="s">
        <v>303</v>
      </c>
      <c r="D313" s="22" t="s">
        <v>272</v>
      </c>
      <c r="E313">
        <v>20.78</v>
      </c>
      <c r="F313">
        <v>17.399999999999999</v>
      </c>
      <c r="G313">
        <v>112</v>
      </c>
      <c r="H313">
        <v>3</v>
      </c>
      <c r="I313">
        <v>3.3</v>
      </c>
      <c r="J313">
        <v>-1</v>
      </c>
      <c r="K313">
        <v>2</v>
      </c>
      <c r="L313">
        <v>12.2</v>
      </c>
      <c r="M313">
        <v>82</v>
      </c>
      <c r="N313">
        <v>4</v>
      </c>
      <c r="O313">
        <v>11.6</v>
      </c>
      <c r="P313">
        <v>66</v>
      </c>
      <c r="Q313">
        <v>6</v>
      </c>
      <c r="R313">
        <v>5.5</v>
      </c>
      <c r="S313">
        <v>25</v>
      </c>
      <c r="T313">
        <v>3</v>
      </c>
      <c r="U313">
        <v>23.6</v>
      </c>
      <c r="V313">
        <v>156</v>
      </c>
      <c r="W313">
        <v>9</v>
      </c>
      <c r="X313">
        <f>12.6+8.8</f>
        <v>21.4</v>
      </c>
      <c r="Y313">
        <v>86</v>
      </c>
      <c r="Z313">
        <v>9</v>
      </c>
      <c r="AA313">
        <v>5</v>
      </c>
      <c r="AB313">
        <v>1</v>
      </c>
      <c r="AC313">
        <v>13</v>
      </c>
      <c r="AD313" s="21">
        <v>0.29411764705882354</v>
      </c>
      <c r="AE313" s="21">
        <v>8.8235294117647065E-2</v>
      </c>
      <c r="AF313">
        <v>100</v>
      </c>
      <c r="AG313">
        <v>8</v>
      </c>
      <c r="AH313">
        <v>29</v>
      </c>
      <c r="AI313">
        <v>28</v>
      </c>
      <c r="AJ313">
        <v>5</v>
      </c>
      <c r="AK313">
        <v>66</v>
      </c>
      <c r="AL313">
        <v>17</v>
      </c>
      <c r="AM313">
        <v>0</v>
      </c>
      <c r="AN313">
        <f t="shared" si="20"/>
        <v>405</v>
      </c>
      <c r="AO313">
        <v>292</v>
      </c>
      <c r="AP313">
        <v>114</v>
      </c>
      <c r="AQ313">
        <v>-2</v>
      </c>
      <c r="AR313">
        <v>1</v>
      </c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  <c r="BK313" s="37"/>
      <c r="BL313" s="37"/>
      <c r="BM313" s="37"/>
      <c r="BN313" s="37"/>
      <c r="BO313" s="37"/>
      <c r="BP313" s="37"/>
      <c r="BQ313" s="37"/>
      <c r="BR313" s="37"/>
      <c r="BS313" s="37"/>
      <c r="BT313" s="37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CF313" s="37"/>
    </row>
    <row r="314" spans="1:84" x14ac:dyDescent="0.2">
      <c r="A314" s="39">
        <v>43786</v>
      </c>
      <c r="B314" s="22" t="s">
        <v>259</v>
      </c>
      <c r="C314" t="s">
        <v>287</v>
      </c>
      <c r="D314" s="22" t="s">
        <v>288</v>
      </c>
      <c r="E314">
        <v>18.12</v>
      </c>
      <c r="F314">
        <v>12</v>
      </c>
      <c r="G314">
        <v>69</v>
      </c>
      <c r="H314">
        <v>5</v>
      </c>
      <c r="I314">
        <v>24.2</v>
      </c>
      <c r="J314">
        <v>24</v>
      </c>
      <c r="K314">
        <v>12</v>
      </c>
      <c r="L314">
        <v>21.1</v>
      </c>
      <c r="M314">
        <v>81</v>
      </c>
      <c r="N314">
        <v>12</v>
      </c>
      <c r="O314">
        <v>9.6</v>
      </c>
      <c r="P314">
        <v>76</v>
      </c>
      <c r="Q314">
        <v>5</v>
      </c>
      <c r="R314">
        <v>0</v>
      </c>
      <c r="S314">
        <v>0</v>
      </c>
      <c r="T314">
        <v>1</v>
      </c>
      <c r="U314">
        <f>8.7+11+6</f>
        <v>25.7</v>
      </c>
      <c r="V314">
        <f>20+26+41</f>
        <v>87</v>
      </c>
      <c r="W314">
        <v>13</v>
      </c>
      <c r="X314">
        <f>14.9+1.8</f>
        <v>16.7</v>
      </c>
      <c r="Y314">
        <v>77</v>
      </c>
      <c r="Z314">
        <v>10</v>
      </c>
      <c r="AA314">
        <v>10</v>
      </c>
      <c r="AB314">
        <v>4</v>
      </c>
      <c r="AC314">
        <v>3</v>
      </c>
      <c r="AD314" s="21">
        <v>0.31481481481481483</v>
      </c>
      <c r="AE314" s="21">
        <v>3.7037037037037035E-2</v>
      </c>
      <c r="AF314">
        <v>61.5</v>
      </c>
      <c r="AG314">
        <v>11</v>
      </c>
      <c r="AH314">
        <v>52</v>
      </c>
      <c r="AI314">
        <v>19</v>
      </c>
      <c r="AJ314">
        <v>0</v>
      </c>
      <c r="AK314">
        <v>73</v>
      </c>
      <c r="AL314">
        <v>17</v>
      </c>
      <c r="AM314">
        <v>0</v>
      </c>
      <c r="AN314">
        <f t="shared" si="20"/>
        <v>446</v>
      </c>
      <c r="AO314">
        <v>353</v>
      </c>
      <c r="AP314">
        <f>24+69</f>
        <v>93</v>
      </c>
      <c r="AQ314">
        <v>0</v>
      </c>
      <c r="AR314">
        <v>0</v>
      </c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  <c r="BG314" s="37"/>
      <c r="BH314" s="37"/>
      <c r="BI314" s="37"/>
      <c r="BJ314" s="37"/>
      <c r="BK314" s="37"/>
      <c r="BL314" s="37"/>
      <c r="BM314" s="37"/>
      <c r="BN314" s="37"/>
      <c r="BO314" s="37"/>
      <c r="BP314" s="37"/>
      <c r="BQ314" s="37"/>
      <c r="BR314" s="37"/>
      <c r="BS314" s="37"/>
      <c r="BT314" s="37"/>
      <c r="BU314" s="37"/>
      <c r="BV314" s="37"/>
      <c r="BW314" s="37"/>
      <c r="BX314" s="37"/>
      <c r="BY314" s="37"/>
      <c r="BZ314" s="37"/>
      <c r="CA314" s="37"/>
      <c r="CB314" s="37"/>
      <c r="CC314" s="37"/>
      <c r="CD314" s="37"/>
      <c r="CE314" s="37"/>
      <c r="CF314" s="37"/>
    </row>
    <row r="315" spans="1:84" x14ac:dyDescent="0.2">
      <c r="A315" s="39">
        <v>43786</v>
      </c>
      <c r="B315" s="22" t="s">
        <v>259</v>
      </c>
      <c r="C315" t="s">
        <v>304</v>
      </c>
      <c r="D315" s="22" t="s">
        <v>265</v>
      </c>
      <c r="E315">
        <v>6.22</v>
      </c>
      <c r="F315">
        <v>21.3</v>
      </c>
      <c r="G315">
        <v>97</v>
      </c>
      <c r="H315">
        <v>3</v>
      </c>
      <c r="I315">
        <v>7.5</v>
      </c>
      <c r="J315">
        <v>15</v>
      </c>
      <c r="K315">
        <v>0</v>
      </c>
      <c r="L315" s="14">
        <v>8.3000000000000007</v>
      </c>
      <c r="M315">
        <v>53</v>
      </c>
      <c r="N315">
        <v>3</v>
      </c>
      <c r="O315">
        <v>8</v>
      </c>
      <c r="P315">
        <v>55</v>
      </c>
      <c r="Q315">
        <v>6</v>
      </c>
      <c r="R315">
        <v>1.9</v>
      </c>
      <c r="S315">
        <v>9</v>
      </c>
      <c r="T315">
        <v>3</v>
      </c>
      <c r="U315">
        <v>14.6</v>
      </c>
      <c r="V315">
        <v>96</v>
      </c>
      <c r="W315">
        <v>6</v>
      </c>
      <c r="X315">
        <v>3</v>
      </c>
      <c r="Y315">
        <v>20</v>
      </c>
      <c r="Z315">
        <v>1</v>
      </c>
      <c r="AA315">
        <v>5</v>
      </c>
      <c r="AB315">
        <v>1</v>
      </c>
      <c r="AC315">
        <v>9</v>
      </c>
      <c r="AD315" s="21">
        <v>0.15789473684210525</v>
      </c>
      <c r="AE315" s="21">
        <v>0</v>
      </c>
      <c r="AF315">
        <v>100</v>
      </c>
      <c r="AG315">
        <v>5</v>
      </c>
      <c r="AH315">
        <v>18</v>
      </c>
      <c r="AI315">
        <v>30</v>
      </c>
      <c r="AJ315">
        <v>3</v>
      </c>
      <c r="AK315">
        <v>52</v>
      </c>
      <c r="AL315">
        <v>17</v>
      </c>
      <c r="AM315">
        <v>0</v>
      </c>
      <c r="AN315">
        <f t="shared" si="20"/>
        <v>283</v>
      </c>
      <c r="AO315">
        <v>173</v>
      </c>
      <c r="AP315">
        <v>112</v>
      </c>
      <c r="AQ315">
        <v>-5</v>
      </c>
      <c r="AR315">
        <v>3</v>
      </c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37"/>
      <c r="BK315" s="37"/>
      <c r="BL315" s="37"/>
      <c r="BM315" s="37"/>
      <c r="BN315" s="37"/>
      <c r="BO315" s="37"/>
      <c r="BP315" s="37"/>
      <c r="BQ315" s="37"/>
      <c r="BR315" s="37"/>
      <c r="BS315" s="37"/>
      <c r="BT315" s="37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CF315" s="37"/>
    </row>
    <row r="316" spans="1:84" x14ac:dyDescent="0.2">
      <c r="A316" s="39">
        <v>43786</v>
      </c>
      <c r="B316" s="22" t="s">
        <v>259</v>
      </c>
      <c r="C316" t="s">
        <v>293</v>
      </c>
      <c r="D316" s="22" t="s">
        <v>276</v>
      </c>
      <c r="E316">
        <v>15.92</v>
      </c>
      <c r="F316">
        <v>12.7</v>
      </c>
      <c r="G316">
        <v>9</v>
      </c>
      <c r="H316">
        <v>6</v>
      </c>
      <c r="I316">
        <v>11.8</v>
      </c>
      <c r="J316">
        <v>7</v>
      </c>
      <c r="K316">
        <v>6</v>
      </c>
      <c r="L316">
        <v>23.5</v>
      </c>
      <c r="M316">
        <v>135</v>
      </c>
      <c r="N316">
        <v>10</v>
      </c>
      <c r="O316">
        <v>8.3000000000000007</v>
      </c>
      <c r="P316">
        <v>53</v>
      </c>
      <c r="Q316">
        <v>6</v>
      </c>
      <c r="R316">
        <v>18.899999999999999</v>
      </c>
      <c r="S316">
        <v>32</v>
      </c>
      <c r="T316">
        <v>3</v>
      </c>
      <c r="U316">
        <v>25.5</v>
      </c>
      <c r="V316">
        <v>135</v>
      </c>
      <c r="W316">
        <v>17</v>
      </c>
      <c r="X316">
        <v>5.8</v>
      </c>
      <c r="Y316">
        <v>18</v>
      </c>
      <c r="Z316">
        <v>6</v>
      </c>
      <c r="AA316">
        <v>2</v>
      </c>
      <c r="AB316">
        <v>0</v>
      </c>
      <c r="AC316">
        <v>2</v>
      </c>
      <c r="AD316" s="21">
        <v>0.42307692307692307</v>
      </c>
      <c r="AE316" s="21">
        <v>0.13461538461538461</v>
      </c>
      <c r="AF316">
        <v>71.400000000000006</v>
      </c>
      <c r="AG316">
        <v>10</v>
      </c>
      <c r="AH316">
        <v>45</v>
      </c>
      <c r="AI316">
        <v>11</v>
      </c>
      <c r="AJ316">
        <v>1</v>
      </c>
      <c r="AK316">
        <v>65</v>
      </c>
      <c r="AL316">
        <v>13</v>
      </c>
      <c r="AM316">
        <v>7</v>
      </c>
      <c r="AN316">
        <f t="shared" si="20"/>
        <v>346</v>
      </c>
      <c r="AO316">
        <v>323</v>
      </c>
      <c r="AP316">
        <v>16</v>
      </c>
      <c r="AQ316">
        <v>7</v>
      </c>
      <c r="AR316">
        <v>0</v>
      </c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37"/>
      <c r="BK316" s="37"/>
      <c r="BL316" s="37"/>
      <c r="BM316" s="37"/>
      <c r="BN316" s="37"/>
      <c r="BO316" s="37"/>
      <c r="BP316" s="37"/>
      <c r="BQ316" s="37"/>
      <c r="BR316" s="37"/>
      <c r="BS316" s="37"/>
      <c r="BT316" s="37"/>
      <c r="BU316" s="37"/>
      <c r="BV316" s="37"/>
      <c r="BW316" s="37"/>
      <c r="BX316" s="37"/>
      <c r="BY316" s="37"/>
      <c r="BZ316" s="37"/>
      <c r="CA316" s="37"/>
      <c r="CB316" s="37"/>
      <c r="CC316" s="37"/>
      <c r="CD316" s="37"/>
      <c r="CE316" s="37"/>
      <c r="CF316" s="37"/>
    </row>
    <row r="317" spans="1:84" x14ac:dyDescent="0.2">
      <c r="A317" s="39">
        <v>43786</v>
      </c>
      <c r="B317" s="22" t="s">
        <v>259</v>
      </c>
      <c r="C317" t="s">
        <v>312</v>
      </c>
      <c r="D317" s="22" t="s">
        <v>278</v>
      </c>
      <c r="E317">
        <v>26.86</v>
      </c>
      <c r="F317">
        <v>16.7</v>
      </c>
      <c r="G317">
        <v>26</v>
      </c>
      <c r="H317">
        <v>6</v>
      </c>
      <c r="I317">
        <v>2.6</v>
      </c>
      <c r="J317">
        <v>5</v>
      </c>
      <c r="K317">
        <v>2</v>
      </c>
      <c r="L317" s="3">
        <v>26.1</v>
      </c>
      <c r="M317">
        <v>121</v>
      </c>
      <c r="N317">
        <v>5</v>
      </c>
      <c r="O317">
        <v>9.5</v>
      </c>
      <c r="P317">
        <v>35</v>
      </c>
      <c r="Q317">
        <v>9</v>
      </c>
      <c r="R317">
        <v>0</v>
      </c>
      <c r="S317">
        <v>0</v>
      </c>
      <c r="T317">
        <v>0</v>
      </c>
      <c r="U317">
        <v>5.2</v>
      </c>
      <c r="V317">
        <v>22</v>
      </c>
      <c r="W317">
        <v>3</v>
      </c>
      <c r="X317">
        <f>17.7+11+4.8</f>
        <v>33.5</v>
      </c>
      <c r="Y317">
        <f>67+20+28</f>
        <v>115</v>
      </c>
      <c r="Z317">
        <v>11</v>
      </c>
      <c r="AA317">
        <v>3</v>
      </c>
      <c r="AB317">
        <v>0</v>
      </c>
      <c r="AC317">
        <v>4</v>
      </c>
      <c r="AD317" s="21">
        <v>0.15</v>
      </c>
      <c r="AE317" s="21">
        <v>0.125</v>
      </c>
      <c r="AF317">
        <v>0</v>
      </c>
      <c r="AG317">
        <v>9</v>
      </c>
      <c r="AH317">
        <v>35</v>
      </c>
      <c r="AI317">
        <v>16</v>
      </c>
      <c r="AJ317">
        <v>2</v>
      </c>
      <c r="AK317">
        <v>58</v>
      </c>
      <c r="AL317">
        <v>27</v>
      </c>
      <c r="AM317">
        <v>0</v>
      </c>
      <c r="AN317">
        <f t="shared" si="20"/>
        <v>356</v>
      </c>
      <c r="AO317">
        <v>319</v>
      </c>
      <c r="AP317">
        <v>36</v>
      </c>
      <c r="AQ317">
        <v>0</v>
      </c>
      <c r="AR317">
        <v>1</v>
      </c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37"/>
      <c r="BK317" s="37"/>
      <c r="BL317" s="37"/>
      <c r="BM317" s="37"/>
      <c r="BN317" s="37"/>
      <c r="BO317" s="37"/>
      <c r="BP317" s="37"/>
      <c r="BQ317" s="37"/>
      <c r="BR317" s="37"/>
      <c r="BS317" s="37"/>
      <c r="BT317" s="37"/>
      <c r="BU317" s="37"/>
      <c r="BV317" s="37"/>
      <c r="BW317" s="37"/>
      <c r="BX317" s="37"/>
      <c r="BY317" s="37"/>
      <c r="BZ317" s="37"/>
      <c r="CA317" s="37"/>
      <c r="CB317" s="37"/>
      <c r="CC317" s="37"/>
      <c r="CD317" s="37"/>
      <c r="CE317" s="37"/>
      <c r="CF317" s="37"/>
    </row>
    <row r="318" spans="1:84" x14ac:dyDescent="0.2">
      <c r="A318" s="39">
        <v>43786</v>
      </c>
      <c r="B318" s="22" t="s">
        <v>259</v>
      </c>
      <c r="C318" t="s">
        <v>302</v>
      </c>
      <c r="D318" s="22" t="s">
        <v>294</v>
      </c>
      <c r="E318">
        <v>8.5399999999999991</v>
      </c>
      <c r="F318">
        <v>6.4</v>
      </c>
      <c r="G318">
        <v>33</v>
      </c>
      <c r="H318">
        <v>4</v>
      </c>
      <c r="I318">
        <v>9.6</v>
      </c>
      <c r="J318">
        <v>20</v>
      </c>
      <c r="K318">
        <v>7</v>
      </c>
      <c r="L318">
        <v>14.9</v>
      </c>
      <c r="M318">
        <v>53</v>
      </c>
      <c r="N318">
        <v>10</v>
      </c>
      <c r="O318">
        <v>3.2</v>
      </c>
      <c r="P318">
        <v>4</v>
      </c>
      <c r="Q318">
        <v>4</v>
      </c>
      <c r="R318">
        <v>12.3</v>
      </c>
      <c r="S318">
        <v>33</v>
      </c>
      <c r="T318">
        <v>5</v>
      </c>
      <c r="U318">
        <v>12.7</v>
      </c>
      <c r="V318">
        <v>57</v>
      </c>
      <c r="W318">
        <v>15</v>
      </c>
      <c r="X318">
        <v>10.5</v>
      </c>
      <c r="Y318">
        <v>55</v>
      </c>
      <c r="Z318">
        <v>6</v>
      </c>
      <c r="AA318">
        <v>9</v>
      </c>
      <c r="AB318">
        <v>3</v>
      </c>
      <c r="AC318">
        <v>11</v>
      </c>
      <c r="AD318" s="21">
        <v>0.33333333333333331</v>
      </c>
      <c r="AE318" s="21">
        <v>2.0833333333333332E-2</v>
      </c>
      <c r="AF318">
        <v>63.6</v>
      </c>
      <c r="AG318">
        <v>2</v>
      </c>
      <c r="AH318">
        <v>47</v>
      </c>
      <c r="AI318">
        <v>20</v>
      </c>
      <c r="AJ318">
        <v>1</v>
      </c>
      <c r="AK318">
        <v>71</v>
      </c>
      <c r="AL318">
        <v>17</v>
      </c>
      <c r="AM318">
        <v>0</v>
      </c>
      <c r="AN318">
        <f t="shared" si="20"/>
        <v>290</v>
      </c>
      <c r="AO318">
        <v>216</v>
      </c>
      <c r="AP318">
        <f>20+14+33</f>
        <v>67</v>
      </c>
      <c r="AQ318">
        <v>8</v>
      </c>
      <c r="AR318">
        <v>-1</v>
      </c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37"/>
      <c r="BK318" s="37"/>
      <c r="BL318" s="37"/>
      <c r="BM318" s="37"/>
      <c r="BN318" s="37"/>
      <c r="BO318" s="37"/>
      <c r="BP318" s="37"/>
      <c r="BQ318" s="37"/>
      <c r="BR318" s="37"/>
      <c r="BS318" s="37"/>
      <c r="BT318" s="37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CF318" s="37"/>
    </row>
    <row r="319" spans="1:84" x14ac:dyDescent="0.2">
      <c r="A319" s="39">
        <v>43786</v>
      </c>
      <c r="B319" s="22" t="s">
        <v>259</v>
      </c>
      <c r="C319" t="s">
        <v>307</v>
      </c>
      <c r="D319" s="22" t="s">
        <v>284</v>
      </c>
      <c r="E319">
        <v>21.12</v>
      </c>
      <c r="F319">
        <v>22.2</v>
      </c>
      <c r="G319">
        <v>75</v>
      </c>
      <c r="H319">
        <v>10</v>
      </c>
      <c r="I319">
        <v>5.2</v>
      </c>
      <c r="J319">
        <v>27</v>
      </c>
      <c r="K319">
        <v>3</v>
      </c>
      <c r="L319">
        <v>28.4</v>
      </c>
      <c r="M319">
        <v>114</v>
      </c>
      <c r="N319">
        <v>11</v>
      </c>
      <c r="O319">
        <v>9.4</v>
      </c>
      <c r="P319">
        <v>14</v>
      </c>
      <c r="Q319">
        <v>4</v>
      </c>
      <c r="R319">
        <v>0</v>
      </c>
      <c r="S319">
        <v>0</v>
      </c>
      <c r="T319">
        <v>1</v>
      </c>
      <c r="U319">
        <v>22.5</v>
      </c>
      <c r="V319">
        <v>85</v>
      </c>
      <c r="W319">
        <v>9</v>
      </c>
      <c r="X319">
        <f>11.3+2.8</f>
        <v>14.100000000000001</v>
      </c>
      <c r="Y319">
        <v>41</v>
      </c>
      <c r="Z319">
        <v>4</v>
      </c>
      <c r="AA319">
        <v>11</v>
      </c>
      <c r="AB319">
        <v>2</v>
      </c>
      <c r="AC319">
        <v>17</v>
      </c>
      <c r="AD319" s="21">
        <v>0.2</v>
      </c>
      <c r="AE319" s="21">
        <v>0</v>
      </c>
      <c r="AF319">
        <v>83.3</v>
      </c>
      <c r="AG319">
        <v>0</v>
      </c>
      <c r="AH319">
        <v>35</v>
      </c>
      <c r="AI319">
        <v>24</v>
      </c>
      <c r="AJ319">
        <v>4</v>
      </c>
      <c r="AK319">
        <v>64</v>
      </c>
      <c r="AL319">
        <v>27</v>
      </c>
      <c r="AM319">
        <v>7</v>
      </c>
      <c r="AN319">
        <f t="shared" si="20"/>
        <v>337</v>
      </c>
      <c r="AO319">
        <v>228</v>
      </c>
      <c r="AP319">
        <f>75+27+5</f>
        <v>107</v>
      </c>
      <c r="AQ319">
        <v>0</v>
      </c>
      <c r="AR319">
        <v>2</v>
      </c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37"/>
      <c r="BK319" s="37"/>
      <c r="BL319" s="37"/>
      <c r="BM319" s="37"/>
      <c r="BN319" s="37"/>
      <c r="BO319" s="37"/>
      <c r="BP319" s="37"/>
      <c r="BQ319" s="37"/>
      <c r="BR319" s="37"/>
      <c r="BS319" s="37"/>
      <c r="BT319" s="37"/>
      <c r="BU319" s="37"/>
      <c r="BV319" s="37"/>
      <c r="BW319" s="37"/>
      <c r="BX319" s="37"/>
      <c r="BY319" s="37"/>
      <c r="BZ319" s="37"/>
      <c r="CA319" s="37"/>
      <c r="CB319" s="37"/>
      <c r="CC319" s="37"/>
      <c r="CD319" s="37"/>
      <c r="CE319" s="37"/>
      <c r="CF319" s="37"/>
    </row>
    <row r="320" spans="1:84" x14ac:dyDescent="0.2">
      <c r="A320" s="39">
        <v>43786</v>
      </c>
      <c r="B320" s="22" t="s">
        <v>259</v>
      </c>
      <c r="C320" t="s">
        <v>298</v>
      </c>
      <c r="D320" s="22" t="s">
        <v>306</v>
      </c>
      <c r="E320">
        <v>26.42</v>
      </c>
      <c r="F320">
        <v>17.2</v>
      </c>
      <c r="G320">
        <v>59</v>
      </c>
      <c r="H320">
        <v>2</v>
      </c>
      <c r="I320">
        <v>5.7</v>
      </c>
      <c r="J320">
        <v>42</v>
      </c>
      <c r="K320">
        <v>2</v>
      </c>
      <c r="L320">
        <v>18.600000000000001</v>
      </c>
      <c r="M320">
        <v>76</v>
      </c>
      <c r="N320">
        <v>8</v>
      </c>
      <c r="O320">
        <v>7.6</v>
      </c>
      <c r="P320">
        <v>6</v>
      </c>
      <c r="Q320">
        <v>3</v>
      </c>
      <c r="R320">
        <v>8.4</v>
      </c>
      <c r="S320">
        <v>44</v>
      </c>
      <c r="T320">
        <v>5</v>
      </c>
      <c r="U320">
        <v>32.1</v>
      </c>
      <c r="V320">
        <v>121</v>
      </c>
      <c r="W320">
        <v>10</v>
      </c>
      <c r="X320">
        <f>24.9+9</f>
        <v>33.9</v>
      </c>
      <c r="Y320">
        <v>129</v>
      </c>
      <c r="Z320">
        <v>6</v>
      </c>
      <c r="AA320">
        <v>4</v>
      </c>
      <c r="AB320">
        <v>1</v>
      </c>
      <c r="AC320">
        <v>9</v>
      </c>
      <c r="AD320" s="21">
        <v>0.5</v>
      </c>
      <c r="AE320" s="21">
        <v>6.25E-2</v>
      </c>
      <c r="AF320">
        <v>60</v>
      </c>
      <c r="AG320">
        <v>5</v>
      </c>
      <c r="AH320">
        <v>30</v>
      </c>
      <c r="AI320">
        <f>18+7+2+4</f>
        <v>31</v>
      </c>
      <c r="AJ320">
        <v>2</v>
      </c>
      <c r="AK320">
        <v>66</v>
      </c>
      <c r="AL320">
        <v>34</v>
      </c>
      <c r="AM320">
        <v>0</v>
      </c>
      <c r="AN320">
        <f t="shared" si="20"/>
        <v>408</v>
      </c>
      <c r="AO320">
        <v>293</v>
      </c>
      <c r="AP320">
        <f>59+42+11+6</f>
        <v>118</v>
      </c>
      <c r="AQ320">
        <v>0</v>
      </c>
      <c r="AR320">
        <v>-3</v>
      </c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  <c r="BK320" s="37"/>
      <c r="BL320" s="37"/>
      <c r="BM320" s="37"/>
      <c r="BN320" s="37"/>
      <c r="BO320" s="37"/>
      <c r="BP320" s="37"/>
      <c r="BQ320" s="37"/>
      <c r="BR320" s="37"/>
      <c r="BS320" s="37"/>
      <c r="BT320" s="37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CF320" s="37"/>
    </row>
    <row r="321" spans="1:84" x14ac:dyDescent="0.2">
      <c r="A321" s="39">
        <v>43786</v>
      </c>
      <c r="B321" s="22" t="s">
        <v>259</v>
      </c>
      <c r="C321" t="s">
        <v>294</v>
      </c>
      <c r="D321" s="22" t="s">
        <v>302</v>
      </c>
      <c r="E321">
        <v>13.26</v>
      </c>
      <c r="F321">
        <v>6.7</v>
      </c>
      <c r="G321">
        <v>38</v>
      </c>
      <c r="H321">
        <v>4</v>
      </c>
      <c r="I321">
        <v>2.6</v>
      </c>
      <c r="J321">
        <v>26</v>
      </c>
      <c r="K321">
        <v>0</v>
      </c>
      <c r="L321">
        <v>8</v>
      </c>
      <c r="M321">
        <v>40</v>
      </c>
      <c r="N321">
        <v>9</v>
      </c>
      <c r="O321">
        <v>1.6</v>
      </c>
      <c r="P321">
        <v>6</v>
      </c>
      <c r="Q321">
        <v>6</v>
      </c>
      <c r="R321">
        <v>3.9</v>
      </c>
      <c r="S321">
        <v>29</v>
      </c>
      <c r="T321">
        <v>1</v>
      </c>
      <c r="U321">
        <v>19.399999999999999</v>
      </c>
      <c r="V321">
        <v>104</v>
      </c>
      <c r="W321">
        <v>16</v>
      </c>
      <c r="X321">
        <f>18.4+12.6</f>
        <v>31</v>
      </c>
      <c r="Y321">
        <f>94+36</f>
        <v>130</v>
      </c>
      <c r="Z321">
        <v>17</v>
      </c>
      <c r="AA321">
        <v>5</v>
      </c>
      <c r="AB321">
        <v>1</v>
      </c>
      <c r="AC321">
        <v>2</v>
      </c>
      <c r="AD321" s="21">
        <v>0.45833333333333331</v>
      </c>
      <c r="AE321" s="21">
        <v>0.10416666666666667</v>
      </c>
      <c r="AF321">
        <v>46.2</v>
      </c>
      <c r="AG321">
        <v>11</v>
      </c>
      <c r="AH321">
        <v>40</v>
      </c>
      <c r="AI321">
        <v>18</v>
      </c>
      <c r="AJ321">
        <v>3</v>
      </c>
      <c r="AK321">
        <v>66</v>
      </c>
      <c r="AL321">
        <v>10</v>
      </c>
      <c r="AM321">
        <v>0</v>
      </c>
      <c r="AN321">
        <f t="shared" si="20"/>
        <v>295</v>
      </c>
      <c r="AO321">
        <v>214</v>
      </c>
      <c r="AP321">
        <f>38+26</f>
        <v>64</v>
      </c>
      <c r="AQ321">
        <v>0</v>
      </c>
      <c r="AR321">
        <v>17</v>
      </c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37"/>
      <c r="BK321" s="37"/>
      <c r="BL321" s="37"/>
      <c r="BM321" s="37"/>
      <c r="BN321" s="37"/>
      <c r="BO321" s="37"/>
      <c r="BP321" s="37"/>
      <c r="BQ321" s="37"/>
      <c r="BR321" s="37"/>
      <c r="BS321" s="37"/>
      <c r="BT321" s="37"/>
      <c r="BU321" s="37"/>
      <c r="BV321" s="37"/>
      <c r="BW321" s="37"/>
      <c r="BX321" s="37"/>
      <c r="BY321" s="37"/>
      <c r="BZ321" s="37"/>
      <c r="CA321" s="37"/>
      <c r="CB321" s="37"/>
      <c r="CC321" s="37"/>
      <c r="CD321" s="37"/>
      <c r="CE321" s="37"/>
      <c r="CF321" s="37"/>
    </row>
    <row r="322" spans="1:84" x14ac:dyDescent="0.2">
      <c r="A322" s="39">
        <v>43786</v>
      </c>
      <c r="B322" s="22" t="s">
        <v>259</v>
      </c>
      <c r="C322" t="s">
        <v>309</v>
      </c>
      <c r="D322" s="22" t="s">
        <v>281</v>
      </c>
      <c r="E322">
        <v>10.34</v>
      </c>
      <c r="F322">
        <f>15.5+2.6</f>
        <v>18.100000000000001</v>
      </c>
      <c r="G322">
        <v>36</v>
      </c>
      <c r="H322">
        <v>8</v>
      </c>
      <c r="I322">
        <v>6.8</v>
      </c>
      <c r="J322">
        <v>11</v>
      </c>
      <c r="K322">
        <v>3</v>
      </c>
      <c r="O322">
        <v>7.9</v>
      </c>
      <c r="P322">
        <v>49</v>
      </c>
      <c r="Q322">
        <v>5</v>
      </c>
      <c r="R322">
        <v>4.4000000000000004</v>
      </c>
      <c r="S322">
        <v>24</v>
      </c>
      <c r="T322">
        <v>4</v>
      </c>
      <c r="U322">
        <v>5.8999999999999995</v>
      </c>
      <c r="V322">
        <v>29</v>
      </c>
      <c r="W322">
        <v>7</v>
      </c>
      <c r="X322">
        <v>8</v>
      </c>
      <c r="Y322">
        <v>40</v>
      </c>
      <c r="Z322">
        <v>8</v>
      </c>
      <c r="AA322">
        <v>1</v>
      </c>
      <c r="AB322">
        <v>1</v>
      </c>
      <c r="AC322">
        <v>1</v>
      </c>
      <c r="AD322" s="21">
        <v>0.48979591836734693</v>
      </c>
      <c r="AE322" s="21">
        <v>8.1632653061224483E-2</v>
      </c>
      <c r="AF322">
        <v>50</v>
      </c>
      <c r="AG322">
        <v>16</v>
      </c>
      <c r="AH322">
        <v>44</v>
      </c>
      <c r="AI322">
        <v>14</v>
      </c>
      <c r="AJ322">
        <v>2</v>
      </c>
      <c r="AK322">
        <v>64</v>
      </c>
      <c r="AL322">
        <v>7</v>
      </c>
      <c r="AM322">
        <v>0</v>
      </c>
      <c r="AN322">
        <f t="shared" si="20"/>
        <v>279</v>
      </c>
      <c r="AO322">
        <v>221</v>
      </c>
      <c r="AP322">
        <f>26+11+10-4</f>
        <v>43</v>
      </c>
      <c r="AQ322">
        <v>0</v>
      </c>
      <c r="AR322">
        <v>15</v>
      </c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37"/>
      <c r="BK322" s="37"/>
      <c r="BL322" s="37"/>
      <c r="BM322" s="37"/>
      <c r="BN322" s="37"/>
      <c r="BO322" s="37"/>
      <c r="BP322" s="37"/>
      <c r="BQ322" s="37"/>
      <c r="BR322" s="37"/>
      <c r="BS322" s="37"/>
      <c r="BT322" s="37"/>
      <c r="BU322" s="37"/>
      <c r="BV322" s="37"/>
      <c r="BW322" s="37"/>
      <c r="BX322" s="37"/>
      <c r="BY322" s="37"/>
      <c r="BZ322" s="37"/>
      <c r="CA322" s="37"/>
      <c r="CB322" s="37"/>
      <c r="CC322" s="37"/>
      <c r="CD322" s="37"/>
      <c r="CE322" s="37"/>
      <c r="CF322" s="37"/>
    </row>
    <row r="323" spans="1:84" x14ac:dyDescent="0.2">
      <c r="A323" s="39">
        <v>43786</v>
      </c>
      <c r="B323" s="22" t="s">
        <v>259</v>
      </c>
      <c r="C323" s="22" t="s">
        <v>256</v>
      </c>
      <c r="D323" s="22" t="s">
        <v>285</v>
      </c>
      <c r="E323">
        <v>34.659999999999997</v>
      </c>
      <c r="F323">
        <v>9.1999999999999993</v>
      </c>
      <c r="G323">
        <v>14</v>
      </c>
      <c r="H323">
        <v>4</v>
      </c>
      <c r="I323">
        <v>4.7</v>
      </c>
      <c r="J323">
        <v>13</v>
      </c>
      <c r="K323">
        <v>3</v>
      </c>
      <c r="L323">
        <v>24.4</v>
      </c>
      <c r="M323">
        <v>134</v>
      </c>
      <c r="N323">
        <v>10</v>
      </c>
      <c r="O323">
        <v>13.1</v>
      </c>
      <c r="P323">
        <v>31</v>
      </c>
      <c r="Q323">
        <v>6</v>
      </c>
      <c r="R323">
        <v>6.7</v>
      </c>
      <c r="S323">
        <v>57</v>
      </c>
      <c r="T323">
        <v>1</v>
      </c>
      <c r="U323">
        <v>40.799999999999997</v>
      </c>
      <c r="V323">
        <v>218</v>
      </c>
      <c r="W323">
        <v>15</v>
      </c>
      <c r="X323">
        <v>17.399999999999999</v>
      </c>
      <c r="Y323">
        <v>14</v>
      </c>
      <c r="Z323">
        <v>5</v>
      </c>
      <c r="AA323">
        <v>7</v>
      </c>
      <c r="AB323">
        <v>1</v>
      </c>
      <c r="AC323">
        <v>14</v>
      </c>
      <c r="AD323" s="21">
        <v>0.45833333333333331</v>
      </c>
      <c r="AE323" s="21">
        <v>4.1666666666666664E-2</v>
      </c>
      <c r="AF323">
        <v>82.4</v>
      </c>
      <c r="AG323">
        <v>5</v>
      </c>
      <c r="AH323">
        <v>45</v>
      </c>
      <c r="AI323">
        <v>18</v>
      </c>
      <c r="AJ323">
        <v>1</v>
      </c>
      <c r="AK323">
        <v>66</v>
      </c>
      <c r="AL323">
        <v>29</v>
      </c>
      <c r="AM323">
        <v>7</v>
      </c>
      <c r="AN323">
        <f>AO323+AP323+AR323+AQ323</f>
        <v>458</v>
      </c>
      <c r="AO323">
        <v>424</v>
      </c>
      <c r="AP323">
        <v>27</v>
      </c>
      <c r="AQ323">
        <v>0</v>
      </c>
      <c r="AR323">
        <v>7</v>
      </c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37"/>
      <c r="BK323" s="37"/>
      <c r="BL323" s="37"/>
      <c r="BM323" s="37"/>
      <c r="BN323" s="37"/>
      <c r="BO323" s="37"/>
      <c r="BP323" s="37"/>
      <c r="BQ323" s="37"/>
      <c r="BR323" s="37"/>
      <c r="BS323" s="37"/>
      <c r="BT323" s="37"/>
      <c r="BU323" s="37"/>
      <c r="BV323" s="37"/>
      <c r="BW323" s="37"/>
      <c r="BX323" s="37"/>
      <c r="BY323" s="37"/>
      <c r="BZ323" s="37"/>
      <c r="CA323" s="37"/>
      <c r="CB323" s="37"/>
      <c r="CC323" s="37"/>
      <c r="CD323" s="37"/>
      <c r="CE323" s="37"/>
      <c r="CF323" s="37"/>
    </row>
    <row r="324" spans="1:84" x14ac:dyDescent="0.2">
      <c r="A324" s="39">
        <v>43786</v>
      </c>
      <c r="B324" s="22" t="s">
        <v>259</v>
      </c>
      <c r="C324" t="s">
        <v>284</v>
      </c>
      <c r="D324" s="22" t="s">
        <v>307</v>
      </c>
      <c r="E324">
        <v>21.82</v>
      </c>
      <c r="F324">
        <v>3.4</v>
      </c>
      <c r="G324">
        <v>13</v>
      </c>
      <c r="H324">
        <v>4</v>
      </c>
      <c r="I324">
        <v>9.1</v>
      </c>
      <c r="J324">
        <v>0</v>
      </c>
      <c r="K324">
        <v>2</v>
      </c>
      <c r="L324">
        <v>10.9</v>
      </c>
      <c r="M324">
        <v>69</v>
      </c>
      <c r="N324">
        <v>8</v>
      </c>
      <c r="O324">
        <v>13.7</v>
      </c>
      <c r="P324">
        <v>47</v>
      </c>
      <c r="Q324">
        <v>6</v>
      </c>
      <c r="R324">
        <v>11.1</v>
      </c>
      <c r="S324">
        <v>71</v>
      </c>
      <c r="T324">
        <v>6</v>
      </c>
      <c r="U324">
        <v>26.6</v>
      </c>
      <c r="V324">
        <v>106</v>
      </c>
      <c r="W324">
        <v>16</v>
      </c>
      <c r="X324">
        <v>17.3</v>
      </c>
      <c r="Y324">
        <v>73</v>
      </c>
      <c r="Z324">
        <v>14</v>
      </c>
      <c r="AA324">
        <v>4</v>
      </c>
      <c r="AB324">
        <v>1</v>
      </c>
      <c r="AC324">
        <v>0</v>
      </c>
      <c r="AD324" s="21">
        <v>0.44444444444444442</v>
      </c>
      <c r="AE324" s="21">
        <v>3.7037037037037035E-2</v>
      </c>
      <c r="AF324">
        <v>50</v>
      </c>
      <c r="AG324">
        <v>17</v>
      </c>
      <c r="AH324">
        <v>51</v>
      </c>
      <c r="AI324">
        <v>6</v>
      </c>
      <c r="AJ324">
        <v>2</v>
      </c>
      <c r="AK324">
        <v>61</v>
      </c>
      <c r="AL324">
        <v>17</v>
      </c>
      <c r="AM324">
        <v>0</v>
      </c>
      <c r="AN324">
        <f>AO324+AP324+AQ324+AR324</f>
        <v>349</v>
      </c>
      <c r="AO324">
        <v>313</v>
      </c>
      <c r="AP324">
        <v>13</v>
      </c>
      <c r="AQ324">
        <v>0</v>
      </c>
      <c r="AR324">
        <v>23</v>
      </c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37"/>
      <c r="BK324" s="37"/>
      <c r="BL324" s="37"/>
      <c r="BM324" s="37"/>
      <c r="BN324" s="37"/>
      <c r="BO324" s="37"/>
      <c r="BP324" s="37"/>
      <c r="BQ324" s="37"/>
      <c r="BR324" s="37"/>
      <c r="BS324" s="37"/>
      <c r="BT324" s="37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CF324" s="37"/>
    </row>
    <row r="325" spans="1:84" x14ac:dyDescent="0.2">
      <c r="A325" s="39">
        <v>43786</v>
      </c>
      <c r="B325" s="22" t="s">
        <v>259</v>
      </c>
      <c r="C325" t="s">
        <v>306</v>
      </c>
      <c r="D325" s="22" t="s">
        <v>298</v>
      </c>
      <c r="E325">
        <v>18.059999999999999</v>
      </c>
      <c r="F325">
        <v>13.9</v>
      </c>
      <c r="G325">
        <v>24</v>
      </c>
      <c r="H325">
        <v>2</v>
      </c>
      <c r="I325">
        <v>5</v>
      </c>
      <c r="J325">
        <v>25</v>
      </c>
      <c r="K325">
        <v>2</v>
      </c>
      <c r="L325">
        <v>9.9</v>
      </c>
      <c r="M325">
        <v>69</v>
      </c>
      <c r="N325">
        <v>4</v>
      </c>
      <c r="O325">
        <v>10.3</v>
      </c>
      <c r="P325">
        <v>53</v>
      </c>
      <c r="Q325">
        <v>6</v>
      </c>
      <c r="R325">
        <v>4.9000000000000004</v>
      </c>
      <c r="S325">
        <v>9</v>
      </c>
      <c r="T325">
        <v>4</v>
      </c>
      <c r="U325">
        <v>12.8</v>
      </c>
      <c r="V325">
        <v>58</v>
      </c>
      <c r="W325">
        <v>8</v>
      </c>
      <c r="X325">
        <v>10.6</v>
      </c>
      <c r="Y325">
        <v>16</v>
      </c>
      <c r="Z325">
        <v>6</v>
      </c>
      <c r="AA325">
        <v>4</v>
      </c>
      <c r="AB325">
        <v>2</v>
      </c>
      <c r="AC325">
        <v>5</v>
      </c>
      <c r="AD325" s="21">
        <v>0.32558139534883723</v>
      </c>
      <c r="AE325" s="21">
        <v>0.13953488372093023</v>
      </c>
      <c r="AF325">
        <v>80</v>
      </c>
      <c r="AG325">
        <v>9</v>
      </c>
      <c r="AH325">
        <v>35</v>
      </c>
      <c r="AI325">
        <v>16</v>
      </c>
      <c r="AJ325">
        <v>4</v>
      </c>
      <c r="AK325">
        <v>61</v>
      </c>
      <c r="AL325">
        <v>17</v>
      </c>
      <c r="AM325">
        <v>0</v>
      </c>
      <c r="AN325">
        <f>SUM(AO325:AR325)</f>
        <v>268</v>
      </c>
      <c r="AO325">
        <v>214</v>
      </c>
      <c r="AP325">
        <v>49</v>
      </c>
      <c r="AQ325">
        <v>0</v>
      </c>
      <c r="AR325">
        <v>5</v>
      </c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  <c r="BK325" s="37"/>
      <c r="BL325" s="37"/>
      <c r="BM325" s="37"/>
      <c r="BN325" s="37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CF325" s="37"/>
    </row>
    <row r="326" spans="1:84" x14ac:dyDescent="0.2">
      <c r="A326" s="39">
        <v>43793</v>
      </c>
      <c r="B326" s="22" t="s">
        <v>242</v>
      </c>
      <c r="C326" t="s">
        <v>295</v>
      </c>
      <c r="D326" s="22" t="s">
        <v>284</v>
      </c>
      <c r="E326">
        <v>9.64</v>
      </c>
      <c r="F326">
        <v>9.6999999999999993</v>
      </c>
      <c r="G326">
        <v>20</v>
      </c>
      <c r="H326">
        <v>1</v>
      </c>
      <c r="I326">
        <v>5.7</v>
      </c>
      <c r="J326">
        <v>14</v>
      </c>
      <c r="K326">
        <v>4</v>
      </c>
      <c r="L326">
        <v>11.8</v>
      </c>
      <c r="M326">
        <v>68</v>
      </c>
      <c r="N326">
        <v>9</v>
      </c>
      <c r="O326">
        <v>22</v>
      </c>
      <c r="P326">
        <v>85</v>
      </c>
      <c r="Q326">
        <v>14</v>
      </c>
      <c r="R326">
        <v>15.6</v>
      </c>
      <c r="S326">
        <v>76</v>
      </c>
      <c r="T326">
        <v>10</v>
      </c>
      <c r="U326">
        <v>39.4</v>
      </c>
      <c r="V326">
        <v>154</v>
      </c>
      <c r="W326">
        <v>19</v>
      </c>
      <c r="X326">
        <v>6.3</v>
      </c>
      <c r="Y326">
        <v>53</v>
      </c>
      <c r="Z326">
        <v>2</v>
      </c>
      <c r="AA326">
        <v>11</v>
      </c>
      <c r="AB326">
        <v>3</v>
      </c>
      <c r="AC326">
        <v>5</v>
      </c>
      <c r="AD326" s="21">
        <v>0.37096774193548387</v>
      </c>
      <c r="AE326" s="21">
        <v>9.6774193548387094E-2</v>
      </c>
      <c r="AF326">
        <v>36.4</v>
      </c>
      <c r="AG326">
        <v>16</v>
      </c>
      <c r="AH326">
        <v>55</v>
      </c>
      <c r="AI326">
        <v>17</v>
      </c>
      <c r="AJ326">
        <v>1</v>
      </c>
      <c r="AK326">
        <v>80</v>
      </c>
      <c r="AL326">
        <v>22</v>
      </c>
      <c r="AM326">
        <v>0</v>
      </c>
      <c r="AN326">
        <f>SUM(AO326:AR326)</f>
        <v>383</v>
      </c>
      <c r="AO326">
        <f>271+55</f>
        <v>326</v>
      </c>
      <c r="AP326">
        <f>20+14</f>
        <v>34</v>
      </c>
      <c r="AQ326">
        <v>15</v>
      </c>
      <c r="AR326">
        <v>8</v>
      </c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</row>
    <row r="327" spans="1:84" x14ac:dyDescent="0.2">
      <c r="A327" s="39">
        <v>43793</v>
      </c>
      <c r="B327" s="22" t="s">
        <v>242</v>
      </c>
      <c r="C327" s="41" t="s">
        <v>305</v>
      </c>
      <c r="D327" s="22" t="s">
        <v>304</v>
      </c>
      <c r="E327">
        <v>36.26</v>
      </c>
      <c r="F327">
        <v>27.8</v>
      </c>
      <c r="G327">
        <v>111</v>
      </c>
      <c r="H327">
        <v>1</v>
      </c>
      <c r="I327">
        <v>5.5</v>
      </c>
      <c r="J327">
        <v>55</v>
      </c>
      <c r="K327">
        <v>0</v>
      </c>
      <c r="L327">
        <v>21.2</v>
      </c>
      <c r="M327">
        <v>42</v>
      </c>
      <c r="N327">
        <v>7</v>
      </c>
      <c r="O327">
        <v>15.4</v>
      </c>
      <c r="P327">
        <v>14</v>
      </c>
      <c r="Q327">
        <v>3</v>
      </c>
      <c r="R327">
        <v>7.4</v>
      </c>
      <c r="S327">
        <v>54</v>
      </c>
      <c r="T327">
        <v>2</v>
      </c>
      <c r="U327">
        <v>39.799999999999997</v>
      </c>
      <c r="V327">
        <v>88</v>
      </c>
      <c r="W327">
        <v>9</v>
      </c>
      <c r="X327">
        <v>8.1999999999999993</v>
      </c>
      <c r="Y327">
        <v>52</v>
      </c>
      <c r="Z327">
        <v>5</v>
      </c>
      <c r="AA327">
        <v>9</v>
      </c>
      <c r="AB327">
        <v>1</v>
      </c>
      <c r="AC327">
        <v>13</v>
      </c>
      <c r="AD327" s="21">
        <v>0.44</v>
      </c>
      <c r="AE327" s="21">
        <v>0.08</v>
      </c>
      <c r="AF327">
        <v>80</v>
      </c>
      <c r="AG327">
        <v>-1</v>
      </c>
      <c r="AH327">
        <v>23</v>
      </c>
      <c r="AI327">
        <v>37</v>
      </c>
      <c r="AJ327">
        <v>11</v>
      </c>
      <c r="AK327">
        <v>74</v>
      </c>
      <c r="AL327">
        <v>45</v>
      </c>
      <c r="AM327">
        <v>0</v>
      </c>
      <c r="AN327">
        <f>SUM(AO327:AR327)</f>
        <v>493</v>
      </c>
      <c r="AO327">
        <f>169+39</f>
        <v>208</v>
      </c>
      <c r="AP327">
        <f>111+55+27</f>
        <v>193</v>
      </c>
      <c r="AQ327">
        <v>0</v>
      </c>
      <c r="AR327">
        <v>92</v>
      </c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37"/>
      <c r="BK327" s="37"/>
      <c r="BL327" s="37"/>
      <c r="BM327" s="37"/>
      <c r="BN327" s="37"/>
      <c r="BO327" s="37"/>
      <c r="BP327" s="37"/>
      <c r="BQ327" s="37"/>
      <c r="BR327" s="37"/>
      <c r="BS327" s="37"/>
      <c r="BT327" s="37"/>
      <c r="BU327" s="37"/>
      <c r="BV327" s="37"/>
      <c r="BW327" s="37"/>
      <c r="BX327" s="37"/>
      <c r="BY327" s="37"/>
      <c r="BZ327" s="37"/>
      <c r="CA327" s="37"/>
      <c r="CB327" s="37"/>
      <c r="CC327" s="37"/>
      <c r="CD327" s="37"/>
      <c r="CE327" s="37"/>
      <c r="CF327" s="37"/>
    </row>
    <row r="328" spans="1:84" x14ac:dyDescent="0.2">
      <c r="A328" s="39">
        <v>43793</v>
      </c>
      <c r="B328" s="22" t="s">
        <v>242</v>
      </c>
      <c r="C328" t="s">
        <v>276</v>
      </c>
      <c r="D328" s="22" t="s">
        <v>278</v>
      </c>
      <c r="E328">
        <v>20</v>
      </c>
      <c r="F328">
        <v>15.4</v>
      </c>
      <c r="G328">
        <v>106</v>
      </c>
      <c r="H328">
        <v>2</v>
      </c>
      <c r="I328">
        <v>6.5</v>
      </c>
      <c r="J328">
        <v>65</v>
      </c>
      <c r="K328">
        <v>0</v>
      </c>
      <c r="L328">
        <v>11.9</v>
      </c>
      <c r="M328">
        <v>39</v>
      </c>
      <c r="N328">
        <v>4</v>
      </c>
      <c r="O328">
        <v>19.600000000000001</v>
      </c>
      <c r="P328">
        <v>76</v>
      </c>
      <c r="Q328">
        <v>9</v>
      </c>
      <c r="R328">
        <v>5.6</v>
      </c>
      <c r="S328">
        <v>24</v>
      </c>
      <c r="T328">
        <v>1</v>
      </c>
      <c r="U328">
        <v>8.6999999999999993</v>
      </c>
      <c r="V328">
        <v>37</v>
      </c>
      <c r="W328">
        <v>8</v>
      </c>
      <c r="X328">
        <f>3.1+2.4</f>
        <v>5.5</v>
      </c>
      <c r="Y328">
        <v>25</v>
      </c>
      <c r="Z328">
        <v>3</v>
      </c>
      <c r="AA328">
        <v>8</v>
      </c>
      <c r="AB328">
        <v>2</v>
      </c>
      <c r="AC328">
        <v>13</v>
      </c>
      <c r="AD328" s="21">
        <v>0.31034482758620691</v>
      </c>
      <c r="AE328" s="21">
        <v>3.4482758620689655E-2</v>
      </c>
      <c r="AF328">
        <v>75</v>
      </c>
      <c r="AG328">
        <v>4</v>
      </c>
      <c r="AH328">
        <v>25</v>
      </c>
      <c r="AI328">
        <v>36</v>
      </c>
      <c r="AJ328">
        <v>9</v>
      </c>
      <c r="AK328">
        <v>73</v>
      </c>
      <c r="AL328">
        <v>20</v>
      </c>
      <c r="AM328">
        <v>0</v>
      </c>
      <c r="AN328">
        <f>SUM(AO328:AR328)</f>
        <v>429</v>
      </c>
      <c r="AO328">
        <v>185</v>
      </c>
      <c r="AP328">
        <v>171</v>
      </c>
      <c r="AQ328">
        <v>17</v>
      </c>
      <c r="AR328">
        <v>56</v>
      </c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37"/>
      <c r="BK328" s="37"/>
      <c r="BL328" s="37"/>
      <c r="BM328" s="37"/>
      <c r="BN328" s="37"/>
      <c r="BO328" s="37"/>
      <c r="BP328" s="37"/>
      <c r="BQ328" s="37"/>
      <c r="BR328" s="37"/>
      <c r="BS328" s="37"/>
      <c r="BT328" s="37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CF328" s="37"/>
    </row>
    <row r="329" spans="1:84" x14ac:dyDescent="0.2">
      <c r="A329" s="39">
        <v>43793</v>
      </c>
      <c r="B329" s="22" t="s">
        <v>242</v>
      </c>
      <c r="C329" t="s">
        <v>301</v>
      </c>
      <c r="D329" s="22" t="s">
        <v>307</v>
      </c>
      <c r="E329">
        <v>23.14</v>
      </c>
      <c r="F329">
        <v>34.299999999999997</v>
      </c>
      <c r="G329">
        <v>64</v>
      </c>
      <c r="H329">
        <v>9</v>
      </c>
      <c r="I329">
        <v>0</v>
      </c>
      <c r="J329">
        <v>0</v>
      </c>
      <c r="K329">
        <v>0</v>
      </c>
      <c r="L329">
        <v>34.4</v>
      </c>
      <c r="M329">
        <v>126</v>
      </c>
      <c r="N329">
        <v>9</v>
      </c>
      <c r="O329">
        <v>5.9</v>
      </c>
      <c r="P329">
        <v>9</v>
      </c>
      <c r="Q329">
        <v>4</v>
      </c>
      <c r="R329">
        <v>1.4</v>
      </c>
      <c r="S329">
        <v>4</v>
      </c>
      <c r="T329">
        <v>1</v>
      </c>
      <c r="U329">
        <v>15.9</v>
      </c>
      <c r="V329">
        <v>59</v>
      </c>
      <c r="W329">
        <v>11</v>
      </c>
      <c r="X329">
        <v>10.8</v>
      </c>
      <c r="Y329">
        <v>48</v>
      </c>
      <c r="Z329">
        <v>9</v>
      </c>
      <c r="AA329">
        <v>10</v>
      </c>
      <c r="AB329">
        <v>3</v>
      </c>
      <c r="AC329">
        <v>3</v>
      </c>
      <c r="AD329" s="21">
        <v>0.36585365853658536</v>
      </c>
      <c r="AE329" s="21">
        <v>9.7560975609756101E-2</v>
      </c>
      <c r="AF329">
        <v>50</v>
      </c>
      <c r="AG329">
        <v>5</v>
      </c>
      <c r="AH329">
        <v>36</v>
      </c>
      <c r="AI329">
        <v>23</v>
      </c>
      <c r="AJ329">
        <v>1</v>
      </c>
      <c r="AK329">
        <v>69</v>
      </c>
      <c r="AL329">
        <v>31</v>
      </c>
      <c r="AM329">
        <v>0</v>
      </c>
      <c r="AN329">
        <f>SUM(AO329:AR329)</f>
        <v>377</v>
      </c>
      <c r="AO329">
        <v>256</v>
      </c>
      <c r="AP329">
        <v>64</v>
      </c>
      <c r="AQ329">
        <v>48</v>
      </c>
      <c r="AR329">
        <v>9</v>
      </c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37"/>
      <c r="BK329" s="37"/>
      <c r="BL329" s="37"/>
      <c r="BM329" s="37"/>
      <c r="BN329" s="37"/>
      <c r="BO329" s="37"/>
      <c r="BP329" s="37"/>
      <c r="BQ329" s="37"/>
      <c r="BR329" s="37"/>
      <c r="BS329" s="37"/>
      <c r="BT329" s="37"/>
      <c r="BU329" s="37"/>
      <c r="BV329" s="37"/>
      <c r="BW329" s="37"/>
      <c r="BX329" s="37"/>
      <c r="BY329" s="37"/>
      <c r="BZ329" s="37"/>
      <c r="CA329" s="37"/>
      <c r="CB329" s="37"/>
      <c r="CC329" s="37"/>
      <c r="CD329" s="37"/>
      <c r="CE329" s="37"/>
      <c r="CF329" s="37"/>
    </row>
    <row r="330" spans="1:84" x14ac:dyDescent="0.2">
      <c r="A330" s="39">
        <v>43793</v>
      </c>
      <c r="B330" s="22" t="s">
        <v>242</v>
      </c>
      <c r="C330" t="s">
        <v>265</v>
      </c>
      <c r="D330" s="22" t="s">
        <v>296</v>
      </c>
      <c r="E330">
        <v>20.92</v>
      </c>
      <c r="F330">
        <v>5.0999999999999996</v>
      </c>
      <c r="G330">
        <v>22</v>
      </c>
      <c r="H330">
        <v>3</v>
      </c>
      <c r="I330">
        <v>12.4</v>
      </c>
      <c r="J330">
        <v>25</v>
      </c>
      <c r="K330">
        <v>9</v>
      </c>
      <c r="L330">
        <v>28.1</v>
      </c>
      <c r="M330">
        <v>131</v>
      </c>
      <c r="N330">
        <v>10</v>
      </c>
      <c r="O330">
        <v>13.7</v>
      </c>
      <c r="P330">
        <v>77</v>
      </c>
      <c r="Q330">
        <v>9</v>
      </c>
      <c r="R330">
        <v>2.9</v>
      </c>
      <c r="S330">
        <v>19</v>
      </c>
      <c r="T330">
        <v>3</v>
      </c>
      <c r="U330">
        <v>41.5</v>
      </c>
      <c r="V330">
        <v>205</v>
      </c>
      <c r="W330">
        <v>18</v>
      </c>
      <c r="X330">
        <f>2.9+1.4</f>
        <v>4.3</v>
      </c>
      <c r="Y330">
        <v>13</v>
      </c>
      <c r="Z330">
        <v>5</v>
      </c>
      <c r="AA330">
        <v>7</v>
      </c>
      <c r="AB330">
        <v>2</v>
      </c>
      <c r="AC330">
        <v>4</v>
      </c>
      <c r="AD330" s="21">
        <v>0.28260869565217389</v>
      </c>
      <c r="AE330" s="21">
        <v>4.3478260869565216E-2</v>
      </c>
      <c r="AF330">
        <v>75</v>
      </c>
      <c r="AG330">
        <v>7</v>
      </c>
      <c r="AH330">
        <v>41</v>
      </c>
      <c r="AI330">
        <v>19</v>
      </c>
      <c r="AJ330">
        <v>7</v>
      </c>
      <c r="AK330">
        <v>69</v>
      </c>
      <c r="AL330">
        <v>19</v>
      </c>
      <c r="AM330">
        <v>0</v>
      </c>
      <c r="AN330">
        <f>AO330+AP330+AQ330+AR330</f>
        <v>343</v>
      </c>
      <c r="AO330">
        <v>278</v>
      </c>
      <c r="AP330">
        <v>47</v>
      </c>
      <c r="AQ330">
        <v>0</v>
      </c>
      <c r="AR330">
        <v>18</v>
      </c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  <c r="BK330" s="37"/>
      <c r="BL330" s="37"/>
      <c r="BM330" s="37"/>
      <c r="BN330" s="37"/>
      <c r="BO330" s="37"/>
      <c r="BP330" s="37"/>
      <c r="BQ330" s="37"/>
      <c r="BR330" s="37"/>
      <c r="BS330" s="37"/>
      <c r="BT330" s="37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CF330" s="37"/>
    </row>
    <row r="331" spans="1:84" x14ac:dyDescent="0.2">
      <c r="A331" s="39">
        <v>43793</v>
      </c>
      <c r="B331" s="28" t="s">
        <v>242</v>
      </c>
      <c r="C331" s="17" t="s">
        <v>272</v>
      </c>
      <c r="D331" s="28" t="s">
        <v>309</v>
      </c>
      <c r="E331" s="3">
        <v>11.48</v>
      </c>
      <c r="F331" s="3">
        <v>7.9</v>
      </c>
      <c r="G331" s="3">
        <v>79</v>
      </c>
      <c r="H331" s="3">
        <v>0</v>
      </c>
      <c r="I331" s="3">
        <v>6</v>
      </c>
      <c r="J331" s="3">
        <v>-1</v>
      </c>
      <c r="K331" s="3">
        <v>3</v>
      </c>
      <c r="L331" s="3">
        <v>23.1</v>
      </c>
      <c r="M331" s="3">
        <v>101</v>
      </c>
      <c r="N331" s="3">
        <v>9</v>
      </c>
      <c r="O331" s="3">
        <v>2</v>
      </c>
      <c r="P331" s="3">
        <v>10</v>
      </c>
      <c r="Q331" s="3">
        <v>3</v>
      </c>
      <c r="R331" s="3">
        <v>6.3</v>
      </c>
      <c r="S331" s="3">
        <v>43</v>
      </c>
      <c r="T331" s="3">
        <v>8</v>
      </c>
      <c r="U331" s="3">
        <v>16.599999999999998</v>
      </c>
      <c r="V331" s="3">
        <v>106</v>
      </c>
      <c r="W331" s="3">
        <v>9</v>
      </c>
      <c r="X331" s="3">
        <v>1.7</v>
      </c>
      <c r="Y331" s="3">
        <v>7</v>
      </c>
      <c r="Z331" s="3">
        <v>1</v>
      </c>
      <c r="AA331" s="3">
        <v>4</v>
      </c>
      <c r="AB331" s="3">
        <v>1</v>
      </c>
      <c r="AC331" s="3">
        <v>6</v>
      </c>
      <c r="AD331" s="29">
        <v>0.64516129032258063</v>
      </c>
      <c r="AE331" s="29">
        <v>0.12903225806451613</v>
      </c>
      <c r="AF331" s="3">
        <v>50</v>
      </c>
      <c r="AG331" s="3">
        <v>12</v>
      </c>
      <c r="AH331" s="3">
        <v>26</v>
      </c>
      <c r="AI331" s="3">
        <v>19</v>
      </c>
      <c r="AJ331" s="3">
        <v>2</v>
      </c>
      <c r="AK331" s="3">
        <v>51</v>
      </c>
      <c r="AL331" s="3">
        <v>10</v>
      </c>
      <c r="AM331" s="3">
        <v>0</v>
      </c>
      <c r="AN331" s="3">
        <f>SUM(AO331:AR331)</f>
        <v>278</v>
      </c>
      <c r="AO331" s="3">
        <v>192</v>
      </c>
      <c r="AP331" s="3">
        <v>78</v>
      </c>
      <c r="AQ331" s="3">
        <v>0</v>
      </c>
      <c r="AR331" s="3">
        <v>8</v>
      </c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37"/>
      <c r="BK331" s="37"/>
      <c r="BL331" s="37"/>
      <c r="BM331" s="37"/>
      <c r="BN331" s="37"/>
      <c r="BO331" s="37"/>
      <c r="BP331" s="37"/>
      <c r="BQ331" s="37"/>
      <c r="BR331" s="37"/>
      <c r="BS331" s="37"/>
      <c r="BT331" s="37"/>
      <c r="BU331" s="37"/>
      <c r="BV331" s="37"/>
      <c r="BW331" s="37"/>
      <c r="BX331" s="37"/>
      <c r="BY331" s="37"/>
      <c r="BZ331" s="37"/>
      <c r="CA331" s="37"/>
      <c r="CB331" s="37"/>
      <c r="CC331" s="37"/>
      <c r="CD331" s="37"/>
      <c r="CE331" s="37"/>
      <c r="CF331" s="37"/>
    </row>
    <row r="332" spans="1:84" x14ac:dyDescent="0.2">
      <c r="A332" s="39">
        <v>43793</v>
      </c>
      <c r="B332" s="22" t="s">
        <v>242</v>
      </c>
      <c r="C332" t="s">
        <v>281</v>
      </c>
      <c r="D332" s="22" t="s">
        <v>293</v>
      </c>
      <c r="E332">
        <v>27.58</v>
      </c>
      <c r="F332">
        <v>28.4</v>
      </c>
      <c r="G332">
        <v>106</v>
      </c>
      <c r="H332">
        <v>4</v>
      </c>
      <c r="I332">
        <v>12.6</v>
      </c>
      <c r="J332">
        <v>37</v>
      </c>
      <c r="K332">
        <v>3</v>
      </c>
      <c r="L332">
        <v>20.399999999999999</v>
      </c>
      <c r="M332">
        <v>84</v>
      </c>
      <c r="N332">
        <v>8</v>
      </c>
      <c r="O332">
        <v>39.799999999999997</v>
      </c>
      <c r="P332">
        <v>148</v>
      </c>
      <c r="Q332">
        <v>13</v>
      </c>
      <c r="R332">
        <v>0</v>
      </c>
      <c r="S332">
        <v>0</v>
      </c>
      <c r="T332">
        <v>1</v>
      </c>
      <c r="U332">
        <v>17.5</v>
      </c>
      <c r="V332">
        <v>65</v>
      </c>
      <c r="W332">
        <v>9</v>
      </c>
      <c r="X332">
        <v>5.8</v>
      </c>
      <c r="Y332">
        <v>28</v>
      </c>
      <c r="Z332">
        <v>3</v>
      </c>
      <c r="AA332">
        <v>12</v>
      </c>
      <c r="AB332">
        <v>3</v>
      </c>
      <c r="AC332">
        <v>8</v>
      </c>
      <c r="AD332" s="21">
        <v>0.25714285714285712</v>
      </c>
      <c r="AE332" s="21">
        <v>2.8571428571428571E-2</v>
      </c>
      <c r="AF332">
        <v>75</v>
      </c>
      <c r="AG332">
        <v>-1</v>
      </c>
      <c r="AH332">
        <v>34</v>
      </c>
      <c r="AI332">
        <v>29</v>
      </c>
      <c r="AJ332">
        <v>3</v>
      </c>
      <c r="AK332">
        <v>67</v>
      </c>
      <c r="AL332">
        <v>41</v>
      </c>
      <c r="AM332">
        <v>0</v>
      </c>
      <c r="AN332">
        <f>SUM(AO332:AR332)</f>
        <v>474</v>
      </c>
      <c r="AO332">
        <v>327</v>
      </c>
      <c r="AP332">
        <f>106+37</f>
        <v>143</v>
      </c>
      <c r="AQ332">
        <v>0</v>
      </c>
      <c r="AR332">
        <v>4</v>
      </c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37"/>
      <c r="BK332" s="37"/>
      <c r="BL332" s="37"/>
      <c r="BM332" s="37"/>
      <c r="BN332" s="37"/>
      <c r="BO332" s="37"/>
      <c r="BP332" s="37"/>
      <c r="BQ332" s="37"/>
      <c r="BR332" s="37"/>
      <c r="BS332" s="37"/>
      <c r="BT332" s="37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CF332" s="37"/>
    </row>
    <row r="333" spans="1:84" x14ac:dyDescent="0.2">
      <c r="A333" s="39">
        <v>43793</v>
      </c>
      <c r="B333" s="22" t="s">
        <v>242</v>
      </c>
      <c r="C333" t="s">
        <v>291</v>
      </c>
      <c r="D333" s="22" t="s">
        <v>302</v>
      </c>
      <c r="E333">
        <v>7.88</v>
      </c>
      <c r="F333">
        <v>16.600000000000001</v>
      </c>
      <c r="G333">
        <v>86</v>
      </c>
      <c r="H333">
        <v>4</v>
      </c>
      <c r="I333">
        <v>5.8</v>
      </c>
      <c r="J333">
        <v>19</v>
      </c>
      <c r="K333">
        <v>4</v>
      </c>
      <c r="L333">
        <v>0</v>
      </c>
      <c r="M333">
        <v>0</v>
      </c>
      <c r="N333">
        <v>2</v>
      </c>
      <c r="O333">
        <v>9.5</v>
      </c>
      <c r="P333">
        <v>55</v>
      </c>
      <c r="Q333">
        <v>6</v>
      </c>
      <c r="R333">
        <v>12.6</v>
      </c>
      <c r="S333">
        <v>86</v>
      </c>
      <c r="T333">
        <v>7</v>
      </c>
      <c r="U333">
        <v>10.5</v>
      </c>
      <c r="V333">
        <v>45</v>
      </c>
      <c r="W333">
        <v>10</v>
      </c>
      <c r="X333">
        <v>6.2</v>
      </c>
      <c r="Y333">
        <v>22</v>
      </c>
      <c r="Z333">
        <v>8</v>
      </c>
      <c r="AA333">
        <v>10</v>
      </c>
      <c r="AB333">
        <v>4</v>
      </c>
      <c r="AC333">
        <v>6</v>
      </c>
      <c r="AD333" s="21">
        <v>0.38235294117647056</v>
      </c>
      <c r="AE333" s="21">
        <v>0</v>
      </c>
      <c r="AF333">
        <v>60</v>
      </c>
      <c r="AG333">
        <v>8</v>
      </c>
      <c r="AH333">
        <v>33</v>
      </c>
      <c r="AI333">
        <v>25</v>
      </c>
      <c r="AJ333">
        <v>1</v>
      </c>
      <c r="AK333">
        <v>59</v>
      </c>
      <c r="AL333">
        <v>13</v>
      </c>
      <c r="AM333">
        <v>0</v>
      </c>
      <c r="AN333">
        <f>SUM(AO333:AR333)</f>
        <v>321</v>
      </c>
      <c r="AO333">
        <v>212</v>
      </c>
      <c r="AP333">
        <f>86+19</f>
        <v>105</v>
      </c>
      <c r="AQ333">
        <v>0</v>
      </c>
      <c r="AR333">
        <v>4</v>
      </c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37"/>
      <c r="BK333" s="37"/>
      <c r="BL333" s="37"/>
      <c r="BM333" s="37"/>
      <c r="BN333" s="37"/>
      <c r="BO333" s="37"/>
      <c r="BP333" s="37"/>
      <c r="BQ333" s="37"/>
      <c r="BR333" s="37"/>
      <c r="BS333" s="37"/>
      <c r="BT333" s="37"/>
      <c r="BU333" s="37"/>
      <c r="BV333" s="37"/>
      <c r="BW333" s="37"/>
      <c r="BX333" s="37"/>
      <c r="BY333" s="37"/>
      <c r="BZ333" s="37"/>
      <c r="CA333" s="37"/>
      <c r="CB333" s="37"/>
      <c r="CC333" s="37"/>
      <c r="CD333" s="37"/>
      <c r="CE333" s="37"/>
      <c r="CF333" s="37"/>
    </row>
    <row r="334" spans="1:84" x14ac:dyDescent="0.2">
      <c r="A334" s="39">
        <v>43793</v>
      </c>
      <c r="B334" t="s">
        <v>242</v>
      </c>
      <c r="C334" t="s">
        <v>278</v>
      </c>
      <c r="D334" t="s">
        <v>276</v>
      </c>
      <c r="E334">
        <v>3.08</v>
      </c>
      <c r="F334">
        <v>7.8</v>
      </c>
      <c r="G334">
        <v>57</v>
      </c>
      <c r="H334">
        <v>3</v>
      </c>
      <c r="I334">
        <v>4.9000000000000004</v>
      </c>
      <c r="J334">
        <v>20</v>
      </c>
      <c r="K334">
        <v>2</v>
      </c>
      <c r="L334">
        <v>3.7</v>
      </c>
      <c r="M334">
        <v>8</v>
      </c>
      <c r="N334">
        <v>27</v>
      </c>
      <c r="O334">
        <v>1.3</v>
      </c>
      <c r="P334">
        <v>3</v>
      </c>
      <c r="Q334">
        <v>3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1</v>
      </c>
      <c r="X334">
        <v>7.2</v>
      </c>
      <c r="Y334">
        <v>32</v>
      </c>
      <c r="Z334">
        <v>6</v>
      </c>
      <c r="AA334">
        <v>4</v>
      </c>
      <c r="AB334">
        <v>1</v>
      </c>
      <c r="AC334">
        <v>4</v>
      </c>
      <c r="AD334">
        <v>0.38709677419354838</v>
      </c>
      <c r="AE334">
        <v>0.12903225806451613</v>
      </c>
      <c r="AF334">
        <v>80</v>
      </c>
      <c r="AG334">
        <v>13</v>
      </c>
      <c r="AH334">
        <v>25</v>
      </c>
      <c r="AI334">
        <v>15</v>
      </c>
      <c r="AJ334">
        <v>2</v>
      </c>
      <c r="AK334">
        <v>46</v>
      </c>
      <c r="AL334">
        <v>3</v>
      </c>
      <c r="AM334">
        <v>0</v>
      </c>
      <c r="AN334">
        <v>167</v>
      </c>
      <c r="AO334">
        <v>82</v>
      </c>
      <c r="AP334">
        <v>77</v>
      </c>
      <c r="AQ334">
        <v>0</v>
      </c>
      <c r="AR334">
        <v>8</v>
      </c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37"/>
      <c r="BK334" s="37"/>
      <c r="BL334" s="37"/>
      <c r="BM334" s="37"/>
      <c r="BN334" s="37"/>
      <c r="BO334" s="37"/>
      <c r="BP334" s="37"/>
      <c r="BQ334" s="37"/>
      <c r="BR334" s="37"/>
      <c r="BS334" s="37"/>
      <c r="BT334" s="37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CF334" s="37"/>
    </row>
    <row r="335" spans="1:84" x14ac:dyDescent="0.2">
      <c r="A335" s="39">
        <v>43793</v>
      </c>
      <c r="B335" s="22" t="s">
        <v>242</v>
      </c>
      <c r="C335" t="s">
        <v>299</v>
      </c>
      <c r="D335" s="22" t="s">
        <v>306</v>
      </c>
      <c r="E335">
        <v>15.58</v>
      </c>
      <c r="F335">
        <v>8.8000000000000007</v>
      </c>
      <c r="G335">
        <v>98</v>
      </c>
      <c r="H335">
        <v>1</v>
      </c>
      <c r="I335">
        <v>4.0999999999999996</v>
      </c>
      <c r="J335">
        <v>11</v>
      </c>
      <c r="K335">
        <v>2</v>
      </c>
      <c r="L335">
        <v>10.1</v>
      </c>
      <c r="M335">
        <v>61</v>
      </c>
      <c r="N335">
        <v>4</v>
      </c>
      <c r="O335">
        <v>9.6</v>
      </c>
      <c r="P335">
        <v>46</v>
      </c>
      <c r="Q335">
        <v>11</v>
      </c>
      <c r="R335">
        <v>5.0999999999999996</v>
      </c>
      <c r="S335">
        <v>21</v>
      </c>
      <c r="T335">
        <v>3</v>
      </c>
      <c r="U335">
        <v>11.5</v>
      </c>
      <c r="V335">
        <v>55</v>
      </c>
      <c r="W335">
        <v>11</v>
      </c>
      <c r="X335">
        <v>12.1</v>
      </c>
      <c r="Y335">
        <v>31</v>
      </c>
      <c r="Z335">
        <v>5</v>
      </c>
      <c r="AA335">
        <v>11</v>
      </c>
      <c r="AB335">
        <v>4</v>
      </c>
      <c r="AC335">
        <v>8</v>
      </c>
      <c r="AD335" s="21">
        <v>0.41860465116279072</v>
      </c>
      <c r="AE335" s="21">
        <v>0.13953488372093023</v>
      </c>
      <c r="AF335">
        <v>60</v>
      </c>
      <c r="AG335">
        <v>21</v>
      </c>
      <c r="AH335">
        <v>33</v>
      </c>
      <c r="AI335">
        <v>23</v>
      </c>
      <c r="AJ335">
        <v>9</v>
      </c>
      <c r="AK335">
        <v>71</v>
      </c>
      <c r="AL335">
        <v>16</v>
      </c>
      <c r="AM335">
        <v>0</v>
      </c>
      <c r="AN335">
        <f t="shared" ref="AN335:AN348" si="21">SUM(AO335:AR335)</f>
        <v>382</v>
      </c>
      <c r="AO335">
        <v>207</v>
      </c>
      <c r="AP335">
        <v>112</v>
      </c>
      <c r="AQ335">
        <v>0</v>
      </c>
      <c r="AR335">
        <v>63</v>
      </c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37"/>
      <c r="BK335" s="37"/>
      <c r="BL335" s="37"/>
      <c r="BM335" s="37"/>
      <c r="BN335" s="37"/>
      <c r="BO335" s="37"/>
      <c r="BP335" s="37"/>
      <c r="BQ335" s="37"/>
      <c r="BR335" s="37"/>
      <c r="BS335" s="37"/>
      <c r="BT335" s="37"/>
      <c r="BU335" s="37"/>
      <c r="BV335" s="37"/>
      <c r="BW335" s="37"/>
      <c r="BX335" s="37"/>
      <c r="BY335" s="37"/>
      <c r="BZ335" s="37"/>
      <c r="CA335" s="37"/>
      <c r="CB335" s="37"/>
      <c r="CC335" s="37"/>
      <c r="CD335" s="37"/>
      <c r="CE335" s="37"/>
      <c r="CF335" s="37"/>
    </row>
    <row r="336" spans="1:84" x14ac:dyDescent="0.2">
      <c r="A336" s="39">
        <v>43793</v>
      </c>
      <c r="B336" s="22" t="s">
        <v>242</v>
      </c>
      <c r="C336" t="s">
        <v>300</v>
      </c>
      <c r="D336" s="22" t="s">
        <v>256</v>
      </c>
      <c r="E336">
        <v>10.46</v>
      </c>
      <c r="F336">
        <v>3.8</v>
      </c>
      <c r="G336">
        <v>38</v>
      </c>
      <c r="H336">
        <v>1</v>
      </c>
      <c r="I336">
        <v>15</v>
      </c>
      <c r="J336">
        <v>45</v>
      </c>
      <c r="K336">
        <v>8</v>
      </c>
      <c r="L336">
        <v>19.3</v>
      </c>
      <c r="M336">
        <v>43</v>
      </c>
      <c r="N336">
        <v>12</v>
      </c>
      <c r="O336">
        <v>3.9</v>
      </c>
      <c r="P336">
        <v>9</v>
      </c>
      <c r="Q336">
        <v>4</v>
      </c>
      <c r="R336">
        <v>3.8</v>
      </c>
      <c r="S336">
        <v>7</v>
      </c>
      <c r="T336">
        <v>2</v>
      </c>
      <c r="U336">
        <v>17.399999999999999</v>
      </c>
      <c r="V336">
        <v>34</v>
      </c>
      <c r="W336">
        <v>11</v>
      </c>
      <c r="X336">
        <f>2.8+1.7</f>
        <v>4.5</v>
      </c>
      <c r="Y336">
        <v>15</v>
      </c>
      <c r="Z336">
        <v>4</v>
      </c>
      <c r="AA336">
        <v>0</v>
      </c>
      <c r="AB336">
        <v>0</v>
      </c>
      <c r="AC336">
        <v>-1</v>
      </c>
      <c r="AD336" s="21">
        <v>0.34146341463414637</v>
      </c>
      <c r="AE336" s="21">
        <v>0.12195121951219512</v>
      </c>
      <c r="AF336">
        <v>66.7</v>
      </c>
      <c r="AG336">
        <v>11</v>
      </c>
      <c r="AH336">
        <v>37</v>
      </c>
      <c r="AI336">
        <v>24</v>
      </c>
      <c r="AJ336">
        <v>3</v>
      </c>
      <c r="AK336">
        <v>70</v>
      </c>
      <c r="AL336">
        <v>8</v>
      </c>
      <c r="AM336">
        <v>0</v>
      </c>
      <c r="AN336">
        <f t="shared" si="21"/>
        <v>236</v>
      </c>
      <c r="AO336">
        <v>119</v>
      </c>
      <c r="AP336">
        <f>45+38</f>
        <v>83</v>
      </c>
      <c r="AQ336">
        <v>21</v>
      </c>
      <c r="AR336">
        <v>13</v>
      </c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37"/>
      <c r="BK336" s="37"/>
      <c r="BL336" s="37"/>
      <c r="BM336" s="37"/>
      <c r="BN336" s="37"/>
      <c r="BO336" s="37"/>
      <c r="BP336" s="37"/>
      <c r="BQ336" s="37"/>
      <c r="BR336" s="37"/>
      <c r="BS336" s="37"/>
      <c r="BT336" s="37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/>
      <c r="CE336" s="37"/>
      <c r="CF336" s="37"/>
    </row>
    <row r="337" spans="1:84" x14ac:dyDescent="0.2">
      <c r="A337" s="39">
        <v>43793</v>
      </c>
      <c r="B337" s="22" t="s">
        <v>242</v>
      </c>
      <c r="C337" t="s">
        <v>311</v>
      </c>
      <c r="D337" s="22" t="s">
        <v>289</v>
      </c>
      <c r="E337">
        <v>19.920000000000002</v>
      </c>
      <c r="F337">
        <v>6.7</v>
      </c>
      <c r="G337">
        <v>67</v>
      </c>
      <c r="H337">
        <v>0</v>
      </c>
      <c r="I337">
        <v>4</v>
      </c>
      <c r="J337">
        <v>22</v>
      </c>
      <c r="K337">
        <v>1</v>
      </c>
      <c r="L337">
        <v>27.4</v>
      </c>
      <c r="M337">
        <v>94</v>
      </c>
      <c r="N337">
        <v>8</v>
      </c>
      <c r="O337" s="14">
        <v>24</v>
      </c>
      <c r="P337">
        <v>140</v>
      </c>
      <c r="Q337">
        <v>11</v>
      </c>
      <c r="R337">
        <v>1.6</v>
      </c>
      <c r="S337">
        <v>6</v>
      </c>
      <c r="T337">
        <v>2</v>
      </c>
      <c r="U337">
        <v>19.100000000000001</v>
      </c>
      <c r="V337">
        <v>101</v>
      </c>
      <c r="W337">
        <v>11</v>
      </c>
      <c r="X337">
        <f>5.6+3.4</f>
        <v>9</v>
      </c>
      <c r="Y337">
        <v>50</v>
      </c>
      <c r="Z337">
        <v>6</v>
      </c>
      <c r="AA337">
        <v>8</v>
      </c>
      <c r="AB337">
        <v>2</v>
      </c>
      <c r="AC337">
        <v>2</v>
      </c>
      <c r="AD337" s="21">
        <v>0.3125</v>
      </c>
      <c r="AE337" s="21">
        <v>3.125E-2</v>
      </c>
      <c r="AF337">
        <v>66.7</v>
      </c>
      <c r="AG337">
        <v>4</v>
      </c>
      <c r="AH337">
        <v>30</v>
      </c>
      <c r="AI337">
        <v>21</v>
      </c>
      <c r="AJ337">
        <v>3</v>
      </c>
      <c r="AK337">
        <v>55</v>
      </c>
      <c r="AL337">
        <v>20</v>
      </c>
      <c r="AM337">
        <v>0</v>
      </c>
      <c r="AN337">
        <f t="shared" si="21"/>
        <v>397</v>
      </c>
      <c r="AO337">
        <v>298</v>
      </c>
      <c r="AP337">
        <f>67+22</f>
        <v>89</v>
      </c>
      <c r="AQ337">
        <v>0</v>
      </c>
      <c r="AR337">
        <v>10</v>
      </c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37"/>
      <c r="BK337" s="37"/>
      <c r="BL337" s="37"/>
      <c r="BM337" s="37"/>
      <c r="BN337" s="37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CF337" s="37"/>
    </row>
    <row r="338" spans="1:84" x14ac:dyDescent="0.2">
      <c r="A338" s="39">
        <v>43793</v>
      </c>
      <c r="B338" s="22" t="s">
        <v>242</v>
      </c>
      <c r="C338" t="s">
        <v>289</v>
      </c>
      <c r="D338" s="22" t="s">
        <v>311</v>
      </c>
      <c r="E338">
        <v>13.16</v>
      </c>
      <c r="F338">
        <v>24.1</v>
      </c>
      <c r="G338">
        <v>104</v>
      </c>
      <c r="H338">
        <v>3</v>
      </c>
      <c r="I338">
        <v>8.1</v>
      </c>
      <c r="J338">
        <v>51</v>
      </c>
      <c r="K338">
        <v>3</v>
      </c>
      <c r="L338">
        <v>4.8</v>
      </c>
      <c r="M338">
        <v>18</v>
      </c>
      <c r="N338">
        <v>6</v>
      </c>
      <c r="O338">
        <v>2.2000000000000002</v>
      </c>
      <c r="P338">
        <v>12</v>
      </c>
      <c r="Q338">
        <v>1</v>
      </c>
      <c r="R338">
        <v>0</v>
      </c>
      <c r="S338">
        <v>0</v>
      </c>
      <c r="T338">
        <v>1</v>
      </c>
      <c r="U338">
        <v>13.700000000000001</v>
      </c>
      <c r="V338">
        <v>67</v>
      </c>
      <c r="W338">
        <v>10</v>
      </c>
      <c r="X338">
        <f>8.4+5.8</f>
        <v>14.2</v>
      </c>
      <c r="Y338">
        <f>44+28</f>
        <v>72</v>
      </c>
      <c r="Z338">
        <v>9</v>
      </c>
      <c r="AA338">
        <v>5</v>
      </c>
      <c r="AB338">
        <v>1</v>
      </c>
      <c r="AC338">
        <v>4</v>
      </c>
      <c r="AD338" s="21">
        <v>0.37931034482758619</v>
      </c>
      <c r="AE338" s="21">
        <v>3.4482758620689655E-2</v>
      </c>
      <c r="AF338">
        <v>50</v>
      </c>
      <c r="AG338">
        <v>2</v>
      </c>
      <c r="AH338">
        <v>25</v>
      </c>
      <c r="AI338">
        <v>35</v>
      </c>
      <c r="AJ338">
        <v>4</v>
      </c>
      <c r="AK338">
        <v>65</v>
      </c>
      <c r="AL338">
        <v>17</v>
      </c>
      <c r="AM338">
        <v>0</v>
      </c>
      <c r="AN338">
        <f t="shared" si="21"/>
        <v>304</v>
      </c>
      <c r="AO338">
        <v>129</v>
      </c>
      <c r="AP338">
        <f>104+51</f>
        <v>155</v>
      </c>
      <c r="AQ338">
        <v>0</v>
      </c>
      <c r="AR338">
        <v>20</v>
      </c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CF338" s="37"/>
    </row>
    <row r="339" spans="1:84" x14ac:dyDescent="0.2">
      <c r="A339" s="39">
        <v>43793</v>
      </c>
      <c r="B339" s="22" t="s">
        <v>242</v>
      </c>
      <c r="C339" t="s">
        <v>297</v>
      </c>
      <c r="D339" s="22" t="s">
        <v>310</v>
      </c>
      <c r="E339">
        <v>14.88</v>
      </c>
      <c r="F339">
        <v>36.9</v>
      </c>
      <c r="G339">
        <v>97</v>
      </c>
      <c r="H339">
        <v>12</v>
      </c>
      <c r="I339">
        <v>0</v>
      </c>
      <c r="J339">
        <v>0</v>
      </c>
      <c r="K339">
        <v>1</v>
      </c>
      <c r="L339">
        <v>10.8</v>
      </c>
      <c r="M339">
        <v>38</v>
      </c>
      <c r="N339">
        <v>6</v>
      </c>
      <c r="O339">
        <v>14.9</v>
      </c>
      <c r="P339">
        <v>69</v>
      </c>
      <c r="Q339">
        <v>9</v>
      </c>
      <c r="R339">
        <v>8.9</v>
      </c>
      <c r="S339">
        <v>49</v>
      </c>
      <c r="T339">
        <v>9</v>
      </c>
      <c r="U339">
        <v>19.200000000000003</v>
      </c>
      <c r="V339">
        <v>92</v>
      </c>
      <c r="W339">
        <v>11</v>
      </c>
      <c r="X339">
        <v>7.6</v>
      </c>
      <c r="Y339">
        <v>36</v>
      </c>
      <c r="Z339">
        <v>4</v>
      </c>
      <c r="AA339">
        <v>9</v>
      </c>
      <c r="AB339">
        <v>2</v>
      </c>
      <c r="AC339">
        <v>1</v>
      </c>
      <c r="AD339" s="21">
        <v>0.33333333333333331</v>
      </c>
      <c r="AE339" s="21">
        <v>5.5555555555555552E-2</v>
      </c>
      <c r="AF339">
        <v>61.5</v>
      </c>
      <c r="AG339">
        <v>6</v>
      </c>
      <c r="AH339">
        <v>48</v>
      </c>
      <c r="AI339">
        <v>24</v>
      </c>
      <c r="AJ339">
        <v>3</v>
      </c>
      <c r="AK339">
        <v>78</v>
      </c>
      <c r="AL339">
        <v>20</v>
      </c>
      <c r="AM339">
        <v>0</v>
      </c>
      <c r="AN339">
        <f t="shared" si="21"/>
        <v>389</v>
      </c>
      <c r="AO339">
        <v>272</v>
      </c>
      <c r="AP339">
        <v>97</v>
      </c>
      <c r="AQ339">
        <v>0</v>
      </c>
      <c r="AR339">
        <v>20</v>
      </c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37"/>
      <c r="BK339" s="37"/>
      <c r="BL339" s="37"/>
      <c r="BM339" s="37"/>
      <c r="BN339" s="37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CF339" s="37"/>
    </row>
    <row r="340" spans="1:84" x14ac:dyDescent="0.2">
      <c r="A340" s="39">
        <v>43793</v>
      </c>
      <c r="B340" s="22" t="s">
        <v>242</v>
      </c>
      <c r="C340" t="s">
        <v>303</v>
      </c>
      <c r="D340" s="22" t="s">
        <v>298</v>
      </c>
      <c r="E340">
        <v>5.18</v>
      </c>
      <c r="F340">
        <v>4.5999999999999996</v>
      </c>
      <c r="G340">
        <v>34</v>
      </c>
      <c r="H340">
        <v>1</v>
      </c>
      <c r="I340">
        <v>11.1</v>
      </c>
      <c r="J340">
        <v>4</v>
      </c>
      <c r="K340">
        <v>7</v>
      </c>
      <c r="L340">
        <v>3.8</v>
      </c>
      <c r="M340">
        <v>18</v>
      </c>
      <c r="N340">
        <v>6</v>
      </c>
      <c r="O340">
        <v>6.1</v>
      </c>
      <c r="P340">
        <v>31</v>
      </c>
      <c r="Q340">
        <v>5</v>
      </c>
      <c r="R340">
        <v>2.5</v>
      </c>
      <c r="S340">
        <v>5</v>
      </c>
      <c r="T340">
        <v>2</v>
      </c>
      <c r="U340">
        <v>7.8</v>
      </c>
      <c r="V340">
        <v>38</v>
      </c>
      <c r="W340">
        <v>11</v>
      </c>
      <c r="X340">
        <v>8.4</v>
      </c>
      <c r="Y340">
        <v>44</v>
      </c>
      <c r="Z340">
        <v>7</v>
      </c>
      <c r="AA340">
        <v>4</v>
      </c>
      <c r="AB340">
        <v>2</v>
      </c>
      <c r="AC340">
        <v>2</v>
      </c>
      <c r="AD340" s="21">
        <v>0.27777777777777779</v>
      </c>
      <c r="AE340" s="21">
        <v>2.7777777777777776E-2</v>
      </c>
      <c r="AF340">
        <v>80</v>
      </c>
      <c r="AG340">
        <v>18</v>
      </c>
      <c r="AH340">
        <v>34</v>
      </c>
      <c r="AI340">
        <v>19</v>
      </c>
      <c r="AJ340">
        <v>3</v>
      </c>
      <c r="AK340">
        <v>57</v>
      </c>
      <c r="AL340">
        <v>3</v>
      </c>
      <c r="AM340">
        <v>0</v>
      </c>
      <c r="AN340">
        <f t="shared" si="21"/>
        <v>215</v>
      </c>
      <c r="AO340">
        <v>147</v>
      </c>
      <c r="AP340">
        <f>4+34+19</f>
        <v>57</v>
      </c>
      <c r="AQ340">
        <v>0</v>
      </c>
      <c r="AR340">
        <v>11</v>
      </c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37"/>
      <c r="BK340" s="37"/>
      <c r="BL340" s="37"/>
      <c r="BM340" s="37"/>
      <c r="BN340" s="37"/>
      <c r="BO340" s="37"/>
      <c r="BP340" s="37"/>
      <c r="BQ340" s="37"/>
      <c r="BR340" s="37"/>
      <c r="BS340" s="37"/>
      <c r="BT340" s="37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CF340" s="37"/>
    </row>
    <row r="341" spans="1:84" x14ac:dyDescent="0.2">
      <c r="A341" s="39">
        <v>43793</v>
      </c>
      <c r="B341" s="22" t="s">
        <v>242</v>
      </c>
      <c r="C341" t="s">
        <v>304</v>
      </c>
      <c r="D341" s="22" t="s">
        <v>305</v>
      </c>
      <c r="E341">
        <v>6.38</v>
      </c>
      <c r="F341">
        <v>4.9000000000000004</v>
      </c>
      <c r="G341">
        <v>22</v>
      </c>
      <c r="H341">
        <v>3</v>
      </c>
      <c r="I341">
        <v>0</v>
      </c>
      <c r="J341">
        <v>0</v>
      </c>
      <c r="K341">
        <v>0</v>
      </c>
      <c r="L341" s="14">
        <v>9.5</v>
      </c>
      <c r="M341">
        <v>35</v>
      </c>
      <c r="N341">
        <v>10</v>
      </c>
      <c r="O341">
        <v>15.7</v>
      </c>
      <c r="P341">
        <v>97</v>
      </c>
      <c r="Q341">
        <v>9</v>
      </c>
      <c r="R341">
        <v>5.3</v>
      </c>
      <c r="S341">
        <v>32</v>
      </c>
      <c r="T341">
        <v>4</v>
      </c>
      <c r="U341">
        <v>14.2</v>
      </c>
      <c r="V341">
        <v>52</v>
      </c>
      <c r="W341">
        <v>14</v>
      </c>
      <c r="X341">
        <v>11.3</v>
      </c>
      <c r="Y341">
        <v>43</v>
      </c>
      <c r="Z341">
        <v>8</v>
      </c>
      <c r="AA341">
        <v>7</v>
      </c>
      <c r="AB341">
        <v>2</v>
      </c>
      <c r="AC341">
        <v>-1</v>
      </c>
      <c r="AD341" s="21">
        <v>0.30769230769230771</v>
      </c>
      <c r="AE341" s="21">
        <v>5.128205128205128E-2</v>
      </c>
      <c r="AF341">
        <v>55.6</v>
      </c>
      <c r="AG341">
        <v>13</v>
      </c>
      <c r="AH341">
        <v>37</v>
      </c>
      <c r="AI341">
        <v>7</v>
      </c>
      <c r="AJ341">
        <v>1</v>
      </c>
      <c r="AK341">
        <v>48</v>
      </c>
      <c r="AL341">
        <v>6</v>
      </c>
      <c r="AM341">
        <v>0</v>
      </c>
      <c r="AN341">
        <f t="shared" si="21"/>
        <v>234</v>
      </c>
      <c r="AO341">
        <v>212</v>
      </c>
      <c r="AP341">
        <v>22</v>
      </c>
      <c r="AQ341">
        <v>1</v>
      </c>
      <c r="AR341">
        <v>-1</v>
      </c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  <c r="BK341" s="37"/>
      <c r="BL341" s="37"/>
      <c r="BM341" s="37"/>
      <c r="BN341" s="37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CF341" s="37"/>
    </row>
    <row r="342" spans="1:84" x14ac:dyDescent="0.2">
      <c r="A342" s="39">
        <v>43793</v>
      </c>
      <c r="B342" s="22" t="s">
        <v>242</v>
      </c>
      <c r="C342" t="s">
        <v>293</v>
      </c>
      <c r="D342" s="22" t="s">
        <v>281</v>
      </c>
      <c r="E342">
        <v>25.06</v>
      </c>
      <c r="F342">
        <v>3.6</v>
      </c>
      <c r="G342">
        <v>13</v>
      </c>
      <c r="H342">
        <v>1</v>
      </c>
      <c r="I342">
        <v>2.7</v>
      </c>
      <c r="J342">
        <v>10</v>
      </c>
      <c r="K342">
        <v>1</v>
      </c>
      <c r="L342">
        <v>15.1</v>
      </c>
      <c r="M342">
        <v>91</v>
      </c>
      <c r="N342">
        <v>11</v>
      </c>
      <c r="O342">
        <v>14.2</v>
      </c>
      <c r="P342">
        <v>42</v>
      </c>
      <c r="Q342">
        <v>7</v>
      </c>
      <c r="R342">
        <v>9.6999999999999993</v>
      </c>
      <c r="S342">
        <v>33</v>
      </c>
      <c r="T342">
        <v>7</v>
      </c>
      <c r="U342">
        <v>33.1</v>
      </c>
      <c r="V342">
        <v>101</v>
      </c>
      <c r="W342">
        <v>17</v>
      </c>
      <c r="X342">
        <v>11.8</v>
      </c>
      <c r="Y342">
        <v>28</v>
      </c>
      <c r="Z342">
        <v>7</v>
      </c>
      <c r="AA342">
        <v>6</v>
      </c>
      <c r="AB342">
        <v>1</v>
      </c>
      <c r="AC342">
        <v>-1</v>
      </c>
      <c r="AD342" s="21">
        <v>0.39583333333333331</v>
      </c>
      <c r="AE342" s="21">
        <v>8.3333333333333329E-2</v>
      </c>
      <c r="AF342">
        <v>33.299999999999997</v>
      </c>
      <c r="AG342">
        <v>8</v>
      </c>
      <c r="AH342">
        <v>39</v>
      </c>
      <c r="AI342">
        <v>14</v>
      </c>
      <c r="AJ342">
        <v>5</v>
      </c>
      <c r="AK342">
        <v>63</v>
      </c>
      <c r="AL342">
        <v>24</v>
      </c>
      <c r="AM342">
        <v>0</v>
      </c>
      <c r="AN342">
        <f t="shared" si="21"/>
        <v>306</v>
      </c>
      <c r="AO342">
        <v>214</v>
      </c>
      <c r="AP342">
        <v>43</v>
      </c>
      <c r="AQ342">
        <v>4</v>
      </c>
      <c r="AR342">
        <v>45</v>
      </c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</row>
    <row r="343" spans="1:84" x14ac:dyDescent="0.2">
      <c r="A343" s="39">
        <v>43793</v>
      </c>
      <c r="B343" s="22" t="s">
        <v>242</v>
      </c>
      <c r="C343" t="s">
        <v>302</v>
      </c>
      <c r="D343" s="22" t="s">
        <v>291</v>
      </c>
      <c r="E343">
        <v>11.3</v>
      </c>
      <c r="F343">
        <v>8.5</v>
      </c>
      <c r="G343">
        <v>85</v>
      </c>
      <c r="H343">
        <v>0</v>
      </c>
      <c r="I343">
        <v>3.7</v>
      </c>
      <c r="J343">
        <v>3</v>
      </c>
      <c r="K343">
        <v>5</v>
      </c>
      <c r="L343">
        <v>17.3</v>
      </c>
      <c r="M343">
        <v>93</v>
      </c>
      <c r="N343">
        <v>12</v>
      </c>
      <c r="O343">
        <v>11.4</v>
      </c>
      <c r="P343">
        <v>74</v>
      </c>
      <c r="Q343">
        <v>9</v>
      </c>
      <c r="R343">
        <v>8</v>
      </c>
      <c r="S343">
        <v>10</v>
      </c>
      <c r="T343">
        <v>4</v>
      </c>
      <c r="U343">
        <v>11.3</v>
      </c>
      <c r="V343">
        <v>63</v>
      </c>
      <c r="W343">
        <v>13</v>
      </c>
      <c r="X343">
        <v>1.5</v>
      </c>
      <c r="Y343">
        <v>5</v>
      </c>
      <c r="Z343">
        <v>1</v>
      </c>
      <c r="AA343">
        <v>9</v>
      </c>
      <c r="AB343">
        <v>4</v>
      </c>
      <c r="AC343">
        <v>8</v>
      </c>
      <c r="AD343" s="21">
        <v>0.28205128205128205</v>
      </c>
      <c r="AE343" s="21">
        <v>5.128205128205128E-2</v>
      </c>
      <c r="AF343">
        <v>85.7</v>
      </c>
      <c r="AG343">
        <v>6</v>
      </c>
      <c r="AH343">
        <v>37</v>
      </c>
      <c r="AI343">
        <v>25</v>
      </c>
      <c r="AJ343">
        <v>2</v>
      </c>
      <c r="AK343">
        <v>66</v>
      </c>
      <c r="AL343">
        <v>13</v>
      </c>
      <c r="AM343">
        <v>0</v>
      </c>
      <c r="AN343">
        <f t="shared" si="21"/>
        <v>291</v>
      </c>
      <c r="AO343">
        <v>190</v>
      </c>
      <c r="AP343">
        <f>85+3+11+5</f>
        <v>104</v>
      </c>
      <c r="AQ343">
        <v>0</v>
      </c>
      <c r="AR343">
        <v>-3</v>
      </c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CF343" s="37"/>
    </row>
    <row r="344" spans="1:84" x14ac:dyDescent="0.2">
      <c r="A344" s="39">
        <v>43793</v>
      </c>
      <c r="B344" s="22" t="s">
        <v>242</v>
      </c>
      <c r="C344" t="s">
        <v>307</v>
      </c>
      <c r="D344" s="22" t="s">
        <v>301</v>
      </c>
      <c r="E344">
        <v>26.44</v>
      </c>
      <c r="F344">
        <v>19.2</v>
      </c>
      <c r="G344">
        <v>54</v>
      </c>
      <c r="H344">
        <v>9</v>
      </c>
      <c r="I344">
        <v>12.4</v>
      </c>
      <c r="J344">
        <v>64</v>
      </c>
      <c r="K344">
        <v>0</v>
      </c>
      <c r="L344">
        <v>29.1</v>
      </c>
      <c r="M344">
        <v>101</v>
      </c>
      <c r="N344">
        <v>11</v>
      </c>
      <c r="O344">
        <v>8.3000000000000007</v>
      </c>
      <c r="P344">
        <v>13</v>
      </c>
      <c r="Q344">
        <v>3</v>
      </c>
      <c r="R344">
        <v>5.8</v>
      </c>
      <c r="S344">
        <v>38</v>
      </c>
      <c r="T344">
        <v>5</v>
      </c>
      <c r="U344">
        <v>10.3</v>
      </c>
      <c r="V344">
        <v>53</v>
      </c>
      <c r="W344">
        <v>8</v>
      </c>
      <c r="X344">
        <v>24.1</v>
      </c>
      <c r="Y344">
        <v>111</v>
      </c>
      <c r="Z344">
        <v>9</v>
      </c>
      <c r="AA344">
        <v>11</v>
      </c>
      <c r="AB344">
        <v>2</v>
      </c>
      <c r="AC344">
        <v>5</v>
      </c>
      <c r="AD344" s="21">
        <v>0.24390243902439024</v>
      </c>
      <c r="AE344" s="21">
        <v>4.878048780487805E-2</v>
      </c>
      <c r="AF344">
        <v>100</v>
      </c>
      <c r="AG344">
        <v>3</v>
      </c>
      <c r="AH344">
        <v>39</v>
      </c>
      <c r="AI344">
        <v>18</v>
      </c>
      <c r="AJ344">
        <v>0</v>
      </c>
      <c r="AK344">
        <v>59</v>
      </c>
      <c r="AL344">
        <v>34</v>
      </c>
      <c r="AM344">
        <v>0</v>
      </c>
      <c r="AN344">
        <f t="shared" si="21"/>
        <v>429</v>
      </c>
      <c r="AO344">
        <v>311</v>
      </c>
      <c r="AP344">
        <v>118</v>
      </c>
      <c r="AQ344">
        <v>0</v>
      </c>
      <c r="AR344">
        <v>0</v>
      </c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CF344" s="37"/>
    </row>
    <row r="345" spans="1:84" x14ac:dyDescent="0.2">
      <c r="A345" s="39">
        <v>43793</v>
      </c>
      <c r="B345" s="22" t="s">
        <v>242</v>
      </c>
      <c r="C345" t="s">
        <v>296</v>
      </c>
      <c r="D345" s="22" t="s">
        <v>265</v>
      </c>
      <c r="E345">
        <v>15.7</v>
      </c>
      <c r="F345">
        <v>8</v>
      </c>
      <c r="G345">
        <v>59</v>
      </c>
      <c r="H345">
        <v>3</v>
      </c>
      <c r="I345">
        <v>0.7</v>
      </c>
      <c r="J345">
        <v>1</v>
      </c>
      <c r="K345">
        <v>0</v>
      </c>
      <c r="L345">
        <v>8.6999999999999993</v>
      </c>
      <c r="M345">
        <v>15</v>
      </c>
      <c r="N345">
        <v>9</v>
      </c>
      <c r="O345">
        <v>12.3</v>
      </c>
      <c r="P345">
        <v>33</v>
      </c>
      <c r="Q345">
        <v>7</v>
      </c>
      <c r="R345">
        <v>10.7</v>
      </c>
      <c r="S345">
        <v>67</v>
      </c>
      <c r="T345">
        <v>7</v>
      </c>
      <c r="U345">
        <v>13.899999999999999</v>
      </c>
      <c r="V345">
        <v>39</v>
      </c>
      <c r="W345">
        <v>9</v>
      </c>
      <c r="X345">
        <v>14.7</v>
      </c>
      <c r="Y345">
        <v>27</v>
      </c>
      <c r="Z345">
        <v>7</v>
      </c>
      <c r="AA345">
        <v>2</v>
      </c>
      <c r="AB345">
        <v>2</v>
      </c>
      <c r="AC345">
        <v>7</v>
      </c>
      <c r="AD345" s="21">
        <v>0.46153846153846156</v>
      </c>
      <c r="AE345" s="21">
        <v>2.564102564102564E-2</v>
      </c>
      <c r="AF345">
        <v>57.1</v>
      </c>
      <c r="AG345">
        <v>4</v>
      </c>
      <c r="AH345">
        <v>36</v>
      </c>
      <c r="AI345">
        <v>18</v>
      </c>
      <c r="AJ345">
        <v>2</v>
      </c>
      <c r="AK345">
        <v>58</v>
      </c>
      <c r="AL345">
        <v>14</v>
      </c>
      <c r="AM345">
        <v>0</v>
      </c>
      <c r="AN345">
        <f t="shared" si="21"/>
        <v>259</v>
      </c>
      <c r="AO345">
        <v>150</v>
      </c>
      <c r="AP345">
        <v>60</v>
      </c>
      <c r="AQ345">
        <v>22</v>
      </c>
      <c r="AR345">
        <v>27</v>
      </c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37"/>
      <c r="BK345" s="37"/>
      <c r="BL345" s="37"/>
      <c r="BM345" s="37"/>
      <c r="BN345" s="37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CF345" s="37"/>
    </row>
    <row r="346" spans="1:84" x14ac:dyDescent="0.2">
      <c r="A346" s="39">
        <v>43793</v>
      </c>
      <c r="B346" s="22" t="s">
        <v>242</v>
      </c>
      <c r="C346" t="s">
        <v>298</v>
      </c>
      <c r="D346" s="22" t="s">
        <v>303</v>
      </c>
      <c r="E346">
        <v>31.2</v>
      </c>
      <c r="F346">
        <v>15.8</v>
      </c>
      <c r="G346">
        <v>49</v>
      </c>
      <c r="H346">
        <v>5</v>
      </c>
      <c r="I346">
        <v>3.3</v>
      </c>
      <c r="J346">
        <v>2</v>
      </c>
      <c r="K346">
        <v>2</v>
      </c>
      <c r="L346">
        <v>3.8</v>
      </c>
      <c r="M346">
        <v>18</v>
      </c>
      <c r="N346">
        <v>4</v>
      </c>
      <c r="O346">
        <v>18.600000000000001</v>
      </c>
      <c r="P346">
        <v>86</v>
      </c>
      <c r="Q346">
        <v>5</v>
      </c>
      <c r="R346">
        <v>4.2</v>
      </c>
      <c r="S346">
        <v>22</v>
      </c>
      <c r="T346">
        <v>3</v>
      </c>
      <c r="U346">
        <v>12.7</v>
      </c>
      <c r="V346">
        <v>27</v>
      </c>
      <c r="W346">
        <v>6</v>
      </c>
      <c r="X346">
        <v>10.3</v>
      </c>
      <c r="Y346">
        <v>13</v>
      </c>
      <c r="Z346">
        <v>3</v>
      </c>
      <c r="AA346">
        <v>10</v>
      </c>
      <c r="AB346">
        <v>3</v>
      </c>
      <c r="AC346">
        <v>18</v>
      </c>
      <c r="AD346" s="21">
        <v>0.28125</v>
      </c>
      <c r="AE346" s="21">
        <v>3.125E-2</v>
      </c>
      <c r="AF346">
        <v>60</v>
      </c>
      <c r="AG346">
        <v>2</v>
      </c>
      <c r="AH346">
        <v>29</v>
      </c>
      <c r="AI346">
        <v>26</v>
      </c>
      <c r="AJ346">
        <v>4</v>
      </c>
      <c r="AK346">
        <v>60</v>
      </c>
      <c r="AL346">
        <v>27</v>
      </c>
      <c r="AM346">
        <v>7</v>
      </c>
      <c r="AN346">
        <f t="shared" si="21"/>
        <v>403</v>
      </c>
      <c r="AO346">
        <v>315</v>
      </c>
      <c r="AP346">
        <f>49+2+15+6</f>
        <v>72</v>
      </c>
      <c r="AQ346">
        <v>0</v>
      </c>
      <c r="AR346">
        <v>16</v>
      </c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37"/>
      <c r="BK346" s="37"/>
      <c r="BL346" s="37"/>
      <c r="BM346" s="37"/>
      <c r="BN346" s="37"/>
      <c r="BO346" s="37"/>
      <c r="BP346" s="37"/>
      <c r="BQ346" s="37"/>
      <c r="BR346" s="37"/>
      <c r="BS346" s="37"/>
      <c r="BT346" s="37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CF346" s="37"/>
    </row>
    <row r="347" spans="1:84" x14ac:dyDescent="0.2">
      <c r="A347" s="39">
        <v>43793</v>
      </c>
      <c r="B347" s="22" t="s">
        <v>242</v>
      </c>
      <c r="C347" t="s">
        <v>294</v>
      </c>
      <c r="D347" s="22" t="s">
        <v>308</v>
      </c>
      <c r="E347">
        <v>12.94</v>
      </c>
      <c r="F347">
        <v>11.6</v>
      </c>
      <c r="G347">
        <v>63</v>
      </c>
      <c r="H347">
        <v>5</v>
      </c>
      <c r="I347">
        <v>1.6</v>
      </c>
      <c r="J347">
        <v>16</v>
      </c>
      <c r="K347">
        <v>0</v>
      </c>
      <c r="U347">
        <v>24.4</v>
      </c>
      <c r="V347">
        <v>104</v>
      </c>
      <c r="W347">
        <v>18</v>
      </c>
      <c r="X347">
        <f>27.1+9.2</f>
        <v>36.299999999999997</v>
      </c>
      <c r="Y347">
        <f>91.32</f>
        <v>91.32</v>
      </c>
      <c r="Z347">
        <v>22</v>
      </c>
      <c r="AA347">
        <v>3</v>
      </c>
      <c r="AB347">
        <v>1</v>
      </c>
      <c r="AC347">
        <v>11</v>
      </c>
      <c r="AD347" s="21">
        <v>0.37254901960784315</v>
      </c>
      <c r="AE347" s="21">
        <v>5.8823529411764705E-2</v>
      </c>
      <c r="AF347">
        <v>64.3</v>
      </c>
      <c r="AG347">
        <v>17</v>
      </c>
      <c r="AH347">
        <v>45</v>
      </c>
      <c r="AI347">
        <v>18</v>
      </c>
      <c r="AJ347">
        <v>5</v>
      </c>
      <c r="AK347">
        <v>71</v>
      </c>
      <c r="AL347">
        <v>9</v>
      </c>
      <c r="AM347">
        <v>0</v>
      </c>
      <c r="AN347">
        <f t="shared" si="21"/>
        <v>362</v>
      </c>
      <c r="AO347">
        <v>256</v>
      </c>
      <c r="AP347">
        <v>79</v>
      </c>
      <c r="AQ347">
        <v>0</v>
      </c>
      <c r="AR347">
        <v>27</v>
      </c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37"/>
      <c r="BK347" s="37"/>
      <c r="BL347" s="37"/>
      <c r="BM347" s="37"/>
      <c r="BN347" s="37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CF347" s="37"/>
    </row>
    <row r="348" spans="1:84" x14ac:dyDescent="0.2">
      <c r="A348" s="39">
        <v>43793</v>
      </c>
      <c r="B348" s="22" t="s">
        <v>242</v>
      </c>
      <c r="C348" t="s">
        <v>309</v>
      </c>
      <c r="D348" s="22" t="s">
        <v>272</v>
      </c>
      <c r="E348">
        <f>8.82+2.9</f>
        <v>11.72</v>
      </c>
      <c r="F348">
        <v>11.3</v>
      </c>
      <c r="G348">
        <v>98</v>
      </c>
      <c r="H348">
        <v>1</v>
      </c>
      <c r="I348">
        <v>6.2</v>
      </c>
      <c r="J348">
        <v>6</v>
      </c>
      <c r="K348">
        <v>3</v>
      </c>
      <c r="L348">
        <v>18.8</v>
      </c>
      <c r="M348">
        <v>98</v>
      </c>
      <c r="N348">
        <v>7</v>
      </c>
      <c r="O348">
        <v>5.9</v>
      </c>
      <c r="P348">
        <v>26</v>
      </c>
      <c r="Q348">
        <v>6</v>
      </c>
      <c r="R348">
        <v>4.5</v>
      </c>
      <c r="S348">
        <v>35</v>
      </c>
      <c r="T348">
        <v>1</v>
      </c>
      <c r="U348">
        <v>6.8000000000000007</v>
      </c>
      <c r="V348">
        <v>28</v>
      </c>
      <c r="W348">
        <v>7</v>
      </c>
      <c r="X348">
        <v>1.1000000000000001</v>
      </c>
      <c r="Y348">
        <v>1</v>
      </c>
      <c r="Z348">
        <v>1</v>
      </c>
      <c r="AA348">
        <v>11</v>
      </c>
      <c r="AB348">
        <v>3</v>
      </c>
      <c r="AC348">
        <v>12</v>
      </c>
      <c r="AD348" s="21">
        <v>0.48484848484848486</v>
      </c>
      <c r="AE348" s="21">
        <v>9.0909090909090912E-2</v>
      </c>
      <c r="AF348">
        <v>57.1</v>
      </c>
      <c r="AG348">
        <v>6</v>
      </c>
      <c r="AH348">
        <v>27</v>
      </c>
      <c r="AI348">
        <v>31</v>
      </c>
      <c r="AJ348">
        <v>7</v>
      </c>
      <c r="AK348">
        <v>68</v>
      </c>
      <c r="AL348">
        <v>16</v>
      </c>
      <c r="AM348">
        <v>0</v>
      </c>
      <c r="AN348">
        <f t="shared" si="21"/>
        <v>363</v>
      </c>
      <c r="AO348">
        <f>118+85</f>
        <v>203</v>
      </c>
      <c r="AP348">
        <f>98+6+43+7</f>
        <v>154</v>
      </c>
      <c r="AQ348">
        <v>0</v>
      </c>
      <c r="AR348">
        <v>6</v>
      </c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/>
      <c r="BO348" s="37"/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</row>
    <row r="349" spans="1:84" x14ac:dyDescent="0.2">
      <c r="A349" s="39">
        <v>43793</v>
      </c>
      <c r="B349" s="22" t="s">
        <v>242</v>
      </c>
      <c r="C349" s="22" t="s">
        <v>256</v>
      </c>
      <c r="D349" s="22" t="s">
        <v>300</v>
      </c>
      <c r="E349">
        <v>18.22</v>
      </c>
      <c r="F349">
        <v>12.9</v>
      </c>
      <c r="G349">
        <v>39</v>
      </c>
      <c r="H349">
        <v>4</v>
      </c>
      <c r="I349">
        <v>13.7</v>
      </c>
      <c r="J349">
        <v>45</v>
      </c>
      <c r="K349">
        <v>3</v>
      </c>
      <c r="L349">
        <v>2.5</v>
      </c>
      <c r="M349">
        <v>15</v>
      </c>
      <c r="N349">
        <v>1</v>
      </c>
      <c r="O349">
        <v>13</v>
      </c>
      <c r="P349">
        <v>50</v>
      </c>
      <c r="Q349">
        <v>2</v>
      </c>
      <c r="R349">
        <v>4.7</v>
      </c>
      <c r="S349">
        <v>27</v>
      </c>
      <c r="T349">
        <v>2</v>
      </c>
      <c r="U349">
        <v>16.7</v>
      </c>
      <c r="V349">
        <v>77</v>
      </c>
      <c r="W349">
        <v>3</v>
      </c>
      <c r="X349">
        <v>27.9</v>
      </c>
      <c r="Y349">
        <v>129</v>
      </c>
      <c r="Z349">
        <v>6</v>
      </c>
      <c r="AA349">
        <v>14</v>
      </c>
      <c r="AB349">
        <v>3</v>
      </c>
      <c r="AC349">
        <v>11</v>
      </c>
      <c r="AD349" s="21">
        <v>0.29166666666666669</v>
      </c>
      <c r="AE349" s="21">
        <v>0.125</v>
      </c>
      <c r="AF349">
        <v>100</v>
      </c>
      <c r="AG349">
        <v>-1</v>
      </c>
      <c r="AH349">
        <v>20</v>
      </c>
      <c r="AI349">
        <v>18</v>
      </c>
      <c r="AJ349">
        <v>2</v>
      </c>
      <c r="AK349">
        <v>45</v>
      </c>
      <c r="AL349">
        <v>37</v>
      </c>
      <c r="AM349">
        <v>0</v>
      </c>
      <c r="AN349">
        <f>AO349+AP349+AR349+AQ349</f>
        <v>365</v>
      </c>
      <c r="AO349">
        <v>253</v>
      </c>
      <c r="AP349">
        <f>45+39+27</f>
        <v>111</v>
      </c>
      <c r="AQ349">
        <v>0</v>
      </c>
      <c r="AR349">
        <v>1</v>
      </c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7"/>
      <c r="BG349" s="37"/>
      <c r="BH349" s="37"/>
      <c r="BI349" s="37"/>
      <c r="BJ349" s="37"/>
      <c r="BK349" s="37"/>
      <c r="BL349" s="37"/>
      <c r="BM349" s="37"/>
      <c r="BN349" s="37"/>
      <c r="BO349" s="37"/>
      <c r="BP349" s="37"/>
      <c r="BQ349" s="37"/>
      <c r="BR349" s="37"/>
      <c r="BS349" s="37"/>
      <c r="BT349" s="37"/>
      <c r="BU349" s="37"/>
      <c r="BV349" s="37"/>
      <c r="BW349" s="37"/>
      <c r="BX349" s="37"/>
      <c r="BY349" s="37"/>
      <c r="BZ349" s="37"/>
      <c r="CA349" s="37"/>
      <c r="CB349" s="37"/>
      <c r="CC349" s="37"/>
      <c r="CD349" s="37"/>
      <c r="CE349" s="37"/>
      <c r="CF349" s="37"/>
    </row>
    <row r="350" spans="1:84" x14ac:dyDescent="0.2">
      <c r="A350" s="39">
        <v>43793</v>
      </c>
      <c r="B350" s="22" t="s">
        <v>242</v>
      </c>
      <c r="C350" t="s">
        <v>308</v>
      </c>
      <c r="D350" s="22" t="s">
        <v>294</v>
      </c>
      <c r="E350">
        <v>11.5</v>
      </c>
      <c r="F350">
        <v>9.6999999999999993</v>
      </c>
      <c r="G350">
        <v>26</v>
      </c>
      <c r="H350">
        <v>4</v>
      </c>
      <c r="I350">
        <v>21.9</v>
      </c>
      <c r="J350">
        <v>129</v>
      </c>
      <c r="K350">
        <v>1</v>
      </c>
      <c r="L350">
        <v>4.8</v>
      </c>
      <c r="M350">
        <v>38</v>
      </c>
      <c r="N350">
        <v>2</v>
      </c>
      <c r="O350">
        <v>6.5</v>
      </c>
      <c r="P350">
        <v>35</v>
      </c>
      <c r="Q350">
        <v>6</v>
      </c>
      <c r="R350">
        <v>10.3</v>
      </c>
      <c r="S350">
        <v>33</v>
      </c>
      <c r="T350">
        <v>2</v>
      </c>
      <c r="U350">
        <v>0</v>
      </c>
      <c r="V350">
        <v>0</v>
      </c>
      <c r="W350">
        <v>2</v>
      </c>
      <c r="X350">
        <v>4.2</v>
      </c>
      <c r="Y350">
        <v>22</v>
      </c>
      <c r="Z350">
        <v>4</v>
      </c>
      <c r="AA350">
        <v>5</v>
      </c>
      <c r="AB350">
        <v>1</v>
      </c>
      <c r="AC350">
        <v>17</v>
      </c>
      <c r="AD350" s="21">
        <v>0.375</v>
      </c>
      <c r="AE350" s="21">
        <v>0.1875</v>
      </c>
      <c r="AF350">
        <v>66.7</v>
      </c>
      <c r="AG350">
        <v>11</v>
      </c>
      <c r="AH350">
        <v>25</v>
      </c>
      <c r="AI350">
        <v>22</v>
      </c>
      <c r="AJ350">
        <v>3</v>
      </c>
      <c r="AK350">
        <v>57</v>
      </c>
      <c r="AL350">
        <v>17</v>
      </c>
      <c r="AM350">
        <v>0</v>
      </c>
      <c r="AN350">
        <f>SUM(AO350:AR350)</f>
        <v>374</v>
      </c>
      <c r="AO350">
        <v>200</v>
      </c>
      <c r="AP350">
        <f>129+26</f>
        <v>155</v>
      </c>
      <c r="AQ350">
        <v>4</v>
      </c>
      <c r="AR350">
        <v>15</v>
      </c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37"/>
      <c r="BK350" s="37"/>
      <c r="BL350" s="37"/>
      <c r="BM350" s="37"/>
      <c r="BN350" s="37"/>
      <c r="BO350" s="37"/>
      <c r="BP350" s="37"/>
      <c r="BQ350" s="37"/>
      <c r="BR350" s="37"/>
      <c r="BS350" s="37"/>
      <c r="BT350" s="37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CF350" s="37"/>
    </row>
    <row r="351" spans="1:84" s="3" customFormat="1" x14ac:dyDescent="0.2">
      <c r="A351" s="39">
        <v>43793</v>
      </c>
      <c r="B351" s="22" t="s">
        <v>242</v>
      </c>
      <c r="C351" t="s">
        <v>284</v>
      </c>
      <c r="D351" s="22" t="s">
        <v>295</v>
      </c>
      <c r="E351">
        <v>29.32</v>
      </c>
      <c r="F351">
        <v>15.7</v>
      </c>
      <c r="G351">
        <v>51</v>
      </c>
      <c r="H351">
        <v>3</v>
      </c>
      <c r="I351">
        <v>3.2</v>
      </c>
      <c r="J351">
        <v>32</v>
      </c>
      <c r="K351">
        <v>1</v>
      </c>
      <c r="L351">
        <v>9</v>
      </c>
      <c r="M351">
        <v>50</v>
      </c>
      <c r="N351">
        <v>8</v>
      </c>
      <c r="O351">
        <v>40.4</v>
      </c>
      <c r="P351">
        <v>184</v>
      </c>
      <c r="Q351">
        <v>8</v>
      </c>
      <c r="R351">
        <v>5.4</v>
      </c>
      <c r="S351">
        <v>44</v>
      </c>
      <c r="T351">
        <v>1</v>
      </c>
      <c r="U351">
        <v>33.299999999999997</v>
      </c>
      <c r="V351">
        <v>153</v>
      </c>
      <c r="W351">
        <v>6</v>
      </c>
      <c r="X351">
        <v>2</v>
      </c>
      <c r="Y351">
        <v>10</v>
      </c>
      <c r="Z351">
        <v>2</v>
      </c>
      <c r="AA351">
        <v>5</v>
      </c>
      <c r="AB351">
        <v>1</v>
      </c>
      <c r="AC351">
        <v>16</v>
      </c>
      <c r="AD351" s="21">
        <v>0.16129032258064516</v>
      </c>
      <c r="AE351" s="21">
        <v>0</v>
      </c>
      <c r="AF351">
        <v>33.299999999999997</v>
      </c>
      <c r="AG351">
        <v>5</v>
      </c>
      <c r="AH351">
        <v>28</v>
      </c>
      <c r="AI351">
        <v>25</v>
      </c>
      <c r="AJ351">
        <v>8</v>
      </c>
      <c r="AK351">
        <v>62</v>
      </c>
      <c r="AL351">
        <v>28</v>
      </c>
      <c r="AM351">
        <v>7</v>
      </c>
      <c r="AN351">
        <f>AO351+AP351+AQ351+AR351</f>
        <v>446</v>
      </c>
      <c r="AO351">
        <v>313</v>
      </c>
      <c r="AP351">
        <f>51+32+12+2</f>
        <v>97</v>
      </c>
      <c r="AQ351">
        <v>-2</v>
      </c>
      <c r="AR351">
        <v>38</v>
      </c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37"/>
      <c r="BK351" s="37"/>
      <c r="BL351" s="37"/>
      <c r="BM351" s="37"/>
      <c r="BN351" s="37"/>
      <c r="BO351" s="37"/>
      <c r="BP351" s="37"/>
      <c r="BQ351" s="37"/>
      <c r="BR351" s="37"/>
      <c r="BS351" s="37"/>
      <c r="BT351" s="37"/>
      <c r="BU351" s="37"/>
      <c r="BV351" s="37"/>
      <c r="BW351" s="37"/>
      <c r="BX351" s="37"/>
      <c r="BY351" s="37"/>
      <c r="BZ351" s="37"/>
      <c r="CA351" s="37"/>
      <c r="CB351" s="37"/>
      <c r="CC351" s="37"/>
      <c r="CD351" s="37"/>
      <c r="CE351" s="37"/>
      <c r="CF351" s="37"/>
    </row>
    <row r="352" spans="1:84" s="3" customFormat="1" x14ac:dyDescent="0.2">
      <c r="A352" s="39">
        <v>43793</v>
      </c>
      <c r="B352" s="22" t="s">
        <v>242</v>
      </c>
      <c r="C352" t="s">
        <v>310</v>
      </c>
      <c r="D352" s="22" t="s">
        <v>297</v>
      </c>
      <c r="E352">
        <v>33.36</v>
      </c>
      <c r="F352">
        <v>32.5</v>
      </c>
      <c r="G352">
        <v>159</v>
      </c>
      <c r="H352">
        <v>1</v>
      </c>
      <c r="I352">
        <v>5.5</v>
      </c>
      <c r="J352">
        <v>21</v>
      </c>
      <c r="K352">
        <v>2</v>
      </c>
      <c r="L352">
        <v>26.5</v>
      </c>
      <c r="M352">
        <v>135</v>
      </c>
      <c r="N352">
        <v>5</v>
      </c>
      <c r="O352">
        <v>4.9000000000000004</v>
      </c>
      <c r="P352">
        <v>29</v>
      </c>
      <c r="Q352">
        <v>3</v>
      </c>
      <c r="R352" s="14">
        <v>5</v>
      </c>
      <c r="S352">
        <v>20</v>
      </c>
      <c r="T352">
        <v>3</v>
      </c>
      <c r="U352">
        <v>14.5</v>
      </c>
      <c r="V352">
        <v>85</v>
      </c>
      <c r="W352">
        <v>6</v>
      </c>
      <c r="X352">
        <v>3.4</v>
      </c>
      <c r="Y352">
        <v>20</v>
      </c>
      <c r="Z352">
        <v>1</v>
      </c>
      <c r="AA352">
        <v>6</v>
      </c>
      <c r="AB352">
        <v>0</v>
      </c>
      <c r="AC352">
        <v>6</v>
      </c>
      <c r="AD352" s="21">
        <v>0.22727272727272727</v>
      </c>
      <c r="AE352" s="21">
        <v>4.5454545454545456E-2</v>
      </c>
      <c r="AF352">
        <v>100</v>
      </c>
      <c r="AG352">
        <v>1</v>
      </c>
      <c r="AH352">
        <v>18</v>
      </c>
      <c r="AI352">
        <v>24</v>
      </c>
      <c r="AJ352">
        <v>7</v>
      </c>
      <c r="AK352">
        <v>52</v>
      </c>
      <c r="AL352">
        <v>42</v>
      </c>
      <c r="AM352">
        <v>0</v>
      </c>
      <c r="AN352">
        <f t="shared" ref="AN352:AN358" si="22">SUM(AO352:AR352)</f>
        <v>478</v>
      </c>
      <c r="AO352">
        <v>259</v>
      </c>
      <c r="AP352">
        <v>180</v>
      </c>
      <c r="AQ352">
        <v>-1</v>
      </c>
      <c r="AR352">
        <v>40</v>
      </c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37"/>
      <c r="BK352" s="37"/>
      <c r="BL352" s="37"/>
      <c r="BM352" s="37"/>
      <c r="BN352" s="37"/>
      <c r="BO352" s="37"/>
      <c r="BP352" s="37"/>
      <c r="BQ352" s="37"/>
      <c r="BR352" s="37"/>
      <c r="BS352" s="37"/>
      <c r="BT352" s="37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CF352" s="37"/>
    </row>
    <row r="353" spans="1:84" s="3" customFormat="1" x14ac:dyDescent="0.2">
      <c r="A353" s="39">
        <v>43793</v>
      </c>
      <c r="B353" s="22" t="s">
        <v>242</v>
      </c>
      <c r="C353" t="s">
        <v>306</v>
      </c>
      <c r="D353" s="22" t="s">
        <v>299</v>
      </c>
      <c r="E353">
        <v>7.04</v>
      </c>
      <c r="F353">
        <v>5.9</v>
      </c>
      <c r="G353">
        <v>27</v>
      </c>
      <c r="H353">
        <v>1</v>
      </c>
      <c r="I353">
        <v>10</v>
      </c>
      <c r="J353">
        <v>4.8</v>
      </c>
      <c r="K353">
        <v>2</v>
      </c>
      <c r="L353">
        <v>12.2</v>
      </c>
      <c r="M353">
        <v>72</v>
      </c>
      <c r="N353">
        <v>12</v>
      </c>
      <c r="O353">
        <v>7.3</v>
      </c>
      <c r="P353">
        <v>43</v>
      </c>
      <c r="Q353">
        <v>6</v>
      </c>
      <c r="R353">
        <v>1.6</v>
      </c>
      <c r="S353">
        <v>6</v>
      </c>
      <c r="T353">
        <v>2</v>
      </c>
      <c r="U353">
        <v>7.7</v>
      </c>
      <c r="V353">
        <v>37</v>
      </c>
      <c r="W353">
        <v>10</v>
      </c>
      <c r="X353">
        <v>1.4</v>
      </c>
      <c r="Y353">
        <v>4</v>
      </c>
      <c r="Z353">
        <v>2</v>
      </c>
      <c r="AA353">
        <v>14</v>
      </c>
      <c r="AB353">
        <v>4</v>
      </c>
      <c r="AC353">
        <v>21</v>
      </c>
      <c r="AD353" s="21">
        <v>0.29411764705882354</v>
      </c>
      <c r="AE353" s="21">
        <v>8.8235294117647065E-2</v>
      </c>
      <c r="AF353">
        <v>40</v>
      </c>
      <c r="AG353">
        <v>8</v>
      </c>
      <c r="AH353">
        <v>29</v>
      </c>
      <c r="AI353">
        <v>20</v>
      </c>
      <c r="AJ353">
        <v>4</v>
      </c>
      <c r="AK353">
        <v>57</v>
      </c>
      <c r="AL353">
        <v>12</v>
      </c>
      <c r="AM353">
        <v>7</v>
      </c>
      <c r="AN353">
        <f t="shared" si="22"/>
        <v>242</v>
      </c>
      <c r="AO353">
        <v>156</v>
      </c>
      <c r="AP353">
        <f>27+32</f>
        <v>59</v>
      </c>
      <c r="AQ353">
        <v>0</v>
      </c>
      <c r="AR353">
        <v>27</v>
      </c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37"/>
      <c r="BK353" s="37"/>
      <c r="BL353" s="37"/>
      <c r="BM353" s="37"/>
      <c r="BN353" s="37"/>
      <c r="BO353" s="37"/>
      <c r="BP353" s="37"/>
      <c r="BQ353" s="37"/>
      <c r="BR353" s="37"/>
      <c r="BS353" s="37"/>
      <c r="BT353" s="37"/>
      <c r="BU353" s="37"/>
      <c r="BV353" s="37"/>
      <c r="BW353" s="37"/>
      <c r="BX353" s="37"/>
      <c r="BY353" s="37"/>
      <c r="BZ353" s="37"/>
      <c r="CA353" s="37"/>
      <c r="CB353" s="37"/>
      <c r="CC353" s="37"/>
      <c r="CD353" s="37"/>
      <c r="CE353" s="37"/>
      <c r="CF353" s="37"/>
    </row>
    <row r="354" spans="1:84" x14ac:dyDescent="0.2">
      <c r="A354" s="39">
        <v>43800</v>
      </c>
      <c r="B354" s="22" t="s">
        <v>241</v>
      </c>
      <c r="C354" t="s">
        <v>285</v>
      </c>
      <c r="D354" s="22" t="s">
        <v>304</v>
      </c>
      <c r="E354">
        <v>14.32</v>
      </c>
      <c r="F354">
        <v>7.1</v>
      </c>
      <c r="G354">
        <v>31</v>
      </c>
      <c r="H354">
        <v>5</v>
      </c>
      <c r="I354">
        <v>4.4000000000000004</v>
      </c>
      <c r="J354">
        <v>15</v>
      </c>
      <c r="K354">
        <v>2</v>
      </c>
      <c r="L354">
        <v>11.6</v>
      </c>
      <c r="M354">
        <v>56</v>
      </c>
      <c r="N354">
        <v>7</v>
      </c>
      <c r="O354">
        <v>5.3</v>
      </c>
      <c r="P354">
        <v>23</v>
      </c>
      <c r="Q354">
        <v>7</v>
      </c>
      <c r="R354">
        <v>6.6</v>
      </c>
      <c r="S354">
        <v>26</v>
      </c>
      <c r="T354">
        <v>6</v>
      </c>
      <c r="U354">
        <v>19.7</v>
      </c>
      <c r="V354">
        <v>87</v>
      </c>
      <c r="W354">
        <v>14</v>
      </c>
      <c r="X354">
        <v>4.9000000000000004</v>
      </c>
      <c r="Y354">
        <v>29</v>
      </c>
      <c r="Z354">
        <v>2</v>
      </c>
      <c r="AA354">
        <v>1</v>
      </c>
      <c r="AB354">
        <v>0</v>
      </c>
      <c r="AC354">
        <v>0</v>
      </c>
      <c r="AD354" s="21">
        <v>0.2857142857142857</v>
      </c>
      <c r="AE354" s="21">
        <v>0.14285714285714285</v>
      </c>
      <c r="AF354">
        <v>25</v>
      </c>
      <c r="AG354">
        <v>18</v>
      </c>
      <c r="AH354">
        <v>34</v>
      </c>
      <c r="AI354">
        <v>17</v>
      </c>
      <c r="AJ354">
        <v>4</v>
      </c>
      <c r="AK354">
        <v>61</v>
      </c>
      <c r="AL354">
        <v>7</v>
      </c>
      <c r="AM354">
        <v>0</v>
      </c>
      <c r="AN354">
        <f t="shared" si="22"/>
        <v>237</v>
      </c>
      <c r="AO354">
        <v>163</v>
      </c>
      <c r="AP354">
        <v>46</v>
      </c>
      <c r="AQ354">
        <v>0</v>
      </c>
      <c r="AR354">
        <v>28</v>
      </c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37"/>
      <c r="BK354" s="37"/>
      <c r="BL354" s="37"/>
      <c r="BM354" s="37"/>
      <c r="BN354" s="37"/>
      <c r="BO354" s="37"/>
      <c r="BP354" s="37"/>
      <c r="BQ354" s="37"/>
      <c r="BR354" s="37"/>
      <c r="BS354" s="37"/>
      <c r="BT354" s="37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CF354" s="37"/>
    </row>
    <row r="355" spans="1:84" x14ac:dyDescent="0.2">
      <c r="A355" s="39">
        <v>43800</v>
      </c>
      <c r="B355" s="22" t="s">
        <v>241</v>
      </c>
      <c r="C355" t="s">
        <v>295</v>
      </c>
      <c r="D355" s="22" t="s">
        <v>307</v>
      </c>
      <c r="E355">
        <v>22.58</v>
      </c>
      <c r="F355">
        <v>10.4</v>
      </c>
      <c r="G355">
        <v>51</v>
      </c>
      <c r="H355">
        <v>5</v>
      </c>
      <c r="I355">
        <v>6.7</v>
      </c>
      <c r="J355">
        <v>13</v>
      </c>
      <c r="K355">
        <v>3</v>
      </c>
      <c r="L355">
        <v>17.100000000000001</v>
      </c>
      <c r="M355">
        <v>91</v>
      </c>
      <c r="N355">
        <v>10</v>
      </c>
      <c r="O355">
        <v>16.2</v>
      </c>
      <c r="P355">
        <v>52</v>
      </c>
      <c r="Q355">
        <v>9</v>
      </c>
      <c r="R355">
        <v>11.7</v>
      </c>
      <c r="S355">
        <v>57</v>
      </c>
      <c r="T355">
        <v>9</v>
      </c>
      <c r="U355">
        <v>34</v>
      </c>
      <c r="V355">
        <v>130</v>
      </c>
      <c r="W355">
        <v>20</v>
      </c>
      <c r="X355">
        <v>14.1</v>
      </c>
      <c r="Y355">
        <v>41</v>
      </c>
      <c r="Z355">
        <v>4</v>
      </c>
      <c r="AA355">
        <v>8</v>
      </c>
      <c r="AB355">
        <v>3</v>
      </c>
      <c r="AC355">
        <v>0</v>
      </c>
      <c r="AD355" s="21">
        <v>0.46774193548387094</v>
      </c>
      <c r="AE355" s="21">
        <v>0.14516129032258066</v>
      </c>
      <c r="AF355">
        <v>66.7</v>
      </c>
      <c r="AG355">
        <v>16</v>
      </c>
      <c r="AH355">
        <v>50</v>
      </c>
      <c r="AI355">
        <v>23</v>
      </c>
      <c r="AJ355">
        <v>3</v>
      </c>
      <c r="AK355">
        <v>85</v>
      </c>
      <c r="AL355">
        <v>18</v>
      </c>
      <c r="AM355">
        <v>0</v>
      </c>
      <c r="AN355">
        <f t="shared" si="22"/>
        <v>401</v>
      </c>
      <c r="AO355">
        <v>312</v>
      </c>
      <c r="AP355">
        <v>68</v>
      </c>
      <c r="AQ355">
        <v>0</v>
      </c>
      <c r="AR355">
        <v>21</v>
      </c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37"/>
      <c r="BK355" s="37"/>
      <c r="BL355" s="37"/>
      <c r="BM355" s="37"/>
      <c r="BN355" s="37"/>
      <c r="BO355" s="37"/>
      <c r="BP355" s="37"/>
      <c r="BQ355" s="37"/>
      <c r="BR355" s="37"/>
      <c r="BS355" s="37"/>
      <c r="BT355" s="37"/>
      <c r="BU355" s="37"/>
      <c r="BV355" s="37"/>
      <c r="BW355" s="37"/>
      <c r="BX355" s="37"/>
      <c r="BY355" s="37"/>
      <c r="BZ355" s="37"/>
      <c r="CA355" s="37"/>
      <c r="CB355" s="37"/>
      <c r="CC355" s="37"/>
      <c r="CD355" s="37"/>
      <c r="CE355" s="37"/>
      <c r="CF355" s="37"/>
    </row>
    <row r="356" spans="1:84" x14ac:dyDescent="0.2">
      <c r="A356" s="39">
        <v>43800</v>
      </c>
      <c r="B356" s="22" t="s">
        <v>241</v>
      </c>
      <c r="C356" s="41" t="s">
        <v>305</v>
      </c>
      <c r="D356" s="22" t="s">
        <v>256</v>
      </c>
      <c r="E356">
        <v>26.3</v>
      </c>
      <c r="F356">
        <v>8.1999999999999993</v>
      </c>
      <c r="G356">
        <v>59</v>
      </c>
      <c r="H356">
        <v>2</v>
      </c>
      <c r="I356">
        <v>3.2</v>
      </c>
      <c r="J356">
        <v>15</v>
      </c>
      <c r="K356">
        <v>1</v>
      </c>
      <c r="L356">
        <v>1.1000000000000001</v>
      </c>
      <c r="M356">
        <v>1</v>
      </c>
      <c r="N356">
        <v>2</v>
      </c>
      <c r="O356">
        <v>2.2000000000000002</v>
      </c>
      <c r="P356">
        <v>12</v>
      </c>
      <c r="Q356">
        <v>2</v>
      </c>
      <c r="R356">
        <v>1.5</v>
      </c>
      <c r="S356">
        <v>5</v>
      </c>
      <c r="T356">
        <v>2</v>
      </c>
      <c r="U356">
        <v>11.9</v>
      </c>
      <c r="V356">
        <v>59</v>
      </c>
      <c r="W356">
        <v>13</v>
      </c>
      <c r="X356">
        <f>14+5.1+1.4</f>
        <v>20.5</v>
      </c>
      <c r="Y356">
        <v>75</v>
      </c>
      <c r="Z356">
        <v>12</v>
      </c>
      <c r="AA356">
        <v>9</v>
      </c>
      <c r="AB356">
        <v>2</v>
      </c>
      <c r="AC356">
        <v>7</v>
      </c>
      <c r="AD356" s="21">
        <v>0.16666666666666666</v>
      </c>
      <c r="AE356" s="21">
        <v>4.1666666666666664E-2</v>
      </c>
      <c r="AF356">
        <v>66.7</v>
      </c>
      <c r="AG356">
        <v>4</v>
      </c>
      <c r="AH356">
        <v>23</v>
      </c>
      <c r="AI356">
        <v>22</v>
      </c>
      <c r="AJ356">
        <v>16</v>
      </c>
      <c r="AK356">
        <v>62</v>
      </c>
      <c r="AL356">
        <v>20</v>
      </c>
      <c r="AM356">
        <v>0</v>
      </c>
      <c r="AN356">
        <f t="shared" si="22"/>
        <v>283</v>
      </c>
      <c r="AO356">
        <v>105</v>
      </c>
      <c r="AP356">
        <f>59+15+3</f>
        <v>77</v>
      </c>
      <c r="AQ356">
        <v>0</v>
      </c>
      <c r="AR356">
        <v>101</v>
      </c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37"/>
      <c r="BK356" s="37"/>
      <c r="BL356" s="37"/>
      <c r="BM356" s="37"/>
      <c r="BN356" s="37"/>
      <c r="BO356" s="37"/>
      <c r="BP356" s="37"/>
      <c r="BQ356" s="37"/>
      <c r="BR356" s="37"/>
      <c r="BS356" s="37"/>
      <c r="BT356" s="37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CF356" s="37"/>
    </row>
    <row r="357" spans="1:84" x14ac:dyDescent="0.2">
      <c r="A357" s="39">
        <v>43800</v>
      </c>
      <c r="B357" s="22" t="s">
        <v>241</v>
      </c>
      <c r="C357" t="s">
        <v>276</v>
      </c>
      <c r="D357" s="22" t="s">
        <v>291</v>
      </c>
      <c r="E357">
        <v>23.54</v>
      </c>
      <c r="F357">
        <v>19.100000000000001</v>
      </c>
      <c r="G357">
        <v>63</v>
      </c>
      <c r="H357">
        <v>4</v>
      </c>
      <c r="I357">
        <v>3.5</v>
      </c>
      <c r="J357">
        <v>11</v>
      </c>
      <c r="K357">
        <v>1</v>
      </c>
      <c r="L357">
        <v>10.72</v>
      </c>
      <c r="M357">
        <v>26</v>
      </c>
      <c r="N357">
        <v>4</v>
      </c>
      <c r="O357">
        <v>26</v>
      </c>
      <c r="P357">
        <v>110</v>
      </c>
      <c r="Q357">
        <v>7</v>
      </c>
      <c r="R357">
        <v>6.4</v>
      </c>
      <c r="S357">
        <v>34</v>
      </c>
      <c r="T357">
        <v>3</v>
      </c>
      <c r="U357">
        <v>30.2</v>
      </c>
      <c r="V357">
        <v>142</v>
      </c>
      <c r="W357">
        <v>11</v>
      </c>
      <c r="X357">
        <v>4.7</v>
      </c>
      <c r="Y357">
        <v>17</v>
      </c>
      <c r="Z357">
        <v>4</v>
      </c>
      <c r="AA357">
        <v>9</v>
      </c>
      <c r="AB357">
        <v>3</v>
      </c>
      <c r="AC357">
        <v>11</v>
      </c>
      <c r="AD357" s="21">
        <v>0.35483870967741937</v>
      </c>
      <c r="AE357" s="21">
        <v>0.12903225806451613</v>
      </c>
      <c r="AF357">
        <v>60</v>
      </c>
      <c r="AG357">
        <v>4</v>
      </c>
      <c r="AH357">
        <v>24</v>
      </c>
      <c r="AI357">
        <v>23</v>
      </c>
      <c r="AJ357">
        <v>10</v>
      </c>
      <c r="AK357">
        <v>63</v>
      </c>
      <c r="AL357">
        <v>26</v>
      </c>
      <c r="AM357">
        <v>0</v>
      </c>
      <c r="AN357">
        <f t="shared" si="22"/>
        <v>355</v>
      </c>
      <c r="AO357">
        <v>231</v>
      </c>
      <c r="AP357">
        <v>74</v>
      </c>
      <c r="AQ357">
        <v>7</v>
      </c>
      <c r="AR357">
        <v>43</v>
      </c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37"/>
      <c r="BK357" s="37"/>
      <c r="BL357" s="37"/>
      <c r="BM357" s="37"/>
      <c r="BN357" s="37"/>
      <c r="BO357" s="37"/>
      <c r="BP357" s="37"/>
      <c r="BQ357" s="37"/>
      <c r="BR357" s="37"/>
      <c r="BS357" s="37"/>
      <c r="BT357" s="37"/>
      <c r="BU357" s="37"/>
      <c r="BV357" s="37"/>
      <c r="BW357" s="37"/>
      <c r="BX357" s="37"/>
      <c r="BY357" s="37"/>
      <c r="BZ357" s="37"/>
      <c r="CA357" s="37"/>
      <c r="CB357" s="37"/>
      <c r="CC357" s="37"/>
      <c r="CD357" s="37"/>
      <c r="CE357" s="37"/>
      <c r="CF357" s="37"/>
    </row>
    <row r="358" spans="1:84" x14ac:dyDescent="0.2">
      <c r="A358" s="39">
        <v>43800</v>
      </c>
      <c r="B358" s="22" t="s">
        <v>241</v>
      </c>
      <c r="C358" t="s">
        <v>301</v>
      </c>
      <c r="D358" s="22" t="s">
        <v>306</v>
      </c>
      <c r="E358">
        <v>25.32</v>
      </c>
      <c r="F358">
        <v>17.2</v>
      </c>
      <c r="G358">
        <v>44</v>
      </c>
      <c r="H358">
        <v>12</v>
      </c>
      <c r="I358">
        <v>0.2</v>
      </c>
      <c r="J358">
        <v>2</v>
      </c>
      <c r="K358">
        <v>0</v>
      </c>
      <c r="L358">
        <v>19.2</v>
      </c>
      <c r="M358">
        <v>75</v>
      </c>
      <c r="N358">
        <v>12</v>
      </c>
      <c r="O358">
        <v>16.5</v>
      </c>
      <c r="P358">
        <v>65</v>
      </c>
      <c r="Q358">
        <v>7</v>
      </c>
      <c r="R358">
        <v>6.4</v>
      </c>
      <c r="S358">
        <v>34</v>
      </c>
      <c r="T358">
        <v>5</v>
      </c>
      <c r="U358">
        <v>40.799999999999997</v>
      </c>
      <c r="V358">
        <v>148</v>
      </c>
      <c r="W358">
        <v>19</v>
      </c>
      <c r="X358">
        <f>6.4+5.2</f>
        <v>11.600000000000001</v>
      </c>
      <c r="Y358">
        <v>26</v>
      </c>
      <c r="Z358">
        <v>7</v>
      </c>
      <c r="AA358">
        <v>3</v>
      </c>
      <c r="AB358">
        <v>0</v>
      </c>
      <c r="AC358">
        <v>6</v>
      </c>
      <c r="AD358" s="21">
        <v>0.35714285714285715</v>
      </c>
      <c r="AE358" s="21">
        <v>0.125</v>
      </c>
      <c r="AF358">
        <v>71.400000000000006</v>
      </c>
      <c r="AG358">
        <v>11</v>
      </c>
      <c r="AH358">
        <v>46</v>
      </c>
      <c r="AI358">
        <v>15</v>
      </c>
      <c r="AJ358">
        <v>4</v>
      </c>
      <c r="AK358">
        <v>73</v>
      </c>
      <c r="AL358">
        <v>21</v>
      </c>
      <c r="AM358">
        <v>0</v>
      </c>
      <c r="AN358">
        <f t="shared" si="22"/>
        <v>343</v>
      </c>
      <c r="AO358">
        <v>278</v>
      </c>
      <c r="AP358">
        <v>46</v>
      </c>
      <c r="AQ358">
        <v>-3</v>
      </c>
      <c r="AR358">
        <v>22</v>
      </c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37"/>
      <c r="BK358" s="37"/>
      <c r="BL358" s="37"/>
      <c r="BM358" s="37"/>
      <c r="BN358" s="37"/>
      <c r="BO358" s="37"/>
      <c r="BP358" s="37"/>
      <c r="BQ358" s="37"/>
      <c r="BR358" s="37"/>
      <c r="BS358" s="37"/>
      <c r="BT358" s="37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CF358" s="37"/>
    </row>
    <row r="359" spans="1:84" x14ac:dyDescent="0.2">
      <c r="A359" s="39">
        <v>43800</v>
      </c>
      <c r="B359" s="22" t="s">
        <v>241</v>
      </c>
      <c r="C359" t="s">
        <v>265</v>
      </c>
      <c r="D359" s="22" t="s">
        <v>299</v>
      </c>
      <c r="E359">
        <v>27.92</v>
      </c>
      <c r="F359">
        <v>16.7</v>
      </c>
      <c r="G359">
        <v>75</v>
      </c>
      <c r="H359">
        <v>2</v>
      </c>
      <c r="I359">
        <v>7.5</v>
      </c>
      <c r="J359">
        <v>9</v>
      </c>
      <c r="K359">
        <v>4</v>
      </c>
      <c r="L359">
        <v>22.6</v>
      </c>
      <c r="M359">
        <v>86</v>
      </c>
      <c r="N359">
        <v>12</v>
      </c>
      <c r="O359">
        <v>26</v>
      </c>
      <c r="P359">
        <v>140</v>
      </c>
      <c r="Q359">
        <v>13</v>
      </c>
      <c r="R359">
        <v>10.6</v>
      </c>
      <c r="S359">
        <v>56</v>
      </c>
      <c r="T359">
        <v>6</v>
      </c>
      <c r="U359">
        <v>32.200000000000003</v>
      </c>
      <c r="V359">
        <v>182</v>
      </c>
      <c r="W359">
        <v>18</v>
      </c>
      <c r="X359">
        <v>8.8000000000000007</v>
      </c>
      <c r="Y359">
        <v>18</v>
      </c>
      <c r="Z359">
        <v>1</v>
      </c>
      <c r="AA359">
        <v>6</v>
      </c>
      <c r="AB359">
        <v>1</v>
      </c>
      <c r="AC359">
        <v>5</v>
      </c>
      <c r="AD359" s="21">
        <v>0.19047619047619047</v>
      </c>
      <c r="AE359" s="21">
        <v>2.3809523809523808E-2</v>
      </c>
      <c r="AF359">
        <v>60</v>
      </c>
      <c r="AG359">
        <v>3</v>
      </c>
      <c r="AH359">
        <v>38</v>
      </c>
      <c r="AI359">
        <v>19</v>
      </c>
      <c r="AJ359">
        <v>4</v>
      </c>
      <c r="AK359">
        <v>62</v>
      </c>
      <c r="AL359">
        <v>24</v>
      </c>
      <c r="AM359">
        <v>0</v>
      </c>
      <c r="AN359">
        <f>AO359+AP359+AQ359+AR359</f>
        <v>426</v>
      </c>
      <c r="AO359">
        <v>338</v>
      </c>
      <c r="AP359">
        <v>84</v>
      </c>
      <c r="AQ359">
        <v>0</v>
      </c>
      <c r="AR359">
        <v>4</v>
      </c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37"/>
      <c r="BK359" s="37"/>
      <c r="BL359" s="37"/>
      <c r="BM359" s="37"/>
      <c r="BN359" s="37"/>
      <c r="BO359" s="37"/>
      <c r="BP359" s="37"/>
      <c r="BQ359" s="37"/>
      <c r="BR359" s="37"/>
      <c r="BS359" s="37"/>
      <c r="BT359" s="37"/>
      <c r="BU359" s="37"/>
      <c r="BV359" s="37"/>
      <c r="BW359" s="37"/>
      <c r="BX359" s="37"/>
      <c r="BY359" s="37"/>
      <c r="BZ359" s="37"/>
      <c r="CA359" s="37"/>
      <c r="CB359" s="37"/>
      <c r="CC359" s="37"/>
      <c r="CD359" s="37"/>
      <c r="CE359" s="37"/>
      <c r="CF359" s="37"/>
    </row>
    <row r="360" spans="1:84" x14ac:dyDescent="0.2">
      <c r="A360" s="39">
        <v>43800</v>
      </c>
      <c r="B360" s="22" t="s">
        <v>241</v>
      </c>
      <c r="C360" s="17" t="s">
        <v>272</v>
      </c>
      <c r="D360" s="22" t="s">
        <v>298</v>
      </c>
      <c r="E360">
        <v>13.32</v>
      </c>
      <c r="F360">
        <v>17</v>
      </c>
      <c r="G360">
        <v>44</v>
      </c>
      <c r="H360">
        <v>4</v>
      </c>
      <c r="I360">
        <v>2.2000000000000002</v>
      </c>
      <c r="J360">
        <v>4</v>
      </c>
      <c r="K360">
        <v>2</v>
      </c>
      <c r="L360">
        <v>16.899999999999999</v>
      </c>
      <c r="M360">
        <v>59</v>
      </c>
      <c r="N360">
        <v>10</v>
      </c>
      <c r="O360">
        <v>10.6</v>
      </c>
      <c r="P360">
        <v>66</v>
      </c>
      <c r="Q360">
        <v>7</v>
      </c>
      <c r="R360">
        <v>4.0999999999999996</v>
      </c>
      <c r="S360">
        <v>21</v>
      </c>
      <c r="T360">
        <v>2</v>
      </c>
      <c r="U360">
        <v>9.7999999999999989</v>
      </c>
      <c r="V360">
        <v>48</v>
      </c>
      <c r="W360">
        <v>11</v>
      </c>
      <c r="X360">
        <v>12.3</v>
      </c>
      <c r="Y360">
        <v>53</v>
      </c>
      <c r="Z360">
        <v>8</v>
      </c>
      <c r="AA360">
        <v>9</v>
      </c>
      <c r="AB360">
        <v>3</v>
      </c>
      <c r="AC360">
        <v>13</v>
      </c>
      <c r="AD360" s="21">
        <v>0.17948717948717949</v>
      </c>
      <c r="AE360" s="21">
        <v>2.564102564102564E-2</v>
      </c>
      <c r="AF360">
        <v>20</v>
      </c>
      <c r="AG360">
        <v>2</v>
      </c>
      <c r="AH360">
        <v>37</v>
      </c>
      <c r="AI360">
        <v>20</v>
      </c>
      <c r="AJ360">
        <v>5</v>
      </c>
      <c r="AK360">
        <v>63</v>
      </c>
      <c r="AL360">
        <v>20</v>
      </c>
      <c r="AM360">
        <v>2</v>
      </c>
      <c r="AN360">
        <f>SUM(AO360:AR360)</f>
        <v>287</v>
      </c>
      <c r="AO360">
        <v>243</v>
      </c>
      <c r="AP360">
        <v>48</v>
      </c>
      <c r="AQ360">
        <v>0</v>
      </c>
      <c r="AR360">
        <v>-4</v>
      </c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37"/>
      <c r="BK360" s="37"/>
      <c r="BL360" s="37"/>
      <c r="BM360" s="37"/>
      <c r="BN360" s="37"/>
      <c r="BO360" s="37"/>
      <c r="BP360" s="37"/>
      <c r="BQ360" s="37"/>
      <c r="BR360" s="37"/>
      <c r="BS360" s="37"/>
      <c r="BT360" s="37"/>
      <c r="BU360" s="37"/>
      <c r="BV360" s="37"/>
      <c r="BW360" s="37"/>
      <c r="BX360" s="37"/>
      <c r="BY360" s="37"/>
      <c r="BZ360" s="37"/>
      <c r="CA360" s="37"/>
      <c r="CB360" s="37"/>
      <c r="CC360" s="37"/>
      <c r="CD360" s="37"/>
      <c r="CE360" s="37"/>
    </row>
    <row r="361" spans="1:84" x14ac:dyDescent="0.2">
      <c r="A361" s="39">
        <v>43800</v>
      </c>
      <c r="B361" s="22" t="s">
        <v>241</v>
      </c>
      <c r="C361" t="s">
        <v>281</v>
      </c>
      <c r="D361" s="22" t="s">
        <v>309</v>
      </c>
      <c r="E361">
        <v>10.039999999999999</v>
      </c>
      <c r="F361">
        <v>8.9</v>
      </c>
      <c r="G361">
        <v>58</v>
      </c>
      <c r="H361">
        <v>2</v>
      </c>
      <c r="I361">
        <v>17.5</v>
      </c>
      <c r="J361">
        <v>46</v>
      </c>
      <c r="K361">
        <v>5</v>
      </c>
      <c r="L361">
        <v>5.9</v>
      </c>
      <c r="M361">
        <v>29</v>
      </c>
      <c r="N361">
        <v>6</v>
      </c>
      <c r="O361">
        <v>13.6</v>
      </c>
      <c r="P361">
        <v>76</v>
      </c>
      <c r="Q361">
        <v>11</v>
      </c>
      <c r="R361">
        <v>0</v>
      </c>
      <c r="S361">
        <v>0</v>
      </c>
      <c r="T361">
        <v>3</v>
      </c>
      <c r="U361">
        <v>15.100000000000001</v>
      </c>
      <c r="V361">
        <v>81</v>
      </c>
      <c r="W361">
        <v>16</v>
      </c>
      <c r="X361">
        <v>8.1</v>
      </c>
      <c r="Y361">
        <v>51</v>
      </c>
      <c r="Z361">
        <v>6</v>
      </c>
      <c r="AA361">
        <v>7</v>
      </c>
      <c r="AB361">
        <v>2</v>
      </c>
      <c r="AC361">
        <v>4</v>
      </c>
      <c r="AD361" s="21">
        <v>0.40540540540540543</v>
      </c>
      <c r="AE361" s="21">
        <v>0.13513513513513514</v>
      </c>
      <c r="AF361">
        <v>80</v>
      </c>
      <c r="AG361">
        <v>13</v>
      </c>
      <c r="AH361">
        <v>34</v>
      </c>
      <c r="AI361">
        <v>23</v>
      </c>
      <c r="AJ361">
        <v>1</v>
      </c>
      <c r="AK361">
        <v>63</v>
      </c>
      <c r="AL361">
        <v>13</v>
      </c>
      <c r="AM361">
        <v>0</v>
      </c>
      <c r="AN361">
        <f>SUM(AO361:AR361)</f>
        <v>302</v>
      </c>
      <c r="AO361">
        <v>196</v>
      </c>
      <c r="AP361">
        <f>46+58</f>
        <v>104</v>
      </c>
      <c r="AQ361">
        <v>0</v>
      </c>
      <c r="AR361">
        <v>2</v>
      </c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7"/>
      <c r="BF361" s="37"/>
      <c r="BG361" s="37"/>
      <c r="BH361" s="37"/>
      <c r="BI361" s="37"/>
      <c r="BJ361" s="37"/>
      <c r="BK361" s="37"/>
      <c r="BL361" s="37"/>
      <c r="BM361" s="37"/>
      <c r="BN361" s="37"/>
      <c r="BO361" s="37"/>
      <c r="BP361" s="37"/>
      <c r="BQ361" s="37"/>
      <c r="BR361" s="37"/>
      <c r="BS361" s="37"/>
      <c r="BT361" s="37"/>
      <c r="BU361" s="37"/>
      <c r="BV361" s="37"/>
      <c r="BW361" s="37"/>
      <c r="BX361" s="37"/>
      <c r="BY361" s="37"/>
      <c r="BZ361" s="37"/>
      <c r="CA361" s="37"/>
      <c r="CB361" s="37"/>
      <c r="CC361" s="37"/>
      <c r="CD361" s="37"/>
      <c r="CE361" s="37"/>
    </row>
    <row r="362" spans="1:84" x14ac:dyDescent="0.2">
      <c r="A362" s="39">
        <v>43800</v>
      </c>
      <c r="B362" s="22" t="s">
        <v>241</v>
      </c>
      <c r="C362" t="s">
        <v>291</v>
      </c>
      <c r="D362" s="22" t="s">
        <v>276</v>
      </c>
      <c r="E362">
        <v>27.7</v>
      </c>
      <c r="F362">
        <v>20.7</v>
      </c>
      <c r="G362">
        <v>71</v>
      </c>
      <c r="H362">
        <v>10</v>
      </c>
      <c r="I362">
        <v>0.7</v>
      </c>
      <c r="J362">
        <v>7</v>
      </c>
      <c r="K362">
        <v>1</v>
      </c>
      <c r="L362">
        <v>16.5</v>
      </c>
      <c r="M362">
        <v>85</v>
      </c>
      <c r="N362">
        <v>11</v>
      </c>
      <c r="O362">
        <v>9.3000000000000007</v>
      </c>
      <c r="P362">
        <v>63</v>
      </c>
      <c r="Q362">
        <v>7</v>
      </c>
      <c r="R362">
        <v>8.5</v>
      </c>
      <c r="S362">
        <v>15</v>
      </c>
      <c r="T362">
        <v>1</v>
      </c>
      <c r="U362">
        <v>32.200000000000003</v>
      </c>
      <c r="V362">
        <v>142</v>
      </c>
      <c r="W362">
        <v>13</v>
      </c>
      <c r="X362">
        <f>18.2+2.9</f>
        <v>21.099999999999998</v>
      </c>
      <c r="Y362">
        <v>51</v>
      </c>
      <c r="Z362">
        <v>11</v>
      </c>
      <c r="AA362">
        <v>1</v>
      </c>
      <c r="AB362">
        <v>2</v>
      </c>
      <c r="AC362">
        <v>4</v>
      </c>
      <c r="AD362" s="21">
        <v>0.26785714285714285</v>
      </c>
      <c r="AE362" s="21">
        <v>7.1428571428571425E-2</v>
      </c>
      <c r="AF362">
        <v>55.6</v>
      </c>
      <c r="AG362">
        <v>11</v>
      </c>
      <c r="AH362">
        <v>49</v>
      </c>
      <c r="AI362">
        <v>15</v>
      </c>
      <c r="AJ362">
        <v>4</v>
      </c>
      <c r="AK362">
        <v>72</v>
      </c>
      <c r="AL362">
        <v>15</v>
      </c>
      <c r="AM362">
        <v>0</v>
      </c>
      <c r="AN362">
        <f>SUM(AO362:AR362)</f>
        <v>428</v>
      </c>
      <c r="AO362">
        <v>355</v>
      </c>
      <c r="AP362">
        <v>48</v>
      </c>
      <c r="AQ362">
        <v>0</v>
      </c>
      <c r="AR362">
        <v>25</v>
      </c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  <c r="BK362" s="37"/>
      <c r="BL362" s="37"/>
      <c r="BM362" s="37"/>
      <c r="BN362" s="37"/>
      <c r="BO362" s="37"/>
      <c r="BP362" s="37"/>
      <c r="BQ362" s="37"/>
      <c r="BR362" s="37"/>
      <c r="BS362" s="37"/>
      <c r="BT362" s="37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</row>
    <row r="363" spans="1:84" s="3" customFormat="1" x14ac:dyDescent="0.2">
      <c r="A363" s="39">
        <v>43800</v>
      </c>
      <c r="B363" t="s">
        <v>241</v>
      </c>
      <c r="C363" t="s">
        <v>278</v>
      </c>
      <c r="D363" t="s">
        <v>287</v>
      </c>
      <c r="E363">
        <v>13.86</v>
      </c>
      <c r="F363">
        <v>9.1999999999999993</v>
      </c>
      <c r="G363">
        <v>58</v>
      </c>
      <c r="H363">
        <v>3</v>
      </c>
      <c r="I363">
        <v>6.4</v>
      </c>
      <c r="J363">
        <v>11</v>
      </c>
      <c r="K363">
        <v>4</v>
      </c>
      <c r="L363">
        <v>23.4</v>
      </c>
      <c r="M363">
        <v>74</v>
      </c>
      <c r="N363">
        <v>5</v>
      </c>
      <c r="O363">
        <v>3.2</v>
      </c>
      <c r="P363">
        <v>12</v>
      </c>
      <c r="Q363">
        <v>3</v>
      </c>
      <c r="R363">
        <v>0</v>
      </c>
      <c r="S363">
        <v>0</v>
      </c>
      <c r="T363">
        <v>0</v>
      </c>
      <c r="U363">
        <v>7.5</v>
      </c>
      <c r="V363">
        <v>45</v>
      </c>
      <c r="W363">
        <v>6</v>
      </c>
      <c r="X363">
        <v>8.1</v>
      </c>
      <c r="Y363">
        <v>31</v>
      </c>
      <c r="Z363">
        <v>9</v>
      </c>
      <c r="AA363">
        <v>15</v>
      </c>
      <c r="AB363">
        <v>3</v>
      </c>
      <c r="AC363">
        <v>8</v>
      </c>
      <c r="AD363">
        <v>0.35483870967741937</v>
      </c>
      <c r="AE363">
        <v>0</v>
      </c>
      <c r="AF363">
        <v>62.5</v>
      </c>
      <c r="AG363">
        <v>2</v>
      </c>
      <c r="AH363">
        <v>28</v>
      </c>
      <c r="AI363">
        <v>22</v>
      </c>
      <c r="AJ363">
        <v>3</v>
      </c>
      <c r="AK363">
        <v>53</v>
      </c>
      <c r="AL363">
        <v>23</v>
      </c>
      <c r="AM363">
        <v>0</v>
      </c>
      <c r="AN363">
        <v>218</v>
      </c>
      <c r="AO363">
        <v>134</v>
      </c>
      <c r="AP363">
        <v>69</v>
      </c>
      <c r="AQ363">
        <v>0</v>
      </c>
      <c r="AR363">
        <v>15</v>
      </c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37"/>
      <c r="BK363" s="37"/>
      <c r="BL363" s="37"/>
      <c r="BM363" s="37"/>
      <c r="BN363" s="37"/>
      <c r="BO363" s="37"/>
      <c r="BP363" s="37"/>
      <c r="BQ363" s="37"/>
      <c r="BR363" s="37"/>
      <c r="BS363" s="37"/>
      <c r="BT363" s="37"/>
      <c r="BU363" s="37"/>
      <c r="BV363" s="37"/>
      <c r="BW363" s="37"/>
      <c r="BX363" s="37"/>
      <c r="BY363" s="37"/>
      <c r="BZ363" s="37"/>
      <c r="CA363" s="37"/>
      <c r="CB363" s="37"/>
      <c r="CC363" s="37"/>
      <c r="CD363" s="37"/>
      <c r="CE363" s="37"/>
      <c r="CF363" s="8"/>
    </row>
    <row r="364" spans="1:84" s="3" customFormat="1" x14ac:dyDescent="0.2">
      <c r="A364" s="39">
        <v>43800</v>
      </c>
      <c r="B364" s="22" t="s">
        <v>241</v>
      </c>
      <c r="C364" t="s">
        <v>299</v>
      </c>
      <c r="D364" s="22" t="s">
        <v>265</v>
      </c>
      <c r="E364">
        <v>18.3</v>
      </c>
      <c r="F364">
        <v>8.3000000000000007</v>
      </c>
      <c r="G364">
        <v>83</v>
      </c>
      <c r="H364">
        <v>0</v>
      </c>
      <c r="I364">
        <v>5.9</v>
      </c>
      <c r="J364">
        <v>12</v>
      </c>
      <c r="K364">
        <v>3</v>
      </c>
      <c r="L364">
        <v>28.8</v>
      </c>
      <c r="M364">
        <v>158</v>
      </c>
      <c r="N364">
        <v>5</v>
      </c>
      <c r="O364">
        <v>13</v>
      </c>
      <c r="P364">
        <v>40</v>
      </c>
      <c r="Q364">
        <v>6</v>
      </c>
      <c r="R364">
        <v>6.2</v>
      </c>
      <c r="S364">
        <v>32</v>
      </c>
      <c r="T364">
        <v>8</v>
      </c>
      <c r="U364" s="22">
        <v>20.299999999999997</v>
      </c>
      <c r="V364" s="22">
        <v>63</v>
      </c>
      <c r="W364" s="22">
        <v>16</v>
      </c>
      <c r="X364">
        <v>7.8</v>
      </c>
      <c r="Y364">
        <v>18</v>
      </c>
      <c r="Z364">
        <v>11</v>
      </c>
      <c r="AA364">
        <v>8</v>
      </c>
      <c r="AB364">
        <v>2</v>
      </c>
      <c r="AC364">
        <v>3</v>
      </c>
      <c r="AD364" s="21">
        <v>0.29268292682926828</v>
      </c>
      <c r="AE364" s="21">
        <v>4.878048780487805E-2</v>
      </c>
      <c r="AF364">
        <v>71.400000000000006</v>
      </c>
      <c r="AG364">
        <v>3</v>
      </c>
      <c r="AH364">
        <v>38</v>
      </c>
      <c r="AI364">
        <v>26</v>
      </c>
      <c r="AJ364">
        <v>1</v>
      </c>
      <c r="AK364">
        <v>67</v>
      </c>
      <c r="AL364">
        <v>20</v>
      </c>
      <c r="AM364">
        <v>0</v>
      </c>
      <c r="AN364">
        <f t="shared" ref="AN364:AN380" si="23">SUM(AO364:AR364)</f>
        <v>385</v>
      </c>
      <c r="AO364">
        <v>280</v>
      </c>
      <c r="AP364">
        <f>83+12+9</f>
        <v>104</v>
      </c>
      <c r="AQ364">
        <v>0</v>
      </c>
      <c r="AR364">
        <v>1</v>
      </c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37"/>
      <c r="BK364" s="37"/>
      <c r="BL364" s="37"/>
      <c r="BM364" s="37"/>
      <c r="BN364" s="37"/>
      <c r="BO364" s="37"/>
      <c r="BP364" s="37"/>
      <c r="BQ364" s="37"/>
      <c r="BR364" s="37"/>
      <c r="BS364" s="37"/>
      <c r="BT364" s="37"/>
      <c r="BU364" s="37"/>
      <c r="BV364" s="37"/>
      <c r="BW364" s="37"/>
      <c r="BX364" s="37"/>
      <c r="BY364" s="37"/>
      <c r="BZ364" s="37"/>
      <c r="CA364" s="37"/>
      <c r="CB364" s="37"/>
      <c r="CC364" s="37"/>
      <c r="CD364" s="37"/>
      <c r="CE364" s="37"/>
      <c r="CF364" s="8"/>
    </row>
    <row r="365" spans="1:84" x14ac:dyDescent="0.2">
      <c r="A365" s="39">
        <v>43800</v>
      </c>
      <c r="B365" s="22" t="s">
        <v>241</v>
      </c>
      <c r="C365" t="s">
        <v>300</v>
      </c>
      <c r="D365" s="22" t="s">
        <v>296</v>
      </c>
      <c r="E365">
        <v>28.12</v>
      </c>
      <c r="F365">
        <v>7.1</v>
      </c>
      <c r="G365">
        <v>18</v>
      </c>
      <c r="H365">
        <v>6</v>
      </c>
      <c r="I365">
        <v>10.7</v>
      </c>
      <c r="J365">
        <v>41</v>
      </c>
      <c r="K365">
        <v>4</v>
      </c>
      <c r="L365">
        <v>24.4</v>
      </c>
      <c r="M365">
        <v>64</v>
      </c>
      <c r="N365">
        <v>10</v>
      </c>
      <c r="O365">
        <v>22.3</v>
      </c>
      <c r="P365">
        <v>103</v>
      </c>
      <c r="Q365">
        <v>3</v>
      </c>
      <c r="R365">
        <v>4</v>
      </c>
      <c r="S365">
        <v>20</v>
      </c>
      <c r="T365">
        <v>3</v>
      </c>
      <c r="U365">
        <v>22.7</v>
      </c>
      <c r="V365">
        <v>67</v>
      </c>
      <c r="W365">
        <v>5</v>
      </c>
      <c r="X365">
        <v>9.6999999999999993</v>
      </c>
      <c r="Y365">
        <v>17</v>
      </c>
      <c r="Z365">
        <v>3</v>
      </c>
      <c r="AA365">
        <v>8</v>
      </c>
      <c r="AB365">
        <v>1</v>
      </c>
      <c r="AC365">
        <v>10</v>
      </c>
      <c r="AD365" s="21">
        <v>0.41666666666666669</v>
      </c>
      <c r="AE365" s="21">
        <v>0</v>
      </c>
      <c r="AF365">
        <v>69.2</v>
      </c>
      <c r="AG365">
        <v>-1</v>
      </c>
      <c r="AH365">
        <v>33</v>
      </c>
      <c r="AI365">
        <v>21</v>
      </c>
      <c r="AJ365">
        <v>5</v>
      </c>
      <c r="AK365">
        <v>59</v>
      </c>
      <c r="AL365">
        <v>31</v>
      </c>
      <c r="AM365">
        <v>0</v>
      </c>
      <c r="AN365">
        <f t="shared" si="23"/>
        <v>322</v>
      </c>
      <c r="AO365">
        <v>243</v>
      </c>
      <c r="AP365">
        <f>41+18</f>
        <v>59</v>
      </c>
      <c r="AQ365">
        <v>0</v>
      </c>
      <c r="AR365">
        <v>20</v>
      </c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37"/>
      <c r="BK365" s="37"/>
      <c r="BL365" s="37"/>
      <c r="BM365" s="37"/>
      <c r="BN365" s="37"/>
      <c r="BO365" s="37"/>
      <c r="BP365" s="37"/>
      <c r="BQ365" s="37"/>
      <c r="BR365" s="37"/>
      <c r="BS365" s="37"/>
      <c r="BT365" s="37"/>
      <c r="BU365" s="37"/>
      <c r="BV365" s="37"/>
      <c r="BW365" s="37"/>
      <c r="BX365" s="37"/>
      <c r="BY365" s="37"/>
      <c r="BZ365" s="37"/>
      <c r="CA365" s="37"/>
      <c r="CB365" s="37"/>
      <c r="CC365" s="37"/>
      <c r="CD365" s="37"/>
      <c r="CE365" s="37"/>
    </row>
    <row r="366" spans="1:84" x14ac:dyDescent="0.2">
      <c r="A366" s="39">
        <v>43800</v>
      </c>
      <c r="B366" s="22" t="s">
        <v>241</v>
      </c>
      <c r="C366" t="s">
        <v>311</v>
      </c>
      <c r="D366" s="22" t="s">
        <v>302</v>
      </c>
      <c r="E366">
        <v>28.86</v>
      </c>
      <c r="F366">
        <v>3.2</v>
      </c>
      <c r="G366">
        <v>17</v>
      </c>
      <c r="H366">
        <v>1</v>
      </c>
      <c r="I366">
        <v>20</v>
      </c>
      <c r="J366">
        <v>36</v>
      </c>
      <c r="K366">
        <v>6</v>
      </c>
      <c r="L366">
        <v>15.64</v>
      </c>
      <c r="M366">
        <v>64</v>
      </c>
      <c r="N366">
        <v>8</v>
      </c>
      <c r="O366">
        <v>15.1</v>
      </c>
      <c r="P366">
        <v>61</v>
      </c>
      <c r="Q366">
        <v>4</v>
      </c>
      <c r="R366">
        <v>1.8</v>
      </c>
      <c r="S366">
        <v>8</v>
      </c>
      <c r="T366">
        <v>2</v>
      </c>
      <c r="U366">
        <v>18</v>
      </c>
      <c r="V366">
        <v>110</v>
      </c>
      <c r="W366">
        <v>9</v>
      </c>
      <c r="X366">
        <f>10.3+2.9</f>
        <v>13.200000000000001</v>
      </c>
      <c r="Y366">
        <v>42</v>
      </c>
      <c r="Z366">
        <v>4</v>
      </c>
      <c r="AA366">
        <v>4</v>
      </c>
      <c r="AB366">
        <v>0</v>
      </c>
      <c r="AC366">
        <v>5</v>
      </c>
      <c r="AD366" s="21">
        <v>1</v>
      </c>
      <c r="AE366" s="21">
        <v>0</v>
      </c>
      <c r="AF366">
        <v>100</v>
      </c>
      <c r="AG366">
        <v>2</v>
      </c>
      <c r="AH366">
        <v>25</v>
      </c>
      <c r="AI366">
        <v>19</v>
      </c>
      <c r="AJ366">
        <v>4</v>
      </c>
      <c r="AK366">
        <v>52</v>
      </c>
      <c r="AL366">
        <v>28</v>
      </c>
      <c r="AM366">
        <v>0</v>
      </c>
      <c r="AN366">
        <f t="shared" si="23"/>
        <v>286</v>
      </c>
      <c r="AO366">
        <v>234</v>
      </c>
      <c r="AP366">
        <f>36+17</f>
        <v>53</v>
      </c>
      <c r="AQ366">
        <v>0</v>
      </c>
      <c r="AR366">
        <v>-1</v>
      </c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37"/>
      <c r="BK366" s="37"/>
      <c r="BL366" s="37"/>
      <c r="BM366" s="37"/>
      <c r="BN366" s="37"/>
      <c r="BO366" s="37"/>
      <c r="BP366" s="37"/>
      <c r="BQ366" s="37"/>
      <c r="BR366" s="37"/>
      <c r="BS366" s="37"/>
      <c r="BT366" s="37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</row>
    <row r="367" spans="1:84" x14ac:dyDescent="0.2">
      <c r="A367" s="39">
        <v>43800</v>
      </c>
      <c r="B367" s="22" t="s">
        <v>241</v>
      </c>
      <c r="C367" t="s">
        <v>289</v>
      </c>
      <c r="D367" s="22" t="s">
        <v>310</v>
      </c>
      <c r="E367">
        <v>17.66</v>
      </c>
      <c r="F367">
        <v>3.5</v>
      </c>
      <c r="G367">
        <v>14</v>
      </c>
      <c r="H367">
        <v>1</v>
      </c>
      <c r="I367">
        <v>12</v>
      </c>
      <c r="J367">
        <v>22</v>
      </c>
      <c r="K367">
        <v>2</v>
      </c>
      <c r="L367" s="3">
        <v>20.9</v>
      </c>
      <c r="M367" s="3">
        <v>109</v>
      </c>
      <c r="N367" s="3">
        <v>10</v>
      </c>
      <c r="O367" s="3">
        <v>9.5</v>
      </c>
      <c r="P367" s="3">
        <v>55</v>
      </c>
      <c r="Q367" s="3">
        <v>6</v>
      </c>
      <c r="R367" s="3">
        <v>2.2999999999999998</v>
      </c>
      <c r="S367" s="3">
        <v>13</v>
      </c>
      <c r="T367" s="3">
        <v>1</v>
      </c>
      <c r="U367">
        <v>23.4</v>
      </c>
      <c r="V367">
        <v>124</v>
      </c>
      <c r="W367">
        <v>16</v>
      </c>
      <c r="X367">
        <f>19.3+4.1</f>
        <v>23.4</v>
      </c>
      <c r="Y367">
        <v>104</v>
      </c>
      <c r="Z367">
        <v>14</v>
      </c>
      <c r="AA367">
        <v>5</v>
      </c>
      <c r="AB367">
        <v>4</v>
      </c>
      <c r="AC367">
        <v>9</v>
      </c>
      <c r="AD367" s="21">
        <v>0.39534883720930231</v>
      </c>
      <c r="AE367" s="21">
        <v>6.9767441860465115E-2</v>
      </c>
      <c r="AF367">
        <v>45.5</v>
      </c>
      <c r="AG367">
        <v>20</v>
      </c>
      <c r="AH367">
        <v>40</v>
      </c>
      <c r="AI367">
        <v>23</v>
      </c>
      <c r="AJ367">
        <v>1</v>
      </c>
      <c r="AK367">
        <v>67</v>
      </c>
      <c r="AL367">
        <v>17</v>
      </c>
      <c r="AM367">
        <v>0</v>
      </c>
      <c r="AN367">
        <f t="shared" si="23"/>
        <v>401</v>
      </c>
      <c r="AO367">
        <v>319</v>
      </c>
      <c r="AP367">
        <f>22+47+14</f>
        <v>83</v>
      </c>
      <c r="AQ367">
        <v>0</v>
      </c>
      <c r="AR367">
        <v>-1</v>
      </c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37"/>
      <c r="BK367" s="37"/>
      <c r="BL367" s="37"/>
      <c r="BM367" s="37"/>
      <c r="BN367" s="37"/>
      <c r="BO367" s="37"/>
      <c r="BP367" s="37"/>
      <c r="BQ367" s="37"/>
      <c r="BR367" s="37"/>
      <c r="BS367" s="37"/>
      <c r="BT367" s="37"/>
      <c r="BU367" s="37"/>
      <c r="BV367" s="37"/>
      <c r="BW367" s="37"/>
      <c r="BX367" s="37"/>
      <c r="BY367" s="37"/>
      <c r="BZ367" s="37"/>
      <c r="CA367" s="37"/>
      <c r="CB367" s="37"/>
      <c r="CC367" s="37"/>
      <c r="CD367" s="37"/>
      <c r="CE367" s="37"/>
    </row>
    <row r="368" spans="1:84" x14ac:dyDescent="0.2">
      <c r="A368" s="39">
        <v>43800</v>
      </c>
      <c r="B368" s="22" t="s">
        <v>241</v>
      </c>
      <c r="C368" t="s">
        <v>297</v>
      </c>
      <c r="D368" s="22" t="s">
        <v>284</v>
      </c>
      <c r="E368">
        <v>12.7</v>
      </c>
      <c r="F368">
        <v>18.100000000000001</v>
      </c>
      <c r="G368">
        <v>38</v>
      </c>
      <c r="H368">
        <v>11</v>
      </c>
      <c r="I368">
        <v>0</v>
      </c>
      <c r="J368">
        <v>0</v>
      </c>
      <c r="K368">
        <v>0</v>
      </c>
      <c r="L368">
        <v>6.7</v>
      </c>
      <c r="M368">
        <v>47</v>
      </c>
      <c r="N368">
        <v>5</v>
      </c>
      <c r="O368">
        <v>19</v>
      </c>
      <c r="P368">
        <v>60</v>
      </c>
      <c r="Q368">
        <v>8</v>
      </c>
      <c r="R368">
        <v>9.6999999999999993</v>
      </c>
      <c r="S368">
        <v>57</v>
      </c>
      <c r="T368">
        <v>5</v>
      </c>
      <c r="U368">
        <v>18.7</v>
      </c>
      <c r="V368">
        <v>57</v>
      </c>
      <c r="W368">
        <v>11</v>
      </c>
      <c r="X368">
        <v>1.6</v>
      </c>
      <c r="Y368">
        <v>6</v>
      </c>
      <c r="Z368">
        <v>4</v>
      </c>
      <c r="AA368">
        <v>5</v>
      </c>
      <c r="AB368">
        <v>1</v>
      </c>
      <c r="AC368">
        <v>6</v>
      </c>
      <c r="AD368" s="21">
        <v>0.47916666666666669</v>
      </c>
      <c r="AE368" s="21">
        <v>0.10416666666666667</v>
      </c>
      <c r="AF368">
        <v>71.400000000000006</v>
      </c>
      <c r="AG368">
        <v>23</v>
      </c>
      <c r="AH368">
        <f>27+14</f>
        <v>41</v>
      </c>
      <c r="AI368">
        <v>14</v>
      </c>
      <c r="AJ368">
        <v>0</v>
      </c>
      <c r="AK368">
        <v>63</v>
      </c>
      <c r="AL368">
        <v>11</v>
      </c>
      <c r="AM368">
        <v>0</v>
      </c>
      <c r="AN368">
        <f t="shared" si="23"/>
        <v>289</v>
      </c>
      <c r="AO368">
        <f>147+93</f>
        <v>240</v>
      </c>
      <c r="AP368">
        <v>38</v>
      </c>
      <c r="AQ368">
        <v>0</v>
      </c>
      <c r="AR368">
        <v>11</v>
      </c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37"/>
      <c r="BK368" s="37"/>
      <c r="BL368" s="37"/>
      <c r="BM368" s="37"/>
      <c r="BN368" s="37"/>
      <c r="BO368" s="37"/>
      <c r="BP368" s="37"/>
      <c r="BQ368" s="37"/>
      <c r="BR368" s="37"/>
      <c r="BS368" s="37"/>
      <c r="BT368" s="37"/>
      <c r="BU368" s="37"/>
      <c r="BV368" s="37"/>
      <c r="BW368" s="37"/>
      <c r="BX368" s="37"/>
      <c r="BY368" s="37"/>
      <c r="BZ368" s="37"/>
      <c r="CA368" s="37"/>
      <c r="CB368" s="37"/>
      <c r="CC368" s="37"/>
      <c r="CD368" s="37"/>
      <c r="CE368" s="37"/>
    </row>
    <row r="369" spans="1:84" x14ac:dyDescent="0.2">
      <c r="A369" s="39">
        <v>43800</v>
      </c>
      <c r="B369" s="22" t="s">
        <v>241</v>
      </c>
      <c r="C369" t="s">
        <v>288</v>
      </c>
      <c r="D369" s="22" t="s">
        <v>303</v>
      </c>
      <c r="E369">
        <v>19.5</v>
      </c>
      <c r="F369">
        <v>12</v>
      </c>
      <c r="G369">
        <v>10</v>
      </c>
      <c r="H369">
        <v>3</v>
      </c>
      <c r="I369">
        <v>10.4</v>
      </c>
      <c r="J369">
        <v>44</v>
      </c>
      <c r="K369">
        <v>0</v>
      </c>
      <c r="L369">
        <v>10.1</v>
      </c>
      <c r="M369">
        <v>55</v>
      </c>
      <c r="N369">
        <v>8</v>
      </c>
      <c r="O369">
        <v>0</v>
      </c>
      <c r="P369">
        <v>0</v>
      </c>
      <c r="Q369">
        <v>3</v>
      </c>
      <c r="R369">
        <v>0.9</v>
      </c>
      <c r="S369">
        <v>0</v>
      </c>
      <c r="T369">
        <v>0</v>
      </c>
      <c r="U369">
        <v>10.199999999999999</v>
      </c>
      <c r="V369">
        <v>52</v>
      </c>
      <c r="W369">
        <v>8</v>
      </c>
      <c r="X369">
        <v>14</v>
      </c>
      <c r="Y369">
        <v>90</v>
      </c>
      <c r="Z369">
        <v>9</v>
      </c>
      <c r="AA369">
        <v>10</v>
      </c>
      <c r="AB369">
        <v>1</v>
      </c>
      <c r="AC369">
        <v>22</v>
      </c>
      <c r="AD369" s="21">
        <v>0.35483870967741937</v>
      </c>
      <c r="AE369" s="21">
        <v>3.2258064516129031E-2</v>
      </c>
      <c r="AF369">
        <v>75</v>
      </c>
      <c r="AG369">
        <v>0</v>
      </c>
      <c r="AH369">
        <v>29</v>
      </c>
      <c r="AI369">
        <v>23</v>
      </c>
      <c r="AJ369">
        <v>4</v>
      </c>
      <c r="AK369">
        <v>59</v>
      </c>
      <c r="AL369">
        <v>33</v>
      </c>
      <c r="AM369">
        <v>7</v>
      </c>
      <c r="AN369">
        <f t="shared" si="23"/>
        <v>271</v>
      </c>
      <c r="AO369">
        <v>175</v>
      </c>
      <c r="AP369">
        <f>10+44+13</f>
        <v>67</v>
      </c>
      <c r="AQ369">
        <v>5</v>
      </c>
      <c r="AR369">
        <v>24</v>
      </c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37"/>
      <c r="BK369" s="37"/>
      <c r="BL369" s="37"/>
      <c r="BM369" s="37"/>
      <c r="BN369" s="37"/>
      <c r="BO369" s="37"/>
      <c r="BP369" s="37"/>
      <c r="BQ369" s="37"/>
      <c r="BR369" s="37"/>
      <c r="BS369" s="37"/>
      <c r="BT369" s="37"/>
      <c r="BU369" s="37"/>
      <c r="BV369" s="37"/>
      <c r="BW369" s="37"/>
      <c r="BX369" s="37"/>
      <c r="BY369" s="37"/>
      <c r="BZ369" s="37"/>
      <c r="CA369" s="37"/>
      <c r="CB369" s="37"/>
      <c r="CC369" s="37"/>
      <c r="CD369" s="37"/>
      <c r="CE369" s="37"/>
    </row>
    <row r="370" spans="1:84" x14ac:dyDescent="0.2">
      <c r="A370" s="39">
        <v>43800</v>
      </c>
      <c r="B370" s="22" t="s">
        <v>241</v>
      </c>
      <c r="C370" t="s">
        <v>303</v>
      </c>
      <c r="D370" s="22" t="s">
        <v>288</v>
      </c>
      <c r="E370">
        <v>11.58</v>
      </c>
      <c r="F370">
        <v>13.4</v>
      </c>
      <c r="G370">
        <v>104</v>
      </c>
      <c r="H370">
        <v>0</v>
      </c>
      <c r="I370">
        <v>7.9</v>
      </c>
      <c r="J370">
        <v>5</v>
      </c>
      <c r="K370">
        <v>3</v>
      </c>
      <c r="L370">
        <v>1.9</v>
      </c>
      <c r="M370">
        <v>9</v>
      </c>
      <c r="N370">
        <v>4</v>
      </c>
      <c r="O370">
        <v>3.4</v>
      </c>
      <c r="P370">
        <v>13</v>
      </c>
      <c r="Q370">
        <v>3</v>
      </c>
      <c r="R370">
        <v>2.1</v>
      </c>
      <c r="S370">
        <v>11</v>
      </c>
      <c r="T370">
        <v>1</v>
      </c>
      <c r="U370">
        <v>8.1</v>
      </c>
      <c r="V370">
        <v>41</v>
      </c>
      <c r="W370">
        <v>6</v>
      </c>
      <c r="X370">
        <f>20+9+2.5</f>
        <v>31.5</v>
      </c>
      <c r="Y370">
        <v>125</v>
      </c>
      <c r="Z370">
        <v>12</v>
      </c>
      <c r="AA370">
        <v>3</v>
      </c>
      <c r="AB370">
        <v>2</v>
      </c>
      <c r="AC370">
        <v>0</v>
      </c>
      <c r="AD370" s="21">
        <v>0.47058823529411764</v>
      </c>
      <c r="AE370" s="21">
        <v>5.8823529411764705E-2</v>
      </c>
      <c r="AF370">
        <v>77.8</v>
      </c>
      <c r="AG370">
        <v>22</v>
      </c>
      <c r="AH370">
        <v>30</v>
      </c>
      <c r="AI370">
        <v>21</v>
      </c>
      <c r="AJ370">
        <v>3</v>
      </c>
      <c r="AK370">
        <v>57</v>
      </c>
      <c r="AL370">
        <v>9</v>
      </c>
      <c r="AM370">
        <v>0</v>
      </c>
      <c r="AN370">
        <f t="shared" si="23"/>
        <v>344</v>
      </c>
      <c r="AO370">
        <v>222</v>
      </c>
      <c r="AP370">
        <f>104+4+5+2</f>
        <v>115</v>
      </c>
      <c r="AQ370">
        <v>0</v>
      </c>
      <c r="AR370">
        <v>7</v>
      </c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37"/>
      <c r="BK370" s="37"/>
      <c r="BL370" s="37"/>
      <c r="BM370" s="37"/>
      <c r="BN370" s="37"/>
      <c r="BO370" s="37"/>
      <c r="BP370" s="37"/>
      <c r="BQ370" s="37"/>
      <c r="BR370" s="37"/>
      <c r="BS370" s="37"/>
      <c r="BT370" s="37"/>
      <c r="BU370" s="37"/>
      <c r="BV370" s="37"/>
      <c r="BW370" s="37"/>
      <c r="BX370" s="37"/>
      <c r="BY370" s="37"/>
      <c r="BZ370" s="37"/>
      <c r="CA370" s="37"/>
      <c r="CB370" s="37"/>
      <c r="CC370" s="37"/>
      <c r="CD370" s="37"/>
      <c r="CE370" s="37"/>
    </row>
    <row r="371" spans="1:84" x14ac:dyDescent="0.2">
      <c r="A371" s="39">
        <v>43800</v>
      </c>
      <c r="B371" s="22" t="s">
        <v>241</v>
      </c>
      <c r="C371" t="s">
        <v>287</v>
      </c>
      <c r="D371" s="22" t="s">
        <v>278</v>
      </c>
      <c r="E371">
        <v>17.600000000000001</v>
      </c>
      <c r="F371">
        <v>13</v>
      </c>
      <c r="G371">
        <v>99</v>
      </c>
      <c r="H371">
        <v>3</v>
      </c>
      <c r="I371">
        <v>16.7</v>
      </c>
      <c r="J371">
        <v>16</v>
      </c>
      <c r="K371">
        <v>5</v>
      </c>
      <c r="L371">
        <v>18.8</v>
      </c>
      <c r="M371">
        <v>68</v>
      </c>
      <c r="N371">
        <v>6</v>
      </c>
      <c r="O371">
        <v>19.7</v>
      </c>
      <c r="P371">
        <v>117</v>
      </c>
      <c r="Q371">
        <v>7</v>
      </c>
      <c r="R371">
        <v>1.8</v>
      </c>
      <c r="S371">
        <v>8</v>
      </c>
      <c r="T371">
        <v>2</v>
      </c>
      <c r="U371">
        <v>8.9</v>
      </c>
      <c r="V371">
        <v>39</v>
      </c>
      <c r="W371">
        <v>5</v>
      </c>
      <c r="X371">
        <v>3</v>
      </c>
      <c r="Y371">
        <v>10</v>
      </c>
      <c r="Z371">
        <v>4</v>
      </c>
      <c r="AA371">
        <v>9</v>
      </c>
      <c r="AB371">
        <v>3</v>
      </c>
      <c r="AC371">
        <v>2</v>
      </c>
      <c r="AD371" s="21">
        <v>0.3125</v>
      </c>
      <c r="AE371" s="21">
        <v>9.375E-2</v>
      </c>
      <c r="AF371">
        <v>66.7</v>
      </c>
      <c r="AG371">
        <v>8</v>
      </c>
      <c r="AH371">
        <v>29</v>
      </c>
      <c r="AI371">
        <v>29</v>
      </c>
      <c r="AJ371">
        <v>0</v>
      </c>
      <c r="AK371">
        <v>61</v>
      </c>
      <c r="AL371">
        <v>20</v>
      </c>
      <c r="AM371">
        <v>0</v>
      </c>
      <c r="AN371">
        <f t="shared" si="23"/>
        <v>380</v>
      </c>
      <c r="AO371">
        <v>265</v>
      </c>
      <c r="AP371">
        <v>115</v>
      </c>
      <c r="AQ371">
        <v>0</v>
      </c>
      <c r="AR371">
        <v>0</v>
      </c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7"/>
      <c r="BG371" s="37"/>
      <c r="BH371" s="37"/>
      <c r="BI371" s="37"/>
      <c r="BJ371" s="37"/>
      <c r="BK371" s="37"/>
      <c r="BL371" s="37"/>
      <c r="BM371" s="37"/>
      <c r="BN371" s="37"/>
      <c r="BO371" s="37"/>
      <c r="BP371" s="37"/>
      <c r="BQ371" s="37"/>
      <c r="BR371" s="37"/>
      <c r="BS371" s="37"/>
      <c r="BT371" s="37"/>
      <c r="BU371" s="37"/>
      <c r="BV371" s="37"/>
      <c r="BW371" s="37"/>
      <c r="BX371" s="37"/>
      <c r="BY371" s="37"/>
      <c r="BZ371" s="37"/>
      <c r="CA371" s="37"/>
      <c r="CB371" s="37"/>
      <c r="CC371" s="37"/>
      <c r="CD371" s="37"/>
      <c r="CE371" s="37"/>
    </row>
    <row r="372" spans="1:84" x14ac:dyDescent="0.2">
      <c r="A372" s="39">
        <v>43800</v>
      </c>
      <c r="B372" s="22" t="s">
        <v>241</v>
      </c>
      <c r="C372" t="s">
        <v>304</v>
      </c>
      <c r="D372" s="22" t="s">
        <v>285</v>
      </c>
      <c r="E372">
        <v>27.96</v>
      </c>
      <c r="F372">
        <v>18.5</v>
      </c>
      <c r="G372">
        <v>95</v>
      </c>
      <c r="H372">
        <v>1</v>
      </c>
      <c r="I372">
        <v>3</v>
      </c>
      <c r="J372">
        <v>30</v>
      </c>
      <c r="K372">
        <v>1</v>
      </c>
      <c r="L372" s="14">
        <v>18.5</v>
      </c>
      <c r="M372">
        <v>65</v>
      </c>
      <c r="N372">
        <v>6</v>
      </c>
      <c r="O372">
        <v>33.200000000000003</v>
      </c>
      <c r="P372">
        <v>172</v>
      </c>
      <c r="Q372">
        <v>18</v>
      </c>
      <c r="R372">
        <v>7.9</v>
      </c>
      <c r="S372">
        <v>39</v>
      </c>
      <c r="T372">
        <v>4</v>
      </c>
      <c r="U372">
        <v>33.9</v>
      </c>
      <c r="V372">
        <v>179</v>
      </c>
      <c r="W372">
        <v>17</v>
      </c>
      <c r="X372">
        <v>26.7</v>
      </c>
      <c r="Y372">
        <v>107</v>
      </c>
      <c r="Z372">
        <v>8</v>
      </c>
      <c r="AA372">
        <v>10</v>
      </c>
      <c r="AB372">
        <v>3</v>
      </c>
      <c r="AC372">
        <v>18</v>
      </c>
      <c r="AD372" s="21">
        <v>0.36363636363636365</v>
      </c>
      <c r="AE372" s="21">
        <v>2.2727272727272728E-2</v>
      </c>
      <c r="AF372">
        <v>72.7</v>
      </c>
      <c r="AG372">
        <v>0</v>
      </c>
      <c r="AH372">
        <v>45</v>
      </c>
      <c r="AI372">
        <v>29</v>
      </c>
      <c r="AJ372">
        <v>1</v>
      </c>
      <c r="AK372">
        <v>76</v>
      </c>
      <c r="AL372">
        <v>37</v>
      </c>
      <c r="AM372">
        <v>7</v>
      </c>
      <c r="AN372">
        <f t="shared" si="23"/>
        <v>559</v>
      </c>
      <c r="AO372">
        <v>427</v>
      </c>
      <c r="AP372">
        <f>95+30+17</f>
        <v>142</v>
      </c>
      <c r="AQ372">
        <v>0</v>
      </c>
      <c r="AR372">
        <v>-10</v>
      </c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37"/>
      <c r="BK372" s="37"/>
      <c r="BL372" s="37"/>
      <c r="BM372" s="37"/>
      <c r="BN372" s="37"/>
      <c r="BO372" s="37"/>
      <c r="BP372" s="37"/>
      <c r="BQ372" s="37"/>
      <c r="BR372" s="37"/>
      <c r="BS372" s="37"/>
      <c r="BT372" s="37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CF372" s="37"/>
    </row>
    <row r="373" spans="1:84" x14ac:dyDescent="0.2">
      <c r="A373" s="39">
        <v>43800</v>
      </c>
      <c r="B373" s="22" t="s">
        <v>241</v>
      </c>
      <c r="C373" t="s">
        <v>293</v>
      </c>
      <c r="D373" s="22" t="s">
        <v>294</v>
      </c>
      <c r="E373">
        <v>30.8</v>
      </c>
      <c r="F373">
        <v>16.8</v>
      </c>
      <c r="G373">
        <v>5</v>
      </c>
      <c r="H373">
        <v>5</v>
      </c>
      <c r="I373">
        <v>3.6</v>
      </c>
      <c r="J373">
        <v>20</v>
      </c>
      <c r="K373">
        <v>1</v>
      </c>
      <c r="L373">
        <v>37.9</v>
      </c>
      <c r="M373">
        <v>159</v>
      </c>
      <c r="N373">
        <v>10</v>
      </c>
      <c r="O373">
        <v>11.3</v>
      </c>
      <c r="P373">
        <v>32</v>
      </c>
      <c r="Q373">
        <v>5</v>
      </c>
      <c r="R373">
        <v>6.3</v>
      </c>
      <c r="S373">
        <v>33</v>
      </c>
      <c r="T373">
        <v>4</v>
      </c>
      <c r="U373">
        <v>35.199999999999996</v>
      </c>
      <c r="V373">
        <v>102</v>
      </c>
      <c r="W373">
        <v>16</v>
      </c>
      <c r="X373">
        <f>18.9+3.3</f>
        <v>22.2</v>
      </c>
      <c r="Y373">
        <v>92</v>
      </c>
      <c r="Z373">
        <v>11</v>
      </c>
      <c r="AA373">
        <v>13.6</v>
      </c>
      <c r="AB373">
        <v>1</v>
      </c>
      <c r="AC373">
        <v>3</v>
      </c>
      <c r="AD373" s="21">
        <v>0.39534883720930231</v>
      </c>
      <c r="AE373" s="21">
        <v>6.9767441860465115E-2</v>
      </c>
      <c r="AF373">
        <v>69.2</v>
      </c>
      <c r="AG373">
        <v>1</v>
      </c>
      <c r="AH373">
        <v>39</v>
      </c>
      <c r="AI373">
        <v>15</v>
      </c>
      <c r="AJ373">
        <v>3</v>
      </c>
      <c r="AK373">
        <v>63</v>
      </c>
      <c r="AL373">
        <v>37</v>
      </c>
      <c r="AM373">
        <v>0</v>
      </c>
      <c r="AN373">
        <f t="shared" si="23"/>
        <v>423</v>
      </c>
      <c r="AO373">
        <v>365</v>
      </c>
      <c r="AP373">
        <v>25</v>
      </c>
      <c r="AQ373">
        <v>31</v>
      </c>
      <c r="AR373">
        <v>2</v>
      </c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37"/>
      <c r="BK373" s="37"/>
      <c r="BL373" s="37"/>
      <c r="BM373" s="37"/>
      <c r="BN373" s="37"/>
      <c r="BO373" s="37"/>
      <c r="BP373" s="37"/>
      <c r="BQ373" s="37"/>
      <c r="BR373" s="37"/>
      <c r="BS373" s="37"/>
      <c r="BT373" s="37"/>
      <c r="BU373" s="37"/>
      <c r="BV373" s="37"/>
      <c r="BW373" s="37"/>
      <c r="BX373" s="37"/>
      <c r="BY373" s="37"/>
      <c r="BZ373" s="37"/>
      <c r="CA373" s="37"/>
      <c r="CB373" s="37"/>
      <c r="CC373" s="37"/>
      <c r="CD373" s="37"/>
      <c r="CE373" s="37"/>
      <c r="CF373" s="37"/>
    </row>
    <row r="374" spans="1:84" x14ac:dyDescent="0.2">
      <c r="A374" s="39">
        <v>43800</v>
      </c>
      <c r="B374" s="22" t="s">
        <v>241</v>
      </c>
      <c r="C374" t="s">
        <v>312</v>
      </c>
      <c r="D374" s="22" t="s">
        <v>308</v>
      </c>
      <c r="E374">
        <v>18.04</v>
      </c>
      <c r="F374">
        <v>14.4</v>
      </c>
      <c r="G374">
        <v>29</v>
      </c>
      <c r="H374">
        <v>4</v>
      </c>
      <c r="I374">
        <v>11.3</v>
      </c>
      <c r="J374">
        <v>22</v>
      </c>
      <c r="K374">
        <v>5</v>
      </c>
      <c r="L374" s="3">
        <v>9.1999999999999993</v>
      </c>
      <c r="M374">
        <v>25</v>
      </c>
      <c r="N374">
        <v>9</v>
      </c>
      <c r="O374">
        <v>12.8</v>
      </c>
      <c r="P374">
        <v>58</v>
      </c>
      <c r="Q374">
        <v>2</v>
      </c>
      <c r="R374">
        <v>1.1000000000000001</v>
      </c>
      <c r="S374">
        <v>1</v>
      </c>
      <c r="T374">
        <v>3</v>
      </c>
      <c r="U374">
        <v>5.8000000000000007</v>
      </c>
      <c r="V374">
        <v>18</v>
      </c>
      <c r="W374">
        <v>7</v>
      </c>
      <c r="X374">
        <f>15+2.8+1.6</f>
        <v>19.400000000000002</v>
      </c>
      <c r="Y374">
        <v>64</v>
      </c>
      <c r="Z374">
        <v>11</v>
      </c>
      <c r="AA374">
        <v>7</v>
      </c>
      <c r="AB374">
        <v>1</v>
      </c>
      <c r="AC374">
        <v>8</v>
      </c>
      <c r="AD374" s="21">
        <v>0.26315789473684209</v>
      </c>
      <c r="AE374" s="21">
        <v>0</v>
      </c>
      <c r="AF374">
        <v>83.3</v>
      </c>
      <c r="AG374">
        <v>6</v>
      </c>
      <c r="AH374">
        <v>38</v>
      </c>
      <c r="AI374">
        <v>13</v>
      </c>
      <c r="AJ374">
        <v>0</v>
      </c>
      <c r="AK374">
        <v>52</v>
      </c>
      <c r="AL374">
        <v>23</v>
      </c>
      <c r="AM374">
        <v>7</v>
      </c>
      <c r="AN374">
        <f t="shared" si="23"/>
        <v>354</v>
      </c>
      <c r="AO374">
        <v>276</v>
      </c>
      <c r="AP374">
        <v>51</v>
      </c>
      <c r="AQ374">
        <v>27</v>
      </c>
      <c r="AR374">
        <v>0</v>
      </c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37"/>
      <c r="BK374" s="37"/>
      <c r="BL374" s="37"/>
      <c r="BM374" s="37"/>
      <c r="BN374" s="37"/>
      <c r="BO374" s="37"/>
      <c r="BP374" s="37"/>
      <c r="BQ374" s="37"/>
      <c r="BR374" s="37"/>
      <c r="BS374" s="37"/>
      <c r="BT374" s="37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CF374" s="37"/>
    </row>
    <row r="375" spans="1:84" x14ac:dyDescent="0.2">
      <c r="A375" s="39">
        <v>43800</v>
      </c>
      <c r="B375" s="22" t="s">
        <v>241</v>
      </c>
      <c r="C375" t="s">
        <v>302</v>
      </c>
      <c r="D375" s="22" t="s">
        <v>311</v>
      </c>
      <c r="E375">
        <v>28.34</v>
      </c>
      <c r="F375">
        <v>4.5</v>
      </c>
      <c r="G375">
        <v>45</v>
      </c>
      <c r="H375">
        <v>0</v>
      </c>
      <c r="I375">
        <v>14</v>
      </c>
      <c r="J375">
        <v>79</v>
      </c>
      <c r="K375">
        <v>11</v>
      </c>
      <c r="L375">
        <v>24.9</v>
      </c>
      <c r="M375">
        <v>106</v>
      </c>
      <c r="N375">
        <v>11</v>
      </c>
      <c r="O375">
        <v>7.6</v>
      </c>
      <c r="P375">
        <v>46</v>
      </c>
      <c r="Q375">
        <v>7</v>
      </c>
      <c r="R375">
        <v>4.4000000000000004</v>
      </c>
      <c r="S375">
        <v>14</v>
      </c>
      <c r="T375">
        <v>5</v>
      </c>
      <c r="U375">
        <v>25.799999999999997</v>
      </c>
      <c r="V375">
        <v>128</v>
      </c>
      <c r="W375">
        <v>12</v>
      </c>
      <c r="X375">
        <v>6.7</v>
      </c>
      <c r="Y375">
        <v>47</v>
      </c>
      <c r="Z375">
        <v>3</v>
      </c>
      <c r="AA375">
        <v>4</v>
      </c>
      <c r="AB375">
        <v>1</v>
      </c>
      <c r="AC375">
        <v>2</v>
      </c>
      <c r="AD375" s="21">
        <v>0.31372549019607843</v>
      </c>
      <c r="AE375" s="21">
        <v>5.8823529411764705E-2</v>
      </c>
      <c r="AF375">
        <v>50</v>
      </c>
      <c r="AG375">
        <v>5</v>
      </c>
      <c r="AH375">
        <v>47</v>
      </c>
      <c r="AI375">
        <v>27</v>
      </c>
      <c r="AJ375">
        <v>1</v>
      </c>
      <c r="AK375">
        <v>79</v>
      </c>
      <c r="AL375">
        <v>22</v>
      </c>
      <c r="AM375">
        <v>0</v>
      </c>
      <c r="AN375">
        <f t="shared" si="23"/>
        <v>471</v>
      </c>
      <c r="AO375">
        <v>326</v>
      </c>
      <c r="AP375">
        <f>79+45+15</f>
        <v>139</v>
      </c>
      <c r="AQ375">
        <v>-7</v>
      </c>
      <c r="AR375">
        <v>13</v>
      </c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37"/>
      <c r="BK375" s="37"/>
      <c r="BL375" s="37"/>
      <c r="BM375" s="37"/>
      <c r="BN375" s="37"/>
      <c r="BO375" s="37"/>
      <c r="BP375" s="37"/>
      <c r="BQ375" s="37"/>
      <c r="BR375" s="37"/>
      <c r="BS375" s="37"/>
      <c r="BT375" s="37"/>
      <c r="BU375" s="37"/>
      <c r="BV375" s="37"/>
      <c r="BW375" s="37"/>
      <c r="BX375" s="37"/>
      <c r="BY375" s="37"/>
      <c r="BZ375" s="37"/>
      <c r="CA375" s="37"/>
      <c r="CB375" s="37"/>
      <c r="CC375" s="37"/>
      <c r="CD375" s="37"/>
      <c r="CE375" s="37"/>
      <c r="CF375" s="37"/>
    </row>
    <row r="376" spans="1:84" x14ac:dyDescent="0.2">
      <c r="A376" s="39">
        <v>43800</v>
      </c>
      <c r="B376" s="22" t="s">
        <v>241</v>
      </c>
      <c r="C376" t="s">
        <v>307</v>
      </c>
      <c r="D376" s="22" t="s">
        <v>295</v>
      </c>
      <c r="E376">
        <v>11.26</v>
      </c>
      <c r="F376">
        <v>12.4</v>
      </c>
      <c r="G376">
        <v>61</v>
      </c>
      <c r="H376">
        <v>8</v>
      </c>
      <c r="I376">
        <v>0.2</v>
      </c>
      <c r="J376">
        <v>2</v>
      </c>
      <c r="K376">
        <v>0</v>
      </c>
      <c r="L376">
        <v>10.8</v>
      </c>
      <c r="M376">
        <v>48</v>
      </c>
      <c r="N376">
        <v>8</v>
      </c>
      <c r="O376">
        <v>3.4</v>
      </c>
      <c r="P376">
        <v>14</v>
      </c>
      <c r="Q376">
        <v>2</v>
      </c>
      <c r="R376">
        <v>0</v>
      </c>
      <c r="S376">
        <v>0</v>
      </c>
      <c r="T376">
        <v>1</v>
      </c>
      <c r="U376">
        <v>20.5</v>
      </c>
      <c r="V376">
        <v>85</v>
      </c>
      <c r="W376">
        <v>8</v>
      </c>
      <c r="X376">
        <v>12.7</v>
      </c>
      <c r="Y376">
        <v>87</v>
      </c>
      <c r="Z376">
        <v>88</v>
      </c>
      <c r="AA376">
        <v>17</v>
      </c>
      <c r="AB376">
        <v>4</v>
      </c>
      <c r="AC376">
        <v>16</v>
      </c>
      <c r="AD376" s="21">
        <v>0.26666666666666666</v>
      </c>
      <c r="AE376" s="21">
        <v>0</v>
      </c>
      <c r="AF376">
        <v>83.3</v>
      </c>
      <c r="AG376">
        <v>0</v>
      </c>
      <c r="AH376">
        <v>31</v>
      </c>
      <c r="AI376">
        <v>15</v>
      </c>
      <c r="AJ376">
        <v>3</v>
      </c>
      <c r="AK376">
        <v>49</v>
      </c>
      <c r="AL376">
        <v>26</v>
      </c>
      <c r="AM376">
        <v>0</v>
      </c>
      <c r="AN376">
        <f t="shared" si="23"/>
        <v>279</v>
      </c>
      <c r="AO376">
        <v>184</v>
      </c>
      <c r="AP376">
        <f>63</f>
        <v>63</v>
      </c>
      <c r="AQ376">
        <v>0</v>
      </c>
      <c r="AR376">
        <v>32</v>
      </c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  <c r="BK376" s="37"/>
      <c r="BL376" s="37"/>
      <c r="BM376" s="37"/>
      <c r="BN376" s="37"/>
      <c r="BO376" s="37"/>
      <c r="BP376" s="37"/>
      <c r="BQ376" s="37"/>
      <c r="BR376" s="37"/>
      <c r="BS376" s="37"/>
      <c r="BT376" s="37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CF376" s="37"/>
    </row>
    <row r="377" spans="1:84" x14ac:dyDescent="0.2">
      <c r="A377" s="39">
        <v>43800</v>
      </c>
      <c r="B377" s="22" t="s">
        <v>241</v>
      </c>
      <c r="C377" t="s">
        <v>296</v>
      </c>
      <c r="D377" s="22" t="s">
        <v>300</v>
      </c>
      <c r="E377">
        <v>11.2</v>
      </c>
      <c r="F377">
        <v>14.5</v>
      </c>
      <c r="G377">
        <v>83</v>
      </c>
      <c r="H377">
        <v>7</v>
      </c>
      <c r="I377">
        <v>0.4</v>
      </c>
      <c r="J377">
        <v>4</v>
      </c>
      <c r="K377">
        <v>0</v>
      </c>
      <c r="L377">
        <v>13</v>
      </c>
      <c r="M377">
        <v>40</v>
      </c>
      <c r="N377">
        <v>6</v>
      </c>
      <c r="O377">
        <v>10.4</v>
      </c>
      <c r="P377">
        <v>44</v>
      </c>
      <c r="Q377">
        <v>9</v>
      </c>
      <c r="R377">
        <v>5.3</v>
      </c>
      <c r="S377">
        <v>43</v>
      </c>
      <c r="T377">
        <v>3</v>
      </c>
      <c r="U377">
        <v>14.7</v>
      </c>
      <c r="V377">
        <v>97</v>
      </c>
      <c r="W377">
        <v>8</v>
      </c>
      <c r="X377">
        <v>13</v>
      </c>
      <c r="Y377">
        <v>70</v>
      </c>
      <c r="Z377">
        <v>8</v>
      </c>
      <c r="AA377">
        <v>8</v>
      </c>
      <c r="AB377">
        <v>2</v>
      </c>
      <c r="AC377">
        <v>-1</v>
      </c>
      <c r="AD377" s="21">
        <v>0.4358974358974359</v>
      </c>
      <c r="AE377" s="21">
        <v>2.564102564102564E-2</v>
      </c>
      <c r="AF377">
        <v>58.3</v>
      </c>
      <c r="AG377">
        <v>10</v>
      </c>
      <c r="AH377">
        <v>37</v>
      </c>
      <c r="AI377">
        <v>22</v>
      </c>
      <c r="AJ377">
        <v>5</v>
      </c>
      <c r="AK377">
        <v>64</v>
      </c>
      <c r="AL377">
        <v>13</v>
      </c>
      <c r="AM377">
        <v>0</v>
      </c>
      <c r="AN377">
        <f t="shared" si="23"/>
        <v>335</v>
      </c>
      <c r="AO377">
        <v>240</v>
      </c>
      <c r="AP377">
        <v>89</v>
      </c>
      <c r="AQ377">
        <v>0</v>
      </c>
      <c r="AR377">
        <v>6</v>
      </c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7"/>
      <c r="BG377" s="37"/>
      <c r="BH377" s="37"/>
      <c r="BI377" s="37"/>
      <c r="BJ377" s="37"/>
      <c r="BK377" s="37"/>
      <c r="BL377" s="37"/>
      <c r="BM377" s="37"/>
      <c r="BN377" s="37"/>
      <c r="BO377" s="37"/>
      <c r="BP377" s="37"/>
      <c r="BQ377" s="37"/>
      <c r="BR377" s="37"/>
      <c r="BS377" s="37"/>
      <c r="BT377" s="37"/>
      <c r="BU377" s="37"/>
      <c r="BV377" s="37"/>
      <c r="BW377" s="37"/>
      <c r="BX377" s="37"/>
      <c r="BY377" s="37"/>
      <c r="BZ377" s="37"/>
      <c r="CA377" s="37"/>
      <c r="CB377" s="37"/>
      <c r="CC377" s="37"/>
      <c r="CD377" s="37"/>
      <c r="CE377" s="37"/>
      <c r="CF377" s="37"/>
    </row>
    <row r="378" spans="1:84" x14ac:dyDescent="0.2">
      <c r="A378" s="39">
        <v>43800</v>
      </c>
      <c r="B378" s="22" t="s">
        <v>241</v>
      </c>
      <c r="C378" t="s">
        <v>298</v>
      </c>
      <c r="D378" s="22" t="s">
        <v>272</v>
      </c>
      <c r="E378">
        <v>10.46</v>
      </c>
      <c r="F378">
        <v>10.7</v>
      </c>
      <c r="G378">
        <v>32</v>
      </c>
      <c r="H378">
        <v>5</v>
      </c>
      <c r="I378">
        <v>3.8</v>
      </c>
      <c r="J378">
        <v>14</v>
      </c>
      <c r="K378">
        <v>2</v>
      </c>
      <c r="L378">
        <v>2.8</v>
      </c>
      <c r="M378">
        <v>8</v>
      </c>
      <c r="N378">
        <v>9</v>
      </c>
      <c r="O378">
        <v>20.100000000000001</v>
      </c>
      <c r="P378">
        <v>101</v>
      </c>
      <c r="Q378">
        <v>10</v>
      </c>
      <c r="R378">
        <v>5.3</v>
      </c>
      <c r="S378">
        <v>23</v>
      </c>
      <c r="T378">
        <v>5</v>
      </c>
      <c r="U378">
        <v>8.3000000000000007</v>
      </c>
      <c r="V378">
        <v>33</v>
      </c>
      <c r="W378">
        <v>15</v>
      </c>
      <c r="X378">
        <v>9.9</v>
      </c>
      <c r="Y378">
        <v>39</v>
      </c>
      <c r="Z378">
        <v>8</v>
      </c>
      <c r="AA378">
        <v>7</v>
      </c>
      <c r="AB378">
        <v>2</v>
      </c>
      <c r="AC378">
        <v>2</v>
      </c>
      <c r="AD378" s="21">
        <v>0.46296296296296297</v>
      </c>
      <c r="AE378" s="21">
        <v>7.407407407407407E-2</v>
      </c>
      <c r="AF378">
        <v>64.3</v>
      </c>
      <c r="AG378">
        <v>13</v>
      </c>
      <c r="AH378">
        <v>48</v>
      </c>
      <c r="AI378">
        <v>15</v>
      </c>
      <c r="AJ378">
        <v>2</v>
      </c>
      <c r="AK378">
        <v>69</v>
      </c>
      <c r="AL378">
        <v>6</v>
      </c>
      <c r="AM378">
        <v>0</v>
      </c>
      <c r="AN378">
        <f t="shared" si="23"/>
        <v>301</v>
      </c>
      <c r="AO378">
        <v>239</v>
      </c>
      <c r="AP378">
        <f>32+14+7</f>
        <v>53</v>
      </c>
      <c r="AQ378">
        <v>0</v>
      </c>
      <c r="AR378">
        <v>9</v>
      </c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  <c r="BK378" s="37"/>
      <c r="BL378" s="37"/>
      <c r="BM378" s="37"/>
      <c r="BN378" s="37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CF378" s="37"/>
    </row>
    <row r="379" spans="1:84" x14ac:dyDescent="0.2">
      <c r="A379" s="39">
        <v>43800</v>
      </c>
      <c r="B379" s="22" t="s">
        <v>241</v>
      </c>
      <c r="C379" t="s">
        <v>294</v>
      </c>
      <c r="D379" s="22" t="s">
        <v>293</v>
      </c>
      <c r="E379">
        <v>28.4</v>
      </c>
      <c r="F379">
        <v>21.5</v>
      </c>
      <c r="G379">
        <v>83</v>
      </c>
      <c r="H379">
        <v>5</v>
      </c>
      <c r="I379">
        <v>0.9</v>
      </c>
      <c r="J379">
        <v>9</v>
      </c>
      <c r="K379">
        <v>0</v>
      </c>
      <c r="L379">
        <v>31.7</v>
      </c>
      <c r="M379">
        <v>137</v>
      </c>
      <c r="N379">
        <v>16</v>
      </c>
      <c r="O379">
        <v>9.1</v>
      </c>
      <c r="P379">
        <v>41</v>
      </c>
      <c r="Q379">
        <v>6</v>
      </c>
      <c r="R379">
        <v>8.5</v>
      </c>
      <c r="S379">
        <v>15</v>
      </c>
      <c r="T379">
        <v>2</v>
      </c>
      <c r="U379">
        <v>17.099999999999998</v>
      </c>
      <c r="V379">
        <v>71</v>
      </c>
      <c r="W379">
        <v>9</v>
      </c>
      <c r="X379">
        <v>18</v>
      </c>
      <c r="Y379">
        <v>90</v>
      </c>
      <c r="Z379">
        <v>13</v>
      </c>
      <c r="AA379">
        <v>13</v>
      </c>
      <c r="AB379">
        <v>4</v>
      </c>
      <c r="AC379">
        <v>1</v>
      </c>
      <c r="AD379" s="21">
        <v>0.3125</v>
      </c>
      <c r="AE379" s="21">
        <v>4.1666666666666664E-2</v>
      </c>
      <c r="AF379">
        <v>58.3</v>
      </c>
      <c r="AG379">
        <v>3</v>
      </c>
      <c r="AH379">
        <v>46</v>
      </c>
      <c r="AI379">
        <v>19</v>
      </c>
      <c r="AJ379">
        <v>0</v>
      </c>
      <c r="AK379">
        <v>67</v>
      </c>
      <c r="AL379">
        <v>31</v>
      </c>
      <c r="AM379">
        <v>0</v>
      </c>
      <c r="AN379">
        <f t="shared" si="23"/>
        <v>402</v>
      </c>
      <c r="AO379">
        <v>310</v>
      </c>
      <c r="AP379">
        <v>92</v>
      </c>
      <c r="AQ379">
        <v>0</v>
      </c>
      <c r="AR379">
        <v>0</v>
      </c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37"/>
      <c r="BK379" s="37"/>
      <c r="BL379" s="37"/>
      <c r="BM379" s="37"/>
      <c r="BN379" s="37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CF379" s="37"/>
    </row>
    <row r="380" spans="1:84" x14ac:dyDescent="0.2">
      <c r="A380" s="39">
        <v>43800</v>
      </c>
      <c r="B380" s="22" t="s">
        <v>241</v>
      </c>
      <c r="C380" t="s">
        <v>309</v>
      </c>
      <c r="D380" s="22" t="s">
        <v>281</v>
      </c>
      <c r="E380">
        <v>11.68</v>
      </c>
      <c r="F380">
        <v>13.7</v>
      </c>
      <c r="G380">
        <v>63</v>
      </c>
      <c r="H380">
        <v>1</v>
      </c>
      <c r="I380">
        <v>7.4</v>
      </c>
      <c r="J380">
        <v>32</v>
      </c>
      <c r="K380">
        <v>2</v>
      </c>
      <c r="L380">
        <v>24.1</v>
      </c>
      <c r="M380">
        <v>111</v>
      </c>
      <c r="N380">
        <v>4</v>
      </c>
      <c r="O380">
        <v>4.0999999999999996</v>
      </c>
      <c r="P380">
        <v>14</v>
      </c>
      <c r="Q380">
        <v>5</v>
      </c>
      <c r="R380">
        <v>3.8</v>
      </c>
      <c r="S380">
        <v>28</v>
      </c>
      <c r="T380">
        <v>1</v>
      </c>
      <c r="U380">
        <v>10.8</v>
      </c>
      <c r="V380">
        <v>78</v>
      </c>
      <c r="W380">
        <v>4</v>
      </c>
      <c r="X380">
        <v>6.8</v>
      </c>
      <c r="Y380">
        <v>28</v>
      </c>
      <c r="Z380">
        <v>4</v>
      </c>
      <c r="AA380">
        <v>8</v>
      </c>
      <c r="AB380">
        <v>2</v>
      </c>
      <c r="AC380">
        <v>13</v>
      </c>
      <c r="AD380" s="21">
        <v>0.34782608695652173</v>
      </c>
      <c r="AE380" s="21">
        <v>4.3478260869565216E-2</v>
      </c>
      <c r="AF380">
        <v>75</v>
      </c>
      <c r="AG380">
        <v>4</v>
      </c>
      <c r="AH380">
        <v>21</v>
      </c>
      <c r="AI380">
        <v>26</v>
      </c>
      <c r="AJ380">
        <v>5</v>
      </c>
      <c r="AK380">
        <v>54</v>
      </c>
      <c r="AL380">
        <v>20</v>
      </c>
      <c r="AM380">
        <v>0</v>
      </c>
      <c r="AN380">
        <f t="shared" si="23"/>
        <v>336</v>
      </c>
      <c r="AO380">
        <v>212</v>
      </c>
      <c r="AP380">
        <f>63+32+10</f>
        <v>105</v>
      </c>
      <c r="AQ380">
        <v>17</v>
      </c>
      <c r="AR380">
        <v>2</v>
      </c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  <c r="BK380" s="37"/>
      <c r="BL380" s="37"/>
      <c r="BM380" s="37"/>
      <c r="BN380" s="37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CF380" s="37"/>
    </row>
    <row r="381" spans="1:84" x14ac:dyDescent="0.2">
      <c r="A381" s="39">
        <v>43800</v>
      </c>
      <c r="B381" s="22" t="s">
        <v>241</v>
      </c>
      <c r="C381" s="22" t="s">
        <v>256</v>
      </c>
      <c r="D381" s="22" t="s">
        <v>305</v>
      </c>
      <c r="E381">
        <v>10.1</v>
      </c>
      <c r="F381">
        <v>26.4</v>
      </c>
      <c r="G381">
        <v>146</v>
      </c>
      <c r="H381">
        <v>2</v>
      </c>
      <c r="I381">
        <v>2.5</v>
      </c>
      <c r="J381">
        <v>6</v>
      </c>
      <c r="K381">
        <v>1</v>
      </c>
      <c r="L381">
        <v>8.1</v>
      </c>
      <c r="M381">
        <v>41</v>
      </c>
      <c r="N381">
        <v>6</v>
      </c>
      <c r="O381">
        <v>14.1</v>
      </c>
      <c r="P381">
        <v>41</v>
      </c>
      <c r="Q381">
        <v>4</v>
      </c>
      <c r="R381">
        <v>7.2</v>
      </c>
      <c r="S381">
        <v>43</v>
      </c>
      <c r="T381">
        <v>3</v>
      </c>
      <c r="U381">
        <v>6.6</v>
      </c>
      <c r="V381">
        <v>26</v>
      </c>
      <c r="W381">
        <v>4</v>
      </c>
      <c r="X381">
        <v>3.4</v>
      </c>
      <c r="Y381">
        <v>17</v>
      </c>
      <c r="Z381">
        <v>4</v>
      </c>
      <c r="AA381">
        <v>5</v>
      </c>
      <c r="AB381">
        <v>2</v>
      </c>
      <c r="AC381">
        <v>4</v>
      </c>
      <c r="AD381" s="21">
        <v>0.26923076923076922</v>
      </c>
      <c r="AE381" s="21">
        <v>7.6923076923076927E-2</v>
      </c>
      <c r="AF381">
        <v>100</v>
      </c>
      <c r="AG381">
        <v>7</v>
      </c>
      <c r="AH381">
        <v>21</v>
      </c>
      <c r="AI381">
        <v>24</v>
      </c>
      <c r="AJ381">
        <v>3</v>
      </c>
      <c r="AK381">
        <v>52</v>
      </c>
      <c r="AL381">
        <v>17</v>
      </c>
      <c r="AM381">
        <v>0</v>
      </c>
      <c r="AN381">
        <f>AO381+AP381+AR381+AQ381</f>
        <v>339</v>
      </c>
      <c r="AO381">
        <v>165</v>
      </c>
      <c r="AP381">
        <v>152</v>
      </c>
      <c r="AQ381">
        <v>17</v>
      </c>
      <c r="AR381">
        <v>5</v>
      </c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37"/>
      <c r="BK381" s="37"/>
      <c r="BL381" s="37"/>
      <c r="BM381" s="37"/>
      <c r="BN381" s="37"/>
      <c r="BO381" s="37"/>
      <c r="BP381" s="37"/>
      <c r="BQ381" s="37"/>
      <c r="BR381" s="37"/>
      <c r="BS381" s="37"/>
      <c r="BT381" s="37"/>
      <c r="BU381" s="37"/>
      <c r="BV381" s="37"/>
      <c r="BW381" s="37"/>
      <c r="BX381" s="37"/>
      <c r="BY381" s="37"/>
      <c r="BZ381" s="37"/>
      <c r="CA381" s="37"/>
      <c r="CB381" s="37"/>
      <c r="CC381" s="37"/>
      <c r="CD381" s="37"/>
      <c r="CE381" s="37"/>
      <c r="CF381" s="37"/>
    </row>
    <row r="382" spans="1:84" x14ac:dyDescent="0.2">
      <c r="A382" s="39">
        <v>43800</v>
      </c>
      <c r="B382" s="22" t="s">
        <v>241</v>
      </c>
      <c r="C382" t="s">
        <v>308</v>
      </c>
      <c r="D382" s="22" t="s">
        <v>312</v>
      </c>
      <c r="E382">
        <v>17.899999999999999</v>
      </c>
      <c r="F382">
        <v>20.9</v>
      </c>
      <c r="G382">
        <v>102</v>
      </c>
      <c r="H382">
        <v>2</v>
      </c>
      <c r="I382">
        <v>26.7</v>
      </c>
      <c r="J382">
        <v>74</v>
      </c>
      <c r="K382">
        <v>5</v>
      </c>
      <c r="L382">
        <v>0</v>
      </c>
      <c r="M382">
        <v>0</v>
      </c>
      <c r="N382">
        <v>3</v>
      </c>
      <c r="O382">
        <v>12.5</v>
      </c>
      <c r="P382">
        <v>75</v>
      </c>
      <c r="Q382">
        <v>7</v>
      </c>
      <c r="R382">
        <v>14.5</v>
      </c>
      <c r="S382">
        <v>65</v>
      </c>
      <c r="T382">
        <v>4</v>
      </c>
      <c r="U382">
        <v>6.8</v>
      </c>
      <c r="V382">
        <v>28</v>
      </c>
      <c r="W382">
        <v>8</v>
      </c>
      <c r="X382">
        <v>10.4</v>
      </c>
      <c r="Y382">
        <v>44</v>
      </c>
      <c r="Z382">
        <v>8</v>
      </c>
      <c r="AA382">
        <v>13</v>
      </c>
      <c r="AB382">
        <v>3</v>
      </c>
      <c r="AC382">
        <v>6</v>
      </c>
      <c r="AD382" s="21">
        <v>0.25</v>
      </c>
      <c r="AE382" s="21">
        <v>5.5555555555555552E-2</v>
      </c>
      <c r="AF382">
        <v>20</v>
      </c>
      <c r="AG382">
        <v>8</v>
      </c>
      <c r="AH382">
        <v>31</v>
      </c>
      <c r="AI382">
        <f>15+23+1</f>
        <v>39</v>
      </c>
      <c r="AJ382">
        <v>4</v>
      </c>
      <c r="AK382">
        <v>76</v>
      </c>
      <c r="AL382">
        <v>37</v>
      </c>
      <c r="AM382">
        <v>0</v>
      </c>
      <c r="AN382">
        <f>SUM(AO382:AR382)</f>
        <v>458</v>
      </c>
      <c r="AO382">
        <v>240</v>
      </c>
      <c r="AP382">
        <f>74+102+29</f>
        <v>205</v>
      </c>
      <c r="AQ382">
        <v>0</v>
      </c>
      <c r="AR382">
        <v>13</v>
      </c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</row>
    <row r="383" spans="1:84" x14ac:dyDescent="0.2">
      <c r="A383" s="39">
        <v>43800</v>
      </c>
      <c r="B383" s="22" t="s">
        <v>241</v>
      </c>
      <c r="C383" t="s">
        <v>284</v>
      </c>
      <c r="D383" s="22" t="s">
        <v>297</v>
      </c>
      <c r="E383">
        <v>11.72</v>
      </c>
      <c r="F383">
        <v>18.399999999999999</v>
      </c>
      <c r="G383">
        <v>44</v>
      </c>
      <c r="H383">
        <v>0</v>
      </c>
      <c r="I383">
        <v>0.8</v>
      </c>
      <c r="J383">
        <v>8</v>
      </c>
      <c r="K383">
        <v>0</v>
      </c>
      <c r="L383">
        <v>9.3000000000000007</v>
      </c>
      <c r="M383">
        <v>53</v>
      </c>
      <c r="N383">
        <v>11</v>
      </c>
      <c r="O383">
        <v>9</v>
      </c>
      <c r="P383">
        <v>50</v>
      </c>
      <c r="Q383">
        <v>6</v>
      </c>
      <c r="R383">
        <v>13.7</v>
      </c>
      <c r="S383">
        <v>87</v>
      </c>
      <c r="T383">
        <v>6</v>
      </c>
      <c r="U383">
        <v>11.6</v>
      </c>
      <c r="V383">
        <v>56</v>
      </c>
      <c r="W383">
        <v>8</v>
      </c>
      <c r="X383">
        <v>12.6</v>
      </c>
      <c r="Y383">
        <v>66</v>
      </c>
      <c r="Z383">
        <v>7</v>
      </c>
      <c r="AA383">
        <v>8</v>
      </c>
      <c r="AB383">
        <v>2</v>
      </c>
      <c r="AC383">
        <v>23</v>
      </c>
      <c r="AD383" s="21">
        <v>0.35897435897435898</v>
      </c>
      <c r="AE383" s="21">
        <v>0.10256410256410256</v>
      </c>
      <c r="AF383">
        <v>71.400000000000006</v>
      </c>
      <c r="AG383">
        <v>23</v>
      </c>
      <c r="AH383">
        <v>33</v>
      </c>
      <c r="AI383">
        <v>25</v>
      </c>
      <c r="AJ383">
        <v>6</v>
      </c>
      <c r="AK383">
        <v>68</v>
      </c>
      <c r="AL383">
        <v>21</v>
      </c>
      <c r="AM383">
        <v>7</v>
      </c>
      <c r="AN383">
        <f>AO383+AP383+AQ383+AR383</f>
        <v>342</v>
      </c>
      <c r="AO383">
        <v>268</v>
      </c>
      <c r="AP383">
        <v>54</v>
      </c>
      <c r="AQ383">
        <v>0</v>
      </c>
      <c r="AR383">
        <v>20</v>
      </c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</row>
    <row r="384" spans="1:84" x14ac:dyDescent="0.2">
      <c r="A384" s="39">
        <v>43800</v>
      </c>
      <c r="B384" s="22" t="s">
        <v>241</v>
      </c>
      <c r="C384" t="s">
        <v>310</v>
      </c>
      <c r="D384" s="22" t="s">
        <v>289</v>
      </c>
      <c r="E384">
        <v>14.78</v>
      </c>
      <c r="F384">
        <v>27.6</v>
      </c>
      <c r="G384">
        <v>149</v>
      </c>
      <c r="H384">
        <v>3</v>
      </c>
      <c r="I384">
        <v>1.9</v>
      </c>
      <c r="J384">
        <v>0</v>
      </c>
      <c r="K384">
        <v>1</v>
      </c>
      <c r="L384">
        <v>7.5</v>
      </c>
      <c r="M384">
        <v>46</v>
      </c>
      <c r="N384">
        <v>4</v>
      </c>
      <c r="O384">
        <v>3.3</v>
      </c>
      <c r="P384">
        <v>23</v>
      </c>
      <c r="Q384">
        <v>2</v>
      </c>
      <c r="R384">
        <v>8.3000000000000007</v>
      </c>
      <c r="S384">
        <v>13</v>
      </c>
      <c r="T384">
        <v>2</v>
      </c>
      <c r="U384">
        <v>24.2</v>
      </c>
      <c r="V384">
        <v>72</v>
      </c>
      <c r="W384">
        <v>7</v>
      </c>
      <c r="X384">
        <v>7.2</v>
      </c>
      <c r="Y384">
        <v>22</v>
      </c>
      <c r="Z384">
        <v>6</v>
      </c>
      <c r="AA384">
        <v>7</v>
      </c>
      <c r="AB384">
        <v>1</v>
      </c>
      <c r="AC384">
        <v>20</v>
      </c>
      <c r="AD384" s="21">
        <v>0.31034482758620691</v>
      </c>
      <c r="AE384" s="21">
        <v>0.20689655172413793</v>
      </c>
      <c r="AF384">
        <v>100</v>
      </c>
      <c r="AG384">
        <v>9</v>
      </c>
      <c r="AH384">
        <v>22</v>
      </c>
      <c r="AI384">
        <v>26</v>
      </c>
      <c r="AJ384">
        <v>4</v>
      </c>
      <c r="AK384">
        <v>58</v>
      </c>
      <c r="AL384">
        <v>24</v>
      </c>
      <c r="AM384">
        <v>7</v>
      </c>
      <c r="AN384">
        <f>SUM(AO384:AR384)</f>
        <v>336</v>
      </c>
      <c r="AO384">
        <v>182</v>
      </c>
      <c r="AP384">
        <v>149</v>
      </c>
      <c r="AQ384">
        <v>0</v>
      </c>
      <c r="AR384">
        <v>5</v>
      </c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37"/>
      <c r="BK384" s="37"/>
      <c r="BL384" s="37"/>
      <c r="BM384" s="37"/>
      <c r="BN384" s="37"/>
      <c r="BO384" s="37"/>
      <c r="BP384" s="37"/>
      <c r="BQ384" s="37"/>
      <c r="BR384" s="37"/>
      <c r="BS384" s="37"/>
      <c r="BT384" s="37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CF384" s="37"/>
    </row>
    <row r="385" spans="1:84" x14ac:dyDescent="0.2">
      <c r="A385" s="39">
        <v>43800</v>
      </c>
      <c r="B385" s="22" t="s">
        <v>241</v>
      </c>
      <c r="C385" t="s">
        <v>306</v>
      </c>
      <c r="D385" s="22" t="s">
        <v>301</v>
      </c>
      <c r="E385">
        <v>6.48</v>
      </c>
      <c r="F385">
        <v>30.7</v>
      </c>
      <c r="G385">
        <v>129</v>
      </c>
      <c r="H385">
        <v>2</v>
      </c>
      <c r="I385">
        <v>15.9</v>
      </c>
      <c r="J385">
        <v>99</v>
      </c>
      <c r="K385">
        <v>1</v>
      </c>
      <c r="L385">
        <v>2.8</v>
      </c>
      <c r="M385">
        <v>8</v>
      </c>
      <c r="N385">
        <v>4</v>
      </c>
      <c r="O385">
        <v>8.1</v>
      </c>
      <c r="P385">
        <v>51</v>
      </c>
      <c r="Q385">
        <v>5</v>
      </c>
      <c r="R385">
        <v>5.9</v>
      </c>
      <c r="S385">
        <v>29</v>
      </c>
      <c r="T385">
        <v>4</v>
      </c>
      <c r="U385">
        <v>6.6</v>
      </c>
      <c r="V385">
        <v>36</v>
      </c>
      <c r="W385">
        <v>5</v>
      </c>
      <c r="X385">
        <v>5.6</v>
      </c>
      <c r="Y385">
        <v>36</v>
      </c>
      <c r="Z385">
        <v>4</v>
      </c>
      <c r="AA385">
        <v>12</v>
      </c>
      <c r="AB385">
        <v>4</v>
      </c>
      <c r="AC385">
        <v>11</v>
      </c>
      <c r="AD385" s="21">
        <v>0.40625</v>
      </c>
      <c r="AE385" s="21">
        <v>0.15625</v>
      </c>
      <c r="AF385">
        <v>33.299999999999997</v>
      </c>
      <c r="AG385">
        <v>6</v>
      </c>
      <c r="AH385">
        <v>25</v>
      </c>
      <c r="AI385">
        <v>26</v>
      </c>
      <c r="AJ385">
        <v>4</v>
      </c>
      <c r="AK385">
        <v>60</v>
      </c>
      <c r="AL385">
        <v>29</v>
      </c>
      <c r="AM385">
        <v>0</v>
      </c>
      <c r="AN385">
        <f>SUM(AO385:AR385)</f>
        <v>395</v>
      </c>
      <c r="AO385">
        <v>147</v>
      </c>
      <c r="AP385">
        <f>129+99+14</f>
        <v>242</v>
      </c>
      <c r="AQ385">
        <v>0</v>
      </c>
      <c r="AR385">
        <v>6</v>
      </c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37"/>
      <c r="BK385" s="37"/>
      <c r="BL385" s="37"/>
      <c r="BM385" s="37"/>
      <c r="BN385" s="37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CF385" s="37"/>
    </row>
  </sheetData>
  <autoFilter ref="A1:AR271" xr:uid="{98C413B6-7493-4D43-A6E9-626725948CC6}">
    <sortState xmlns:xlrd2="http://schemas.microsoft.com/office/spreadsheetml/2017/richdata2" ref="A2:AR271">
      <sortCondition ref="B1:B271"/>
    </sortState>
  </autoFilter>
  <conditionalFormatting sqref="C26:C33 C272:C275">
    <cfRule type="cellIs" dxfId="39" priority="1" operator="between">
      <formula>21</formula>
      <formula>26</formula>
    </cfRule>
    <cfRule type="cellIs" dxfId="38" priority="2" operator="between">
      <formula>27</formula>
      <formula>32</formula>
    </cfRule>
    <cfRule type="cellIs" dxfId="37" priority="3" operator="between">
      <formula>7</formula>
      <formula>12</formula>
    </cfRule>
    <cfRule type="cellIs" dxfId="36" priority="4" operator="between">
      <formula>1</formula>
      <formula>6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B569D-BEF0-A44A-B6B4-FBAD713D23A2}">
  <sheetPr codeName="Sheet12"/>
  <dimension ref="A1:O325"/>
  <sheetViews>
    <sheetView workbookViewId="0">
      <selection activeCell="D12" sqref="A1:N325"/>
    </sheetView>
  </sheetViews>
  <sheetFormatPr baseColWidth="10" defaultRowHeight="16" x14ac:dyDescent="0.2"/>
  <cols>
    <col min="1" max="1" width="10.5" bestFit="1" customWidth="1"/>
    <col min="3" max="3" width="18.6640625" bestFit="1" customWidth="1"/>
    <col min="4" max="4" width="19" bestFit="1" customWidth="1"/>
  </cols>
  <sheetData>
    <row r="1" spans="1:14" x14ac:dyDescent="0.2">
      <c r="A1" t="s">
        <v>226</v>
      </c>
      <c r="B1" t="s">
        <v>255</v>
      </c>
      <c r="C1" t="s">
        <v>254</v>
      </c>
      <c r="D1" t="s">
        <v>227</v>
      </c>
      <c r="E1" t="s">
        <v>228</v>
      </c>
      <c r="F1" t="s">
        <v>229</v>
      </c>
      <c r="G1" t="s">
        <v>191</v>
      </c>
      <c r="H1" t="s">
        <v>192</v>
      </c>
      <c r="I1" t="s">
        <v>230</v>
      </c>
      <c r="J1" t="s">
        <v>193</v>
      </c>
      <c r="K1" t="s">
        <v>231</v>
      </c>
      <c r="L1" t="s">
        <v>232</v>
      </c>
      <c r="M1" t="s">
        <v>233</v>
      </c>
      <c r="N1" t="s">
        <v>234</v>
      </c>
    </row>
    <row r="2" spans="1:14" x14ac:dyDescent="0.2">
      <c r="A2" s="19">
        <v>43415</v>
      </c>
      <c r="B2" s="13" t="s">
        <v>244</v>
      </c>
      <c r="C2" t="s">
        <v>256</v>
      </c>
      <c r="D2" s="13" t="s">
        <v>296</v>
      </c>
      <c r="E2">
        <v>12.1</v>
      </c>
      <c r="F2">
        <v>31.2</v>
      </c>
      <c r="G2">
        <v>10.9</v>
      </c>
      <c r="H2">
        <v>5.2</v>
      </c>
      <c r="I2">
        <v>11</v>
      </c>
      <c r="J2">
        <v>17.3</v>
      </c>
      <c r="K2">
        <v>13</v>
      </c>
      <c r="L2">
        <v>1</v>
      </c>
      <c r="M2">
        <v>23.1</v>
      </c>
      <c r="N2">
        <v>0</v>
      </c>
    </row>
    <row r="3" spans="1:14" x14ac:dyDescent="0.2">
      <c r="A3" s="19">
        <v>43415</v>
      </c>
      <c r="B3" s="13" t="s">
        <v>244</v>
      </c>
      <c r="C3" t="s">
        <v>265</v>
      </c>
      <c r="D3" s="13" t="s">
        <v>299</v>
      </c>
      <c r="E3">
        <v>39</v>
      </c>
      <c r="F3">
        <v>16.399999999999999</v>
      </c>
      <c r="G3">
        <v>34.299999999999997</v>
      </c>
      <c r="H3">
        <v>26.2</v>
      </c>
      <c r="I3">
        <v>42.8</v>
      </c>
      <c r="J3">
        <v>10</v>
      </c>
      <c r="K3">
        <v>2</v>
      </c>
      <c r="L3">
        <v>12</v>
      </c>
      <c r="M3">
        <v>27.3</v>
      </c>
      <c r="N3">
        <v>11.1</v>
      </c>
    </row>
    <row r="4" spans="1:14" x14ac:dyDescent="0.2">
      <c r="A4" s="19">
        <v>43415</v>
      </c>
      <c r="B4" s="13" t="s">
        <v>244</v>
      </c>
      <c r="C4" t="s">
        <v>272</v>
      </c>
      <c r="D4" s="13" t="s">
        <v>307</v>
      </c>
      <c r="E4">
        <v>20.22</v>
      </c>
      <c r="F4">
        <v>10.5</v>
      </c>
      <c r="G4">
        <v>9.5</v>
      </c>
      <c r="H4">
        <v>11.9</v>
      </c>
      <c r="I4">
        <v>9.5</v>
      </c>
      <c r="J4">
        <v>5.3</v>
      </c>
      <c r="K4">
        <v>2</v>
      </c>
      <c r="L4">
        <v>-4</v>
      </c>
      <c r="M4">
        <v>46.4</v>
      </c>
      <c r="N4">
        <v>30.8</v>
      </c>
    </row>
    <row r="5" spans="1:14" x14ac:dyDescent="0.2">
      <c r="A5" s="19">
        <v>43415</v>
      </c>
      <c r="B5" s="13" t="s">
        <v>244</v>
      </c>
      <c r="C5" t="s">
        <v>276</v>
      </c>
      <c r="D5" s="13" t="s">
        <v>298</v>
      </c>
      <c r="E5">
        <v>17.079999999999998</v>
      </c>
      <c r="F5">
        <v>27.8</v>
      </c>
      <c r="G5">
        <v>23.3</v>
      </c>
      <c r="H5">
        <v>16.5</v>
      </c>
      <c r="I5">
        <v>28.3</v>
      </c>
      <c r="J5">
        <v>6</v>
      </c>
      <c r="K5">
        <v>13</v>
      </c>
      <c r="L5">
        <v>11</v>
      </c>
      <c r="M5">
        <v>19.2</v>
      </c>
      <c r="N5">
        <v>20</v>
      </c>
    </row>
    <row r="6" spans="1:14" x14ac:dyDescent="0.2">
      <c r="A6" s="19">
        <v>43415</v>
      </c>
      <c r="B6" s="13" t="s">
        <v>244</v>
      </c>
      <c r="C6" t="s">
        <v>281</v>
      </c>
      <c r="D6" s="13" t="s">
        <v>295</v>
      </c>
      <c r="E6">
        <v>22.64</v>
      </c>
      <c r="F6">
        <v>38.9</v>
      </c>
      <c r="G6">
        <v>4.2</v>
      </c>
      <c r="H6">
        <v>5.9</v>
      </c>
      <c r="I6">
        <v>2</v>
      </c>
      <c r="J6">
        <v>2.8</v>
      </c>
      <c r="K6">
        <v>4</v>
      </c>
      <c r="L6">
        <v>7</v>
      </c>
      <c r="M6">
        <v>26.1</v>
      </c>
      <c r="N6">
        <v>0</v>
      </c>
    </row>
    <row r="7" spans="1:14" x14ac:dyDescent="0.2">
      <c r="A7" s="19">
        <v>43415</v>
      </c>
      <c r="B7" s="13" t="s">
        <v>244</v>
      </c>
      <c r="C7" t="s">
        <v>284</v>
      </c>
      <c r="D7" s="13" t="s">
        <v>306</v>
      </c>
      <c r="E7">
        <v>19.739999999999998</v>
      </c>
      <c r="F7">
        <v>20.2</v>
      </c>
      <c r="G7">
        <v>8.1</v>
      </c>
      <c r="H7">
        <v>20.3</v>
      </c>
      <c r="I7">
        <v>10.8</v>
      </c>
      <c r="J7">
        <v>2.5</v>
      </c>
      <c r="K7">
        <v>3</v>
      </c>
      <c r="L7">
        <v>4</v>
      </c>
      <c r="M7">
        <v>28.6</v>
      </c>
      <c r="N7">
        <v>14.3</v>
      </c>
    </row>
    <row r="8" spans="1:14" x14ac:dyDescent="0.2">
      <c r="A8" s="19">
        <v>43415</v>
      </c>
      <c r="B8" s="13" t="s">
        <v>244</v>
      </c>
      <c r="C8" t="s">
        <v>285</v>
      </c>
      <c r="D8" s="13" t="s">
        <v>288</v>
      </c>
      <c r="E8">
        <v>10.199999999999999</v>
      </c>
      <c r="F8">
        <v>37.299999999999997</v>
      </c>
      <c r="G8">
        <v>11</v>
      </c>
      <c r="H8">
        <v>2.8</v>
      </c>
      <c r="I8">
        <v>9.9</v>
      </c>
      <c r="J8">
        <v>10.1</v>
      </c>
      <c r="K8">
        <v>2</v>
      </c>
      <c r="L8">
        <v>5</v>
      </c>
      <c r="M8">
        <v>50</v>
      </c>
      <c r="N8">
        <v>22.7</v>
      </c>
    </row>
    <row r="9" spans="1:14" x14ac:dyDescent="0.2">
      <c r="A9" s="19">
        <v>43415</v>
      </c>
      <c r="B9" s="13" t="s">
        <v>244</v>
      </c>
      <c r="C9" s="17" t="s">
        <v>287</v>
      </c>
      <c r="D9" s="13" t="s">
        <v>303</v>
      </c>
      <c r="E9">
        <v>16.02</v>
      </c>
      <c r="F9">
        <v>27.5</v>
      </c>
      <c r="G9">
        <v>17.7</v>
      </c>
      <c r="H9">
        <v>8.6</v>
      </c>
      <c r="I9">
        <v>3.8</v>
      </c>
      <c r="J9">
        <v>2.8</v>
      </c>
      <c r="K9">
        <v>9</v>
      </c>
      <c r="L9">
        <v>13</v>
      </c>
      <c r="M9">
        <v>40.700000000000003</v>
      </c>
      <c r="N9">
        <v>9.1</v>
      </c>
    </row>
    <row r="10" spans="1:14" x14ac:dyDescent="0.2">
      <c r="A10" s="19">
        <v>43415</v>
      </c>
      <c r="B10" s="13" t="s">
        <v>244</v>
      </c>
      <c r="C10" t="s">
        <v>288</v>
      </c>
      <c r="D10" s="13" t="s">
        <v>285</v>
      </c>
      <c r="E10">
        <v>20.059999999999999</v>
      </c>
      <c r="F10">
        <v>11.6</v>
      </c>
      <c r="G10">
        <v>35.700000000000003</v>
      </c>
      <c r="H10">
        <v>3.2</v>
      </c>
      <c r="I10">
        <v>23.2</v>
      </c>
      <c r="J10">
        <v>10.6</v>
      </c>
      <c r="K10">
        <v>10</v>
      </c>
      <c r="L10">
        <v>10</v>
      </c>
      <c r="M10">
        <v>34.299999999999997</v>
      </c>
      <c r="N10">
        <v>41.7</v>
      </c>
    </row>
    <row r="11" spans="1:14" x14ac:dyDescent="0.2">
      <c r="A11" s="19">
        <v>43415</v>
      </c>
      <c r="B11" s="13" t="s">
        <v>244</v>
      </c>
      <c r="C11" t="s">
        <v>289</v>
      </c>
      <c r="D11" s="13" t="s">
        <v>297</v>
      </c>
      <c r="E11">
        <v>22.2</v>
      </c>
      <c r="F11">
        <v>7.8</v>
      </c>
      <c r="G11">
        <v>10.7</v>
      </c>
      <c r="H11">
        <v>8.1</v>
      </c>
      <c r="I11">
        <v>10.3</v>
      </c>
      <c r="J11">
        <v>28.1</v>
      </c>
      <c r="K11">
        <v>3</v>
      </c>
      <c r="L11">
        <v>4</v>
      </c>
      <c r="M11">
        <v>24.1</v>
      </c>
      <c r="N11">
        <v>0</v>
      </c>
    </row>
    <row r="12" spans="1:14" x14ac:dyDescent="0.2">
      <c r="A12" s="19">
        <v>43415</v>
      </c>
      <c r="B12" s="13" t="s">
        <v>244</v>
      </c>
      <c r="C12" s="17" t="s">
        <v>291</v>
      </c>
      <c r="D12" s="13" t="s">
        <v>294</v>
      </c>
      <c r="E12">
        <v>21.7</v>
      </c>
      <c r="F12">
        <v>39.700000000000003</v>
      </c>
      <c r="G12">
        <v>13.5</v>
      </c>
      <c r="H12">
        <v>7.7</v>
      </c>
      <c r="I12">
        <v>12.2</v>
      </c>
      <c r="J12">
        <v>4.3</v>
      </c>
      <c r="K12">
        <v>9</v>
      </c>
      <c r="L12">
        <v>5</v>
      </c>
      <c r="M12">
        <v>35.700000000000003</v>
      </c>
      <c r="N12">
        <v>26.7</v>
      </c>
    </row>
    <row r="13" spans="1:14" x14ac:dyDescent="0.2">
      <c r="A13" s="19">
        <v>43415</v>
      </c>
      <c r="B13" s="13" t="s">
        <v>244</v>
      </c>
      <c r="C13" t="s">
        <v>293</v>
      </c>
      <c r="D13" s="13" t="s">
        <v>300</v>
      </c>
      <c r="E13">
        <v>6.52</v>
      </c>
      <c r="F13">
        <v>5.8</v>
      </c>
      <c r="G13">
        <v>14.2</v>
      </c>
      <c r="H13">
        <v>9.3000000000000007</v>
      </c>
      <c r="I13">
        <v>15.2</v>
      </c>
      <c r="J13">
        <v>2.2999999999999998</v>
      </c>
      <c r="K13">
        <v>14</v>
      </c>
      <c r="L13">
        <v>5</v>
      </c>
      <c r="M13">
        <v>41.9</v>
      </c>
      <c r="N13">
        <v>33.299999999999997</v>
      </c>
    </row>
    <row r="14" spans="1:14" x14ac:dyDescent="0.2">
      <c r="A14" s="19">
        <v>43415</v>
      </c>
      <c r="B14" s="13" t="s">
        <v>244</v>
      </c>
      <c r="C14" t="s">
        <v>294</v>
      </c>
      <c r="D14" s="13" t="s">
        <v>291</v>
      </c>
      <c r="E14">
        <v>25.1</v>
      </c>
      <c r="F14">
        <v>4.7</v>
      </c>
      <c r="G14">
        <v>8.8000000000000007</v>
      </c>
      <c r="H14">
        <v>13.3</v>
      </c>
      <c r="I14">
        <v>16.3</v>
      </c>
      <c r="J14">
        <v>43.5</v>
      </c>
      <c r="K14">
        <v>10</v>
      </c>
      <c r="L14">
        <v>4</v>
      </c>
      <c r="M14">
        <v>25.5</v>
      </c>
      <c r="N14">
        <v>16.7</v>
      </c>
    </row>
    <row r="15" spans="1:14" x14ac:dyDescent="0.2">
      <c r="A15" s="19">
        <v>43415</v>
      </c>
      <c r="B15" s="13" t="s">
        <v>244</v>
      </c>
      <c r="C15" t="s">
        <v>295</v>
      </c>
      <c r="D15" s="13" t="s">
        <v>281</v>
      </c>
      <c r="E15">
        <v>24.5</v>
      </c>
      <c r="F15">
        <v>9.3000000000000007</v>
      </c>
      <c r="G15">
        <v>26.7</v>
      </c>
      <c r="H15">
        <v>7</v>
      </c>
      <c r="I15">
        <v>11.7</v>
      </c>
      <c r="J15">
        <v>21.6</v>
      </c>
      <c r="K15">
        <v>5</v>
      </c>
      <c r="L15">
        <v>1</v>
      </c>
      <c r="M15">
        <v>19.600000000000001</v>
      </c>
      <c r="N15">
        <v>18.2</v>
      </c>
    </row>
    <row r="16" spans="1:14" x14ac:dyDescent="0.2">
      <c r="A16" s="19">
        <v>43415</v>
      </c>
      <c r="B16" s="13" t="s">
        <v>244</v>
      </c>
      <c r="C16" t="s">
        <v>296</v>
      </c>
      <c r="D16" s="13" t="s">
        <v>256</v>
      </c>
      <c r="E16">
        <v>19.52</v>
      </c>
      <c r="F16">
        <v>14</v>
      </c>
      <c r="G16">
        <v>23.3</v>
      </c>
      <c r="H16">
        <v>11.6</v>
      </c>
      <c r="I16">
        <v>16.899999999999999</v>
      </c>
      <c r="J16">
        <v>8.6</v>
      </c>
      <c r="K16">
        <v>9</v>
      </c>
      <c r="L16">
        <v>4</v>
      </c>
      <c r="M16">
        <v>21.9</v>
      </c>
      <c r="N16">
        <v>14.3</v>
      </c>
    </row>
    <row r="17" spans="1:14" x14ac:dyDescent="0.2">
      <c r="A17" s="19">
        <v>43415</v>
      </c>
      <c r="B17" s="13" t="s">
        <v>244</v>
      </c>
      <c r="C17" s="17" t="s">
        <v>297</v>
      </c>
      <c r="D17" s="13" t="s">
        <v>289</v>
      </c>
      <c r="E17">
        <v>24.6</v>
      </c>
      <c r="F17">
        <v>27.9</v>
      </c>
      <c r="G17">
        <v>18.8</v>
      </c>
      <c r="H17">
        <v>9.3000000000000007</v>
      </c>
      <c r="I17">
        <v>25.1</v>
      </c>
      <c r="J17">
        <v>9.6</v>
      </c>
      <c r="K17">
        <v>10</v>
      </c>
      <c r="L17">
        <v>1</v>
      </c>
      <c r="M17">
        <v>25</v>
      </c>
      <c r="N17">
        <v>0</v>
      </c>
    </row>
    <row r="18" spans="1:14" x14ac:dyDescent="0.2">
      <c r="A18" s="19">
        <v>43415</v>
      </c>
      <c r="B18" s="13" t="s">
        <v>244</v>
      </c>
      <c r="C18" t="s">
        <v>298</v>
      </c>
      <c r="D18" s="13" t="s">
        <v>276</v>
      </c>
      <c r="E18">
        <v>3.8</v>
      </c>
      <c r="F18">
        <v>11.7</v>
      </c>
      <c r="G18">
        <v>5.8</v>
      </c>
      <c r="H18">
        <v>3.6</v>
      </c>
      <c r="I18">
        <v>5.0999999999999996</v>
      </c>
      <c r="J18">
        <v>6.4</v>
      </c>
      <c r="K18">
        <v>6</v>
      </c>
      <c r="L18">
        <v>-3</v>
      </c>
      <c r="M18">
        <v>31.6</v>
      </c>
      <c r="N18">
        <v>25</v>
      </c>
    </row>
    <row r="19" spans="1:14" x14ac:dyDescent="0.2">
      <c r="A19" s="19">
        <v>43415</v>
      </c>
      <c r="B19" t="s">
        <v>244</v>
      </c>
      <c r="C19" t="s">
        <v>299</v>
      </c>
      <c r="D19" t="s">
        <v>265</v>
      </c>
      <c r="E19">
        <v>17.86</v>
      </c>
      <c r="F19">
        <v>25.9</v>
      </c>
      <c r="G19">
        <v>19.8</v>
      </c>
      <c r="H19">
        <v>8.5</v>
      </c>
      <c r="I19">
        <v>1.6</v>
      </c>
      <c r="J19">
        <v>2.6</v>
      </c>
      <c r="K19">
        <v>6</v>
      </c>
      <c r="L19">
        <v>0</v>
      </c>
      <c r="M19">
        <v>36</v>
      </c>
      <c r="N19">
        <v>33.299999999999997</v>
      </c>
    </row>
    <row r="20" spans="1:14" x14ac:dyDescent="0.2">
      <c r="A20" s="19">
        <v>43415</v>
      </c>
      <c r="B20" s="13" t="s">
        <v>244</v>
      </c>
      <c r="C20" t="s">
        <v>300</v>
      </c>
      <c r="D20" s="13" t="s">
        <v>293</v>
      </c>
      <c r="E20">
        <v>18.059999999999999</v>
      </c>
      <c r="F20">
        <v>35.200000000000003</v>
      </c>
      <c r="G20">
        <v>21.7</v>
      </c>
      <c r="H20">
        <v>10.4</v>
      </c>
      <c r="I20">
        <v>9.1999999999999993</v>
      </c>
      <c r="J20">
        <v>2.4</v>
      </c>
      <c r="K20">
        <v>7</v>
      </c>
      <c r="L20">
        <v>14</v>
      </c>
      <c r="M20">
        <v>27.3</v>
      </c>
      <c r="N20">
        <v>22.2</v>
      </c>
    </row>
    <row r="21" spans="1:14" x14ac:dyDescent="0.2">
      <c r="A21" s="19">
        <v>43415</v>
      </c>
      <c r="B21" s="13" t="s">
        <v>244</v>
      </c>
      <c r="C21" t="s">
        <v>301</v>
      </c>
      <c r="D21" s="13" t="s">
        <v>309</v>
      </c>
      <c r="E21">
        <v>15.72</v>
      </c>
      <c r="F21">
        <v>36.799999999999997</v>
      </c>
      <c r="G21">
        <v>6.2</v>
      </c>
      <c r="H21">
        <v>6.5</v>
      </c>
      <c r="I21">
        <v>16.2</v>
      </c>
      <c r="J21">
        <v>8</v>
      </c>
      <c r="K21">
        <v>3</v>
      </c>
      <c r="L21">
        <v>-3</v>
      </c>
      <c r="M21">
        <v>45.7</v>
      </c>
      <c r="N21">
        <v>31.3</v>
      </c>
    </row>
    <row r="22" spans="1:14" x14ac:dyDescent="0.2">
      <c r="A22" s="19">
        <v>43415</v>
      </c>
      <c r="B22" s="13" t="s">
        <v>244</v>
      </c>
      <c r="C22" t="s">
        <v>302</v>
      </c>
      <c r="D22" s="13" t="s">
        <v>310</v>
      </c>
      <c r="E22">
        <v>11.76</v>
      </c>
      <c r="F22">
        <v>7.6</v>
      </c>
      <c r="G22">
        <v>22.64</v>
      </c>
      <c r="H22">
        <v>12.1</v>
      </c>
      <c r="I22">
        <v>19.899999999999999</v>
      </c>
      <c r="J22">
        <v>2.7</v>
      </c>
      <c r="K22">
        <v>6</v>
      </c>
      <c r="L22">
        <v>1</v>
      </c>
      <c r="M22">
        <v>25</v>
      </c>
      <c r="N22">
        <v>27.3</v>
      </c>
    </row>
    <row r="23" spans="1:14" x14ac:dyDescent="0.2">
      <c r="A23" s="19">
        <v>43415</v>
      </c>
      <c r="B23" s="13" t="s">
        <v>244</v>
      </c>
      <c r="C23" s="17" t="s">
        <v>303</v>
      </c>
      <c r="D23" s="13" t="s">
        <v>287</v>
      </c>
      <c r="E23">
        <v>8.92</v>
      </c>
      <c r="F23">
        <v>12.2</v>
      </c>
      <c r="G23">
        <v>8.6999999999999993</v>
      </c>
      <c r="H23">
        <v>6.9</v>
      </c>
      <c r="I23">
        <v>3.9</v>
      </c>
      <c r="J23">
        <v>9.1999999999999993</v>
      </c>
      <c r="K23">
        <v>7</v>
      </c>
      <c r="L23">
        <v>4</v>
      </c>
      <c r="M23">
        <v>33.299999999999997</v>
      </c>
      <c r="N23">
        <v>28.6</v>
      </c>
    </row>
    <row r="24" spans="1:14" x14ac:dyDescent="0.2">
      <c r="A24" s="19">
        <v>43415</v>
      </c>
      <c r="B24" s="13" t="s">
        <v>244</v>
      </c>
      <c r="C24" t="s">
        <v>304</v>
      </c>
      <c r="D24" s="13" t="s">
        <v>308</v>
      </c>
      <c r="E24">
        <v>24.02</v>
      </c>
      <c r="F24">
        <v>28</v>
      </c>
      <c r="G24">
        <v>29.9</v>
      </c>
      <c r="H24">
        <v>14.6</v>
      </c>
      <c r="I24">
        <v>19.2</v>
      </c>
      <c r="J24">
        <v>11.5</v>
      </c>
      <c r="K24">
        <v>12</v>
      </c>
      <c r="L24">
        <v>5</v>
      </c>
      <c r="M24">
        <v>23.8</v>
      </c>
      <c r="N24">
        <v>20</v>
      </c>
    </row>
    <row r="25" spans="1:14" x14ac:dyDescent="0.2">
      <c r="A25" s="19">
        <v>43415</v>
      </c>
      <c r="B25" s="13" t="s">
        <v>244</v>
      </c>
      <c r="C25" t="s">
        <v>306</v>
      </c>
      <c r="D25" s="13" t="s">
        <v>284</v>
      </c>
      <c r="E25">
        <v>12.72</v>
      </c>
      <c r="F25">
        <v>8.9</v>
      </c>
      <c r="G25">
        <v>14.6</v>
      </c>
      <c r="H25">
        <v>10.6</v>
      </c>
      <c r="I25">
        <v>10.1</v>
      </c>
      <c r="J25">
        <v>9.1</v>
      </c>
      <c r="K25">
        <v>12</v>
      </c>
      <c r="L25">
        <v>17</v>
      </c>
      <c r="M25">
        <v>25.8</v>
      </c>
      <c r="N25">
        <v>25</v>
      </c>
    </row>
    <row r="26" spans="1:14" x14ac:dyDescent="0.2">
      <c r="A26" s="19">
        <v>43415</v>
      </c>
      <c r="B26" s="13" t="s">
        <v>244</v>
      </c>
      <c r="C26" t="s">
        <v>307</v>
      </c>
      <c r="D26" s="13" t="s">
        <v>272</v>
      </c>
      <c r="E26">
        <v>28.9</v>
      </c>
      <c r="F26">
        <v>28.2</v>
      </c>
      <c r="G26">
        <v>27</v>
      </c>
      <c r="H26">
        <v>0</v>
      </c>
      <c r="I26">
        <v>21.5</v>
      </c>
      <c r="J26">
        <v>4.5</v>
      </c>
      <c r="K26">
        <v>17</v>
      </c>
      <c r="L26">
        <v>9</v>
      </c>
      <c r="M26">
        <v>20</v>
      </c>
      <c r="N26">
        <v>0</v>
      </c>
    </row>
    <row r="27" spans="1:14" x14ac:dyDescent="0.2">
      <c r="A27" s="19">
        <v>43415</v>
      </c>
      <c r="B27" s="13" t="s">
        <v>244</v>
      </c>
      <c r="C27" t="s">
        <v>308</v>
      </c>
      <c r="D27" s="13" t="s">
        <v>304</v>
      </c>
      <c r="E27">
        <v>27.24</v>
      </c>
      <c r="F27">
        <v>19.8</v>
      </c>
      <c r="G27">
        <v>8.9</v>
      </c>
      <c r="H27">
        <v>19.5</v>
      </c>
      <c r="I27">
        <v>6.9</v>
      </c>
      <c r="J27">
        <v>7.8</v>
      </c>
      <c r="K27">
        <v>7</v>
      </c>
      <c r="L27">
        <v>-2</v>
      </c>
      <c r="M27">
        <v>48.6</v>
      </c>
      <c r="N27">
        <v>22.2</v>
      </c>
    </row>
    <row r="28" spans="1:14" x14ac:dyDescent="0.2">
      <c r="A28" s="19">
        <v>43415</v>
      </c>
      <c r="B28" s="13" t="s">
        <v>244</v>
      </c>
      <c r="C28" t="s">
        <v>309</v>
      </c>
      <c r="D28" s="13" t="s">
        <v>301</v>
      </c>
      <c r="E28">
        <v>38.82</v>
      </c>
      <c r="F28">
        <v>14.3</v>
      </c>
      <c r="G28">
        <v>21.6</v>
      </c>
      <c r="H28">
        <v>19.3</v>
      </c>
      <c r="I28">
        <v>23.1</v>
      </c>
      <c r="J28">
        <v>14.4</v>
      </c>
      <c r="K28">
        <v>12</v>
      </c>
      <c r="L28">
        <v>15</v>
      </c>
      <c r="M28">
        <v>21.4</v>
      </c>
      <c r="N28">
        <v>16.7</v>
      </c>
    </row>
    <row r="29" spans="1:14" x14ac:dyDescent="0.2">
      <c r="A29" s="19">
        <v>43415</v>
      </c>
      <c r="B29" s="13" t="s">
        <v>244</v>
      </c>
      <c r="C29" t="s">
        <v>310</v>
      </c>
      <c r="D29" s="13" t="s">
        <v>302</v>
      </c>
      <c r="E29">
        <v>22.32</v>
      </c>
      <c r="F29">
        <v>17.8</v>
      </c>
      <c r="G29">
        <v>28.5</v>
      </c>
      <c r="H29">
        <v>0</v>
      </c>
      <c r="I29">
        <v>18.399999999999999</v>
      </c>
      <c r="J29">
        <v>13.5</v>
      </c>
      <c r="K29">
        <v>10</v>
      </c>
      <c r="L29">
        <v>7</v>
      </c>
      <c r="M29">
        <v>29.6</v>
      </c>
      <c r="N29">
        <v>25</v>
      </c>
    </row>
    <row r="30" spans="1:14" x14ac:dyDescent="0.2">
      <c r="A30" s="19">
        <v>43422</v>
      </c>
      <c r="B30" s="13" t="s">
        <v>259</v>
      </c>
      <c r="C30" t="s">
        <v>265</v>
      </c>
      <c r="D30" s="13" t="s">
        <v>312</v>
      </c>
      <c r="E30">
        <v>16.899999999999999</v>
      </c>
      <c r="F30">
        <v>7</v>
      </c>
      <c r="G30">
        <v>6.9</v>
      </c>
      <c r="H30">
        <v>13.9</v>
      </c>
      <c r="I30">
        <v>15.7</v>
      </c>
      <c r="J30">
        <v>2</v>
      </c>
      <c r="K30">
        <v>11</v>
      </c>
      <c r="L30">
        <v>15</v>
      </c>
      <c r="M30">
        <v>32.4</v>
      </c>
      <c r="N30">
        <v>8.3000000000000007</v>
      </c>
    </row>
    <row r="31" spans="1:14" x14ac:dyDescent="0.2">
      <c r="A31" s="19">
        <v>43422</v>
      </c>
      <c r="B31" s="13" t="s">
        <v>259</v>
      </c>
      <c r="C31" t="s">
        <v>272</v>
      </c>
      <c r="D31" s="13" t="s">
        <v>305</v>
      </c>
      <c r="E31">
        <v>19.34</v>
      </c>
      <c r="F31">
        <v>14.2</v>
      </c>
      <c r="G31">
        <v>10.7</v>
      </c>
      <c r="H31">
        <v>11.1</v>
      </c>
      <c r="I31">
        <v>12.4</v>
      </c>
      <c r="J31">
        <v>7.1</v>
      </c>
      <c r="K31">
        <v>3</v>
      </c>
      <c r="L31">
        <v>5</v>
      </c>
      <c r="M31">
        <v>33.299999999999997</v>
      </c>
      <c r="N31">
        <v>7.7</v>
      </c>
    </row>
    <row r="32" spans="1:14" x14ac:dyDescent="0.2">
      <c r="A32" s="19">
        <v>43422</v>
      </c>
      <c r="B32" s="13" t="s">
        <v>259</v>
      </c>
      <c r="C32" t="s">
        <v>278</v>
      </c>
      <c r="D32" s="13" t="s">
        <v>287</v>
      </c>
      <c r="E32">
        <v>8.1999999999999993</v>
      </c>
      <c r="F32">
        <v>26.6</v>
      </c>
      <c r="G32">
        <v>10.199999999999999</v>
      </c>
      <c r="H32">
        <v>10.8</v>
      </c>
      <c r="I32">
        <v>10.199999999999999</v>
      </c>
      <c r="J32">
        <v>6</v>
      </c>
      <c r="K32">
        <v>5</v>
      </c>
      <c r="L32">
        <v>7</v>
      </c>
      <c r="M32">
        <v>28.1</v>
      </c>
      <c r="N32">
        <v>0</v>
      </c>
    </row>
    <row r="33" spans="1:14" x14ac:dyDescent="0.2">
      <c r="A33" s="19">
        <v>43422</v>
      </c>
      <c r="B33" s="13" t="s">
        <v>259</v>
      </c>
      <c r="C33" t="s">
        <v>284</v>
      </c>
      <c r="D33" s="13" t="s">
        <v>296</v>
      </c>
      <c r="E33">
        <v>27.64</v>
      </c>
      <c r="F33">
        <v>22</v>
      </c>
      <c r="G33">
        <v>33</v>
      </c>
      <c r="H33">
        <v>11</v>
      </c>
      <c r="I33">
        <v>16.3</v>
      </c>
      <c r="J33">
        <v>12.8</v>
      </c>
      <c r="K33">
        <v>5</v>
      </c>
      <c r="L33">
        <v>3</v>
      </c>
      <c r="M33">
        <v>40</v>
      </c>
      <c r="N33">
        <v>5.9</v>
      </c>
    </row>
    <row r="34" spans="1:14" x14ac:dyDescent="0.2">
      <c r="A34" s="19">
        <v>43422</v>
      </c>
      <c r="B34" s="13" t="s">
        <v>259</v>
      </c>
      <c r="C34" t="s">
        <v>285</v>
      </c>
      <c r="D34" s="13" t="s">
        <v>303</v>
      </c>
      <c r="E34">
        <v>15.44</v>
      </c>
      <c r="F34">
        <v>19.399999999999999</v>
      </c>
      <c r="G34">
        <v>16.3</v>
      </c>
      <c r="H34">
        <v>16.7</v>
      </c>
      <c r="I34">
        <v>21.7</v>
      </c>
      <c r="J34">
        <v>1.8</v>
      </c>
      <c r="K34">
        <v>3</v>
      </c>
      <c r="L34">
        <v>4</v>
      </c>
      <c r="M34">
        <v>28.6</v>
      </c>
      <c r="N34">
        <v>16.7</v>
      </c>
    </row>
    <row r="35" spans="1:14" x14ac:dyDescent="0.2">
      <c r="A35" s="19">
        <v>43422</v>
      </c>
      <c r="B35" s="13" t="s">
        <v>259</v>
      </c>
      <c r="C35" s="17" t="s">
        <v>287</v>
      </c>
      <c r="D35" s="13" t="s">
        <v>278</v>
      </c>
      <c r="E35">
        <v>24.64</v>
      </c>
      <c r="F35">
        <v>21.6</v>
      </c>
      <c r="G35">
        <v>24</v>
      </c>
      <c r="H35">
        <v>7.6</v>
      </c>
      <c r="I35">
        <v>15.7</v>
      </c>
      <c r="J35">
        <v>19</v>
      </c>
      <c r="K35">
        <v>12</v>
      </c>
      <c r="L35">
        <v>0</v>
      </c>
      <c r="M35">
        <v>32.6</v>
      </c>
      <c r="N35">
        <v>20</v>
      </c>
    </row>
    <row r="36" spans="1:14" x14ac:dyDescent="0.2">
      <c r="A36" s="19">
        <v>43422</v>
      </c>
      <c r="B36" s="13" t="s">
        <v>259</v>
      </c>
      <c r="C36" t="s">
        <v>288</v>
      </c>
      <c r="D36" s="13" t="s">
        <v>304</v>
      </c>
      <c r="E36">
        <v>43.92</v>
      </c>
      <c r="F36">
        <v>20.100000000000001</v>
      </c>
      <c r="G36">
        <v>46.5</v>
      </c>
      <c r="H36">
        <v>26.4</v>
      </c>
      <c r="I36">
        <v>59.6</v>
      </c>
      <c r="J36">
        <v>31.7</v>
      </c>
      <c r="K36">
        <v>9</v>
      </c>
      <c r="L36">
        <v>11</v>
      </c>
      <c r="M36">
        <v>37</v>
      </c>
      <c r="N36">
        <v>15</v>
      </c>
    </row>
    <row r="37" spans="1:14" x14ac:dyDescent="0.2">
      <c r="A37" s="19">
        <v>43422</v>
      </c>
      <c r="B37" s="13" t="s">
        <v>259</v>
      </c>
      <c r="C37" t="s">
        <v>289</v>
      </c>
      <c r="D37" s="13" t="s">
        <v>310</v>
      </c>
      <c r="E37">
        <v>23.88</v>
      </c>
      <c r="F37">
        <v>13.9</v>
      </c>
      <c r="G37">
        <v>39.5</v>
      </c>
      <c r="H37">
        <v>13.4</v>
      </c>
      <c r="I37">
        <v>14</v>
      </c>
      <c r="J37">
        <v>8.3000000000000007</v>
      </c>
      <c r="K37">
        <v>8</v>
      </c>
      <c r="L37">
        <v>13</v>
      </c>
      <c r="M37">
        <v>10.3</v>
      </c>
      <c r="N37">
        <v>0</v>
      </c>
    </row>
    <row r="38" spans="1:14" x14ac:dyDescent="0.2">
      <c r="A38" s="19">
        <v>43422</v>
      </c>
      <c r="B38" s="13" t="s">
        <v>259</v>
      </c>
      <c r="C38" s="17" t="s">
        <v>291</v>
      </c>
      <c r="D38" s="13" t="s">
        <v>295</v>
      </c>
      <c r="E38">
        <v>14.82</v>
      </c>
      <c r="F38">
        <v>36.1</v>
      </c>
      <c r="G38">
        <v>6.6</v>
      </c>
      <c r="H38">
        <v>10.1</v>
      </c>
      <c r="I38">
        <v>8.4</v>
      </c>
      <c r="J38">
        <v>6.4</v>
      </c>
      <c r="K38">
        <v>1</v>
      </c>
      <c r="L38">
        <v>6</v>
      </c>
      <c r="M38">
        <v>23.5</v>
      </c>
      <c r="N38">
        <v>25</v>
      </c>
    </row>
    <row r="39" spans="1:14" x14ac:dyDescent="0.2">
      <c r="A39" s="19">
        <v>43422</v>
      </c>
      <c r="B39" s="13" t="s">
        <v>259</v>
      </c>
      <c r="C39" t="s">
        <v>294</v>
      </c>
      <c r="D39" s="13" t="s">
        <v>307</v>
      </c>
      <c r="E39">
        <v>3.84</v>
      </c>
      <c r="F39">
        <v>16.2</v>
      </c>
      <c r="G39">
        <v>7.3</v>
      </c>
      <c r="H39">
        <v>9</v>
      </c>
      <c r="I39">
        <v>7.4</v>
      </c>
      <c r="J39">
        <v>3.5</v>
      </c>
      <c r="K39">
        <v>1</v>
      </c>
      <c r="L39">
        <v>-4</v>
      </c>
      <c r="M39">
        <v>33.299999999999997</v>
      </c>
      <c r="N39">
        <v>25</v>
      </c>
    </row>
    <row r="40" spans="1:14" x14ac:dyDescent="0.2">
      <c r="A40" s="19">
        <v>43422</v>
      </c>
      <c r="B40" s="13" t="s">
        <v>259</v>
      </c>
      <c r="C40" t="s">
        <v>295</v>
      </c>
      <c r="D40" s="13" t="s">
        <v>291</v>
      </c>
      <c r="E40">
        <v>14.74</v>
      </c>
      <c r="F40">
        <v>11.5</v>
      </c>
      <c r="G40">
        <v>26.8</v>
      </c>
      <c r="H40">
        <v>6.7</v>
      </c>
      <c r="I40">
        <v>15</v>
      </c>
      <c r="J40">
        <v>6.7</v>
      </c>
      <c r="K40">
        <v>17</v>
      </c>
      <c r="L40">
        <v>2</v>
      </c>
      <c r="M40">
        <v>37.799999999999997</v>
      </c>
      <c r="N40">
        <v>21.4</v>
      </c>
    </row>
    <row r="41" spans="1:14" x14ac:dyDescent="0.2">
      <c r="A41" s="19">
        <v>43422</v>
      </c>
      <c r="B41" s="13" t="s">
        <v>259</v>
      </c>
      <c r="C41" t="s">
        <v>296</v>
      </c>
      <c r="D41" s="13" t="s">
        <v>284</v>
      </c>
      <c r="E41">
        <v>17.14</v>
      </c>
      <c r="F41">
        <v>38.200000000000003</v>
      </c>
      <c r="G41">
        <v>18.5</v>
      </c>
      <c r="H41">
        <v>4.2</v>
      </c>
      <c r="I41">
        <v>12.8</v>
      </c>
      <c r="J41">
        <v>8.6</v>
      </c>
      <c r="K41">
        <v>10</v>
      </c>
      <c r="L41">
        <v>11</v>
      </c>
      <c r="M41">
        <v>36.4</v>
      </c>
      <c r="N41">
        <v>50</v>
      </c>
    </row>
    <row r="42" spans="1:14" x14ac:dyDescent="0.2">
      <c r="A42" s="19">
        <v>43422</v>
      </c>
      <c r="B42" s="13" t="s">
        <v>259</v>
      </c>
      <c r="C42" s="17" t="s">
        <v>297</v>
      </c>
      <c r="D42" s="13" t="s">
        <v>309</v>
      </c>
      <c r="E42">
        <v>4.8600000000000003</v>
      </c>
      <c r="F42">
        <v>22.1</v>
      </c>
      <c r="G42">
        <v>2.1</v>
      </c>
      <c r="H42">
        <v>3.9</v>
      </c>
      <c r="I42">
        <v>6</v>
      </c>
      <c r="J42">
        <v>1.4</v>
      </c>
      <c r="K42">
        <v>12</v>
      </c>
      <c r="L42">
        <v>9</v>
      </c>
      <c r="M42">
        <v>57.7</v>
      </c>
      <c r="N42">
        <v>40</v>
      </c>
    </row>
    <row r="43" spans="1:14" x14ac:dyDescent="0.2">
      <c r="A43" s="19">
        <v>43422</v>
      </c>
      <c r="B43" t="s">
        <v>259</v>
      </c>
      <c r="C43" t="s">
        <v>299</v>
      </c>
      <c r="D43" t="s">
        <v>301</v>
      </c>
      <c r="E43">
        <v>13.4</v>
      </c>
      <c r="F43">
        <v>17.7</v>
      </c>
      <c r="G43">
        <v>28.3</v>
      </c>
      <c r="H43">
        <v>11.2</v>
      </c>
      <c r="I43">
        <v>9.3000000000000007</v>
      </c>
      <c r="J43">
        <v>2.2999999999999998</v>
      </c>
      <c r="K43">
        <v>10</v>
      </c>
      <c r="L43">
        <v>6</v>
      </c>
      <c r="M43">
        <v>28.2</v>
      </c>
      <c r="N43">
        <v>9.1</v>
      </c>
    </row>
    <row r="44" spans="1:14" x14ac:dyDescent="0.2">
      <c r="A44" s="19">
        <v>43422</v>
      </c>
      <c r="B44" s="13" t="s">
        <v>259</v>
      </c>
      <c r="C44" t="s">
        <v>300</v>
      </c>
      <c r="D44" s="13" t="s">
        <v>308</v>
      </c>
      <c r="E44">
        <v>24.58</v>
      </c>
      <c r="F44">
        <v>27.3</v>
      </c>
      <c r="G44">
        <v>29.6</v>
      </c>
      <c r="H44">
        <v>1.8</v>
      </c>
      <c r="I44">
        <v>4.8</v>
      </c>
      <c r="J44">
        <v>2.2999999999999998</v>
      </c>
      <c r="K44">
        <v>6</v>
      </c>
      <c r="L44">
        <v>5</v>
      </c>
      <c r="M44">
        <v>36.1</v>
      </c>
      <c r="N44">
        <v>38.5</v>
      </c>
    </row>
    <row r="45" spans="1:14" x14ac:dyDescent="0.2">
      <c r="A45" s="19">
        <v>43422</v>
      </c>
      <c r="B45" s="13" t="s">
        <v>259</v>
      </c>
      <c r="C45" t="s">
        <v>301</v>
      </c>
      <c r="D45" s="13" t="s">
        <v>299</v>
      </c>
      <c r="E45">
        <v>28.48</v>
      </c>
      <c r="F45">
        <v>17</v>
      </c>
      <c r="G45">
        <v>5.9</v>
      </c>
      <c r="H45">
        <v>31.7</v>
      </c>
      <c r="I45">
        <v>8.1</v>
      </c>
      <c r="J45">
        <v>8.9</v>
      </c>
      <c r="K45">
        <v>1</v>
      </c>
      <c r="L45">
        <v>2</v>
      </c>
      <c r="M45">
        <v>24.4</v>
      </c>
      <c r="N45">
        <v>30</v>
      </c>
    </row>
    <row r="46" spans="1:14" x14ac:dyDescent="0.2">
      <c r="A46" s="19">
        <v>43422</v>
      </c>
      <c r="B46" s="13" t="s">
        <v>259</v>
      </c>
      <c r="C46" s="17" t="s">
        <v>303</v>
      </c>
      <c r="D46" s="13" t="s">
        <v>285</v>
      </c>
      <c r="E46">
        <v>15.68</v>
      </c>
      <c r="F46">
        <v>12.3</v>
      </c>
      <c r="G46">
        <v>10.9</v>
      </c>
      <c r="H46">
        <v>7.8</v>
      </c>
      <c r="I46">
        <v>12.2</v>
      </c>
      <c r="J46">
        <v>12.1</v>
      </c>
      <c r="K46">
        <v>12</v>
      </c>
      <c r="L46">
        <v>5</v>
      </c>
      <c r="M46">
        <v>28.6</v>
      </c>
      <c r="N46">
        <v>40</v>
      </c>
    </row>
    <row r="47" spans="1:14" x14ac:dyDescent="0.2">
      <c r="A47" s="19">
        <v>43422</v>
      </c>
      <c r="B47" s="13" t="s">
        <v>259</v>
      </c>
      <c r="C47" t="s">
        <v>304</v>
      </c>
      <c r="D47" s="13" t="s">
        <v>288</v>
      </c>
      <c r="E47">
        <v>40.119999999999997</v>
      </c>
      <c r="F47">
        <v>12.4</v>
      </c>
      <c r="G47">
        <v>21.7</v>
      </c>
      <c r="H47">
        <v>17.2</v>
      </c>
      <c r="I47">
        <v>17.399999999999999</v>
      </c>
      <c r="J47">
        <v>19.899999999999999</v>
      </c>
      <c r="K47">
        <v>12</v>
      </c>
      <c r="L47">
        <v>21</v>
      </c>
      <c r="M47">
        <v>28.6</v>
      </c>
      <c r="N47">
        <v>31.3</v>
      </c>
    </row>
    <row r="48" spans="1:14" x14ac:dyDescent="0.2">
      <c r="A48" s="19">
        <v>43422</v>
      </c>
      <c r="B48" s="13" t="s">
        <v>259</v>
      </c>
      <c r="C48" t="s">
        <v>305</v>
      </c>
      <c r="D48" s="13" t="s">
        <v>272</v>
      </c>
      <c r="E48">
        <v>19.899999999999999</v>
      </c>
      <c r="F48">
        <v>22.5</v>
      </c>
      <c r="G48">
        <v>1.7</v>
      </c>
      <c r="H48">
        <v>10.1</v>
      </c>
      <c r="I48">
        <v>12.4</v>
      </c>
      <c r="J48">
        <v>7.6</v>
      </c>
      <c r="K48">
        <v>12</v>
      </c>
      <c r="L48">
        <v>1</v>
      </c>
      <c r="M48">
        <v>45.8</v>
      </c>
      <c r="N48">
        <v>18.2</v>
      </c>
    </row>
    <row r="49" spans="1:14" x14ac:dyDescent="0.2">
      <c r="A49" s="19">
        <v>43422</v>
      </c>
      <c r="B49" s="13" t="s">
        <v>259</v>
      </c>
      <c r="C49" t="s">
        <v>306</v>
      </c>
      <c r="D49" s="13" t="s">
        <v>311</v>
      </c>
      <c r="E49">
        <v>16.34</v>
      </c>
      <c r="F49">
        <v>17.100000000000001</v>
      </c>
      <c r="G49">
        <v>6.2</v>
      </c>
      <c r="H49">
        <v>8.9</v>
      </c>
      <c r="I49">
        <v>11.7</v>
      </c>
      <c r="J49">
        <v>20.100000000000001</v>
      </c>
      <c r="K49">
        <v>3</v>
      </c>
      <c r="L49">
        <v>10</v>
      </c>
      <c r="M49">
        <v>30</v>
      </c>
      <c r="N49">
        <v>33.299999999999997</v>
      </c>
    </row>
    <row r="50" spans="1:14" x14ac:dyDescent="0.2">
      <c r="A50" s="19">
        <v>43422</v>
      </c>
      <c r="B50" s="13" t="s">
        <v>259</v>
      </c>
      <c r="C50" t="s">
        <v>307</v>
      </c>
      <c r="D50" s="13" t="s">
        <v>294</v>
      </c>
      <c r="E50">
        <v>33.520000000000003</v>
      </c>
      <c r="F50">
        <v>25.3</v>
      </c>
      <c r="G50">
        <v>19.2</v>
      </c>
      <c r="H50">
        <v>34.700000000000003</v>
      </c>
      <c r="I50">
        <v>15.3</v>
      </c>
      <c r="J50">
        <v>4.5999999999999996</v>
      </c>
      <c r="K50">
        <v>12</v>
      </c>
      <c r="L50">
        <v>13</v>
      </c>
      <c r="M50">
        <v>26.7</v>
      </c>
      <c r="N50">
        <v>0</v>
      </c>
    </row>
    <row r="51" spans="1:14" x14ac:dyDescent="0.2">
      <c r="A51" s="19">
        <v>43422</v>
      </c>
      <c r="B51" s="13" t="s">
        <v>259</v>
      </c>
      <c r="C51" t="s">
        <v>308</v>
      </c>
      <c r="D51" s="13" t="s">
        <v>300</v>
      </c>
      <c r="E51">
        <v>18.600000000000001</v>
      </c>
      <c r="F51">
        <v>13.3</v>
      </c>
      <c r="G51">
        <v>18.2</v>
      </c>
      <c r="H51">
        <v>12.2</v>
      </c>
      <c r="I51">
        <v>15.6</v>
      </c>
      <c r="J51">
        <v>2.7</v>
      </c>
      <c r="K51">
        <v>10</v>
      </c>
      <c r="L51">
        <v>5</v>
      </c>
      <c r="M51">
        <v>28.6</v>
      </c>
      <c r="N51">
        <v>30</v>
      </c>
    </row>
    <row r="52" spans="1:14" x14ac:dyDescent="0.2">
      <c r="A52" s="19">
        <v>43422</v>
      </c>
      <c r="B52" s="13" t="s">
        <v>259</v>
      </c>
      <c r="C52" t="s">
        <v>309</v>
      </c>
      <c r="D52" s="13" t="s">
        <v>297</v>
      </c>
      <c r="E52">
        <v>26.66</v>
      </c>
      <c r="F52">
        <v>10.9</v>
      </c>
      <c r="G52">
        <v>25.7</v>
      </c>
      <c r="H52">
        <v>21.4</v>
      </c>
      <c r="I52">
        <v>13.9</v>
      </c>
      <c r="J52">
        <v>11.7</v>
      </c>
      <c r="K52">
        <v>2</v>
      </c>
      <c r="L52">
        <v>9</v>
      </c>
      <c r="M52">
        <v>26</v>
      </c>
      <c r="N52">
        <v>15.4</v>
      </c>
    </row>
    <row r="53" spans="1:14" x14ac:dyDescent="0.2">
      <c r="A53" s="19">
        <v>43422</v>
      </c>
      <c r="B53" s="13" t="s">
        <v>259</v>
      </c>
      <c r="C53" t="s">
        <v>310</v>
      </c>
      <c r="D53" s="13" t="s">
        <v>289</v>
      </c>
      <c r="E53">
        <v>11.82</v>
      </c>
      <c r="F53">
        <v>4.2</v>
      </c>
      <c r="G53">
        <v>4.9000000000000004</v>
      </c>
      <c r="H53">
        <v>14.7</v>
      </c>
      <c r="I53">
        <v>7.3</v>
      </c>
      <c r="J53">
        <v>10.4</v>
      </c>
      <c r="K53">
        <v>5</v>
      </c>
      <c r="L53">
        <v>-4</v>
      </c>
      <c r="M53">
        <v>42.1</v>
      </c>
      <c r="N53">
        <v>31.3</v>
      </c>
    </row>
    <row r="54" spans="1:14" x14ac:dyDescent="0.2">
      <c r="A54" s="19">
        <v>43422</v>
      </c>
      <c r="B54" s="13" t="s">
        <v>259</v>
      </c>
      <c r="C54" t="s">
        <v>311</v>
      </c>
      <c r="D54" s="13" t="s">
        <v>306</v>
      </c>
      <c r="E54">
        <v>11.02</v>
      </c>
      <c r="F54">
        <v>13.8</v>
      </c>
      <c r="G54">
        <v>15.6</v>
      </c>
      <c r="H54">
        <v>0</v>
      </c>
      <c r="I54">
        <v>19.600000000000001</v>
      </c>
      <c r="J54">
        <v>6.2</v>
      </c>
      <c r="K54">
        <v>13</v>
      </c>
      <c r="L54">
        <v>15</v>
      </c>
      <c r="M54">
        <v>31</v>
      </c>
      <c r="N54">
        <v>33.299999999999997</v>
      </c>
    </row>
    <row r="55" spans="1:14" x14ac:dyDescent="0.2">
      <c r="A55" s="19">
        <v>43422</v>
      </c>
      <c r="B55" s="13" t="s">
        <v>259</v>
      </c>
      <c r="C55" t="s">
        <v>312</v>
      </c>
      <c r="D55" s="13" t="s">
        <v>265</v>
      </c>
      <c r="E55">
        <v>18.98</v>
      </c>
      <c r="F55">
        <v>3</v>
      </c>
      <c r="G55">
        <v>15.6</v>
      </c>
      <c r="H55">
        <v>34.6</v>
      </c>
      <c r="I55">
        <v>8.3000000000000007</v>
      </c>
      <c r="J55">
        <v>3.3</v>
      </c>
      <c r="K55">
        <v>6</v>
      </c>
      <c r="L55">
        <v>8</v>
      </c>
      <c r="M55">
        <v>42.9</v>
      </c>
      <c r="N55">
        <v>9.5</v>
      </c>
    </row>
    <row r="56" spans="1:14" x14ac:dyDescent="0.2">
      <c r="A56" s="19">
        <v>43429</v>
      </c>
      <c r="B56" s="13" t="s">
        <v>242</v>
      </c>
      <c r="C56" t="s">
        <v>256</v>
      </c>
      <c r="D56" s="13" t="s">
        <v>284</v>
      </c>
      <c r="E56">
        <v>10.74</v>
      </c>
      <c r="F56">
        <v>20</v>
      </c>
      <c r="G56">
        <v>17.7</v>
      </c>
      <c r="H56">
        <v>4.7</v>
      </c>
      <c r="I56">
        <v>9.5</v>
      </c>
      <c r="J56">
        <v>11.8</v>
      </c>
      <c r="K56">
        <v>3</v>
      </c>
      <c r="L56">
        <v>1</v>
      </c>
      <c r="M56">
        <v>44.4</v>
      </c>
      <c r="N56">
        <v>25</v>
      </c>
    </row>
    <row r="57" spans="1:14" x14ac:dyDescent="0.2">
      <c r="A57" s="19">
        <v>43429</v>
      </c>
      <c r="B57" s="13" t="s">
        <v>242</v>
      </c>
      <c r="C57" t="s">
        <v>265</v>
      </c>
      <c r="D57" s="13" t="s">
        <v>299</v>
      </c>
      <c r="E57">
        <v>19.399999999999999</v>
      </c>
      <c r="F57">
        <v>18.899999999999999</v>
      </c>
      <c r="G57">
        <v>5.7</v>
      </c>
      <c r="H57">
        <v>11.9</v>
      </c>
      <c r="I57">
        <v>10.5</v>
      </c>
      <c r="J57">
        <v>5.8</v>
      </c>
      <c r="K57">
        <v>6</v>
      </c>
      <c r="L57">
        <v>13</v>
      </c>
      <c r="M57">
        <v>26.2</v>
      </c>
      <c r="N57">
        <v>36.4</v>
      </c>
    </row>
    <row r="58" spans="1:14" x14ac:dyDescent="0.2">
      <c r="A58" s="19">
        <v>43429</v>
      </c>
      <c r="B58" s="13" t="s">
        <v>242</v>
      </c>
      <c r="C58" t="s">
        <v>272</v>
      </c>
      <c r="D58" s="13" t="s">
        <v>281</v>
      </c>
      <c r="E58">
        <v>17.100000000000001</v>
      </c>
      <c r="F58">
        <v>22.5</v>
      </c>
      <c r="G58">
        <v>21.5</v>
      </c>
      <c r="H58">
        <v>12.1</v>
      </c>
      <c r="I58">
        <v>17.100000000000001</v>
      </c>
      <c r="J58">
        <v>9.9</v>
      </c>
      <c r="K58">
        <v>2</v>
      </c>
      <c r="L58">
        <v>-4</v>
      </c>
      <c r="M58">
        <v>28</v>
      </c>
      <c r="N58">
        <v>7.1</v>
      </c>
    </row>
    <row r="59" spans="1:14" x14ac:dyDescent="0.2">
      <c r="A59" s="19">
        <v>43429</v>
      </c>
      <c r="B59" s="13" t="s">
        <v>242</v>
      </c>
      <c r="C59" t="s">
        <v>276</v>
      </c>
      <c r="D59" s="13" t="s">
        <v>297</v>
      </c>
      <c r="E59">
        <v>26.3</v>
      </c>
      <c r="F59">
        <v>6.3</v>
      </c>
      <c r="G59">
        <v>0</v>
      </c>
      <c r="H59">
        <v>17.399999999999999</v>
      </c>
      <c r="I59">
        <v>3.1</v>
      </c>
      <c r="J59">
        <v>3.6</v>
      </c>
      <c r="K59">
        <v>6</v>
      </c>
      <c r="L59">
        <v>7</v>
      </c>
      <c r="M59">
        <v>48.1</v>
      </c>
      <c r="N59">
        <v>0</v>
      </c>
    </row>
    <row r="60" spans="1:14" x14ac:dyDescent="0.2">
      <c r="A60" s="19">
        <v>43429</v>
      </c>
      <c r="B60" s="13" t="s">
        <v>242</v>
      </c>
      <c r="C60" t="s">
        <v>278</v>
      </c>
      <c r="D60" s="13" t="s">
        <v>309</v>
      </c>
      <c r="E60">
        <v>15.58</v>
      </c>
      <c r="F60">
        <v>20</v>
      </c>
      <c r="G60">
        <v>21.6</v>
      </c>
      <c r="H60">
        <v>2.4</v>
      </c>
      <c r="I60">
        <v>10.4</v>
      </c>
      <c r="J60">
        <v>12.4</v>
      </c>
      <c r="K60">
        <v>7</v>
      </c>
      <c r="L60">
        <v>13</v>
      </c>
      <c r="M60">
        <v>40</v>
      </c>
      <c r="N60">
        <v>16.7</v>
      </c>
    </row>
    <row r="61" spans="1:14" x14ac:dyDescent="0.2">
      <c r="A61" s="19">
        <v>43429</v>
      </c>
      <c r="B61" s="13" t="s">
        <v>242</v>
      </c>
      <c r="C61" t="s">
        <v>281</v>
      </c>
      <c r="D61" s="13" t="s">
        <v>272</v>
      </c>
      <c r="E61">
        <v>25.92</v>
      </c>
      <c r="F61">
        <v>27.8</v>
      </c>
      <c r="G61">
        <v>6</v>
      </c>
      <c r="H61">
        <v>16.2</v>
      </c>
      <c r="I61">
        <v>10.6</v>
      </c>
      <c r="J61">
        <v>17.3</v>
      </c>
      <c r="K61">
        <v>5</v>
      </c>
      <c r="L61">
        <v>8</v>
      </c>
      <c r="M61">
        <v>18.5</v>
      </c>
      <c r="N61">
        <v>0</v>
      </c>
    </row>
    <row r="62" spans="1:14" x14ac:dyDescent="0.2">
      <c r="A62" s="19">
        <v>43429</v>
      </c>
      <c r="B62" s="13" t="s">
        <v>242</v>
      </c>
      <c r="C62" t="s">
        <v>284</v>
      </c>
      <c r="D62" s="13" t="s">
        <v>256</v>
      </c>
      <c r="E62">
        <v>25.88</v>
      </c>
      <c r="F62">
        <v>14.3</v>
      </c>
      <c r="G62">
        <v>20.6</v>
      </c>
      <c r="H62">
        <v>13.8</v>
      </c>
      <c r="I62">
        <v>24.6</v>
      </c>
      <c r="J62">
        <v>11.6</v>
      </c>
      <c r="K62">
        <v>10</v>
      </c>
      <c r="L62">
        <v>12</v>
      </c>
      <c r="M62">
        <v>46.5</v>
      </c>
      <c r="N62">
        <v>5</v>
      </c>
    </row>
    <row r="63" spans="1:14" x14ac:dyDescent="0.2">
      <c r="A63" s="19">
        <v>43429</v>
      </c>
      <c r="B63" s="13" t="s">
        <v>242</v>
      </c>
      <c r="C63" t="s">
        <v>285</v>
      </c>
      <c r="D63" s="13" t="s">
        <v>287</v>
      </c>
      <c r="E63">
        <v>7.1</v>
      </c>
      <c r="F63">
        <v>9.9</v>
      </c>
      <c r="G63">
        <v>11</v>
      </c>
      <c r="H63">
        <v>8.1</v>
      </c>
      <c r="I63">
        <v>2.7</v>
      </c>
      <c r="J63">
        <v>1.5</v>
      </c>
      <c r="K63">
        <v>4</v>
      </c>
      <c r="L63">
        <v>2</v>
      </c>
      <c r="M63">
        <v>38.1</v>
      </c>
      <c r="N63">
        <v>25</v>
      </c>
    </row>
    <row r="64" spans="1:14" x14ac:dyDescent="0.2">
      <c r="A64" s="19">
        <v>43429</v>
      </c>
      <c r="B64" s="13" t="s">
        <v>242</v>
      </c>
      <c r="C64" s="17" t="s">
        <v>287</v>
      </c>
      <c r="D64" s="13" t="s">
        <v>285</v>
      </c>
      <c r="E64">
        <v>21.66</v>
      </c>
      <c r="F64">
        <v>26.3</v>
      </c>
      <c r="G64">
        <v>20.2</v>
      </c>
      <c r="H64">
        <v>18.5</v>
      </c>
      <c r="I64">
        <v>26.2</v>
      </c>
      <c r="J64">
        <v>3.4</v>
      </c>
      <c r="K64">
        <v>9</v>
      </c>
      <c r="L64">
        <v>8</v>
      </c>
      <c r="M64">
        <v>29.4</v>
      </c>
      <c r="N64">
        <v>40</v>
      </c>
    </row>
    <row r="65" spans="1:15" x14ac:dyDescent="0.2">
      <c r="A65" s="19">
        <v>43429</v>
      </c>
      <c r="B65" s="13" t="s">
        <v>242</v>
      </c>
      <c r="C65" t="s">
        <v>289</v>
      </c>
      <c r="D65" s="13" t="s">
        <v>293</v>
      </c>
      <c r="E65">
        <v>28.62</v>
      </c>
      <c r="F65">
        <v>11.6</v>
      </c>
      <c r="G65">
        <v>22.5</v>
      </c>
      <c r="H65">
        <v>7</v>
      </c>
      <c r="I65">
        <v>16.399999999999999</v>
      </c>
      <c r="J65">
        <v>2.5</v>
      </c>
      <c r="K65">
        <v>10</v>
      </c>
      <c r="L65">
        <v>3</v>
      </c>
      <c r="M65">
        <v>28.2</v>
      </c>
      <c r="N65">
        <v>9.1</v>
      </c>
    </row>
    <row r="66" spans="1:15" x14ac:dyDescent="0.2">
      <c r="A66" s="19">
        <v>43429</v>
      </c>
      <c r="B66" s="13" t="s">
        <v>242</v>
      </c>
      <c r="C66" s="17" t="s">
        <v>291</v>
      </c>
      <c r="D66" s="13" t="s">
        <v>306</v>
      </c>
      <c r="E66">
        <v>27.36</v>
      </c>
      <c r="F66">
        <v>28.3</v>
      </c>
      <c r="G66">
        <v>41</v>
      </c>
      <c r="H66">
        <v>3.9</v>
      </c>
      <c r="I66">
        <v>18.8</v>
      </c>
      <c r="J66">
        <v>4.5</v>
      </c>
      <c r="K66">
        <v>7</v>
      </c>
      <c r="L66">
        <v>9</v>
      </c>
      <c r="M66">
        <v>29.7</v>
      </c>
      <c r="N66">
        <v>36.4</v>
      </c>
    </row>
    <row r="67" spans="1:15" x14ac:dyDescent="0.2">
      <c r="A67" s="19">
        <v>43429</v>
      </c>
      <c r="B67" s="13" t="s">
        <v>242</v>
      </c>
      <c r="C67" t="s">
        <v>293</v>
      </c>
      <c r="D67" s="13" t="s">
        <v>289</v>
      </c>
      <c r="E67">
        <v>17.559999999999999</v>
      </c>
      <c r="F67">
        <v>26.6</v>
      </c>
      <c r="G67">
        <v>1.6</v>
      </c>
      <c r="H67">
        <v>4</v>
      </c>
      <c r="I67">
        <v>2.2999999999999998</v>
      </c>
      <c r="J67">
        <v>4.7</v>
      </c>
      <c r="K67">
        <v>6</v>
      </c>
      <c r="L67">
        <v>7</v>
      </c>
      <c r="M67">
        <v>42.3</v>
      </c>
      <c r="N67">
        <v>9.1</v>
      </c>
    </row>
    <row r="68" spans="1:15" x14ac:dyDescent="0.2">
      <c r="A68" s="19">
        <v>43429</v>
      </c>
      <c r="B68" s="13" t="s">
        <v>242</v>
      </c>
      <c r="C68" t="s">
        <v>294</v>
      </c>
      <c r="D68" s="13" t="s">
        <v>296</v>
      </c>
      <c r="E68">
        <v>13.24</v>
      </c>
      <c r="F68">
        <v>16.399999999999999</v>
      </c>
      <c r="G68">
        <v>6.5</v>
      </c>
      <c r="H68">
        <v>7</v>
      </c>
      <c r="I68">
        <v>9.1999999999999993</v>
      </c>
      <c r="J68">
        <v>22.1</v>
      </c>
      <c r="K68">
        <v>11</v>
      </c>
      <c r="L68">
        <v>4</v>
      </c>
      <c r="M68">
        <v>25.8</v>
      </c>
      <c r="N68">
        <v>37.5</v>
      </c>
    </row>
    <row r="69" spans="1:15" x14ac:dyDescent="0.2">
      <c r="A69" s="19">
        <v>43429</v>
      </c>
      <c r="B69" s="13" t="s">
        <v>242</v>
      </c>
      <c r="C69" t="s">
        <v>295</v>
      </c>
      <c r="D69" s="13" t="s">
        <v>307</v>
      </c>
      <c r="E69">
        <v>25.68</v>
      </c>
      <c r="F69">
        <v>11.3</v>
      </c>
      <c r="G69">
        <v>27.8</v>
      </c>
      <c r="H69">
        <v>22.3</v>
      </c>
      <c r="I69">
        <v>17.399999999999999</v>
      </c>
      <c r="J69">
        <v>8.1</v>
      </c>
      <c r="K69">
        <v>5</v>
      </c>
      <c r="L69">
        <v>3</v>
      </c>
      <c r="M69">
        <v>38.200000000000003</v>
      </c>
      <c r="N69">
        <v>28.6</v>
      </c>
    </row>
    <row r="70" spans="1:15" x14ac:dyDescent="0.2">
      <c r="A70" s="19">
        <v>43429</v>
      </c>
      <c r="B70" s="13" t="s">
        <v>242</v>
      </c>
      <c r="C70" t="s">
        <v>296</v>
      </c>
      <c r="D70" s="13" t="s">
        <v>294</v>
      </c>
      <c r="E70">
        <v>14.88</v>
      </c>
      <c r="F70">
        <v>36.200000000000003</v>
      </c>
      <c r="G70">
        <v>13.5</v>
      </c>
      <c r="H70">
        <v>7.7</v>
      </c>
      <c r="I70">
        <v>4.5999999999999996</v>
      </c>
      <c r="J70">
        <v>11.7</v>
      </c>
      <c r="K70">
        <v>12</v>
      </c>
      <c r="L70">
        <v>3</v>
      </c>
      <c r="M70">
        <v>30.8</v>
      </c>
      <c r="N70">
        <v>16.7</v>
      </c>
      <c r="O70" s="15"/>
    </row>
    <row r="71" spans="1:15" x14ac:dyDescent="0.2">
      <c r="A71" s="19">
        <v>43429</v>
      </c>
      <c r="B71" s="13" t="s">
        <v>242</v>
      </c>
      <c r="C71" s="17" t="s">
        <v>297</v>
      </c>
      <c r="D71" s="13" t="s">
        <v>276</v>
      </c>
      <c r="E71">
        <v>10.98</v>
      </c>
      <c r="F71">
        <v>25.8</v>
      </c>
      <c r="G71">
        <v>3.9</v>
      </c>
      <c r="H71">
        <v>17.7</v>
      </c>
      <c r="I71">
        <v>13.4</v>
      </c>
      <c r="J71">
        <v>1.5</v>
      </c>
      <c r="K71">
        <v>3</v>
      </c>
      <c r="L71">
        <v>0</v>
      </c>
      <c r="M71">
        <v>38.700000000000003</v>
      </c>
      <c r="N71">
        <v>25</v>
      </c>
    </row>
    <row r="72" spans="1:15" x14ac:dyDescent="0.2">
      <c r="A72" s="19">
        <v>43429</v>
      </c>
      <c r="B72" s="13" t="s">
        <v>242</v>
      </c>
      <c r="C72" t="s">
        <v>298</v>
      </c>
      <c r="D72" s="13" t="s">
        <v>302</v>
      </c>
      <c r="E72">
        <v>16.54</v>
      </c>
      <c r="F72">
        <v>9</v>
      </c>
      <c r="G72">
        <v>11.3</v>
      </c>
      <c r="H72">
        <v>18.600000000000001</v>
      </c>
      <c r="I72">
        <v>21.1</v>
      </c>
      <c r="J72">
        <v>12.7</v>
      </c>
      <c r="K72">
        <v>9</v>
      </c>
      <c r="L72">
        <v>0</v>
      </c>
      <c r="M72">
        <v>54</v>
      </c>
      <c r="N72">
        <v>7.4</v>
      </c>
    </row>
    <row r="73" spans="1:15" x14ac:dyDescent="0.2">
      <c r="A73" s="19">
        <v>43429</v>
      </c>
      <c r="B73" t="s">
        <v>242</v>
      </c>
      <c r="C73" t="s">
        <v>299</v>
      </c>
      <c r="D73" t="s">
        <v>265</v>
      </c>
      <c r="E73">
        <v>7.44</v>
      </c>
      <c r="F73">
        <v>23.3</v>
      </c>
      <c r="G73">
        <v>14</v>
      </c>
      <c r="H73">
        <v>9</v>
      </c>
      <c r="I73">
        <v>10.1</v>
      </c>
      <c r="J73">
        <v>4.5999999999999996</v>
      </c>
      <c r="K73">
        <v>4</v>
      </c>
      <c r="L73">
        <v>7</v>
      </c>
      <c r="M73">
        <v>25</v>
      </c>
      <c r="N73">
        <v>20</v>
      </c>
    </row>
    <row r="74" spans="1:15" x14ac:dyDescent="0.2">
      <c r="A74" s="19">
        <v>43429</v>
      </c>
      <c r="B74" s="13" t="s">
        <v>242</v>
      </c>
      <c r="C74" t="s">
        <v>300</v>
      </c>
      <c r="D74" s="13" t="s">
        <v>312</v>
      </c>
      <c r="E74">
        <v>11.92</v>
      </c>
      <c r="F74">
        <v>18.3</v>
      </c>
      <c r="G74">
        <v>17.899999999999999</v>
      </c>
      <c r="H74">
        <v>1.3</v>
      </c>
      <c r="I74">
        <v>11.4</v>
      </c>
      <c r="J74">
        <v>5.4</v>
      </c>
      <c r="K74">
        <v>5</v>
      </c>
      <c r="L74">
        <v>2</v>
      </c>
      <c r="M74">
        <v>34.4</v>
      </c>
      <c r="N74">
        <v>36.4</v>
      </c>
    </row>
    <row r="75" spans="1:15" x14ac:dyDescent="0.2">
      <c r="A75" s="19">
        <v>43429</v>
      </c>
      <c r="B75" s="13" t="s">
        <v>242</v>
      </c>
      <c r="C75" t="s">
        <v>301</v>
      </c>
      <c r="D75" s="13" t="s">
        <v>308</v>
      </c>
      <c r="E75">
        <v>23.54</v>
      </c>
      <c r="F75">
        <v>52.7</v>
      </c>
      <c r="G75">
        <v>17.8</v>
      </c>
      <c r="H75">
        <v>12.2</v>
      </c>
      <c r="I75">
        <v>15.2</v>
      </c>
      <c r="J75">
        <v>3.1</v>
      </c>
      <c r="K75">
        <v>9</v>
      </c>
      <c r="L75">
        <v>1</v>
      </c>
      <c r="M75">
        <v>19.399999999999999</v>
      </c>
      <c r="N75">
        <v>0</v>
      </c>
    </row>
    <row r="76" spans="1:15" x14ac:dyDescent="0.2">
      <c r="A76" s="19">
        <v>43429</v>
      </c>
      <c r="B76" s="13" t="s">
        <v>242</v>
      </c>
      <c r="C76" t="s">
        <v>302</v>
      </c>
      <c r="D76" s="13" t="s">
        <v>298</v>
      </c>
      <c r="E76">
        <v>19.22</v>
      </c>
      <c r="F76">
        <v>25.5</v>
      </c>
      <c r="G76">
        <v>12</v>
      </c>
      <c r="H76">
        <v>18.399999999999999</v>
      </c>
      <c r="I76">
        <v>23.4</v>
      </c>
      <c r="J76">
        <v>14.6</v>
      </c>
      <c r="K76">
        <v>9</v>
      </c>
      <c r="L76">
        <v>8</v>
      </c>
      <c r="M76">
        <v>29</v>
      </c>
      <c r="N76">
        <v>0</v>
      </c>
    </row>
    <row r="77" spans="1:15" x14ac:dyDescent="0.2">
      <c r="A77" s="19">
        <v>43429</v>
      </c>
      <c r="B77" s="13" t="s">
        <v>242</v>
      </c>
      <c r="C77" s="17" t="s">
        <v>303</v>
      </c>
      <c r="D77" s="13" t="s">
        <v>305</v>
      </c>
      <c r="E77">
        <v>10.76</v>
      </c>
      <c r="F77">
        <v>16.2</v>
      </c>
      <c r="G77">
        <v>0</v>
      </c>
      <c r="H77">
        <v>8.5</v>
      </c>
      <c r="I77">
        <v>9.1999999999999993</v>
      </c>
      <c r="J77">
        <v>11.2</v>
      </c>
      <c r="K77">
        <v>6</v>
      </c>
      <c r="L77">
        <v>4</v>
      </c>
      <c r="M77">
        <v>37.799999999999997</v>
      </c>
      <c r="N77">
        <v>21.4</v>
      </c>
    </row>
    <row r="78" spans="1:15" x14ac:dyDescent="0.2">
      <c r="A78" s="19">
        <v>43429</v>
      </c>
      <c r="B78" s="13" t="s">
        <v>242</v>
      </c>
      <c r="C78" t="s">
        <v>305</v>
      </c>
      <c r="D78" s="13" t="s">
        <v>303</v>
      </c>
      <c r="E78">
        <v>22.22</v>
      </c>
      <c r="F78">
        <v>14.8</v>
      </c>
      <c r="G78">
        <v>11.1</v>
      </c>
      <c r="H78">
        <v>3.5</v>
      </c>
      <c r="I78">
        <v>3.5</v>
      </c>
      <c r="J78">
        <v>8.4</v>
      </c>
      <c r="K78">
        <v>11</v>
      </c>
      <c r="L78">
        <v>18</v>
      </c>
      <c r="M78">
        <v>22.2</v>
      </c>
      <c r="N78">
        <v>16.7</v>
      </c>
    </row>
    <row r="79" spans="1:15" x14ac:dyDescent="0.2">
      <c r="A79" s="19">
        <v>43429</v>
      </c>
      <c r="B79" s="13" t="s">
        <v>242</v>
      </c>
      <c r="C79" t="s">
        <v>306</v>
      </c>
      <c r="D79" s="13" t="s">
        <v>291</v>
      </c>
      <c r="E79">
        <v>18.52</v>
      </c>
      <c r="F79">
        <v>6.4</v>
      </c>
      <c r="G79">
        <v>12.6</v>
      </c>
      <c r="H79">
        <v>13.6</v>
      </c>
      <c r="I79">
        <v>14.8</v>
      </c>
      <c r="J79">
        <v>13.5</v>
      </c>
      <c r="K79">
        <v>5</v>
      </c>
      <c r="L79">
        <v>3</v>
      </c>
      <c r="M79">
        <v>31.1</v>
      </c>
      <c r="N79">
        <v>21.4</v>
      </c>
    </row>
    <row r="80" spans="1:15" x14ac:dyDescent="0.2">
      <c r="A80" s="19">
        <v>43429</v>
      </c>
      <c r="B80" s="13" t="s">
        <v>242</v>
      </c>
      <c r="C80" t="s">
        <v>307</v>
      </c>
      <c r="D80" s="13" t="s">
        <v>295</v>
      </c>
      <c r="E80">
        <v>21.44</v>
      </c>
      <c r="F80">
        <v>10.8</v>
      </c>
      <c r="G80">
        <v>7.8</v>
      </c>
      <c r="H80">
        <v>7.5</v>
      </c>
      <c r="I80">
        <v>21.4</v>
      </c>
      <c r="J80">
        <v>3</v>
      </c>
      <c r="K80">
        <v>7</v>
      </c>
      <c r="L80">
        <v>15</v>
      </c>
      <c r="M80">
        <v>17.399999999999999</v>
      </c>
      <c r="N80">
        <v>25</v>
      </c>
    </row>
    <row r="81" spans="1:14" x14ac:dyDescent="0.2">
      <c r="A81" s="19">
        <v>43429</v>
      </c>
      <c r="B81" s="13" t="s">
        <v>242</v>
      </c>
      <c r="C81" t="s">
        <v>308</v>
      </c>
      <c r="D81" s="13" t="s">
        <v>301</v>
      </c>
      <c r="E81">
        <v>24.96</v>
      </c>
      <c r="F81">
        <v>14.3</v>
      </c>
      <c r="G81">
        <v>8.9</v>
      </c>
      <c r="H81">
        <v>24.5</v>
      </c>
      <c r="I81">
        <v>16.100000000000001</v>
      </c>
      <c r="J81">
        <v>4.2</v>
      </c>
      <c r="K81">
        <v>12</v>
      </c>
      <c r="L81">
        <v>2</v>
      </c>
      <c r="M81">
        <v>39.4</v>
      </c>
      <c r="N81">
        <v>15.4</v>
      </c>
    </row>
    <row r="82" spans="1:14" x14ac:dyDescent="0.2">
      <c r="A82" s="19">
        <v>43429</v>
      </c>
      <c r="B82" s="13" t="s">
        <v>242</v>
      </c>
      <c r="C82" t="s">
        <v>309</v>
      </c>
      <c r="D82" s="13" t="s">
        <v>278</v>
      </c>
      <c r="E82">
        <v>25.28</v>
      </c>
      <c r="F82">
        <v>12.5</v>
      </c>
      <c r="G82">
        <v>15.7</v>
      </c>
      <c r="H82">
        <v>40.9</v>
      </c>
      <c r="I82">
        <v>23.6</v>
      </c>
      <c r="J82">
        <v>7.5</v>
      </c>
      <c r="K82">
        <v>10.1</v>
      </c>
      <c r="L82">
        <v>2</v>
      </c>
      <c r="M82">
        <v>18.3</v>
      </c>
      <c r="N82">
        <v>18.2</v>
      </c>
    </row>
    <row r="83" spans="1:14" x14ac:dyDescent="0.2">
      <c r="A83" s="19">
        <v>43429</v>
      </c>
      <c r="B83" s="13" t="s">
        <v>242</v>
      </c>
      <c r="C83" t="s">
        <v>310</v>
      </c>
      <c r="D83" s="13" t="s">
        <v>311</v>
      </c>
      <c r="E83">
        <v>25.92</v>
      </c>
      <c r="F83">
        <v>11.1</v>
      </c>
      <c r="G83">
        <v>23.5</v>
      </c>
      <c r="H83">
        <v>0</v>
      </c>
      <c r="I83">
        <v>0</v>
      </c>
      <c r="J83">
        <v>14.3</v>
      </c>
      <c r="K83">
        <v>5</v>
      </c>
      <c r="L83">
        <v>3</v>
      </c>
      <c r="M83">
        <v>41.2</v>
      </c>
      <c r="N83">
        <v>42.9</v>
      </c>
    </row>
    <row r="84" spans="1:14" x14ac:dyDescent="0.2">
      <c r="A84" s="19">
        <v>43429</v>
      </c>
      <c r="B84" s="13" t="s">
        <v>242</v>
      </c>
      <c r="C84" s="18" t="s">
        <v>311</v>
      </c>
      <c r="D84" s="13" t="s">
        <v>310</v>
      </c>
      <c r="E84">
        <v>29.4</v>
      </c>
      <c r="F84">
        <v>26.7</v>
      </c>
      <c r="G84">
        <v>12.4</v>
      </c>
      <c r="H84">
        <v>19.8</v>
      </c>
      <c r="I84">
        <v>14.8</v>
      </c>
      <c r="J84">
        <v>6.8</v>
      </c>
      <c r="K84">
        <v>12</v>
      </c>
      <c r="L84">
        <v>9</v>
      </c>
      <c r="M84">
        <v>38.200000000000003</v>
      </c>
      <c r="N84">
        <v>30.8</v>
      </c>
    </row>
    <row r="85" spans="1:14" x14ac:dyDescent="0.2">
      <c r="A85" s="19">
        <v>43429</v>
      </c>
      <c r="B85" s="13" t="s">
        <v>242</v>
      </c>
      <c r="C85" s="18" t="s">
        <v>312</v>
      </c>
      <c r="D85" s="13" t="s">
        <v>300</v>
      </c>
      <c r="E85">
        <v>30.38</v>
      </c>
      <c r="F85">
        <v>16.600000000000001</v>
      </c>
      <c r="G85">
        <v>29.5</v>
      </c>
      <c r="H85">
        <v>22.9</v>
      </c>
      <c r="I85">
        <v>25.9</v>
      </c>
      <c r="J85">
        <v>13.3</v>
      </c>
      <c r="K85">
        <v>6</v>
      </c>
      <c r="L85">
        <v>7</v>
      </c>
      <c r="M85">
        <v>44.2</v>
      </c>
      <c r="N85">
        <v>10.5</v>
      </c>
    </row>
    <row r="86" spans="1:14" x14ac:dyDescent="0.2">
      <c r="A86" s="19">
        <v>43436</v>
      </c>
      <c r="B86" s="13" t="s">
        <v>241</v>
      </c>
      <c r="C86" s="18" t="s">
        <v>256</v>
      </c>
      <c r="D86" s="13" t="s">
        <v>308</v>
      </c>
      <c r="E86">
        <v>26.66</v>
      </c>
      <c r="F86">
        <v>20.399999999999999</v>
      </c>
      <c r="G86">
        <v>32.700000000000003</v>
      </c>
      <c r="H86">
        <v>10</v>
      </c>
      <c r="I86">
        <v>1.8</v>
      </c>
      <c r="J86">
        <v>13</v>
      </c>
      <c r="K86">
        <v>5</v>
      </c>
      <c r="L86">
        <v>-1</v>
      </c>
      <c r="M86">
        <v>34.6</v>
      </c>
      <c r="N86">
        <v>16.7</v>
      </c>
    </row>
    <row r="87" spans="1:14" x14ac:dyDescent="0.2">
      <c r="A87" s="19">
        <v>43436</v>
      </c>
      <c r="B87" s="13" t="s">
        <v>241</v>
      </c>
      <c r="C87" s="18" t="s">
        <v>265</v>
      </c>
      <c r="D87" s="13" t="s">
        <v>296</v>
      </c>
      <c r="E87">
        <v>13.8</v>
      </c>
      <c r="F87">
        <v>37.64</v>
      </c>
      <c r="G87">
        <v>12.9</v>
      </c>
      <c r="H87">
        <v>7.1</v>
      </c>
      <c r="I87">
        <v>11.9</v>
      </c>
      <c r="J87">
        <v>0</v>
      </c>
      <c r="K87">
        <v>9</v>
      </c>
      <c r="L87">
        <v>5</v>
      </c>
      <c r="M87">
        <v>40</v>
      </c>
      <c r="N87">
        <v>27.8</v>
      </c>
    </row>
    <row r="88" spans="1:14" x14ac:dyDescent="0.2">
      <c r="A88" s="19">
        <v>43436</v>
      </c>
      <c r="B88" s="13" t="s">
        <v>241</v>
      </c>
      <c r="C88" s="18" t="s">
        <v>272</v>
      </c>
      <c r="D88" s="13" t="s">
        <v>278</v>
      </c>
      <c r="E88">
        <v>11.74</v>
      </c>
      <c r="F88">
        <v>11.5</v>
      </c>
      <c r="G88">
        <v>10</v>
      </c>
      <c r="H88">
        <v>15.7</v>
      </c>
      <c r="I88">
        <v>15.7</v>
      </c>
      <c r="J88">
        <v>8.3000000000000007</v>
      </c>
      <c r="K88">
        <v>4</v>
      </c>
      <c r="L88">
        <v>4</v>
      </c>
      <c r="M88">
        <v>40.5</v>
      </c>
      <c r="N88">
        <v>23.5</v>
      </c>
    </row>
    <row r="89" spans="1:14" x14ac:dyDescent="0.2">
      <c r="A89" s="19">
        <v>43436</v>
      </c>
      <c r="B89" s="13" t="s">
        <v>241</v>
      </c>
      <c r="C89" s="18" t="s">
        <v>276</v>
      </c>
      <c r="D89" s="13" t="s">
        <v>293</v>
      </c>
      <c r="E89">
        <v>33.74</v>
      </c>
      <c r="F89">
        <v>10.4</v>
      </c>
      <c r="G89">
        <v>24.7</v>
      </c>
      <c r="H89">
        <v>7.6</v>
      </c>
      <c r="I89">
        <v>25.5</v>
      </c>
      <c r="J89">
        <v>1.9</v>
      </c>
      <c r="K89">
        <v>3</v>
      </c>
      <c r="L89">
        <v>5</v>
      </c>
      <c r="M89">
        <v>59.5</v>
      </c>
      <c r="N89">
        <v>8</v>
      </c>
    </row>
    <row r="90" spans="1:14" x14ac:dyDescent="0.2">
      <c r="A90" s="19">
        <v>43436</v>
      </c>
      <c r="B90" s="13" t="s">
        <v>241</v>
      </c>
      <c r="C90" s="18" t="s">
        <v>278</v>
      </c>
      <c r="D90" s="13" t="s">
        <v>272</v>
      </c>
      <c r="E90">
        <v>10.94</v>
      </c>
      <c r="F90">
        <v>31.9</v>
      </c>
      <c r="G90">
        <v>5.9</v>
      </c>
      <c r="H90">
        <v>18.5</v>
      </c>
      <c r="I90">
        <v>4.5</v>
      </c>
      <c r="J90">
        <v>0</v>
      </c>
      <c r="K90">
        <v>6</v>
      </c>
      <c r="L90">
        <v>14</v>
      </c>
      <c r="M90">
        <v>41.7</v>
      </c>
      <c r="N90">
        <v>20</v>
      </c>
    </row>
    <row r="91" spans="1:14" x14ac:dyDescent="0.2">
      <c r="A91" s="19">
        <v>43436</v>
      </c>
      <c r="B91" s="13" t="s">
        <v>241</v>
      </c>
      <c r="C91" s="18" t="s">
        <v>281</v>
      </c>
      <c r="D91" s="13" t="s">
        <v>311</v>
      </c>
      <c r="E91">
        <v>19.88</v>
      </c>
      <c r="F91">
        <v>16.2</v>
      </c>
      <c r="G91">
        <v>19.3</v>
      </c>
      <c r="H91">
        <v>10.4</v>
      </c>
      <c r="I91">
        <v>3.4</v>
      </c>
      <c r="J91">
        <v>3.8</v>
      </c>
      <c r="K91">
        <v>1</v>
      </c>
      <c r="L91">
        <v>4</v>
      </c>
      <c r="M91">
        <v>22.7</v>
      </c>
      <c r="N91">
        <v>0</v>
      </c>
    </row>
    <row r="92" spans="1:14" x14ac:dyDescent="0.2">
      <c r="A92" s="19">
        <v>43436</v>
      </c>
      <c r="B92" s="13" t="s">
        <v>241</v>
      </c>
      <c r="C92" s="18" t="s">
        <v>284</v>
      </c>
      <c r="D92" s="13" t="s">
        <v>301</v>
      </c>
      <c r="E92">
        <v>22.76</v>
      </c>
      <c r="F92">
        <v>9.5</v>
      </c>
      <c r="G92">
        <v>8.8000000000000007</v>
      </c>
      <c r="H92">
        <v>24.1</v>
      </c>
      <c r="I92">
        <v>16.899999999999999</v>
      </c>
      <c r="J92">
        <v>6.6</v>
      </c>
      <c r="K92">
        <v>6</v>
      </c>
      <c r="L92">
        <v>13</v>
      </c>
      <c r="M92">
        <v>23.1</v>
      </c>
      <c r="N92">
        <v>44.4</v>
      </c>
    </row>
    <row r="93" spans="1:14" x14ac:dyDescent="0.2">
      <c r="A93" s="19">
        <v>43436</v>
      </c>
      <c r="B93" s="13" t="s">
        <v>241</v>
      </c>
      <c r="C93" s="18" t="s">
        <v>285</v>
      </c>
      <c r="D93" s="13" t="s">
        <v>300</v>
      </c>
      <c r="E93">
        <v>9.16</v>
      </c>
      <c r="F93">
        <v>28.2</v>
      </c>
      <c r="G93">
        <v>7.8</v>
      </c>
      <c r="H93">
        <v>10.7</v>
      </c>
      <c r="I93">
        <v>6.4</v>
      </c>
      <c r="J93">
        <v>2</v>
      </c>
      <c r="K93">
        <v>10</v>
      </c>
      <c r="L93">
        <v>2</v>
      </c>
      <c r="M93">
        <v>48.3</v>
      </c>
      <c r="N93">
        <v>14.3</v>
      </c>
    </row>
    <row r="94" spans="1:14" x14ac:dyDescent="0.2">
      <c r="A94" s="19">
        <v>43436</v>
      </c>
      <c r="B94" s="13" t="s">
        <v>241</v>
      </c>
      <c r="C94" s="17" t="s">
        <v>287</v>
      </c>
      <c r="D94" s="13" t="s">
        <v>309</v>
      </c>
      <c r="E94">
        <v>23.96</v>
      </c>
      <c r="F94">
        <v>9.3000000000000007</v>
      </c>
      <c r="G94">
        <v>39.799999999999997</v>
      </c>
      <c r="H94">
        <v>8.1999999999999993</v>
      </c>
      <c r="I94">
        <v>38</v>
      </c>
      <c r="J94">
        <v>2</v>
      </c>
      <c r="K94">
        <v>5</v>
      </c>
      <c r="L94">
        <v>8</v>
      </c>
      <c r="M94">
        <v>31.6</v>
      </c>
      <c r="N94">
        <v>16.7</v>
      </c>
    </row>
    <row r="95" spans="1:14" x14ac:dyDescent="0.2">
      <c r="A95" s="19">
        <v>43436</v>
      </c>
      <c r="B95" s="13" t="s">
        <v>241</v>
      </c>
      <c r="C95" t="s">
        <v>288</v>
      </c>
      <c r="D95" s="13" t="s">
        <v>303</v>
      </c>
      <c r="E95">
        <v>33</v>
      </c>
      <c r="F95">
        <v>12.2</v>
      </c>
      <c r="G95">
        <v>6</v>
      </c>
      <c r="H95">
        <v>11.5</v>
      </c>
      <c r="I95">
        <v>9.9</v>
      </c>
      <c r="J95">
        <v>42.8</v>
      </c>
      <c r="K95">
        <v>12</v>
      </c>
      <c r="L95">
        <v>8</v>
      </c>
      <c r="M95">
        <v>32.6</v>
      </c>
      <c r="N95">
        <v>0</v>
      </c>
    </row>
    <row r="96" spans="1:14" x14ac:dyDescent="0.2">
      <c r="A96" s="19">
        <v>43436</v>
      </c>
      <c r="B96" s="13" t="s">
        <v>241</v>
      </c>
      <c r="C96" t="s">
        <v>289</v>
      </c>
      <c r="D96" s="13" t="s">
        <v>297</v>
      </c>
      <c r="E96">
        <v>10.52</v>
      </c>
      <c r="F96">
        <v>4.3</v>
      </c>
      <c r="G96">
        <v>15.7</v>
      </c>
      <c r="H96">
        <v>3.4</v>
      </c>
      <c r="I96">
        <v>6.9</v>
      </c>
      <c r="J96">
        <v>16.2</v>
      </c>
      <c r="K96">
        <v>0</v>
      </c>
      <c r="L96">
        <v>12</v>
      </c>
      <c r="M96">
        <v>42.1</v>
      </c>
      <c r="N96">
        <v>12.5</v>
      </c>
    </row>
    <row r="97" spans="1:15" x14ac:dyDescent="0.2">
      <c r="A97" s="19">
        <v>43436</v>
      </c>
      <c r="B97" s="13" t="s">
        <v>241</v>
      </c>
      <c r="C97" s="17" t="s">
        <v>291</v>
      </c>
      <c r="D97" s="13" t="s">
        <v>307</v>
      </c>
      <c r="E97">
        <v>15.16</v>
      </c>
      <c r="F97">
        <v>25.5</v>
      </c>
      <c r="G97">
        <v>14.6</v>
      </c>
      <c r="H97">
        <v>12.6</v>
      </c>
      <c r="I97">
        <v>1.4</v>
      </c>
      <c r="J97">
        <v>2.2000000000000002</v>
      </c>
      <c r="K97">
        <v>8</v>
      </c>
      <c r="L97">
        <v>8</v>
      </c>
      <c r="M97">
        <v>37.799999999999997</v>
      </c>
      <c r="N97">
        <v>50</v>
      </c>
    </row>
    <row r="98" spans="1:15" x14ac:dyDescent="0.2">
      <c r="A98" s="19">
        <v>43436</v>
      </c>
      <c r="B98" s="13" t="s">
        <v>241</v>
      </c>
      <c r="C98" t="s">
        <v>293</v>
      </c>
      <c r="D98" s="13" t="s">
        <v>276</v>
      </c>
      <c r="E98">
        <v>15.98</v>
      </c>
      <c r="F98">
        <v>12.4</v>
      </c>
      <c r="G98">
        <v>13.7</v>
      </c>
      <c r="H98">
        <v>14.3</v>
      </c>
      <c r="I98">
        <v>13.5</v>
      </c>
      <c r="J98">
        <v>1.9</v>
      </c>
      <c r="K98">
        <v>3</v>
      </c>
      <c r="L98">
        <v>9</v>
      </c>
      <c r="M98">
        <v>40.700000000000003</v>
      </c>
      <c r="N98">
        <v>27.3</v>
      </c>
    </row>
    <row r="99" spans="1:15" x14ac:dyDescent="0.2">
      <c r="A99" s="19">
        <v>43436</v>
      </c>
      <c r="B99" s="13" t="s">
        <v>241</v>
      </c>
      <c r="C99" t="s">
        <v>294</v>
      </c>
      <c r="D99" s="13" t="s">
        <v>306</v>
      </c>
      <c r="E99">
        <v>23.84</v>
      </c>
      <c r="F99">
        <v>8.5</v>
      </c>
      <c r="G99">
        <v>6.1</v>
      </c>
      <c r="H99">
        <v>23.5</v>
      </c>
      <c r="I99">
        <v>19.7</v>
      </c>
      <c r="J99">
        <v>17.3</v>
      </c>
      <c r="K99">
        <v>10</v>
      </c>
      <c r="L99">
        <v>9</v>
      </c>
      <c r="M99">
        <v>25.6</v>
      </c>
      <c r="N99">
        <v>0</v>
      </c>
    </row>
    <row r="100" spans="1:15" x14ac:dyDescent="0.2">
      <c r="A100" s="19">
        <v>43436</v>
      </c>
      <c r="B100" s="13" t="s">
        <v>241</v>
      </c>
      <c r="C100" t="s">
        <v>295</v>
      </c>
      <c r="D100" s="13" t="s">
        <v>305</v>
      </c>
      <c r="E100">
        <v>8.64</v>
      </c>
      <c r="F100">
        <v>2.1</v>
      </c>
      <c r="G100">
        <v>3.8</v>
      </c>
      <c r="H100">
        <v>5.2</v>
      </c>
      <c r="I100">
        <v>5.9</v>
      </c>
      <c r="J100">
        <v>15.4</v>
      </c>
      <c r="K100">
        <v>5</v>
      </c>
      <c r="L100">
        <v>11</v>
      </c>
      <c r="M100">
        <v>43.3</v>
      </c>
      <c r="N100">
        <v>23.1</v>
      </c>
    </row>
    <row r="101" spans="1:15" x14ac:dyDescent="0.2">
      <c r="A101" s="19">
        <v>43436</v>
      </c>
      <c r="B101" s="13" t="s">
        <v>241</v>
      </c>
      <c r="C101" t="s">
        <v>296</v>
      </c>
      <c r="D101" s="13" t="s">
        <v>265</v>
      </c>
      <c r="E101">
        <v>9.8000000000000007</v>
      </c>
      <c r="F101">
        <v>20.6</v>
      </c>
      <c r="G101">
        <v>18.46</v>
      </c>
      <c r="H101">
        <v>6.8</v>
      </c>
      <c r="I101">
        <v>18.3</v>
      </c>
      <c r="J101">
        <v>8.1999999999999993</v>
      </c>
      <c r="K101">
        <v>15</v>
      </c>
      <c r="L101">
        <v>17</v>
      </c>
      <c r="M101">
        <v>39.5</v>
      </c>
      <c r="N101">
        <v>20</v>
      </c>
      <c r="O101" s="15"/>
    </row>
    <row r="102" spans="1:15" x14ac:dyDescent="0.2">
      <c r="A102" s="19">
        <v>43436</v>
      </c>
      <c r="B102" s="13" t="s">
        <v>241</v>
      </c>
      <c r="C102" s="17" t="s">
        <v>297</v>
      </c>
      <c r="D102" s="13" t="s">
        <v>289</v>
      </c>
      <c r="E102">
        <v>8.8000000000000007</v>
      </c>
      <c r="F102">
        <v>13.5</v>
      </c>
      <c r="G102">
        <v>7</v>
      </c>
      <c r="H102">
        <v>5.4</v>
      </c>
      <c r="I102">
        <v>8.5</v>
      </c>
      <c r="J102">
        <v>3.9</v>
      </c>
      <c r="K102">
        <v>6</v>
      </c>
      <c r="L102">
        <v>17</v>
      </c>
      <c r="M102">
        <v>51.5</v>
      </c>
      <c r="N102">
        <v>17.600000000000001</v>
      </c>
    </row>
    <row r="103" spans="1:15" x14ac:dyDescent="0.2">
      <c r="A103" s="19">
        <v>43436</v>
      </c>
      <c r="B103" s="13" t="s">
        <v>241</v>
      </c>
      <c r="C103" t="s">
        <v>298</v>
      </c>
      <c r="D103" s="13" t="s">
        <v>310</v>
      </c>
      <c r="E103">
        <v>4.42</v>
      </c>
      <c r="F103">
        <v>14.7</v>
      </c>
      <c r="G103">
        <v>8.8000000000000007</v>
      </c>
      <c r="H103">
        <v>2.9</v>
      </c>
      <c r="I103">
        <v>6.1</v>
      </c>
      <c r="J103">
        <v>5.0999999999999996</v>
      </c>
      <c r="K103">
        <v>19</v>
      </c>
      <c r="L103">
        <v>15</v>
      </c>
      <c r="M103">
        <v>27.3</v>
      </c>
      <c r="N103">
        <v>22.2</v>
      </c>
    </row>
    <row r="104" spans="1:15" x14ac:dyDescent="0.2">
      <c r="A104" s="19">
        <v>43436</v>
      </c>
      <c r="B104" t="s">
        <v>241</v>
      </c>
      <c r="C104" t="s">
        <v>299</v>
      </c>
      <c r="D104" t="s">
        <v>304</v>
      </c>
      <c r="E104">
        <v>12</v>
      </c>
      <c r="F104">
        <v>6.1</v>
      </c>
      <c r="G104">
        <v>8</v>
      </c>
      <c r="H104">
        <v>10.5</v>
      </c>
      <c r="I104">
        <v>8.6</v>
      </c>
      <c r="J104">
        <v>13</v>
      </c>
      <c r="K104">
        <v>10</v>
      </c>
      <c r="L104">
        <v>5</v>
      </c>
      <c r="M104">
        <v>45.9</v>
      </c>
      <c r="N104">
        <v>23.5</v>
      </c>
    </row>
    <row r="105" spans="1:15" x14ac:dyDescent="0.2">
      <c r="A105" s="19">
        <v>43436</v>
      </c>
      <c r="B105" s="13" t="s">
        <v>241</v>
      </c>
      <c r="C105" t="s">
        <v>300</v>
      </c>
      <c r="D105" s="13" t="s">
        <v>285</v>
      </c>
      <c r="E105">
        <v>15.32</v>
      </c>
      <c r="F105">
        <v>15.2</v>
      </c>
      <c r="G105">
        <v>23.3</v>
      </c>
      <c r="H105">
        <v>6.8</v>
      </c>
      <c r="I105">
        <v>23.6</v>
      </c>
      <c r="J105">
        <v>13</v>
      </c>
      <c r="K105">
        <v>5</v>
      </c>
      <c r="L105">
        <v>3</v>
      </c>
      <c r="M105">
        <v>25.9</v>
      </c>
      <c r="N105">
        <v>7.1</v>
      </c>
    </row>
    <row r="106" spans="1:15" x14ac:dyDescent="0.2">
      <c r="A106" s="19">
        <v>43436</v>
      </c>
      <c r="B106" s="13" t="s">
        <v>241</v>
      </c>
      <c r="C106" t="s">
        <v>301</v>
      </c>
      <c r="D106" s="13" t="s">
        <v>284</v>
      </c>
      <c r="E106">
        <v>22.3</v>
      </c>
      <c r="F106">
        <v>34.1</v>
      </c>
      <c r="G106">
        <v>10.5</v>
      </c>
      <c r="H106">
        <v>15.6</v>
      </c>
      <c r="I106">
        <v>16</v>
      </c>
      <c r="J106">
        <v>9.6</v>
      </c>
      <c r="K106">
        <v>5</v>
      </c>
      <c r="L106">
        <v>6</v>
      </c>
      <c r="M106">
        <v>39.6</v>
      </c>
      <c r="N106">
        <v>21.1</v>
      </c>
    </row>
    <row r="107" spans="1:15" x14ac:dyDescent="0.2">
      <c r="A107" s="19">
        <v>43436</v>
      </c>
      <c r="B107" s="13" t="s">
        <v>241</v>
      </c>
      <c r="C107" t="s">
        <v>302</v>
      </c>
      <c r="D107" s="13" t="s">
        <v>312</v>
      </c>
      <c r="E107">
        <v>18.940000000000001</v>
      </c>
      <c r="F107">
        <v>18.8</v>
      </c>
      <c r="G107">
        <v>14.8</v>
      </c>
      <c r="H107">
        <v>9</v>
      </c>
      <c r="I107">
        <v>11.4</v>
      </c>
      <c r="J107">
        <v>5.6</v>
      </c>
      <c r="K107">
        <v>6</v>
      </c>
      <c r="L107">
        <v>10</v>
      </c>
      <c r="M107">
        <v>21.2</v>
      </c>
      <c r="N107">
        <v>0</v>
      </c>
    </row>
    <row r="108" spans="1:15" x14ac:dyDescent="0.2">
      <c r="A108" s="19">
        <v>43436</v>
      </c>
      <c r="B108" s="13" t="s">
        <v>241</v>
      </c>
      <c r="C108" s="17" t="s">
        <v>303</v>
      </c>
      <c r="D108" s="13" t="s">
        <v>288</v>
      </c>
      <c r="E108">
        <v>24.2</v>
      </c>
      <c r="F108">
        <v>14.6</v>
      </c>
      <c r="G108">
        <v>19.7</v>
      </c>
      <c r="H108">
        <v>5.5</v>
      </c>
      <c r="I108">
        <v>11</v>
      </c>
      <c r="J108">
        <v>26</v>
      </c>
      <c r="K108">
        <v>12</v>
      </c>
      <c r="L108">
        <v>0</v>
      </c>
      <c r="M108">
        <v>29.3</v>
      </c>
      <c r="N108">
        <v>25</v>
      </c>
    </row>
    <row r="109" spans="1:15" x14ac:dyDescent="0.2">
      <c r="A109" s="19">
        <v>43436</v>
      </c>
      <c r="B109" s="13" t="s">
        <v>241</v>
      </c>
      <c r="C109" t="s">
        <v>304</v>
      </c>
      <c r="D109" s="13" t="s">
        <v>299</v>
      </c>
      <c r="E109">
        <v>10.08</v>
      </c>
      <c r="F109">
        <v>34.5</v>
      </c>
      <c r="G109">
        <v>10.199999999999999</v>
      </c>
      <c r="H109">
        <v>18.8</v>
      </c>
      <c r="I109">
        <v>17</v>
      </c>
      <c r="J109">
        <v>3.9</v>
      </c>
      <c r="K109">
        <v>14</v>
      </c>
      <c r="L109">
        <v>9</v>
      </c>
      <c r="M109">
        <v>34.299999999999997</v>
      </c>
      <c r="N109">
        <v>16.7</v>
      </c>
    </row>
    <row r="110" spans="1:15" x14ac:dyDescent="0.2">
      <c r="A110" s="19">
        <v>43436</v>
      </c>
      <c r="B110" s="13" t="s">
        <v>241</v>
      </c>
      <c r="C110" t="s">
        <v>305</v>
      </c>
      <c r="D110" s="13" t="s">
        <v>295</v>
      </c>
      <c r="E110">
        <v>17.5</v>
      </c>
      <c r="F110">
        <v>8.1999999999999993</v>
      </c>
      <c r="G110">
        <v>6.6</v>
      </c>
      <c r="H110">
        <v>1.8</v>
      </c>
      <c r="I110">
        <v>0</v>
      </c>
      <c r="J110">
        <v>7.7</v>
      </c>
      <c r="K110">
        <v>17</v>
      </c>
      <c r="L110">
        <v>15</v>
      </c>
      <c r="M110">
        <v>28</v>
      </c>
      <c r="N110">
        <v>28.6</v>
      </c>
    </row>
    <row r="111" spans="1:15" x14ac:dyDescent="0.2">
      <c r="A111" s="19">
        <v>43436</v>
      </c>
      <c r="B111" s="13" t="s">
        <v>241</v>
      </c>
      <c r="C111" t="s">
        <v>306</v>
      </c>
      <c r="D111" s="13" t="s">
        <v>294</v>
      </c>
      <c r="E111">
        <v>5.8</v>
      </c>
      <c r="F111">
        <v>15.8</v>
      </c>
      <c r="G111">
        <v>8.1</v>
      </c>
      <c r="H111">
        <v>7.1</v>
      </c>
      <c r="I111">
        <v>6.1</v>
      </c>
      <c r="J111">
        <v>6.1</v>
      </c>
      <c r="K111">
        <v>9</v>
      </c>
      <c r="L111">
        <v>1</v>
      </c>
      <c r="M111">
        <v>48.3</v>
      </c>
      <c r="N111">
        <v>21.4</v>
      </c>
      <c r="O111" s="15"/>
    </row>
    <row r="112" spans="1:15" x14ac:dyDescent="0.2">
      <c r="A112" s="19">
        <v>43436</v>
      </c>
      <c r="B112" s="13" t="s">
        <v>241</v>
      </c>
      <c r="C112" t="s">
        <v>307</v>
      </c>
      <c r="D112" s="13" t="s">
        <v>291</v>
      </c>
      <c r="E112">
        <v>8.2799999999999994</v>
      </c>
      <c r="F112">
        <v>15.2</v>
      </c>
      <c r="G112">
        <v>9</v>
      </c>
      <c r="H112">
        <v>0</v>
      </c>
      <c r="I112">
        <v>11.9</v>
      </c>
      <c r="J112">
        <v>4</v>
      </c>
      <c r="K112">
        <v>4</v>
      </c>
      <c r="L112">
        <v>15</v>
      </c>
      <c r="M112">
        <v>36.700000000000003</v>
      </c>
      <c r="N112">
        <v>18.2</v>
      </c>
    </row>
    <row r="113" spans="1:15" x14ac:dyDescent="0.2">
      <c r="A113" s="19">
        <v>43436</v>
      </c>
      <c r="B113" s="13" t="s">
        <v>241</v>
      </c>
      <c r="C113" t="s">
        <v>308</v>
      </c>
      <c r="D113" s="13" t="s">
        <v>256</v>
      </c>
      <c r="E113">
        <v>24.8</v>
      </c>
      <c r="F113">
        <v>13.8</v>
      </c>
      <c r="G113">
        <v>10.199999999999999</v>
      </c>
      <c r="H113">
        <v>13.2</v>
      </c>
      <c r="I113">
        <v>35.5</v>
      </c>
      <c r="J113">
        <v>1.4</v>
      </c>
      <c r="K113">
        <v>8</v>
      </c>
      <c r="L113">
        <v>16</v>
      </c>
      <c r="M113">
        <v>43.5</v>
      </c>
      <c r="N113">
        <v>30</v>
      </c>
    </row>
    <row r="114" spans="1:15" x14ac:dyDescent="0.2">
      <c r="A114" s="19">
        <v>43436</v>
      </c>
      <c r="B114" s="13" t="s">
        <v>241</v>
      </c>
      <c r="C114" s="18" t="s">
        <v>309</v>
      </c>
      <c r="D114" s="13" t="s">
        <v>287</v>
      </c>
      <c r="E114">
        <v>18.239999999999998</v>
      </c>
      <c r="F114">
        <v>22.4</v>
      </c>
      <c r="G114">
        <v>34.4</v>
      </c>
      <c r="H114">
        <v>10.9</v>
      </c>
      <c r="I114">
        <v>8.6</v>
      </c>
      <c r="J114">
        <v>6.8</v>
      </c>
      <c r="K114">
        <v>7</v>
      </c>
      <c r="L114">
        <v>1</v>
      </c>
      <c r="M114">
        <v>26.1</v>
      </c>
      <c r="N114">
        <v>8.3000000000000007</v>
      </c>
    </row>
    <row r="115" spans="1:15" x14ac:dyDescent="0.2">
      <c r="A115" s="19">
        <v>43436</v>
      </c>
      <c r="B115" s="13" t="s">
        <v>241</v>
      </c>
      <c r="C115" s="18" t="s">
        <v>310</v>
      </c>
      <c r="D115" s="13" t="s">
        <v>298</v>
      </c>
      <c r="E115">
        <v>22.58</v>
      </c>
      <c r="F115">
        <v>12.5</v>
      </c>
      <c r="G115">
        <v>14.4</v>
      </c>
      <c r="H115">
        <v>16.399999999999999</v>
      </c>
      <c r="I115">
        <v>21</v>
      </c>
      <c r="J115">
        <v>13.2</v>
      </c>
      <c r="K115">
        <v>8</v>
      </c>
      <c r="L115">
        <v>5</v>
      </c>
      <c r="M115">
        <v>36.6</v>
      </c>
      <c r="N115">
        <v>20</v>
      </c>
    </row>
    <row r="116" spans="1:15" x14ac:dyDescent="0.2">
      <c r="A116" s="19">
        <v>43436</v>
      </c>
      <c r="B116" s="13" t="s">
        <v>241</v>
      </c>
      <c r="C116" s="18" t="s">
        <v>311</v>
      </c>
      <c r="D116" s="13" t="s">
        <v>281</v>
      </c>
      <c r="E116">
        <v>15.96</v>
      </c>
      <c r="F116">
        <v>15.5</v>
      </c>
      <c r="G116">
        <v>16.100000000000001</v>
      </c>
      <c r="H116">
        <v>6.2</v>
      </c>
      <c r="I116">
        <v>7.2</v>
      </c>
      <c r="J116">
        <v>12.2</v>
      </c>
      <c r="K116">
        <v>21</v>
      </c>
      <c r="L116">
        <v>18</v>
      </c>
      <c r="M116">
        <v>43.9</v>
      </c>
      <c r="N116">
        <v>22.2</v>
      </c>
    </row>
    <row r="117" spans="1:15" x14ac:dyDescent="0.2">
      <c r="A117" s="19">
        <v>43436</v>
      </c>
      <c r="B117" s="13" t="s">
        <v>241</v>
      </c>
      <c r="C117" s="18" t="s">
        <v>312</v>
      </c>
      <c r="D117" s="13" t="s">
        <v>302</v>
      </c>
      <c r="E117">
        <v>10.039999999999999</v>
      </c>
      <c r="F117">
        <v>18.600000000000001</v>
      </c>
      <c r="G117">
        <v>13.8</v>
      </c>
      <c r="H117">
        <v>9.9</v>
      </c>
      <c r="I117">
        <v>19.2</v>
      </c>
      <c r="J117">
        <v>6.8</v>
      </c>
      <c r="K117">
        <v>4</v>
      </c>
      <c r="L117">
        <v>2</v>
      </c>
      <c r="M117">
        <v>28.3</v>
      </c>
      <c r="N117">
        <v>15.4</v>
      </c>
    </row>
    <row r="118" spans="1:15" x14ac:dyDescent="0.2">
      <c r="A118" s="19">
        <v>43443</v>
      </c>
      <c r="B118" t="s">
        <v>239</v>
      </c>
      <c r="C118" s="18" t="s">
        <v>256</v>
      </c>
      <c r="D118" t="s">
        <v>278</v>
      </c>
      <c r="E118">
        <v>22.28</v>
      </c>
      <c r="F118">
        <v>10.6</v>
      </c>
      <c r="G118">
        <v>4</v>
      </c>
      <c r="H118">
        <v>13.9</v>
      </c>
      <c r="I118">
        <v>7.6</v>
      </c>
      <c r="J118">
        <v>37</v>
      </c>
      <c r="K118">
        <v>9</v>
      </c>
      <c r="L118">
        <v>3</v>
      </c>
      <c r="M118">
        <v>47.2</v>
      </c>
      <c r="N118">
        <v>17.600000000000001</v>
      </c>
    </row>
    <row r="119" spans="1:15" x14ac:dyDescent="0.2">
      <c r="A119" s="19">
        <v>43443</v>
      </c>
      <c r="B119" t="s">
        <v>239</v>
      </c>
      <c r="C119" s="18" t="s">
        <v>265</v>
      </c>
      <c r="D119" t="s">
        <v>304</v>
      </c>
      <c r="E119">
        <v>7.7</v>
      </c>
      <c r="F119">
        <v>12.9</v>
      </c>
      <c r="G119">
        <v>9.1999999999999993</v>
      </c>
      <c r="H119">
        <v>5.2</v>
      </c>
      <c r="I119">
        <v>3.4</v>
      </c>
      <c r="J119">
        <v>4.2</v>
      </c>
      <c r="K119">
        <v>7</v>
      </c>
      <c r="L119">
        <v>20</v>
      </c>
      <c r="M119">
        <v>38.200000000000003</v>
      </c>
      <c r="N119">
        <v>7.7</v>
      </c>
    </row>
    <row r="120" spans="1:15" x14ac:dyDescent="0.2">
      <c r="A120" s="19">
        <v>43443</v>
      </c>
      <c r="B120" t="s">
        <v>239</v>
      </c>
      <c r="C120" s="18" t="s">
        <v>272</v>
      </c>
      <c r="D120" t="s">
        <v>287</v>
      </c>
      <c r="E120">
        <v>12</v>
      </c>
      <c r="F120">
        <v>27.8</v>
      </c>
      <c r="G120">
        <v>8.1999999999999993</v>
      </c>
      <c r="H120">
        <v>9.1</v>
      </c>
      <c r="I120">
        <v>2.4</v>
      </c>
      <c r="J120">
        <v>6.7</v>
      </c>
      <c r="K120">
        <v>11</v>
      </c>
      <c r="L120">
        <v>2</v>
      </c>
      <c r="M120">
        <v>32.299999999999997</v>
      </c>
      <c r="N120">
        <v>20</v>
      </c>
    </row>
    <row r="121" spans="1:15" x14ac:dyDescent="0.2">
      <c r="A121" s="19">
        <v>43443</v>
      </c>
      <c r="B121" t="s">
        <v>239</v>
      </c>
      <c r="C121" s="18" t="s">
        <v>276</v>
      </c>
      <c r="D121" t="s">
        <v>298</v>
      </c>
      <c r="E121">
        <v>24.34</v>
      </c>
      <c r="F121">
        <v>4.2</v>
      </c>
      <c r="G121">
        <v>5.2</v>
      </c>
      <c r="H121">
        <v>20.399999999999999</v>
      </c>
      <c r="I121">
        <v>11.4</v>
      </c>
      <c r="J121">
        <v>1.6</v>
      </c>
      <c r="K121">
        <v>11</v>
      </c>
      <c r="L121">
        <v>4</v>
      </c>
      <c r="M121">
        <v>53.3</v>
      </c>
      <c r="N121">
        <v>12.5</v>
      </c>
      <c r="O121" s="15"/>
    </row>
    <row r="122" spans="1:15" x14ac:dyDescent="0.2">
      <c r="A122" s="19">
        <v>43443</v>
      </c>
      <c r="B122" t="s">
        <v>239</v>
      </c>
      <c r="C122" s="18" t="s">
        <v>278</v>
      </c>
      <c r="D122" t="s">
        <v>256</v>
      </c>
      <c r="E122">
        <v>13.84</v>
      </c>
      <c r="F122">
        <v>15.1</v>
      </c>
      <c r="G122">
        <v>3.3</v>
      </c>
      <c r="H122">
        <v>17.7</v>
      </c>
      <c r="I122">
        <v>9.6999999999999993</v>
      </c>
      <c r="J122">
        <v>1.3</v>
      </c>
      <c r="K122">
        <v>2</v>
      </c>
      <c r="L122">
        <v>6</v>
      </c>
      <c r="M122">
        <v>40.4</v>
      </c>
      <c r="N122">
        <v>10.5</v>
      </c>
    </row>
    <row r="123" spans="1:15" x14ac:dyDescent="0.2">
      <c r="A123" s="19">
        <v>43443</v>
      </c>
      <c r="B123" t="s">
        <v>239</v>
      </c>
      <c r="C123" s="18" t="s">
        <v>281</v>
      </c>
      <c r="D123" t="s">
        <v>301</v>
      </c>
      <c r="E123">
        <v>13.72</v>
      </c>
      <c r="F123">
        <v>18.3</v>
      </c>
      <c r="G123">
        <v>25.1</v>
      </c>
      <c r="H123">
        <v>2.9</v>
      </c>
      <c r="I123">
        <v>13.5</v>
      </c>
      <c r="J123">
        <v>6.5</v>
      </c>
      <c r="K123">
        <v>10</v>
      </c>
      <c r="L123">
        <v>4</v>
      </c>
      <c r="M123">
        <v>29.2</v>
      </c>
      <c r="N123">
        <v>14.3</v>
      </c>
    </row>
    <row r="124" spans="1:15" x14ac:dyDescent="0.2">
      <c r="A124" s="19">
        <v>43443</v>
      </c>
      <c r="B124" t="s">
        <v>239</v>
      </c>
      <c r="C124" t="s">
        <v>284</v>
      </c>
      <c r="D124" t="s">
        <v>307</v>
      </c>
      <c r="E124">
        <v>20.22</v>
      </c>
      <c r="F124">
        <v>9.4</v>
      </c>
      <c r="G124">
        <v>12</v>
      </c>
      <c r="H124">
        <v>5</v>
      </c>
      <c r="I124">
        <v>11.3</v>
      </c>
      <c r="J124">
        <v>15.2</v>
      </c>
      <c r="K124">
        <v>2</v>
      </c>
      <c r="L124">
        <v>4</v>
      </c>
      <c r="M124">
        <v>42.6</v>
      </c>
      <c r="N124">
        <v>20</v>
      </c>
    </row>
    <row r="125" spans="1:15" x14ac:dyDescent="0.2">
      <c r="A125" s="19">
        <v>43443</v>
      </c>
      <c r="B125" t="s">
        <v>239</v>
      </c>
      <c r="C125" t="s">
        <v>285</v>
      </c>
      <c r="D125" t="s">
        <v>299</v>
      </c>
      <c r="E125">
        <v>8.9</v>
      </c>
      <c r="F125">
        <v>14.1</v>
      </c>
      <c r="G125">
        <v>10.5</v>
      </c>
      <c r="H125">
        <v>9</v>
      </c>
      <c r="I125">
        <v>13</v>
      </c>
      <c r="J125">
        <v>6.1</v>
      </c>
      <c r="K125">
        <v>3</v>
      </c>
      <c r="L125">
        <v>7</v>
      </c>
      <c r="M125">
        <v>34.799999999999997</v>
      </c>
      <c r="N125">
        <v>18.8</v>
      </c>
    </row>
    <row r="126" spans="1:15" x14ac:dyDescent="0.2">
      <c r="A126" s="19">
        <v>43443</v>
      </c>
      <c r="B126" t="s">
        <v>239</v>
      </c>
      <c r="C126" s="17" t="s">
        <v>287</v>
      </c>
      <c r="D126" t="s">
        <v>272</v>
      </c>
      <c r="E126">
        <v>13.5</v>
      </c>
      <c r="F126">
        <v>17.399999999999999</v>
      </c>
      <c r="G126">
        <v>18.8</v>
      </c>
      <c r="H126">
        <v>7.5</v>
      </c>
      <c r="I126">
        <v>6.7</v>
      </c>
      <c r="J126">
        <v>3.9</v>
      </c>
      <c r="K126">
        <v>17</v>
      </c>
      <c r="L126">
        <v>3</v>
      </c>
      <c r="M126">
        <v>18.8</v>
      </c>
      <c r="N126">
        <v>33.299999999999997</v>
      </c>
    </row>
    <row r="127" spans="1:15" x14ac:dyDescent="0.2">
      <c r="A127" s="19">
        <v>43443</v>
      </c>
      <c r="B127" t="s">
        <v>239</v>
      </c>
      <c r="C127" t="s">
        <v>288</v>
      </c>
      <c r="D127" t="s">
        <v>305</v>
      </c>
      <c r="E127">
        <v>24.78</v>
      </c>
      <c r="F127">
        <v>17.899999999999999</v>
      </c>
      <c r="G127">
        <v>25.5</v>
      </c>
      <c r="H127">
        <v>3.3</v>
      </c>
      <c r="I127">
        <v>15.2</v>
      </c>
      <c r="J127">
        <v>20.7</v>
      </c>
      <c r="K127">
        <v>9</v>
      </c>
      <c r="L127">
        <v>5</v>
      </c>
      <c r="M127">
        <v>52.6</v>
      </c>
      <c r="N127">
        <v>10</v>
      </c>
    </row>
    <row r="128" spans="1:15" x14ac:dyDescent="0.2">
      <c r="A128" s="19">
        <v>43443</v>
      </c>
      <c r="B128" t="s">
        <v>239</v>
      </c>
      <c r="C128" t="s">
        <v>289</v>
      </c>
      <c r="D128" t="s">
        <v>311</v>
      </c>
      <c r="E128">
        <v>27.56</v>
      </c>
      <c r="F128">
        <v>9.3000000000000007</v>
      </c>
      <c r="G128">
        <v>31.9</v>
      </c>
      <c r="H128">
        <v>8.6</v>
      </c>
      <c r="I128">
        <v>20.2</v>
      </c>
      <c r="J128">
        <v>16.5</v>
      </c>
      <c r="K128">
        <v>8</v>
      </c>
      <c r="L128">
        <v>5</v>
      </c>
      <c r="M128">
        <v>33.299999999999997</v>
      </c>
      <c r="N128">
        <v>13.3</v>
      </c>
    </row>
    <row r="129" spans="1:15" x14ac:dyDescent="0.2">
      <c r="A129" s="19">
        <v>43443</v>
      </c>
      <c r="B129" t="s">
        <v>239</v>
      </c>
      <c r="C129" s="17" t="s">
        <v>291</v>
      </c>
      <c r="D129" t="s">
        <v>294</v>
      </c>
      <c r="E129">
        <v>30.4</v>
      </c>
      <c r="F129">
        <v>34.200000000000003</v>
      </c>
      <c r="G129">
        <v>52.7</v>
      </c>
      <c r="H129">
        <v>6.4</v>
      </c>
      <c r="I129">
        <v>2.5</v>
      </c>
      <c r="J129">
        <v>12.6</v>
      </c>
      <c r="K129">
        <v>13</v>
      </c>
      <c r="L129">
        <v>4</v>
      </c>
      <c r="M129">
        <v>36.799999999999997</v>
      </c>
      <c r="N129">
        <v>14.3</v>
      </c>
    </row>
    <row r="130" spans="1:15" x14ac:dyDescent="0.2">
      <c r="A130" s="19">
        <v>43443</v>
      </c>
      <c r="B130" t="s">
        <v>239</v>
      </c>
      <c r="C130" t="s">
        <v>293</v>
      </c>
      <c r="D130" t="s">
        <v>302</v>
      </c>
      <c r="E130">
        <v>23.9</v>
      </c>
      <c r="F130">
        <v>14.9</v>
      </c>
      <c r="G130">
        <v>30.5</v>
      </c>
      <c r="H130">
        <v>2.8</v>
      </c>
      <c r="I130">
        <v>11.9</v>
      </c>
      <c r="J130">
        <v>0</v>
      </c>
      <c r="K130">
        <v>4</v>
      </c>
      <c r="L130">
        <v>1</v>
      </c>
      <c r="M130">
        <v>43.5</v>
      </c>
      <c r="N130">
        <v>40</v>
      </c>
    </row>
    <row r="131" spans="1:15" x14ac:dyDescent="0.2">
      <c r="A131" s="19">
        <v>43443</v>
      </c>
      <c r="B131" t="s">
        <v>239</v>
      </c>
      <c r="C131" t="s">
        <v>294</v>
      </c>
      <c r="D131" t="s">
        <v>291</v>
      </c>
      <c r="E131">
        <v>19.82</v>
      </c>
      <c r="F131">
        <v>3.6</v>
      </c>
      <c r="G131">
        <v>17</v>
      </c>
      <c r="H131">
        <v>1.7</v>
      </c>
      <c r="I131">
        <v>5.2</v>
      </c>
      <c r="J131">
        <v>8.8000000000000007</v>
      </c>
      <c r="K131">
        <v>5</v>
      </c>
      <c r="L131">
        <v>8</v>
      </c>
      <c r="M131">
        <v>27.8</v>
      </c>
      <c r="N131">
        <v>20</v>
      </c>
    </row>
    <row r="132" spans="1:15" x14ac:dyDescent="0.2">
      <c r="A132" s="19">
        <v>43443</v>
      </c>
      <c r="B132" t="s">
        <v>239</v>
      </c>
      <c r="C132" t="s">
        <v>295</v>
      </c>
      <c r="D132" t="s">
        <v>300</v>
      </c>
      <c r="E132">
        <v>21.48</v>
      </c>
      <c r="F132">
        <v>5.0999999999999996</v>
      </c>
      <c r="G132">
        <v>33.6</v>
      </c>
      <c r="H132">
        <v>2</v>
      </c>
      <c r="I132">
        <v>11.1</v>
      </c>
      <c r="J132">
        <v>7.7</v>
      </c>
      <c r="K132">
        <v>2</v>
      </c>
      <c r="L132">
        <v>3</v>
      </c>
      <c r="M132">
        <v>43.2</v>
      </c>
      <c r="N132">
        <v>10.5</v>
      </c>
    </row>
    <row r="133" spans="1:15" x14ac:dyDescent="0.2">
      <c r="A133" s="19">
        <v>43443</v>
      </c>
      <c r="B133" t="s">
        <v>239</v>
      </c>
      <c r="C133" t="s">
        <v>296</v>
      </c>
      <c r="D133" t="s">
        <v>306</v>
      </c>
      <c r="E133">
        <v>19.88</v>
      </c>
      <c r="F133">
        <v>32.700000000000003</v>
      </c>
      <c r="H133">
        <v>8.1</v>
      </c>
      <c r="I133">
        <v>15.4</v>
      </c>
      <c r="J133">
        <v>10.7</v>
      </c>
      <c r="K133">
        <v>10</v>
      </c>
      <c r="L133">
        <v>18</v>
      </c>
      <c r="M133">
        <v>29.2</v>
      </c>
      <c r="N133">
        <v>28.6</v>
      </c>
    </row>
    <row r="134" spans="1:15" x14ac:dyDescent="0.2">
      <c r="A134" s="19">
        <v>43443</v>
      </c>
      <c r="B134" t="s">
        <v>239</v>
      </c>
      <c r="C134" s="17" t="s">
        <v>297</v>
      </c>
      <c r="D134" t="s">
        <v>310</v>
      </c>
      <c r="E134">
        <v>14.3</v>
      </c>
      <c r="F134">
        <v>6.1</v>
      </c>
      <c r="G134">
        <v>9.6999999999999993</v>
      </c>
      <c r="H134">
        <v>21.8</v>
      </c>
      <c r="I134">
        <v>20</v>
      </c>
      <c r="J134">
        <v>4.2</v>
      </c>
      <c r="K134">
        <v>1</v>
      </c>
      <c r="L134">
        <v>4</v>
      </c>
      <c r="M134">
        <v>38.799999999999997</v>
      </c>
      <c r="N134">
        <v>21.1</v>
      </c>
    </row>
    <row r="135" spans="1:15" x14ac:dyDescent="0.2">
      <c r="A135" s="19">
        <v>43443</v>
      </c>
      <c r="B135" t="s">
        <v>239</v>
      </c>
      <c r="C135" t="s">
        <v>298</v>
      </c>
      <c r="D135" t="s">
        <v>276</v>
      </c>
      <c r="E135">
        <v>10.8</v>
      </c>
      <c r="F135">
        <v>17.3</v>
      </c>
      <c r="G135">
        <v>17.600000000000001</v>
      </c>
      <c r="H135">
        <v>5.2</v>
      </c>
      <c r="I135">
        <v>7.6</v>
      </c>
      <c r="J135">
        <v>2.4</v>
      </c>
      <c r="K135">
        <v>10</v>
      </c>
      <c r="L135">
        <v>11</v>
      </c>
      <c r="M135">
        <v>29.2</v>
      </c>
      <c r="N135">
        <v>0</v>
      </c>
    </row>
    <row r="136" spans="1:15" x14ac:dyDescent="0.2">
      <c r="A136" s="19">
        <v>43443</v>
      </c>
      <c r="B136" t="s">
        <v>239</v>
      </c>
      <c r="C136" t="s">
        <v>299</v>
      </c>
      <c r="D136" t="s">
        <v>285</v>
      </c>
      <c r="E136">
        <v>4.74</v>
      </c>
      <c r="F136">
        <v>6.1</v>
      </c>
      <c r="G136">
        <v>2.5</v>
      </c>
      <c r="H136">
        <v>5.7</v>
      </c>
      <c r="I136">
        <v>6.9</v>
      </c>
      <c r="J136">
        <v>4.5999999999999996</v>
      </c>
      <c r="K136">
        <v>6</v>
      </c>
      <c r="L136">
        <v>18</v>
      </c>
      <c r="M136">
        <v>12</v>
      </c>
      <c r="N136">
        <v>33.299999999999997</v>
      </c>
    </row>
    <row r="137" spans="1:15" x14ac:dyDescent="0.2">
      <c r="A137" s="19">
        <v>43443</v>
      </c>
      <c r="B137" t="s">
        <v>239</v>
      </c>
      <c r="C137" t="s">
        <v>300</v>
      </c>
      <c r="D137" t="s">
        <v>295</v>
      </c>
      <c r="E137">
        <v>20.239999999999998</v>
      </c>
      <c r="F137">
        <v>19.600000000000001</v>
      </c>
      <c r="G137">
        <v>21.1</v>
      </c>
      <c r="H137">
        <v>15.3</v>
      </c>
      <c r="I137">
        <v>18.399999999999999</v>
      </c>
      <c r="J137">
        <v>3.3</v>
      </c>
      <c r="K137">
        <v>13</v>
      </c>
      <c r="L137">
        <v>13</v>
      </c>
      <c r="M137">
        <v>35.9</v>
      </c>
      <c r="N137">
        <v>28.6</v>
      </c>
    </row>
    <row r="138" spans="1:15" x14ac:dyDescent="0.2">
      <c r="A138" s="19">
        <v>43443</v>
      </c>
      <c r="B138" t="s">
        <v>239</v>
      </c>
      <c r="C138" t="s">
        <v>301</v>
      </c>
      <c r="D138" t="s">
        <v>281</v>
      </c>
      <c r="E138">
        <v>11.9</v>
      </c>
      <c r="F138">
        <v>28.1</v>
      </c>
      <c r="G138">
        <v>11.7</v>
      </c>
      <c r="H138">
        <v>12</v>
      </c>
      <c r="I138">
        <v>11.4</v>
      </c>
      <c r="J138">
        <v>16.7</v>
      </c>
      <c r="K138">
        <v>8</v>
      </c>
      <c r="L138">
        <v>5</v>
      </c>
      <c r="M138">
        <v>33.299999999999997</v>
      </c>
      <c r="N138">
        <v>6.7</v>
      </c>
    </row>
    <row r="139" spans="1:15" x14ac:dyDescent="0.2">
      <c r="A139" s="19">
        <v>43443</v>
      </c>
      <c r="B139" t="s">
        <v>239</v>
      </c>
      <c r="C139" t="s">
        <v>302</v>
      </c>
      <c r="D139" t="s">
        <v>293</v>
      </c>
      <c r="E139">
        <v>29.62</v>
      </c>
      <c r="F139">
        <v>5.7</v>
      </c>
      <c r="G139">
        <v>23.6</v>
      </c>
      <c r="H139">
        <v>14.6</v>
      </c>
      <c r="I139">
        <v>11.3</v>
      </c>
      <c r="J139">
        <v>27.7</v>
      </c>
      <c r="K139">
        <v>9</v>
      </c>
      <c r="L139">
        <v>6</v>
      </c>
      <c r="M139">
        <v>24.4</v>
      </c>
      <c r="N139">
        <v>18.2</v>
      </c>
    </row>
    <row r="140" spans="1:15" x14ac:dyDescent="0.2">
      <c r="A140" s="19">
        <v>43443</v>
      </c>
      <c r="B140" t="s">
        <v>239</v>
      </c>
      <c r="C140" s="17" t="s">
        <v>303</v>
      </c>
      <c r="D140" t="s">
        <v>309</v>
      </c>
      <c r="E140">
        <v>22.78</v>
      </c>
      <c r="F140">
        <v>9.1999999999999993</v>
      </c>
      <c r="G140">
        <v>10.8</v>
      </c>
      <c r="H140">
        <v>12.6</v>
      </c>
      <c r="I140">
        <v>18.3</v>
      </c>
      <c r="J140">
        <v>21.6</v>
      </c>
      <c r="K140">
        <v>7</v>
      </c>
      <c r="L140">
        <v>3</v>
      </c>
      <c r="M140">
        <v>26.3</v>
      </c>
      <c r="N140">
        <v>40</v>
      </c>
    </row>
    <row r="141" spans="1:15" x14ac:dyDescent="0.2">
      <c r="A141" s="19">
        <v>43443</v>
      </c>
      <c r="B141" t="s">
        <v>239</v>
      </c>
      <c r="C141" t="s">
        <v>304</v>
      </c>
      <c r="D141" t="s">
        <v>265</v>
      </c>
      <c r="E141">
        <v>3.7</v>
      </c>
      <c r="F141">
        <v>8.8000000000000007</v>
      </c>
      <c r="G141">
        <v>5.2</v>
      </c>
      <c r="H141">
        <v>13.1</v>
      </c>
      <c r="I141">
        <v>12.3</v>
      </c>
      <c r="J141">
        <v>6.9</v>
      </c>
      <c r="K141">
        <v>8</v>
      </c>
      <c r="L141">
        <v>11</v>
      </c>
      <c r="M141">
        <v>52.1</v>
      </c>
      <c r="N141">
        <v>12</v>
      </c>
      <c r="O141" s="15"/>
    </row>
    <row r="142" spans="1:15" x14ac:dyDescent="0.2">
      <c r="A142" s="19">
        <v>43443</v>
      </c>
      <c r="B142" t="s">
        <v>239</v>
      </c>
      <c r="C142" t="s">
        <v>305</v>
      </c>
      <c r="D142" t="s">
        <v>288</v>
      </c>
      <c r="E142">
        <v>19.98</v>
      </c>
      <c r="F142">
        <v>6.7</v>
      </c>
      <c r="G142">
        <v>11.1</v>
      </c>
      <c r="H142">
        <v>10.3</v>
      </c>
      <c r="I142">
        <v>10.7</v>
      </c>
      <c r="J142">
        <v>0</v>
      </c>
      <c r="K142">
        <v>6</v>
      </c>
      <c r="L142">
        <v>5</v>
      </c>
      <c r="M142">
        <v>46.4</v>
      </c>
      <c r="N142">
        <v>15.4</v>
      </c>
    </row>
    <row r="143" spans="1:15" x14ac:dyDescent="0.2">
      <c r="A143" s="19">
        <v>43443</v>
      </c>
      <c r="B143" t="s">
        <v>239</v>
      </c>
      <c r="C143" t="s">
        <v>306</v>
      </c>
      <c r="D143" t="s">
        <v>296</v>
      </c>
      <c r="E143">
        <v>25.3</v>
      </c>
      <c r="F143">
        <v>2.9</v>
      </c>
      <c r="G143">
        <v>12.4</v>
      </c>
      <c r="H143">
        <v>16.7</v>
      </c>
      <c r="I143">
        <v>22.8</v>
      </c>
      <c r="J143">
        <v>0</v>
      </c>
      <c r="K143">
        <v>0</v>
      </c>
      <c r="L143">
        <v>3</v>
      </c>
      <c r="M143">
        <v>37.5</v>
      </c>
      <c r="N143">
        <v>33.299999999999997</v>
      </c>
    </row>
    <row r="144" spans="1:15" x14ac:dyDescent="0.2">
      <c r="A144" s="19">
        <v>43443</v>
      </c>
      <c r="B144" t="s">
        <v>239</v>
      </c>
      <c r="C144" t="s">
        <v>307</v>
      </c>
      <c r="D144" t="s">
        <v>284</v>
      </c>
      <c r="E144">
        <v>15.94</v>
      </c>
      <c r="F144">
        <v>15.7</v>
      </c>
      <c r="G144">
        <v>20.8</v>
      </c>
      <c r="H144">
        <v>0</v>
      </c>
      <c r="I144">
        <v>8.9</v>
      </c>
      <c r="J144">
        <v>5.4</v>
      </c>
      <c r="K144">
        <v>8</v>
      </c>
      <c r="L144">
        <v>9</v>
      </c>
      <c r="M144">
        <v>21.9</v>
      </c>
      <c r="N144">
        <v>14.3</v>
      </c>
    </row>
    <row r="145" spans="1:15" x14ac:dyDescent="0.2">
      <c r="A145" s="19">
        <v>43443</v>
      </c>
      <c r="B145" t="s">
        <v>239</v>
      </c>
      <c r="C145" t="s">
        <v>308</v>
      </c>
      <c r="D145" t="s">
        <v>312</v>
      </c>
      <c r="E145">
        <v>9.98</v>
      </c>
      <c r="F145">
        <v>15</v>
      </c>
      <c r="G145">
        <v>10.9</v>
      </c>
      <c r="H145">
        <v>1</v>
      </c>
      <c r="I145">
        <v>3.6</v>
      </c>
      <c r="J145">
        <v>2.2000000000000002</v>
      </c>
      <c r="K145">
        <v>7</v>
      </c>
      <c r="L145">
        <v>16</v>
      </c>
      <c r="M145">
        <v>54.2</v>
      </c>
      <c r="N145">
        <v>15.4</v>
      </c>
    </row>
    <row r="146" spans="1:15" x14ac:dyDescent="0.2">
      <c r="A146" s="19">
        <v>43443</v>
      </c>
      <c r="B146" t="s">
        <v>239</v>
      </c>
      <c r="C146" t="s">
        <v>309</v>
      </c>
      <c r="D146" t="s">
        <v>303</v>
      </c>
      <c r="E146">
        <v>19.28</v>
      </c>
      <c r="F146">
        <v>16.2</v>
      </c>
      <c r="G146">
        <v>8.5</v>
      </c>
      <c r="H146">
        <v>36</v>
      </c>
      <c r="I146">
        <v>18</v>
      </c>
      <c r="J146">
        <v>7.7</v>
      </c>
      <c r="K146">
        <v>3</v>
      </c>
      <c r="L146">
        <v>6</v>
      </c>
      <c r="M146">
        <v>10</v>
      </c>
      <c r="N146">
        <v>33.299999999999997</v>
      </c>
    </row>
    <row r="147" spans="1:15" x14ac:dyDescent="0.2">
      <c r="A147" s="19">
        <v>43443</v>
      </c>
      <c r="B147" t="s">
        <v>239</v>
      </c>
      <c r="C147" t="s">
        <v>310</v>
      </c>
      <c r="D147" t="s">
        <v>297</v>
      </c>
      <c r="E147">
        <v>6.78</v>
      </c>
      <c r="F147">
        <v>50.8</v>
      </c>
      <c r="G147">
        <v>4.0999999999999996</v>
      </c>
      <c r="H147">
        <v>11.9</v>
      </c>
      <c r="I147">
        <v>4.0999999999999996</v>
      </c>
      <c r="J147">
        <v>0</v>
      </c>
      <c r="K147">
        <v>6</v>
      </c>
      <c r="L147">
        <v>10</v>
      </c>
      <c r="M147">
        <v>19.2</v>
      </c>
      <c r="N147">
        <v>20</v>
      </c>
    </row>
    <row r="148" spans="1:15" x14ac:dyDescent="0.2">
      <c r="A148" s="19">
        <v>43443</v>
      </c>
      <c r="B148" t="s">
        <v>239</v>
      </c>
      <c r="C148" t="s">
        <v>311</v>
      </c>
      <c r="D148" t="s">
        <v>289</v>
      </c>
      <c r="E148">
        <v>18.18</v>
      </c>
      <c r="F148">
        <v>16.2</v>
      </c>
      <c r="G148">
        <v>13.6</v>
      </c>
      <c r="H148">
        <v>8.8000000000000007</v>
      </c>
      <c r="I148">
        <v>3.9</v>
      </c>
      <c r="J148">
        <v>13</v>
      </c>
      <c r="K148">
        <v>3</v>
      </c>
      <c r="L148">
        <v>4</v>
      </c>
      <c r="M148">
        <v>43.5</v>
      </c>
      <c r="N148">
        <v>25</v>
      </c>
    </row>
    <row r="149" spans="1:15" x14ac:dyDescent="0.2">
      <c r="A149" s="19">
        <v>43443</v>
      </c>
      <c r="B149" t="s">
        <v>239</v>
      </c>
      <c r="C149" t="s">
        <v>312</v>
      </c>
      <c r="D149" t="s">
        <v>308</v>
      </c>
      <c r="E149">
        <v>11.82</v>
      </c>
      <c r="F149">
        <v>19.3</v>
      </c>
      <c r="G149">
        <v>12.8</v>
      </c>
      <c r="H149">
        <v>12.1</v>
      </c>
      <c r="I149">
        <v>12.2</v>
      </c>
      <c r="J149">
        <v>2.7</v>
      </c>
      <c r="K149">
        <v>1</v>
      </c>
      <c r="L149">
        <v>5</v>
      </c>
      <c r="M149">
        <v>25</v>
      </c>
      <c r="N149">
        <v>22.2</v>
      </c>
    </row>
    <row r="150" spans="1:15" x14ac:dyDescent="0.2">
      <c r="A150" s="19">
        <v>43450</v>
      </c>
      <c r="B150" t="s">
        <v>237</v>
      </c>
      <c r="C150" t="s">
        <v>256</v>
      </c>
      <c r="D150" t="s">
        <v>308</v>
      </c>
      <c r="E150">
        <v>14.8</v>
      </c>
      <c r="F150">
        <v>14.6</v>
      </c>
      <c r="G150">
        <v>13.3</v>
      </c>
      <c r="H150">
        <v>1.7</v>
      </c>
      <c r="I150">
        <v>13</v>
      </c>
      <c r="J150">
        <v>8.1</v>
      </c>
      <c r="K150">
        <v>15</v>
      </c>
      <c r="L150">
        <v>9</v>
      </c>
      <c r="M150">
        <v>43.8</v>
      </c>
      <c r="N150">
        <v>21.4</v>
      </c>
    </row>
    <row r="151" spans="1:15" x14ac:dyDescent="0.2">
      <c r="A151" s="19">
        <v>43450</v>
      </c>
      <c r="B151" t="s">
        <v>237</v>
      </c>
      <c r="C151" t="s">
        <v>265</v>
      </c>
      <c r="D151" t="s">
        <v>300</v>
      </c>
      <c r="E151">
        <v>19</v>
      </c>
      <c r="F151">
        <f>15.2+14.5</f>
        <v>29.7</v>
      </c>
      <c r="G151">
        <v>8.4</v>
      </c>
      <c r="H151">
        <v>6.3</v>
      </c>
      <c r="I151">
        <v>1.5</v>
      </c>
      <c r="J151">
        <v>13.6</v>
      </c>
      <c r="K151">
        <v>6</v>
      </c>
      <c r="L151">
        <v>8</v>
      </c>
      <c r="M151">
        <v>25.8</v>
      </c>
      <c r="N151">
        <v>12.5</v>
      </c>
      <c r="O151" s="15"/>
    </row>
    <row r="152" spans="1:15" x14ac:dyDescent="0.2">
      <c r="A152" s="19">
        <v>43450</v>
      </c>
      <c r="B152" t="s">
        <v>237</v>
      </c>
      <c r="C152" t="s">
        <v>272</v>
      </c>
      <c r="D152" t="s">
        <v>303</v>
      </c>
      <c r="E152">
        <v>11.4</v>
      </c>
      <c r="F152">
        <v>30</v>
      </c>
      <c r="G152">
        <v>13.8</v>
      </c>
      <c r="H152">
        <v>1.9</v>
      </c>
      <c r="I152">
        <v>8.5</v>
      </c>
      <c r="J152">
        <v>3.7</v>
      </c>
      <c r="K152">
        <v>12</v>
      </c>
      <c r="L152">
        <v>10</v>
      </c>
      <c r="M152">
        <v>18.899999999999999</v>
      </c>
      <c r="N152">
        <v>14.3</v>
      </c>
    </row>
    <row r="153" spans="1:15" x14ac:dyDescent="0.2">
      <c r="A153" s="19">
        <v>43450</v>
      </c>
      <c r="B153" t="s">
        <v>237</v>
      </c>
      <c r="C153" t="s">
        <v>276</v>
      </c>
      <c r="D153" t="s">
        <v>299</v>
      </c>
      <c r="E153">
        <v>19.760000000000002</v>
      </c>
      <c r="F153">
        <v>9.8000000000000007</v>
      </c>
      <c r="G153">
        <v>2.1</v>
      </c>
      <c r="H153">
        <v>23.8</v>
      </c>
      <c r="I153">
        <v>11.3</v>
      </c>
      <c r="J153">
        <v>0</v>
      </c>
      <c r="K153">
        <v>2</v>
      </c>
      <c r="L153">
        <v>4</v>
      </c>
      <c r="M153">
        <v>37.9</v>
      </c>
      <c r="N153">
        <v>9.1</v>
      </c>
    </row>
    <row r="154" spans="1:15" x14ac:dyDescent="0.2">
      <c r="A154" s="19">
        <v>43450</v>
      </c>
      <c r="B154" t="s">
        <v>237</v>
      </c>
      <c r="C154" t="s">
        <v>278</v>
      </c>
      <c r="D154" t="s">
        <v>281</v>
      </c>
      <c r="E154">
        <v>14.38</v>
      </c>
      <c r="F154">
        <v>8.4</v>
      </c>
      <c r="G154">
        <v>11.6</v>
      </c>
      <c r="H154">
        <v>9.1999999999999993</v>
      </c>
      <c r="I154">
        <v>6.5</v>
      </c>
      <c r="J154">
        <v>8.3000000000000007</v>
      </c>
      <c r="K154">
        <v>12</v>
      </c>
      <c r="L154">
        <v>7</v>
      </c>
      <c r="M154">
        <v>33.299999999999997</v>
      </c>
      <c r="N154">
        <v>11.8</v>
      </c>
    </row>
    <row r="155" spans="1:15" x14ac:dyDescent="0.2">
      <c r="A155" s="19">
        <v>43450</v>
      </c>
      <c r="B155" t="s">
        <v>237</v>
      </c>
      <c r="C155" t="s">
        <v>281</v>
      </c>
      <c r="D155" t="s">
        <v>278</v>
      </c>
      <c r="E155">
        <v>14.12</v>
      </c>
      <c r="F155">
        <v>13</v>
      </c>
      <c r="G155">
        <v>6.7</v>
      </c>
      <c r="H155">
        <v>14.5</v>
      </c>
      <c r="I155">
        <v>4.5</v>
      </c>
      <c r="J155">
        <v>6</v>
      </c>
      <c r="K155">
        <v>6</v>
      </c>
      <c r="L155">
        <v>7</v>
      </c>
      <c r="M155">
        <v>29.4</v>
      </c>
      <c r="N155">
        <v>20</v>
      </c>
    </row>
    <row r="156" spans="1:15" x14ac:dyDescent="0.2">
      <c r="A156" s="19">
        <v>43450</v>
      </c>
      <c r="B156" t="s">
        <v>237</v>
      </c>
      <c r="C156" t="s">
        <v>284</v>
      </c>
      <c r="D156" t="s">
        <v>305</v>
      </c>
      <c r="E156">
        <v>5.28</v>
      </c>
      <c r="F156">
        <v>16.899999999999999</v>
      </c>
      <c r="G156">
        <v>19.100000000000001</v>
      </c>
      <c r="H156">
        <v>3.15</v>
      </c>
      <c r="I156">
        <v>11.7</v>
      </c>
      <c r="J156">
        <v>1.9</v>
      </c>
      <c r="K156">
        <v>6</v>
      </c>
      <c r="L156">
        <v>7</v>
      </c>
      <c r="M156">
        <v>42.3</v>
      </c>
      <c r="N156">
        <v>9.1</v>
      </c>
    </row>
    <row r="157" spans="1:15" x14ac:dyDescent="0.2">
      <c r="A157" s="19">
        <v>43450</v>
      </c>
      <c r="B157" t="s">
        <v>237</v>
      </c>
      <c r="C157" t="s">
        <v>285</v>
      </c>
      <c r="D157" t="s">
        <v>295</v>
      </c>
      <c r="E157">
        <v>11.52</v>
      </c>
      <c r="F157">
        <v>19.100000000000001</v>
      </c>
      <c r="G157">
        <v>15.2</v>
      </c>
      <c r="H157">
        <v>10.5</v>
      </c>
      <c r="I157">
        <v>8.4</v>
      </c>
      <c r="J157">
        <v>5.2</v>
      </c>
      <c r="K157">
        <v>2</v>
      </c>
      <c r="L157">
        <v>1</v>
      </c>
      <c r="M157">
        <v>51.7</v>
      </c>
      <c r="N157">
        <v>40</v>
      </c>
    </row>
    <row r="158" spans="1:15" x14ac:dyDescent="0.2">
      <c r="A158" s="19">
        <v>43450</v>
      </c>
      <c r="B158" t="s">
        <v>237</v>
      </c>
      <c r="C158" s="17" t="s">
        <v>287</v>
      </c>
      <c r="D158" t="s">
        <v>288</v>
      </c>
      <c r="E158">
        <v>23.52</v>
      </c>
      <c r="F158">
        <v>17.5</v>
      </c>
      <c r="H158">
        <v>36.5</v>
      </c>
      <c r="I158">
        <v>26.5</v>
      </c>
      <c r="J158">
        <v>9.4</v>
      </c>
      <c r="K158">
        <v>3</v>
      </c>
      <c r="L158">
        <v>1</v>
      </c>
      <c r="M158">
        <v>39.5</v>
      </c>
      <c r="N158">
        <v>29.4</v>
      </c>
    </row>
    <row r="159" spans="1:15" x14ac:dyDescent="0.2">
      <c r="A159" s="19">
        <v>43450</v>
      </c>
      <c r="B159" t="s">
        <v>237</v>
      </c>
      <c r="C159" t="s">
        <v>288</v>
      </c>
      <c r="D159" t="s">
        <v>287</v>
      </c>
      <c r="E159">
        <v>18.02</v>
      </c>
      <c r="F159">
        <v>30.3</v>
      </c>
      <c r="G159">
        <v>8.1</v>
      </c>
      <c r="H159">
        <v>3.9</v>
      </c>
      <c r="I159">
        <v>9.9</v>
      </c>
      <c r="J159">
        <v>13.1</v>
      </c>
      <c r="K159">
        <v>4</v>
      </c>
      <c r="L159">
        <v>8</v>
      </c>
      <c r="M159">
        <v>26.3</v>
      </c>
      <c r="N159">
        <v>20</v>
      </c>
    </row>
    <row r="160" spans="1:15" x14ac:dyDescent="0.2">
      <c r="A160" s="19">
        <v>43450</v>
      </c>
      <c r="B160" t="s">
        <v>237</v>
      </c>
      <c r="C160" t="s">
        <v>289</v>
      </c>
      <c r="D160" t="s">
        <v>291</v>
      </c>
      <c r="E160">
        <v>9.68</v>
      </c>
      <c r="F160">
        <v>29.9</v>
      </c>
      <c r="G160">
        <v>13.5</v>
      </c>
      <c r="H160">
        <v>2</v>
      </c>
      <c r="I160">
        <v>5.7</v>
      </c>
      <c r="J160">
        <v>1.8</v>
      </c>
      <c r="K160">
        <v>13</v>
      </c>
      <c r="L160">
        <v>19</v>
      </c>
      <c r="M160">
        <v>23.3</v>
      </c>
      <c r="N160">
        <v>0</v>
      </c>
    </row>
    <row r="161" spans="1:15" x14ac:dyDescent="0.2">
      <c r="A161" s="19">
        <v>43450</v>
      </c>
      <c r="B161" t="s">
        <v>237</v>
      </c>
      <c r="C161" s="17" t="s">
        <v>291</v>
      </c>
      <c r="D161" t="s">
        <v>289</v>
      </c>
      <c r="E161">
        <v>7.24</v>
      </c>
      <c r="F161">
        <v>18.8</v>
      </c>
      <c r="G161">
        <v>8.3000000000000007</v>
      </c>
      <c r="H161">
        <v>8.1999999999999993</v>
      </c>
      <c r="I161">
        <v>11.6</v>
      </c>
      <c r="J161">
        <v>8.5</v>
      </c>
      <c r="K161">
        <v>0</v>
      </c>
      <c r="L161">
        <v>2</v>
      </c>
      <c r="M161">
        <v>33.299999999999997</v>
      </c>
      <c r="N161">
        <v>21.4</v>
      </c>
      <c r="O161" s="15"/>
    </row>
    <row r="162" spans="1:15" x14ac:dyDescent="0.2">
      <c r="A162" s="19">
        <v>43450</v>
      </c>
      <c r="B162" t="s">
        <v>237</v>
      </c>
      <c r="C162" t="s">
        <v>293</v>
      </c>
      <c r="D162" t="s">
        <v>312</v>
      </c>
      <c r="E162">
        <v>4.42</v>
      </c>
      <c r="F162">
        <v>23.5</v>
      </c>
      <c r="G162">
        <v>2.7</v>
      </c>
      <c r="H162">
        <v>6</v>
      </c>
      <c r="I162">
        <v>5</v>
      </c>
      <c r="J162">
        <v>4.3</v>
      </c>
      <c r="K162">
        <v>5</v>
      </c>
      <c r="L162">
        <v>6</v>
      </c>
      <c r="M162">
        <v>58.8</v>
      </c>
      <c r="N162">
        <v>45</v>
      </c>
    </row>
    <row r="163" spans="1:15" x14ac:dyDescent="0.2">
      <c r="A163" s="19">
        <v>43450</v>
      </c>
      <c r="B163" t="s">
        <v>237</v>
      </c>
      <c r="C163" t="s">
        <v>294</v>
      </c>
      <c r="D163" t="s">
        <v>304</v>
      </c>
      <c r="E163">
        <v>10.3</v>
      </c>
      <c r="F163">
        <v>19.7</v>
      </c>
      <c r="G163">
        <v>27</v>
      </c>
      <c r="H163">
        <v>9.3000000000000007</v>
      </c>
      <c r="I163">
        <v>12.2</v>
      </c>
      <c r="J163">
        <v>5.2</v>
      </c>
      <c r="K163">
        <v>15</v>
      </c>
      <c r="L163">
        <v>7</v>
      </c>
      <c r="M163">
        <v>21.9</v>
      </c>
      <c r="N163">
        <v>0</v>
      </c>
    </row>
    <row r="164" spans="1:15" x14ac:dyDescent="0.2">
      <c r="A164" s="19">
        <v>43450</v>
      </c>
      <c r="B164" t="s">
        <v>237</v>
      </c>
      <c r="C164" s="18" t="s">
        <v>295</v>
      </c>
      <c r="D164" t="s">
        <v>285</v>
      </c>
      <c r="E164">
        <v>24.04</v>
      </c>
      <c r="F164">
        <v>23.5</v>
      </c>
      <c r="G164">
        <v>20.2</v>
      </c>
      <c r="H164">
        <v>9.1999999999999993</v>
      </c>
      <c r="I164">
        <v>17.399999999999999</v>
      </c>
      <c r="J164">
        <v>0</v>
      </c>
      <c r="K164">
        <v>10</v>
      </c>
      <c r="L164">
        <v>20</v>
      </c>
      <c r="M164">
        <v>33.299999999999997</v>
      </c>
      <c r="N164">
        <v>15.4</v>
      </c>
    </row>
    <row r="165" spans="1:15" x14ac:dyDescent="0.2">
      <c r="A165" s="19">
        <v>43450</v>
      </c>
      <c r="B165" t="s">
        <v>237</v>
      </c>
      <c r="C165" s="18" t="s">
        <v>296</v>
      </c>
      <c r="D165" t="s">
        <v>310</v>
      </c>
      <c r="E165">
        <v>7.16</v>
      </c>
      <c r="F165">
        <v>9.6</v>
      </c>
      <c r="H165">
        <v>4.8</v>
      </c>
      <c r="I165">
        <v>2.8</v>
      </c>
      <c r="J165">
        <v>15.5</v>
      </c>
      <c r="K165">
        <v>0</v>
      </c>
      <c r="L165">
        <v>2</v>
      </c>
      <c r="M165">
        <v>31.9</v>
      </c>
      <c r="N165">
        <v>20</v>
      </c>
    </row>
    <row r="166" spans="1:15" x14ac:dyDescent="0.2">
      <c r="A166" s="19">
        <v>43450</v>
      </c>
      <c r="B166" t="s">
        <v>237</v>
      </c>
      <c r="C166" s="16" t="s">
        <v>297</v>
      </c>
      <c r="D166" t="s">
        <v>306</v>
      </c>
      <c r="E166">
        <v>7.08</v>
      </c>
      <c r="F166">
        <f>9.4+3.2+2.1</f>
        <v>14.700000000000001</v>
      </c>
      <c r="G166">
        <v>13.1</v>
      </c>
      <c r="H166">
        <v>0</v>
      </c>
      <c r="I166">
        <v>5.0999999999999996</v>
      </c>
      <c r="J166">
        <v>1.7</v>
      </c>
      <c r="K166">
        <v>8</v>
      </c>
      <c r="L166">
        <v>10</v>
      </c>
      <c r="M166">
        <v>48.3</v>
      </c>
      <c r="N166">
        <v>42.9</v>
      </c>
    </row>
    <row r="167" spans="1:15" x14ac:dyDescent="0.2">
      <c r="A167" s="19">
        <v>43450</v>
      </c>
      <c r="B167" t="s">
        <v>237</v>
      </c>
      <c r="C167" s="18" t="s">
        <v>298</v>
      </c>
      <c r="D167" t="s">
        <v>311</v>
      </c>
      <c r="E167">
        <v>21.62</v>
      </c>
      <c r="F167">
        <v>15.1</v>
      </c>
      <c r="G167">
        <v>22.6</v>
      </c>
      <c r="H167">
        <v>2.9</v>
      </c>
      <c r="I167">
        <v>13.7</v>
      </c>
      <c r="J167">
        <v>8.3000000000000007</v>
      </c>
      <c r="K167">
        <v>4</v>
      </c>
      <c r="L167">
        <v>5</v>
      </c>
      <c r="M167">
        <v>42.2</v>
      </c>
      <c r="N167">
        <v>15.8</v>
      </c>
    </row>
    <row r="168" spans="1:15" x14ac:dyDescent="0.2">
      <c r="A168" s="19">
        <v>43450</v>
      </c>
      <c r="B168" t="s">
        <v>237</v>
      </c>
      <c r="C168" s="18" t="s">
        <v>299</v>
      </c>
      <c r="D168" t="s">
        <v>276</v>
      </c>
      <c r="E168">
        <v>12.32</v>
      </c>
      <c r="F168">
        <v>13.5</v>
      </c>
      <c r="G168">
        <v>24.6</v>
      </c>
      <c r="H168">
        <v>1.5</v>
      </c>
      <c r="I168">
        <v>21.1</v>
      </c>
      <c r="J168">
        <v>6.8</v>
      </c>
      <c r="K168">
        <v>1</v>
      </c>
      <c r="L168">
        <v>2</v>
      </c>
      <c r="M168">
        <v>44.8</v>
      </c>
      <c r="N168">
        <v>0</v>
      </c>
    </row>
    <row r="169" spans="1:15" x14ac:dyDescent="0.2">
      <c r="A169" s="19">
        <v>43450</v>
      </c>
      <c r="B169" t="s">
        <v>237</v>
      </c>
      <c r="C169" s="18" t="s">
        <v>300</v>
      </c>
      <c r="D169" t="s">
        <v>265</v>
      </c>
      <c r="E169">
        <v>14.46</v>
      </c>
      <c r="F169">
        <v>19.7</v>
      </c>
      <c r="G169">
        <v>24.9</v>
      </c>
      <c r="H169">
        <v>6</v>
      </c>
      <c r="I169">
        <v>9.6999999999999993</v>
      </c>
      <c r="J169">
        <v>6.2</v>
      </c>
      <c r="K169">
        <v>12</v>
      </c>
      <c r="L169">
        <v>3</v>
      </c>
      <c r="M169">
        <v>34</v>
      </c>
      <c r="N169">
        <v>29.4</v>
      </c>
    </row>
    <row r="170" spans="1:15" x14ac:dyDescent="0.2">
      <c r="A170" s="19">
        <v>43450</v>
      </c>
      <c r="B170" t="s">
        <v>237</v>
      </c>
      <c r="C170" s="18" t="s">
        <v>301</v>
      </c>
      <c r="D170" t="s">
        <v>307</v>
      </c>
      <c r="E170">
        <v>5.74</v>
      </c>
      <c r="F170">
        <v>26</v>
      </c>
      <c r="G170">
        <v>4.4000000000000004</v>
      </c>
      <c r="H170">
        <v>3.5</v>
      </c>
      <c r="I170">
        <v>6.3</v>
      </c>
      <c r="J170">
        <v>3.4</v>
      </c>
      <c r="K170">
        <v>1</v>
      </c>
      <c r="L170">
        <v>12</v>
      </c>
      <c r="M170">
        <v>35.299999999999997</v>
      </c>
      <c r="N170">
        <v>33.299999999999997</v>
      </c>
    </row>
    <row r="171" spans="1:15" x14ac:dyDescent="0.2">
      <c r="A171" s="19">
        <v>43450</v>
      </c>
      <c r="B171" t="s">
        <v>237</v>
      </c>
      <c r="C171" s="18" t="s">
        <v>302</v>
      </c>
      <c r="D171" t="s">
        <v>309</v>
      </c>
      <c r="E171">
        <v>14.16</v>
      </c>
      <c r="F171">
        <f>8.7+5.9</f>
        <v>14.6</v>
      </c>
      <c r="G171">
        <v>16</v>
      </c>
      <c r="H171">
        <v>2.9</v>
      </c>
      <c r="I171">
        <v>24.5</v>
      </c>
      <c r="J171">
        <v>4.0999999999999996</v>
      </c>
      <c r="K171">
        <v>4</v>
      </c>
      <c r="L171">
        <v>7</v>
      </c>
      <c r="M171">
        <v>24.3</v>
      </c>
      <c r="N171">
        <v>11.1</v>
      </c>
    </row>
    <row r="172" spans="1:15" x14ac:dyDescent="0.2">
      <c r="A172" s="19">
        <v>43450</v>
      </c>
      <c r="B172" t="s">
        <v>237</v>
      </c>
      <c r="C172" s="16" t="s">
        <v>303</v>
      </c>
      <c r="D172" t="s">
        <v>272</v>
      </c>
      <c r="E172">
        <v>13.62</v>
      </c>
      <c r="F172">
        <f>11.6+3.9</f>
        <v>15.5</v>
      </c>
      <c r="G172">
        <v>14.8</v>
      </c>
      <c r="H172">
        <v>5.7</v>
      </c>
      <c r="I172">
        <v>4.0999999999999996</v>
      </c>
      <c r="J172">
        <v>4.3</v>
      </c>
      <c r="K172">
        <v>13</v>
      </c>
      <c r="L172">
        <v>2</v>
      </c>
      <c r="M172">
        <v>37.200000000000003</v>
      </c>
      <c r="N172">
        <v>31.3</v>
      </c>
    </row>
    <row r="173" spans="1:15" x14ac:dyDescent="0.2">
      <c r="A173" s="19">
        <v>43450</v>
      </c>
      <c r="B173" t="s">
        <v>237</v>
      </c>
      <c r="C173" s="18" t="s">
        <v>304</v>
      </c>
      <c r="D173" t="s">
        <v>294</v>
      </c>
      <c r="E173">
        <v>15.66</v>
      </c>
      <c r="F173">
        <v>34.4</v>
      </c>
      <c r="G173">
        <v>16.3</v>
      </c>
      <c r="H173">
        <v>11.9</v>
      </c>
      <c r="I173">
        <v>11.8</v>
      </c>
      <c r="J173">
        <v>9.6</v>
      </c>
      <c r="K173">
        <v>12</v>
      </c>
      <c r="L173">
        <v>1</v>
      </c>
      <c r="M173">
        <v>29.8</v>
      </c>
      <c r="N173">
        <v>11.8</v>
      </c>
    </row>
    <row r="174" spans="1:15" x14ac:dyDescent="0.2">
      <c r="A174" s="19">
        <v>43450</v>
      </c>
      <c r="B174" t="s">
        <v>237</v>
      </c>
      <c r="C174" t="s">
        <v>305</v>
      </c>
      <c r="D174" t="s">
        <v>284</v>
      </c>
      <c r="E174">
        <v>17.739999999999998</v>
      </c>
      <c r="F174">
        <v>19.399999999999999</v>
      </c>
      <c r="G174">
        <v>10.8</v>
      </c>
      <c r="H174">
        <v>0</v>
      </c>
      <c r="I174">
        <v>17.3</v>
      </c>
      <c r="J174">
        <v>5.0999999999999996</v>
      </c>
      <c r="K174">
        <v>8</v>
      </c>
      <c r="L174">
        <v>7</v>
      </c>
      <c r="M174">
        <v>41.4</v>
      </c>
      <c r="N174">
        <v>16.7</v>
      </c>
    </row>
    <row r="175" spans="1:15" x14ac:dyDescent="0.2">
      <c r="A175" s="19">
        <v>43450</v>
      </c>
      <c r="B175" t="s">
        <v>237</v>
      </c>
      <c r="C175" t="s">
        <v>306</v>
      </c>
      <c r="D175" t="s">
        <v>297</v>
      </c>
      <c r="E175">
        <v>14.94</v>
      </c>
      <c r="F175">
        <v>9.1</v>
      </c>
      <c r="G175">
        <v>8.6</v>
      </c>
      <c r="H175">
        <v>0</v>
      </c>
      <c r="I175">
        <v>5.8</v>
      </c>
      <c r="J175">
        <v>3.6</v>
      </c>
      <c r="K175">
        <v>11</v>
      </c>
      <c r="L175">
        <v>14</v>
      </c>
      <c r="M175">
        <v>38.200000000000003</v>
      </c>
      <c r="N175">
        <v>30.8</v>
      </c>
    </row>
    <row r="176" spans="1:15" x14ac:dyDescent="0.2">
      <c r="A176" s="19">
        <v>43450</v>
      </c>
      <c r="B176" t="s">
        <v>237</v>
      </c>
      <c r="C176" t="s">
        <v>307</v>
      </c>
      <c r="D176" t="s">
        <v>301</v>
      </c>
      <c r="E176">
        <v>6.92</v>
      </c>
      <c r="F176">
        <v>23.3</v>
      </c>
      <c r="G176">
        <v>11.9</v>
      </c>
      <c r="H176">
        <v>3.5</v>
      </c>
      <c r="I176">
        <v>13.6</v>
      </c>
      <c r="J176">
        <v>3.8</v>
      </c>
      <c r="K176">
        <v>7</v>
      </c>
      <c r="L176">
        <v>12</v>
      </c>
      <c r="M176">
        <v>24.3</v>
      </c>
      <c r="N176">
        <v>22.2</v>
      </c>
    </row>
    <row r="177" spans="1:15" x14ac:dyDescent="0.2">
      <c r="A177" s="19">
        <v>43450</v>
      </c>
      <c r="B177" t="s">
        <v>237</v>
      </c>
      <c r="C177" t="s">
        <v>308</v>
      </c>
      <c r="D177" t="s">
        <v>256</v>
      </c>
      <c r="E177">
        <v>18.98</v>
      </c>
      <c r="F177">
        <v>29.8</v>
      </c>
      <c r="G177">
        <v>23.7</v>
      </c>
      <c r="H177">
        <v>7.6</v>
      </c>
      <c r="I177">
        <v>27.5</v>
      </c>
      <c r="J177">
        <v>0</v>
      </c>
      <c r="K177">
        <v>6</v>
      </c>
      <c r="L177">
        <v>5</v>
      </c>
      <c r="M177">
        <v>37.1</v>
      </c>
      <c r="N177">
        <v>23.1</v>
      </c>
    </row>
    <row r="178" spans="1:15" x14ac:dyDescent="0.2">
      <c r="A178" s="19">
        <v>43450</v>
      </c>
      <c r="B178" t="s">
        <v>237</v>
      </c>
      <c r="C178" t="s">
        <v>309</v>
      </c>
      <c r="D178" t="s">
        <v>302</v>
      </c>
      <c r="E178">
        <v>15.1</v>
      </c>
      <c r="F178">
        <v>22.2</v>
      </c>
      <c r="G178">
        <v>14.9</v>
      </c>
      <c r="H178">
        <v>8</v>
      </c>
      <c r="I178">
        <v>20.9</v>
      </c>
      <c r="J178">
        <v>9.3000000000000007</v>
      </c>
      <c r="K178">
        <v>6</v>
      </c>
      <c r="L178">
        <v>7</v>
      </c>
      <c r="M178">
        <v>33.299999999999997</v>
      </c>
      <c r="N178">
        <v>16.7</v>
      </c>
    </row>
    <row r="179" spans="1:15" x14ac:dyDescent="0.2">
      <c r="A179" s="19">
        <v>43450</v>
      </c>
      <c r="B179" t="s">
        <v>237</v>
      </c>
      <c r="C179" t="s">
        <v>310</v>
      </c>
      <c r="D179" t="s">
        <v>296</v>
      </c>
      <c r="E179">
        <v>4.62</v>
      </c>
      <c r="F179">
        <v>33.24</v>
      </c>
      <c r="G179">
        <v>6.3</v>
      </c>
      <c r="H179">
        <v>2.5</v>
      </c>
      <c r="I179">
        <v>4.3</v>
      </c>
      <c r="J179">
        <v>0</v>
      </c>
      <c r="K179">
        <v>5</v>
      </c>
      <c r="L179">
        <v>17</v>
      </c>
      <c r="M179">
        <v>19.100000000000001</v>
      </c>
      <c r="N179">
        <v>25</v>
      </c>
    </row>
    <row r="180" spans="1:15" x14ac:dyDescent="0.2">
      <c r="A180" s="19">
        <v>43450</v>
      </c>
      <c r="B180" t="s">
        <v>237</v>
      </c>
      <c r="C180" t="s">
        <v>311</v>
      </c>
      <c r="D180" t="s">
        <v>298</v>
      </c>
      <c r="E180">
        <v>22.36</v>
      </c>
      <c r="F180">
        <v>4.3</v>
      </c>
      <c r="G180">
        <v>42</v>
      </c>
      <c r="H180">
        <v>11.9</v>
      </c>
      <c r="I180">
        <v>19.600000000000001</v>
      </c>
      <c r="J180">
        <v>0.9</v>
      </c>
      <c r="K180">
        <v>22</v>
      </c>
      <c r="L180">
        <v>5</v>
      </c>
      <c r="M180">
        <v>60</v>
      </c>
      <c r="N180">
        <v>28.6</v>
      </c>
    </row>
    <row r="181" spans="1:15" x14ac:dyDescent="0.2">
      <c r="A181" s="19">
        <v>43450</v>
      </c>
      <c r="B181" t="s">
        <v>237</v>
      </c>
      <c r="C181" t="s">
        <v>312</v>
      </c>
      <c r="D181" t="s">
        <v>293</v>
      </c>
      <c r="E181">
        <v>16.3</v>
      </c>
      <c r="F181">
        <v>32.200000000000003</v>
      </c>
      <c r="G181">
        <v>3.9</v>
      </c>
      <c r="H181">
        <v>15.8</v>
      </c>
      <c r="I181">
        <v>2.2000000000000002</v>
      </c>
      <c r="J181">
        <v>5.3</v>
      </c>
      <c r="K181">
        <v>11</v>
      </c>
      <c r="L181">
        <v>13</v>
      </c>
      <c r="M181">
        <v>32</v>
      </c>
      <c r="N181">
        <v>25</v>
      </c>
      <c r="O181" s="15"/>
    </row>
    <row r="182" spans="1:15" x14ac:dyDescent="0.2">
      <c r="A182" s="19">
        <v>43457</v>
      </c>
      <c r="B182" t="s">
        <v>235</v>
      </c>
      <c r="C182" t="s">
        <v>256</v>
      </c>
      <c r="D182" t="s">
        <v>265</v>
      </c>
      <c r="E182">
        <v>8.64</v>
      </c>
      <c r="F182">
        <v>9.4</v>
      </c>
      <c r="G182">
        <v>5.0999999999999996</v>
      </c>
      <c r="H182">
        <v>11.3</v>
      </c>
      <c r="I182">
        <v>7.8</v>
      </c>
      <c r="J182">
        <v>14.4</v>
      </c>
      <c r="K182">
        <v>9</v>
      </c>
      <c r="L182">
        <v>8</v>
      </c>
      <c r="M182">
        <v>43.6</v>
      </c>
      <c r="N182">
        <v>5.9</v>
      </c>
    </row>
    <row r="183" spans="1:15" x14ac:dyDescent="0.2">
      <c r="A183" s="19">
        <v>43457</v>
      </c>
      <c r="B183" t="s">
        <v>235</v>
      </c>
      <c r="C183" t="s">
        <v>265</v>
      </c>
      <c r="D183" t="s">
        <v>256</v>
      </c>
      <c r="E183">
        <v>13.14</v>
      </c>
      <c r="F183">
        <v>8.9499999999999993</v>
      </c>
      <c r="G183">
        <v>14.4</v>
      </c>
      <c r="H183">
        <v>6.6</v>
      </c>
      <c r="I183">
        <v>10.3</v>
      </c>
      <c r="J183">
        <v>8</v>
      </c>
      <c r="K183">
        <v>2</v>
      </c>
      <c r="L183">
        <v>7</v>
      </c>
      <c r="M183">
        <v>29.4</v>
      </c>
      <c r="N183">
        <v>30</v>
      </c>
    </row>
    <row r="184" spans="1:15" x14ac:dyDescent="0.2">
      <c r="A184" s="19">
        <v>43457</v>
      </c>
      <c r="B184" t="s">
        <v>235</v>
      </c>
      <c r="C184" t="s">
        <v>272</v>
      </c>
      <c r="D184" t="s">
        <v>281</v>
      </c>
      <c r="E184">
        <v>17.420000000000002</v>
      </c>
      <c r="F184">
        <v>9.8000000000000007</v>
      </c>
      <c r="G184">
        <v>8</v>
      </c>
      <c r="H184">
        <v>7.6</v>
      </c>
      <c r="I184">
        <v>3.8</v>
      </c>
      <c r="J184">
        <v>14.9</v>
      </c>
      <c r="K184">
        <v>6</v>
      </c>
      <c r="L184">
        <v>2</v>
      </c>
      <c r="M184">
        <v>48</v>
      </c>
      <c r="N184">
        <v>25</v>
      </c>
    </row>
    <row r="185" spans="1:15" x14ac:dyDescent="0.2">
      <c r="A185" s="19">
        <v>43457</v>
      </c>
      <c r="B185" t="s">
        <v>235</v>
      </c>
      <c r="C185" t="s">
        <v>276</v>
      </c>
      <c r="D185" t="s">
        <v>302</v>
      </c>
      <c r="E185">
        <v>13.68</v>
      </c>
      <c r="F185">
        <v>4.9000000000000004</v>
      </c>
      <c r="G185">
        <v>17.7</v>
      </c>
      <c r="H185">
        <v>9.1999999999999993</v>
      </c>
      <c r="I185">
        <v>15</v>
      </c>
      <c r="J185">
        <v>8.5</v>
      </c>
      <c r="K185">
        <v>7</v>
      </c>
      <c r="L185">
        <v>7</v>
      </c>
      <c r="M185">
        <v>30.2</v>
      </c>
      <c r="N185">
        <v>0</v>
      </c>
    </row>
    <row r="186" spans="1:15" x14ac:dyDescent="0.2">
      <c r="A186" s="19">
        <v>43457</v>
      </c>
      <c r="B186" t="s">
        <v>235</v>
      </c>
      <c r="C186" t="s">
        <v>278</v>
      </c>
      <c r="D186" t="s">
        <v>303</v>
      </c>
      <c r="E186">
        <v>15.98</v>
      </c>
      <c r="F186">
        <v>14.9</v>
      </c>
      <c r="G186">
        <v>16</v>
      </c>
      <c r="H186">
        <v>18.5</v>
      </c>
      <c r="I186">
        <v>29.4</v>
      </c>
      <c r="J186">
        <v>3</v>
      </c>
      <c r="K186">
        <v>2</v>
      </c>
      <c r="L186">
        <v>1</v>
      </c>
      <c r="M186">
        <v>35</v>
      </c>
      <c r="N186">
        <v>7.1</v>
      </c>
    </row>
    <row r="187" spans="1:15" x14ac:dyDescent="0.2">
      <c r="A187" s="19">
        <v>43457</v>
      </c>
      <c r="B187" t="s">
        <v>235</v>
      </c>
      <c r="C187" t="s">
        <v>281</v>
      </c>
      <c r="D187" t="s">
        <v>272</v>
      </c>
      <c r="E187">
        <v>24.96</v>
      </c>
      <c r="F187">
        <v>16.5</v>
      </c>
      <c r="G187">
        <v>11.82</v>
      </c>
      <c r="H187">
        <v>18</v>
      </c>
      <c r="I187">
        <v>18.899999999999999</v>
      </c>
      <c r="J187">
        <v>16.3</v>
      </c>
      <c r="K187">
        <v>8</v>
      </c>
      <c r="L187">
        <v>4</v>
      </c>
      <c r="M187">
        <v>24.4</v>
      </c>
      <c r="N187">
        <v>0</v>
      </c>
    </row>
    <row r="188" spans="1:15" x14ac:dyDescent="0.2">
      <c r="A188" s="19">
        <v>43457</v>
      </c>
      <c r="B188" t="s">
        <v>235</v>
      </c>
      <c r="C188" t="s">
        <v>284</v>
      </c>
      <c r="D188" t="s">
        <v>291</v>
      </c>
      <c r="E188">
        <v>19.84</v>
      </c>
      <c r="F188">
        <v>8.6</v>
      </c>
      <c r="G188">
        <v>21</v>
      </c>
      <c r="H188">
        <v>9.5299999999999994</v>
      </c>
      <c r="I188">
        <v>18</v>
      </c>
      <c r="J188">
        <v>2.8</v>
      </c>
      <c r="K188">
        <v>9</v>
      </c>
      <c r="L188">
        <v>1</v>
      </c>
      <c r="M188">
        <v>37</v>
      </c>
      <c r="N188">
        <v>15</v>
      </c>
    </row>
    <row r="189" spans="1:15" x14ac:dyDescent="0.2">
      <c r="A189" s="19">
        <v>43457</v>
      </c>
      <c r="B189" t="s">
        <v>235</v>
      </c>
      <c r="C189" t="s">
        <v>285</v>
      </c>
      <c r="D189" t="s">
        <v>304</v>
      </c>
      <c r="E189">
        <f>8.38+2.52</f>
        <v>10.9</v>
      </c>
      <c r="F189">
        <v>13.7</v>
      </c>
      <c r="G189">
        <v>16.579999999999998</v>
      </c>
      <c r="H189">
        <v>12.2</v>
      </c>
      <c r="I189">
        <v>13.1</v>
      </c>
      <c r="J189">
        <v>1.3</v>
      </c>
      <c r="K189">
        <v>3</v>
      </c>
      <c r="L189">
        <v>3</v>
      </c>
      <c r="M189">
        <v>39.5</v>
      </c>
      <c r="N189">
        <v>26.7</v>
      </c>
    </row>
    <row r="190" spans="1:15" x14ac:dyDescent="0.2">
      <c r="A190" s="19">
        <v>43457</v>
      </c>
      <c r="B190" t="s">
        <v>235</v>
      </c>
      <c r="C190" s="17" t="s">
        <v>287</v>
      </c>
      <c r="D190" t="s">
        <v>305</v>
      </c>
      <c r="E190">
        <v>5.34</v>
      </c>
      <c r="F190">
        <v>14.4</v>
      </c>
      <c r="G190">
        <v>10.8</v>
      </c>
      <c r="H190">
        <v>2.1</v>
      </c>
      <c r="I190">
        <v>8.3000000000000007</v>
      </c>
      <c r="J190">
        <v>4.0999999999999996</v>
      </c>
      <c r="K190">
        <v>4</v>
      </c>
      <c r="L190">
        <v>6</v>
      </c>
      <c r="M190">
        <v>54.8</v>
      </c>
      <c r="N190">
        <v>17.399999999999999</v>
      </c>
    </row>
    <row r="191" spans="1:15" x14ac:dyDescent="0.2">
      <c r="A191" s="19">
        <v>43457</v>
      </c>
      <c r="B191" t="s">
        <v>235</v>
      </c>
      <c r="C191" t="s">
        <v>288</v>
      </c>
      <c r="D191" t="s">
        <v>308</v>
      </c>
      <c r="E191">
        <v>28.22</v>
      </c>
      <c r="F191">
        <v>29</v>
      </c>
      <c r="G191">
        <v>13.1</v>
      </c>
      <c r="H191">
        <v>7.4</v>
      </c>
      <c r="I191">
        <v>6.5</v>
      </c>
      <c r="J191">
        <v>10.4</v>
      </c>
      <c r="K191">
        <v>13</v>
      </c>
      <c r="L191">
        <v>-1</v>
      </c>
      <c r="M191">
        <v>40.9</v>
      </c>
      <c r="N191">
        <v>5.6</v>
      </c>
    </row>
    <row r="192" spans="1:15" x14ac:dyDescent="0.2">
      <c r="A192" s="19">
        <v>43457</v>
      </c>
      <c r="B192" t="s">
        <v>235</v>
      </c>
      <c r="C192" t="s">
        <v>289</v>
      </c>
      <c r="D192" t="s">
        <v>296</v>
      </c>
      <c r="E192">
        <v>25.58</v>
      </c>
      <c r="F192">
        <v>10.8</v>
      </c>
      <c r="G192">
        <v>23.8</v>
      </c>
      <c r="H192">
        <v>18.399999999999999</v>
      </c>
      <c r="I192">
        <v>42.4</v>
      </c>
      <c r="J192">
        <v>5.8</v>
      </c>
      <c r="K192">
        <v>4</v>
      </c>
      <c r="L192">
        <v>2</v>
      </c>
      <c r="M192">
        <v>36.700000000000003</v>
      </c>
      <c r="N192">
        <v>5.6</v>
      </c>
    </row>
    <row r="193" spans="1:14" x14ac:dyDescent="0.2">
      <c r="A193" s="19">
        <v>43457</v>
      </c>
      <c r="B193" t="s">
        <v>235</v>
      </c>
      <c r="C193" s="17" t="s">
        <v>291</v>
      </c>
      <c r="D193" t="s">
        <v>284</v>
      </c>
      <c r="E193">
        <v>16.64</v>
      </c>
      <c r="F193">
        <v>15.9</v>
      </c>
      <c r="G193">
        <v>6</v>
      </c>
      <c r="H193">
        <v>14.3</v>
      </c>
      <c r="I193">
        <v>14.2</v>
      </c>
      <c r="J193">
        <v>2.8</v>
      </c>
      <c r="K193">
        <v>11</v>
      </c>
      <c r="L193">
        <v>14</v>
      </c>
      <c r="M193">
        <v>38.5</v>
      </c>
      <c r="N193">
        <v>10</v>
      </c>
    </row>
    <row r="194" spans="1:14" x14ac:dyDescent="0.2">
      <c r="A194" s="19">
        <v>43457</v>
      </c>
      <c r="B194" t="s">
        <v>235</v>
      </c>
      <c r="C194" t="s">
        <v>293</v>
      </c>
      <c r="D194" t="s">
        <v>297</v>
      </c>
      <c r="E194">
        <v>11.04</v>
      </c>
      <c r="F194">
        <v>6.9</v>
      </c>
      <c r="G194">
        <v>1.5</v>
      </c>
      <c r="H194">
        <v>6.8</v>
      </c>
      <c r="I194">
        <v>2.2000000000000002</v>
      </c>
      <c r="J194">
        <v>1.5</v>
      </c>
      <c r="K194">
        <v>1</v>
      </c>
      <c r="L194">
        <v>12</v>
      </c>
      <c r="M194">
        <v>44.4</v>
      </c>
      <c r="N194">
        <v>25</v>
      </c>
    </row>
    <row r="195" spans="1:14" x14ac:dyDescent="0.2">
      <c r="A195" s="19">
        <v>43457</v>
      </c>
      <c r="B195" t="s">
        <v>235</v>
      </c>
      <c r="C195" t="s">
        <v>294</v>
      </c>
      <c r="D195" t="s">
        <v>311</v>
      </c>
      <c r="E195">
        <v>35.94</v>
      </c>
      <c r="F195">
        <v>1.1000000000000001</v>
      </c>
      <c r="G195">
        <v>11.2</v>
      </c>
      <c r="H195">
        <f>(25.6+3.3)/2</f>
        <v>14.450000000000001</v>
      </c>
      <c r="I195">
        <v>24.8</v>
      </c>
      <c r="J195">
        <v>38</v>
      </c>
      <c r="K195">
        <v>9</v>
      </c>
      <c r="L195">
        <v>5</v>
      </c>
      <c r="M195">
        <v>32</v>
      </c>
      <c r="N195">
        <v>6.3</v>
      </c>
    </row>
    <row r="196" spans="1:14" x14ac:dyDescent="0.2">
      <c r="A196" s="19">
        <v>43457</v>
      </c>
      <c r="B196" t="s">
        <v>235</v>
      </c>
      <c r="C196" t="s">
        <v>295</v>
      </c>
      <c r="D196" t="s">
        <v>301</v>
      </c>
      <c r="E196">
        <v>20.46</v>
      </c>
      <c r="F196">
        <v>5.0999999999999996</v>
      </c>
      <c r="G196">
        <v>12.8</v>
      </c>
      <c r="H196">
        <v>18</v>
      </c>
      <c r="I196">
        <v>8.8000000000000007</v>
      </c>
      <c r="J196">
        <v>5</v>
      </c>
      <c r="K196">
        <v>6</v>
      </c>
      <c r="L196">
        <v>14</v>
      </c>
      <c r="M196">
        <v>25.9</v>
      </c>
      <c r="N196">
        <v>14.3</v>
      </c>
    </row>
    <row r="197" spans="1:14" x14ac:dyDescent="0.2">
      <c r="A197" s="19">
        <v>43457</v>
      </c>
      <c r="B197" t="s">
        <v>235</v>
      </c>
      <c r="C197" t="s">
        <v>296</v>
      </c>
      <c r="D197" t="s">
        <v>289</v>
      </c>
      <c r="E197">
        <v>24.36</v>
      </c>
      <c r="F197">
        <v>18.7</v>
      </c>
      <c r="H197">
        <v>20</v>
      </c>
      <c r="I197">
        <v>7.2</v>
      </c>
      <c r="J197">
        <v>17.3</v>
      </c>
      <c r="K197">
        <v>10</v>
      </c>
      <c r="L197">
        <v>2</v>
      </c>
      <c r="M197">
        <v>33.299999999999997</v>
      </c>
      <c r="N197">
        <v>0</v>
      </c>
    </row>
    <row r="198" spans="1:14" x14ac:dyDescent="0.2">
      <c r="A198" s="19">
        <v>43457</v>
      </c>
      <c r="B198" t="s">
        <v>235</v>
      </c>
      <c r="C198" s="17" t="s">
        <v>297</v>
      </c>
      <c r="D198" t="s">
        <v>293</v>
      </c>
      <c r="E198">
        <v>7.5</v>
      </c>
      <c r="F198">
        <v>16.100000000000001</v>
      </c>
      <c r="G198">
        <v>12.4</v>
      </c>
      <c r="H198">
        <v>8.3000000000000007</v>
      </c>
      <c r="I198">
        <v>6.4</v>
      </c>
      <c r="J198">
        <v>0</v>
      </c>
      <c r="K198">
        <v>5</v>
      </c>
      <c r="L198">
        <v>17</v>
      </c>
      <c r="M198">
        <v>48.3</v>
      </c>
      <c r="N198">
        <v>42.9</v>
      </c>
    </row>
    <row r="199" spans="1:14" x14ac:dyDescent="0.2">
      <c r="A199" s="19">
        <v>43457</v>
      </c>
      <c r="B199" t="s">
        <v>235</v>
      </c>
      <c r="C199" t="s">
        <v>298</v>
      </c>
      <c r="D199" t="s">
        <v>300</v>
      </c>
      <c r="E199">
        <v>29.04</v>
      </c>
      <c r="F199">
        <v>23.5</v>
      </c>
      <c r="G199">
        <v>32</v>
      </c>
      <c r="H199">
        <v>9.5</v>
      </c>
      <c r="I199">
        <v>18.5</v>
      </c>
      <c r="J199">
        <v>20.2</v>
      </c>
      <c r="K199">
        <v>8</v>
      </c>
      <c r="L199">
        <v>8</v>
      </c>
      <c r="M199">
        <v>21.1</v>
      </c>
      <c r="N199">
        <v>25</v>
      </c>
    </row>
    <row r="200" spans="1:14" x14ac:dyDescent="0.2">
      <c r="A200" s="19">
        <v>43457</v>
      </c>
      <c r="B200" t="s">
        <v>235</v>
      </c>
      <c r="C200" t="s">
        <v>299</v>
      </c>
      <c r="D200" t="s">
        <v>312</v>
      </c>
      <c r="E200">
        <v>7.84</v>
      </c>
      <c r="F200">
        <v>4.4000000000000004</v>
      </c>
      <c r="G200">
        <v>11.8</v>
      </c>
      <c r="H200">
        <v>10.199999999999999</v>
      </c>
      <c r="I200">
        <v>11.2</v>
      </c>
      <c r="J200">
        <v>2.6</v>
      </c>
      <c r="K200">
        <v>11</v>
      </c>
      <c r="L200">
        <v>2</v>
      </c>
      <c r="M200">
        <v>25.5</v>
      </c>
      <c r="N200">
        <v>25</v>
      </c>
    </row>
    <row r="201" spans="1:14" x14ac:dyDescent="0.2">
      <c r="A201" s="19">
        <v>43457</v>
      </c>
      <c r="B201" t="s">
        <v>235</v>
      </c>
      <c r="C201" t="s">
        <v>300</v>
      </c>
      <c r="D201" t="s">
        <v>298</v>
      </c>
      <c r="E201">
        <v>45.88</v>
      </c>
      <c r="F201">
        <v>27.6</v>
      </c>
      <c r="G201">
        <v>24.1</v>
      </c>
      <c r="H201">
        <v>12.5</v>
      </c>
      <c r="I201">
        <v>22.7</v>
      </c>
      <c r="J201">
        <v>6.4</v>
      </c>
      <c r="K201">
        <v>13</v>
      </c>
      <c r="L201">
        <v>-2</v>
      </c>
      <c r="M201">
        <v>29</v>
      </c>
      <c r="N201">
        <v>22.2</v>
      </c>
    </row>
    <row r="202" spans="1:14" x14ac:dyDescent="0.2">
      <c r="A202" s="19">
        <v>43457</v>
      </c>
      <c r="B202" t="s">
        <v>235</v>
      </c>
      <c r="C202" t="s">
        <v>301</v>
      </c>
      <c r="D202" t="s">
        <v>295</v>
      </c>
      <c r="E202">
        <v>16.78</v>
      </c>
      <c r="F202">
        <v>32.799999999999997</v>
      </c>
      <c r="G202">
        <v>4.3</v>
      </c>
      <c r="H202">
        <v>11.1</v>
      </c>
      <c r="I202">
        <v>12.6</v>
      </c>
      <c r="J202">
        <v>14.8</v>
      </c>
      <c r="K202">
        <v>6</v>
      </c>
      <c r="L202">
        <v>5</v>
      </c>
      <c r="M202">
        <v>31.7</v>
      </c>
      <c r="N202">
        <v>10.5</v>
      </c>
    </row>
    <row r="203" spans="1:14" x14ac:dyDescent="0.2">
      <c r="A203" s="19">
        <v>43457</v>
      </c>
      <c r="B203" t="s">
        <v>235</v>
      </c>
      <c r="C203" t="s">
        <v>302</v>
      </c>
      <c r="D203" t="s">
        <v>276</v>
      </c>
      <c r="E203">
        <v>7.04</v>
      </c>
      <c r="F203">
        <v>20.6</v>
      </c>
      <c r="G203">
        <v>19</v>
      </c>
      <c r="H203">
        <v>7.9</v>
      </c>
      <c r="I203">
        <v>16.8</v>
      </c>
      <c r="J203">
        <v>0</v>
      </c>
      <c r="K203">
        <v>6</v>
      </c>
      <c r="L203">
        <v>10</v>
      </c>
      <c r="M203">
        <v>36</v>
      </c>
      <c r="N203">
        <v>11.1</v>
      </c>
    </row>
    <row r="204" spans="1:14" x14ac:dyDescent="0.2">
      <c r="A204" s="19">
        <v>43457</v>
      </c>
      <c r="B204" t="s">
        <v>235</v>
      </c>
      <c r="C204" s="17" t="s">
        <v>303</v>
      </c>
      <c r="D204" t="s">
        <v>278</v>
      </c>
      <c r="E204">
        <v>6.38</v>
      </c>
      <c r="F204">
        <v>21.6</v>
      </c>
      <c r="G204">
        <v>14.5</v>
      </c>
      <c r="H204">
        <v>3.4</v>
      </c>
      <c r="I204">
        <v>2.1</v>
      </c>
      <c r="J204">
        <v>4</v>
      </c>
      <c r="L204">
        <v>12</v>
      </c>
      <c r="M204">
        <v>14.8</v>
      </c>
      <c r="N204">
        <v>25</v>
      </c>
    </row>
    <row r="205" spans="1:14" x14ac:dyDescent="0.2">
      <c r="A205" s="19">
        <v>43457</v>
      </c>
      <c r="B205" t="s">
        <v>235</v>
      </c>
      <c r="C205" t="s">
        <v>304</v>
      </c>
      <c r="D205" t="s">
        <v>285</v>
      </c>
      <c r="E205">
        <v>18.239999999999998</v>
      </c>
      <c r="F205">
        <v>26.2</v>
      </c>
      <c r="G205">
        <v>28.4</v>
      </c>
      <c r="H205">
        <v>9.1999999999999993</v>
      </c>
      <c r="I205">
        <v>10</v>
      </c>
      <c r="J205">
        <v>9.4</v>
      </c>
      <c r="K205">
        <v>7</v>
      </c>
      <c r="L205">
        <v>8</v>
      </c>
      <c r="M205">
        <v>44.4</v>
      </c>
      <c r="N205">
        <v>16.7</v>
      </c>
    </row>
    <row r="206" spans="1:14" x14ac:dyDescent="0.2">
      <c r="A206" s="19">
        <v>43457</v>
      </c>
      <c r="B206" t="s">
        <v>235</v>
      </c>
      <c r="C206" t="s">
        <v>305</v>
      </c>
      <c r="D206" t="s">
        <v>287</v>
      </c>
      <c r="E206">
        <v>16.059999999999999</v>
      </c>
      <c r="F206">
        <v>11.5</v>
      </c>
      <c r="G206">
        <v>0</v>
      </c>
      <c r="H206">
        <v>4.7</v>
      </c>
      <c r="I206">
        <v>0</v>
      </c>
      <c r="J206">
        <v>16.3</v>
      </c>
      <c r="K206">
        <v>12</v>
      </c>
      <c r="L206">
        <v>20</v>
      </c>
      <c r="M206">
        <v>42.9</v>
      </c>
      <c r="N206">
        <v>25</v>
      </c>
    </row>
    <row r="207" spans="1:14" x14ac:dyDescent="0.2">
      <c r="A207" s="19">
        <v>43457</v>
      </c>
      <c r="B207" t="s">
        <v>235</v>
      </c>
      <c r="C207" t="s">
        <v>306</v>
      </c>
      <c r="D207" t="s">
        <v>310</v>
      </c>
      <c r="E207">
        <v>10.32</v>
      </c>
      <c r="F207">
        <v>16.7</v>
      </c>
      <c r="G207">
        <v>12.8</v>
      </c>
      <c r="H207">
        <v>6</v>
      </c>
      <c r="I207">
        <v>15.1</v>
      </c>
      <c r="J207">
        <v>0</v>
      </c>
      <c r="K207">
        <v>14</v>
      </c>
      <c r="L207">
        <v>4</v>
      </c>
      <c r="M207">
        <v>38.5</v>
      </c>
      <c r="N207">
        <v>20</v>
      </c>
    </row>
    <row r="208" spans="1:14" x14ac:dyDescent="0.2">
      <c r="A208" s="19">
        <v>43457</v>
      </c>
      <c r="B208" t="s">
        <v>235</v>
      </c>
      <c r="C208" t="s">
        <v>307</v>
      </c>
      <c r="D208" t="s">
        <v>309</v>
      </c>
      <c r="E208">
        <v>19.940000000000001</v>
      </c>
      <c r="F208">
        <v>26.5</v>
      </c>
      <c r="G208">
        <v>30.9</v>
      </c>
      <c r="H208">
        <v>12.4</v>
      </c>
      <c r="I208">
        <v>19.5</v>
      </c>
      <c r="J208">
        <v>2.1</v>
      </c>
      <c r="K208">
        <v>8</v>
      </c>
      <c r="L208">
        <v>6</v>
      </c>
      <c r="M208">
        <v>39</v>
      </c>
      <c r="N208">
        <v>12.5</v>
      </c>
    </row>
    <row r="209" spans="1:15" x14ac:dyDescent="0.2">
      <c r="A209" s="19">
        <v>43457</v>
      </c>
      <c r="B209" t="s">
        <v>235</v>
      </c>
      <c r="C209" t="s">
        <v>308</v>
      </c>
      <c r="D209" t="s">
        <v>288</v>
      </c>
      <c r="E209">
        <v>28.54</v>
      </c>
      <c r="F209">
        <v>26.6</v>
      </c>
      <c r="G209">
        <v>28.6</v>
      </c>
      <c r="H209">
        <v>13.9</v>
      </c>
      <c r="I209">
        <v>10.3</v>
      </c>
      <c r="J209">
        <v>9.1</v>
      </c>
      <c r="K209">
        <v>8</v>
      </c>
      <c r="L209">
        <v>4</v>
      </c>
      <c r="M209">
        <v>52.8</v>
      </c>
      <c r="N209">
        <v>15.8</v>
      </c>
    </row>
    <row r="210" spans="1:15" x14ac:dyDescent="0.2">
      <c r="A210" s="19">
        <v>43457</v>
      </c>
      <c r="B210" t="s">
        <v>235</v>
      </c>
      <c r="C210" t="s">
        <v>309</v>
      </c>
      <c r="D210" t="s">
        <v>307</v>
      </c>
      <c r="E210">
        <v>32.6</v>
      </c>
      <c r="F210">
        <v>15.4</v>
      </c>
      <c r="G210">
        <v>47.5</v>
      </c>
      <c r="H210">
        <v>24.5</v>
      </c>
      <c r="I210">
        <v>30.6</v>
      </c>
      <c r="J210">
        <v>5.9</v>
      </c>
      <c r="K210">
        <v>9</v>
      </c>
      <c r="L210">
        <v>5</v>
      </c>
      <c r="M210">
        <v>25.9</v>
      </c>
      <c r="N210">
        <v>21.4</v>
      </c>
    </row>
    <row r="211" spans="1:15" x14ac:dyDescent="0.2">
      <c r="A211" s="19">
        <v>43457</v>
      </c>
      <c r="B211" t="s">
        <v>235</v>
      </c>
      <c r="C211" t="s">
        <v>310</v>
      </c>
      <c r="D211" t="s">
        <v>306</v>
      </c>
      <c r="E211">
        <f>8.04+5.1</f>
        <v>13.139999999999999</v>
      </c>
      <c r="F211">
        <v>16.2</v>
      </c>
      <c r="G211">
        <v>7.6</v>
      </c>
      <c r="H211">
        <v>9.4</v>
      </c>
      <c r="I211">
        <v>5.9</v>
      </c>
      <c r="J211">
        <v>3.6</v>
      </c>
      <c r="K211">
        <v>8</v>
      </c>
      <c r="L211">
        <v>13</v>
      </c>
      <c r="M211">
        <v>39.299999999999997</v>
      </c>
      <c r="N211">
        <v>27.2</v>
      </c>
      <c r="O211" s="15"/>
    </row>
    <row r="212" spans="1:15" x14ac:dyDescent="0.2">
      <c r="A212" s="19">
        <v>43457</v>
      </c>
      <c r="B212" t="s">
        <v>235</v>
      </c>
      <c r="C212" t="s">
        <v>311</v>
      </c>
      <c r="D212" t="s">
        <v>294</v>
      </c>
      <c r="E212">
        <v>40.46</v>
      </c>
      <c r="F212">
        <v>8</v>
      </c>
      <c r="G212">
        <v>22.4</v>
      </c>
      <c r="H212">
        <v>6.7</v>
      </c>
      <c r="I212">
        <v>17.7</v>
      </c>
      <c r="J212">
        <v>3.5</v>
      </c>
      <c r="K212">
        <v>6</v>
      </c>
      <c r="L212">
        <v>6</v>
      </c>
      <c r="M212">
        <v>42</v>
      </c>
      <c r="N212">
        <v>19</v>
      </c>
    </row>
    <row r="213" spans="1:15" x14ac:dyDescent="0.2">
      <c r="A213" s="19">
        <v>43457</v>
      </c>
      <c r="B213" t="s">
        <v>235</v>
      </c>
      <c r="C213" t="s">
        <v>312</v>
      </c>
      <c r="D213" t="s">
        <v>299</v>
      </c>
      <c r="E213">
        <v>22.22</v>
      </c>
      <c r="F213">
        <v>13.8</v>
      </c>
      <c r="G213">
        <v>13.3</v>
      </c>
      <c r="H213">
        <v>9</v>
      </c>
      <c r="I213">
        <v>5.7</v>
      </c>
      <c r="J213">
        <v>36.200000000000003</v>
      </c>
      <c r="K213">
        <v>9</v>
      </c>
      <c r="L213">
        <v>7</v>
      </c>
      <c r="M213">
        <v>26.7</v>
      </c>
      <c r="N213">
        <v>25</v>
      </c>
    </row>
    <row r="214" spans="1:15" x14ac:dyDescent="0.2">
      <c r="A214" s="19">
        <v>43387</v>
      </c>
      <c r="B214" s="13" t="s">
        <v>252</v>
      </c>
      <c r="C214" t="s">
        <v>256</v>
      </c>
      <c r="D214" s="13" t="s">
        <v>300</v>
      </c>
      <c r="E214">
        <v>18.899999999999999</v>
      </c>
      <c r="F214">
        <v>12.1</v>
      </c>
      <c r="G214">
        <v>32.1</v>
      </c>
      <c r="H214">
        <v>7.7</v>
      </c>
      <c r="J214">
        <v>7</v>
      </c>
      <c r="K214">
        <v>12</v>
      </c>
      <c r="L214" s="14">
        <v>2</v>
      </c>
    </row>
    <row r="215" spans="1:15" x14ac:dyDescent="0.2">
      <c r="A215" s="19">
        <v>43387</v>
      </c>
      <c r="B215" s="13" t="s">
        <v>252</v>
      </c>
      <c r="C215" t="s">
        <v>265</v>
      </c>
      <c r="D215" s="13" t="s">
        <v>293</v>
      </c>
      <c r="E215">
        <v>31.34</v>
      </c>
      <c r="F215">
        <v>24.1</v>
      </c>
      <c r="G215">
        <v>17.399999999999999</v>
      </c>
      <c r="H215">
        <v>19.899999999999999</v>
      </c>
      <c r="J215">
        <v>12.3</v>
      </c>
      <c r="K215">
        <v>4</v>
      </c>
      <c r="L215" s="14">
        <v>5</v>
      </c>
    </row>
    <row r="216" spans="1:15" x14ac:dyDescent="0.2">
      <c r="A216" s="19">
        <v>43387</v>
      </c>
      <c r="B216" s="13" t="s">
        <v>252</v>
      </c>
      <c r="C216" t="s">
        <v>272</v>
      </c>
      <c r="D216" s="13" t="s">
        <v>309</v>
      </c>
      <c r="E216">
        <v>17.16</v>
      </c>
      <c r="F216">
        <v>18.399999999999999</v>
      </c>
      <c r="G216">
        <v>15.5</v>
      </c>
      <c r="H216">
        <v>25.2</v>
      </c>
      <c r="J216">
        <v>11.4</v>
      </c>
      <c r="K216">
        <v>3</v>
      </c>
      <c r="L216" s="14">
        <v>-1</v>
      </c>
    </row>
    <row r="217" spans="1:15" x14ac:dyDescent="0.2">
      <c r="A217" s="19">
        <v>43387</v>
      </c>
      <c r="B217" s="13" t="s">
        <v>252</v>
      </c>
      <c r="C217" t="s">
        <v>276</v>
      </c>
      <c r="D217" s="13" t="s">
        <v>311</v>
      </c>
      <c r="E217">
        <v>5.36</v>
      </c>
      <c r="F217">
        <v>12.4</v>
      </c>
      <c r="G217">
        <v>12.5</v>
      </c>
      <c r="H217">
        <v>0.2</v>
      </c>
      <c r="J217">
        <v>0</v>
      </c>
      <c r="K217">
        <v>9</v>
      </c>
      <c r="L217" s="14">
        <v>14</v>
      </c>
    </row>
    <row r="218" spans="1:15" x14ac:dyDescent="0.2">
      <c r="A218" s="19">
        <v>43387</v>
      </c>
      <c r="B218" s="13" t="s">
        <v>252</v>
      </c>
      <c r="C218" t="s">
        <v>278</v>
      </c>
      <c r="D218" s="13" t="s">
        <v>304</v>
      </c>
      <c r="E218">
        <v>19.48</v>
      </c>
      <c r="F218">
        <v>12.6</v>
      </c>
      <c r="G218">
        <v>27.5</v>
      </c>
      <c r="H218">
        <v>18.5</v>
      </c>
      <c r="J218">
        <v>5.3</v>
      </c>
      <c r="K218">
        <v>8</v>
      </c>
      <c r="L218" s="14">
        <v>7</v>
      </c>
    </row>
    <row r="219" spans="1:15" x14ac:dyDescent="0.2">
      <c r="A219" s="19">
        <v>43387</v>
      </c>
      <c r="B219" s="13" t="s">
        <v>252</v>
      </c>
      <c r="C219" t="s">
        <v>281</v>
      </c>
      <c r="D219" s="13" t="s">
        <v>287</v>
      </c>
      <c r="E219">
        <v>14.32</v>
      </c>
      <c r="F219">
        <v>3.4</v>
      </c>
      <c r="G219">
        <v>3.1</v>
      </c>
      <c r="H219">
        <v>4.9000000000000004</v>
      </c>
      <c r="J219">
        <v>18.5</v>
      </c>
      <c r="K219">
        <v>6</v>
      </c>
      <c r="L219" s="14">
        <v>-1</v>
      </c>
    </row>
    <row r="220" spans="1:15" x14ac:dyDescent="0.2">
      <c r="A220" s="19">
        <v>43387</v>
      </c>
      <c r="B220" s="13" t="s">
        <v>252</v>
      </c>
      <c r="C220" t="s">
        <v>284</v>
      </c>
      <c r="D220" s="13" t="s">
        <v>295</v>
      </c>
      <c r="E220">
        <v>35.700000000000003</v>
      </c>
      <c r="F220">
        <v>20.6</v>
      </c>
      <c r="G220">
        <v>9.8000000000000007</v>
      </c>
      <c r="H220">
        <v>17.600000000000001</v>
      </c>
      <c r="J220">
        <v>16.2</v>
      </c>
      <c r="K220">
        <v>11</v>
      </c>
      <c r="L220" s="14">
        <v>0</v>
      </c>
    </row>
    <row r="221" spans="1:15" x14ac:dyDescent="0.2">
      <c r="A221" s="19">
        <v>43387</v>
      </c>
      <c r="B221" s="13" t="s">
        <v>252</v>
      </c>
      <c r="C221" t="s">
        <v>285</v>
      </c>
      <c r="D221" s="13" t="s">
        <v>312</v>
      </c>
      <c r="E221">
        <v>8.6</v>
      </c>
      <c r="F221">
        <v>13.9</v>
      </c>
      <c r="G221">
        <v>8.9</v>
      </c>
      <c r="H221">
        <v>13.7</v>
      </c>
      <c r="J221">
        <v>11.9</v>
      </c>
      <c r="K221">
        <v>5</v>
      </c>
      <c r="L221" s="14">
        <v>14</v>
      </c>
    </row>
    <row r="222" spans="1:15" x14ac:dyDescent="0.2">
      <c r="A222" s="19">
        <v>43387</v>
      </c>
      <c r="B222" s="13" t="s">
        <v>252</v>
      </c>
      <c r="C222" s="17" t="s">
        <v>287</v>
      </c>
      <c r="D222" s="13" t="s">
        <v>281</v>
      </c>
      <c r="E222">
        <v>15.28</v>
      </c>
      <c r="F222">
        <v>38</v>
      </c>
      <c r="G222">
        <v>14.3</v>
      </c>
      <c r="H222">
        <v>25.9</v>
      </c>
      <c r="J222">
        <v>1.5</v>
      </c>
      <c r="K222">
        <v>8</v>
      </c>
      <c r="L222" s="14">
        <v>10</v>
      </c>
      <c r="O222" s="15"/>
    </row>
    <row r="223" spans="1:15" x14ac:dyDescent="0.2">
      <c r="A223" s="19">
        <v>43387</v>
      </c>
      <c r="B223" s="13" t="s">
        <v>252</v>
      </c>
      <c r="C223" t="s">
        <v>288</v>
      </c>
      <c r="D223" s="13" t="s">
        <v>302</v>
      </c>
      <c r="E223">
        <v>31.98</v>
      </c>
      <c r="F223">
        <v>24.5</v>
      </c>
      <c r="G223">
        <v>42.2</v>
      </c>
      <c r="H223">
        <v>3.7</v>
      </c>
      <c r="J223">
        <v>11.1</v>
      </c>
      <c r="K223">
        <v>16</v>
      </c>
      <c r="L223" s="14">
        <v>0</v>
      </c>
    </row>
    <row r="224" spans="1:15" x14ac:dyDescent="0.2">
      <c r="A224" s="19">
        <v>43387</v>
      </c>
      <c r="B224" s="13" t="s">
        <v>252</v>
      </c>
      <c r="C224" t="s">
        <v>289</v>
      </c>
      <c r="D224" s="13" t="s">
        <v>298</v>
      </c>
      <c r="E224">
        <v>28.74</v>
      </c>
      <c r="F224">
        <v>10.3</v>
      </c>
      <c r="G224">
        <v>15.5</v>
      </c>
      <c r="H224">
        <v>9.3000000000000007</v>
      </c>
      <c r="J224">
        <v>17</v>
      </c>
      <c r="K224">
        <v>10</v>
      </c>
      <c r="L224" s="14">
        <v>2</v>
      </c>
    </row>
    <row r="225" spans="1:15" x14ac:dyDescent="0.2">
      <c r="A225" s="19">
        <v>43387</v>
      </c>
      <c r="B225" s="13" t="s">
        <v>252</v>
      </c>
      <c r="C225" s="16" t="s">
        <v>291</v>
      </c>
      <c r="D225" s="13" t="s">
        <v>297</v>
      </c>
      <c r="E225">
        <v>29.52</v>
      </c>
      <c r="F225">
        <v>21.7</v>
      </c>
      <c r="G225">
        <v>22.1</v>
      </c>
      <c r="H225">
        <v>3.7</v>
      </c>
      <c r="J225">
        <v>4.0999999999999996</v>
      </c>
      <c r="K225">
        <v>20</v>
      </c>
      <c r="L225" s="14">
        <v>11</v>
      </c>
    </row>
    <row r="226" spans="1:15" x14ac:dyDescent="0.2">
      <c r="A226" s="19">
        <v>43387</v>
      </c>
      <c r="B226" s="13" t="s">
        <v>252</v>
      </c>
      <c r="C226" s="18" t="s">
        <v>293</v>
      </c>
      <c r="D226" s="13" t="s">
        <v>265</v>
      </c>
      <c r="E226">
        <v>31</v>
      </c>
      <c r="F226">
        <v>10.8</v>
      </c>
      <c r="G226">
        <v>36</v>
      </c>
      <c r="H226">
        <v>6.5</v>
      </c>
      <c r="J226">
        <v>2.1</v>
      </c>
      <c r="K226">
        <v>13</v>
      </c>
      <c r="L226" s="14">
        <v>7</v>
      </c>
    </row>
    <row r="227" spans="1:15" x14ac:dyDescent="0.2">
      <c r="A227" s="19">
        <v>43387</v>
      </c>
      <c r="B227" s="13" t="s">
        <v>252</v>
      </c>
      <c r="C227" s="18" t="s">
        <v>294</v>
      </c>
      <c r="D227" s="13" t="s">
        <v>296</v>
      </c>
      <c r="E227">
        <v>24.52</v>
      </c>
      <c r="F227">
        <v>15.9</v>
      </c>
      <c r="G227">
        <v>27.4</v>
      </c>
      <c r="H227">
        <v>12.1</v>
      </c>
      <c r="J227">
        <v>17.3</v>
      </c>
      <c r="K227">
        <v>10</v>
      </c>
      <c r="L227" s="14">
        <v>10</v>
      </c>
    </row>
    <row r="228" spans="1:15" x14ac:dyDescent="0.2">
      <c r="A228" s="19">
        <v>43387</v>
      </c>
      <c r="B228" s="13" t="s">
        <v>252</v>
      </c>
      <c r="C228" s="18" t="s">
        <v>295</v>
      </c>
      <c r="D228" s="13" t="s">
        <v>284</v>
      </c>
      <c r="E228">
        <v>30.5</v>
      </c>
      <c r="F228">
        <v>11.1</v>
      </c>
      <c r="G228">
        <v>27.4</v>
      </c>
      <c r="H228">
        <v>7.7</v>
      </c>
      <c r="J228">
        <v>22.1</v>
      </c>
      <c r="K228">
        <v>12</v>
      </c>
      <c r="L228" s="14">
        <v>5</v>
      </c>
    </row>
    <row r="229" spans="1:15" x14ac:dyDescent="0.2">
      <c r="A229" s="19">
        <v>43387</v>
      </c>
      <c r="B229" s="13" t="s">
        <v>252</v>
      </c>
      <c r="C229" s="18" t="s">
        <v>296</v>
      </c>
      <c r="D229" s="13" t="s">
        <v>294</v>
      </c>
      <c r="E229">
        <v>10.24</v>
      </c>
      <c r="F229">
        <v>40.9</v>
      </c>
      <c r="G229">
        <v>9.4</v>
      </c>
      <c r="H229">
        <v>6.7</v>
      </c>
      <c r="J229">
        <v>3.4</v>
      </c>
      <c r="K229">
        <v>7</v>
      </c>
      <c r="L229" s="14">
        <v>0</v>
      </c>
    </row>
    <row r="230" spans="1:15" x14ac:dyDescent="0.2">
      <c r="A230" s="19">
        <v>43387</v>
      </c>
      <c r="B230" s="13" t="s">
        <v>252</v>
      </c>
      <c r="C230" s="16" t="s">
        <v>297</v>
      </c>
      <c r="D230" s="13" t="s">
        <v>291</v>
      </c>
      <c r="E230">
        <v>10.16</v>
      </c>
      <c r="F230">
        <v>10</v>
      </c>
      <c r="G230">
        <v>12.8</v>
      </c>
      <c r="H230">
        <v>7.1</v>
      </c>
      <c r="J230">
        <v>5.9</v>
      </c>
      <c r="K230">
        <v>1</v>
      </c>
      <c r="L230" s="14">
        <v>-1</v>
      </c>
    </row>
    <row r="231" spans="1:15" x14ac:dyDescent="0.2">
      <c r="A231" s="19">
        <v>43387</v>
      </c>
      <c r="B231" s="13" t="s">
        <v>252</v>
      </c>
      <c r="C231" s="18" t="s">
        <v>298</v>
      </c>
      <c r="D231" s="13" t="s">
        <v>289</v>
      </c>
      <c r="E231">
        <v>19</v>
      </c>
      <c r="F231">
        <v>7.2</v>
      </c>
      <c r="G231">
        <v>18.399999999999999</v>
      </c>
      <c r="H231">
        <v>6.9</v>
      </c>
      <c r="J231">
        <v>13.6</v>
      </c>
      <c r="K231">
        <v>24</v>
      </c>
      <c r="L231" s="14">
        <v>13</v>
      </c>
    </row>
    <row r="232" spans="1:15" x14ac:dyDescent="0.2">
      <c r="A232" s="19">
        <v>43387</v>
      </c>
      <c r="B232" s="13" t="s">
        <v>252</v>
      </c>
      <c r="C232" s="18" t="s">
        <v>300</v>
      </c>
      <c r="D232" s="13" t="s">
        <v>256</v>
      </c>
      <c r="E232">
        <v>31.4</v>
      </c>
      <c r="F232">
        <v>4.9000000000000004</v>
      </c>
      <c r="G232">
        <v>38.200000000000003</v>
      </c>
      <c r="H232">
        <v>16.3</v>
      </c>
      <c r="J232">
        <v>18.399999999999999</v>
      </c>
      <c r="K232">
        <v>17</v>
      </c>
      <c r="L232" s="14">
        <v>7</v>
      </c>
      <c r="O232" s="15"/>
    </row>
    <row r="233" spans="1:15" x14ac:dyDescent="0.2">
      <c r="A233" s="19">
        <v>43387</v>
      </c>
      <c r="B233" s="13" t="s">
        <v>252</v>
      </c>
      <c r="C233" s="18" t="s">
        <v>301</v>
      </c>
      <c r="D233" s="13" t="s">
        <v>306</v>
      </c>
      <c r="E233">
        <v>24.3</v>
      </c>
      <c r="F233">
        <v>13.6</v>
      </c>
      <c r="G233">
        <v>13.4</v>
      </c>
      <c r="H233">
        <v>9.6999999999999993</v>
      </c>
      <c r="J233">
        <v>8.8000000000000007</v>
      </c>
      <c r="K233">
        <v>5</v>
      </c>
      <c r="L233" s="14">
        <v>3</v>
      </c>
    </row>
    <row r="234" spans="1:15" x14ac:dyDescent="0.2">
      <c r="A234" s="19">
        <v>43387</v>
      </c>
      <c r="B234" s="13" t="s">
        <v>252</v>
      </c>
      <c r="C234" s="18" t="s">
        <v>302</v>
      </c>
      <c r="D234" s="13" t="s">
        <v>288</v>
      </c>
      <c r="E234">
        <v>25.8</v>
      </c>
      <c r="F234">
        <v>14.2</v>
      </c>
      <c r="G234">
        <v>16.100000000000001</v>
      </c>
      <c r="H234">
        <v>9.1999999999999993</v>
      </c>
      <c r="J234">
        <v>12.7</v>
      </c>
      <c r="K234">
        <v>21</v>
      </c>
      <c r="L234" s="14">
        <v>0</v>
      </c>
    </row>
    <row r="235" spans="1:15" x14ac:dyDescent="0.2">
      <c r="A235" s="19">
        <v>43387</v>
      </c>
      <c r="B235" s="13" t="s">
        <v>252</v>
      </c>
      <c r="C235" s="17" t="s">
        <v>303</v>
      </c>
      <c r="D235" s="13" t="s">
        <v>308</v>
      </c>
      <c r="E235">
        <v>6.78</v>
      </c>
      <c r="F235">
        <v>8.9</v>
      </c>
      <c r="G235">
        <v>2.6</v>
      </c>
      <c r="H235">
        <v>8.1</v>
      </c>
      <c r="J235">
        <v>3</v>
      </c>
      <c r="K235">
        <v>4</v>
      </c>
      <c r="L235" s="14">
        <v>3</v>
      </c>
    </row>
    <row r="236" spans="1:15" x14ac:dyDescent="0.2">
      <c r="A236" s="19">
        <v>43387</v>
      </c>
      <c r="B236" s="13" t="s">
        <v>252</v>
      </c>
      <c r="C236" t="s">
        <v>304</v>
      </c>
      <c r="D236" s="13" t="s">
        <v>278</v>
      </c>
      <c r="E236">
        <v>8.44</v>
      </c>
      <c r="F236">
        <v>39.5</v>
      </c>
      <c r="G236">
        <v>22.1</v>
      </c>
      <c r="H236">
        <v>7.3</v>
      </c>
      <c r="J236">
        <v>4.4000000000000004</v>
      </c>
      <c r="K236">
        <v>11</v>
      </c>
      <c r="L236" s="14">
        <v>5</v>
      </c>
    </row>
    <row r="237" spans="1:15" x14ac:dyDescent="0.2">
      <c r="A237" s="19">
        <v>43387</v>
      </c>
      <c r="B237" s="13" t="s">
        <v>252</v>
      </c>
      <c r="C237" t="s">
        <v>305</v>
      </c>
      <c r="D237" s="13" t="s">
        <v>310</v>
      </c>
      <c r="E237">
        <v>11.92</v>
      </c>
      <c r="F237">
        <v>17.399999999999999</v>
      </c>
      <c r="G237">
        <v>21.3</v>
      </c>
      <c r="H237">
        <v>13</v>
      </c>
      <c r="J237">
        <v>4</v>
      </c>
      <c r="K237">
        <v>3</v>
      </c>
      <c r="L237" s="14">
        <v>21</v>
      </c>
    </row>
    <row r="238" spans="1:15" x14ac:dyDescent="0.2">
      <c r="A238" s="19">
        <v>43387</v>
      </c>
      <c r="B238" s="13" t="s">
        <v>252</v>
      </c>
      <c r="C238" t="s">
        <v>306</v>
      </c>
      <c r="D238" s="13" t="s">
        <v>301</v>
      </c>
      <c r="E238">
        <v>15.82</v>
      </c>
      <c r="F238">
        <v>9.6999999999999993</v>
      </c>
      <c r="G238">
        <v>12.3</v>
      </c>
      <c r="H238">
        <v>5</v>
      </c>
      <c r="J238">
        <v>13.8</v>
      </c>
      <c r="K238">
        <v>13</v>
      </c>
      <c r="L238" s="14">
        <v>8</v>
      </c>
    </row>
    <row r="239" spans="1:15" x14ac:dyDescent="0.2">
      <c r="A239" s="19">
        <v>43387</v>
      </c>
      <c r="B239" s="13" t="s">
        <v>252</v>
      </c>
      <c r="C239" t="s">
        <v>308</v>
      </c>
      <c r="D239" s="13" t="s">
        <v>303</v>
      </c>
      <c r="E239">
        <v>21.88</v>
      </c>
      <c r="F239">
        <v>9</v>
      </c>
      <c r="G239">
        <v>15.1</v>
      </c>
      <c r="H239">
        <v>11</v>
      </c>
      <c r="J239">
        <v>3.3</v>
      </c>
      <c r="K239">
        <v>9</v>
      </c>
      <c r="L239" s="14">
        <v>17</v>
      </c>
    </row>
    <row r="240" spans="1:15" x14ac:dyDescent="0.2">
      <c r="A240" s="19">
        <v>43387</v>
      </c>
      <c r="B240" s="13" t="s">
        <v>252</v>
      </c>
      <c r="C240" t="s">
        <v>309</v>
      </c>
      <c r="D240" s="13" t="s">
        <v>272</v>
      </c>
      <c r="E240">
        <v>24.56</v>
      </c>
      <c r="F240">
        <v>31.9</v>
      </c>
      <c r="G240">
        <v>24.1</v>
      </c>
      <c r="H240">
        <v>23.1</v>
      </c>
      <c r="J240">
        <v>13.8</v>
      </c>
      <c r="K240">
        <v>8</v>
      </c>
      <c r="L240" s="14">
        <v>3</v>
      </c>
    </row>
    <row r="241" spans="1:15" x14ac:dyDescent="0.2">
      <c r="A241" s="19">
        <v>43387</v>
      </c>
      <c r="B241" s="13" t="s">
        <v>252</v>
      </c>
      <c r="C241" t="s">
        <v>310</v>
      </c>
      <c r="D241" s="13" t="s">
        <v>305</v>
      </c>
      <c r="E241">
        <v>7.18</v>
      </c>
      <c r="F241">
        <v>3.4</v>
      </c>
      <c r="G241">
        <v>3.4</v>
      </c>
      <c r="H241">
        <v>5.3</v>
      </c>
      <c r="J241">
        <v>2.2000000000000002</v>
      </c>
      <c r="K241">
        <v>0</v>
      </c>
      <c r="L241" s="14">
        <v>2</v>
      </c>
    </row>
    <row r="242" spans="1:15" x14ac:dyDescent="0.2">
      <c r="A242" s="19">
        <v>43387</v>
      </c>
      <c r="B242" s="13" t="s">
        <v>252</v>
      </c>
      <c r="C242" t="s">
        <v>311</v>
      </c>
      <c r="D242" s="13" t="s">
        <v>276</v>
      </c>
      <c r="E242">
        <v>8.2799999999999994</v>
      </c>
      <c r="F242">
        <v>9.1</v>
      </c>
      <c r="G242">
        <v>17.3</v>
      </c>
      <c r="H242">
        <v>5.3</v>
      </c>
      <c r="J242">
        <v>0</v>
      </c>
      <c r="K242">
        <v>8</v>
      </c>
      <c r="L242" s="14">
        <v>20</v>
      </c>
      <c r="O242" s="15"/>
    </row>
    <row r="243" spans="1:15" x14ac:dyDescent="0.2">
      <c r="A243" s="19">
        <v>43387</v>
      </c>
      <c r="B243" s="13" t="s">
        <v>252</v>
      </c>
      <c r="C243" t="s">
        <v>312</v>
      </c>
      <c r="D243" s="13" t="s">
        <v>285</v>
      </c>
      <c r="E243">
        <v>19.62</v>
      </c>
      <c r="F243">
        <v>22.8</v>
      </c>
      <c r="G243">
        <v>32.299999999999997</v>
      </c>
      <c r="H243">
        <v>7.2</v>
      </c>
      <c r="J243">
        <v>7.7</v>
      </c>
      <c r="K243">
        <v>9</v>
      </c>
      <c r="L243" s="14">
        <v>12</v>
      </c>
    </row>
    <row r="244" spans="1:15" x14ac:dyDescent="0.2">
      <c r="A244" s="19">
        <v>43394</v>
      </c>
      <c r="B244" s="13" t="s">
        <v>250</v>
      </c>
      <c r="C244" t="s">
        <v>256</v>
      </c>
      <c r="D244" s="13" t="s">
        <v>304</v>
      </c>
      <c r="E244">
        <v>9.1</v>
      </c>
      <c r="F244">
        <v>11.8</v>
      </c>
      <c r="G244">
        <v>4.4000000000000004</v>
      </c>
      <c r="H244">
        <v>1.5</v>
      </c>
      <c r="J244">
        <v>20.8</v>
      </c>
      <c r="K244">
        <v>6</v>
      </c>
      <c r="L244" s="14">
        <v>-3</v>
      </c>
    </row>
    <row r="245" spans="1:15" x14ac:dyDescent="0.2">
      <c r="A245" s="19">
        <v>43394</v>
      </c>
      <c r="B245" s="13" t="s">
        <v>250</v>
      </c>
      <c r="C245" t="s">
        <v>265</v>
      </c>
      <c r="D245" s="13" t="s">
        <v>302</v>
      </c>
      <c r="E245">
        <v>36.42</v>
      </c>
      <c r="F245">
        <v>22.3</v>
      </c>
      <c r="G245">
        <v>1.4</v>
      </c>
      <c r="H245">
        <v>5.6</v>
      </c>
      <c r="J245">
        <v>30.6</v>
      </c>
      <c r="K245">
        <v>8</v>
      </c>
      <c r="L245" s="14">
        <v>3</v>
      </c>
    </row>
    <row r="246" spans="1:15" x14ac:dyDescent="0.2">
      <c r="A246" s="19">
        <v>43394</v>
      </c>
      <c r="B246" s="13" t="s">
        <v>250</v>
      </c>
      <c r="C246" t="s">
        <v>272</v>
      </c>
      <c r="D246" s="13" t="s">
        <v>288</v>
      </c>
      <c r="E246">
        <v>8.92</v>
      </c>
      <c r="F246">
        <v>8.1</v>
      </c>
      <c r="G246">
        <v>21.7</v>
      </c>
      <c r="H246">
        <v>5.7</v>
      </c>
      <c r="J246">
        <v>9.3000000000000007</v>
      </c>
      <c r="K246">
        <v>4</v>
      </c>
      <c r="L246" s="14">
        <v>0</v>
      </c>
    </row>
    <row r="247" spans="1:15" x14ac:dyDescent="0.2">
      <c r="A247" s="19">
        <v>43394</v>
      </c>
      <c r="B247" s="13" t="s">
        <v>250</v>
      </c>
      <c r="C247" t="s">
        <v>276</v>
      </c>
      <c r="D247" s="13" t="s">
        <v>289</v>
      </c>
      <c r="E247">
        <v>3</v>
      </c>
      <c r="F247">
        <v>0.1</v>
      </c>
      <c r="G247">
        <v>5.7</v>
      </c>
      <c r="H247">
        <v>0</v>
      </c>
      <c r="J247">
        <v>1.8</v>
      </c>
      <c r="K247">
        <v>3</v>
      </c>
      <c r="L247" s="14">
        <v>-2</v>
      </c>
    </row>
    <row r="248" spans="1:15" x14ac:dyDescent="0.2">
      <c r="A248" s="19">
        <v>43394</v>
      </c>
      <c r="B248" s="13" t="s">
        <v>250</v>
      </c>
      <c r="C248" t="s">
        <v>278</v>
      </c>
      <c r="D248" s="13" t="s">
        <v>285</v>
      </c>
      <c r="E248">
        <v>9.84</v>
      </c>
      <c r="F248">
        <v>16.600000000000001</v>
      </c>
      <c r="G248">
        <v>30.32</v>
      </c>
      <c r="H248">
        <v>9.8000000000000007</v>
      </c>
      <c r="J248">
        <v>0</v>
      </c>
      <c r="K248">
        <v>10</v>
      </c>
      <c r="L248" s="14">
        <v>32</v>
      </c>
    </row>
    <row r="249" spans="1:15" x14ac:dyDescent="0.2">
      <c r="A249" s="19">
        <v>43394</v>
      </c>
      <c r="B249" s="13" t="s">
        <v>250</v>
      </c>
      <c r="C249" t="s">
        <v>281</v>
      </c>
      <c r="D249" s="13" t="s">
        <v>284</v>
      </c>
      <c r="E249">
        <v>20.9</v>
      </c>
      <c r="F249">
        <v>14</v>
      </c>
      <c r="G249">
        <v>25.7</v>
      </c>
      <c r="H249">
        <v>2.4</v>
      </c>
      <c r="J249">
        <v>15.2</v>
      </c>
      <c r="K249">
        <v>3</v>
      </c>
      <c r="L249" s="14">
        <v>14</v>
      </c>
    </row>
    <row r="250" spans="1:15" x14ac:dyDescent="0.2">
      <c r="A250" s="19">
        <v>43394</v>
      </c>
      <c r="B250" s="13" t="s">
        <v>250</v>
      </c>
      <c r="C250" t="s">
        <v>284</v>
      </c>
      <c r="D250" s="13" t="s">
        <v>281</v>
      </c>
      <c r="E250">
        <v>26.1</v>
      </c>
      <c r="F250">
        <v>3</v>
      </c>
      <c r="G250">
        <v>20.7</v>
      </c>
      <c r="H250">
        <v>10.9</v>
      </c>
      <c r="J250">
        <v>11.9</v>
      </c>
      <c r="K250">
        <v>10</v>
      </c>
      <c r="L250" s="14">
        <v>7</v>
      </c>
    </row>
    <row r="251" spans="1:15" x14ac:dyDescent="0.2">
      <c r="A251" s="19">
        <v>43394</v>
      </c>
      <c r="B251" s="13" t="s">
        <v>250</v>
      </c>
      <c r="C251" t="s">
        <v>285</v>
      </c>
      <c r="D251" s="13" t="s">
        <v>278</v>
      </c>
      <c r="E251">
        <v>8.16</v>
      </c>
      <c r="F251">
        <v>10</v>
      </c>
      <c r="G251">
        <v>14</v>
      </c>
      <c r="H251">
        <v>8.6999999999999993</v>
      </c>
      <c r="J251">
        <v>3.2</v>
      </c>
      <c r="K251">
        <v>5</v>
      </c>
      <c r="L251" s="14">
        <v>3</v>
      </c>
    </row>
    <row r="252" spans="1:15" x14ac:dyDescent="0.2">
      <c r="A252" s="19">
        <v>43394</v>
      </c>
      <c r="B252" s="13" t="s">
        <v>250</v>
      </c>
      <c r="C252" s="17" t="s">
        <v>287</v>
      </c>
      <c r="D252" s="13" t="s">
        <v>310</v>
      </c>
      <c r="E252">
        <v>23.14</v>
      </c>
      <c r="F252">
        <v>11.8</v>
      </c>
      <c r="G252">
        <v>12.2</v>
      </c>
      <c r="H252">
        <v>12.8</v>
      </c>
      <c r="J252">
        <v>3.1</v>
      </c>
      <c r="K252">
        <v>8</v>
      </c>
      <c r="L252" s="14">
        <v>5</v>
      </c>
    </row>
    <row r="253" spans="1:15" x14ac:dyDescent="0.2">
      <c r="A253" s="19">
        <v>43394</v>
      </c>
      <c r="B253" s="13" t="s">
        <v>250</v>
      </c>
      <c r="C253" t="s">
        <v>288</v>
      </c>
      <c r="D253" s="13" t="s">
        <v>272</v>
      </c>
      <c r="E253">
        <v>36.82</v>
      </c>
      <c r="F253">
        <v>37.1</v>
      </c>
      <c r="G253">
        <v>20.6</v>
      </c>
      <c r="H253">
        <v>11.4</v>
      </c>
      <c r="J253">
        <v>14.5</v>
      </c>
      <c r="K253">
        <v>9</v>
      </c>
      <c r="L253" s="14">
        <v>14</v>
      </c>
    </row>
    <row r="254" spans="1:15" x14ac:dyDescent="0.2">
      <c r="A254" s="19">
        <v>43394</v>
      </c>
      <c r="B254" s="13" t="s">
        <v>250</v>
      </c>
      <c r="C254" t="s">
        <v>289</v>
      </c>
      <c r="D254" s="13" t="s">
        <v>276</v>
      </c>
      <c r="E254">
        <v>22.74</v>
      </c>
      <c r="F254">
        <v>34.9</v>
      </c>
      <c r="G254">
        <v>18.5</v>
      </c>
      <c r="H254">
        <v>8</v>
      </c>
      <c r="J254">
        <v>6.1</v>
      </c>
      <c r="K254">
        <v>5</v>
      </c>
      <c r="L254" s="14">
        <v>19</v>
      </c>
    </row>
    <row r="255" spans="1:15" x14ac:dyDescent="0.2">
      <c r="A255" s="19">
        <v>43394</v>
      </c>
      <c r="B255" s="13" t="s">
        <v>250</v>
      </c>
      <c r="C255" s="17" t="s">
        <v>291</v>
      </c>
      <c r="D255" s="13" t="s">
        <v>306</v>
      </c>
      <c r="E255">
        <v>22.2</v>
      </c>
      <c r="F255">
        <v>6.2</v>
      </c>
      <c r="G255">
        <v>12.6</v>
      </c>
      <c r="H255">
        <v>17.100000000000001</v>
      </c>
      <c r="J255">
        <v>2.6</v>
      </c>
      <c r="K255">
        <v>6</v>
      </c>
      <c r="L255" s="14">
        <v>2</v>
      </c>
    </row>
    <row r="256" spans="1:15" x14ac:dyDescent="0.2">
      <c r="A256" s="19">
        <v>43394</v>
      </c>
      <c r="B256" s="13" t="s">
        <v>250</v>
      </c>
      <c r="C256" t="s">
        <v>293</v>
      </c>
      <c r="D256" s="13" t="s">
        <v>299</v>
      </c>
      <c r="E256">
        <v>17.760000000000002</v>
      </c>
      <c r="F256">
        <v>18.7</v>
      </c>
      <c r="G256">
        <v>20.399999999999999</v>
      </c>
      <c r="H256">
        <v>7.5</v>
      </c>
      <c r="J256">
        <v>7.4</v>
      </c>
      <c r="K256">
        <v>3</v>
      </c>
      <c r="L256" s="14">
        <v>0</v>
      </c>
    </row>
    <row r="257" spans="1:12" x14ac:dyDescent="0.2">
      <c r="A257" s="19">
        <v>43394</v>
      </c>
      <c r="B257" s="13" t="s">
        <v>250</v>
      </c>
      <c r="C257" t="s">
        <v>294</v>
      </c>
      <c r="D257" s="13" t="s">
        <v>301</v>
      </c>
      <c r="E257">
        <v>22.7</v>
      </c>
      <c r="F257">
        <v>5.7</v>
      </c>
      <c r="G257">
        <v>21.8</v>
      </c>
      <c r="H257">
        <v>8</v>
      </c>
      <c r="J257">
        <v>25.8</v>
      </c>
      <c r="K257">
        <v>6</v>
      </c>
      <c r="L257" s="14">
        <v>2</v>
      </c>
    </row>
    <row r="258" spans="1:12" x14ac:dyDescent="0.2">
      <c r="A258" s="19">
        <v>43394</v>
      </c>
      <c r="B258" s="13" t="s">
        <v>250</v>
      </c>
      <c r="C258" t="s">
        <v>295</v>
      </c>
      <c r="D258" s="13" t="s">
        <v>296</v>
      </c>
      <c r="E258">
        <v>22.26</v>
      </c>
      <c r="F258">
        <v>16.2</v>
      </c>
      <c r="G258">
        <v>21.4</v>
      </c>
      <c r="H258">
        <v>9.3000000000000007</v>
      </c>
      <c r="J258">
        <v>7.8</v>
      </c>
      <c r="K258">
        <v>16</v>
      </c>
      <c r="L258" s="14">
        <v>5</v>
      </c>
    </row>
    <row r="259" spans="1:12" x14ac:dyDescent="0.2">
      <c r="A259" s="19">
        <v>43394</v>
      </c>
      <c r="B259" s="13" t="s">
        <v>250</v>
      </c>
      <c r="C259" t="s">
        <v>296</v>
      </c>
      <c r="D259" s="13" t="s">
        <v>295</v>
      </c>
      <c r="E259">
        <v>23.66</v>
      </c>
      <c r="F259">
        <v>26.4</v>
      </c>
      <c r="G259">
        <v>31.2</v>
      </c>
      <c r="H259">
        <v>24.7</v>
      </c>
      <c r="J259">
        <v>4.5999999999999996</v>
      </c>
      <c r="K259">
        <v>6</v>
      </c>
      <c r="L259" s="14">
        <v>5</v>
      </c>
    </row>
    <row r="260" spans="1:12" x14ac:dyDescent="0.2">
      <c r="A260" s="19">
        <v>43394</v>
      </c>
      <c r="B260" s="13" t="s">
        <v>250</v>
      </c>
      <c r="C260" s="17" t="s">
        <v>297</v>
      </c>
      <c r="D260" s="13" t="s">
        <v>311</v>
      </c>
      <c r="E260">
        <v>10.039999999999999</v>
      </c>
      <c r="F260">
        <v>17.8</v>
      </c>
      <c r="G260">
        <v>5.7</v>
      </c>
      <c r="H260">
        <v>4.0999999999999996</v>
      </c>
      <c r="J260">
        <v>3.7</v>
      </c>
      <c r="K260">
        <v>1</v>
      </c>
      <c r="L260" s="14">
        <v>2</v>
      </c>
    </row>
    <row r="261" spans="1:12" x14ac:dyDescent="0.2">
      <c r="A261" s="19">
        <v>43394</v>
      </c>
      <c r="B261" s="13" t="s">
        <v>250</v>
      </c>
      <c r="C261" t="s">
        <v>298</v>
      </c>
      <c r="D261" s="13" t="s">
        <v>312</v>
      </c>
      <c r="E261">
        <v>16.04</v>
      </c>
      <c r="F261">
        <v>6</v>
      </c>
      <c r="G261">
        <v>7.4</v>
      </c>
      <c r="H261">
        <v>0</v>
      </c>
      <c r="J261">
        <v>14.2</v>
      </c>
      <c r="K261">
        <v>7</v>
      </c>
      <c r="L261" s="14">
        <v>-3</v>
      </c>
    </row>
    <row r="262" spans="1:12" x14ac:dyDescent="0.2">
      <c r="A262" s="19">
        <v>43394</v>
      </c>
      <c r="B262" t="s">
        <v>250</v>
      </c>
      <c r="C262" t="s">
        <v>299</v>
      </c>
      <c r="D262" t="s">
        <v>293</v>
      </c>
      <c r="E262">
        <v>17.579999999999998</v>
      </c>
      <c r="F262">
        <v>22.9</v>
      </c>
      <c r="G262">
        <v>5.7</v>
      </c>
      <c r="H262">
        <v>5.9</v>
      </c>
      <c r="J262">
        <v>19.8</v>
      </c>
      <c r="K262">
        <v>16</v>
      </c>
      <c r="L262">
        <v>4</v>
      </c>
    </row>
    <row r="263" spans="1:12" x14ac:dyDescent="0.2">
      <c r="A263" s="19">
        <v>43394</v>
      </c>
      <c r="B263" s="13" t="s">
        <v>250</v>
      </c>
      <c r="C263" t="s">
        <v>301</v>
      </c>
      <c r="D263" s="13" t="s">
        <v>294</v>
      </c>
      <c r="E263">
        <v>25.66</v>
      </c>
      <c r="F263">
        <v>14</v>
      </c>
      <c r="G263">
        <v>5.9</v>
      </c>
      <c r="H263">
        <v>9.5</v>
      </c>
      <c r="J263">
        <v>8.5</v>
      </c>
      <c r="K263">
        <v>1</v>
      </c>
      <c r="L263" s="14">
        <v>7</v>
      </c>
    </row>
    <row r="264" spans="1:12" x14ac:dyDescent="0.2">
      <c r="A264" s="19">
        <v>43394</v>
      </c>
      <c r="B264" s="13" t="s">
        <v>250</v>
      </c>
      <c r="C264" t="s">
        <v>302</v>
      </c>
      <c r="D264" s="13" t="s">
        <v>265</v>
      </c>
      <c r="E264">
        <v>22.68</v>
      </c>
      <c r="F264">
        <v>29.7</v>
      </c>
      <c r="G264">
        <v>14.6</v>
      </c>
      <c r="H264">
        <v>17</v>
      </c>
      <c r="J264">
        <v>0</v>
      </c>
      <c r="K264">
        <v>8</v>
      </c>
      <c r="L264" s="14">
        <v>19</v>
      </c>
    </row>
    <row r="265" spans="1:12" x14ac:dyDescent="0.2">
      <c r="A265" s="19">
        <v>43394</v>
      </c>
      <c r="B265" s="13" t="s">
        <v>250</v>
      </c>
      <c r="C265" t="s">
        <v>304</v>
      </c>
      <c r="D265" s="13" t="s">
        <v>256</v>
      </c>
      <c r="E265">
        <v>16.48</v>
      </c>
      <c r="F265">
        <v>30.6</v>
      </c>
      <c r="G265">
        <v>13.4</v>
      </c>
      <c r="H265">
        <v>17.100000000000001</v>
      </c>
      <c r="J265">
        <v>0.5</v>
      </c>
      <c r="K265">
        <v>13</v>
      </c>
      <c r="L265" s="14">
        <v>23</v>
      </c>
    </row>
    <row r="266" spans="1:12" x14ac:dyDescent="0.2">
      <c r="A266" s="19">
        <v>43394</v>
      </c>
      <c r="B266" s="13" t="s">
        <v>250</v>
      </c>
      <c r="C266" t="s">
        <v>305</v>
      </c>
      <c r="D266" s="13" t="s">
        <v>307</v>
      </c>
      <c r="E266">
        <v>7.1</v>
      </c>
      <c r="F266">
        <v>7.8</v>
      </c>
      <c r="G266">
        <v>11.6</v>
      </c>
      <c r="H266">
        <v>6.6</v>
      </c>
      <c r="J266">
        <v>7.8</v>
      </c>
      <c r="K266">
        <v>5</v>
      </c>
      <c r="L266" s="14">
        <v>3</v>
      </c>
    </row>
    <row r="267" spans="1:12" x14ac:dyDescent="0.2">
      <c r="A267" s="19">
        <v>43394</v>
      </c>
      <c r="B267" s="13" t="s">
        <v>250</v>
      </c>
      <c r="C267" t="s">
        <v>306</v>
      </c>
      <c r="D267" s="13" t="s">
        <v>291</v>
      </c>
      <c r="E267">
        <v>12.72</v>
      </c>
      <c r="F267">
        <v>11.7</v>
      </c>
      <c r="G267">
        <v>7.2</v>
      </c>
      <c r="H267">
        <v>3</v>
      </c>
      <c r="J267">
        <v>6.3</v>
      </c>
      <c r="K267">
        <v>8</v>
      </c>
      <c r="L267" s="14">
        <v>15</v>
      </c>
    </row>
    <row r="268" spans="1:12" x14ac:dyDescent="0.2">
      <c r="A268" s="19">
        <v>43394</v>
      </c>
      <c r="B268" s="13" t="s">
        <v>250</v>
      </c>
      <c r="C268" t="s">
        <v>307</v>
      </c>
      <c r="D268" s="13" t="s">
        <v>305</v>
      </c>
      <c r="E268">
        <v>16.78</v>
      </c>
      <c r="F268">
        <v>15.5</v>
      </c>
      <c r="G268">
        <v>19.899999999999999</v>
      </c>
      <c r="H268">
        <v>7.4</v>
      </c>
      <c r="J268">
        <v>16.3</v>
      </c>
      <c r="K268">
        <v>6</v>
      </c>
      <c r="L268" s="14">
        <v>1</v>
      </c>
    </row>
    <row r="269" spans="1:12" x14ac:dyDescent="0.2">
      <c r="A269" s="19">
        <v>43394</v>
      </c>
      <c r="B269" s="13" t="s">
        <v>250</v>
      </c>
      <c r="C269" t="s">
        <v>310</v>
      </c>
      <c r="D269" s="13" t="s">
        <v>287</v>
      </c>
      <c r="E269">
        <v>16.28</v>
      </c>
      <c r="F269">
        <v>21.5</v>
      </c>
      <c r="G269">
        <v>4</v>
      </c>
      <c r="H269">
        <v>20.100000000000001</v>
      </c>
      <c r="J269">
        <v>3.1</v>
      </c>
      <c r="K269">
        <v>7</v>
      </c>
      <c r="L269" s="14">
        <v>3</v>
      </c>
    </row>
    <row r="270" spans="1:12" x14ac:dyDescent="0.2">
      <c r="A270" s="19">
        <v>43394</v>
      </c>
      <c r="B270" s="13" t="s">
        <v>250</v>
      </c>
      <c r="C270" t="s">
        <v>311</v>
      </c>
      <c r="D270" s="13" t="s">
        <v>297</v>
      </c>
      <c r="E270">
        <v>10.86</v>
      </c>
      <c r="F270">
        <v>19.899999999999999</v>
      </c>
      <c r="G270">
        <v>14</v>
      </c>
      <c r="H270">
        <v>12.8</v>
      </c>
      <c r="J270">
        <v>0</v>
      </c>
      <c r="K270">
        <v>10</v>
      </c>
      <c r="L270" s="14">
        <v>14</v>
      </c>
    </row>
    <row r="271" spans="1:12" x14ac:dyDescent="0.2">
      <c r="A271" s="19">
        <v>43394</v>
      </c>
      <c r="B271" s="13" t="s">
        <v>250</v>
      </c>
      <c r="C271" t="s">
        <v>312</v>
      </c>
      <c r="D271" s="13" t="s">
        <v>298</v>
      </c>
      <c r="E271">
        <v>17.54</v>
      </c>
      <c r="F271">
        <v>20.3</v>
      </c>
      <c r="G271">
        <v>29</v>
      </c>
      <c r="H271">
        <v>10.6</v>
      </c>
      <c r="J271">
        <v>2.6</v>
      </c>
      <c r="K271">
        <v>14</v>
      </c>
      <c r="L271" s="14">
        <v>12</v>
      </c>
    </row>
    <row r="272" spans="1:12" x14ac:dyDescent="0.2">
      <c r="A272" s="19">
        <v>43401</v>
      </c>
      <c r="B272" s="13" t="s">
        <v>248</v>
      </c>
      <c r="C272" t="s">
        <v>256</v>
      </c>
      <c r="D272" s="13" t="s">
        <v>285</v>
      </c>
      <c r="E272">
        <v>12.5</v>
      </c>
      <c r="F272">
        <v>4.2</v>
      </c>
      <c r="G272">
        <v>12.5</v>
      </c>
      <c r="H272">
        <v>12.5</v>
      </c>
      <c r="I272">
        <v>3.4</v>
      </c>
      <c r="J272">
        <v>10.7</v>
      </c>
      <c r="K272">
        <v>7</v>
      </c>
      <c r="L272" s="14">
        <v>10</v>
      </c>
    </row>
    <row r="273" spans="1:12" x14ac:dyDescent="0.2">
      <c r="A273" s="19">
        <v>43401</v>
      </c>
      <c r="B273" s="13" t="s">
        <v>248</v>
      </c>
      <c r="C273" t="s">
        <v>265</v>
      </c>
      <c r="D273" s="13" t="s">
        <v>298</v>
      </c>
      <c r="E273">
        <v>21.9</v>
      </c>
      <c r="F273">
        <v>18</v>
      </c>
      <c r="G273">
        <v>9.1999999999999993</v>
      </c>
      <c r="H273">
        <v>13.4</v>
      </c>
      <c r="I273">
        <v>14.5</v>
      </c>
      <c r="J273">
        <v>4.8</v>
      </c>
      <c r="K273">
        <v>6</v>
      </c>
      <c r="L273" s="14">
        <v>5</v>
      </c>
    </row>
    <row r="274" spans="1:12" x14ac:dyDescent="0.2">
      <c r="A274" s="19">
        <v>43401</v>
      </c>
      <c r="B274" s="13" t="s">
        <v>248</v>
      </c>
      <c r="C274" t="s">
        <v>272</v>
      </c>
      <c r="D274" s="13" t="s">
        <v>284</v>
      </c>
      <c r="E274">
        <v>20.2</v>
      </c>
      <c r="F274">
        <v>31.8</v>
      </c>
      <c r="G274">
        <v>18.600000000000001</v>
      </c>
      <c r="H274">
        <v>31.6</v>
      </c>
      <c r="I274">
        <v>37.700000000000003</v>
      </c>
      <c r="J274">
        <v>4.2</v>
      </c>
      <c r="K274">
        <v>8</v>
      </c>
      <c r="L274" s="14">
        <v>19</v>
      </c>
    </row>
    <row r="275" spans="1:12" x14ac:dyDescent="0.2">
      <c r="A275" s="19">
        <v>43401</v>
      </c>
      <c r="B275" s="13" t="s">
        <v>248</v>
      </c>
      <c r="C275" t="s">
        <v>276</v>
      </c>
      <c r="D275" s="13" t="s">
        <v>302</v>
      </c>
      <c r="E275">
        <v>10.42</v>
      </c>
      <c r="F275">
        <v>15.5</v>
      </c>
      <c r="G275">
        <v>11.5</v>
      </c>
      <c r="H275">
        <v>2.6</v>
      </c>
      <c r="I275">
        <v>16.2</v>
      </c>
      <c r="J275">
        <v>6.6</v>
      </c>
      <c r="K275">
        <v>9</v>
      </c>
      <c r="L275" s="14">
        <v>3</v>
      </c>
    </row>
    <row r="276" spans="1:12" x14ac:dyDescent="0.2">
      <c r="A276" s="19">
        <v>43401</v>
      </c>
      <c r="B276" s="13" t="s">
        <v>248</v>
      </c>
      <c r="C276" t="s">
        <v>278</v>
      </c>
      <c r="D276" s="13" t="s">
        <v>288</v>
      </c>
      <c r="E276">
        <v>17.38</v>
      </c>
      <c r="F276">
        <v>20.2</v>
      </c>
      <c r="G276">
        <v>9.1</v>
      </c>
      <c r="H276">
        <v>10.8</v>
      </c>
      <c r="I276">
        <v>10</v>
      </c>
      <c r="J276">
        <v>7.4</v>
      </c>
      <c r="K276">
        <v>5</v>
      </c>
      <c r="L276" s="14">
        <v>3</v>
      </c>
    </row>
    <row r="277" spans="1:12" x14ac:dyDescent="0.2">
      <c r="A277" s="19">
        <v>43401</v>
      </c>
      <c r="B277" s="13" t="s">
        <v>248</v>
      </c>
      <c r="C277" t="s">
        <v>281</v>
      </c>
      <c r="D277" s="13" t="s">
        <v>309</v>
      </c>
      <c r="E277">
        <v>15.1</v>
      </c>
      <c r="F277">
        <v>9.5</v>
      </c>
      <c r="G277">
        <v>11.9</v>
      </c>
      <c r="H277">
        <v>14.6</v>
      </c>
      <c r="I277">
        <v>17.3</v>
      </c>
      <c r="J277">
        <v>0</v>
      </c>
      <c r="K277">
        <v>7</v>
      </c>
      <c r="L277" s="14">
        <v>4</v>
      </c>
    </row>
    <row r="278" spans="1:12" x14ac:dyDescent="0.2">
      <c r="A278" s="19">
        <v>43401</v>
      </c>
      <c r="B278" s="13" t="s">
        <v>248</v>
      </c>
      <c r="C278" t="s">
        <v>284</v>
      </c>
      <c r="D278" s="13" t="s">
        <v>272</v>
      </c>
      <c r="E278">
        <f>19.56+12.84</f>
        <v>32.4</v>
      </c>
      <c r="F278">
        <v>14.5</v>
      </c>
      <c r="G278">
        <v>32.9</v>
      </c>
      <c r="H278">
        <v>15.3</v>
      </c>
      <c r="I278">
        <v>14.5</v>
      </c>
      <c r="J278">
        <v>16.8</v>
      </c>
      <c r="K278">
        <v>8</v>
      </c>
      <c r="L278" s="14">
        <v>1</v>
      </c>
    </row>
    <row r="279" spans="1:12" x14ac:dyDescent="0.2">
      <c r="A279" s="19">
        <v>43401</v>
      </c>
      <c r="B279" s="13" t="s">
        <v>248</v>
      </c>
      <c r="C279" t="s">
        <v>285</v>
      </c>
      <c r="D279" s="13" t="s">
        <v>256</v>
      </c>
      <c r="E279">
        <v>20.28</v>
      </c>
      <c r="F279">
        <v>14</v>
      </c>
      <c r="G279">
        <v>29.2</v>
      </c>
      <c r="H279">
        <v>13.2</v>
      </c>
      <c r="I279">
        <v>17.3</v>
      </c>
      <c r="J279">
        <v>4.2</v>
      </c>
      <c r="K279">
        <v>4</v>
      </c>
      <c r="L279" s="14">
        <v>8</v>
      </c>
    </row>
    <row r="280" spans="1:12" x14ac:dyDescent="0.2">
      <c r="A280" s="19">
        <v>43401</v>
      </c>
      <c r="B280" s="13" t="s">
        <v>248</v>
      </c>
      <c r="C280" t="s">
        <v>288</v>
      </c>
      <c r="D280" s="13" t="s">
        <v>278</v>
      </c>
      <c r="E280">
        <v>30.02</v>
      </c>
      <c r="F280">
        <v>19.600000000000001</v>
      </c>
      <c r="G280">
        <v>10</v>
      </c>
      <c r="H280">
        <v>33.700000000000003</v>
      </c>
      <c r="I280">
        <v>19.600000000000001</v>
      </c>
      <c r="J280">
        <v>19.899999999999999</v>
      </c>
      <c r="K280">
        <v>6</v>
      </c>
      <c r="L280" s="14">
        <v>9</v>
      </c>
    </row>
    <row r="281" spans="1:12" x14ac:dyDescent="0.2">
      <c r="A281" s="19">
        <v>43401</v>
      </c>
      <c r="B281" s="13" t="s">
        <v>248</v>
      </c>
      <c r="C281" t="s">
        <v>289</v>
      </c>
      <c r="D281" s="13" t="s">
        <v>303</v>
      </c>
      <c r="E281">
        <v>23.36</v>
      </c>
      <c r="F281">
        <v>31.9</v>
      </c>
      <c r="G281">
        <v>4.4000000000000004</v>
      </c>
      <c r="H281">
        <v>11.2</v>
      </c>
      <c r="I281">
        <v>8.8000000000000007</v>
      </c>
      <c r="J281">
        <v>19</v>
      </c>
      <c r="K281">
        <v>10</v>
      </c>
      <c r="L281" s="14">
        <v>1</v>
      </c>
    </row>
    <row r="282" spans="1:12" x14ac:dyDescent="0.2">
      <c r="A282" s="19">
        <v>43401</v>
      </c>
      <c r="B282" s="13" t="s">
        <v>248</v>
      </c>
      <c r="C282" t="s">
        <v>293</v>
      </c>
      <c r="D282" s="13" t="s">
        <v>311</v>
      </c>
      <c r="E282">
        <v>8.64</v>
      </c>
      <c r="F282">
        <v>23.5</v>
      </c>
      <c r="G282">
        <v>22.4</v>
      </c>
      <c r="H282">
        <v>14.42</v>
      </c>
      <c r="I282">
        <v>5</v>
      </c>
      <c r="J282">
        <v>5.4</v>
      </c>
      <c r="K282">
        <v>13</v>
      </c>
      <c r="L282" s="14">
        <v>-4</v>
      </c>
    </row>
    <row r="283" spans="1:12" x14ac:dyDescent="0.2">
      <c r="A283" s="19">
        <v>43401</v>
      </c>
      <c r="B283" s="13" t="s">
        <v>248</v>
      </c>
      <c r="C283" t="s">
        <v>294</v>
      </c>
      <c r="D283" s="13" t="s">
        <v>297</v>
      </c>
      <c r="E283">
        <v>25.64</v>
      </c>
      <c r="F283">
        <v>7.7</v>
      </c>
      <c r="G283">
        <v>7.5</v>
      </c>
      <c r="H283">
        <v>13.3</v>
      </c>
      <c r="I283">
        <v>0</v>
      </c>
      <c r="J283">
        <v>12.6</v>
      </c>
      <c r="K283">
        <v>6</v>
      </c>
      <c r="L283" s="14">
        <v>7</v>
      </c>
    </row>
    <row r="284" spans="1:12" x14ac:dyDescent="0.2">
      <c r="A284" s="19">
        <v>43401</v>
      </c>
      <c r="B284" s="13" t="s">
        <v>248</v>
      </c>
      <c r="C284" t="s">
        <v>296</v>
      </c>
      <c r="D284" s="13" t="s">
        <v>306</v>
      </c>
      <c r="E284">
        <v>17.64</v>
      </c>
      <c r="F284">
        <v>20.100000000000001</v>
      </c>
      <c r="G284">
        <v>24.6</v>
      </c>
      <c r="H284">
        <v>7.4</v>
      </c>
      <c r="I284">
        <v>6.4</v>
      </c>
      <c r="J284">
        <v>13.5</v>
      </c>
      <c r="K284">
        <v>7</v>
      </c>
      <c r="L284" s="14">
        <v>3</v>
      </c>
    </row>
    <row r="285" spans="1:12" x14ac:dyDescent="0.2">
      <c r="A285" s="19">
        <v>43401</v>
      </c>
      <c r="B285" s="13" t="s">
        <v>248</v>
      </c>
      <c r="C285" s="17" t="s">
        <v>297</v>
      </c>
      <c r="D285" s="13" t="s">
        <v>294</v>
      </c>
      <c r="E285">
        <v>19.739999999999998</v>
      </c>
      <c r="F285">
        <v>16</v>
      </c>
      <c r="G285">
        <v>9.4</v>
      </c>
      <c r="H285">
        <v>12</v>
      </c>
      <c r="I285">
        <v>15.3</v>
      </c>
      <c r="J285">
        <v>6.7</v>
      </c>
      <c r="K285">
        <v>16</v>
      </c>
      <c r="L285" s="14">
        <v>8</v>
      </c>
    </row>
    <row r="286" spans="1:12" x14ac:dyDescent="0.2">
      <c r="A286" s="19">
        <v>43401</v>
      </c>
      <c r="B286" s="13" t="s">
        <v>248</v>
      </c>
      <c r="C286" t="s">
        <v>298</v>
      </c>
      <c r="D286" s="13" t="s">
        <v>265</v>
      </c>
      <c r="E286">
        <v>12.32</v>
      </c>
      <c r="F286">
        <v>4.8</v>
      </c>
      <c r="G286">
        <v>6</v>
      </c>
      <c r="H286">
        <v>10.1</v>
      </c>
      <c r="I286">
        <v>6</v>
      </c>
      <c r="J286">
        <v>8.6</v>
      </c>
      <c r="K286">
        <v>5</v>
      </c>
      <c r="L286" s="14">
        <v>2</v>
      </c>
    </row>
    <row r="287" spans="1:12" x14ac:dyDescent="0.2">
      <c r="A287" s="19">
        <v>43401</v>
      </c>
      <c r="B287" t="s">
        <v>248</v>
      </c>
      <c r="C287" t="s">
        <v>299</v>
      </c>
      <c r="D287" t="s">
        <v>308</v>
      </c>
      <c r="E287">
        <v>22</v>
      </c>
      <c r="F287">
        <v>15.1</v>
      </c>
      <c r="G287">
        <v>33.700000000000003</v>
      </c>
      <c r="H287">
        <v>2.2000000000000002</v>
      </c>
      <c r="J287">
        <v>5.0999999999999996</v>
      </c>
      <c r="K287">
        <v>2</v>
      </c>
      <c r="L287">
        <v>1</v>
      </c>
    </row>
    <row r="288" spans="1:12" x14ac:dyDescent="0.2">
      <c r="A288" s="19">
        <v>43401</v>
      </c>
      <c r="B288" s="13" t="s">
        <v>248</v>
      </c>
      <c r="C288" t="s">
        <v>300</v>
      </c>
      <c r="D288" s="13" t="s">
        <v>304</v>
      </c>
      <c r="E288">
        <v>15.94</v>
      </c>
      <c r="F288">
        <v>16.600000000000001</v>
      </c>
      <c r="G288">
        <v>21.3</v>
      </c>
      <c r="H288">
        <v>12.5</v>
      </c>
      <c r="I288">
        <v>8.1999999999999993</v>
      </c>
      <c r="J288">
        <v>3.1</v>
      </c>
      <c r="K288">
        <v>12</v>
      </c>
      <c r="L288" s="14">
        <v>5</v>
      </c>
    </row>
    <row r="289" spans="1:12" x14ac:dyDescent="0.2">
      <c r="A289" s="19">
        <v>43401</v>
      </c>
      <c r="B289" s="13" t="s">
        <v>248</v>
      </c>
      <c r="C289" t="s">
        <v>301</v>
      </c>
      <c r="D289" s="13" t="s">
        <v>305</v>
      </c>
      <c r="E289">
        <v>27.96</v>
      </c>
      <c r="F289">
        <v>21.6</v>
      </c>
      <c r="G289">
        <v>5.7</v>
      </c>
      <c r="H289">
        <v>17.899999999999999</v>
      </c>
      <c r="I289">
        <v>13.7</v>
      </c>
      <c r="J289">
        <v>15.6</v>
      </c>
      <c r="K289">
        <v>15</v>
      </c>
      <c r="L289" s="14">
        <v>8</v>
      </c>
    </row>
    <row r="290" spans="1:12" x14ac:dyDescent="0.2">
      <c r="A290" s="19">
        <v>43401</v>
      </c>
      <c r="B290" s="13" t="s">
        <v>248</v>
      </c>
      <c r="C290" t="s">
        <v>302</v>
      </c>
      <c r="D290" s="13" t="s">
        <v>276</v>
      </c>
      <c r="E290">
        <v>16.760000000000002</v>
      </c>
      <c r="F290">
        <v>25.4</v>
      </c>
      <c r="G290">
        <v>23.7</v>
      </c>
      <c r="H290">
        <v>8.1999999999999993</v>
      </c>
      <c r="I290">
        <v>15.2</v>
      </c>
      <c r="J290">
        <v>7.3</v>
      </c>
      <c r="K290">
        <v>14</v>
      </c>
      <c r="L290" s="14">
        <v>20</v>
      </c>
    </row>
    <row r="291" spans="1:12" x14ac:dyDescent="0.2">
      <c r="A291" s="19">
        <v>43401</v>
      </c>
      <c r="B291" s="13" t="s">
        <v>248</v>
      </c>
      <c r="C291" s="17" t="s">
        <v>303</v>
      </c>
      <c r="D291" s="13" t="s">
        <v>289</v>
      </c>
      <c r="E291">
        <v>27.76</v>
      </c>
      <c r="F291">
        <v>14.4</v>
      </c>
      <c r="G291">
        <v>2.4</v>
      </c>
      <c r="H291">
        <v>12.9</v>
      </c>
      <c r="I291">
        <v>4.5999999999999996</v>
      </c>
      <c r="J291">
        <v>17.399999999999999</v>
      </c>
      <c r="K291">
        <v>4</v>
      </c>
      <c r="L291" s="14">
        <v>-4</v>
      </c>
    </row>
    <row r="292" spans="1:12" x14ac:dyDescent="0.2">
      <c r="A292" s="19">
        <v>43401</v>
      </c>
      <c r="B292" s="13" t="s">
        <v>248</v>
      </c>
      <c r="C292" t="s">
        <v>304</v>
      </c>
      <c r="D292" s="13" t="s">
        <v>300</v>
      </c>
      <c r="E292">
        <v>26.5</v>
      </c>
      <c r="F292">
        <v>36.5</v>
      </c>
      <c r="G292">
        <v>11.3</v>
      </c>
      <c r="H292">
        <v>15.5</v>
      </c>
      <c r="I292">
        <v>8.1999999999999993</v>
      </c>
      <c r="J292">
        <v>3.2</v>
      </c>
      <c r="K292">
        <v>8</v>
      </c>
      <c r="L292" s="14">
        <v>7</v>
      </c>
    </row>
    <row r="293" spans="1:12" x14ac:dyDescent="0.2">
      <c r="A293" s="19">
        <v>43401</v>
      </c>
      <c r="B293" s="13" t="s">
        <v>248</v>
      </c>
      <c r="C293" t="s">
        <v>305</v>
      </c>
      <c r="D293" s="13" t="s">
        <v>301</v>
      </c>
      <c r="E293">
        <v>19.52</v>
      </c>
      <c r="F293">
        <v>13.3</v>
      </c>
      <c r="G293">
        <v>10.4</v>
      </c>
      <c r="H293">
        <v>6.1</v>
      </c>
      <c r="I293">
        <v>12.1</v>
      </c>
      <c r="J293">
        <v>10.9</v>
      </c>
      <c r="K293">
        <v>3</v>
      </c>
      <c r="L293" s="14">
        <v>-4</v>
      </c>
    </row>
    <row r="294" spans="1:12" x14ac:dyDescent="0.2">
      <c r="A294" s="19">
        <v>43401</v>
      </c>
      <c r="B294" s="13" t="s">
        <v>248</v>
      </c>
      <c r="C294" t="s">
        <v>306</v>
      </c>
      <c r="D294" s="13" t="s">
        <v>296</v>
      </c>
      <c r="E294">
        <v>12.42</v>
      </c>
      <c r="F294">
        <v>30.6</v>
      </c>
      <c r="G294">
        <v>6.1</v>
      </c>
      <c r="H294">
        <v>9.9</v>
      </c>
      <c r="I294">
        <v>6.2</v>
      </c>
      <c r="J294">
        <v>10.8</v>
      </c>
      <c r="K294">
        <v>10</v>
      </c>
      <c r="L294" s="14">
        <v>15</v>
      </c>
    </row>
    <row r="295" spans="1:12" x14ac:dyDescent="0.2">
      <c r="A295" s="19">
        <v>43401</v>
      </c>
      <c r="B295" s="13" t="s">
        <v>248</v>
      </c>
      <c r="C295" t="s">
        <v>307</v>
      </c>
      <c r="D295" s="13" t="s">
        <v>312</v>
      </c>
      <c r="E295">
        <v>7.8</v>
      </c>
      <c r="F295">
        <v>26.6</v>
      </c>
      <c r="G295">
        <v>13.1</v>
      </c>
      <c r="H295">
        <v>4.8</v>
      </c>
      <c r="I295">
        <v>6.8</v>
      </c>
      <c r="J295">
        <v>0</v>
      </c>
      <c r="K295">
        <v>16</v>
      </c>
      <c r="L295" s="14">
        <v>15</v>
      </c>
    </row>
    <row r="296" spans="1:12" x14ac:dyDescent="0.2">
      <c r="A296" s="19">
        <v>43401</v>
      </c>
      <c r="B296" s="13" t="s">
        <v>248</v>
      </c>
      <c r="C296" t="s">
        <v>308</v>
      </c>
      <c r="D296" s="13" t="s">
        <v>299</v>
      </c>
      <c r="E296">
        <v>23.42</v>
      </c>
      <c r="F296">
        <v>23.4</v>
      </c>
      <c r="G296">
        <v>4.5999999999999996</v>
      </c>
      <c r="H296">
        <v>12.7</v>
      </c>
      <c r="J296">
        <v>13.4</v>
      </c>
      <c r="K296">
        <v>4</v>
      </c>
      <c r="L296" s="14">
        <v>10</v>
      </c>
    </row>
    <row r="297" spans="1:12" x14ac:dyDescent="0.2">
      <c r="A297" s="19">
        <v>43401</v>
      </c>
      <c r="B297" s="13" t="s">
        <v>248</v>
      </c>
      <c r="C297" t="s">
        <v>309</v>
      </c>
      <c r="D297" s="13" t="s">
        <v>281</v>
      </c>
      <c r="E297">
        <v>17.88</v>
      </c>
      <c r="F297">
        <v>41.2</v>
      </c>
      <c r="G297">
        <v>25.4</v>
      </c>
      <c r="H297">
        <v>7.3</v>
      </c>
      <c r="I297">
        <v>14.4</v>
      </c>
      <c r="J297">
        <v>7.7</v>
      </c>
      <c r="K297">
        <v>8</v>
      </c>
      <c r="L297" s="14">
        <v>7</v>
      </c>
    </row>
    <row r="298" spans="1:12" x14ac:dyDescent="0.2">
      <c r="A298" s="19">
        <v>43401</v>
      </c>
      <c r="B298" s="13" t="s">
        <v>248</v>
      </c>
      <c r="C298" t="s">
        <v>311</v>
      </c>
      <c r="D298" s="13" t="s">
        <v>293</v>
      </c>
      <c r="E298">
        <v>30.96</v>
      </c>
      <c r="F298">
        <v>22.3</v>
      </c>
      <c r="G298">
        <v>26.2</v>
      </c>
      <c r="H298">
        <v>26.4</v>
      </c>
      <c r="I298">
        <v>15.3</v>
      </c>
      <c r="J298">
        <v>18.899999999999999</v>
      </c>
      <c r="K298">
        <v>6</v>
      </c>
      <c r="L298" s="14">
        <v>4</v>
      </c>
    </row>
    <row r="299" spans="1:12" x14ac:dyDescent="0.2">
      <c r="A299" s="19">
        <v>43401</v>
      </c>
      <c r="B299" s="13" t="s">
        <v>248</v>
      </c>
      <c r="C299" t="s">
        <v>312</v>
      </c>
      <c r="D299" s="13" t="s">
        <v>307</v>
      </c>
      <c r="E299">
        <v>24.66</v>
      </c>
      <c r="F299">
        <v>20.5</v>
      </c>
      <c r="G299">
        <v>26.8</v>
      </c>
      <c r="H299">
        <v>30.9</v>
      </c>
      <c r="I299">
        <v>28.6</v>
      </c>
      <c r="J299">
        <v>7.9</v>
      </c>
      <c r="K299">
        <v>2</v>
      </c>
      <c r="L299" s="14">
        <v>2</v>
      </c>
    </row>
    <row r="300" spans="1:12" x14ac:dyDescent="0.2">
      <c r="A300" s="19">
        <v>43408</v>
      </c>
      <c r="B300" s="13" t="s">
        <v>246</v>
      </c>
      <c r="C300" t="s">
        <v>256</v>
      </c>
      <c r="D300" s="13" t="s">
        <v>303</v>
      </c>
      <c r="E300">
        <v>22.18</v>
      </c>
      <c r="F300">
        <v>14.6</v>
      </c>
      <c r="G300">
        <v>2.2999999999999998</v>
      </c>
      <c r="H300">
        <v>14.6</v>
      </c>
      <c r="I300">
        <v>26.4</v>
      </c>
      <c r="J300">
        <v>23.8</v>
      </c>
      <c r="K300">
        <v>10</v>
      </c>
      <c r="L300">
        <v>15</v>
      </c>
    </row>
    <row r="301" spans="1:12" x14ac:dyDescent="0.2">
      <c r="A301" s="19">
        <v>43408</v>
      </c>
      <c r="B301" s="13" t="s">
        <v>246</v>
      </c>
      <c r="C301" t="s">
        <v>265</v>
      </c>
      <c r="D301" s="13" t="s">
        <v>276</v>
      </c>
      <c r="E301">
        <v>9</v>
      </c>
      <c r="F301">
        <v>16.7</v>
      </c>
      <c r="G301">
        <v>7.5</v>
      </c>
      <c r="H301">
        <v>10.8</v>
      </c>
      <c r="I301">
        <v>6.4</v>
      </c>
      <c r="J301">
        <v>10.8</v>
      </c>
      <c r="K301">
        <v>12</v>
      </c>
      <c r="L301" s="14">
        <v>28</v>
      </c>
    </row>
    <row r="302" spans="1:12" x14ac:dyDescent="0.2">
      <c r="A302" s="19">
        <v>43408</v>
      </c>
      <c r="B302" s="13" t="s">
        <v>246</v>
      </c>
      <c r="C302" t="s">
        <v>276</v>
      </c>
      <c r="D302" s="13" t="s">
        <v>265</v>
      </c>
      <c r="E302">
        <v>15.22</v>
      </c>
      <c r="F302">
        <v>6.9</v>
      </c>
      <c r="G302">
        <v>5.8</v>
      </c>
      <c r="H302">
        <v>3.6</v>
      </c>
      <c r="I302">
        <v>6</v>
      </c>
      <c r="J302">
        <v>11</v>
      </c>
      <c r="K302">
        <v>4</v>
      </c>
      <c r="L302">
        <v>2</v>
      </c>
    </row>
    <row r="303" spans="1:12" x14ac:dyDescent="0.2">
      <c r="A303" s="19">
        <v>43408</v>
      </c>
      <c r="B303" s="13" t="s">
        <v>246</v>
      </c>
      <c r="C303" t="s">
        <v>278</v>
      </c>
      <c r="D303" s="13" t="s">
        <v>311</v>
      </c>
      <c r="E303">
        <v>15.6</v>
      </c>
      <c r="F303">
        <v>10.4</v>
      </c>
      <c r="G303">
        <v>10.7</v>
      </c>
      <c r="H303">
        <v>8.6999999999999993</v>
      </c>
      <c r="I303">
        <v>7.6</v>
      </c>
      <c r="J303">
        <v>24.3</v>
      </c>
      <c r="K303">
        <v>6</v>
      </c>
      <c r="L303">
        <v>5</v>
      </c>
    </row>
    <row r="304" spans="1:12" x14ac:dyDescent="0.2">
      <c r="A304" s="19">
        <v>43408</v>
      </c>
      <c r="B304" s="13" t="s">
        <v>246</v>
      </c>
      <c r="C304" t="s">
        <v>281</v>
      </c>
      <c r="D304" s="13" t="s">
        <v>288</v>
      </c>
      <c r="E304">
        <v>18.88</v>
      </c>
      <c r="F304">
        <v>29.6</v>
      </c>
      <c r="G304">
        <v>11</v>
      </c>
      <c r="H304">
        <v>8.1</v>
      </c>
      <c r="I304">
        <v>5.5</v>
      </c>
      <c r="J304">
        <v>9.3000000000000007</v>
      </c>
      <c r="K304">
        <v>5</v>
      </c>
      <c r="L304">
        <v>0</v>
      </c>
    </row>
    <row r="305" spans="1:12" x14ac:dyDescent="0.2">
      <c r="A305" s="19">
        <v>43408</v>
      </c>
      <c r="B305" s="13" t="s">
        <v>246</v>
      </c>
      <c r="C305" t="s">
        <v>284</v>
      </c>
      <c r="D305" s="13" t="s">
        <v>301</v>
      </c>
      <c r="E305">
        <v>26.02</v>
      </c>
      <c r="F305">
        <v>6</v>
      </c>
      <c r="G305">
        <v>2.6</v>
      </c>
      <c r="H305">
        <f>(28.9+6)/2</f>
        <v>17.45</v>
      </c>
      <c r="I305">
        <v>16.7</v>
      </c>
      <c r="J305">
        <v>21.3</v>
      </c>
      <c r="K305">
        <v>4</v>
      </c>
      <c r="L305" s="14">
        <v>-2</v>
      </c>
    </row>
    <row r="306" spans="1:12" x14ac:dyDescent="0.2">
      <c r="A306" s="19">
        <v>43408</v>
      </c>
      <c r="B306" s="13" t="s">
        <v>246</v>
      </c>
      <c r="C306" s="17" t="s">
        <v>287</v>
      </c>
      <c r="D306" s="13" t="s">
        <v>308</v>
      </c>
      <c r="E306">
        <v>17.12</v>
      </c>
      <c r="F306">
        <v>22.3</v>
      </c>
      <c r="G306">
        <v>24.2</v>
      </c>
      <c r="H306">
        <v>10.3</v>
      </c>
      <c r="I306">
        <v>10.5</v>
      </c>
      <c r="J306">
        <v>4.8</v>
      </c>
      <c r="K306">
        <v>0</v>
      </c>
      <c r="L306" s="14">
        <v>13</v>
      </c>
    </row>
    <row r="307" spans="1:12" x14ac:dyDescent="0.2">
      <c r="A307" s="19">
        <v>43408</v>
      </c>
      <c r="B307" s="13" t="s">
        <v>246</v>
      </c>
      <c r="C307" t="s">
        <v>288</v>
      </c>
      <c r="D307" s="13" t="s">
        <v>281</v>
      </c>
      <c r="E307">
        <v>30.8</v>
      </c>
      <c r="F307">
        <v>33.1</v>
      </c>
      <c r="G307">
        <v>12.5</v>
      </c>
      <c r="H307">
        <v>11.4</v>
      </c>
      <c r="I307">
        <v>7.4</v>
      </c>
      <c r="J307">
        <v>28.9</v>
      </c>
      <c r="K307">
        <v>7</v>
      </c>
      <c r="L307">
        <v>6</v>
      </c>
    </row>
    <row r="308" spans="1:12" x14ac:dyDescent="0.2">
      <c r="A308" s="19">
        <v>43408</v>
      </c>
      <c r="B308" s="13" t="s">
        <v>246</v>
      </c>
      <c r="C308" s="17" t="s">
        <v>291</v>
      </c>
      <c r="D308" s="13" t="s">
        <v>310</v>
      </c>
      <c r="E308">
        <v>16.82</v>
      </c>
      <c r="F308">
        <v>15.2</v>
      </c>
      <c r="G308">
        <v>16.8</v>
      </c>
      <c r="H308">
        <v>4.5999999999999996</v>
      </c>
      <c r="I308">
        <v>9.1999999999999993</v>
      </c>
      <c r="J308">
        <v>3.5</v>
      </c>
      <c r="K308">
        <v>2</v>
      </c>
      <c r="L308" s="14">
        <v>7</v>
      </c>
    </row>
    <row r="309" spans="1:12" x14ac:dyDescent="0.2">
      <c r="A309" s="19">
        <v>43408</v>
      </c>
      <c r="B309" s="13" t="s">
        <v>246</v>
      </c>
      <c r="C309" t="s">
        <v>293</v>
      </c>
      <c r="D309" s="13" t="s">
        <v>298</v>
      </c>
      <c r="E309">
        <v>5.96</v>
      </c>
      <c r="F309">
        <v>7.5</v>
      </c>
      <c r="G309">
        <v>9.6999999999999993</v>
      </c>
      <c r="H309">
        <v>2.9</v>
      </c>
      <c r="I309">
        <v>11.1</v>
      </c>
      <c r="J309">
        <v>0</v>
      </c>
      <c r="K309">
        <v>8</v>
      </c>
      <c r="L309">
        <v>25</v>
      </c>
    </row>
    <row r="310" spans="1:12" x14ac:dyDescent="0.2">
      <c r="A310" s="19">
        <v>43408</v>
      </c>
      <c r="B310" s="13" t="s">
        <v>246</v>
      </c>
      <c r="C310" t="s">
        <v>295</v>
      </c>
      <c r="D310" s="13" t="s">
        <v>306</v>
      </c>
      <c r="E310">
        <v>32</v>
      </c>
      <c r="F310">
        <v>32.6</v>
      </c>
      <c r="G310">
        <v>28.1</v>
      </c>
      <c r="H310">
        <v>19.7</v>
      </c>
      <c r="I310">
        <v>25.8</v>
      </c>
      <c r="J310">
        <v>7.1</v>
      </c>
      <c r="K310">
        <v>8</v>
      </c>
      <c r="L310" s="14">
        <v>6</v>
      </c>
    </row>
    <row r="311" spans="1:12" x14ac:dyDescent="0.2">
      <c r="A311" s="19">
        <v>43408</v>
      </c>
      <c r="B311" s="13" t="s">
        <v>246</v>
      </c>
      <c r="C311" t="s">
        <v>298</v>
      </c>
      <c r="D311" s="13" t="s">
        <v>293</v>
      </c>
      <c r="E311">
        <v>5.16</v>
      </c>
      <c r="F311">
        <v>9.6999999999999993</v>
      </c>
      <c r="G311">
        <v>7</v>
      </c>
      <c r="H311">
        <v>7.3</v>
      </c>
      <c r="I311">
        <v>8.3000000000000007</v>
      </c>
      <c r="J311">
        <v>10.199999999999999</v>
      </c>
      <c r="K311">
        <v>9</v>
      </c>
      <c r="L311">
        <v>8</v>
      </c>
    </row>
    <row r="312" spans="1:12" x14ac:dyDescent="0.2">
      <c r="A312" s="19">
        <v>43408</v>
      </c>
      <c r="B312" t="s">
        <v>246</v>
      </c>
      <c r="C312" t="s">
        <v>299</v>
      </c>
      <c r="D312" t="s">
        <v>312</v>
      </c>
      <c r="E312">
        <v>7.56</v>
      </c>
      <c r="F312">
        <v>7.4</v>
      </c>
      <c r="G312">
        <v>8.4</v>
      </c>
      <c r="H312">
        <v>12.6</v>
      </c>
      <c r="I312">
        <v>3.3</v>
      </c>
      <c r="J312">
        <v>3.7</v>
      </c>
      <c r="K312">
        <v>9</v>
      </c>
      <c r="L312">
        <v>6</v>
      </c>
    </row>
    <row r="313" spans="1:12" x14ac:dyDescent="0.2">
      <c r="A313" s="19">
        <v>43408</v>
      </c>
      <c r="B313" s="13" t="s">
        <v>246</v>
      </c>
      <c r="C313" t="s">
        <v>300</v>
      </c>
      <c r="D313" s="13" t="s">
        <v>302</v>
      </c>
      <c r="E313">
        <v>19.16</v>
      </c>
      <c r="F313">
        <v>9.5</v>
      </c>
      <c r="G313">
        <v>16</v>
      </c>
      <c r="H313">
        <v>16.100000000000001</v>
      </c>
      <c r="I313">
        <v>12.8</v>
      </c>
      <c r="J313">
        <v>15.5</v>
      </c>
      <c r="K313">
        <v>5</v>
      </c>
      <c r="L313" s="14">
        <v>1</v>
      </c>
    </row>
    <row r="314" spans="1:12" x14ac:dyDescent="0.2">
      <c r="A314" s="19">
        <v>43408</v>
      </c>
      <c r="B314" s="13" t="s">
        <v>246</v>
      </c>
      <c r="C314" t="s">
        <v>301</v>
      </c>
      <c r="D314" s="13" t="s">
        <v>284</v>
      </c>
      <c r="E314">
        <v>21.18</v>
      </c>
      <c r="F314">
        <v>32.700000000000003</v>
      </c>
      <c r="G314">
        <v>8.4</v>
      </c>
      <c r="H314">
        <f>(19.8+5.8/2)</f>
        <v>22.7</v>
      </c>
      <c r="I314">
        <v>9.3000000000000007</v>
      </c>
      <c r="J314">
        <v>19.600000000000001</v>
      </c>
      <c r="K314">
        <v>6</v>
      </c>
      <c r="L314" s="14">
        <v>6</v>
      </c>
    </row>
    <row r="315" spans="1:12" x14ac:dyDescent="0.2">
      <c r="A315" s="19">
        <v>43408</v>
      </c>
      <c r="B315" s="13" t="s">
        <v>246</v>
      </c>
      <c r="C315" t="s">
        <v>302</v>
      </c>
      <c r="D315" s="13" t="s">
        <v>300</v>
      </c>
      <c r="E315">
        <v>15.66</v>
      </c>
      <c r="F315">
        <v>28.3</v>
      </c>
      <c r="G315">
        <v>17.38</v>
      </c>
      <c r="H315">
        <v>27</v>
      </c>
      <c r="I315">
        <v>12.2</v>
      </c>
      <c r="J315">
        <v>3.1</v>
      </c>
      <c r="K315">
        <v>7</v>
      </c>
      <c r="L315">
        <v>4</v>
      </c>
    </row>
    <row r="316" spans="1:12" x14ac:dyDescent="0.2">
      <c r="A316" s="19">
        <v>43408</v>
      </c>
      <c r="B316" s="13" t="s">
        <v>246</v>
      </c>
      <c r="C316" s="17" t="s">
        <v>303</v>
      </c>
      <c r="D316" s="13" t="s">
        <v>256</v>
      </c>
      <c r="E316">
        <v>7.34</v>
      </c>
      <c r="F316">
        <v>8.9</v>
      </c>
      <c r="G316">
        <v>3.6</v>
      </c>
      <c r="H316">
        <v>6.6</v>
      </c>
      <c r="I316">
        <v>3</v>
      </c>
      <c r="J316">
        <v>4</v>
      </c>
      <c r="K316">
        <v>3</v>
      </c>
      <c r="L316" s="14">
        <v>-1</v>
      </c>
    </row>
    <row r="317" spans="1:12" x14ac:dyDescent="0.2">
      <c r="A317" s="19">
        <v>43408</v>
      </c>
      <c r="B317" s="13" t="s">
        <v>246</v>
      </c>
      <c r="C317" t="s">
        <v>304</v>
      </c>
      <c r="D317" s="13" t="s">
        <v>307</v>
      </c>
      <c r="E317">
        <v>33.340000000000003</v>
      </c>
      <c r="F317">
        <v>19.899999999999999</v>
      </c>
      <c r="G317">
        <v>26.4</v>
      </c>
      <c r="H317">
        <v>16</v>
      </c>
      <c r="I317">
        <v>15.5</v>
      </c>
      <c r="J317">
        <v>9.8000000000000007</v>
      </c>
      <c r="K317">
        <v>11</v>
      </c>
      <c r="L317">
        <v>-2</v>
      </c>
    </row>
    <row r="318" spans="1:12" x14ac:dyDescent="0.2">
      <c r="A318" s="19">
        <v>43408</v>
      </c>
      <c r="B318" s="13" t="s">
        <v>246</v>
      </c>
      <c r="C318" t="s">
        <v>305</v>
      </c>
      <c r="D318" s="13" t="s">
        <v>309</v>
      </c>
      <c r="E318">
        <v>9.7200000000000006</v>
      </c>
      <c r="F318">
        <v>10.9</v>
      </c>
      <c r="G318">
        <v>12.8</v>
      </c>
      <c r="H318">
        <v>6.2</v>
      </c>
      <c r="I318">
        <v>20.5</v>
      </c>
      <c r="J318">
        <v>8</v>
      </c>
      <c r="K318">
        <v>10</v>
      </c>
      <c r="L318">
        <v>1</v>
      </c>
    </row>
    <row r="319" spans="1:12" x14ac:dyDescent="0.2">
      <c r="A319" s="19">
        <v>43408</v>
      </c>
      <c r="B319" s="13" t="s">
        <v>246</v>
      </c>
      <c r="C319" t="s">
        <v>306</v>
      </c>
      <c r="D319" s="13" t="s">
        <v>295</v>
      </c>
      <c r="E319">
        <v>20.440000000000001</v>
      </c>
      <c r="F319">
        <v>6.3</v>
      </c>
      <c r="G319">
        <v>12.1</v>
      </c>
      <c r="H319">
        <v>25.4</v>
      </c>
      <c r="I319">
        <v>18.100000000000001</v>
      </c>
      <c r="J319">
        <v>7.4</v>
      </c>
      <c r="K319">
        <v>2</v>
      </c>
      <c r="L319" s="14">
        <v>0</v>
      </c>
    </row>
    <row r="320" spans="1:12" x14ac:dyDescent="0.2">
      <c r="A320" s="19">
        <v>43408</v>
      </c>
      <c r="B320" s="13" t="s">
        <v>246</v>
      </c>
      <c r="C320" t="s">
        <v>307</v>
      </c>
      <c r="D320" s="13" t="s">
        <v>304</v>
      </c>
      <c r="E320">
        <v>33.340000000000003</v>
      </c>
      <c r="F320">
        <v>19.899999999999999</v>
      </c>
      <c r="G320">
        <v>26.4</v>
      </c>
      <c r="H320">
        <v>15.5</v>
      </c>
      <c r="I320">
        <v>23.3</v>
      </c>
      <c r="J320">
        <v>9.8000000000000007</v>
      </c>
      <c r="K320">
        <v>11</v>
      </c>
      <c r="L320" s="14">
        <v>-2</v>
      </c>
    </row>
    <row r="321" spans="1:12" x14ac:dyDescent="0.2">
      <c r="A321" s="19">
        <v>43408</v>
      </c>
      <c r="B321" s="13" t="s">
        <v>246</v>
      </c>
      <c r="C321" t="s">
        <v>308</v>
      </c>
      <c r="D321" s="13" t="s">
        <v>287</v>
      </c>
      <c r="E321">
        <v>20.5</v>
      </c>
      <c r="F321">
        <v>17.7</v>
      </c>
      <c r="G321">
        <v>11.7</v>
      </c>
      <c r="H321">
        <v>5.2</v>
      </c>
      <c r="I321">
        <v>7.5</v>
      </c>
      <c r="J321">
        <v>17.2</v>
      </c>
      <c r="K321">
        <v>6</v>
      </c>
      <c r="L321" s="14">
        <v>3</v>
      </c>
    </row>
    <row r="322" spans="1:12" x14ac:dyDescent="0.2">
      <c r="A322" s="19">
        <v>43408</v>
      </c>
      <c r="B322" s="13" t="s">
        <v>246</v>
      </c>
      <c r="C322" t="s">
        <v>309</v>
      </c>
      <c r="D322" s="13" t="s">
        <v>305</v>
      </c>
      <c r="E322">
        <v>25.2</v>
      </c>
      <c r="F322">
        <v>32.299999999999997</v>
      </c>
      <c r="G322">
        <v>15.2</v>
      </c>
      <c r="H322">
        <v>14.8</v>
      </c>
      <c r="I322">
        <v>28</v>
      </c>
      <c r="J322">
        <v>7.3</v>
      </c>
      <c r="K322">
        <v>5</v>
      </c>
      <c r="L322" s="14">
        <v>3</v>
      </c>
    </row>
    <row r="323" spans="1:12" x14ac:dyDescent="0.2">
      <c r="A323" s="19">
        <v>43408</v>
      </c>
      <c r="B323" s="13" t="s">
        <v>246</v>
      </c>
      <c r="C323" t="s">
        <v>310</v>
      </c>
      <c r="D323" s="13" t="s">
        <v>291</v>
      </c>
      <c r="E323">
        <v>24.8</v>
      </c>
      <c r="F323">
        <v>22.2</v>
      </c>
      <c r="G323">
        <v>12</v>
      </c>
      <c r="H323">
        <v>1</v>
      </c>
      <c r="I323">
        <v>11.4</v>
      </c>
      <c r="J323">
        <v>11.3</v>
      </c>
      <c r="K323">
        <v>4</v>
      </c>
      <c r="L323" s="14">
        <v>10</v>
      </c>
    </row>
    <row r="324" spans="1:12" x14ac:dyDescent="0.2">
      <c r="A324" s="19">
        <v>43408</v>
      </c>
      <c r="B324" s="13" t="s">
        <v>246</v>
      </c>
      <c r="C324" t="s">
        <v>311</v>
      </c>
      <c r="D324" s="13" t="s">
        <v>278</v>
      </c>
      <c r="E324">
        <v>20.32</v>
      </c>
      <c r="F324">
        <v>6.8</v>
      </c>
      <c r="G324">
        <v>29.5</v>
      </c>
      <c r="H324">
        <v>9.1</v>
      </c>
      <c r="I324">
        <v>22.6</v>
      </c>
      <c r="J324">
        <v>2.2999999999999998</v>
      </c>
      <c r="K324">
        <v>8</v>
      </c>
      <c r="L324">
        <v>5</v>
      </c>
    </row>
    <row r="325" spans="1:12" x14ac:dyDescent="0.2">
      <c r="A325" s="19">
        <v>43408</v>
      </c>
      <c r="B325" s="13" t="s">
        <v>246</v>
      </c>
      <c r="C325" t="s">
        <v>312</v>
      </c>
      <c r="D325" s="13" t="s">
        <v>299</v>
      </c>
      <c r="E325">
        <v>8.86</v>
      </c>
      <c r="F325">
        <v>14.9</v>
      </c>
      <c r="G325">
        <v>12.7</v>
      </c>
      <c r="H325">
        <v>5.7</v>
      </c>
      <c r="I325">
        <v>11.6</v>
      </c>
      <c r="J325">
        <v>4.8</v>
      </c>
      <c r="K325">
        <v>6</v>
      </c>
      <c r="L325">
        <v>22</v>
      </c>
    </row>
  </sheetData>
  <autoFilter ref="A1:N325" xr:uid="{BBD4D7D8-8C97-0044-A28F-2F55E2C3B254}">
    <sortState xmlns:xlrd2="http://schemas.microsoft.com/office/spreadsheetml/2017/richdata2" ref="A2:N325">
      <sortCondition ref="B1:B325"/>
    </sortState>
  </autoFilter>
  <conditionalFormatting sqref="C84:C93">
    <cfRule type="cellIs" dxfId="35" priority="13" operator="between">
      <formula>21</formula>
      <formula>26</formula>
    </cfRule>
    <cfRule type="cellIs" dxfId="34" priority="14" operator="between">
      <formula>27</formula>
      <formula>32</formula>
    </cfRule>
    <cfRule type="cellIs" dxfId="33" priority="15" operator="between">
      <formula>7</formula>
      <formula>12</formula>
    </cfRule>
    <cfRule type="cellIs" dxfId="32" priority="16" operator="between">
      <formula>1</formula>
      <formula>6</formula>
    </cfRule>
  </conditionalFormatting>
  <conditionalFormatting sqref="C114:C123">
    <cfRule type="cellIs" dxfId="31" priority="9" operator="between">
      <formula>21</formula>
      <formula>26</formula>
    </cfRule>
    <cfRule type="cellIs" dxfId="30" priority="10" operator="between">
      <formula>27</formula>
      <formula>32</formula>
    </cfRule>
    <cfRule type="cellIs" dxfId="29" priority="11" operator="between">
      <formula>7</formula>
      <formula>12</formula>
    </cfRule>
    <cfRule type="cellIs" dxfId="28" priority="12" operator="between">
      <formula>1</formula>
      <formula>6</formula>
    </cfRule>
  </conditionalFormatting>
  <conditionalFormatting sqref="C164:C173">
    <cfRule type="cellIs" dxfId="27" priority="5" operator="between">
      <formula>21</formula>
      <formula>26</formula>
    </cfRule>
    <cfRule type="cellIs" dxfId="26" priority="6" operator="between">
      <formula>27</formula>
      <formula>32</formula>
    </cfRule>
    <cfRule type="cellIs" dxfId="25" priority="7" operator="between">
      <formula>7</formula>
      <formula>12</formula>
    </cfRule>
    <cfRule type="cellIs" dxfId="24" priority="8" operator="between">
      <formula>1</formula>
      <formula>6</formula>
    </cfRule>
  </conditionalFormatting>
  <conditionalFormatting sqref="C225:C234">
    <cfRule type="cellIs" dxfId="23" priority="1" operator="between">
      <formula>21</formula>
      <formula>26</formula>
    </cfRule>
    <cfRule type="cellIs" dxfId="22" priority="2" operator="between">
      <formula>27</formula>
      <formula>32</formula>
    </cfRule>
    <cfRule type="cellIs" dxfId="21" priority="3" operator="between">
      <formula>7</formula>
      <formula>12</formula>
    </cfRule>
    <cfRule type="cellIs" dxfId="20" priority="4" operator="between">
      <formula>1</formula>
      <formula>6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AD6E9-F853-1C41-BD67-690E8C40FA54}">
  <sheetPr codeName="Sheet13"/>
  <dimension ref="A1:J200"/>
  <sheetViews>
    <sheetView workbookViewId="0"/>
  </sheetViews>
  <sheetFormatPr baseColWidth="10" defaultColWidth="8.83203125" defaultRowHeight="16" x14ac:dyDescent="0.2"/>
  <cols>
    <col min="1" max="1" width="21.83203125" bestFit="1" customWidth="1"/>
    <col min="2" max="2" width="19.33203125" bestFit="1" customWidth="1"/>
  </cols>
  <sheetData>
    <row r="1" spans="1:10" x14ac:dyDescent="0.2">
      <c r="A1" t="s">
        <v>313</v>
      </c>
      <c r="B1" t="s">
        <v>314</v>
      </c>
    </row>
    <row r="2" spans="1:10" x14ac:dyDescent="0.2">
      <c r="A2" t="s">
        <v>315</v>
      </c>
      <c r="B2" t="s">
        <v>316</v>
      </c>
      <c r="J2" s="13"/>
    </row>
    <row r="3" spans="1:10" x14ac:dyDescent="0.2">
      <c r="A3" t="s">
        <v>317</v>
      </c>
      <c r="B3" s="1" t="s">
        <v>285</v>
      </c>
      <c r="J3" s="13"/>
    </row>
    <row r="4" spans="1:10" x14ac:dyDescent="0.2">
      <c r="A4" t="s">
        <v>318</v>
      </c>
      <c r="B4" s="1" t="s">
        <v>295</v>
      </c>
      <c r="J4" s="13"/>
    </row>
    <row r="5" spans="1:10" x14ac:dyDescent="0.2">
      <c r="A5" t="s">
        <v>319</v>
      </c>
      <c r="B5" s="1" t="s">
        <v>305</v>
      </c>
    </row>
    <row r="6" spans="1:10" x14ac:dyDescent="0.2">
      <c r="A6" t="s">
        <v>320</v>
      </c>
      <c r="B6" s="1" t="s">
        <v>276</v>
      </c>
    </row>
    <row r="7" spans="1:10" x14ac:dyDescent="0.2">
      <c r="A7" t="s">
        <v>321</v>
      </c>
      <c r="B7" s="1" t="s">
        <v>301</v>
      </c>
    </row>
    <row r="8" spans="1:10" x14ac:dyDescent="0.2">
      <c r="A8" t="s">
        <v>322</v>
      </c>
      <c r="B8" s="1" t="s">
        <v>265</v>
      </c>
    </row>
    <row r="9" spans="1:10" x14ac:dyDescent="0.2">
      <c r="A9" t="s">
        <v>323</v>
      </c>
      <c r="B9" s="1" t="s">
        <v>272</v>
      </c>
    </row>
    <row r="10" spans="1:10" x14ac:dyDescent="0.2">
      <c r="A10" t="s">
        <v>324</v>
      </c>
      <c r="B10" s="1" t="s">
        <v>281</v>
      </c>
    </row>
    <row r="11" spans="1:10" x14ac:dyDescent="0.2">
      <c r="A11" t="s">
        <v>325</v>
      </c>
      <c r="B11" s="1" t="s">
        <v>291</v>
      </c>
    </row>
    <row r="12" spans="1:10" x14ac:dyDescent="0.2">
      <c r="A12" t="s">
        <v>326</v>
      </c>
      <c r="B12" s="1" t="s">
        <v>278</v>
      </c>
    </row>
    <row r="13" spans="1:10" x14ac:dyDescent="0.2">
      <c r="A13" t="s">
        <v>327</v>
      </c>
      <c r="B13" s="1" t="s">
        <v>299</v>
      </c>
    </row>
    <row r="14" spans="1:10" x14ac:dyDescent="0.2">
      <c r="A14" t="s">
        <v>328</v>
      </c>
      <c r="B14" s="1" t="s">
        <v>300</v>
      </c>
    </row>
    <row r="15" spans="1:10" x14ac:dyDescent="0.2">
      <c r="A15" t="s">
        <v>329</v>
      </c>
      <c r="B15" s="1" t="s">
        <v>311</v>
      </c>
    </row>
    <row r="16" spans="1:10" x14ac:dyDescent="0.2">
      <c r="A16" t="s">
        <v>330</v>
      </c>
      <c r="B16" s="1" t="s">
        <v>289</v>
      </c>
    </row>
    <row r="17" spans="1:2" x14ac:dyDescent="0.2">
      <c r="A17" t="s">
        <v>331</v>
      </c>
      <c r="B17" s="1" t="s">
        <v>297</v>
      </c>
    </row>
    <row r="18" spans="1:2" x14ac:dyDescent="0.2">
      <c r="A18" t="s">
        <v>332</v>
      </c>
      <c r="B18" s="1" t="s">
        <v>288</v>
      </c>
    </row>
    <row r="19" spans="1:2" x14ac:dyDescent="0.2">
      <c r="A19" t="s">
        <v>333</v>
      </c>
      <c r="B19" s="1" t="s">
        <v>287</v>
      </c>
    </row>
    <row r="20" spans="1:2" x14ac:dyDescent="0.2">
      <c r="A20" t="s">
        <v>334</v>
      </c>
      <c r="B20" s="1" t="s">
        <v>304</v>
      </c>
    </row>
    <row r="21" spans="1:2" x14ac:dyDescent="0.2">
      <c r="A21" t="s">
        <v>335</v>
      </c>
      <c r="B21" s="1" t="s">
        <v>293</v>
      </c>
    </row>
    <row r="22" spans="1:2" x14ac:dyDescent="0.2">
      <c r="A22" t="s">
        <v>336</v>
      </c>
      <c r="B22" s="1" t="s">
        <v>312</v>
      </c>
    </row>
    <row r="23" spans="1:2" x14ac:dyDescent="0.2">
      <c r="A23" t="s">
        <v>337</v>
      </c>
      <c r="B23" s="1" t="s">
        <v>302</v>
      </c>
    </row>
    <row r="24" spans="1:2" x14ac:dyDescent="0.2">
      <c r="A24" t="s">
        <v>338</v>
      </c>
      <c r="B24" s="1" t="s">
        <v>307</v>
      </c>
    </row>
    <row r="25" spans="1:2" x14ac:dyDescent="0.2">
      <c r="A25" t="s">
        <v>339</v>
      </c>
      <c r="B25" s="1" t="s">
        <v>296</v>
      </c>
    </row>
    <row r="26" spans="1:2" x14ac:dyDescent="0.2">
      <c r="A26" t="s">
        <v>340</v>
      </c>
      <c r="B26" s="1" t="s">
        <v>298</v>
      </c>
    </row>
    <row r="27" spans="1:2" x14ac:dyDescent="0.2">
      <c r="A27" t="s">
        <v>341</v>
      </c>
      <c r="B27" s="16" t="s">
        <v>303</v>
      </c>
    </row>
    <row r="28" spans="1:2" x14ac:dyDescent="0.2">
      <c r="A28" t="s">
        <v>342</v>
      </c>
      <c r="B28" s="1" t="s">
        <v>294</v>
      </c>
    </row>
    <row r="29" spans="1:2" x14ac:dyDescent="0.2">
      <c r="A29" t="s">
        <v>343</v>
      </c>
      <c r="B29" s="1" t="s">
        <v>309</v>
      </c>
    </row>
    <row r="30" spans="1:2" x14ac:dyDescent="0.2">
      <c r="A30" t="s">
        <v>344</v>
      </c>
      <c r="B30" s="1" t="s">
        <v>256</v>
      </c>
    </row>
    <row r="31" spans="1:2" x14ac:dyDescent="0.2">
      <c r="A31" t="s">
        <v>345</v>
      </c>
      <c r="B31" s="1" t="s">
        <v>308</v>
      </c>
    </row>
    <row r="32" spans="1:2" x14ac:dyDescent="0.2">
      <c r="A32" t="s">
        <v>346</v>
      </c>
      <c r="B32" s="1" t="s">
        <v>284</v>
      </c>
    </row>
    <row r="33" spans="1:10" x14ac:dyDescent="0.2">
      <c r="A33" t="s">
        <v>347</v>
      </c>
      <c r="B33" s="1" t="s">
        <v>310</v>
      </c>
    </row>
    <row r="34" spans="1:10" x14ac:dyDescent="0.2">
      <c r="A34" t="s">
        <v>348</v>
      </c>
      <c r="B34" s="1" t="s">
        <v>306</v>
      </c>
    </row>
    <row r="35" spans="1:10" x14ac:dyDescent="0.2">
      <c r="A35" s="20" t="s">
        <v>349</v>
      </c>
      <c r="B35" s="1" t="s">
        <v>285</v>
      </c>
    </row>
    <row r="36" spans="1:10" x14ac:dyDescent="0.2">
      <c r="A36" t="s">
        <v>350</v>
      </c>
      <c r="B36" s="1" t="s">
        <v>295</v>
      </c>
    </row>
    <row r="37" spans="1:10" x14ac:dyDescent="0.2">
      <c r="A37" t="s">
        <v>351</v>
      </c>
      <c r="B37" s="1" t="s">
        <v>305</v>
      </c>
    </row>
    <row r="38" spans="1:10" x14ac:dyDescent="0.2">
      <c r="A38" t="s">
        <v>352</v>
      </c>
      <c r="B38" s="1" t="s">
        <v>276</v>
      </c>
    </row>
    <row r="39" spans="1:10" x14ac:dyDescent="0.2">
      <c r="A39" t="s">
        <v>353</v>
      </c>
      <c r="B39" s="1" t="s">
        <v>301</v>
      </c>
    </row>
    <row r="40" spans="1:10" x14ac:dyDescent="0.2">
      <c r="A40" t="s">
        <v>354</v>
      </c>
      <c r="B40" s="1" t="s">
        <v>265</v>
      </c>
    </row>
    <row r="41" spans="1:10" x14ac:dyDescent="0.2">
      <c r="A41" t="s">
        <v>355</v>
      </c>
      <c r="B41" s="1" t="s">
        <v>272</v>
      </c>
      <c r="J41" s="13"/>
    </row>
    <row r="42" spans="1:10" x14ac:dyDescent="0.2">
      <c r="A42" t="s">
        <v>356</v>
      </c>
      <c r="B42" s="1" t="s">
        <v>281</v>
      </c>
    </row>
    <row r="43" spans="1:10" x14ac:dyDescent="0.2">
      <c r="A43" t="s">
        <v>357</v>
      </c>
      <c r="B43" s="1" t="s">
        <v>291</v>
      </c>
      <c r="J43" s="13"/>
    </row>
    <row r="44" spans="1:10" x14ac:dyDescent="0.2">
      <c r="A44" t="s">
        <v>358</v>
      </c>
      <c r="B44" s="1" t="s">
        <v>278</v>
      </c>
    </row>
    <row r="45" spans="1:10" x14ac:dyDescent="0.2">
      <c r="A45" t="s">
        <v>359</v>
      </c>
      <c r="B45" s="1" t="s">
        <v>299</v>
      </c>
    </row>
    <row r="46" spans="1:10" x14ac:dyDescent="0.2">
      <c r="A46" t="s">
        <v>360</v>
      </c>
      <c r="B46" s="1" t="s">
        <v>300</v>
      </c>
    </row>
    <row r="47" spans="1:10" x14ac:dyDescent="0.2">
      <c r="A47" t="s">
        <v>361</v>
      </c>
      <c r="B47" s="1" t="s">
        <v>311</v>
      </c>
      <c r="J47" s="13"/>
    </row>
    <row r="48" spans="1:10" x14ac:dyDescent="0.2">
      <c r="A48" t="s">
        <v>362</v>
      </c>
      <c r="B48" s="1" t="s">
        <v>289</v>
      </c>
      <c r="J48" s="13"/>
    </row>
    <row r="49" spans="1:10" x14ac:dyDescent="0.2">
      <c r="A49" t="s">
        <v>363</v>
      </c>
      <c r="B49" s="1" t="s">
        <v>297</v>
      </c>
      <c r="J49" s="13"/>
    </row>
    <row r="50" spans="1:10" x14ac:dyDescent="0.2">
      <c r="A50" t="s">
        <v>364</v>
      </c>
      <c r="B50" s="1" t="s">
        <v>288</v>
      </c>
    </row>
    <row r="51" spans="1:10" x14ac:dyDescent="0.2">
      <c r="A51" t="s">
        <v>365</v>
      </c>
      <c r="B51" s="1" t="s">
        <v>287</v>
      </c>
    </row>
    <row r="52" spans="1:10" x14ac:dyDescent="0.2">
      <c r="A52" t="s">
        <v>366</v>
      </c>
      <c r="B52" s="1" t="s">
        <v>304</v>
      </c>
    </row>
    <row r="53" spans="1:10" x14ac:dyDescent="0.2">
      <c r="A53" t="s">
        <v>367</v>
      </c>
      <c r="B53" s="1" t="s">
        <v>293</v>
      </c>
      <c r="J53" s="13"/>
    </row>
    <row r="54" spans="1:10" x14ac:dyDescent="0.2">
      <c r="A54" t="s">
        <v>368</v>
      </c>
      <c r="B54" s="1" t="s">
        <v>312</v>
      </c>
      <c r="J54" s="13"/>
    </row>
    <row r="55" spans="1:10" x14ac:dyDescent="0.2">
      <c r="A55" t="s">
        <v>369</v>
      </c>
      <c r="B55" s="1" t="s">
        <v>302</v>
      </c>
    </row>
    <row r="56" spans="1:10" x14ac:dyDescent="0.2">
      <c r="A56" t="s">
        <v>370</v>
      </c>
      <c r="B56" s="1" t="s">
        <v>307</v>
      </c>
    </row>
    <row r="57" spans="1:10" x14ac:dyDescent="0.2">
      <c r="A57" t="s">
        <v>371</v>
      </c>
      <c r="B57" s="1" t="s">
        <v>296</v>
      </c>
    </row>
    <row r="58" spans="1:10" x14ac:dyDescent="0.2">
      <c r="A58" t="s">
        <v>372</v>
      </c>
      <c r="B58" s="1" t="s">
        <v>298</v>
      </c>
      <c r="J58" s="13"/>
    </row>
    <row r="59" spans="1:10" x14ac:dyDescent="0.2">
      <c r="A59" t="s">
        <v>373</v>
      </c>
      <c r="B59" s="16" t="s">
        <v>303</v>
      </c>
      <c r="J59" s="13"/>
    </row>
    <row r="60" spans="1:10" x14ac:dyDescent="0.2">
      <c r="A60" t="s">
        <v>374</v>
      </c>
      <c r="B60" s="1" t="s">
        <v>294</v>
      </c>
    </row>
    <row r="61" spans="1:10" x14ac:dyDescent="0.2">
      <c r="A61" t="s">
        <v>375</v>
      </c>
      <c r="B61" s="1" t="s">
        <v>309</v>
      </c>
    </row>
    <row r="62" spans="1:10" x14ac:dyDescent="0.2">
      <c r="A62" t="s">
        <v>376</v>
      </c>
      <c r="B62" s="1" t="s">
        <v>256</v>
      </c>
      <c r="J62" s="13"/>
    </row>
    <row r="63" spans="1:10" x14ac:dyDescent="0.2">
      <c r="A63" t="s">
        <v>377</v>
      </c>
      <c r="B63" s="1" t="s">
        <v>308</v>
      </c>
      <c r="J63" s="13"/>
    </row>
    <row r="64" spans="1:10" x14ac:dyDescent="0.2">
      <c r="A64" t="s">
        <v>378</v>
      </c>
      <c r="B64" s="1" t="s">
        <v>284</v>
      </c>
    </row>
    <row r="65" spans="1:10" x14ac:dyDescent="0.2">
      <c r="A65" t="s">
        <v>379</v>
      </c>
      <c r="B65" s="1" t="s">
        <v>310</v>
      </c>
    </row>
    <row r="66" spans="1:10" x14ac:dyDescent="0.2">
      <c r="A66" t="s">
        <v>380</v>
      </c>
      <c r="B66" s="1" t="s">
        <v>306</v>
      </c>
    </row>
    <row r="67" spans="1:10" x14ac:dyDescent="0.2">
      <c r="A67" s="13" t="s">
        <v>249</v>
      </c>
      <c r="B67" s="1" t="s">
        <v>285</v>
      </c>
      <c r="J67" s="13"/>
    </row>
    <row r="68" spans="1:10" x14ac:dyDescent="0.2">
      <c r="A68" s="13" t="s">
        <v>280</v>
      </c>
      <c r="B68" s="1" t="s">
        <v>295</v>
      </c>
      <c r="J68" s="13"/>
    </row>
    <row r="69" spans="1:10" x14ac:dyDescent="0.2">
      <c r="A69" s="13" t="s">
        <v>268</v>
      </c>
      <c r="B69" s="1" t="s">
        <v>305</v>
      </c>
      <c r="D69" s="13"/>
      <c r="J69" s="13"/>
    </row>
    <row r="70" spans="1:10" x14ac:dyDescent="0.2">
      <c r="A70" s="13" t="s">
        <v>261</v>
      </c>
      <c r="B70" s="1" t="s">
        <v>276</v>
      </c>
      <c r="D70" s="13"/>
      <c r="J70" s="13"/>
    </row>
    <row r="71" spans="1:10" x14ac:dyDescent="0.2">
      <c r="A71" s="13" t="s">
        <v>279</v>
      </c>
      <c r="B71" s="1" t="s">
        <v>301</v>
      </c>
      <c r="D71" s="13"/>
    </row>
    <row r="72" spans="1:10" x14ac:dyDescent="0.2">
      <c r="A72" t="s">
        <v>236</v>
      </c>
      <c r="B72" s="1" t="s">
        <v>265</v>
      </c>
      <c r="D72" s="13"/>
    </row>
    <row r="73" spans="1:10" x14ac:dyDescent="0.2">
      <c r="A73" s="13" t="s">
        <v>277</v>
      </c>
      <c r="B73" s="1" t="s">
        <v>272</v>
      </c>
      <c r="J73" s="13"/>
    </row>
    <row r="74" spans="1:10" x14ac:dyDescent="0.2">
      <c r="A74" s="13" t="s">
        <v>266</v>
      </c>
      <c r="B74" s="1" t="s">
        <v>281</v>
      </c>
      <c r="D74" s="13"/>
      <c r="J74" s="13"/>
    </row>
    <row r="75" spans="1:10" x14ac:dyDescent="0.2">
      <c r="A75" s="13" t="s">
        <v>282</v>
      </c>
      <c r="B75" s="1" t="s">
        <v>291</v>
      </c>
      <c r="J75" s="13"/>
    </row>
    <row r="76" spans="1:10" x14ac:dyDescent="0.2">
      <c r="A76" s="13" t="s">
        <v>240</v>
      </c>
      <c r="B76" s="1" t="s">
        <v>278</v>
      </c>
      <c r="D76" s="13"/>
    </row>
    <row r="77" spans="1:10" x14ac:dyDescent="0.2">
      <c r="A77" s="13" t="s">
        <v>258</v>
      </c>
      <c r="B77" s="1" t="s">
        <v>299</v>
      </c>
      <c r="D77" s="13"/>
      <c r="J77" s="13"/>
    </row>
    <row r="78" spans="1:10" x14ac:dyDescent="0.2">
      <c r="A78" s="13" t="s">
        <v>253</v>
      </c>
      <c r="B78" s="1" t="s">
        <v>300</v>
      </c>
      <c r="D78" s="13"/>
      <c r="J78" s="13"/>
    </row>
    <row r="79" spans="1:10" x14ac:dyDescent="0.2">
      <c r="A79" s="13" t="s">
        <v>275</v>
      </c>
      <c r="B79" s="1" t="s">
        <v>311</v>
      </c>
      <c r="D79" s="13"/>
      <c r="J79" s="13"/>
    </row>
    <row r="80" spans="1:10" x14ac:dyDescent="0.2">
      <c r="A80" s="13" t="s">
        <v>274</v>
      </c>
      <c r="B80" s="1" t="s">
        <v>289</v>
      </c>
      <c r="D80" s="13"/>
    </row>
    <row r="81" spans="1:10" x14ac:dyDescent="0.2">
      <c r="A81" s="13" t="s">
        <v>273</v>
      </c>
      <c r="B81" s="1" t="s">
        <v>297</v>
      </c>
      <c r="D81" s="13"/>
    </row>
    <row r="82" spans="1:10" x14ac:dyDescent="0.2">
      <c r="A82" s="13" t="s">
        <v>270</v>
      </c>
      <c r="B82" s="1" t="s">
        <v>288</v>
      </c>
      <c r="D82" s="13"/>
      <c r="J82" s="13"/>
    </row>
    <row r="83" spans="1:10" x14ac:dyDescent="0.2">
      <c r="A83" s="13" t="s">
        <v>267</v>
      </c>
      <c r="B83" s="1" t="s">
        <v>287</v>
      </c>
      <c r="D83" s="13"/>
      <c r="J83" s="13"/>
    </row>
    <row r="84" spans="1:10" x14ac:dyDescent="0.2">
      <c r="A84" s="13" t="s">
        <v>251</v>
      </c>
      <c r="B84" s="1" t="s">
        <v>304</v>
      </c>
      <c r="D84" s="13"/>
    </row>
    <row r="85" spans="1:10" x14ac:dyDescent="0.2">
      <c r="A85" s="13" t="s">
        <v>264</v>
      </c>
      <c r="B85" s="1" t="s">
        <v>293</v>
      </c>
      <c r="D85" s="13"/>
    </row>
    <row r="86" spans="1:10" x14ac:dyDescent="0.2">
      <c r="A86" s="13" t="s">
        <v>260</v>
      </c>
      <c r="B86" s="1" t="s">
        <v>312</v>
      </c>
      <c r="D86" s="13"/>
      <c r="J86" s="13"/>
    </row>
    <row r="87" spans="1:10" x14ac:dyDescent="0.2">
      <c r="A87" t="s">
        <v>292</v>
      </c>
      <c r="B87" s="1" t="s">
        <v>302</v>
      </c>
      <c r="D87" s="13"/>
      <c r="J87" s="13"/>
    </row>
    <row r="88" spans="1:10" x14ac:dyDescent="0.2">
      <c r="A88" s="13" t="s">
        <v>269</v>
      </c>
      <c r="B88" s="1" t="s">
        <v>307</v>
      </c>
      <c r="D88" s="13"/>
      <c r="J88" s="13"/>
    </row>
    <row r="89" spans="1:10" x14ac:dyDescent="0.2">
      <c r="A89" s="13" t="s">
        <v>245</v>
      </c>
      <c r="B89" s="1" t="s">
        <v>296</v>
      </c>
    </row>
    <row r="90" spans="1:10" x14ac:dyDescent="0.2">
      <c r="A90" s="13" t="s">
        <v>262</v>
      </c>
      <c r="B90" s="1" t="s">
        <v>298</v>
      </c>
      <c r="D90" s="13"/>
    </row>
    <row r="91" spans="1:10" x14ac:dyDescent="0.2">
      <c r="A91" s="13" t="s">
        <v>247</v>
      </c>
      <c r="B91" s="16" t="s">
        <v>303</v>
      </c>
      <c r="D91" s="13"/>
    </row>
    <row r="92" spans="1:10" x14ac:dyDescent="0.2">
      <c r="A92" s="13" t="s">
        <v>290</v>
      </c>
      <c r="B92" s="1" t="s">
        <v>294</v>
      </c>
      <c r="D92" s="13"/>
      <c r="J92" s="13"/>
    </row>
    <row r="93" spans="1:10" x14ac:dyDescent="0.2">
      <c r="A93" s="13" t="s">
        <v>271</v>
      </c>
      <c r="B93" s="1" t="s">
        <v>309</v>
      </c>
      <c r="D93" s="13"/>
      <c r="J93" s="13"/>
    </row>
    <row r="94" spans="1:10" x14ac:dyDescent="0.2">
      <c r="A94" t="s">
        <v>257</v>
      </c>
      <c r="B94" s="1" t="s">
        <v>256</v>
      </c>
      <c r="D94" s="13"/>
      <c r="J94" s="13"/>
    </row>
    <row r="95" spans="1:10" x14ac:dyDescent="0.2">
      <c r="A95" s="13" t="s">
        <v>238</v>
      </c>
      <c r="B95" s="1" t="s">
        <v>308</v>
      </c>
      <c r="D95" s="13"/>
    </row>
    <row r="96" spans="1:10" x14ac:dyDescent="0.2">
      <c r="A96" t="s">
        <v>243</v>
      </c>
      <c r="B96" s="1" t="s">
        <v>284</v>
      </c>
      <c r="D96" s="13"/>
    </row>
    <row r="97" spans="1:10" x14ac:dyDescent="0.2">
      <c r="A97" s="13" t="s">
        <v>286</v>
      </c>
      <c r="B97" s="1" t="s">
        <v>310</v>
      </c>
      <c r="D97" s="13"/>
    </row>
    <row r="98" spans="1:10" x14ac:dyDescent="0.2">
      <c r="A98" s="13" t="s">
        <v>283</v>
      </c>
      <c r="B98" s="1" t="s">
        <v>306</v>
      </c>
      <c r="D98" s="13"/>
      <c r="J98" s="13"/>
    </row>
    <row r="99" spans="1:10" x14ac:dyDescent="0.2">
      <c r="A99" s="13" t="s">
        <v>263</v>
      </c>
      <c r="B99" s="1" t="s">
        <v>302</v>
      </c>
      <c r="D99" s="13"/>
      <c r="J99" s="13"/>
    </row>
    <row r="100" spans="1:10" x14ac:dyDescent="0.2">
      <c r="A100" t="s">
        <v>416</v>
      </c>
      <c r="B100" s="16" t="s">
        <v>303</v>
      </c>
      <c r="D100" s="13"/>
    </row>
    <row r="103" spans="1:10" x14ac:dyDescent="0.2">
      <c r="J103" s="13"/>
    </row>
    <row r="104" spans="1:10" x14ac:dyDescent="0.2">
      <c r="J104" s="13"/>
    </row>
    <row r="105" spans="1:10" x14ac:dyDescent="0.2">
      <c r="J105" s="13"/>
    </row>
    <row r="108" spans="1:10" x14ac:dyDescent="0.2">
      <c r="J108" s="13"/>
    </row>
    <row r="109" spans="1:10" x14ac:dyDescent="0.2">
      <c r="J109" s="13"/>
    </row>
    <row r="110" spans="1:10" x14ac:dyDescent="0.2">
      <c r="J110" s="13"/>
    </row>
    <row r="114" spans="10:10" x14ac:dyDescent="0.2">
      <c r="J114" s="13"/>
    </row>
    <row r="115" spans="10:10" x14ac:dyDescent="0.2">
      <c r="J115" s="13"/>
    </row>
    <row r="116" spans="10:10" x14ac:dyDescent="0.2">
      <c r="J116" s="13"/>
    </row>
    <row r="120" spans="10:10" x14ac:dyDescent="0.2">
      <c r="J120" s="13"/>
    </row>
    <row r="121" spans="10:10" x14ac:dyDescent="0.2">
      <c r="J121" s="13"/>
    </row>
    <row r="122" spans="10:10" x14ac:dyDescent="0.2">
      <c r="J122" s="13"/>
    </row>
    <row r="126" spans="10:10" x14ac:dyDescent="0.2">
      <c r="J126" s="13"/>
    </row>
    <row r="127" spans="10:10" x14ac:dyDescent="0.2">
      <c r="J127" s="13"/>
    </row>
    <row r="131" spans="10:10" x14ac:dyDescent="0.2">
      <c r="J131" s="13"/>
    </row>
    <row r="132" spans="10:10" x14ac:dyDescent="0.2">
      <c r="J132" s="13"/>
    </row>
    <row r="133" spans="10:10" x14ac:dyDescent="0.2">
      <c r="J133" s="13"/>
    </row>
    <row r="136" spans="10:10" x14ac:dyDescent="0.2">
      <c r="J136" s="13"/>
    </row>
    <row r="137" spans="10:10" x14ac:dyDescent="0.2">
      <c r="J137" s="13"/>
    </row>
    <row r="138" spans="10:10" x14ac:dyDescent="0.2">
      <c r="J138" s="13"/>
    </row>
    <row r="143" spans="10:10" x14ac:dyDescent="0.2">
      <c r="J143" s="13"/>
    </row>
    <row r="144" spans="10:10" x14ac:dyDescent="0.2">
      <c r="J144" s="13"/>
    </row>
    <row r="148" spans="10:10" x14ac:dyDescent="0.2">
      <c r="J148" s="13"/>
    </row>
    <row r="149" spans="10:10" x14ac:dyDescent="0.2">
      <c r="J149" s="13"/>
    </row>
    <row r="152" spans="10:10" x14ac:dyDescent="0.2">
      <c r="J152" s="13"/>
    </row>
    <row r="153" spans="10:10" x14ac:dyDescent="0.2">
      <c r="J153" s="13"/>
    </row>
    <row r="154" spans="10:10" x14ac:dyDescent="0.2">
      <c r="J154" s="13"/>
    </row>
    <row r="158" spans="10:10" x14ac:dyDescent="0.2">
      <c r="J158" s="13"/>
    </row>
    <row r="163" spans="10:10" x14ac:dyDescent="0.2">
      <c r="J163" s="13"/>
    </row>
    <row r="164" spans="10:10" x14ac:dyDescent="0.2">
      <c r="J164" s="13"/>
    </row>
    <row r="168" spans="10:10" x14ac:dyDescent="0.2">
      <c r="J168" s="13"/>
    </row>
    <row r="169" spans="10:10" x14ac:dyDescent="0.2">
      <c r="J169" s="13"/>
    </row>
    <row r="170" spans="10:10" x14ac:dyDescent="0.2">
      <c r="J170" s="13"/>
    </row>
    <row r="173" spans="10:10" x14ac:dyDescent="0.2">
      <c r="J173" s="13"/>
    </row>
    <row r="174" spans="10:10" x14ac:dyDescent="0.2">
      <c r="J174" s="13"/>
    </row>
    <row r="175" spans="10:10" x14ac:dyDescent="0.2">
      <c r="J175" s="13"/>
    </row>
    <row r="178" spans="10:10" x14ac:dyDescent="0.2">
      <c r="J178" s="13"/>
    </row>
    <row r="179" spans="10:10" x14ac:dyDescent="0.2">
      <c r="J179" s="13"/>
    </row>
    <row r="180" spans="10:10" x14ac:dyDescent="0.2">
      <c r="J180" s="13"/>
    </row>
    <row r="184" spans="10:10" x14ac:dyDescent="0.2">
      <c r="J184" s="13"/>
    </row>
    <row r="185" spans="10:10" x14ac:dyDescent="0.2">
      <c r="J185" s="13"/>
    </row>
    <row r="186" spans="10:10" x14ac:dyDescent="0.2">
      <c r="J186" s="13"/>
    </row>
    <row r="189" spans="10:10" x14ac:dyDescent="0.2">
      <c r="J189" s="13"/>
    </row>
    <row r="190" spans="10:10" x14ac:dyDescent="0.2">
      <c r="J190" s="13"/>
    </row>
    <row r="194" spans="10:10" x14ac:dyDescent="0.2">
      <c r="J194" s="13"/>
    </row>
    <row r="195" spans="10:10" x14ac:dyDescent="0.2">
      <c r="J195" s="13"/>
    </row>
    <row r="196" spans="10:10" x14ac:dyDescent="0.2">
      <c r="J196" s="13"/>
    </row>
    <row r="199" spans="10:10" x14ac:dyDescent="0.2">
      <c r="J199" s="13"/>
    </row>
    <row r="200" spans="10:10" x14ac:dyDescent="0.2">
      <c r="J200" s="13"/>
    </row>
  </sheetData>
  <sortState xmlns:xlrd2="http://schemas.microsoft.com/office/spreadsheetml/2017/richdata2" ref="J7:J198">
    <sortCondition ref="J198"/>
  </sortState>
  <conditionalFormatting sqref="B3:B34">
    <cfRule type="cellIs" dxfId="19" priority="17" operator="between">
      <formula>21</formula>
      <formula>26</formula>
    </cfRule>
    <cfRule type="cellIs" dxfId="18" priority="18" operator="between">
      <formula>27</formula>
      <formula>32</formula>
    </cfRule>
    <cfRule type="cellIs" dxfId="17" priority="19" operator="between">
      <formula>7</formula>
      <formula>12</formula>
    </cfRule>
    <cfRule type="cellIs" dxfId="16" priority="20" operator="between">
      <formula>1</formula>
      <formula>6</formula>
    </cfRule>
  </conditionalFormatting>
  <conditionalFormatting sqref="B35:B66">
    <cfRule type="cellIs" dxfId="15" priority="13" operator="between">
      <formula>21</formula>
      <formula>26</formula>
    </cfRule>
    <cfRule type="cellIs" dxfId="14" priority="14" operator="between">
      <formula>27</formula>
      <formula>32</formula>
    </cfRule>
    <cfRule type="cellIs" dxfId="13" priority="15" operator="between">
      <formula>7</formula>
      <formula>12</formula>
    </cfRule>
    <cfRule type="cellIs" dxfId="12" priority="16" operator="between">
      <formula>1</formula>
      <formula>6</formula>
    </cfRule>
  </conditionalFormatting>
  <conditionalFormatting sqref="B67:B98">
    <cfRule type="cellIs" dxfId="11" priority="9" operator="between">
      <formula>21</formula>
      <formula>26</formula>
    </cfRule>
    <cfRule type="cellIs" dxfId="10" priority="10" operator="between">
      <formula>27</formula>
      <formula>32</formula>
    </cfRule>
    <cfRule type="cellIs" dxfId="9" priority="11" operator="between">
      <formula>7</formula>
      <formula>12</formula>
    </cfRule>
    <cfRule type="cellIs" dxfId="8" priority="12" operator="between">
      <formula>1</formula>
      <formula>6</formula>
    </cfRule>
  </conditionalFormatting>
  <conditionalFormatting sqref="B99">
    <cfRule type="cellIs" dxfId="7" priority="5" operator="between">
      <formula>21</formula>
      <formula>26</formula>
    </cfRule>
    <cfRule type="cellIs" dxfId="6" priority="6" operator="between">
      <formula>27</formula>
      <formula>32</formula>
    </cfRule>
    <cfRule type="cellIs" dxfId="5" priority="7" operator="between">
      <formula>7</formula>
      <formula>12</formula>
    </cfRule>
    <cfRule type="cellIs" dxfId="4" priority="8" operator="between">
      <formula>1</formula>
      <formula>6</formula>
    </cfRule>
  </conditionalFormatting>
  <conditionalFormatting sqref="B100">
    <cfRule type="cellIs" dxfId="3" priority="1" operator="between">
      <formula>21</formula>
      <formula>26</formula>
    </cfRule>
    <cfRule type="cellIs" dxfId="2" priority="2" operator="between">
      <formula>27</formula>
      <formula>32</formula>
    </cfRule>
    <cfRule type="cellIs" dxfId="1" priority="3" operator="between">
      <formula>7</formula>
      <formula>12</formula>
    </cfRule>
    <cfRule type="cellIs" dxfId="0" priority="4" operator="between">
      <formula>1</formula>
      <formula>6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F3A33-D527-1A4F-9937-D9AF0A734776}">
  <sheetPr codeName="Sheet8"/>
  <dimension ref="A1:CK83"/>
  <sheetViews>
    <sheetView workbookViewId="0">
      <pane ySplit="1" topLeftCell="A2" activePane="bottomLeft" state="frozen"/>
      <selection pane="bottomLeft" activeCell="A65" sqref="A65:I65"/>
    </sheetView>
  </sheetViews>
  <sheetFormatPr baseColWidth="10" defaultRowHeight="16" x14ac:dyDescent="0.2"/>
  <cols>
    <col min="2" max="2" width="17.1640625" style="8" bestFit="1" customWidth="1"/>
    <col min="3" max="3" width="5.1640625" bestFit="1" customWidth="1"/>
    <col min="4" max="4" width="10.5" bestFit="1" customWidth="1"/>
    <col min="5" max="5" width="8.1640625" bestFit="1" customWidth="1"/>
    <col min="6" max="6" width="9.1640625" bestFit="1" customWidth="1"/>
    <col min="7" max="8" width="9.1640625" customWidth="1"/>
    <col min="9" max="9" width="9.83203125" bestFit="1" customWidth="1"/>
    <col min="10" max="10" width="11.83203125" bestFit="1" customWidth="1"/>
    <col min="11" max="11" width="3.6640625" bestFit="1" customWidth="1"/>
    <col min="12" max="12" width="4.83203125" bestFit="1" customWidth="1"/>
    <col min="13" max="13" width="8" bestFit="1" customWidth="1"/>
    <col min="14" max="14" width="6.83203125" bestFit="1" customWidth="1"/>
    <col min="15" max="15" width="5.1640625" bestFit="1" customWidth="1"/>
    <col min="17" max="17" width="10.83203125" style="8"/>
    <col min="18" max="19" width="10.83203125" style="1"/>
    <col min="20" max="20" width="12" bestFit="1" customWidth="1"/>
    <col min="21" max="21" width="15" bestFit="1" customWidth="1"/>
    <col min="23" max="23" width="12.33203125" bestFit="1" customWidth="1"/>
    <col min="25" max="25" width="12" style="8" bestFit="1" customWidth="1"/>
    <col min="26" max="26" width="15" style="8" bestFit="1" customWidth="1"/>
    <col min="27" max="27" width="10.83203125" style="8"/>
    <col min="28" max="28" width="12.33203125" style="8" bestFit="1" customWidth="1"/>
    <col min="29" max="30" width="10.83203125" style="8"/>
    <col min="31" max="31" width="12" style="8" bestFit="1" customWidth="1"/>
    <col min="32" max="32" width="15" style="8" bestFit="1" customWidth="1"/>
    <col min="33" max="33" width="10.83203125" style="8"/>
    <col min="34" max="34" width="12.33203125" style="8" bestFit="1" customWidth="1"/>
    <col min="35" max="35" width="12" style="5" bestFit="1" customWidth="1"/>
    <col min="36" max="36" width="15" style="5" bestFit="1" customWidth="1"/>
    <col min="37" max="37" width="10.83203125" style="5"/>
    <col min="38" max="38" width="12.33203125" style="5" bestFit="1" customWidth="1"/>
    <col min="39" max="39" width="10.83203125" style="5"/>
    <col min="40" max="40" width="12" style="5" bestFit="1" customWidth="1"/>
    <col min="41" max="41" width="15" style="5" bestFit="1" customWidth="1"/>
    <col min="42" max="42" width="10.83203125" style="5"/>
    <col min="43" max="43" width="12.33203125" style="5" bestFit="1" customWidth="1"/>
    <col min="44" max="45" width="10.83203125" style="5"/>
    <col min="46" max="46" width="12" style="5" bestFit="1" customWidth="1"/>
    <col min="47" max="47" width="15" style="5" bestFit="1" customWidth="1"/>
    <col min="48" max="48" width="10.83203125" style="5"/>
    <col min="49" max="49" width="12.33203125" style="5" bestFit="1" customWidth="1"/>
    <col min="50" max="50" width="12" style="5" bestFit="1" customWidth="1"/>
    <col min="51" max="51" width="15" style="5" bestFit="1" customWidth="1"/>
    <col min="52" max="52" width="10.83203125" style="5"/>
    <col min="53" max="53" width="12.33203125" style="5" bestFit="1" customWidth="1"/>
    <col min="54" max="54" width="10.83203125" style="5"/>
    <col min="55" max="55" width="12" bestFit="1" customWidth="1"/>
    <col min="56" max="56" width="15" bestFit="1" customWidth="1"/>
    <col min="58" max="58" width="12.33203125" bestFit="1" customWidth="1"/>
    <col min="60" max="60" width="12" bestFit="1" customWidth="1"/>
    <col min="61" max="61" width="15" bestFit="1" customWidth="1"/>
    <col min="63" max="63" width="12.33203125" bestFit="1" customWidth="1"/>
  </cols>
  <sheetData>
    <row r="1" spans="1:89" x14ac:dyDescent="0.2">
      <c r="A1" t="s">
        <v>0</v>
      </c>
      <c r="B1" s="8" t="s">
        <v>1</v>
      </c>
      <c r="C1" t="s">
        <v>77</v>
      </c>
      <c r="D1" t="s">
        <v>65</v>
      </c>
      <c r="E1" t="s">
        <v>66</v>
      </c>
      <c r="F1" t="s">
        <v>108</v>
      </c>
      <c r="G1" t="s">
        <v>120</v>
      </c>
      <c r="H1" t="s">
        <v>121</v>
      </c>
      <c r="I1" t="s">
        <v>119</v>
      </c>
      <c r="J1" t="s">
        <v>133</v>
      </c>
      <c r="K1" t="s">
        <v>122</v>
      </c>
      <c r="L1" t="s">
        <v>123</v>
      </c>
      <c r="M1" t="s">
        <v>124</v>
      </c>
      <c r="N1" t="s">
        <v>9</v>
      </c>
      <c r="O1" t="s">
        <v>13</v>
      </c>
      <c r="P1" t="s">
        <v>2</v>
      </c>
      <c r="Q1" s="8" t="s">
        <v>3</v>
      </c>
      <c r="R1" s="1" t="s">
        <v>6</v>
      </c>
      <c r="U1" s="1" t="s">
        <v>29</v>
      </c>
      <c r="V1" s="1" t="s">
        <v>31</v>
      </c>
      <c r="W1" s="1" t="s">
        <v>43</v>
      </c>
      <c r="X1" s="1" t="s">
        <v>30</v>
      </c>
      <c r="Y1" s="8" t="s">
        <v>87</v>
      </c>
      <c r="Z1" s="8" t="s">
        <v>87</v>
      </c>
      <c r="AA1" s="9" t="s">
        <v>31</v>
      </c>
      <c r="AB1" s="9" t="s">
        <v>43</v>
      </c>
      <c r="AC1" s="9" t="s">
        <v>30</v>
      </c>
      <c r="AD1" s="8" t="s">
        <v>114</v>
      </c>
      <c r="AE1" s="8" t="s">
        <v>87</v>
      </c>
      <c r="AF1" s="9" t="s">
        <v>31</v>
      </c>
      <c r="AG1" s="9" t="s">
        <v>43</v>
      </c>
      <c r="AH1" s="9" t="s">
        <v>30</v>
      </c>
      <c r="AJ1" s="6" t="s">
        <v>118</v>
      </c>
      <c r="AK1" s="6" t="s">
        <v>31</v>
      </c>
      <c r="AL1" s="6" t="s">
        <v>43</v>
      </c>
      <c r="AM1" s="6" t="s">
        <v>30</v>
      </c>
      <c r="AN1" s="5" t="s">
        <v>87</v>
      </c>
      <c r="AO1" s="5" t="s">
        <v>87</v>
      </c>
      <c r="AP1" s="6" t="s">
        <v>31</v>
      </c>
      <c r="AQ1" s="6" t="s">
        <v>43</v>
      </c>
      <c r="AR1" s="6" t="s">
        <v>30</v>
      </c>
      <c r="AS1" s="5" t="s">
        <v>114</v>
      </c>
      <c r="AT1" s="5" t="s">
        <v>87</v>
      </c>
      <c r="AU1" s="6" t="s">
        <v>31</v>
      </c>
      <c r="AV1" s="6" t="s">
        <v>43</v>
      </c>
      <c r="AW1" s="6" t="s">
        <v>30</v>
      </c>
      <c r="AX1" s="6" t="s">
        <v>88</v>
      </c>
      <c r="AY1" s="6" t="s">
        <v>88</v>
      </c>
      <c r="AZ1" s="6" t="s">
        <v>31</v>
      </c>
      <c r="BA1" s="6" t="s">
        <v>43</v>
      </c>
      <c r="BB1" s="6" t="s">
        <v>30</v>
      </c>
      <c r="BC1" s="3" t="s">
        <v>149</v>
      </c>
      <c r="BD1" s="4"/>
      <c r="BE1" s="4" t="s">
        <v>31</v>
      </c>
      <c r="BF1" s="4" t="s">
        <v>43</v>
      </c>
      <c r="BG1" s="4" t="s">
        <v>30</v>
      </c>
      <c r="BH1" s="8"/>
      <c r="BI1" s="9"/>
      <c r="BJ1" s="9"/>
      <c r="BK1" s="9"/>
      <c r="BL1" s="9"/>
    </row>
    <row r="2" spans="1:89" x14ac:dyDescent="0.2">
      <c r="A2" s="8">
        <v>16</v>
      </c>
      <c r="B2" s="8" t="s">
        <v>4</v>
      </c>
      <c r="C2" s="8"/>
      <c r="D2" s="8"/>
      <c r="E2" s="8"/>
      <c r="F2" s="8"/>
      <c r="G2" s="8" t="s">
        <v>75</v>
      </c>
      <c r="H2" s="8" t="s">
        <v>75</v>
      </c>
      <c r="I2" s="8"/>
      <c r="J2" s="8"/>
      <c r="K2" s="8"/>
      <c r="L2" s="8"/>
      <c r="M2" s="8"/>
      <c r="N2" s="8"/>
      <c r="O2" s="8"/>
      <c r="P2" s="8"/>
      <c r="R2" s="9"/>
      <c r="U2" s="1" t="e">
        <f>AVERAGE($R$2:$R$999)</f>
        <v>#DIV/0!</v>
      </c>
      <c r="V2" s="1" t="e">
        <f>AVERAGEIF($N$2:$N$999,"&lt;=-5",$R$2:$R$999)</f>
        <v>#DIV/0!</v>
      </c>
      <c r="W2" s="1" t="e">
        <f>AVERAGEIFS($R$2:$R$999,$N$2:$N$999,"&gt;=-4.5",$N$2:$N$999,"&lt;=4.5")</f>
        <v>#DIV/0!</v>
      </c>
      <c r="X2" s="1" t="e">
        <f>AVERAGEIF($N$2:$N$999,"&gt;=5",$R$2:$R$999)</f>
        <v>#DIV/0!</v>
      </c>
      <c r="Z2" s="9" t="e">
        <f>AVERAGEIFS($R$2:$R$999,$E$2:$E$999,"YES",$D$2:$D$999,"YES")</f>
        <v>#DIV/0!</v>
      </c>
      <c r="AA2" s="9" t="e">
        <f>AVERAGEIFS($R$2:$R$999,$N$2:$N$999,"&lt;=-5",$E$2:$E$999,"YES",$D$2:$D$999,"YES")</f>
        <v>#DIV/0!</v>
      </c>
      <c r="AB2" s="9" t="e">
        <f>AVERAGEIFS($R$2:$R$999,$N$2:$N$999,"&gt;=-4.5",$N$2:$N$999,"&lt;=4.5",$E$2:$E$999,"YES",$D$2:$D$999,"YES")</f>
        <v>#DIV/0!</v>
      </c>
      <c r="AC2" s="9" t="e">
        <f>AVERAGEIFS($R$2:$R$999,$N$2:$N$999,"&gt;=5",$E$2:$E$999,"YES",$D$2:$D$999,"YES")</f>
        <v>#DIV/0!</v>
      </c>
      <c r="AE2" s="9" t="e">
        <f>AVERAGEIFS($R$2:$R$999,$E$2:$E$999,"YES",$D$2:$D$999,"YES",$F$2:$F$999,"UP")</f>
        <v>#DIV/0!</v>
      </c>
      <c r="AF2" s="9" t="e">
        <f>AVERAGEIFS($R$2:$R$999,$N$2:$N$999,"&lt;=-5",$E$2:$E$999,"YES",$D$2:$D$999,"YES",$F$2:$F$999,"UP")</f>
        <v>#DIV/0!</v>
      </c>
      <c r="AG2" s="9" t="e">
        <f>AVERAGEIFS($R$2:$R$999,$N$2:$N$999,"&gt;=-4.5",$N$2:$N$999,"&lt;=4.5",$E$2:$E$999,"YES",$D$2:$D$999,"YES",$F$2:$F$999,"UP")</f>
        <v>#DIV/0!</v>
      </c>
      <c r="AH2" s="9" t="e">
        <f>AVERAGEIFS($R$2:$R$999,$N$2:$N$999,"&gt;=5",$E$2:$E$999,"YES",$D$2:$D$999,"YES",$F$2:$F$999,"UP")</f>
        <v>#DIV/0!</v>
      </c>
      <c r="AJ2" s="6" t="e">
        <f>AVERAGEIFS($R$2:$R$999,$C$2:$C$999,"&gt;=0.01")</f>
        <v>#DIV/0!</v>
      </c>
      <c r="AK2" s="6" t="e">
        <f>AVERAGEIFS($R$2:$R$999,$N$2:$N$999,"&lt;=-5",$C$2:$C$999,"&gt;=0.01")</f>
        <v>#DIV/0!</v>
      </c>
      <c r="AL2" s="6" t="e">
        <f>AVERAGEIFS($R$2:$R$999,$N$2:$N$999,"&gt;=-4.5",$N$2:$N$999,"&lt;=4.55",$C$2:$C$999,"&gt;=0.01")</f>
        <v>#DIV/0!</v>
      </c>
      <c r="AM2" s="6" t="e">
        <f>AVERAGEIFS($R$2:$R$999,$N$2:$N$999,"&gt;=5",$C$2:$C$999,"&gt;=0.01")</f>
        <v>#DIV/0!</v>
      </c>
      <c r="AO2" s="6" t="e">
        <f>AVERAGEIFS($R$2:$R$999,$E$2:$E$999,"YES",$D$2:$D$999,"YES",$C$2:$C$999,"&gt;=0.01")</f>
        <v>#DIV/0!</v>
      </c>
      <c r="AP2" s="6" t="e">
        <f>AVERAGEIFS($R$2:$R$999,$N$2:$N$999,"&lt;=-5",$E$2:$E$999,"YES",$D$2:$D$999,"YES",$C$2:$C$999,"&gt;=0.01")</f>
        <v>#DIV/0!</v>
      </c>
      <c r="AQ2" s="6" t="e">
        <f>AVERAGEIFS($R$2:$R$999,$N$2:$N$999,"&gt;=-4.5",$N$2:$N$999,"&lt;=4.5",$E$2:$E$999,"YES",$D$2:$D$999,"YES",$C$2:$C$999,"&gt;=0.01")</f>
        <v>#DIV/0!</v>
      </c>
      <c r="AR2" s="6" t="e">
        <f>AVERAGEIFS($R$2:$R$999,$N$2:$N$999,"&gt;=5",$E$2:$E$999,"YES",$D$2:$D$999,"YES",$C$2:$C$999,"&gt;=0.01")</f>
        <v>#DIV/0!</v>
      </c>
      <c r="AT2" s="6" t="e">
        <f>AVERAGEIFS($R$2:$R$999,$E$2:$E$999,"YES",$D$2:$D$999,"YES",$F$2:$F$999,"UP",$C$2:$C$999,"&gt;=0.01")</f>
        <v>#DIV/0!</v>
      </c>
      <c r="AU2" s="6" t="e">
        <f>AVERAGEIFS($R$2:$R$999,$N$2:$N$999,"&lt;=-5",$E$2:$E$999,"YES",$D$2:$D$999,"YES",$F$2:$F$999,"UP",$C$2:$C$999,"&gt;=0.01")</f>
        <v>#DIV/0!</v>
      </c>
      <c r="AV2" s="6" t="e">
        <f>AVERAGEIFS($R$2:$R$999,$N$2:$N$999,"&gt;=-4.5",$N$2:$N$999,"&lt;=4.5",$E$2:$E$999,"YES",$D$2:$D$999,"YES",$F$2:$F$999,"UP",$C$2:$C$999,"&gt;=0.01")</f>
        <v>#DIV/0!</v>
      </c>
      <c r="AW2" s="6" t="e">
        <f>AVERAGEIFS($R$2:$R$999,$N$2:$N$999,"&gt;=5",$E$2:$E$999,"YES",$D$2:$D$999,"YES",$F$2:$F$999,"UP",$C$2:$C$999,"&gt;=0.01")</f>
        <v>#DIV/0!</v>
      </c>
      <c r="AY2" s="6" t="e">
        <f>AVERAGEIFS($R$2:$R$999,$C$2:$C$999,"&gt;=11")</f>
        <v>#DIV/0!</v>
      </c>
      <c r="AZ2" s="6" t="e">
        <f>AVERAGEIFS($R$2:$R$999,$N$2:$N$999,"&lt;=-5",$C$2:$C$999,"&gt;=11")</f>
        <v>#DIV/0!</v>
      </c>
      <c r="BA2" s="6" t="e">
        <f>AVERAGEIFS($R$2:$R$999,$N$2:$N$999,"&gt;=-4.5",$N$2:$N$999,"&lt;=4.5",$C$2:$C$999,"&gt;=11")</f>
        <v>#DIV/0!</v>
      </c>
      <c r="BB2" s="6" t="e">
        <f>AVERAGEIFS($R$2:$R$999,$N$2:$N$999,"&gt;=5",$C$2:$C$999,"&gt;=11")</f>
        <v>#DIV/0!</v>
      </c>
      <c r="BC2" s="3"/>
      <c r="BD2" s="4" t="e">
        <f>AVERAGEIFS($R$2:$R$999,$I$2:$I$999,"YES",$J$2:$J$999,"YES")</f>
        <v>#DIV/0!</v>
      </c>
      <c r="BE2" s="4" t="e">
        <f>AVERAGEIFS($R$2:$R$999,$N$2:$N$999,"&lt;=-5",$I$2:$I$999,"YES",$J$2:$J$999,"YES")</f>
        <v>#DIV/0!</v>
      </c>
      <c r="BF2" s="4" t="e">
        <f>AVERAGEIFS($R$2:$R$999,$N$2:$N$999,"&gt;=-4.5",$N$2:$N$999,"&lt;=4.5",$I$2:$I$999,"YES",$J$2:$J$999,"YES")</f>
        <v>#DIV/0!</v>
      </c>
      <c r="BG2" s="4" t="e">
        <f>AVERAGEIFS($R$2:$R$999,$N$2:$N$999,"&gt;=5",$I$2:$I$999,"YES",$J$2:$J$999,"YES")</f>
        <v>#DIV/0!</v>
      </c>
      <c r="BH2" s="8"/>
      <c r="BI2" s="9"/>
      <c r="BJ2" s="9"/>
      <c r="BK2" s="9"/>
      <c r="BL2" s="9"/>
    </row>
    <row r="3" spans="1:89" x14ac:dyDescent="0.2">
      <c r="A3" s="8">
        <v>16</v>
      </c>
      <c r="B3" s="8" t="s">
        <v>7</v>
      </c>
      <c r="C3" s="8"/>
      <c r="D3" s="8"/>
      <c r="E3" s="8"/>
      <c r="F3" s="8"/>
      <c r="G3" s="8" t="s">
        <v>75</v>
      </c>
      <c r="H3" s="8" t="s">
        <v>75</v>
      </c>
      <c r="I3" s="8"/>
      <c r="J3" s="8"/>
      <c r="K3" s="8"/>
      <c r="L3" s="8"/>
      <c r="M3" s="8"/>
      <c r="N3" s="8"/>
      <c r="O3" s="8"/>
      <c r="P3" s="8"/>
      <c r="R3" s="9"/>
      <c r="U3" s="1"/>
      <c r="V3" s="1"/>
      <c r="W3" s="1"/>
      <c r="X3" s="1"/>
      <c r="Z3" s="9"/>
      <c r="AA3" s="9"/>
      <c r="AB3" s="9"/>
      <c r="AC3" s="9"/>
      <c r="AE3" s="9"/>
      <c r="AF3" s="9"/>
      <c r="AG3" s="9"/>
      <c r="AH3" s="9"/>
      <c r="AJ3" s="6"/>
      <c r="AK3" s="6"/>
      <c r="AL3" s="6"/>
      <c r="AM3" s="6"/>
      <c r="AO3" s="6"/>
      <c r="AP3" s="6"/>
      <c r="AQ3" s="6"/>
      <c r="AR3" s="6"/>
      <c r="AT3" s="6"/>
      <c r="AU3" s="6"/>
      <c r="AV3" s="6"/>
      <c r="AW3" s="6"/>
      <c r="AY3" s="6"/>
      <c r="AZ3" s="6"/>
      <c r="BA3" s="6"/>
      <c r="BB3" s="6"/>
      <c r="BC3" s="3"/>
      <c r="BD3" s="4"/>
      <c r="BE3" s="4"/>
      <c r="BF3" s="4"/>
      <c r="BG3" s="4"/>
      <c r="BH3" s="8"/>
      <c r="BI3" s="9"/>
      <c r="BJ3" s="9"/>
      <c r="BK3" s="9"/>
      <c r="BL3" s="9"/>
    </row>
    <row r="4" spans="1:89" x14ac:dyDescent="0.2">
      <c r="A4" s="8">
        <v>16</v>
      </c>
      <c r="B4" s="8" t="s">
        <v>116</v>
      </c>
      <c r="C4" s="8"/>
      <c r="D4" s="8"/>
      <c r="E4" s="8"/>
      <c r="F4" s="8" t="s">
        <v>109</v>
      </c>
      <c r="G4" s="8" t="s">
        <v>75</v>
      </c>
      <c r="H4" s="8"/>
      <c r="I4" s="8"/>
      <c r="J4" s="8"/>
      <c r="K4" s="8"/>
      <c r="L4" s="8"/>
      <c r="M4" s="8"/>
      <c r="N4" s="8"/>
      <c r="O4" s="8"/>
      <c r="P4" s="8"/>
      <c r="R4" s="9"/>
      <c r="U4" t="s">
        <v>33</v>
      </c>
      <c r="V4" s="1" t="s">
        <v>31</v>
      </c>
      <c r="W4" s="1" t="s">
        <v>43</v>
      </c>
      <c r="X4" s="1" t="s">
        <v>30</v>
      </c>
      <c r="Z4" s="8" t="s">
        <v>33</v>
      </c>
      <c r="AA4" s="9" t="s">
        <v>31</v>
      </c>
      <c r="AB4" s="9" t="s">
        <v>43</v>
      </c>
      <c r="AC4" s="9" t="s">
        <v>30</v>
      </c>
      <c r="AE4" s="8" t="s">
        <v>33</v>
      </c>
      <c r="AF4" s="9" t="s">
        <v>31</v>
      </c>
      <c r="AG4" s="9" t="s">
        <v>43</v>
      </c>
      <c r="AH4" s="9" t="s">
        <v>30</v>
      </c>
      <c r="AJ4" s="5" t="s">
        <v>33</v>
      </c>
      <c r="AK4" s="6" t="s">
        <v>31</v>
      </c>
      <c r="AL4" s="6" t="s">
        <v>43</v>
      </c>
      <c r="AM4" s="6" t="s">
        <v>30</v>
      </c>
      <c r="AO4" s="5" t="s">
        <v>33</v>
      </c>
      <c r="AP4" s="6" t="s">
        <v>31</v>
      </c>
      <c r="AQ4" s="6" t="s">
        <v>43</v>
      </c>
      <c r="AR4" s="6" t="s">
        <v>30</v>
      </c>
      <c r="AT4" s="5" t="s">
        <v>33</v>
      </c>
      <c r="AU4" s="6" t="s">
        <v>31</v>
      </c>
      <c r="AV4" s="6" t="s">
        <v>43</v>
      </c>
      <c r="AW4" s="6" t="s">
        <v>30</v>
      </c>
      <c r="AY4" s="5" t="s">
        <v>33</v>
      </c>
      <c r="AZ4" s="6" t="s">
        <v>31</v>
      </c>
      <c r="BA4" s="6" t="s">
        <v>43</v>
      </c>
      <c r="BB4" s="6" t="s">
        <v>30</v>
      </c>
      <c r="BC4" s="3"/>
      <c r="BD4" s="3" t="s">
        <v>33</v>
      </c>
      <c r="BE4" s="4" t="s">
        <v>31</v>
      </c>
      <c r="BF4" s="4" t="s">
        <v>43</v>
      </c>
      <c r="BG4" s="4" t="s">
        <v>30</v>
      </c>
      <c r="BH4" s="8"/>
      <c r="BI4" s="8"/>
      <c r="BJ4" s="9"/>
      <c r="BK4" s="9"/>
      <c r="BL4" s="9"/>
    </row>
    <row r="5" spans="1:89" x14ac:dyDescent="0.2">
      <c r="A5" s="8">
        <v>16</v>
      </c>
      <c r="B5" s="8" t="s">
        <v>14</v>
      </c>
      <c r="C5" s="8"/>
      <c r="D5" s="8"/>
      <c r="E5" s="8"/>
      <c r="F5" s="8" t="s">
        <v>109</v>
      </c>
      <c r="G5" s="8" t="s">
        <v>75</v>
      </c>
      <c r="H5" s="8"/>
      <c r="I5" s="8"/>
      <c r="J5" s="8"/>
      <c r="K5" s="8"/>
      <c r="L5" s="8"/>
      <c r="M5" s="8"/>
      <c r="N5" s="8"/>
      <c r="O5" s="8"/>
      <c r="P5" s="8"/>
      <c r="R5" s="9"/>
      <c r="U5" s="1" t="e">
        <f>AVERAGEIFS($R$2:$R$999,$P$2:$P$999,"&lt;=4")</f>
        <v>#DIV/0!</v>
      </c>
      <c r="V5" s="1" t="e">
        <f>AVERAGEIFS($R$2:$R$999,$N$2:$N$999,"&lt;=-5",$P$2:$P$999,"&lt;=4")</f>
        <v>#DIV/0!</v>
      </c>
      <c r="W5" s="1" t="e">
        <f>AVERAGEIFS($R$2:$R$999,$N$2:$N$999,"&gt;=-4.5",$N$2:$N$999,"&lt;=4.55",$P$2:$P$999,"&lt;=4")</f>
        <v>#DIV/0!</v>
      </c>
      <c r="X5" s="1" t="e">
        <f>AVERAGEIFS($R$2:$R$999,$N$2:$N$999,"&gt;=5",$P$2:$P$999,"&lt;=4")</f>
        <v>#DIV/0!</v>
      </c>
      <c r="Z5" s="9" t="e">
        <f>AVERAGEIFS($R$2:$R$999,$P$2:$P$999,"&lt;=4",$E$2:$E$999,"YES",$D$2:$D$999,"YES")</f>
        <v>#DIV/0!</v>
      </c>
      <c r="AA5" s="9" t="e">
        <f>AVERAGEIFS($R$2:$R$999,$N$2:$N$999,"&lt;=-5",$P$2:$P$999,"&lt;=4",$E$2:$E$999,"YES",$D$2:$D$999,"YES")</f>
        <v>#DIV/0!</v>
      </c>
      <c r="AB5" s="9" t="e">
        <f>AVERAGEIFS($R$2:$R$999,$N$2:$N$999,"&gt;=-4.5",$N$2:$N$999,"&lt;=4.55",$P$2:$P$999,"&lt;=4",$E$2:$E$999,"YES",$D$2:$D$999,"YES")</f>
        <v>#DIV/0!</v>
      </c>
      <c r="AC5" s="9" t="e">
        <f>AVERAGEIFS($R$2:$R$999,$N$2:$N$999,"&gt;=5",$P$2:$P$999,"&lt;=4",$E$2:$E$999,"YES",$D$2:$D$999,"YES")</f>
        <v>#DIV/0!</v>
      </c>
      <c r="AE5" s="9" t="e">
        <f>AVERAGEIFS($R$2:$R$999,$P$2:$P$999,"&lt;=4",$E$2:$E$999,"YES",$D$2:$D$999,"YES",$F$2:$F$999,"UP")</f>
        <v>#DIV/0!</v>
      </c>
      <c r="AF5" s="9" t="e">
        <f>AVERAGEIFS($R$2:$R$999,$N$2:$N$999,"&lt;=-5",$P$2:$P$999,"&lt;=4",$E$2:$E$999,"YES",$D$2:$D$999,"YES",$F$2:$F$999,"UP")</f>
        <v>#DIV/0!</v>
      </c>
      <c r="AG5" s="9" t="e">
        <f>AVERAGEIFS($R$2:$R$999,$N$2:$N$999,"&gt;=-4.5",$N$2:$N$999,"&lt;=4.55",$P$2:$P$999,"&lt;=4",$E$2:$E$999,"YES",$D$2:$D$999,"YES",$F$2:$F$999,"UP")</f>
        <v>#DIV/0!</v>
      </c>
      <c r="AH5" s="9" t="e">
        <f>AVERAGEIFS($R$2:$R$999,$N$2:$N$999,"&gt;=5",$P$2:$P$999,"&lt;=4",$E$2:$E$999,"YES",$D$2:$D$999,"YES",$F$2:$F$999,"UP")</f>
        <v>#DIV/0!</v>
      </c>
      <c r="AJ5" s="6" t="e">
        <f>AVERAGEIFS($R$2:$R$999,$P$2:$P$999,"&lt;=4",$C$2:$C$999,"&gt;=0.01")</f>
        <v>#DIV/0!</v>
      </c>
      <c r="AK5" s="6" t="e">
        <f>AVERAGEIFS($R$2:$R$999,$N$2:$N$999,"&lt;=-5",$P$2:$P$999,"&lt;=4",$C$2:$C$999,"&gt;=0.01")</f>
        <v>#DIV/0!</v>
      </c>
      <c r="AL5" s="6" t="e">
        <f>AVERAGEIFS($R$2:$R$999,$N$2:$N$999,"&gt;=-4.5",$N$2:$N$999,"&lt;=4.55",$P$2:$P$999,"&lt;=4",$C$2:$C$999,"&gt;=0.01")</f>
        <v>#DIV/0!</v>
      </c>
      <c r="AM5" s="6" t="e">
        <f>AVERAGEIFS($R$2:$R$999,$N$2:$N$999,"&gt;=5",$P$2:$P$999,"&lt;=4",$C$2:$C$999,"&gt;=0.01")</f>
        <v>#DIV/0!</v>
      </c>
      <c r="AO5" s="6" t="e">
        <f>AVERAGEIFS($R$2:$R$999,$P$2:$P$999,"&lt;=4",$E$2:$E$999,"YES",$D$2:$D$999,"YES",$C$2:$C$999,"&gt;=0.01")</f>
        <v>#DIV/0!</v>
      </c>
      <c r="AP5" s="6" t="e">
        <f>AVERAGEIFS($R$2:$R$999,$N$2:$N$999,"&lt;=-5",$P$2:$P$999,"&lt;=4",$E$2:$E$999,"YES",$D$2:$D$999,"YES",$C$2:$C$999,"&gt;=0.01")</f>
        <v>#DIV/0!</v>
      </c>
      <c r="AQ5" s="6" t="e">
        <f>AVERAGEIFS($R$2:$R$999,$N$2:$N$999,"&gt;=-4.5",$N$2:$N$999,"&lt;=4.55",$P$2:$P$999,"&lt;=4",$E$2:$E$999,"YES",$D$2:$D$999,"YES",$C$2:$C$999,"&gt;=0.01")</f>
        <v>#DIV/0!</v>
      </c>
      <c r="AR5" s="6" t="e">
        <f>AVERAGEIFS($R$2:$R$999,$N$2:$N$999,"&gt;=5",$P$2:$P$999,"&lt;=4",$E$2:$E$999,"YES",$D$2:$D$999,"YES",$C$2:$C$999,"&gt;=0.01")</f>
        <v>#DIV/0!</v>
      </c>
      <c r="AT5" s="6" t="e">
        <f>AVERAGEIFS($R$2:$R$999,$P$2:$P$999,"&lt;=4",$E$2:$E$999,"YES",$D$2:$D$999,"YES",$F$2:$F$999,"UP",$C$2:$C$999,"&gt;=0.01")</f>
        <v>#DIV/0!</v>
      </c>
      <c r="AU5" s="6" t="e">
        <f>AVERAGEIFS($R$2:$R$999,$N$2:$N$999,"&lt;=-5",$P$2:$P$999,"&lt;=4",$E$2:$E$999,"YES",$D$2:$D$999,"YES",$F$2:$F$999,"UP",$C$2:$C$999,"&gt;=0.01")</f>
        <v>#DIV/0!</v>
      </c>
      <c r="AV5" s="6" t="e">
        <f>AVERAGEIFS($R$2:$R$999,$N$2:$N$999,"&gt;=-4.5",$N$2:$N$999,"&lt;=4.55",$P$2:$P$999,"&lt;=4",$E$2:$E$999,"YES",$D$2:$D$999,"YES",$F$2:$F$999,"UP",$C$2:$C$999,"&gt;=0.01")</f>
        <v>#DIV/0!</v>
      </c>
      <c r="AW5" s="6" t="e">
        <f>AVERAGEIFS($R$2:$R$999,$N$2:$N$999,"&gt;=5",$P$2:$P$999,"&lt;=4",$E$2:$E$999,"YES",$D$2:$D$999,"YES",$F$2:$F$999,"UP",$C$2:$C$999,"&gt;=0.01")</f>
        <v>#DIV/0!</v>
      </c>
      <c r="AY5" s="6" t="e">
        <f>AVERAGEIFS($R$2:$R$999,$P$2:$P$999,"&lt;=4",$C$2:$C$999,"&gt;=11")</f>
        <v>#DIV/0!</v>
      </c>
      <c r="AZ5" s="6" t="e">
        <f>AVERAGEIFS($R$2:$R$999,$N$2:$N$999,"&lt;=-5",$P$2:$P$999,"&lt;=4",$C$2:$C$999,"&gt;=11")</f>
        <v>#DIV/0!</v>
      </c>
      <c r="BA5" s="6" t="e">
        <f>AVERAGEIFS($R$2:$R$999,$N$2:$N$999,"&gt;=-4.5",$N$2:$N$999,"&lt;=4.55",$P$2:$P$999,"&lt;=4",$C$2:$C$999,"&gt;=11")</f>
        <v>#DIV/0!</v>
      </c>
      <c r="BB5" s="6" t="e">
        <f>AVERAGEIFS($R$2:$R$999,$N$2:$N$999,"&gt;=5",$P$2:$P$999,"&lt;=4",$C$2:$C$999,"&gt;=11")</f>
        <v>#DIV/0!</v>
      </c>
      <c r="BC5" s="3"/>
      <c r="BD5" s="4" t="e">
        <f>AVERAGEIFS($R$2:$R$999,$P$2:$P$999,"&lt;=4",$I$2:$I$999,"YES",$J$2:$J$999,"YES")</f>
        <v>#DIV/0!</v>
      </c>
      <c r="BE5" s="4" t="e">
        <f>AVERAGEIFS($R$2:$R$999,$N$2:$N$999,"&lt;=-5",$P$2:$P$999,"&lt;=4",$I$2:$I$999,"YES",$J$2:$J$999,"YES")</f>
        <v>#DIV/0!</v>
      </c>
      <c r="BF5" s="4" t="e">
        <f>AVERAGEIFS($R$2:$R$999,$N$2:$N$999,"&gt;=-4.5",$N$2:$N$999,"&lt;=4.55",$P$2:$P$999,"&lt;=4",$I$2:$I$999,"YES",$J$2:$J$999,"YES")</f>
        <v>#DIV/0!</v>
      </c>
      <c r="BG5" s="4" t="e">
        <f>AVERAGEIFS($R$2:$R$999,$N$2:$N$999,"&gt;=5",$P$2:$P$999,"&lt;=4",$I$2:$I$999,"YES",$J$2:$J$999,"YES")</f>
        <v>#DIV/0!</v>
      </c>
      <c r="BH5" s="8"/>
      <c r="BI5" s="9"/>
      <c r="BJ5" s="9"/>
      <c r="BK5" s="9"/>
      <c r="BL5" s="9"/>
    </row>
    <row r="6" spans="1:89" x14ac:dyDescent="0.2">
      <c r="A6" s="8">
        <v>16</v>
      </c>
      <c r="B6" s="8" t="s">
        <v>86</v>
      </c>
      <c r="C6" s="8"/>
      <c r="D6" s="8"/>
      <c r="E6" s="8"/>
      <c r="F6" s="8" t="s">
        <v>109</v>
      </c>
      <c r="G6" s="8" t="s">
        <v>75</v>
      </c>
      <c r="H6" s="8"/>
      <c r="I6" s="8"/>
      <c r="J6" s="8"/>
      <c r="K6" s="8"/>
      <c r="L6" s="8"/>
      <c r="M6" s="8"/>
      <c r="N6" s="8"/>
      <c r="O6" s="8"/>
      <c r="P6" s="8"/>
      <c r="R6" s="9"/>
      <c r="U6" s="1"/>
      <c r="V6" s="1"/>
      <c r="W6" s="1"/>
      <c r="X6" s="1"/>
      <c r="Z6" s="9"/>
      <c r="AA6" s="9"/>
      <c r="AB6" s="9"/>
      <c r="AC6" s="9"/>
      <c r="AE6" s="9"/>
      <c r="AF6" s="9"/>
      <c r="AG6" s="9"/>
      <c r="AH6" s="9"/>
      <c r="AJ6" s="6"/>
      <c r="AK6" s="6"/>
      <c r="AL6" s="6"/>
      <c r="AM6" s="6"/>
      <c r="AO6" s="6"/>
      <c r="AP6" s="6"/>
      <c r="AQ6" s="6"/>
      <c r="AR6" s="6"/>
      <c r="AT6" s="6"/>
      <c r="AU6" s="6"/>
      <c r="AV6" s="6"/>
      <c r="AW6" s="6"/>
      <c r="AY6" s="6"/>
      <c r="AZ6" s="6"/>
      <c r="BA6" s="6"/>
      <c r="BB6" s="6"/>
      <c r="BC6" s="3"/>
      <c r="BD6" s="4"/>
      <c r="BE6" s="4"/>
      <c r="BF6" s="4"/>
      <c r="BG6" s="4"/>
      <c r="BH6" s="8"/>
      <c r="BI6" s="9"/>
      <c r="BJ6" s="9"/>
      <c r="BK6" s="9"/>
      <c r="BL6" s="9"/>
    </row>
    <row r="7" spans="1:89" x14ac:dyDescent="0.2">
      <c r="A7" s="11">
        <v>16</v>
      </c>
      <c r="B7" s="11" t="s">
        <v>24</v>
      </c>
      <c r="C7" s="11"/>
      <c r="D7" s="11" t="s">
        <v>75</v>
      </c>
      <c r="E7" s="11" t="s">
        <v>75</v>
      </c>
      <c r="F7" s="11"/>
      <c r="G7" s="11" t="s">
        <v>75</v>
      </c>
      <c r="H7" s="11" t="s">
        <v>75</v>
      </c>
      <c r="I7" s="11" t="s">
        <v>75</v>
      </c>
      <c r="J7" s="8"/>
      <c r="K7" s="8"/>
      <c r="L7" s="8"/>
      <c r="M7" s="8"/>
      <c r="N7" s="8"/>
      <c r="O7" s="8"/>
      <c r="P7" s="8"/>
      <c r="R7" s="9"/>
      <c r="U7" t="s">
        <v>36</v>
      </c>
      <c r="V7" s="1" t="s">
        <v>31</v>
      </c>
      <c r="W7" s="1" t="s">
        <v>43</v>
      </c>
      <c r="X7" s="1" t="s">
        <v>30</v>
      </c>
      <c r="Z7" s="8" t="s">
        <v>36</v>
      </c>
      <c r="AA7" s="9" t="s">
        <v>31</v>
      </c>
      <c r="AB7" s="9" t="s">
        <v>43</v>
      </c>
      <c r="AC7" s="9" t="s">
        <v>30</v>
      </c>
      <c r="AE7" s="8" t="s">
        <v>36</v>
      </c>
      <c r="AF7" s="9" t="s">
        <v>31</v>
      </c>
      <c r="AG7" s="9" t="s">
        <v>43</v>
      </c>
      <c r="AH7" s="9" t="s">
        <v>30</v>
      </c>
      <c r="AJ7" s="5" t="s">
        <v>36</v>
      </c>
      <c r="AK7" s="6" t="s">
        <v>31</v>
      </c>
      <c r="AL7" s="6" t="s">
        <v>43</v>
      </c>
      <c r="AM7" s="6" t="s">
        <v>30</v>
      </c>
      <c r="AO7" s="5" t="s">
        <v>36</v>
      </c>
      <c r="AP7" s="6" t="s">
        <v>31</v>
      </c>
      <c r="AQ7" s="6" t="s">
        <v>43</v>
      </c>
      <c r="AR7" s="6" t="s">
        <v>30</v>
      </c>
      <c r="AT7" s="5" t="s">
        <v>36</v>
      </c>
      <c r="AU7" s="6" t="s">
        <v>31</v>
      </c>
      <c r="AV7" s="6" t="s">
        <v>43</v>
      </c>
      <c r="AW7" s="6" t="s">
        <v>30</v>
      </c>
      <c r="AY7" s="5" t="s">
        <v>36</v>
      </c>
      <c r="AZ7" s="6" t="s">
        <v>31</v>
      </c>
      <c r="BA7" s="6" t="s">
        <v>43</v>
      </c>
      <c r="BB7" s="6" t="s">
        <v>30</v>
      </c>
      <c r="BC7" s="3"/>
      <c r="BD7" s="3" t="s">
        <v>36</v>
      </c>
      <c r="BE7" s="4" t="s">
        <v>31</v>
      </c>
      <c r="BF7" s="4" t="s">
        <v>43</v>
      </c>
      <c r="BG7" s="4" t="s">
        <v>30</v>
      </c>
      <c r="BH7" s="8"/>
      <c r="BI7" s="8"/>
      <c r="BJ7" s="9"/>
      <c r="BK7" s="9"/>
      <c r="BL7" s="9"/>
    </row>
    <row r="8" spans="1:89" x14ac:dyDescent="0.2">
      <c r="A8" s="11">
        <v>16</v>
      </c>
      <c r="B8" s="11" t="s">
        <v>8</v>
      </c>
      <c r="C8" s="11"/>
      <c r="D8" s="11" t="s">
        <v>75</v>
      </c>
      <c r="E8" s="11" t="s">
        <v>75</v>
      </c>
      <c r="F8" s="11"/>
      <c r="G8" s="11" t="s">
        <v>75</v>
      </c>
      <c r="H8" s="11" t="s">
        <v>75</v>
      </c>
      <c r="I8" s="11" t="s">
        <v>75</v>
      </c>
      <c r="J8" s="8"/>
      <c r="K8" s="8"/>
      <c r="L8" s="8"/>
      <c r="M8" s="8"/>
      <c r="N8" s="8"/>
      <c r="O8" s="8"/>
      <c r="P8" s="8"/>
      <c r="R8" s="9"/>
      <c r="U8" s="1" t="e">
        <f>AVERAGEIFS($R$2:$R$999,$P$2:$P$999,"&gt;=4.1",$P$2:$P$999,"&lt;=5")</f>
        <v>#DIV/0!</v>
      </c>
      <c r="V8" s="1" t="e">
        <f>AVERAGEIFS($R$2:$R$999,$N$2:$N$999,"&lt;=-5",$P$2:$P$999,"&gt;=4.1",$P$2:$P$999,"&lt;=5")</f>
        <v>#DIV/0!</v>
      </c>
      <c r="W8" s="1" t="e">
        <f>AVERAGEIFS($R$2:$R$999,$N$2:$N$999,"&gt;=-4.5",$N$2:$N$999,"&lt;=4.5",$P$2:$P$999,"&gt;=4.1",$P$2:$P$999,"&lt;=5")</f>
        <v>#DIV/0!</v>
      </c>
      <c r="X8" s="1" t="e">
        <f>AVERAGEIFS($R$2:$R$999,$N$2:$N$999,"&gt;=5",$P$2:$P$999,"&gt;=4.1",$P$2:$P$999,"&lt;=5")</f>
        <v>#DIV/0!</v>
      </c>
      <c r="Z8" s="9" t="e">
        <f>AVERAGEIFS($R$2:$R$999,$P$2:$P$999,"&gt;=4.1",$P$2:$P$999,"&lt;=5",$E$2:$E$999,"YES",$D$2:$D$999,"YES")</f>
        <v>#DIV/0!</v>
      </c>
      <c r="AA8" s="9" t="e">
        <f>AVERAGEIFS($R$2:$R$999,$N$2:$N$999,"&lt;=-5",$P$2:$P$999,"&gt;=4.1",$P$2:$P$999,"&lt;=5",$E$2:$E$999,"YES",$D$2:$D$999,"YES")</f>
        <v>#DIV/0!</v>
      </c>
      <c r="AB8" s="9" t="e">
        <f>AVERAGEIFS($R$2:$R$999,$N$2:$N$999,"&gt;=-4.5",$N$2:$N$999,"&lt;=4.5",$P$2:$P$999,"&gt;=4.1",$P$2:$P$999,"&lt;=5",$E$2:$E$999,"YES",$D$2:$D$999,"YES")</f>
        <v>#DIV/0!</v>
      </c>
      <c r="AC8" s="9" t="e">
        <f>AVERAGEIFS($R$2:$R$999,$N$2:$N$999,"&gt;=5",$P$2:$P$999,"&gt;=4.1",$P$2:$P$999,"&lt;=5",$E$2:$E$999,"YES",$D$2:$D$999,"YES")</f>
        <v>#DIV/0!</v>
      </c>
      <c r="AE8" s="9" t="e">
        <f>AVERAGEIFS($R$2:$R$999,$P$2:$P$999,"&gt;=4.1",$P$2:$P$999,"&lt;=5",$E$2:$E$999,"YES",$D$2:$D$999,"YES",$F$2:$F$999,"UP")</f>
        <v>#DIV/0!</v>
      </c>
      <c r="AF8" s="9" t="e">
        <f>AVERAGEIFS($R$2:$R$999,$N$2:$N$999,"&lt;=-5",$P$2:$P$999,"&gt;=4.1",$P$2:$P$999,"&lt;=5",$E$2:$E$999,"YES",$D$2:$D$999,"YES",$F$2:$F$999,"UP")</f>
        <v>#DIV/0!</v>
      </c>
      <c r="AG8" s="9" t="e">
        <f>AVERAGEIFS($R$2:$R$999,$N$2:$N$999,"&gt;=-4.5",$N$2:$N$999,"&lt;=4.5",$P$2:$P$999,"&gt;=4.1",$P$2:$P$999,"&lt;=5",$E$2:$E$999,"YES",$D$2:$D$999,"YES",$F$2:$F$999,"UP")</f>
        <v>#DIV/0!</v>
      </c>
      <c r="AH8" s="9" t="e">
        <f>AVERAGEIFS($R$2:$R$999,$N$2:$N$999,"&gt;=5",$P$2:$P$999,"&gt;=4.1",$P$2:$P$999,"&lt;=5",$E$2:$E$999,"YES",$D$2:$D$999,"YES",$F$2:$F$999,"UP")</f>
        <v>#DIV/0!</v>
      </c>
      <c r="AJ8" s="6" t="e">
        <f>AVERAGEIFS($R$2:$R$999,$P$2:$P$999,"&gt;=4.1",$P$2:$P$999,"&lt;=5",$C$2:$C$999,"&gt;=0.01")</f>
        <v>#DIV/0!</v>
      </c>
      <c r="AK8" s="6" t="e">
        <f>AVERAGEIFS($R$2:$R$999,$N$2:$N$999,"&lt;=-5",$P$2:$P$999,"&gt;=4.1",$P$2:$P$999,"&lt;=5",$C$2:$C$999,"&gt;=0.01")</f>
        <v>#DIV/0!</v>
      </c>
      <c r="AL8" s="6" t="e">
        <f>AVERAGEIFS($R$2:$R$999,$N$2:$N$999,"&gt;=-4.5",$N$2:$N$999,"&lt;=4.5",$P$2:$P$999,"&gt;=4.1",$P$2:$P$999,"&lt;=5",$C$2:$C$999,"&gt;=0.01")</f>
        <v>#DIV/0!</v>
      </c>
      <c r="AM8" s="6" t="e">
        <f>AVERAGEIFS($R$2:$R$999,$N$2:$N$999,"&gt;=5",$P$2:$P$999,"&gt;=4.1",$P$2:$P$999,"&lt;=5",$C$2:$C$999,"&gt;=0.01")</f>
        <v>#DIV/0!</v>
      </c>
      <c r="AO8" s="6" t="e">
        <f>AVERAGEIFS($R$2:$R$999,$P$2:$P$999,"&gt;=4.1",$P$2:$P$999,"&lt;=5",$E$2:$E$999,"YES",$D$2:$D$999,"YES",$C$2:$C$999,"&gt;=0.01")</f>
        <v>#DIV/0!</v>
      </c>
      <c r="AP8" s="6" t="e">
        <f>AVERAGEIFS($R$2:$R$999,$N$2:$N$999,"&lt;=-5",$P$2:$P$999,"&gt;=4.1",$P$2:$P$999,"&lt;=5",$E$2:$E$999,"YES",$D$2:$D$999,"YES",$C$2:$C$999,"&gt;=0.01")</f>
        <v>#DIV/0!</v>
      </c>
      <c r="AQ8" s="6" t="e">
        <f>AVERAGEIFS($R$2:$R$999,$N$2:$N$999,"&gt;=-4.5",$N$2:$N$999,"&lt;=4.5",$P$2:$P$999,"&gt;=4.1",$P$2:$P$999,"&lt;=5",$E$2:$E$999,"YES",$D$2:$D$999,"YES",$C$2:$C$999,"&gt;=0.01")</f>
        <v>#DIV/0!</v>
      </c>
      <c r="AR8" s="6" t="e">
        <f>AVERAGEIFS($R$2:$R$999,$N$2:$N$999,"&gt;=5",$P$2:$P$999,"&gt;=4.1",$P$2:$P$999,"&lt;=5",$E$2:$E$999,"YES",$D$2:$D$999,"YES",$C$2:$C$999,"&gt;=0.01")</f>
        <v>#DIV/0!</v>
      </c>
      <c r="AT8" s="6" t="e">
        <f>AVERAGEIFS($R$2:$R$999,$P$2:$P$999,"&gt;=4.1",$P$2:$P$999,"&lt;=5",$E$2:$E$999,"YES",$D$2:$D$999,"YES",$F$2:$F$999,"UP",$C$2:$C$999,"&gt;=0.01")</f>
        <v>#DIV/0!</v>
      </c>
      <c r="AU8" s="6" t="e">
        <f>AVERAGEIFS($R$2:$R$999,$N$2:$N$999,"&lt;=-5",$P$2:$P$999,"&gt;=4.1",$P$2:$P$999,"&lt;=5",$E$2:$E$999,"YES",$D$2:$D$999,"YES",$F$2:$F$999,"UP",$C$2:$C$999,"&gt;=0.01")</f>
        <v>#DIV/0!</v>
      </c>
      <c r="AV8" s="6" t="e">
        <f>AVERAGEIFS($R$2:$R$999,$N$2:$N$999,"&gt;=-4.5",$N$2:$N$999,"&lt;=4.5",$P$2:$P$999,"&gt;=4.1",$P$2:$P$999,"&lt;=5",$E$2:$E$999,"YES",$D$2:$D$999,"YES",$F$2:$F$999,"UP",$C$2:$C$999,"&gt;=0.01")</f>
        <v>#DIV/0!</v>
      </c>
      <c r="AW8" s="6" t="e">
        <f>AVERAGEIFS($R$2:$R$999,$N$2:$N$999,"&gt;=5",$P$2:$P$999,"&gt;=4.1",$P$2:$P$999,"&lt;=5",$E$2:$E$999,"YES",$D$2:$D$999,"YES",$F$2:$F$999,"UP",$C$2:$C$999,"&gt;=0.01")</f>
        <v>#DIV/0!</v>
      </c>
      <c r="AY8" s="6" t="e">
        <f>AVERAGEIFS($R$2:$R$999,$P$2:$P$999,"&gt;=4.1",$P$2:$P$999,"&lt;=5",$C$2:$C$999,"&gt;=11")</f>
        <v>#DIV/0!</v>
      </c>
      <c r="AZ8" s="6" t="e">
        <f>AVERAGEIFS($R$2:$R$999,$N$2:$N$999,"&lt;=-5",$P$2:$P$999,"&gt;=4.1",$P$2:$P$999,"&lt;=5",$C$2:$C$999,"&gt;=11")</f>
        <v>#DIV/0!</v>
      </c>
      <c r="BA8" s="6" t="e">
        <f>AVERAGEIFS($R$2:$R$999,$N$2:$N$999,"&gt;=-4.5",$N$2:$N$999,"&lt;=4.5",$P$2:$P$999,"&gt;=4.1",$P$2:$P$999,"&lt;=5",$C$2:$C$999,"&gt;=11")</f>
        <v>#DIV/0!</v>
      </c>
      <c r="BB8" s="6" t="e">
        <f>AVERAGEIFS($R$2:$R$999,$N$2:$N$999,"&gt;=5",$P$2:$P$999,"&gt;=4.1",$P$2:$P$999,"&lt;=5",$C$2:$C$999,"&gt;=11")</f>
        <v>#DIV/0!</v>
      </c>
      <c r="BC8" s="3"/>
      <c r="BD8" s="4" t="e">
        <f>AVERAGEIFS($R$2:$R$999,$P$2:$P$999,"&gt;=4.1",$P$2:$P$999,"&lt;=5",$I$2:$I$999,"YES",$J$2:$J$999,"YES")</f>
        <v>#DIV/0!</v>
      </c>
      <c r="BE8" s="4" t="e">
        <f>AVERAGEIFS($R$2:$R$999,$N$2:$N$999,"&lt;=-5",$P$2:$P$999,"&gt;=4.1",$P$2:$P$999,"&lt;=5",$I$2:$I$999,"YES",$J$2:$J$999,"YES")</f>
        <v>#DIV/0!</v>
      </c>
      <c r="BF8" s="4" t="e">
        <f>AVERAGEIFS($R$2:$R$999,$N$2:$N$999,"&gt;=-4.5",$N$2:$N$999,"&lt;=4.5",$P$2:$P$999,"&gt;=4.1",$P$2:$P$999,"&lt;=5",$I$2:$I$999,"YES",$J$2:$J$999,"YES")</f>
        <v>#DIV/0!</v>
      </c>
      <c r="BG8" s="4" t="e">
        <f>AVERAGEIFS($R$2:$R$999,$N$2:$N$999,"&gt;=5",$P$2:$P$999,"&gt;=4.1",$P$2:$P$999,"&lt;=5",$I$2:$I$999,"YES",$J$2:$J$999,"YES")</f>
        <v>#DIV/0!</v>
      </c>
      <c r="BH8" s="8"/>
      <c r="BI8" s="9"/>
      <c r="BJ8" s="9"/>
      <c r="BK8" s="9"/>
      <c r="BL8" s="9"/>
    </row>
    <row r="9" spans="1:89" x14ac:dyDescent="0.2">
      <c r="A9" s="8">
        <v>16</v>
      </c>
      <c r="B9" s="8" t="s">
        <v>126</v>
      </c>
      <c r="C9" s="8"/>
      <c r="D9" s="8"/>
      <c r="E9" s="8"/>
      <c r="F9" s="8"/>
      <c r="G9" s="8" t="s">
        <v>75</v>
      </c>
      <c r="H9" s="8"/>
      <c r="I9" s="8"/>
      <c r="J9" s="8"/>
      <c r="K9" s="8"/>
      <c r="L9" s="8"/>
      <c r="M9" s="8"/>
      <c r="N9" s="8"/>
      <c r="O9" s="8"/>
      <c r="P9" s="8"/>
      <c r="R9" s="9"/>
      <c r="U9" s="1"/>
      <c r="V9" s="1"/>
      <c r="W9" s="1"/>
      <c r="X9" s="1"/>
      <c r="Z9" s="9"/>
      <c r="AA9" s="9"/>
      <c r="AB9" s="9"/>
      <c r="AC9" s="9"/>
      <c r="AE9" s="9"/>
      <c r="AF9" s="9"/>
      <c r="AG9" s="9"/>
      <c r="AH9" s="9"/>
      <c r="AJ9" s="6"/>
      <c r="AK9" s="6"/>
      <c r="AL9" s="6"/>
      <c r="AM9" s="6"/>
      <c r="AO9" s="6"/>
      <c r="AP9" s="6"/>
      <c r="AQ9" s="6"/>
      <c r="AR9" s="6"/>
      <c r="AT9" s="6"/>
      <c r="AU9" s="6"/>
      <c r="AV9" s="6"/>
      <c r="AW9" s="6"/>
      <c r="AY9" s="6"/>
      <c r="AZ9" s="6"/>
      <c r="BA9" s="6"/>
      <c r="BB9" s="6"/>
      <c r="BC9" s="3"/>
      <c r="BD9" s="4"/>
      <c r="BE9" s="4"/>
      <c r="BF9" s="4"/>
      <c r="BG9" s="4"/>
      <c r="BH9" s="8"/>
      <c r="BI9" s="9"/>
      <c r="BJ9" s="9"/>
      <c r="BK9" s="9"/>
      <c r="BL9" s="9"/>
    </row>
    <row r="10" spans="1:89" x14ac:dyDescent="0.2">
      <c r="A10" s="8">
        <v>16</v>
      </c>
      <c r="B10" s="8" t="s">
        <v>46</v>
      </c>
      <c r="C10" s="8"/>
      <c r="D10" s="8"/>
      <c r="E10" s="8"/>
      <c r="F10" s="8"/>
      <c r="G10" s="8" t="s">
        <v>75</v>
      </c>
      <c r="H10" s="8"/>
      <c r="I10" s="8"/>
      <c r="J10" s="8"/>
      <c r="K10" s="8"/>
      <c r="L10" s="8"/>
      <c r="M10" s="8"/>
      <c r="N10" s="8"/>
      <c r="O10" s="8"/>
      <c r="P10" s="8"/>
      <c r="R10" s="9"/>
      <c r="U10" t="s">
        <v>37</v>
      </c>
      <c r="V10" s="1" t="s">
        <v>31</v>
      </c>
      <c r="W10" s="1" t="s">
        <v>43</v>
      </c>
      <c r="X10" s="1" t="s">
        <v>30</v>
      </c>
      <c r="Z10" s="8" t="s">
        <v>37</v>
      </c>
      <c r="AA10" s="9" t="s">
        <v>31</v>
      </c>
      <c r="AB10" s="9" t="s">
        <v>43</v>
      </c>
      <c r="AC10" s="9" t="s">
        <v>30</v>
      </c>
      <c r="AE10" s="8" t="s">
        <v>37</v>
      </c>
      <c r="AF10" s="9" t="s">
        <v>31</v>
      </c>
      <c r="AG10" s="9" t="s">
        <v>43</v>
      </c>
      <c r="AH10" s="9" t="s">
        <v>30</v>
      </c>
      <c r="AJ10" s="5" t="s">
        <v>37</v>
      </c>
      <c r="AK10" s="6" t="s">
        <v>31</v>
      </c>
      <c r="AL10" s="6" t="s">
        <v>43</v>
      </c>
      <c r="AM10" s="6" t="s">
        <v>30</v>
      </c>
      <c r="AO10" s="5" t="s">
        <v>37</v>
      </c>
      <c r="AP10" s="6" t="s">
        <v>31</v>
      </c>
      <c r="AQ10" s="6" t="s">
        <v>43</v>
      </c>
      <c r="AR10" s="6" t="s">
        <v>30</v>
      </c>
      <c r="AT10" s="5" t="s">
        <v>37</v>
      </c>
      <c r="AU10" s="6" t="s">
        <v>31</v>
      </c>
      <c r="AV10" s="6" t="s">
        <v>43</v>
      </c>
      <c r="AW10" s="6" t="s">
        <v>30</v>
      </c>
      <c r="AY10" s="5" t="s">
        <v>37</v>
      </c>
      <c r="AZ10" s="6" t="s">
        <v>31</v>
      </c>
      <c r="BA10" s="6" t="s">
        <v>43</v>
      </c>
      <c r="BB10" s="6" t="s">
        <v>30</v>
      </c>
      <c r="BC10" s="3"/>
      <c r="BD10" s="3" t="s">
        <v>37</v>
      </c>
      <c r="BE10" s="4" t="s">
        <v>31</v>
      </c>
      <c r="BF10" s="4" t="s">
        <v>43</v>
      </c>
      <c r="BG10" s="4" t="s">
        <v>30</v>
      </c>
      <c r="BH10" s="8"/>
      <c r="BI10" s="8"/>
      <c r="BJ10" s="9"/>
      <c r="BK10" s="9"/>
      <c r="BL10" s="9"/>
    </row>
    <row r="11" spans="1:89" x14ac:dyDescent="0.2">
      <c r="A11" s="11">
        <v>16</v>
      </c>
      <c r="B11" s="11" t="s">
        <v>156</v>
      </c>
      <c r="C11" s="11"/>
      <c r="D11" s="11" t="s">
        <v>75</v>
      </c>
      <c r="E11" s="11"/>
      <c r="F11" s="11"/>
      <c r="G11" s="11" t="s">
        <v>75</v>
      </c>
      <c r="H11" s="11" t="s">
        <v>75</v>
      </c>
      <c r="I11" s="11" t="s">
        <v>75</v>
      </c>
      <c r="J11" s="11" t="s">
        <v>75</v>
      </c>
      <c r="K11" s="8"/>
      <c r="L11" s="8"/>
      <c r="M11" s="8"/>
      <c r="N11" s="8"/>
      <c r="O11" s="8"/>
      <c r="P11" s="8"/>
      <c r="R11" s="9"/>
      <c r="U11" s="1" t="e">
        <f>AVERAGEIFS($R$2:$R$999,$P$2:$P$999,"&gt;=5.1",$P$2:$P$999,"&lt;=6.2")</f>
        <v>#DIV/0!</v>
      </c>
      <c r="V11" s="1" t="e">
        <f>AVERAGEIFS($R$2:$R$999,$N$2:$N$999,"&lt;=-5",$P$2:$P$999,"&gt;=5.1",$P$2:$P$999,"&lt;=6.2")</f>
        <v>#DIV/0!</v>
      </c>
      <c r="W11" s="1" t="e">
        <f>AVERAGEIFS($R$2:$R$999,$N$2:$N$999,"&gt;=-4.5",$N$2:$N$999,"&lt;=4.5",$P$2:$P$999,"&gt;=5.1",$P$2:$P$999,"&lt;=6.2")</f>
        <v>#DIV/0!</v>
      </c>
      <c r="X11" s="1" t="e">
        <f>AVERAGEIFS($R$2:$R$999,$N$2:$N$999,"&gt;=5",$P$2:$P$999,"&gt;=5.1",$P$2:$P$999,"&lt;=6.2")</f>
        <v>#DIV/0!</v>
      </c>
      <c r="Z11" s="9" t="e">
        <f>AVERAGEIFS($R$2:$R$999,$P$2:$P$999,"&gt;=5.1",$P$2:$P$999,"&lt;=6.2",$E$2:$E$999,"YES",$D$2:$D$999,"YES")</f>
        <v>#DIV/0!</v>
      </c>
      <c r="AA11" s="9" t="e">
        <f>AVERAGEIFS($R$2:$R$999,$N$2:$N$999,"&lt;=-5",$P$2:$P$999,"&gt;=5.1",$P$2:$P$999,"&lt;=6.2",$E$2:$E$999,"YES",$D$2:$D$999,"YES")</f>
        <v>#DIV/0!</v>
      </c>
      <c r="AB11" s="9" t="e">
        <f>AVERAGEIFS($R$2:$R$999,$N$2:$N$999,"&gt;=-4.5",$N$2:$N$999,"&lt;=4.5",$P$2:$P$999,"&gt;=5.1",$P$2:$P$999,"&lt;=6.2",$E$2:$E$999,"YES",$D$2:$D$999,"YES")</f>
        <v>#DIV/0!</v>
      </c>
      <c r="AC11" s="9" t="e">
        <f>AVERAGEIFS($R$2:$R$999,$N$2:$N$999,"&gt;=5",$P$2:$P$999,"&gt;=5.1",$P$2:$P$999,"&lt;=6.2",$E$2:$E$999,"YES",$D$2:$D$999,"YES")</f>
        <v>#DIV/0!</v>
      </c>
      <c r="AE11" s="9" t="e">
        <f>AVERAGEIFS($R$2:$R$999,$P$2:$P$999,"&gt;=5.1",$P$2:$P$999,"&lt;=6.2",$E$2:$E$999,"YES",$D$2:$D$999,"YES",$F$2:$F$999,"UP")</f>
        <v>#DIV/0!</v>
      </c>
      <c r="AF11" s="9" t="e">
        <f>AVERAGEIFS($R$2:$R$999,$N$2:$N$999,"&lt;=-5",$P$2:$P$999,"&gt;=5.1",$P$2:$P$999,"&lt;=6.2",$E$2:$E$999,"YES",$D$2:$D$999,"YES",$F$2:$F$999,"UP")</f>
        <v>#DIV/0!</v>
      </c>
      <c r="AG11" s="9" t="e">
        <f>AVERAGEIFS($R$2:$R$999,$N$2:$N$999,"&gt;=-4.5",$N$2:$N$999,"&lt;=4.5",$P$2:$P$999,"&gt;=5.1",$P$2:$P$999,"&lt;=6.2",$E$2:$E$999,"YES",$D$2:$D$999,"YES",$F$2:$F$999,"UP")</f>
        <v>#DIV/0!</v>
      </c>
      <c r="AH11" s="9" t="e">
        <f>AVERAGEIFS($R$2:$R$999,$N$2:$N$999,"&gt;=5",$P$2:$P$999,"&gt;=5.1",$P$2:$P$999,"&lt;=6.2",$E$2:$E$999,"YES",$D$2:$D$999,"YES",$F$2:$F$999,"UP")</f>
        <v>#DIV/0!</v>
      </c>
      <c r="AJ11" s="6" t="e">
        <f>AVERAGEIFS($R$2:$R$999,$P$2:$P$999,"&gt;=5.1",$P$2:$P$999,"&lt;=6.2",$C$2:$C$999,"&gt;=0.01")</f>
        <v>#DIV/0!</v>
      </c>
      <c r="AK11" s="6" t="e">
        <f>AVERAGEIFS($R$2:$R$999,$N$2:$N$999,"&lt;=-5",$P$2:$P$999,"&gt;=5.1",$P$2:$P$999,"&lt;=6.2",$C$2:$C$999,"&gt;=0.01")</f>
        <v>#DIV/0!</v>
      </c>
      <c r="AL11" s="6" t="e">
        <f>AVERAGEIFS($R$2:$R$999,$N$2:$N$999,"&gt;=-4.5",$N$2:$N$999,"&lt;=4.5",$P$2:$P$999,"&gt;=5.1",$P$2:$P$999,"&lt;=6.2",$C$2:$C$999,"&gt;=0.01")</f>
        <v>#DIV/0!</v>
      </c>
      <c r="AM11" s="6" t="e">
        <f>AVERAGEIFS($R$2:$R$999,$N$2:$N$999,"&gt;=5",$P$2:$P$999,"&gt;=5.1",$P$2:$P$999,"&lt;=6.2",$C$2:$C$999,"&gt;=0.01")</f>
        <v>#DIV/0!</v>
      </c>
      <c r="AO11" s="6" t="e">
        <f>AVERAGEIFS($R$2:$R$999,$P$2:$P$999,"&gt;=5.1",$P$2:$P$999,"&lt;=6.2",$E$2:$E$999,"YES",$D$2:$D$999,"YES",$C$2:$C$999,"&gt;=0.01")</f>
        <v>#DIV/0!</v>
      </c>
      <c r="AP11" s="6" t="e">
        <f>AVERAGEIFS($R$2:$R$999,$N$2:$N$999,"&lt;=-5",$P$2:$P$999,"&gt;=5.1",$P$2:$P$999,"&lt;=6.2",$E$2:$E$999,"YES",$D$2:$D$999,"YES",$C$2:$C$999,"&gt;=0.01")</f>
        <v>#DIV/0!</v>
      </c>
      <c r="AQ11" s="6" t="e">
        <f>AVERAGEIFS($R$2:$R$999,$N$2:$N$999,"&gt;=-4.5",$N$2:$N$999,"&lt;=4.5",$P$2:$P$999,"&gt;=5.1",$P$2:$P$999,"&lt;=6.2",$E$2:$E$999,"YES",$D$2:$D$999,"YES",$C$2:$C$999,"&gt;=0.01")</f>
        <v>#DIV/0!</v>
      </c>
      <c r="AR11" s="6" t="e">
        <f>AVERAGEIFS($R$2:$R$999,$N$2:$N$999,"&gt;=5",$P$2:$P$999,"&gt;=5.1",$P$2:$P$999,"&lt;=6.2",$E$2:$E$999,"YES",$D$2:$D$999,"YES",$C$2:$C$999,"&gt;=0.01")</f>
        <v>#DIV/0!</v>
      </c>
      <c r="AT11" s="6" t="e">
        <f>AVERAGEIFS($R$2:$R$999,$P$2:$P$999,"&gt;=5.1",$P$2:$P$999,"&lt;=6.2",$E$2:$E$999,"YES",$D$2:$D$999,"YES",$F$2:$F$999,"UP",$C$2:$C$999,"&gt;=0.01")</f>
        <v>#DIV/0!</v>
      </c>
      <c r="AU11" s="6" t="e">
        <f>AVERAGEIFS($R$2:$R$999,$N$2:$N$999,"&lt;=-5",$P$2:$P$999,"&gt;=5.1",$P$2:$P$999,"&lt;=6.2",$E$2:$E$999,"YES",$D$2:$D$999,"YES",$F$2:$F$999,"UP",$C$2:$C$999,"&gt;=0.01")</f>
        <v>#DIV/0!</v>
      </c>
      <c r="AV11" s="6" t="e">
        <f>AVERAGEIFS($R$2:$R$999,$N$2:$N$999,"&gt;=-4.5",$N$2:$N$999,"&lt;=4.5",$P$2:$P$999,"&gt;=5.1",$P$2:$P$999,"&lt;=6.2",$E$2:$E$999,"YES",$D$2:$D$999,"YES",$F$2:$F$999,"UP",$C$2:$C$999,"&gt;=0.01")</f>
        <v>#DIV/0!</v>
      </c>
      <c r="AW11" s="6" t="e">
        <f>AVERAGEIFS($R$2:$R$999,$N$2:$N$999,"&gt;=5",$P$2:$P$999,"&gt;=5.1",$P$2:$P$999,"&lt;=6.2",$E$2:$E$999,"YES",$D$2:$D$999,"YES",$F$2:$F$999,"UP",$C$2:$C$999,"&gt;=0.01")</f>
        <v>#DIV/0!</v>
      </c>
      <c r="AY11" s="6" t="e">
        <f>AVERAGEIFS($R$2:$R$999,$P$2:$P$999,"&gt;=5.1",$P$2:$P$999,"&lt;=6.2",$C$2:$C$999,"&gt;=11")</f>
        <v>#DIV/0!</v>
      </c>
      <c r="AZ11" s="6" t="e">
        <f>AVERAGEIFS($R$2:$R$999,$N$2:$N$999,"&lt;=-5",$P$2:$P$999,"&gt;=5.1",$P$2:$P$999,"&lt;=6.2",$C$2:$C$999,"&gt;=11")</f>
        <v>#DIV/0!</v>
      </c>
      <c r="BA11" s="6" t="e">
        <f>AVERAGEIFS($R$2:$R$999,$N$2:$N$999,"&gt;=-4.5",$N$2:$N$999,"&lt;=4.5",$P$2:$P$999,"&gt;=5.1",$P$2:$P$999,"&lt;=6.2",$C$2:$C$999,"&gt;=11")</f>
        <v>#DIV/0!</v>
      </c>
      <c r="BB11" s="6" t="e">
        <f>AVERAGEIFS($R$2:$R$999,$N$2:$N$999,"&gt;=5",$P$2:$P$999,"&gt;=5.1",$P$2:$P$999,"&lt;=6.2",$C$2:$C$999,"&gt;=11")</f>
        <v>#DIV/0!</v>
      </c>
      <c r="BC11" s="3"/>
      <c r="BD11" s="4" t="e">
        <f>AVERAGEIFS($R$2:$R$999,$P$2:$P$999,"&gt;=5.1",$P$2:$P$999,"&lt;=6.2",$I$2:$I$999,"YES",$J$2:$J$999,"YES")</f>
        <v>#DIV/0!</v>
      </c>
      <c r="BE11" s="4" t="e">
        <f>AVERAGEIFS($R$2:$R$999,$N$2:$N$999,"&lt;=-5",$P$2:$P$999,"&gt;=5.1",$P$2:$P$999,"&lt;=6.2",$I$2:$I$999,"YES",$J$2:$J$999,"YES")</f>
        <v>#DIV/0!</v>
      </c>
      <c r="BF11" s="4" t="e">
        <f>AVERAGEIFS($R$2:$R$999,$N$2:$N$999,"&gt;=-4.5",$N$2:$N$999,"&lt;=4.5",$P$2:$P$999,"&gt;=5.1",$P$2:$P$999,"&lt;=6.2",$I$2:$I$999,"YES",$J$2:$J$999,"YES")</f>
        <v>#DIV/0!</v>
      </c>
      <c r="BG11" s="4" t="e">
        <f>AVERAGEIFS($R$2:$R$999,$N$2:$N$999,"&gt;=5",$P$2:$P$999,"&gt;=5.1",$P$2:$P$999,"&lt;=6.2",$I$2:$I$999,"YES",$J$2:$J$999,"YES")</f>
        <v>#DIV/0!</v>
      </c>
      <c r="BH11" s="8"/>
      <c r="BI11" s="9"/>
      <c r="BJ11" s="9"/>
      <c r="BK11" s="9"/>
      <c r="BL11" s="9"/>
    </row>
    <row r="12" spans="1:89" x14ac:dyDescent="0.2">
      <c r="A12" s="12">
        <v>16</v>
      </c>
      <c r="B12" s="12" t="s">
        <v>98</v>
      </c>
      <c r="C12" s="12">
        <v>11.3</v>
      </c>
      <c r="D12" s="12" t="s">
        <v>75</v>
      </c>
      <c r="E12" s="12"/>
      <c r="F12" s="12"/>
      <c r="G12" s="12" t="s">
        <v>75</v>
      </c>
      <c r="H12" s="12" t="s">
        <v>75</v>
      </c>
      <c r="I12" s="12" t="s">
        <v>75</v>
      </c>
      <c r="J12" s="12" t="s">
        <v>75</v>
      </c>
      <c r="K12" s="8"/>
      <c r="L12" s="8"/>
      <c r="M12" s="8"/>
      <c r="N12" s="8"/>
      <c r="O12" s="8"/>
      <c r="P12" s="8"/>
      <c r="R12" s="9"/>
      <c r="U12" s="1"/>
      <c r="V12" s="1"/>
      <c r="W12" s="1"/>
      <c r="X12" s="1"/>
      <c r="Z12" s="9"/>
      <c r="AA12" s="9"/>
      <c r="AB12" s="9"/>
      <c r="AC12" s="9"/>
      <c r="AE12" s="9"/>
      <c r="AF12" s="9"/>
      <c r="AG12" s="9"/>
      <c r="AH12" s="9"/>
      <c r="AJ12" s="6"/>
      <c r="AK12" s="6"/>
      <c r="AL12" s="6"/>
      <c r="AM12" s="6"/>
      <c r="AO12" s="6"/>
      <c r="AP12" s="6"/>
      <c r="AQ12" s="6"/>
      <c r="AR12" s="6"/>
      <c r="AT12" s="6"/>
      <c r="AU12" s="6"/>
      <c r="AV12" s="6"/>
      <c r="AW12" s="6"/>
      <c r="AY12" s="6"/>
      <c r="AZ12" s="6"/>
      <c r="BA12" s="6"/>
      <c r="BB12" s="6"/>
      <c r="BC12" s="3"/>
      <c r="BD12" s="4"/>
      <c r="BE12" s="4"/>
      <c r="BF12" s="4"/>
      <c r="BG12" s="4"/>
      <c r="BH12" s="8"/>
      <c r="BI12" s="9"/>
      <c r="BJ12" s="9"/>
      <c r="BK12" s="9"/>
      <c r="BL12" s="9"/>
    </row>
    <row r="13" spans="1:89" x14ac:dyDescent="0.2">
      <c r="A13" s="11">
        <v>16</v>
      </c>
      <c r="B13" s="11" t="s">
        <v>22</v>
      </c>
      <c r="C13" s="11"/>
      <c r="D13" s="11" t="s">
        <v>75</v>
      </c>
      <c r="E13" s="11" t="s">
        <v>75</v>
      </c>
      <c r="F13" s="11" t="s">
        <v>109</v>
      </c>
      <c r="G13" s="11" t="s">
        <v>75</v>
      </c>
      <c r="H13" s="11" t="s">
        <v>75</v>
      </c>
      <c r="I13" s="8"/>
      <c r="J13" s="8"/>
      <c r="K13" s="8"/>
      <c r="L13" s="8"/>
      <c r="M13" s="8"/>
      <c r="N13" s="8"/>
      <c r="O13" s="8"/>
      <c r="P13" s="8"/>
      <c r="R13" s="9"/>
      <c r="U13" t="s">
        <v>35</v>
      </c>
      <c r="V13" s="1" t="s">
        <v>31</v>
      </c>
      <c r="W13" s="1" t="s">
        <v>43</v>
      </c>
      <c r="X13" s="1" t="s">
        <v>30</v>
      </c>
      <c r="Z13" s="8" t="s">
        <v>35</v>
      </c>
      <c r="AA13" s="9" t="s">
        <v>31</v>
      </c>
      <c r="AB13" s="9" t="s">
        <v>43</v>
      </c>
      <c r="AC13" s="9" t="s">
        <v>30</v>
      </c>
      <c r="AE13" s="8" t="s">
        <v>35</v>
      </c>
      <c r="AF13" s="9" t="s">
        <v>31</v>
      </c>
      <c r="AG13" s="9" t="s">
        <v>43</v>
      </c>
      <c r="AH13" s="9" t="s">
        <v>30</v>
      </c>
      <c r="AJ13" s="5" t="s">
        <v>35</v>
      </c>
      <c r="AK13" s="6" t="s">
        <v>31</v>
      </c>
      <c r="AL13" s="6" t="s">
        <v>43</v>
      </c>
      <c r="AM13" s="6" t="s">
        <v>30</v>
      </c>
      <c r="AO13" s="5" t="s">
        <v>35</v>
      </c>
      <c r="AP13" s="6" t="s">
        <v>31</v>
      </c>
      <c r="AQ13" s="6" t="s">
        <v>43</v>
      </c>
      <c r="AR13" s="6" t="s">
        <v>30</v>
      </c>
      <c r="AT13" s="5" t="s">
        <v>35</v>
      </c>
      <c r="AU13" s="6" t="s">
        <v>31</v>
      </c>
      <c r="AV13" s="6" t="s">
        <v>43</v>
      </c>
      <c r="AW13" s="6" t="s">
        <v>30</v>
      </c>
      <c r="AY13" s="5" t="s">
        <v>35</v>
      </c>
      <c r="AZ13" s="6" t="s">
        <v>31</v>
      </c>
      <c r="BA13" s="6" t="s">
        <v>43</v>
      </c>
      <c r="BB13" s="6" t="s">
        <v>30</v>
      </c>
      <c r="BC13" s="3"/>
      <c r="BD13" s="3" t="s">
        <v>35</v>
      </c>
      <c r="BE13" s="4" t="s">
        <v>31</v>
      </c>
      <c r="BF13" s="4" t="s">
        <v>43</v>
      </c>
      <c r="BG13" s="4" t="s">
        <v>30</v>
      </c>
      <c r="BH13" s="8"/>
      <c r="BI13" s="8"/>
      <c r="BJ13" s="9"/>
      <c r="BK13" s="9"/>
      <c r="BL13" s="9"/>
    </row>
    <row r="14" spans="1:89" x14ac:dyDescent="0.2">
      <c r="A14" s="11">
        <v>16</v>
      </c>
      <c r="B14" s="11" t="s">
        <v>23</v>
      </c>
      <c r="C14" s="11"/>
      <c r="D14" s="11" t="s">
        <v>75</v>
      </c>
      <c r="E14" s="11" t="s">
        <v>75</v>
      </c>
      <c r="F14" s="11" t="s">
        <v>109</v>
      </c>
      <c r="G14" s="11" t="s">
        <v>75</v>
      </c>
      <c r="H14" s="11" t="s">
        <v>75</v>
      </c>
      <c r="I14" s="8"/>
      <c r="J14" s="8"/>
      <c r="K14" s="8"/>
      <c r="L14" s="8"/>
      <c r="M14" s="8"/>
      <c r="N14" s="8"/>
      <c r="O14" s="8"/>
      <c r="P14" s="8"/>
      <c r="R14" s="9"/>
      <c r="U14" s="1" t="e">
        <f>AVERAGEIFS($R$2:$R$999,$P$2:$P$999,"&gt;=6.3")</f>
        <v>#DIV/0!</v>
      </c>
      <c r="V14" s="1" t="e">
        <f>AVERAGEIFS($R$2:$R$999,$N$2:$N$999,"&lt;=-5",$P$2:$P$999,"&gt;=6.3")</f>
        <v>#DIV/0!</v>
      </c>
      <c r="W14" s="1" t="e">
        <f>AVERAGEIFS($R$2:$R$999,$N$2:$N$999,"&gt;=-4.5",$N$2:$N$999,"&lt;=4.5",$P$2:$P$999,"&gt;=6.3")</f>
        <v>#DIV/0!</v>
      </c>
      <c r="X14" s="1" t="e">
        <f>AVERAGEIFS($R$2:$R$999,$N$2:$N$999,"&gt;=5",$P$2:$P$999,"&gt;=6.3")</f>
        <v>#DIV/0!</v>
      </c>
      <c r="Z14" s="9" t="e">
        <f>AVERAGEIFS($R$2:$R$999,$P$2:$P$999,"&gt;=6.3",$E$2:$E$999,"YES",$D$2:$D$999,"YES")</f>
        <v>#DIV/0!</v>
      </c>
      <c r="AA14" s="9" t="e">
        <f>AVERAGEIFS($R$2:$R$999,$N$2:$N$999,"&lt;=-5",$P$2:$P$999,"&gt;=6.3",$E$2:$E$999,"YES",$D$2:$D$999,"YES")</f>
        <v>#DIV/0!</v>
      </c>
      <c r="AB14" s="9" t="e">
        <f>AVERAGEIFS($R$2:$R$999,$N$2:$N$999,"&gt;=-4.5",$N$2:$N$999,"&lt;=4.5",$P$2:$P$999,"&gt;=6.3",$E$2:$E$999,"YES",$D$2:$D$999,"YES")</f>
        <v>#DIV/0!</v>
      </c>
      <c r="AC14" s="9" t="e">
        <f>AVERAGEIFS($R$2:$R$999,$N$2:$N$999,"&gt;=5",$P$2:$P$999,"&gt;=6.3",$E$2:$E$999,"YES",$D$2:$D$999,"YES")</f>
        <v>#DIV/0!</v>
      </c>
      <c r="AE14" s="9" t="e">
        <f>AVERAGEIFS($R$2:$R$999,$P$2:$P$999,"&gt;=6.3",$E$2:$E$999,"YES",$D$2:$D$999,"YES",$F$2:$F$999,"UP")</f>
        <v>#DIV/0!</v>
      </c>
      <c r="AF14" s="9" t="e">
        <f>AVERAGEIFS($R$2:$R$999,$N$2:$N$999,"&lt;=-5",$P$2:$P$999,"&gt;=6.3",$E$2:$E$999,"YES",$D$2:$D$999,"YES",$F$2:$F$999,"UP")</f>
        <v>#DIV/0!</v>
      </c>
      <c r="AG14" s="9" t="e">
        <f>AVERAGEIFS($R$2:$R$999,$N$2:$N$999,"&gt;=-4.5",$N$2:$N$999,"&lt;=4.5",$P$2:$P$999,"&gt;=6.3",$E$2:$E$999,"YES",$D$2:$D$999,"YES",$F$2:$F$999,"UP")</f>
        <v>#DIV/0!</v>
      </c>
      <c r="AH14" s="9" t="e">
        <f>AVERAGEIFS($R$2:$R$999,$N$2:$N$999,"&gt;=5",$P$2:$P$999,"&gt;=6.3",$E$2:$E$999,"YES",$D$2:$D$999,"YES",$F$2:$F$999,"UP")</f>
        <v>#DIV/0!</v>
      </c>
      <c r="AJ14" s="6" t="e">
        <f>AVERAGEIFS($R$2:$R$999,$P$2:$P$999,"&gt;=6.3",$C$2:$C$999,"&gt;=0.01")</f>
        <v>#DIV/0!</v>
      </c>
      <c r="AK14" s="6" t="e">
        <f>AVERAGEIFS($R$2:$R$999,$N$2:$N$999,"&lt;=-5",$P$2:$P$999,"&gt;=6.3",$C$2:$C$999,"&gt;=0.01")</f>
        <v>#DIV/0!</v>
      </c>
      <c r="AL14" s="6" t="e">
        <f>AVERAGEIFS($R$2:$R$999,$N$2:$N$999,"&gt;=-4.5",$N$2:$N$999,"&lt;=4.5",$P$2:$P$999,"&gt;=6.3",$C$2:$C$999,"&gt;=0.01")</f>
        <v>#DIV/0!</v>
      </c>
      <c r="AM14" s="6" t="e">
        <f>AVERAGEIFS($R$2:$R$999,$N$2:$N$999,"&gt;=5",$P$2:$P$999,"&gt;=6.3",$C$2:$C$999,"&gt;=0.01")</f>
        <v>#DIV/0!</v>
      </c>
      <c r="AO14" s="6" t="e">
        <f>AVERAGEIFS($R$2:$R$999,$P$2:$P$999,"&gt;=6.3",$E$2:$E$999,"YES",$D$2:$D$999,"YES",$C$2:$C$999,"&gt;=0.01")</f>
        <v>#DIV/0!</v>
      </c>
      <c r="AP14" s="6" t="e">
        <f>AVERAGEIFS($R$2:$R$999,$N$2:$N$999,"&lt;=-5",$P$2:$P$999,"&gt;=6.3",$E$2:$E$999,"YES",$D$2:$D$999,"YES",$C$2:$C$999,"&gt;=0.01")</f>
        <v>#DIV/0!</v>
      </c>
      <c r="AQ14" s="6" t="e">
        <f>AVERAGEIFS($R$2:$R$999,$N$2:$N$999,"&gt;=-4.5",$N$2:$N$999,"&lt;=4.5",$P$2:$P$999,"&gt;=6.3",$E$2:$E$999,"YES",$D$2:$D$999,"YES",$C$2:$C$999,"&gt;=0.01")</f>
        <v>#DIV/0!</v>
      </c>
      <c r="AR14" s="6" t="e">
        <f>AVERAGEIFS($R$2:$R$999,$N$2:$N$999,"&gt;=5",$P$2:$P$999,"&gt;=6.3",$E$2:$E$999,"YES",$D$2:$D$999,"YES",$C$2:$C$999,"&gt;=0.01")</f>
        <v>#DIV/0!</v>
      </c>
      <c r="AT14" s="6" t="e">
        <f>AVERAGEIFS($R$2:$R$999,$P$2:$P$999,"&gt;=6.3",$E$2:$E$999,"YES",$D$2:$D$999,"YES",$F$2:$F$999,"UP",$C$2:$C$999,"&gt;=0.01")</f>
        <v>#DIV/0!</v>
      </c>
      <c r="AU14" s="6" t="e">
        <f>AVERAGEIFS($R$2:$R$999,$N$2:$N$999,"&lt;=-5",$P$2:$P$999,"&gt;=6.3",$E$2:$E$999,"YES",$D$2:$D$999,"YES",$F$2:$F$999,"UP",$C$2:$C$999,"&gt;=0.01")</f>
        <v>#DIV/0!</v>
      </c>
      <c r="AV14" s="6" t="e">
        <f>AVERAGEIFS($R$2:$R$999,$N$2:$N$999,"&gt;=-4.5",$N$2:$N$999,"&lt;=4.5",$P$2:$P$999,"&gt;=6.3",$E$2:$E$999,"YES",$D$2:$D$999,"YES",$F$2:$F$999,"UP",$C$2:$C$999,"&gt;=0.01")</f>
        <v>#DIV/0!</v>
      </c>
      <c r="AW14" s="6" t="e">
        <f>AVERAGEIFS($R$2:$R$999,$N$2:$N$999,"&gt;=5",$P$2:$P$999,"&gt;=6.3",$E$2:$E$999,"YES",$D$2:$D$999,"YES",$F$2:$F$999,"UP",$C$2:$C$999,"&gt;=0.01")</f>
        <v>#DIV/0!</v>
      </c>
      <c r="AY14" s="6" t="e">
        <f>AVERAGEIFS($R$2:$R$999,$P$2:$P$999,"&gt;=6.3",$C$2:$C$999,"&gt;=11")</f>
        <v>#DIV/0!</v>
      </c>
      <c r="AZ14" s="6" t="e">
        <f>AVERAGEIFS($R$2:$R$999,$N$2:$N$999,"&lt;=-5",$P$2:$P$999,"&gt;=6.3",$C$2:$C$999,"&gt;=11")</f>
        <v>#DIV/0!</v>
      </c>
      <c r="BA14" s="6" t="e">
        <f>AVERAGEIFS($R$2:$R$999,$N$2:$N$999,"&gt;=-4.5",$N$2:$N$999,"&lt;=4.5",$P$2:$P$999,"&gt;=6.3",$C$2:$C$999,"&gt;=11")</f>
        <v>#DIV/0!</v>
      </c>
      <c r="BB14" s="6" t="e">
        <f>AVERAGEIFS($R$2:$R$999,$N$2:$N$999,"&gt;=5",$P$2:$P$999,"&gt;=6.3",$C$2:$C$999,"&gt;=11")</f>
        <v>#DIV/0!</v>
      </c>
      <c r="BC14" s="3"/>
      <c r="BD14" s="4" t="e">
        <f>AVERAGEIFS($R$2:$R$999,$P$2:$P$999,"&gt;=6.3",$I$2:$I$999,"YES",$J$2:$J$999,"YES")</f>
        <v>#DIV/0!</v>
      </c>
      <c r="BE14" s="4" t="e">
        <f>AVERAGEIFS($R$2:$R$999,$N$2:$N$999,"&lt;=-5",$I$2:$I$999,"YES",$J$2:$J$999,"YES")</f>
        <v>#DIV/0!</v>
      </c>
      <c r="BF14" s="4" t="e">
        <f>AVERAGEIFS($R$2:$R$999,$N$2:$N$999,"&gt;=-4.5",$N$2:$N$999,"&lt;=4.5",$P$2:$P$999,"&gt;=6.3",$I$2:$I$999,"YES",$J$2:$J$999,"YES")</f>
        <v>#DIV/0!</v>
      </c>
      <c r="BG14" s="4" t="e">
        <f>AVERAGEIFS($R$2:$R$999,$N$2:$N$999,"&gt;=5",$P$2:$P$999,"&gt;=6.3",$I$2:$I$999,"YES",$J$2:$J$999,"YES")</f>
        <v>#DIV/0!</v>
      </c>
      <c r="BH14" s="8"/>
      <c r="BI14" s="9"/>
      <c r="BJ14" s="9"/>
      <c r="BK14" s="9"/>
      <c r="BL14" s="9"/>
    </row>
    <row r="15" spans="1:89" x14ac:dyDescent="0.2">
      <c r="A15" s="11">
        <v>16</v>
      </c>
      <c r="B15" s="11" t="s">
        <v>169</v>
      </c>
      <c r="C15" s="11"/>
      <c r="D15" s="11" t="s">
        <v>75</v>
      </c>
      <c r="E15" s="11" t="s">
        <v>75</v>
      </c>
      <c r="F15" s="11" t="s">
        <v>109</v>
      </c>
      <c r="G15" s="11" t="s">
        <v>75</v>
      </c>
      <c r="H15" s="11" t="s">
        <v>75</v>
      </c>
      <c r="I15" s="8"/>
      <c r="J15" s="8"/>
      <c r="K15" s="8"/>
      <c r="L15" s="8"/>
      <c r="M15" s="8"/>
      <c r="N15" s="8"/>
      <c r="O15" s="8"/>
      <c r="P15" s="8"/>
      <c r="R15" s="9"/>
      <c r="BC15" s="3"/>
      <c r="BD15" s="3"/>
      <c r="BE15" s="3"/>
      <c r="BF15" s="3"/>
      <c r="BG15" s="3"/>
      <c r="BH15" s="8"/>
      <c r="BI15" s="8"/>
      <c r="BJ15" s="8"/>
      <c r="BK15" s="8"/>
      <c r="BL15" s="8"/>
    </row>
    <row r="16" spans="1:89" x14ac:dyDescent="0.2">
      <c r="A16" s="8">
        <v>16</v>
      </c>
      <c r="B16" s="8" t="s">
        <v>64</v>
      </c>
      <c r="C16" s="8"/>
      <c r="D16" s="8"/>
      <c r="E16" s="8"/>
      <c r="F16" s="8"/>
      <c r="G16" s="8" t="s">
        <v>75</v>
      </c>
      <c r="H16" s="8"/>
      <c r="I16" s="8"/>
      <c r="J16" s="8"/>
      <c r="K16" s="8"/>
      <c r="L16" s="8"/>
      <c r="M16" s="8"/>
      <c r="N16" s="8"/>
      <c r="O16" s="8"/>
      <c r="P16" s="8"/>
      <c r="R16" s="9"/>
      <c r="U16" s="1" t="s">
        <v>32</v>
      </c>
      <c r="V16" s="1" t="s">
        <v>31</v>
      </c>
      <c r="W16" s="1" t="s">
        <v>43</v>
      </c>
      <c r="X16" s="1" t="s">
        <v>30</v>
      </c>
      <c r="Y16" s="9" t="s">
        <v>65</v>
      </c>
      <c r="Z16" s="9" t="s">
        <v>65</v>
      </c>
      <c r="AA16" s="9" t="s">
        <v>31</v>
      </c>
      <c r="AB16" s="9" t="s">
        <v>43</v>
      </c>
      <c r="AC16" s="9" t="s">
        <v>30</v>
      </c>
      <c r="AD16" s="9" t="s">
        <v>112</v>
      </c>
      <c r="AE16" s="9"/>
      <c r="AF16" s="9" t="s">
        <v>31</v>
      </c>
      <c r="AG16" s="9" t="s">
        <v>43</v>
      </c>
      <c r="AH16" s="9" t="s">
        <v>30</v>
      </c>
      <c r="AJ16" s="6" t="s">
        <v>32</v>
      </c>
      <c r="AK16" s="6" t="s">
        <v>31</v>
      </c>
      <c r="AL16" s="6" t="s">
        <v>43</v>
      </c>
      <c r="AM16" s="6" t="s">
        <v>30</v>
      </c>
      <c r="AN16" s="6" t="s">
        <v>65</v>
      </c>
      <c r="AO16" s="6" t="s">
        <v>65</v>
      </c>
      <c r="AP16" s="6" t="s">
        <v>31</v>
      </c>
      <c r="AQ16" s="6" t="s">
        <v>43</v>
      </c>
      <c r="AR16" s="6" t="s">
        <v>30</v>
      </c>
      <c r="AS16" s="6" t="s">
        <v>112</v>
      </c>
      <c r="AT16" s="6"/>
      <c r="AU16" s="6" t="s">
        <v>31</v>
      </c>
      <c r="AV16" s="6" t="s">
        <v>43</v>
      </c>
      <c r="AW16" s="6" t="s">
        <v>30</v>
      </c>
      <c r="AX16" s="6" t="s">
        <v>89</v>
      </c>
      <c r="AY16" s="6" t="s">
        <v>89</v>
      </c>
      <c r="AZ16" s="6" t="s">
        <v>31</v>
      </c>
      <c r="BA16" s="6" t="s">
        <v>43</v>
      </c>
      <c r="BB16" s="6" t="s">
        <v>30</v>
      </c>
      <c r="BC16" s="3" t="s">
        <v>150</v>
      </c>
      <c r="BD16" s="4"/>
      <c r="BE16" s="4" t="s">
        <v>31</v>
      </c>
      <c r="BF16" s="4" t="s">
        <v>43</v>
      </c>
      <c r="BG16" s="4" t="s">
        <v>30</v>
      </c>
      <c r="BH16" s="8"/>
      <c r="BI16" s="9"/>
      <c r="BJ16" s="9"/>
      <c r="BK16" s="9"/>
      <c r="BL16" s="9"/>
      <c r="BQ16" s="1"/>
      <c r="BS16" s="1"/>
      <c r="BT16" s="1"/>
      <c r="BU16" s="1"/>
      <c r="BV16" s="1"/>
      <c r="BX16" s="1"/>
      <c r="BY16" s="1"/>
      <c r="BZ16" s="1"/>
      <c r="CA16" s="1"/>
      <c r="CC16" s="1"/>
      <c r="CD16" s="1"/>
      <c r="CE16" s="1"/>
      <c r="CF16" s="1"/>
      <c r="CH16" s="1"/>
      <c r="CI16" s="1"/>
      <c r="CJ16" s="1"/>
      <c r="CK16" s="1"/>
    </row>
    <row r="17" spans="1:89" x14ac:dyDescent="0.2">
      <c r="A17" s="8">
        <v>16</v>
      </c>
      <c r="B17" s="8" t="s">
        <v>53</v>
      </c>
      <c r="C17" s="8"/>
      <c r="D17" s="8"/>
      <c r="E17" s="8"/>
      <c r="F17" s="8"/>
      <c r="G17" s="8" t="s">
        <v>75</v>
      </c>
      <c r="H17" s="8"/>
      <c r="I17" s="8"/>
      <c r="J17" s="8"/>
      <c r="K17" s="8"/>
      <c r="L17" s="8"/>
      <c r="M17" s="8"/>
      <c r="N17" s="8"/>
      <c r="O17" s="8"/>
      <c r="P17" s="8"/>
      <c r="R17" s="9"/>
      <c r="U17" s="1" t="e">
        <f>AVERAGE($Q$2:$Q$999)</f>
        <v>#DIV/0!</v>
      </c>
      <c r="V17" s="1" t="e">
        <f>AVERAGEIF($N$2:$N$999,"&lt;=-5",$Q$2:$Q$999)</f>
        <v>#DIV/0!</v>
      </c>
      <c r="W17" s="1" t="e">
        <f>AVERAGEIFS($Q$2:$Q$999,$N$2:$N$999,"&gt;=-4.5",$N$2:$N$999,"&lt;=4.5")</f>
        <v>#DIV/0!</v>
      </c>
      <c r="X17" s="1" t="e">
        <f>AVERAGEIF($N$2:$N$999,"&gt;=5",$Q$2:$Q$999)</f>
        <v>#DIV/0!</v>
      </c>
      <c r="Z17" s="9" t="e">
        <f>AVERAGEIFS($R$2:$R$999,$D$2:$D$999,"YES")</f>
        <v>#DIV/0!</v>
      </c>
      <c r="AA17" s="9" t="e">
        <f>AVERAGEIFS($R$2:$R$999,$N$2:$N$999,"&lt;=-5",$D$2:$D$999,"YES")</f>
        <v>#DIV/0!</v>
      </c>
      <c r="AB17" s="9" t="e">
        <f>AVERAGEIFS($R$2:$R$999,$N$2:$N$999,"&gt;=-4.5",$N$2:$N$999,"&lt;=4.5",$D$2:$D$999,"YES")</f>
        <v>#DIV/0!</v>
      </c>
      <c r="AC17" s="9" t="e">
        <f>AVERAGEIFS($R$2:$R$999,$N$2:$N$999,"&gt;=5",$D$2:$D$999,"YES")</f>
        <v>#DIV/0!</v>
      </c>
      <c r="AE17" s="9" t="e">
        <f>AVERAGEIFS($R$2:$R$999,$D$2:$D$999,"YES",$F$2:$F$999,"UP")</f>
        <v>#DIV/0!</v>
      </c>
      <c r="AF17" s="9" t="e">
        <f>AVERAGEIFS($R$2:$R$999,$N$2:$N$999,"&lt;=-5",$D$2:$D$999,"YES",$F$2:$F$999,"UP")</f>
        <v>#DIV/0!</v>
      </c>
      <c r="AG17" s="9" t="e">
        <f>AVERAGEIFS($R$2:$R$999,$N$2:$N$999,"&gt;=-4.5",$N$2:$N$999,"&lt;=4.5",$D$2:$D$999,"YES",$F$2:$F$999,"UP")</f>
        <v>#DIV/0!</v>
      </c>
      <c r="AH17" s="9" t="e">
        <f>AVERAGEIFS($R$2:$R$999,$N$2:$N$999,"&gt;=5",$D$2:$D$999,"YES",$F$2:$F$999,"UP")</f>
        <v>#DIV/0!</v>
      </c>
      <c r="AJ17" s="6" t="e">
        <f>AVERAGEIFS($Q$2:$Q$999,$C$2:$C$999,"&gt;=0.01")</f>
        <v>#DIV/0!</v>
      </c>
      <c r="AK17" s="6" t="e">
        <f>AVERAGEIFS($Q$2:$Q$999,$N$2:$N$999,"&lt;=-5",$C$2:$C$999,"&gt;=0.01")</f>
        <v>#DIV/0!</v>
      </c>
      <c r="AL17" s="6" t="e">
        <f>AVERAGEIFS($Q$2:$Q$999,$N$2:$N$999,"&gt;=-4.5",$C$2:$C$999,"&gt;=0.01")</f>
        <v>#DIV/0!</v>
      </c>
      <c r="AM17" s="6" t="e">
        <f>AVERAGEIFS($Q$2:$Q$999,$N$2:$N$999,"&gt;=5",$C$2:$C$999,"&gt;=0.01")</f>
        <v>#DIV/0!</v>
      </c>
      <c r="AO17" s="6" t="e">
        <f>AVERAGEIFS($R$2:$R$999,$D$2:$D$999,"YES",$C$2:$C$999,"&gt;=0.01")</f>
        <v>#DIV/0!</v>
      </c>
      <c r="AP17" s="6" t="e">
        <f>AVERAGEIFS($R$2:$R$999,$N$2:$N$999,"&lt;=-5",$D$2:$D$999,"YES",$C$2:$C$999,"&gt;=0.01")</f>
        <v>#DIV/0!</v>
      </c>
      <c r="AQ17" s="6" t="e">
        <f>AVERAGEIFS($R$2:$R$999,$N$2:$N$999,"&gt;=-4.5",$N$2:$N$999,"&lt;=4.5",$D$2:$D$999,"YES",$C$2:$C$999,"&gt;=0.01")</f>
        <v>#DIV/0!</v>
      </c>
      <c r="AR17" s="6" t="e">
        <f>AVERAGEIFS($R$2:$R$999,$N$2:$N$999,"&gt;=5",$D$2:$D$999,"YES",$C$2:$C$999,"&gt;=0.01")</f>
        <v>#DIV/0!</v>
      </c>
      <c r="AT17" s="6" t="e">
        <f>AVERAGEIFS($R$2:$R$999,$D$2:$D$999,"YES",$F$2:$F$999,"UP",$C$2:$C$999,"&gt;=0.01")</f>
        <v>#DIV/0!</v>
      </c>
      <c r="AU17" s="6" t="e">
        <f>AVERAGEIFS($R$2:$R$999,$N$2:$N$999,"&lt;=-5",$D$2:$D$999,"YES",$F$2:$F$999,"UP",$C$2:$C$999,"&gt;=0.01")</f>
        <v>#DIV/0!</v>
      </c>
      <c r="AV17" s="6" t="e">
        <f>AVERAGEIFS($R$2:$R$999,$N$2:$N$999,"&gt;=-4.5",$N$2:$N$999,"&lt;=4.5",$D$2:$D$999,"YES",$F$2:$F$999,"UP",$C$2:$C$999,"&gt;=0.01")</f>
        <v>#DIV/0!</v>
      </c>
      <c r="AW17" s="6" t="e">
        <f>AVERAGEIFS($R$2:$R$999,$N$2:$N$999,"&gt;=5",$D$2:$D$999,"YES",$F$2:$F$999,"UP",$C$2:$C$999,"&gt;=0.01")</f>
        <v>#DIV/0!</v>
      </c>
      <c r="AY17" s="6" t="e">
        <f>AVERAGEIFS($R$2:$R$999,$C$2:$C$999,"&gt;=9.5",$C$2:$C$999,"&lt;=10.9")</f>
        <v>#DIV/0!</v>
      </c>
      <c r="AZ17" s="6" t="e">
        <f>AVERAGEIFS($R$2:$R$999,$N$2:$N$999,"&lt;=-5",$C$2:$C$999,"&gt;=9.5",$C$2:$C$999,"&lt;=10.9")</f>
        <v>#DIV/0!</v>
      </c>
      <c r="BA17" s="6" t="e">
        <f>AVERAGEIFS($R$2:$R$999,$N$2:$N$999,"&gt;=-4.5",$N$2:$N$999,"&lt;=4.5",$C$2:$C$999,"&gt;=9.5",$C$2:$C$999,"&lt;=10.9")</f>
        <v>#DIV/0!</v>
      </c>
      <c r="BB17" s="6" t="e">
        <f>AVERAGEIFS($R$2:$R$999,$N$2:$N$999,"&gt;=5",$C$2:$C$999,"&gt;=9.5",$C$2:$C$999,"&lt;=10.9")</f>
        <v>#DIV/0!</v>
      </c>
      <c r="BC17" s="3"/>
      <c r="BD17" s="4" t="e">
        <f>AVERAGEIFS($R$2:$R$999,$I$2:$I$999,"YES")</f>
        <v>#DIV/0!</v>
      </c>
      <c r="BE17" s="4" t="e">
        <f>AVERAGEIFS($R$2:$R$999,$N$2:$N$999,"&lt;=-5",$I$2:$I$999,"YES")</f>
        <v>#DIV/0!</v>
      </c>
      <c r="BF17" s="4" t="e">
        <f>AVERAGEIFS($R$2:$R$999,$N$2:$N$999,"&gt;=-4.5",$N$2:$N$999,"&lt;=4.55",$I$2:$I$999,"YES")</f>
        <v>#DIV/0!</v>
      </c>
      <c r="BG17" s="4" t="e">
        <f>AVERAGEIFS($R$2:$R$999,$N$2:$N$999,"&gt;=5",$I$2:$I$999,"YES")</f>
        <v>#DIV/0!</v>
      </c>
      <c r="BH17" s="8"/>
      <c r="BI17" s="9"/>
      <c r="BJ17" s="9"/>
      <c r="BK17" s="9"/>
      <c r="BL17" s="9"/>
      <c r="BQ17" s="1"/>
      <c r="BS17" s="1"/>
      <c r="BT17" s="1"/>
      <c r="BU17" s="1"/>
      <c r="BV17" s="1"/>
      <c r="BX17" s="1"/>
      <c r="BY17" s="1"/>
      <c r="BZ17" s="1"/>
      <c r="CA17" s="1"/>
      <c r="CC17" s="1"/>
      <c r="CD17" s="1"/>
      <c r="CE17" s="1"/>
      <c r="CF17" s="1"/>
      <c r="CH17" s="1"/>
      <c r="CI17" s="1"/>
      <c r="CJ17" s="1"/>
      <c r="CK17" s="1"/>
    </row>
    <row r="18" spans="1:89" x14ac:dyDescent="0.2">
      <c r="A18" s="8">
        <v>16</v>
      </c>
      <c r="B18" s="8" t="s">
        <v>171</v>
      </c>
      <c r="C18" s="8"/>
      <c r="D18" s="8"/>
      <c r="E18" s="8"/>
      <c r="F18" s="8"/>
      <c r="G18" s="8" t="s">
        <v>75</v>
      </c>
      <c r="H18" s="8"/>
      <c r="I18" s="8"/>
      <c r="J18" s="8"/>
      <c r="K18" s="8"/>
      <c r="L18" s="8"/>
      <c r="M18" s="8"/>
      <c r="N18" s="8"/>
      <c r="O18" s="8"/>
      <c r="P18" s="8"/>
      <c r="R18" s="9"/>
      <c r="U18" s="1"/>
      <c r="V18" s="1"/>
      <c r="W18" s="1"/>
      <c r="X18" s="1"/>
      <c r="Z18" s="9"/>
      <c r="AA18" s="9"/>
      <c r="AB18" s="9"/>
      <c r="AC18" s="9"/>
      <c r="AE18" s="9"/>
      <c r="AF18" s="9"/>
      <c r="AG18" s="9"/>
      <c r="AH18" s="9"/>
      <c r="AJ18" s="6"/>
      <c r="AK18" s="6"/>
      <c r="AL18" s="6"/>
      <c r="AM18" s="6"/>
      <c r="AO18" s="6"/>
      <c r="AP18" s="6"/>
      <c r="AQ18" s="6"/>
      <c r="AR18" s="6"/>
      <c r="AT18" s="6"/>
      <c r="AU18" s="6"/>
      <c r="AV18" s="6"/>
      <c r="AW18" s="6"/>
      <c r="AY18" s="6"/>
      <c r="AZ18" s="6"/>
      <c r="BA18" s="6"/>
      <c r="BB18" s="6"/>
      <c r="BC18" s="3"/>
      <c r="BD18" s="4"/>
      <c r="BE18" s="4"/>
      <c r="BF18" s="4"/>
      <c r="BG18" s="4"/>
      <c r="BH18" s="8"/>
      <c r="BI18" s="9"/>
      <c r="BJ18" s="9"/>
      <c r="BK18" s="9"/>
      <c r="BL18" s="9"/>
      <c r="BQ18" s="1"/>
      <c r="BS18" s="1"/>
      <c r="BT18" s="1"/>
      <c r="BU18" s="1"/>
      <c r="BV18" s="1"/>
      <c r="BX18" s="1"/>
      <c r="BY18" s="1"/>
      <c r="BZ18" s="1"/>
      <c r="CA18" s="1"/>
      <c r="CC18" s="1"/>
      <c r="CD18" s="1"/>
      <c r="CE18" s="1"/>
      <c r="CF18" s="1"/>
      <c r="CH18" s="1"/>
      <c r="CI18" s="1"/>
      <c r="CJ18" s="1"/>
      <c r="CK18" s="1"/>
    </row>
    <row r="19" spans="1:89" x14ac:dyDescent="0.2">
      <c r="A19" s="8">
        <v>16</v>
      </c>
      <c r="B19" s="8" t="s">
        <v>102</v>
      </c>
      <c r="C19" s="8"/>
      <c r="D19" s="8"/>
      <c r="E19" s="8"/>
      <c r="F19" s="8"/>
      <c r="G19" s="8" t="s">
        <v>75</v>
      </c>
      <c r="H19" s="8"/>
      <c r="I19" s="8"/>
      <c r="J19" s="8" t="s">
        <v>75</v>
      </c>
      <c r="K19" s="8"/>
      <c r="L19" s="8"/>
      <c r="M19" s="8"/>
      <c r="N19" s="8"/>
      <c r="O19" s="8"/>
      <c r="P19" s="8"/>
      <c r="R19" s="9"/>
      <c r="T19" s="2"/>
      <c r="U19" s="1" t="s">
        <v>38</v>
      </c>
      <c r="V19" s="1" t="s">
        <v>31</v>
      </c>
      <c r="W19" s="1" t="s">
        <v>43</v>
      </c>
      <c r="X19" s="1" t="s">
        <v>30</v>
      </c>
      <c r="Z19" s="8" t="s">
        <v>33</v>
      </c>
      <c r="AA19" s="9" t="s">
        <v>31</v>
      </c>
      <c r="AB19" s="9" t="s">
        <v>43</v>
      </c>
      <c r="AC19" s="9" t="s">
        <v>30</v>
      </c>
      <c r="AE19" s="8" t="s">
        <v>33</v>
      </c>
      <c r="AF19" s="9" t="s">
        <v>31</v>
      </c>
      <c r="AG19" s="9" t="s">
        <v>43</v>
      </c>
      <c r="AH19" s="9" t="s">
        <v>30</v>
      </c>
      <c r="AI19" s="7"/>
      <c r="AJ19" s="6" t="s">
        <v>38</v>
      </c>
      <c r="AK19" s="6" t="s">
        <v>31</v>
      </c>
      <c r="AL19" s="6" t="s">
        <v>43</v>
      </c>
      <c r="AM19" s="6" t="s">
        <v>30</v>
      </c>
      <c r="AO19" s="5" t="s">
        <v>33</v>
      </c>
      <c r="AP19" s="6" t="s">
        <v>31</v>
      </c>
      <c r="AQ19" s="6" t="s">
        <v>43</v>
      </c>
      <c r="AR19" s="6" t="s">
        <v>30</v>
      </c>
      <c r="AT19" s="5" t="s">
        <v>33</v>
      </c>
      <c r="AU19" s="6" t="s">
        <v>31</v>
      </c>
      <c r="AV19" s="6" t="s">
        <v>43</v>
      </c>
      <c r="AW19" s="6" t="s">
        <v>30</v>
      </c>
      <c r="AY19" s="5" t="s">
        <v>33</v>
      </c>
      <c r="AZ19" s="6" t="s">
        <v>31</v>
      </c>
      <c r="BA19" s="6" t="s">
        <v>43</v>
      </c>
      <c r="BB19" s="6" t="s">
        <v>30</v>
      </c>
      <c r="BC19" s="3"/>
      <c r="BD19" s="3" t="s">
        <v>33</v>
      </c>
      <c r="BE19" s="4" t="s">
        <v>31</v>
      </c>
      <c r="BF19" s="4" t="s">
        <v>43</v>
      </c>
      <c r="BG19" s="4" t="s">
        <v>30</v>
      </c>
      <c r="BH19" s="8"/>
      <c r="BI19" s="8"/>
      <c r="BJ19" s="9"/>
      <c r="BK19" s="9"/>
      <c r="BL19" s="9"/>
      <c r="BQ19" s="1"/>
      <c r="BR19" s="2"/>
      <c r="BS19" s="1"/>
      <c r="BT19" s="1"/>
      <c r="BU19" s="1"/>
      <c r="BV19" s="1"/>
      <c r="BW19" s="2"/>
      <c r="BX19" s="1"/>
      <c r="BY19" s="1"/>
      <c r="BZ19" s="1"/>
      <c r="CA19" s="1"/>
      <c r="CB19" s="2"/>
      <c r="CC19" s="1"/>
      <c r="CD19" s="1"/>
      <c r="CE19" s="1"/>
      <c r="CF19" s="1"/>
      <c r="CG19" s="2"/>
      <c r="CH19" s="1"/>
      <c r="CI19" s="1"/>
      <c r="CJ19" s="1"/>
      <c r="CK19" s="1"/>
    </row>
    <row r="20" spans="1:89" x14ac:dyDescent="0.2">
      <c r="A20" s="8">
        <v>16</v>
      </c>
      <c r="B20" s="8" t="s">
        <v>166</v>
      </c>
      <c r="C20" s="8"/>
      <c r="D20" s="8"/>
      <c r="E20" s="8"/>
      <c r="F20" s="8"/>
      <c r="G20" s="8" t="s">
        <v>75</v>
      </c>
      <c r="H20" s="8"/>
      <c r="I20" s="8"/>
      <c r="J20" s="8" t="s">
        <v>75</v>
      </c>
      <c r="K20" s="8"/>
      <c r="L20" s="8"/>
      <c r="M20" s="8"/>
      <c r="N20" s="8"/>
      <c r="O20" s="8"/>
      <c r="P20" s="8"/>
      <c r="R20" s="9"/>
      <c r="U20" s="1" t="e">
        <f>AVERAGEIFS($Q$2:$Q$999,$P$2:$P$999,"&lt;=4")</f>
        <v>#DIV/0!</v>
      </c>
      <c r="V20" s="1" t="e">
        <f>AVERAGEIFS($Q$2:$Q$999,$N$2:$N$999,"&lt;=-5",$P$2:$P$999,"&lt;=4")</f>
        <v>#DIV/0!</v>
      </c>
      <c r="W20" s="1" t="e">
        <f>AVERAGEIFS($Q$2:$Q$999,$N$2:$N$999,"&gt;=-4.5",$N$2:$N$999,"&lt;=4.5",$P$2:$P$999,"&lt;=4")</f>
        <v>#DIV/0!</v>
      </c>
      <c r="X20" s="1" t="e">
        <f>AVERAGEIFS($Q$2:$Q$999,$N$2:$N$999,"&gt;=5",$P$2:$P$999,"&lt;=4")</f>
        <v>#DIV/0!</v>
      </c>
      <c r="Z20" s="9" t="e">
        <f>AVERAGEIFS($R$2:$R$999,$P$2:$P$999,"&lt;=4",$D$2:$D$999,"YES")</f>
        <v>#DIV/0!</v>
      </c>
      <c r="AA20" s="9" t="e">
        <f>AVERAGEIFS($R$2:$R$999,$N$2:$N$999,"&lt;=-5",$P$2:$P$999,"&lt;=4",$D$2:$D$999,"YES")</f>
        <v>#DIV/0!</v>
      </c>
      <c r="AB20" s="9" t="e">
        <f>AVERAGEIFS($R$2:$R$999,$N$2:$N$999,"&gt;=-4.5",$N$2:$N$999,"&lt;=4.55",$P$2:$P$999,"&lt;=4",$D$2:$D$999,"YES")</f>
        <v>#DIV/0!</v>
      </c>
      <c r="AC20" s="9" t="e">
        <f>AVERAGEIFS($R$2:$R$999,$N$2:$N$999,"&gt;=5",$P$2:$P$999,"&lt;=4",$D$2:$D$999,"YES")</f>
        <v>#DIV/0!</v>
      </c>
      <c r="AE20" s="9" t="e">
        <f>AVERAGEIFS($R$2:$R$999,$P$2:$P$999,"&lt;=4",$D$2:$D$999,"YES",$F$2:$F$999,"UP")</f>
        <v>#DIV/0!</v>
      </c>
      <c r="AF20" s="9" t="e">
        <f>AVERAGEIFS($R$2:$R$999,$N$2:$N$999,"&lt;=-5",$P$2:$P$999,"&lt;=4",$D$2:$D$999,"YES",$F$2:$F$999,"UP")</f>
        <v>#DIV/0!</v>
      </c>
      <c r="AG20" s="9" t="e">
        <f>AVERAGEIFS($R$2:$R$999,$N$2:$N$999,"&gt;=-4.5",$N$2:$N$999,"&lt;=4.55",$P$2:$P$999,"&lt;=4",$D$2:$D$999,"YES",$F$2:$F$999,"UP")</f>
        <v>#DIV/0!</v>
      </c>
      <c r="AH20" s="9" t="e">
        <f>AVERAGEIFS($R$2:$R$999,$N$2:$N$999,"&gt;=5",$P$2:$P$999,"&lt;=4",$D$2:$D$999,"YES",$F$2:$F$999,"UP")</f>
        <v>#DIV/0!</v>
      </c>
      <c r="AJ20" s="6" t="e">
        <f>AVERAGEIFS($Q$2:$Q$999,$P$2:$P$999,"&lt;=4",$C$2:$C$999,"&gt;=0.01")</f>
        <v>#DIV/0!</v>
      </c>
      <c r="AK20" s="6" t="e">
        <f>AVERAGEIFS($Q$2:$Q$999,$N$2:$N$999,"&lt;=-5",$P$2:$P$999,"&lt;=4",$C$2:$C$999,"&gt;=0.01")</f>
        <v>#DIV/0!</v>
      </c>
      <c r="AL20" s="6" t="e">
        <f>AVERAGEIFS($Q$2:$Q$999,$N$2:$N$999,"&gt;=-4.5",$N$2:$N$999,"&lt;=4.5",$P$2:$P$999,"&lt;=4",$C$2:$C$999,"&gt;=0.01")</f>
        <v>#DIV/0!</v>
      </c>
      <c r="AM20" s="6" t="e">
        <f>AVERAGEIFS($Q$2:$Q$999,$N$2:$N$999,"&gt;=5",$P$2:$P$999,"&lt;=4",$C$2:$C$999,"&gt;=0.01")</f>
        <v>#DIV/0!</v>
      </c>
      <c r="AO20" s="6" t="e">
        <f>AVERAGEIFS($R$2:$R$999,$P$2:$P$999,"&lt;=4",$D$2:$D$999,"YES",$C$2:$C$999,"&gt;=0.01")</f>
        <v>#DIV/0!</v>
      </c>
      <c r="AP20" s="6" t="e">
        <f>AVERAGEIFS($R$2:$R$999,$N$2:$N$999,"&lt;=-5",$P$2:$P$999,"&lt;=4",$D$2:$D$999,"YES",$C$2:$C$999,"&gt;=0.01")</f>
        <v>#DIV/0!</v>
      </c>
      <c r="AQ20" s="6" t="e">
        <f>AVERAGEIFS($R$2:$R$999,$N$2:$N$999,"&gt;=-4.5",$N$2:$N$999,"&lt;=4.55",$P$2:$P$999,"&lt;=4",$D$2:$D$999,"YES",$C$2:$C$999,"&gt;=0.01")</f>
        <v>#DIV/0!</v>
      </c>
      <c r="AR20" s="6" t="e">
        <f>AVERAGEIFS($R$2:$R$999,$N$2:$N$999,"&gt;=5",$P$2:$P$999,"&lt;=4",$D$2:$D$999,"YES",$C$2:$C$999,"&gt;=0.01")</f>
        <v>#DIV/0!</v>
      </c>
      <c r="AT20" s="6" t="e">
        <f>AVERAGEIFS($R$2:$R$999,$P$2:$P$999,"&lt;=4",$D$2:$D$999,"YES",$F$2:$F$999,"UP",$C$2:$C$999,"&gt;=0.01")</f>
        <v>#DIV/0!</v>
      </c>
      <c r="AU20" s="6" t="e">
        <f>AVERAGEIFS($R$2:$R$999,$N$2:$N$999,"&lt;=-5",$P$2:$P$999,"&lt;=4",$D$2:$D$999,"YES",$F$2:$F$999,"UP",$C$2:$C$999,"&gt;=0.01")</f>
        <v>#DIV/0!</v>
      </c>
      <c r="AV20" s="6" t="e">
        <f>AVERAGEIFS($R$2:$R$999,$N$2:$N$999,"&gt;=-4.5",$N$2:$N$999,"&lt;=4.55",$P$2:$P$999,"&lt;=4",$D$2:$D$999,"YES",$F$2:$F$999,"UP",$C$2:$C$999,"&gt;=0.01")</f>
        <v>#DIV/0!</v>
      </c>
      <c r="AW20" s="6" t="e">
        <f>AVERAGEIFS($R$2:$R$999,$N$2:$N$999,"&gt;=5",$P$2:$P$999,"&lt;=4",$D$2:$D$999,"YES",$F$2:$F$999,"UP",$C$2:$C$999,"&gt;=0.01")</f>
        <v>#DIV/0!</v>
      </c>
      <c r="AY20" s="6" t="e">
        <f>AVERAGEIFS($R$2:$R$999,$P$2:$P$999,"&lt;=4",$C$2:$C$999,"&gt;=9.5",$C$2:$C$999,"&lt;=10.9")</f>
        <v>#DIV/0!</v>
      </c>
      <c r="AZ20" s="6" t="e">
        <f>AVERAGEIFS($R$2:$R$999,$N$2:$N$999,"&lt;=-5",$P$2:$P$999,"&lt;=4",$C$2:$C$999,"&gt;=9.5",$C$2:$C$999,"&lt;=10.9")</f>
        <v>#DIV/0!</v>
      </c>
      <c r="BA20" s="6" t="e">
        <f>AVERAGEIFS($R$2:$R$999,$N$2:$N$999,"&gt;=-4.5",$N$2:$N$999,"&lt;=4.55",$P$2:$P$999,"&lt;=4",$C$2:$C$999,"&gt;=9.5",$C$2:$C$999,"&lt;=10.9")</f>
        <v>#DIV/0!</v>
      </c>
      <c r="BB20" s="6" t="e">
        <f>AVERAGEIFS($R$2:$R$999,$N$2:$N$999,"&gt;=5",$P$2:$P$999,"&lt;=4",$C$2:$C$999,"&gt;=9.5",$C$2:$C$999,"&lt;=10.9")</f>
        <v>#DIV/0!</v>
      </c>
      <c r="BC20" s="3"/>
      <c r="BD20" s="4" t="e">
        <f>AVERAGEIFS($R$2:$R$999,$P$2:$P$999,"&lt;=4",$I$2:$I$999,"YES")</f>
        <v>#DIV/0!</v>
      </c>
      <c r="BE20" s="4" t="e">
        <f>AVERAGEIFS($R$2:$R$999,$N$2:$N$999,"&lt;=-5",$P$2:$P$999,"&lt;=4",$I$2:$I$999,"YES")</f>
        <v>#DIV/0!</v>
      </c>
      <c r="BF20" s="4" t="e">
        <f>AVERAGEIFS($R$2:$R$999,$N$2:$N$999,"&gt;=-4.5",$N$2:$N$999,"&lt;=4.55",$P$2:$P$999,"&lt;=4",$I$2:$I$999,"YES")</f>
        <v>#DIV/0!</v>
      </c>
      <c r="BG20" s="4" t="e">
        <f>AVERAGEIFS($R$2:$R$999,$N$2:$N$999,"&gt;=5",$P$2:$P$999,"&lt;=4",$I$2:$I$999,"YES")</f>
        <v>#DIV/0!</v>
      </c>
      <c r="BH20" s="8"/>
      <c r="BI20" s="9"/>
      <c r="BJ20" s="9"/>
      <c r="BK20" s="9"/>
      <c r="BL20" s="9"/>
      <c r="BQ20" s="1"/>
      <c r="BS20" s="1"/>
      <c r="BT20" s="1"/>
      <c r="BU20" s="1"/>
      <c r="BV20" s="1"/>
      <c r="BX20" s="1"/>
      <c r="BY20" s="1"/>
      <c r="BZ20" s="1"/>
      <c r="CA20" s="1"/>
      <c r="CC20" s="1"/>
      <c r="CD20" s="1"/>
      <c r="CE20" s="1"/>
      <c r="CF20" s="1"/>
      <c r="CH20" s="1"/>
      <c r="CI20" s="1"/>
      <c r="CJ20" s="1"/>
      <c r="CK20" s="1"/>
    </row>
    <row r="21" spans="1:89" x14ac:dyDescent="0.2">
      <c r="A21" s="8">
        <v>16</v>
      </c>
      <c r="B21" s="8" t="s">
        <v>139</v>
      </c>
      <c r="C21" s="8"/>
      <c r="D21" s="8"/>
      <c r="E21" s="8"/>
      <c r="F21" s="8"/>
      <c r="G21" s="8" t="s">
        <v>75</v>
      </c>
      <c r="H21" s="8"/>
      <c r="I21" s="8"/>
      <c r="J21" s="8" t="s">
        <v>75</v>
      </c>
      <c r="K21" s="8"/>
      <c r="L21" s="8"/>
      <c r="M21" s="8"/>
      <c r="N21" s="8"/>
      <c r="O21" s="8"/>
      <c r="P21" s="8"/>
      <c r="R21" s="9"/>
      <c r="U21" s="1"/>
      <c r="V21" s="1"/>
      <c r="W21" s="1"/>
      <c r="X21" s="1"/>
      <c r="Z21" s="9"/>
      <c r="AA21" s="9"/>
      <c r="AB21" s="9"/>
      <c r="AC21" s="9"/>
      <c r="AE21" s="9"/>
      <c r="AF21" s="9"/>
      <c r="AG21" s="9"/>
      <c r="AH21" s="9"/>
      <c r="AJ21" s="6"/>
      <c r="AK21" s="6"/>
      <c r="AL21" s="6"/>
      <c r="AM21" s="6"/>
      <c r="AO21" s="6"/>
      <c r="AP21" s="6"/>
      <c r="AQ21" s="6"/>
      <c r="AR21" s="6"/>
      <c r="AT21" s="6"/>
      <c r="AU21" s="6"/>
      <c r="AV21" s="6"/>
      <c r="AW21" s="6"/>
      <c r="AY21" s="6"/>
      <c r="AZ21" s="6"/>
      <c r="BA21" s="6"/>
      <c r="BB21" s="6"/>
      <c r="BC21" s="3"/>
      <c r="BD21" s="4"/>
      <c r="BE21" s="4"/>
      <c r="BF21" s="4"/>
      <c r="BG21" s="4"/>
      <c r="BH21" s="8"/>
      <c r="BI21" s="9"/>
      <c r="BJ21" s="9"/>
      <c r="BK21" s="9"/>
      <c r="BL21" s="9"/>
      <c r="BQ21" s="1"/>
      <c r="BS21" s="1"/>
      <c r="BT21" s="1"/>
      <c r="BU21" s="1"/>
      <c r="BV21" s="1"/>
      <c r="BX21" s="1"/>
      <c r="BY21" s="1"/>
      <c r="BZ21" s="1"/>
      <c r="CA21" s="1"/>
      <c r="CC21" s="1"/>
      <c r="CD21" s="1"/>
      <c r="CE21" s="1"/>
      <c r="CF21" s="1"/>
      <c r="CH21" s="1"/>
      <c r="CI21" s="1"/>
      <c r="CJ21" s="1"/>
      <c r="CK21" s="1"/>
    </row>
    <row r="22" spans="1:89" x14ac:dyDescent="0.2">
      <c r="A22" s="8">
        <v>16</v>
      </c>
      <c r="B22" s="8" t="s">
        <v>168</v>
      </c>
      <c r="C22" s="8"/>
      <c r="D22" s="8"/>
      <c r="E22" s="8"/>
      <c r="F22" s="8"/>
      <c r="G22" s="8" t="s">
        <v>75</v>
      </c>
      <c r="H22" s="8"/>
      <c r="I22" s="8"/>
      <c r="J22" s="8"/>
      <c r="K22" s="8"/>
      <c r="L22" s="8"/>
      <c r="M22" s="8"/>
      <c r="N22" s="8"/>
      <c r="O22" s="8"/>
      <c r="P22" s="8"/>
      <c r="R22" s="9"/>
      <c r="U22" s="1" t="s">
        <v>36</v>
      </c>
      <c r="V22" s="1" t="s">
        <v>31</v>
      </c>
      <c r="W22" s="1" t="s">
        <v>43</v>
      </c>
      <c r="X22" s="1" t="s">
        <v>30</v>
      </c>
      <c r="Z22" s="8" t="s">
        <v>36</v>
      </c>
      <c r="AA22" s="9" t="s">
        <v>31</v>
      </c>
      <c r="AB22" s="9" t="s">
        <v>43</v>
      </c>
      <c r="AC22" s="9" t="s">
        <v>30</v>
      </c>
      <c r="AE22" s="8" t="s">
        <v>36</v>
      </c>
      <c r="AF22" s="9" t="s">
        <v>31</v>
      </c>
      <c r="AG22" s="9" t="s">
        <v>43</v>
      </c>
      <c r="AH22" s="9" t="s">
        <v>30</v>
      </c>
      <c r="AJ22" s="6" t="s">
        <v>36</v>
      </c>
      <c r="AK22" s="6" t="s">
        <v>31</v>
      </c>
      <c r="AL22" s="6" t="s">
        <v>43</v>
      </c>
      <c r="AM22" s="6" t="s">
        <v>30</v>
      </c>
      <c r="AO22" s="5" t="s">
        <v>36</v>
      </c>
      <c r="AP22" s="6" t="s">
        <v>31</v>
      </c>
      <c r="AQ22" s="6" t="s">
        <v>43</v>
      </c>
      <c r="AR22" s="6" t="s">
        <v>30</v>
      </c>
      <c r="AT22" s="5" t="s">
        <v>36</v>
      </c>
      <c r="AU22" s="6" t="s">
        <v>31</v>
      </c>
      <c r="AV22" s="6" t="s">
        <v>43</v>
      </c>
      <c r="AW22" s="6" t="s">
        <v>30</v>
      </c>
      <c r="AY22" s="5" t="s">
        <v>36</v>
      </c>
      <c r="AZ22" s="6" t="s">
        <v>31</v>
      </c>
      <c r="BA22" s="6" t="s">
        <v>43</v>
      </c>
      <c r="BB22" s="6" t="s">
        <v>30</v>
      </c>
      <c r="BC22" s="3"/>
      <c r="BD22" s="3" t="s">
        <v>36</v>
      </c>
      <c r="BE22" s="4" t="s">
        <v>31</v>
      </c>
      <c r="BF22" s="4" t="s">
        <v>43</v>
      </c>
      <c r="BG22" s="4" t="s">
        <v>30</v>
      </c>
      <c r="BH22" s="8"/>
      <c r="BI22" s="8"/>
      <c r="BJ22" s="9"/>
      <c r="BK22" s="9"/>
      <c r="BL22" s="9"/>
      <c r="BQ22" s="1"/>
      <c r="BS22" s="1"/>
      <c r="BT22" s="1"/>
      <c r="BU22" s="1"/>
      <c r="BV22" s="1"/>
      <c r="BX22" s="1"/>
      <c r="BY22" s="1"/>
      <c r="BZ22" s="1"/>
      <c r="CA22" s="1"/>
      <c r="CC22" s="1"/>
      <c r="CD22" s="1"/>
      <c r="CE22" s="1"/>
      <c r="CF22" s="1"/>
      <c r="CH22" s="1"/>
      <c r="CI22" s="1"/>
      <c r="CJ22" s="1"/>
      <c r="CK22" s="1"/>
    </row>
    <row r="23" spans="1:89" x14ac:dyDescent="0.2">
      <c r="A23" s="8">
        <v>16</v>
      </c>
      <c r="B23" s="8" t="s">
        <v>19</v>
      </c>
      <c r="C23" s="8"/>
      <c r="D23" s="8"/>
      <c r="E23" s="8"/>
      <c r="F23" s="8"/>
      <c r="G23" s="8" t="s">
        <v>75</v>
      </c>
      <c r="H23" s="8"/>
      <c r="I23" s="8"/>
      <c r="J23" s="8"/>
      <c r="K23" s="8"/>
      <c r="L23" s="8"/>
      <c r="M23" s="8"/>
      <c r="N23" s="8"/>
      <c r="O23" s="8"/>
      <c r="P23" s="8"/>
      <c r="R23" s="9"/>
      <c r="U23" s="1" t="e">
        <f>AVERAGEIFS($Q$2:$Q$999,$P$2:$P$999,"&gt;=4.1",$P$2:$P$999,"&lt;=5")</f>
        <v>#DIV/0!</v>
      </c>
      <c r="V23" s="1" t="e">
        <f>AVERAGEIFS($Q$2:$Q$999,$N$2:$N$999,"&lt;=-5",$P$2:$P$999,"&gt;=4.1",$P$2:$P$999,"&lt;=5")</f>
        <v>#DIV/0!</v>
      </c>
      <c r="W23" s="1" t="e">
        <f>AVERAGEIFS($Q$2:$Q$999,$N$2:$N$999,"&gt;=-4.5",$N$2:$N$999,"&lt;=4.5",$P$2:$P$999,"&gt;=4.1",$P$2:$P$999,"&lt;=5")</f>
        <v>#DIV/0!</v>
      </c>
      <c r="X23" s="1" t="e">
        <f>AVERAGEIFS($Q$2:$Q$999,$N$2:$N$999,"&gt;=5",$P$2:$P$999,"&gt;=4.1",$P$2:$P$999,"&lt;=5")</f>
        <v>#DIV/0!</v>
      </c>
      <c r="Z23" s="9" t="e">
        <f>AVERAGEIFS($R$2:$R$999,$P$2:$P$999,"&gt;=4.1",$P$2:$P$999,"&lt;=5",$D$2:$D$999,"YES")</f>
        <v>#DIV/0!</v>
      </c>
      <c r="AA23" s="9" t="e">
        <f>AVERAGEIFS($R$2:$R$999,$N$2:$N$999,"&lt;=-5",$P$2:$P$999,"&gt;=4.1",$P$2:$P$999,"&lt;=5",$D$2:$D$999,"YES")</f>
        <v>#DIV/0!</v>
      </c>
      <c r="AB23" s="9" t="e">
        <f>AVERAGEIFS($R$2:$R$999,$N$2:$N$999,"&gt;=-4.5",$N$2:$N$999,"&lt;=4.5",$P$2:$P$999,"&gt;=4.1",$P$2:$P$999,"&lt;=5",$D$2:$D$999,"YES")</f>
        <v>#DIV/0!</v>
      </c>
      <c r="AC23" s="9" t="e">
        <f>AVERAGEIFS($R$2:$R$999,$N$2:$N$999,"&gt;=5",$P$2:$P$999,"&gt;=4.1",$P$2:$P$999,"&lt;=5",$D$2:$D$999,"YES")</f>
        <v>#DIV/0!</v>
      </c>
      <c r="AE23" s="9" t="e">
        <f>AVERAGEIFS($R$2:$R$999,$P$2:$P$999,"&gt;=4.1",$P$2:$P$999,"&lt;=5",$D$2:$D$999,"YES",$F$2:$F$999,"UP")</f>
        <v>#DIV/0!</v>
      </c>
      <c r="AF23" s="9" t="e">
        <f>AVERAGEIFS($R$2:$R$999,$N$2:$N$999,"&lt;=-5",$P$2:$P$999,"&gt;=4.1",$P$2:$P$999,"&lt;=5",$D$2:$D$999,"YES",$F$2:$F$999,"UP")</f>
        <v>#DIV/0!</v>
      </c>
      <c r="AG23" s="9" t="e">
        <f>AVERAGEIFS($R$2:$R$999,$N$2:$N$999,"&gt;=-4.5",$N$2:$N$999,"&lt;=4.5",$P$2:$P$999,"&gt;=4.1",$P$2:$P$999,"&lt;=5",$D$2:$D$999,"YES",$F$2:$F$999,"UP")</f>
        <v>#DIV/0!</v>
      </c>
      <c r="AH23" s="9" t="e">
        <f>AVERAGEIFS($R$2:$R$999,$N$2:$N$999,"&gt;=5",$P$2:$P$999,"&gt;=4.1",$P$2:$P$999,"&lt;=5",$D$2:$D$999,"YES",$F$2:$F$999,"UP")</f>
        <v>#DIV/0!</v>
      </c>
      <c r="AJ23" s="6" t="e">
        <f>AVERAGEIFS($Q$2:$Q$999,$P$2:$P$999,"&gt;=4.1",$P$2:$P$999,"&lt;=5",$C$2:$C$999,"&gt;=0.01")</f>
        <v>#DIV/0!</v>
      </c>
      <c r="AK23" s="6" t="e">
        <f>AVERAGEIFS($Q$2:$Q$999,$N$2:$N$999,"&lt;=-5",$P$2:$P$999,"&gt;=4.1",$P$2:$P$999,"&lt;=5",$C$2:$C$999,"&gt;=0.01")</f>
        <v>#DIV/0!</v>
      </c>
      <c r="AL23" s="6" t="e">
        <f>AVERAGEIFS($Q$2:$Q$999,$N$2:$N$999,"&gt;=-4.5",$N$2:$N$999,"&lt;=4.5",$P$2:$P$999,"&gt;=4.1",$P$2:$P$999,"&lt;=5",$C$2:$C$999,"&gt;=0.01")</f>
        <v>#DIV/0!</v>
      </c>
      <c r="AM23" s="6" t="e">
        <f>AVERAGEIFS($Q$2:$Q$999,$N$2:$N$999,"&gt;=5",$P$2:$P$999,"&gt;=4.1",$P$2:$P$999,"&lt;=5",$C$2:$C$999,"&gt;=0.01")</f>
        <v>#DIV/0!</v>
      </c>
      <c r="AO23" s="6" t="e">
        <f>AVERAGEIFS($R$2:$R$999,$P$2:$P$999,"&gt;=4.1",$P$2:$P$999,"&lt;=5",$D$2:$D$999,"YES",$C$2:$C$999,"&gt;=0.01")</f>
        <v>#DIV/0!</v>
      </c>
      <c r="AP23" s="6" t="e">
        <f>AVERAGEIFS($R$2:$R$999,$N$2:$N$999,"&lt;=-5",$P$2:$P$999,"&gt;=4.1",$P$2:$P$999,"&lt;=5",$D$2:$D$999,"YES",$C$2:$C$999,"&gt;=0.01")</f>
        <v>#DIV/0!</v>
      </c>
      <c r="AQ23" s="6" t="e">
        <f>AVERAGEIFS($R$2:$R$999,$N$2:$N$999,"&gt;=-4.5",$N$2:$N$999,"&lt;=4.5",$P$2:$P$999,"&gt;=4.1",$P$2:$P$999,"&lt;=5",$D$2:$D$999,"YES",$C$2:$C$999,"&gt;=0.01")</f>
        <v>#DIV/0!</v>
      </c>
      <c r="AR23" s="6" t="e">
        <f>AVERAGEIFS($R$2:$R$999,$N$2:$N$999,"&gt;=5",$P$2:$P$999,"&gt;=4.1",$P$2:$P$999,"&lt;=5",$D$2:$D$999,"YES",$C$2:$C$999,"&gt;=0.01")</f>
        <v>#DIV/0!</v>
      </c>
      <c r="AT23" s="6" t="e">
        <f>AVERAGEIFS($R$2:$R$999,$P$2:$P$999,"&gt;=4.1",$P$2:$P$999,"&lt;=5",$D$2:$D$999,"YES",$F$2:$F$999,"UP",$C$2:$C$999,"&gt;=0.01")</f>
        <v>#DIV/0!</v>
      </c>
      <c r="AU23" s="6" t="e">
        <f>AVERAGEIFS($R$2:$R$999,$N$2:$N$999,"&lt;=-5",$P$2:$P$999,"&gt;=4.1",$P$2:$P$999,"&lt;=5",$D$2:$D$999,"YES",$F$2:$F$999,"UP",$C$2:$C$999,"&gt;=0.01")</f>
        <v>#DIV/0!</v>
      </c>
      <c r="AV23" s="6" t="e">
        <f>AVERAGEIFS($R$2:$R$999,$N$2:$N$999,"&gt;=-4.5",$N$2:$N$999,"&lt;=4.5",$P$2:$P$999,"&gt;=4.1",$P$2:$P$999,"&lt;=5",$D$2:$D$999,"YES",$F$2:$F$999,"UP",$C$2:$C$999,"&gt;=0.01")</f>
        <v>#DIV/0!</v>
      </c>
      <c r="AW23" s="6" t="e">
        <f>AVERAGEIFS($R$2:$R$999,$N$2:$N$999,"&gt;=5",$P$2:$P$999,"&gt;=4.1",$P$2:$P$999,"&lt;=5",$D$2:$D$999,"YES",$F$2:$F$999,"UP",$C$2:$C$999,"&gt;=0.01")</f>
        <v>#DIV/0!</v>
      </c>
      <c r="AY23" s="6" t="e">
        <f>AVERAGEIFS($R$2:$R$999,$P$2:$P$999,"&gt;=4.1",$P$2:$P$999,"&lt;=5",$C$2:$C$999,"&gt;=9.5",$C$2:$C$999,"&lt;=10.9")</f>
        <v>#DIV/0!</v>
      </c>
      <c r="AZ23" s="6" t="e">
        <f>AVERAGEIFS($R$2:$R$999,$N$2:$N$999,"&lt;=-5",$P$2:$P$999,"&gt;=4.1",$P$2:$P$999,"&lt;=5",$C$2:$C$999,"&gt;=9.5",$C$2:$C$999,"&lt;=10.9")</f>
        <v>#DIV/0!</v>
      </c>
      <c r="BA23" s="6" t="e">
        <f>AVERAGEIFS($R$2:$R$999,$N$2:$N$999,"&gt;=-4.5",$N$2:$N$999,"&lt;=4.5",$P$2:$P$999,"&gt;=4.1",$P$2:$P$999,"&lt;=5",$C$2:$C$999,"&gt;=9.5",$C$2:$C$999,"&lt;=10.9")</f>
        <v>#DIV/0!</v>
      </c>
      <c r="BB23" s="6" t="e">
        <f>AVERAGEIFS($R$2:$R$999,$N$2:$N$999,"&gt;=5",$P$2:$P$999,"&gt;=4.1",$P$2:$P$999,"&lt;=5",$C$2:$C$999,"&gt;=9.5",$C$2:$C$999,"&lt;=10.9")</f>
        <v>#DIV/0!</v>
      </c>
      <c r="BC23" s="3"/>
      <c r="BD23" s="4" t="e">
        <f>AVERAGEIFS($R$2:$R$999,$P$2:$P$999,"&gt;=4.1",$P$2:$P$999,"&lt;=5",$I$2:$I$999,"YES")</f>
        <v>#DIV/0!</v>
      </c>
      <c r="BE23" s="4" t="e">
        <f>AVERAGEIFS($R$2:$R$999,$N$2:$N$999,"&lt;=-5",$P$2:$P$999,"&gt;=4.1",$P$2:$P$999,"&lt;=5",$I$2:$I$999,"YES")</f>
        <v>#DIV/0!</v>
      </c>
      <c r="BF23" s="4" t="e">
        <f>AVERAGEIFS($R$2:$R$999,$N$2:$N$999,"&gt;=-4.5",$N$2:$N$999,"&lt;=4.5",$P$2:$P$999,"&gt;=4.1",$P$2:$P$999,"&lt;=5",$I$2:$I$999,"YES")</f>
        <v>#DIV/0!</v>
      </c>
      <c r="BG23" s="4" t="e">
        <f>AVERAGEIFS($R$2:$R$999,$N$2:$N$999,"&gt;=5",$P$2:$P$999,"&gt;=4.1",$P$2:$P$999,"&lt;=5",$I$2:$I$999,"YES")</f>
        <v>#DIV/0!</v>
      </c>
      <c r="BH23" s="8"/>
      <c r="BI23" s="9"/>
      <c r="BJ23" s="9"/>
      <c r="BK23" s="9"/>
      <c r="BL23" s="9"/>
      <c r="BQ23" s="1"/>
      <c r="BS23" s="1"/>
      <c r="BT23" s="1"/>
      <c r="BU23" s="1"/>
      <c r="BV23" s="1"/>
      <c r="BX23" s="1"/>
      <c r="BY23" s="1"/>
      <c r="BZ23" s="1"/>
      <c r="CA23" s="1"/>
      <c r="CC23" s="1"/>
      <c r="CD23" s="1"/>
      <c r="CE23" s="1"/>
      <c r="CF23" s="1"/>
      <c r="CH23" s="1"/>
      <c r="CI23" s="1"/>
      <c r="CJ23" s="1"/>
      <c r="CK23" s="1"/>
    </row>
    <row r="24" spans="1:89" x14ac:dyDescent="0.2">
      <c r="A24" s="8">
        <v>16</v>
      </c>
      <c r="B24" s="8" t="s">
        <v>18</v>
      </c>
      <c r="C24" s="8"/>
      <c r="D24" s="8"/>
      <c r="E24" s="8"/>
      <c r="F24" s="8"/>
      <c r="G24" s="8" t="s">
        <v>75</v>
      </c>
      <c r="H24" s="8"/>
      <c r="I24" s="8"/>
      <c r="J24" s="8"/>
      <c r="K24" s="8"/>
      <c r="L24" s="8"/>
      <c r="M24" s="8"/>
      <c r="N24" s="8"/>
      <c r="O24" s="8"/>
      <c r="P24" s="8"/>
      <c r="R24" s="9"/>
      <c r="U24" s="1"/>
      <c r="V24" s="1"/>
      <c r="W24" s="1"/>
      <c r="X24" s="1"/>
      <c r="Z24" s="9"/>
      <c r="AA24" s="9"/>
      <c r="AB24" s="9"/>
      <c r="AC24" s="9"/>
      <c r="AE24" s="9"/>
      <c r="AF24" s="9"/>
      <c r="AG24" s="9"/>
      <c r="AH24" s="9"/>
      <c r="AJ24" s="6"/>
      <c r="AK24" s="6"/>
      <c r="AL24" s="6"/>
      <c r="AM24" s="6"/>
      <c r="AO24" s="6"/>
      <c r="AP24" s="6"/>
      <c r="AQ24" s="6"/>
      <c r="AR24" s="6"/>
      <c r="AT24" s="6"/>
      <c r="AU24" s="6"/>
      <c r="AV24" s="6"/>
      <c r="AW24" s="6"/>
      <c r="AY24" s="6"/>
      <c r="AZ24" s="6"/>
      <c r="BA24" s="6"/>
      <c r="BB24" s="6"/>
      <c r="BC24" s="3"/>
      <c r="BD24" s="4"/>
      <c r="BE24" s="4"/>
      <c r="BF24" s="4"/>
      <c r="BG24" s="4"/>
      <c r="BH24" s="8"/>
      <c r="BI24" s="9"/>
      <c r="BJ24" s="9"/>
      <c r="BK24" s="9"/>
      <c r="BL24" s="9"/>
      <c r="BQ24" s="1"/>
      <c r="BS24" s="1"/>
      <c r="BT24" s="1"/>
      <c r="BU24" s="1"/>
      <c r="BV24" s="1"/>
      <c r="BX24" s="1"/>
      <c r="BY24" s="1"/>
      <c r="BZ24" s="1"/>
      <c r="CA24" s="1"/>
      <c r="CC24" s="1"/>
      <c r="CD24" s="1"/>
      <c r="CE24" s="1"/>
      <c r="CF24" s="1"/>
      <c r="CH24" s="1"/>
      <c r="CI24" s="1"/>
      <c r="CJ24" s="1"/>
      <c r="CK24" s="1"/>
    </row>
    <row r="25" spans="1:89" x14ac:dyDescent="0.2">
      <c r="A25" s="11">
        <v>16</v>
      </c>
      <c r="B25" s="11" t="s">
        <v>163</v>
      </c>
      <c r="C25" s="11"/>
      <c r="D25" s="11" t="s">
        <v>75</v>
      </c>
      <c r="E25" s="11" t="s">
        <v>75</v>
      </c>
      <c r="F25" s="11" t="s">
        <v>109</v>
      </c>
      <c r="G25" s="11" t="s">
        <v>75</v>
      </c>
      <c r="H25" s="11" t="s">
        <v>75</v>
      </c>
      <c r="I25" s="11"/>
      <c r="J25" s="11"/>
      <c r="K25" s="8"/>
      <c r="L25" s="8"/>
      <c r="M25" s="8"/>
      <c r="N25" s="8"/>
      <c r="O25" s="8"/>
      <c r="P25" s="8"/>
      <c r="R25" s="9"/>
      <c r="U25" s="1" t="s">
        <v>34</v>
      </c>
      <c r="V25" s="1" t="s">
        <v>31</v>
      </c>
      <c r="W25" s="1" t="s">
        <v>43</v>
      </c>
      <c r="X25" s="1" t="s">
        <v>30</v>
      </c>
      <c r="Z25" s="8" t="s">
        <v>37</v>
      </c>
      <c r="AA25" s="9" t="s">
        <v>31</v>
      </c>
      <c r="AB25" s="9" t="s">
        <v>43</v>
      </c>
      <c r="AC25" s="9" t="s">
        <v>30</v>
      </c>
      <c r="AE25" s="8" t="s">
        <v>37</v>
      </c>
      <c r="AF25" s="9" t="s">
        <v>31</v>
      </c>
      <c r="AG25" s="9" t="s">
        <v>43</v>
      </c>
      <c r="AH25" s="9" t="s">
        <v>30</v>
      </c>
      <c r="AJ25" s="6" t="s">
        <v>34</v>
      </c>
      <c r="AK25" s="6" t="s">
        <v>31</v>
      </c>
      <c r="AL25" s="6" t="s">
        <v>43</v>
      </c>
      <c r="AM25" s="6" t="s">
        <v>30</v>
      </c>
      <c r="AO25" s="5" t="s">
        <v>37</v>
      </c>
      <c r="AP25" s="6" t="s">
        <v>31</v>
      </c>
      <c r="AQ25" s="6" t="s">
        <v>43</v>
      </c>
      <c r="AR25" s="6" t="s">
        <v>30</v>
      </c>
      <c r="AT25" s="5" t="s">
        <v>37</v>
      </c>
      <c r="AU25" s="6" t="s">
        <v>31</v>
      </c>
      <c r="AV25" s="6" t="s">
        <v>43</v>
      </c>
      <c r="AW25" s="6" t="s">
        <v>30</v>
      </c>
      <c r="AY25" s="5" t="s">
        <v>37</v>
      </c>
      <c r="AZ25" s="6" t="s">
        <v>31</v>
      </c>
      <c r="BA25" s="6" t="s">
        <v>43</v>
      </c>
      <c r="BB25" s="6" t="s">
        <v>30</v>
      </c>
      <c r="BC25" s="3"/>
      <c r="BD25" s="3" t="s">
        <v>37</v>
      </c>
      <c r="BE25" s="4" t="s">
        <v>31</v>
      </c>
      <c r="BF25" s="4" t="s">
        <v>43</v>
      </c>
      <c r="BG25" s="4" t="s">
        <v>30</v>
      </c>
      <c r="BH25" s="8"/>
      <c r="BI25" s="8"/>
      <c r="BJ25" s="9"/>
      <c r="BK25" s="9"/>
      <c r="BL25" s="9"/>
      <c r="BQ25" s="1"/>
      <c r="BS25" s="1"/>
      <c r="BT25" s="1"/>
      <c r="BU25" s="1"/>
      <c r="BV25" s="1"/>
      <c r="BX25" s="1"/>
      <c r="BY25" s="1"/>
      <c r="BZ25" s="1"/>
      <c r="CA25" s="1"/>
      <c r="CC25" s="1"/>
      <c r="CD25" s="1"/>
      <c r="CE25" s="1"/>
      <c r="CF25" s="1"/>
      <c r="CH25" s="1"/>
      <c r="CI25" s="1"/>
      <c r="CJ25" s="1"/>
      <c r="CK25" s="1"/>
    </row>
    <row r="26" spans="1:89" x14ac:dyDescent="0.2">
      <c r="A26" s="11">
        <v>16</v>
      </c>
      <c r="B26" s="11" t="s">
        <v>103</v>
      </c>
      <c r="C26" s="11"/>
      <c r="D26" s="11" t="s">
        <v>75</v>
      </c>
      <c r="E26" s="11" t="s">
        <v>75</v>
      </c>
      <c r="F26" s="11" t="s">
        <v>109</v>
      </c>
      <c r="G26" s="11" t="s">
        <v>75</v>
      </c>
      <c r="H26" s="11" t="s">
        <v>75</v>
      </c>
      <c r="I26" s="11"/>
      <c r="J26" s="11"/>
      <c r="K26" s="8"/>
      <c r="L26" s="8"/>
      <c r="M26" s="8"/>
      <c r="N26" s="8"/>
      <c r="O26" s="8"/>
      <c r="P26" s="8"/>
      <c r="R26" s="9"/>
      <c r="U26" s="1" t="e">
        <f>AVERAGEIFS($Q$2:$Q$999,$P$2:$P$999,"&gt;=5.1",$P$2:$P$999,"&lt;=6.2")</f>
        <v>#DIV/0!</v>
      </c>
      <c r="V26" s="1" t="e">
        <f>AVERAGEIFS($Q$2:$Q$999,$N$2:$N$999,"&lt;=-5",$P$2:$P$999,"&gt;=5.1",$P$2:$P$999,"&lt;=6.2")</f>
        <v>#DIV/0!</v>
      </c>
      <c r="W26" s="1" t="e">
        <f>AVERAGEIFS($Q$2:$Q$999,$N$2:$N$999,"&gt;=-4.5",$N$2:$N$999,"&lt;=4.5",$P$2:$P$999,"&gt;=5.1",$P$2:$P$999,"&lt;=6.2")</f>
        <v>#DIV/0!</v>
      </c>
      <c r="X26" s="1" t="e">
        <f>AVERAGEIFS($Q$2:$Q$999,$N$2:$N$999,"&gt;=5",$P$2:$P$999,"&gt;=5.1",$P$2:$P$999,"&lt;=6.2")</f>
        <v>#DIV/0!</v>
      </c>
      <c r="Z26" s="9" t="e">
        <f>AVERAGEIFS($R$2:$R$999,$P$2:$P$999,"&gt;=5.1",$P$2:$P$999,"&lt;=6.2",$D$2:$D$999,"YES")</f>
        <v>#DIV/0!</v>
      </c>
      <c r="AA26" s="9" t="e">
        <f>AVERAGEIFS($R$2:$R$999,$N$2:$N$999,"&lt;=-5",$P$2:$P$999,"&gt;=5.1",$P$2:$P$999,"&lt;=6.2",$D$2:$D$999,"YES")</f>
        <v>#DIV/0!</v>
      </c>
      <c r="AB26" s="9" t="e">
        <f>AVERAGEIFS($R$2:$R$999,$N$2:$N$999,"&gt;=-4.5",$N$2:$N$999,"&lt;=4.5",$P$2:$P$999,"&gt;=5.1",$P$2:$P$999,"&lt;=6.2",$D$2:$D$999,"YES")</f>
        <v>#DIV/0!</v>
      </c>
      <c r="AC26" s="9" t="e">
        <f>AVERAGEIFS($R$2:$R$999,$N$2:$N$999,"&gt;=5",$P$2:$P$999,"&gt;=5.1",$P$2:$P$999,"&lt;=6.2",$D$2:$D$999,"YES")</f>
        <v>#DIV/0!</v>
      </c>
      <c r="AE26" s="9" t="e">
        <f>AVERAGEIFS($R$2:$R$999,$P$2:$P$999,"&gt;=5.1",$P$2:$P$999,"&lt;=6.2",$D$2:$D$999,"YES",$F$2:$F$999,"UP")</f>
        <v>#DIV/0!</v>
      </c>
      <c r="AF26" s="9" t="e">
        <f>AVERAGEIFS($R$2:$R$999,$N$2:$N$999,"&lt;=-5",$P$2:$P$999,"&gt;=5.1",$P$2:$P$999,"&lt;=6.2",$D$2:$D$999,"YES",$F$2:$F$999,"UP")</f>
        <v>#DIV/0!</v>
      </c>
      <c r="AG26" s="9" t="e">
        <f>AVERAGEIFS($R$2:$R$999,$N$2:$N$999,"&gt;=-4.5",$N$2:$N$999,"&lt;=4.5",$P$2:$P$999,"&gt;=5.1",$P$2:$P$999,"&lt;=6.2",$D$2:$D$999,"YES",$F$2:$F$999,"UP")</f>
        <v>#DIV/0!</v>
      </c>
      <c r="AH26" s="9" t="e">
        <f>AVERAGEIFS($R$2:$R$999,$N$2:$N$999,"&gt;=5",$P$2:$P$999,"&gt;=5.1",$P$2:$P$999,"&lt;=6.2",$D$2:$D$999,"YES",$F$2:$F$999,"UP")</f>
        <v>#DIV/0!</v>
      </c>
      <c r="AJ26" s="6" t="e">
        <f>AVERAGEIFS($Q$2:$Q$999,$P$2:$P$999,"&gt;=5.1",$P$2:$P$999,"&lt;=6.2",$C$2:$C$999,"&gt;=0.01")</f>
        <v>#DIV/0!</v>
      </c>
      <c r="AK26" s="6" t="e">
        <f>AVERAGEIFS($Q$2:$Q$999,$N$2:$N$999,"&lt;=-5",$P$2:$P$999,"&gt;=5.1",$P$2:$P$999,"&lt;=6.2",$C$2:$C$999,"&gt;=0.01")</f>
        <v>#DIV/0!</v>
      </c>
      <c r="AL26" s="6" t="e">
        <f>AVERAGEIFS($Q$2:$Q$999,$N$2:$N$999,"&gt;=-4.5",$N$2:$N$999,"&lt;=4.5",$P$2:$P$999,"&gt;=5.1",$P$2:$P$999,"&lt;=6.2",$C$2:$C$999,"&gt;=0.01")</f>
        <v>#DIV/0!</v>
      </c>
      <c r="AM26" s="6" t="e">
        <f>AVERAGEIFS($Q$2:$Q$999,$N$2:$N$999,"&gt;=5",$P$2:$P$999,"&gt;=5.1",$P$2:$P$999,"&lt;=6.2",$C$2:$C$999,"&gt;=0.01")</f>
        <v>#DIV/0!</v>
      </c>
      <c r="AO26" s="6" t="e">
        <f>AVERAGEIFS($R$2:$R$999,$P$2:$P$999,"&gt;=5.1",$P$2:$P$999,"&lt;=6.2",$D$2:$D$999,"YES",$C$2:$C$999,"&gt;=0.01")</f>
        <v>#DIV/0!</v>
      </c>
      <c r="AP26" s="6" t="e">
        <f>AVERAGEIFS($R$2:$R$999,$N$2:$N$999,"&lt;=-5",$P$2:$P$999,"&gt;=5.1",$P$2:$P$999,"&lt;=6.2",$D$2:$D$999,"YES",$C$2:$C$999,"&gt;=0.01")</f>
        <v>#DIV/0!</v>
      </c>
      <c r="AQ26" s="6" t="e">
        <f>AVERAGEIFS($R$2:$R$999,$N$2:$N$999,"&gt;=-4.5",$N$2:$N$999,"&lt;=4.5",$P$2:$P$999,"&gt;=5.1",$P$2:$P$999,"&lt;=6.2",$D$2:$D$999,"YES",$C$2:$C$999,"&gt;=0.01")</f>
        <v>#DIV/0!</v>
      </c>
      <c r="AR26" s="6" t="e">
        <f>AVERAGEIFS($R$2:$R$999,$N$2:$N$999,"&gt;=5",$P$2:$P$999,"&gt;=5.1",$P$2:$P$999,"&lt;=6.2",$D$2:$D$999,"YES",$C$2:$C$999,"&gt;=0.01")</f>
        <v>#DIV/0!</v>
      </c>
      <c r="AT26" s="6" t="e">
        <f>AVERAGEIFS($R$2:$R$999,$P$2:$P$999,"&gt;=5.1",$P$2:$P$999,"&lt;=6.2",$D$2:$D$999,"YES",$F$2:$F$999,"UP",$C$2:$C$999,"&gt;=0.01")</f>
        <v>#DIV/0!</v>
      </c>
      <c r="AU26" s="6" t="e">
        <f>AVERAGEIFS($R$2:$R$999,$N$2:$N$999,"&lt;=-5",$P$2:$P$999,"&gt;=5.1",$P$2:$P$999,"&lt;=6.2",$D$2:$D$999,"YES",$F$2:$F$999,"UP",$C$2:$C$999,"&gt;=0.01")</f>
        <v>#DIV/0!</v>
      </c>
      <c r="AV26" s="6" t="e">
        <f>AVERAGEIFS($R$2:$R$999,$N$2:$N$999,"&gt;=-4.5",$N$2:$N$999,"&lt;=4.5",$P$2:$P$999,"&gt;=5.1",$P$2:$P$999,"&lt;=6.2",$D$2:$D$999,"YES",$F$2:$F$999,"UP",$C$2:$C$999,"&gt;=0.01")</f>
        <v>#DIV/0!</v>
      </c>
      <c r="AW26" s="6" t="e">
        <f>AVERAGEIFS($R$2:$R$999,$N$2:$N$999,"&gt;=5",$P$2:$P$999,"&gt;=5.1",$P$2:$P$999,"&lt;=6.2",$D$2:$D$999,"YES",$F$2:$F$999,"UP",$C$2:$C$999,"&gt;=0.01")</f>
        <v>#DIV/0!</v>
      </c>
      <c r="AY26" s="6" t="e">
        <f>AVERAGEIFS($R$2:$R$999,$P$2:$P$999,"&gt;=5.1",$P$2:$P$999,"&lt;=6.2",$C$2:$C$999,"&gt;=9.5",$C$2:$C$999,"&lt;=10.9")</f>
        <v>#DIV/0!</v>
      </c>
      <c r="AZ26" s="6" t="e">
        <f>AVERAGEIFS($R$2:$R$999,$N$2:$N$999,"&lt;=-5",$P$2:$P$999,"&gt;=5.1",$P$2:$P$999,"&lt;=6.2",$C$2:$C$999,"&gt;=9.5",$C$2:$C$999,"&lt;=10.9")</f>
        <v>#DIV/0!</v>
      </c>
      <c r="BA26" s="6" t="e">
        <f>AVERAGEIFS($R$2:$R$999,$N$2:$N$999,"&gt;=-4.5",$N$2:$N$999,"&lt;=4.5",$P$2:$P$999,"&gt;=5.1",$P$2:$P$999,"&lt;=6.2",$C$2:$C$999,"&gt;=9.5",$C$2:$C$999,"&lt;=10.9")</f>
        <v>#DIV/0!</v>
      </c>
      <c r="BB26" s="6" t="e">
        <f>AVERAGEIFS($R$2:$R$999,$N$2:$N$999,"&gt;=5",$P$2:$P$999,"&gt;=5.1",$P$2:$P$999,"&lt;=6.2",$C$2:$C$999,"&gt;=9.5",$C$2:$C$999,"&lt;=10.9")</f>
        <v>#DIV/0!</v>
      </c>
      <c r="BC26" s="3"/>
      <c r="BD26" s="4" t="e">
        <f>AVERAGEIFS($R$2:$R$999,$P$2:$P$999,"&gt;=5.1",$P$2:$P$999,"&lt;=6.2",$I$2:$I$999,"YES")</f>
        <v>#DIV/0!</v>
      </c>
      <c r="BE26" s="4" t="e">
        <f>AVERAGEIFS($R$2:$R$999,$N$2:$N$999,"&lt;=-5",$P$2:$P$999,"&gt;=5.1",$P$2:$P$999,"&lt;=6.2",$I$2:$I$999,"YES")</f>
        <v>#DIV/0!</v>
      </c>
      <c r="BF26" s="4" t="e">
        <f>AVERAGEIFS($R$2:$R$999,$N$2:$N$999,"&gt;=-4.5",$N$2:$N$999,"&lt;=4.5",$P$2:$P$999,"&gt;=5.1",$P$2:$P$999,"&lt;=6.2",$I$2:$I$999,"YES")</f>
        <v>#DIV/0!</v>
      </c>
      <c r="BG26" s="4" t="e">
        <f>AVERAGEIFS($R$2:$R$999,$N$2:$N$999,"&gt;=5",$P$2:$P$999,"&gt;=5.1",$P$2:$P$999,"&lt;=6.2",$I$2:$I$999,"YES")</f>
        <v>#DIV/0!</v>
      </c>
      <c r="BH26" s="8"/>
      <c r="BI26" s="9"/>
      <c r="BJ26" s="9"/>
      <c r="BK26" s="9"/>
      <c r="BL26" s="9"/>
      <c r="BQ26" s="1"/>
      <c r="BS26" s="1"/>
      <c r="BT26" s="1"/>
      <c r="BU26" s="1"/>
      <c r="BV26" s="1"/>
      <c r="BX26" s="1"/>
      <c r="BY26" s="1"/>
      <c r="BZ26" s="1"/>
      <c r="CA26" s="1"/>
      <c r="CC26" s="1"/>
      <c r="CD26" s="1"/>
      <c r="CE26" s="1"/>
      <c r="CF26" s="1"/>
      <c r="CH26" s="1"/>
      <c r="CI26" s="1"/>
      <c r="CJ26" s="1"/>
      <c r="CK26" s="1"/>
    </row>
    <row r="27" spans="1:89" x14ac:dyDescent="0.2">
      <c r="A27" s="11">
        <v>16</v>
      </c>
      <c r="B27" s="11" t="s">
        <v>164</v>
      </c>
      <c r="C27" s="11"/>
      <c r="D27" s="11" t="s">
        <v>75</v>
      </c>
      <c r="E27" s="11" t="s">
        <v>75</v>
      </c>
      <c r="F27" s="11" t="s">
        <v>109</v>
      </c>
      <c r="G27" s="11" t="s">
        <v>75</v>
      </c>
      <c r="H27" s="11" t="s">
        <v>75</v>
      </c>
      <c r="I27" s="11"/>
      <c r="J27" s="11"/>
      <c r="K27" s="8"/>
      <c r="L27" s="8"/>
      <c r="M27" s="8"/>
      <c r="N27" s="8"/>
      <c r="O27" s="8"/>
      <c r="P27" s="8"/>
      <c r="R27" s="9"/>
      <c r="U27" s="1"/>
      <c r="V27" s="1"/>
      <c r="W27" s="1"/>
      <c r="X27" s="1"/>
      <c r="Z27" s="9"/>
      <c r="AA27" s="9"/>
      <c r="AB27" s="9"/>
      <c r="AC27" s="9"/>
      <c r="AE27" s="9"/>
      <c r="AF27" s="9"/>
      <c r="AG27" s="9"/>
      <c r="AH27" s="9"/>
      <c r="AJ27" s="6"/>
      <c r="AK27" s="6"/>
      <c r="AL27" s="6"/>
      <c r="AM27" s="6"/>
      <c r="AO27" s="6"/>
      <c r="AP27" s="6"/>
      <c r="AQ27" s="6"/>
      <c r="AR27" s="6"/>
      <c r="AT27" s="6"/>
      <c r="AU27" s="6"/>
      <c r="AV27" s="6"/>
      <c r="AW27" s="6"/>
      <c r="AY27" s="6"/>
      <c r="AZ27" s="6"/>
      <c r="BA27" s="6"/>
      <c r="BB27" s="6"/>
      <c r="BC27" s="3"/>
      <c r="BD27" s="4"/>
      <c r="BE27" s="4"/>
      <c r="BF27" s="4"/>
      <c r="BG27" s="4"/>
      <c r="BH27" s="8"/>
      <c r="BI27" s="9"/>
      <c r="BJ27" s="9"/>
      <c r="BK27" s="9"/>
      <c r="BL27" s="9"/>
      <c r="BQ27" s="1"/>
      <c r="BS27" s="1"/>
      <c r="BT27" s="1"/>
      <c r="BU27" s="1"/>
      <c r="BV27" s="1"/>
      <c r="BX27" s="1"/>
      <c r="BY27" s="1"/>
      <c r="BZ27" s="1"/>
      <c r="CA27" s="1"/>
      <c r="CC27" s="1"/>
      <c r="CD27" s="1"/>
      <c r="CE27" s="1"/>
      <c r="CF27" s="1"/>
      <c r="CH27" s="1"/>
      <c r="CI27" s="1"/>
      <c r="CJ27" s="1"/>
      <c r="CK27" s="1"/>
    </row>
    <row r="28" spans="1:89" x14ac:dyDescent="0.2">
      <c r="A28" s="8">
        <v>16</v>
      </c>
      <c r="B28" s="8" t="s">
        <v>51</v>
      </c>
      <c r="C28" s="8"/>
      <c r="D28" s="8"/>
      <c r="E28" s="8"/>
      <c r="F28" s="8"/>
      <c r="G28" s="8" t="s">
        <v>75</v>
      </c>
      <c r="H28" s="8"/>
      <c r="I28" s="8"/>
      <c r="J28" s="8"/>
      <c r="K28" s="8"/>
      <c r="L28" s="8"/>
      <c r="M28" s="8"/>
      <c r="N28" s="8"/>
      <c r="O28" s="8"/>
      <c r="P28" s="8"/>
      <c r="R28" s="9"/>
      <c r="U28" s="1" t="s">
        <v>35</v>
      </c>
      <c r="V28" s="1" t="s">
        <v>31</v>
      </c>
      <c r="W28" s="1" t="s">
        <v>43</v>
      </c>
      <c r="X28" s="1" t="s">
        <v>30</v>
      </c>
      <c r="Z28" s="8" t="s">
        <v>35</v>
      </c>
      <c r="AA28" s="9" t="s">
        <v>31</v>
      </c>
      <c r="AB28" s="9" t="s">
        <v>43</v>
      </c>
      <c r="AC28" s="9" t="s">
        <v>30</v>
      </c>
      <c r="AE28" s="8" t="s">
        <v>35</v>
      </c>
      <c r="AF28" s="9" t="s">
        <v>31</v>
      </c>
      <c r="AG28" s="9" t="s">
        <v>43</v>
      </c>
      <c r="AH28" s="9" t="s">
        <v>30</v>
      </c>
      <c r="AJ28" s="6" t="s">
        <v>35</v>
      </c>
      <c r="AK28" s="6" t="s">
        <v>31</v>
      </c>
      <c r="AL28" s="6" t="s">
        <v>43</v>
      </c>
      <c r="AM28" s="6" t="s">
        <v>30</v>
      </c>
      <c r="AO28" s="5" t="s">
        <v>35</v>
      </c>
      <c r="AP28" s="6" t="s">
        <v>31</v>
      </c>
      <c r="AQ28" s="6" t="s">
        <v>43</v>
      </c>
      <c r="AR28" s="6" t="s">
        <v>30</v>
      </c>
      <c r="AT28" s="5" t="s">
        <v>35</v>
      </c>
      <c r="AU28" s="6" t="s">
        <v>31</v>
      </c>
      <c r="AV28" s="6" t="s">
        <v>43</v>
      </c>
      <c r="AW28" s="6" t="s">
        <v>30</v>
      </c>
      <c r="AY28" s="5" t="s">
        <v>35</v>
      </c>
      <c r="AZ28" s="6" t="s">
        <v>31</v>
      </c>
      <c r="BA28" s="6" t="s">
        <v>43</v>
      </c>
      <c r="BB28" s="6" t="s">
        <v>30</v>
      </c>
      <c r="BC28" s="3"/>
      <c r="BD28" s="3" t="s">
        <v>35</v>
      </c>
      <c r="BE28" s="4" t="s">
        <v>31</v>
      </c>
      <c r="BF28" s="4" t="s">
        <v>43</v>
      </c>
      <c r="BG28" s="4" t="s">
        <v>30</v>
      </c>
      <c r="BH28" s="8"/>
      <c r="BI28" s="8"/>
      <c r="BJ28" s="9"/>
      <c r="BK28" s="9"/>
      <c r="BL28" s="9"/>
      <c r="BQ28" s="1"/>
      <c r="BS28" s="1"/>
      <c r="BT28" s="1"/>
      <c r="BU28" s="1"/>
      <c r="BV28" s="1"/>
      <c r="BX28" s="1"/>
      <c r="BY28" s="1"/>
      <c r="BZ28" s="1"/>
      <c r="CA28" s="1"/>
      <c r="CC28" s="1"/>
      <c r="CD28" s="1"/>
      <c r="CE28" s="1"/>
      <c r="CF28" s="1"/>
      <c r="CH28" s="1"/>
      <c r="CI28" s="1"/>
      <c r="CJ28" s="1"/>
      <c r="CK28" s="1"/>
    </row>
    <row r="29" spans="1:89" x14ac:dyDescent="0.2">
      <c r="A29" s="8">
        <v>16</v>
      </c>
      <c r="B29" s="8" t="s">
        <v>52</v>
      </c>
      <c r="C29" s="8"/>
      <c r="D29" s="8"/>
      <c r="E29" s="8"/>
      <c r="F29" s="8"/>
      <c r="G29" s="8" t="s">
        <v>75</v>
      </c>
      <c r="H29" s="8"/>
      <c r="I29" s="8"/>
      <c r="J29" s="8"/>
      <c r="K29" s="8"/>
      <c r="L29" s="8"/>
      <c r="M29" s="8"/>
      <c r="N29" s="8"/>
      <c r="O29" s="8"/>
      <c r="P29" s="8"/>
      <c r="R29" s="9"/>
      <c r="U29" s="1" t="e">
        <f>AVERAGEIFS($Q$2:$Q$999,$P$2:$P$999,"&gt;=6.3")</f>
        <v>#DIV/0!</v>
      </c>
      <c r="V29" s="1" t="e">
        <f>AVERAGEIFS($Q$2:$Q$999,$N$2:$N$999,"&lt;=-5",$P$2:$P$999,"&gt;=6.3")</f>
        <v>#DIV/0!</v>
      </c>
      <c r="W29" s="1" t="e">
        <f>AVERAGEIFS($Q$2:$Q$999,$N$2:$N$999,"&gt;=-4.5",$N$2:$N$999,"&lt;=4.5",$P$2:$P$999,"&gt;=6.3")</f>
        <v>#DIV/0!</v>
      </c>
      <c r="X29" s="1" t="e">
        <f>AVERAGEIFS($Q$2:$Q$999,$N$2:$N$999,"&gt;=5",$P$2:$P$999,"&gt;=6.3")</f>
        <v>#DIV/0!</v>
      </c>
      <c r="Z29" s="9" t="e">
        <f>AVERAGEIFS($R$2:$R$999,$P$2:$P$999,"&gt;=6.3",$D$2:$D$999,"YES")</f>
        <v>#DIV/0!</v>
      </c>
      <c r="AA29" s="9" t="e">
        <f>AVERAGEIFS($R$2:$R$999,$N$2:$N$999,"&lt;=-5",$P$2:$P$999,"&gt;=6.3",$D$2:$D$999,"YES")</f>
        <v>#DIV/0!</v>
      </c>
      <c r="AB29" s="9" t="e">
        <f>AVERAGEIFS($R$2:$R$999,$N$2:$N$999,"&gt;=-4.5",$N$2:$N$999,"&lt;=4.5",$P$2:$P$999,"&gt;=6.3",$D$2:$D$999,"YES")</f>
        <v>#DIV/0!</v>
      </c>
      <c r="AC29" s="9" t="e">
        <f>AVERAGEIFS($R$2:$R$999,$N$2:$N$999,"&gt;=5",$P$2:$P$999,"&gt;=6.3",$D$2:$D$999,"YES")</f>
        <v>#DIV/0!</v>
      </c>
      <c r="AE29" s="9" t="e">
        <f>AVERAGEIFS($R$2:$R$999,$P$2:$P$999,"&gt;=6.3",$D$2:$D$999,"YES",$F$2:$F$999,"UP")</f>
        <v>#DIV/0!</v>
      </c>
      <c r="AF29" s="9" t="e">
        <f>AVERAGEIFS($R$2:$R$999,$N$2:$N$999,"&lt;=-5",$P$2:$P$999,"&gt;=6.3",$D$2:$D$999,"YES",$F$2:$F$999,"UP")</f>
        <v>#DIV/0!</v>
      </c>
      <c r="AG29" s="9" t="e">
        <f>AVERAGEIFS($R$2:$R$999,$N$2:$N$999,"&gt;=-4.5",$N$2:$N$999,"&lt;=4.5",$P$2:$P$999,"&gt;=6.3",$D$2:$D$999,"YES",$F$2:$F$999,"UP")</f>
        <v>#DIV/0!</v>
      </c>
      <c r="AH29" s="9" t="e">
        <f>AVERAGEIFS($R$2:$R$999,$N$2:$N$999,"&gt;=5",$P$2:$P$999,"&gt;=6.3",$D$2:$D$999,"YES",$F$2:$F$999,"UP")</f>
        <v>#DIV/0!</v>
      </c>
      <c r="AJ29" s="6" t="e">
        <f>AVERAGEIFS($Q$2:$Q$999,$P$2:$P$999,"&gt;=6.3",$C$2:$C$999,"&gt;=0.01")</f>
        <v>#DIV/0!</v>
      </c>
      <c r="AK29" s="6" t="e">
        <f>AVERAGEIFS($Q$2:$Q$999,$N$2:$N$999,"&lt;=-5",$P$2:$P$999,"&gt;=6.3",$C$2:$C$999,"&gt;=0.01")</f>
        <v>#DIV/0!</v>
      </c>
      <c r="AL29" s="6" t="e">
        <f>AVERAGEIFS($Q$2:$Q$999,$N$2:$N$999,"&gt;=-4.5",$N$2:$N$999,"&lt;=4.5",$P$2:$P$999,"&gt;=6.3",$C$2:$C$999,"&gt;=0.01")</f>
        <v>#DIV/0!</v>
      </c>
      <c r="AM29" s="6" t="e">
        <f>AVERAGEIFS($Q$2:$Q$999,$N$2:$N$999,"&gt;=5",$P$2:$P$999,"&gt;=6.3",$C$2:$C$999,"&gt;=0.01")</f>
        <v>#DIV/0!</v>
      </c>
      <c r="AO29" s="6" t="e">
        <f>AVERAGEIFS($R$2:$R$999,$P$2:$P$999,"&gt;=6.3",$D$2:$D$999,"YES",$C$2:$C$999,"&gt;=0.01")</f>
        <v>#DIV/0!</v>
      </c>
      <c r="AP29" s="6" t="e">
        <f>AVERAGEIFS($R$2:$R$999,$N$2:$N$999,"&lt;=-5",$P$2:$P$999,"&gt;=6.3",$D$2:$D$999,"YES",$C$2:$C$999,"&gt;=0.01")</f>
        <v>#DIV/0!</v>
      </c>
      <c r="AQ29" s="6" t="e">
        <f>AVERAGEIFS($R$2:$R$999,$N$2:$N$999,"&gt;=-4.5",$N$2:$N$999,"&lt;=4.5",$P$2:$P$999,"&gt;=6.3",$D$2:$D$999,"YES",$C$2:$C$999,"&gt;=0.01")</f>
        <v>#DIV/0!</v>
      </c>
      <c r="AR29" s="6" t="e">
        <f>AVERAGEIFS($R$2:$R$999,$N$2:$N$999,"&gt;=5",$P$2:$P$999,"&gt;=6.3",$D$2:$D$999,"YES",$C$2:$C$999,"&gt;=0.01")</f>
        <v>#DIV/0!</v>
      </c>
      <c r="AT29" s="6" t="e">
        <f>AVERAGEIFS($R$2:$R$999,$P$2:$P$999,"&gt;=6.3",$D$2:$D$999,"YES",$F$2:$F$999,"UP",$C$2:$C$999,"&gt;=0.01")</f>
        <v>#DIV/0!</v>
      </c>
      <c r="AU29" s="6" t="e">
        <f>AVERAGEIFS($R$2:$R$999,$N$2:$N$999,"&lt;=-5",$P$2:$P$999,"&gt;=6.3",$D$2:$D$999,"YES",$F$2:$F$999,"UP",$C$2:$C$999,"&gt;=0.01")</f>
        <v>#DIV/0!</v>
      </c>
      <c r="AV29" s="6" t="e">
        <f>AVERAGEIFS($R$2:$R$999,$N$2:$N$999,"&gt;=-4.5",$N$2:$N$999,"&lt;=4.5",$P$2:$P$999,"&gt;=6.3",$D$2:$D$999,"YES",$F$2:$F$999,"UP",$C$2:$C$999,"&gt;=0.01")</f>
        <v>#DIV/0!</v>
      </c>
      <c r="AW29" s="6" t="e">
        <f>AVERAGEIFS($R$2:$R$999,$N$2:$N$999,"&gt;=5",$P$2:$P$999,"&gt;=6.3",$D$2:$D$999,"YES",$F$2:$F$999,"UP",$C$2:$C$999,"&gt;=0.01")</f>
        <v>#DIV/0!</v>
      </c>
      <c r="AY29" s="6" t="e">
        <f>AVERAGEIFS($R$2:$R$999,$P$2:$P$999,"&gt;=6.3",$C$2:$C$999,"&gt;=9.5",$C$2:$C$999,"&lt;=10.9")</f>
        <v>#DIV/0!</v>
      </c>
      <c r="AZ29" s="6" t="e">
        <f>AVERAGEIFS($R$2:$R$999,$N$2:$N$999,"&lt;=-5",$P$2:$P$999,"&gt;=6.3",$C$2:$C$999,"&gt;=9.5",$C$2:$C$999,"&lt;=10.9")</f>
        <v>#DIV/0!</v>
      </c>
      <c r="BA29" s="6" t="e">
        <f>AVERAGEIFS($R$2:$R$999,$N$2:$N$999,"&gt;=-4.5",$N$2:$N$999,"&lt;=4.5",$P$2:$P$999,"&gt;=6.3",$C$2:$C$999,"&gt;=9.5",$C$2:$C$999,"&lt;=10.9")</f>
        <v>#DIV/0!</v>
      </c>
      <c r="BB29" s="6" t="e">
        <f>AVERAGEIFS($R$2:$R$999,$N$2:$N$999,"&gt;=5",$P$2:$P$999,"&gt;=6.3",$C$2:$C$999,"&gt;=9.5",$C$2:$C$999,"&lt;=10.9")</f>
        <v>#DIV/0!</v>
      </c>
      <c r="BC29" s="3"/>
      <c r="BD29" s="4" t="e">
        <f>AVERAGEIFS($R$2:$R$999,$P$2:$P$999,"&gt;=6.3",$I$2:$I$999,"YES")</f>
        <v>#DIV/0!</v>
      </c>
      <c r="BE29" s="4" t="e">
        <f>AVERAGEIFS($R$2:$R$999,$N$2:$N$999,"&lt;=-5",$I$2:$I$999,"YES")</f>
        <v>#DIV/0!</v>
      </c>
      <c r="BF29" s="4" t="e">
        <f>AVERAGEIFS($R$2:$R$999,$N$2:$N$999,"&gt;=-4.5",$N$2:$N$999,"&lt;=4.5",$P$2:$P$999,"&gt;=6.3",$I$2:$I$999,"YES")</f>
        <v>#DIV/0!</v>
      </c>
      <c r="BG29" s="4" t="e">
        <f>AVERAGEIFS($R$2:$R$999,$N$2:$N$999,"&gt;=5",$P$2:$P$999,"&gt;=6.3",$I$2:$I$999,"YES")</f>
        <v>#DIV/0!</v>
      </c>
      <c r="BH29" s="8"/>
      <c r="BI29" s="9"/>
      <c r="BJ29" s="9"/>
      <c r="BK29" s="9"/>
      <c r="BL29" s="9"/>
      <c r="BQ29" s="1"/>
      <c r="BS29" s="1"/>
      <c r="BT29" s="1"/>
      <c r="BU29" s="1"/>
      <c r="BV29" s="1"/>
      <c r="BX29" s="1"/>
      <c r="BY29" s="1"/>
      <c r="BZ29" s="1"/>
      <c r="CA29" s="1"/>
      <c r="CC29" s="1"/>
      <c r="CD29" s="1"/>
      <c r="CE29" s="1"/>
      <c r="CF29" s="1"/>
      <c r="CH29" s="1"/>
      <c r="CI29" s="1"/>
      <c r="CJ29" s="1"/>
      <c r="CK29" s="1"/>
    </row>
    <row r="30" spans="1:89" x14ac:dyDescent="0.2">
      <c r="A30" s="8">
        <v>16</v>
      </c>
      <c r="B30" s="8" t="s">
        <v>158</v>
      </c>
      <c r="C30" s="8"/>
      <c r="D30" s="8"/>
      <c r="E30" s="8"/>
      <c r="F30" s="8"/>
      <c r="G30" s="8" t="s">
        <v>75</v>
      </c>
      <c r="H30" s="8"/>
      <c r="I30" s="8"/>
      <c r="J30" s="8"/>
      <c r="K30" s="8"/>
      <c r="L30" s="8"/>
      <c r="M30" s="8"/>
      <c r="N30" s="8"/>
      <c r="O30" s="8"/>
      <c r="P30" s="8"/>
      <c r="R30" s="9"/>
      <c r="U30" s="1"/>
      <c r="V30" s="1"/>
      <c r="W30" s="1"/>
      <c r="X30" s="1"/>
      <c r="AD30" s="9"/>
      <c r="AF30" s="9"/>
      <c r="AG30" s="9"/>
      <c r="AH30" s="9"/>
      <c r="AJ30" s="6"/>
      <c r="AK30" s="6"/>
      <c r="AL30" s="6"/>
      <c r="AM30" s="6"/>
      <c r="AS30" s="6"/>
      <c r="AU30" s="6"/>
      <c r="AV30" s="6"/>
      <c r="AW30" s="6"/>
      <c r="AY30" s="6"/>
      <c r="AZ30" s="6"/>
      <c r="BA30" s="6"/>
      <c r="BB30" s="6"/>
      <c r="BC30" s="3"/>
      <c r="BD30" s="3"/>
      <c r="BE30" s="3"/>
      <c r="BF30" s="3"/>
      <c r="BG30" s="3"/>
      <c r="BH30" s="8"/>
      <c r="BI30" s="8"/>
      <c r="BJ30" s="8"/>
      <c r="BK30" s="8"/>
      <c r="BL30" s="8"/>
      <c r="BQ30" s="1"/>
      <c r="BS30" s="1"/>
      <c r="BT30" s="1"/>
      <c r="BU30" s="1"/>
      <c r="BV30" s="1"/>
      <c r="BX30" s="1"/>
      <c r="BY30" s="1"/>
      <c r="BZ30" s="1"/>
      <c r="CA30" s="1"/>
      <c r="CC30" s="1"/>
      <c r="CD30" s="1"/>
      <c r="CE30" s="1"/>
      <c r="CF30" s="1"/>
      <c r="CH30" s="1"/>
      <c r="CI30" s="1"/>
      <c r="CJ30" s="1"/>
      <c r="CK30" s="1"/>
    </row>
    <row r="31" spans="1:89" x14ac:dyDescent="0.2">
      <c r="A31" s="11">
        <v>16</v>
      </c>
      <c r="B31" s="11" t="s">
        <v>21</v>
      </c>
      <c r="C31" s="11"/>
      <c r="D31" s="11"/>
      <c r="E31" s="11" t="s">
        <v>75</v>
      </c>
      <c r="F31" s="11" t="s">
        <v>109</v>
      </c>
      <c r="G31" s="11" t="s">
        <v>75</v>
      </c>
      <c r="H31" s="11" t="s">
        <v>75</v>
      </c>
      <c r="I31" s="11" t="s">
        <v>75</v>
      </c>
      <c r="J31" s="11" t="s">
        <v>75</v>
      </c>
      <c r="K31" s="8"/>
      <c r="L31" s="8"/>
      <c r="M31" s="8"/>
      <c r="N31" s="8"/>
      <c r="O31" s="8"/>
      <c r="P31" s="8"/>
      <c r="R31" s="9"/>
      <c r="T31" t="s">
        <v>40</v>
      </c>
      <c r="U31" s="1" t="s">
        <v>29</v>
      </c>
      <c r="V31" s="1" t="s">
        <v>31</v>
      </c>
      <c r="W31" s="1" t="s">
        <v>43</v>
      </c>
      <c r="X31" s="1" t="s">
        <v>30</v>
      </c>
      <c r="Y31" s="8" t="s">
        <v>66</v>
      </c>
      <c r="Z31" s="8" t="s">
        <v>66</v>
      </c>
      <c r="AA31" s="9" t="s">
        <v>31</v>
      </c>
      <c r="AB31" s="9" t="s">
        <v>43</v>
      </c>
      <c r="AC31" s="9" t="s">
        <v>30</v>
      </c>
      <c r="AD31" s="9" t="s">
        <v>113</v>
      </c>
      <c r="AF31" s="9" t="s">
        <v>31</v>
      </c>
      <c r="AG31" s="9" t="s">
        <v>43</v>
      </c>
      <c r="AH31" s="9" t="s">
        <v>30</v>
      </c>
      <c r="AI31" s="5" t="s">
        <v>40</v>
      </c>
      <c r="AJ31" s="6" t="s">
        <v>29</v>
      </c>
      <c r="AK31" s="6" t="s">
        <v>31</v>
      </c>
      <c r="AL31" s="6" t="s">
        <v>43</v>
      </c>
      <c r="AM31" s="6" t="s">
        <v>30</v>
      </c>
      <c r="AN31" s="5" t="s">
        <v>66</v>
      </c>
      <c r="AO31" s="5" t="s">
        <v>66</v>
      </c>
      <c r="AP31" s="6" t="s">
        <v>31</v>
      </c>
      <c r="AQ31" s="6" t="s">
        <v>43</v>
      </c>
      <c r="AR31" s="6" t="s">
        <v>30</v>
      </c>
      <c r="AS31" s="6" t="s">
        <v>113</v>
      </c>
      <c r="AU31" s="6" t="s">
        <v>31</v>
      </c>
      <c r="AV31" s="6" t="s">
        <v>43</v>
      </c>
      <c r="AW31" s="6" t="s">
        <v>30</v>
      </c>
      <c r="AX31" s="6" t="s">
        <v>90</v>
      </c>
      <c r="AY31" s="6" t="s">
        <v>90</v>
      </c>
      <c r="AZ31" s="6" t="s">
        <v>31</v>
      </c>
      <c r="BA31" s="6" t="s">
        <v>43</v>
      </c>
      <c r="BB31" s="6" t="s">
        <v>30</v>
      </c>
      <c r="BC31" s="3" t="s">
        <v>151</v>
      </c>
      <c r="BD31" s="4"/>
      <c r="BE31" s="4" t="s">
        <v>31</v>
      </c>
      <c r="BF31" s="4" t="s">
        <v>43</v>
      </c>
      <c r="BG31" s="4" t="s">
        <v>30</v>
      </c>
      <c r="BH31" s="8"/>
      <c r="BI31" s="9"/>
      <c r="BJ31" s="9"/>
      <c r="BK31" s="9"/>
      <c r="BL31" s="8"/>
      <c r="BQ31" s="1"/>
    </row>
    <row r="32" spans="1:89" x14ac:dyDescent="0.2">
      <c r="A32" s="11">
        <v>16</v>
      </c>
      <c r="B32" s="11" t="s">
        <v>161</v>
      </c>
      <c r="C32" s="11"/>
      <c r="D32" s="11"/>
      <c r="E32" s="11" t="s">
        <v>75</v>
      </c>
      <c r="F32" s="11" t="s">
        <v>109</v>
      </c>
      <c r="G32" s="11" t="s">
        <v>75</v>
      </c>
      <c r="H32" s="11" t="s">
        <v>75</v>
      </c>
      <c r="I32" s="11" t="s">
        <v>75</v>
      </c>
      <c r="J32" s="11" t="s">
        <v>75</v>
      </c>
      <c r="K32" s="8"/>
      <c r="L32" s="8"/>
      <c r="M32" s="8"/>
      <c r="N32" s="8"/>
      <c r="O32" s="8"/>
      <c r="P32" s="8"/>
      <c r="R32" s="9"/>
      <c r="U32" s="1" t="e">
        <f>AVERAGEIF($O$2:$O$999,"&lt;=44",$R$2:$R$999)</f>
        <v>#DIV/0!</v>
      </c>
      <c r="V32" s="1" t="e">
        <f>AVERAGEIFS($R$2:$R$999,$N$2:$N$999,"&lt;=-5",$O$2:$O$999,"&lt;=44")</f>
        <v>#DIV/0!</v>
      </c>
      <c r="W32" s="1" t="e">
        <f>AVERAGEIFS($R$2:$R$999,$N$2:$N$999,"&gt;=-4.5",$N$2:$N$999,"&lt;=4.5",$O$2:$O$999,"&lt;=44")</f>
        <v>#DIV/0!</v>
      </c>
      <c r="X32" s="1" t="e">
        <f>AVERAGEIFS($R$2:$R$999,$N$2:$N$999,"&gt;=5",$O$2:$O$999,"&lt;=44")</f>
        <v>#DIV/0!</v>
      </c>
      <c r="Z32" s="9" t="e">
        <f>AVERAGEIFS($R$2:$R$999,$E$2:$E$999,"YES")</f>
        <v>#DIV/0!</v>
      </c>
      <c r="AA32" s="9" t="e">
        <f>AVERAGEIFS($R$2:$R$999,$N$2:$N$999,"&lt;=-5",$E$2:$E$999,"YES")</f>
        <v>#DIV/0!</v>
      </c>
      <c r="AB32" s="9" t="e">
        <f>AVERAGEIFS($R$2:$R$999,$N$2:$N$999,"&gt;=-4.5",$N$2:$N$999,"&lt;=4.5",$E$2:$E$999,"YES")</f>
        <v>#DIV/0!</v>
      </c>
      <c r="AC32" s="9" t="e">
        <f>AVERAGEIFS($R$2:$R$999,$N$2:$N$999,"&gt;=5",$E$2:$E$999,"YES")</f>
        <v>#DIV/0!</v>
      </c>
      <c r="AE32" s="9" t="e">
        <f>AVERAGEIFS($R$2:$R$999,$E$2:$E$999,"YES",$F$2:$F$999,"UP")</f>
        <v>#DIV/0!</v>
      </c>
      <c r="AF32" s="9" t="e">
        <f>AVERAGEIFS($R$2:$R$999,$N$2:$N$999,"&lt;=-5",$E$2:$E$999,"YES",$F$2:$F$999,"UP")</f>
        <v>#DIV/0!</v>
      </c>
      <c r="AG32" s="9" t="e">
        <f>AVERAGEIFS($R$2:$R$999,$N$2:$N$999,"&gt;=-4.5",$N$2:$N$999,"&lt;=4.5",$E$2:$E$999,"YES",$F$2:$F$999,"UP")</f>
        <v>#DIV/0!</v>
      </c>
      <c r="AH32" s="9" t="e">
        <f>AVERAGEIFS($R$2:$R$999,$N$2:$N$999,"&gt;=5",$E$2:$E$999,"YES",$F$2:$F$999,"UP")</f>
        <v>#DIV/0!</v>
      </c>
      <c r="AJ32" s="6" t="e">
        <f>AVERAGEIFS($R$2:$R$999,$O$2:$O$999,"&lt;=44",$C$2:$C$999,"&gt;=0.01")</f>
        <v>#DIV/0!</v>
      </c>
      <c r="AK32" s="6" t="e">
        <f>AVERAGEIFS($R$2:$R$999,$N$2:$N$999,"&lt;=-5",$O$2:$O$999,"&lt;=44",$C$2:$C$999,"&gt;=0.01")</f>
        <v>#DIV/0!</v>
      </c>
      <c r="AL32" s="6" t="e">
        <f>AVERAGEIFS($R$2:$R$999,$N$2:$N$999,"&gt;=-4.5",$N$2:$N$999,"&lt;=4.5",$O$2:$O$999,"&lt;=44",$C$2:$C$999,"&gt;=0.01")</f>
        <v>#DIV/0!</v>
      </c>
      <c r="AM32" s="6" t="e">
        <f>AVERAGEIFS($R$2:$R$999,$N$2:$N$999,"&gt;=5",$O$2:$O$999,"&lt;=44",$C$2:$C$999,"&gt;=0.01")</f>
        <v>#DIV/0!</v>
      </c>
      <c r="AO32" s="6" t="e">
        <f>AVERAGEIFS($R$2:$R$999,$E$2:$E$999,"YES",$C$2:$C$999,"&gt;=0.01")</f>
        <v>#DIV/0!</v>
      </c>
      <c r="AP32" s="6" t="e">
        <f>AVERAGEIFS($R$2:$R$999,$N$2:$N$999,"&lt;=-5",$E$2:$E$999,"YES",$C$2:$C$999,"&gt;=0.01")</f>
        <v>#DIV/0!</v>
      </c>
      <c r="AQ32" s="6" t="e">
        <f>AVERAGEIFS($R$2:$R$999,$N$2:$N$999,"&gt;=-4.5",$N$2:$N$999,"&lt;=4.5",$E$2:$E$999,"YES",$C$2:$C$999,"&gt;=0.01")</f>
        <v>#DIV/0!</v>
      </c>
      <c r="AR32" s="6" t="e">
        <f>AVERAGEIFS($R$2:$R$999,$N$2:$N$999,"&gt;=5",$E$2:$E$999,"YES",$C$2:$C$999,"&gt;=0.01")</f>
        <v>#DIV/0!</v>
      </c>
      <c r="AT32" s="6" t="e">
        <f>AVERAGEIFS($R$2:$R$999,$E$2:$E$999,"YES",$F$2:$F$999,"UP",$C$2:$C$999,"&gt;=0.01")</f>
        <v>#DIV/0!</v>
      </c>
      <c r="AU32" s="6" t="e">
        <f>AVERAGEIFS($R$2:$R$999,$N$2:$N$999,"&lt;=-5",$E$2:$E$999,"YES",$F$2:$F$999,"UP",$C$2:$C$999,"&gt;=0.01")</f>
        <v>#DIV/0!</v>
      </c>
      <c r="AV32" s="6" t="e">
        <f>AVERAGEIFS($R$2:$R$999,$N$2:$N$999,"&gt;=-4.5",$N$2:$N$999,"&lt;=4.5",$E$2:$E$999,"YES",$F$2:$F$999,"UP",$C$2:$C$999,"&gt;=0.01")</f>
        <v>#DIV/0!</v>
      </c>
      <c r="AW32" s="6" t="e">
        <f>AVERAGEIFS($R$2:$R$999,$N$2:$N$999,"&gt;=5",$E$2:$E$999,"YES",$F$2:$F$999,"UP",$C$2:$C$999,"&gt;=0.01")</f>
        <v>#DIV/0!</v>
      </c>
      <c r="AY32" s="6" t="e">
        <f>AVERAGEIFS($R$2:$R$999,$C$2:$C$999,"&lt;=9.4",$C$2:$C$999,"&gt;=0.01")</f>
        <v>#DIV/0!</v>
      </c>
      <c r="AZ32" s="6" t="e">
        <f>AVERAGEIFS($R$2:$R$999,$N$2:$N$999,"&lt;=-5",$C$2:$C$999,"&lt;=9.4",$C$2:$C$999,"&gt;=0.01")</f>
        <v>#DIV/0!</v>
      </c>
      <c r="BA32" s="6" t="e">
        <f>AVERAGEIFS($R$2:$R$999,$N$2:$N$999,"&gt;=-4.5",$N$2:$N$999,"&lt;=4.5",$C$2:$C$999,"&lt;=9.4",$C$2:$C$999,"&gt;=0.01")</f>
        <v>#DIV/0!</v>
      </c>
      <c r="BB32" s="6" t="e">
        <f>AVERAGEIFS($R$2:$R$999,$N$2:$N$999,"&gt;=5",$C$2:$C$999,"&lt;=9.4",$C$2:$C$999,"&gt;=0.01")</f>
        <v>#DIV/0!</v>
      </c>
      <c r="BC32" s="3"/>
      <c r="BD32" s="4" t="e">
        <f>AVERAGEIFS($R$2:$R$999,$J$2:$J$999,"YES")</f>
        <v>#DIV/0!</v>
      </c>
      <c r="BE32" s="4" t="e">
        <f>AVERAGEIFS($R$2:$R$999,$N$2:$N$999,"&lt;=-5",$J$2:$J$999,"YES")</f>
        <v>#DIV/0!</v>
      </c>
      <c r="BF32" s="4" t="e">
        <f>AVERAGEIFS($R$2:$R$999,$N$2:$N$999,"&gt;=-4.5",$N$2:$N$999,"&lt;=4.55",$J$2:$J$999,"YES")</f>
        <v>#DIV/0!</v>
      </c>
      <c r="BG32" s="4" t="e">
        <f>AVERAGEIFS($R$2:$R$999,$N$2:$N$999,"&gt;=5",$J$2:$J$999,"YES")</f>
        <v>#DIV/0!</v>
      </c>
      <c r="BH32" s="8"/>
      <c r="BI32" s="9"/>
      <c r="BJ32" s="9"/>
      <c r="BK32" s="9"/>
      <c r="BL32" s="8"/>
      <c r="BQ32" s="1"/>
    </row>
    <row r="33" spans="1:69" x14ac:dyDescent="0.2">
      <c r="A33" s="11">
        <v>16</v>
      </c>
      <c r="B33" s="11" t="s">
        <v>74</v>
      </c>
      <c r="C33" s="11"/>
      <c r="D33" s="11"/>
      <c r="E33" s="11" t="s">
        <v>75</v>
      </c>
      <c r="F33" s="11" t="s">
        <v>109</v>
      </c>
      <c r="G33" s="11" t="s">
        <v>75</v>
      </c>
      <c r="H33" s="11" t="s">
        <v>75</v>
      </c>
      <c r="I33" s="11" t="s">
        <v>75</v>
      </c>
      <c r="J33" s="11" t="s">
        <v>75</v>
      </c>
      <c r="K33" s="8"/>
      <c r="L33" s="8"/>
      <c r="M33" s="8"/>
      <c r="N33" s="8"/>
      <c r="O33" s="8"/>
      <c r="P33" s="8"/>
      <c r="R33" s="9"/>
      <c r="U33" s="1"/>
      <c r="V33" s="1"/>
      <c r="W33" s="1"/>
      <c r="X33" s="1"/>
      <c r="Z33" s="9"/>
      <c r="AA33" s="9"/>
      <c r="AB33" s="9"/>
      <c r="AC33" s="9"/>
      <c r="AE33" s="9"/>
      <c r="AF33" s="9"/>
      <c r="AG33" s="9"/>
      <c r="AH33" s="9"/>
      <c r="AJ33" s="6"/>
      <c r="AK33" s="6"/>
      <c r="AL33" s="6"/>
      <c r="AM33" s="6"/>
      <c r="AO33" s="6"/>
      <c r="AP33" s="6"/>
      <c r="AQ33" s="6"/>
      <c r="AR33" s="6"/>
      <c r="AT33" s="6"/>
      <c r="AU33" s="6"/>
      <c r="AV33" s="6"/>
      <c r="AW33" s="6"/>
      <c r="AY33" s="6"/>
      <c r="AZ33" s="6"/>
      <c r="BA33" s="6"/>
      <c r="BB33" s="6"/>
      <c r="BC33" s="3"/>
      <c r="BD33" s="4"/>
      <c r="BE33" s="4"/>
      <c r="BF33" s="4"/>
      <c r="BG33" s="4"/>
      <c r="BH33" s="8"/>
      <c r="BI33" s="9"/>
      <c r="BJ33" s="9"/>
      <c r="BK33" s="9"/>
      <c r="BL33" s="8"/>
      <c r="BQ33" s="1"/>
    </row>
    <row r="34" spans="1:69" x14ac:dyDescent="0.2">
      <c r="A34" s="8">
        <v>16</v>
      </c>
      <c r="B34" s="8" t="s">
        <v>129</v>
      </c>
      <c r="C34" s="8"/>
      <c r="D34" s="8" t="s">
        <v>75</v>
      </c>
      <c r="E34" s="8"/>
      <c r="F34" s="8"/>
      <c r="G34" s="8" t="s">
        <v>75</v>
      </c>
      <c r="H34" s="8" t="s">
        <v>75</v>
      </c>
      <c r="I34" s="8"/>
      <c r="J34" s="8"/>
      <c r="K34" s="8"/>
      <c r="L34" s="8"/>
      <c r="M34" s="8"/>
      <c r="N34" s="8"/>
      <c r="O34" s="8"/>
      <c r="P34" s="8"/>
      <c r="R34" s="9"/>
      <c r="T34" t="s">
        <v>40</v>
      </c>
      <c r="U34" s="1" t="s">
        <v>33</v>
      </c>
      <c r="V34" s="1" t="s">
        <v>31</v>
      </c>
      <c r="W34" s="1" t="s">
        <v>43</v>
      </c>
      <c r="X34" s="1" t="s">
        <v>30</v>
      </c>
      <c r="Z34" s="8" t="s">
        <v>33</v>
      </c>
      <c r="AA34" s="9" t="s">
        <v>31</v>
      </c>
      <c r="AB34" s="9" t="s">
        <v>43</v>
      </c>
      <c r="AC34" s="9" t="s">
        <v>30</v>
      </c>
      <c r="AE34" s="8" t="s">
        <v>33</v>
      </c>
      <c r="AF34" s="9" t="s">
        <v>31</v>
      </c>
      <c r="AG34" s="9" t="s">
        <v>43</v>
      </c>
      <c r="AH34" s="9" t="s">
        <v>30</v>
      </c>
      <c r="AI34" s="5" t="s">
        <v>40</v>
      </c>
      <c r="AJ34" s="6" t="s">
        <v>33</v>
      </c>
      <c r="AK34" s="6" t="s">
        <v>31</v>
      </c>
      <c r="AL34" s="6" t="s">
        <v>43</v>
      </c>
      <c r="AM34" s="6" t="s">
        <v>30</v>
      </c>
      <c r="AO34" s="5" t="s">
        <v>33</v>
      </c>
      <c r="AP34" s="6" t="s">
        <v>31</v>
      </c>
      <c r="AQ34" s="6" t="s">
        <v>43</v>
      </c>
      <c r="AR34" s="6" t="s">
        <v>30</v>
      </c>
      <c r="AT34" s="5" t="s">
        <v>33</v>
      </c>
      <c r="AU34" s="6" t="s">
        <v>31</v>
      </c>
      <c r="AV34" s="6" t="s">
        <v>43</v>
      </c>
      <c r="AW34" s="6" t="s">
        <v>30</v>
      </c>
      <c r="AY34" s="5" t="s">
        <v>33</v>
      </c>
      <c r="AZ34" s="6" t="s">
        <v>31</v>
      </c>
      <c r="BA34" s="6" t="s">
        <v>43</v>
      </c>
      <c r="BB34" s="6" t="s">
        <v>30</v>
      </c>
      <c r="BC34" s="3"/>
      <c r="BD34" s="3" t="s">
        <v>33</v>
      </c>
      <c r="BE34" s="4" t="s">
        <v>31</v>
      </c>
      <c r="BF34" s="4" t="s">
        <v>43</v>
      </c>
      <c r="BG34" s="4" t="s">
        <v>30</v>
      </c>
      <c r="BI34" s="1"/>
      <c r="BJ34" s="1"/>
      <c r="BK34" s="1"/>
      <c r="BQ34" s="1"/>
    </row>
    <row r="35" spans="1:69" x14ac:dyDescent="0.2">
      <c r="A35" s="8">
        <v>16</v>
      </c>
      <c r="B35" s="8" t="s">
        <v>78</v>
      </c>
      <c r="C35" s="8"/>
      <c r="D35" s="8" t="s">
        <v>75</v>
      </c>
      <c r="E35" s="8"/>
      <c r="F35" s="8"/>
      <c r="G35" s="8" t="s">
        <v>75</v>
      </c>
      <c r="H35" s="8" t="s">
        <v>75</v>
      </c>
      <c r="I35" s="8"/>
      <c r="J35" s="8"/>
      <c r="K35" s="8"/>
      <c r="L35" s="8"/>
      <c r="M35" s="8"/>
      <c r="N35" s="8"/>
      <c r="O35" s="8"/>
      <c r="P35" s="8"/>
      <c r="R35" s="9"/>
      <c r="U35" s="1" t="e">
        <f>AVERAGEIFS($R$2:$R$999,$P$2:$P$999,"&lt;=4",$O$2:$O$999,"&lt;=44")</f>
        <v>#DIV/0!</v>
      </c>
      <c r="V35" s="1" t="e">
        <f>AVERAGEIFS($R$2:$R$999,$N$2:$N$999,"&lt;=-5",$P$2:$P$999,"&lt;=4",$O$2:$O$999,"&lt;=44")</f>
        <v>#DIV/0!</v>
      </c>
      <c r="W35" s="1" t="e">
        <f>AVERAGEIFS($R$2:$R$999,$N$2:$N$999,"&gt;=-4.5",$N$2:$N$999,"&lt;=4.5",$P$2:$P$999,"&lt;=4",$O$2:$O$999,"&lt;=44")</f>
        <v>#DIV/0!</v>
      </c>
      <c r="X35" s="1" t="e">
        <f>AVERAGEIFS($R$2:$R$999,$N$2:$N$999,"&gt;=5",$P$2:$P$999,"&lt;=4",$O$2:$O$999,"&lt;=44")</f>
        <v>#DIV/0!</v>
      </c>
      <c r="Z35" s="9" t="e">
        <f>AVERAGEIFS($R$2:$R$999,$P$2:$P$999,"&lt;=4",$E$2:$E$999,"YES")</f>
        <v>#DIV/0!</v>
      </c>
      <c r="AA35" s="9" t="e">
        <f>AVERAGEIFS($R$2:$R$999,$N$2:$N$999,"&lt;=-5",$P$2:$P$999,"&lt;=4",$E$2:$E$999,"YES")</f>
        <v>#DIV/0!</v>
      </c>
      <c r="AB35" s="9" t="e">
        <f>AVERAGEIFS($R$2:$R$999,$N$2:$N$999,"&gt;=-4.5",$N$2:$N$999,"&lt;=4.55",$P$2:$P$999,"&lt;=4",$E$2:$E$999,"YES")</f>
        <v>#DIV/0!</v>
      </c>
      <c r="AC35" s="9" t="e">
        <f>AVERAGEIFS($R$2:$R$999,$N$2:$N$999,"&gt;=5",$P$2:$P$999,"&lt;=4",$E$2:$E$999,"YES")</f>
        <v>#DIV/0!</v>
      </c>
      <c r="AE35" s="9" t="e">
        <f>AVERAGEIFS($R$2:$R$999,$P$2:$P$999,"&lt;=4",$E$2:$E$999,"YES",$F$2:$F$999,"UP")</f>
        <v>#DIV/0!</v>
      </c>
      <c r="AF35" s="9" t="e">
        <f>AVERAGEIFS($R$2:$R$999,$N$2:$N$999,"&lt;=-5",$P$2:$P$999,"&lt;=4",$E$2:$E$999,"YES",$F$2:$F$999,"UP")</f>
        <v>#DIV/0!</v>
      </c>
      <c r="AG35" s="9" t="e">
        <f>AVERAGEIFS($R$2:$R$999,$N$2:$N$999,"&gt;=-4.5",$N$2:$N$999,"&lt;=4.55",$P$2:$P$999,"&lt;=4",$E$2:$E$999,"YES",$F$2:$F$999,"UP")</f>
        <v>#DIV/0!</v>
      </c>
      <c r="AH35" s="9" t="e">
        <f>AVERAGEIFS($R$2:$R$999,$N$2:$N$999,"&gt;=5",$P$2:$P$999,"&lt;=4",$E$2:$E$999,"YES",$F$2:$F$999,"UP")</f>
        <v>#DIV/0!</v>
      </c>
      <c r="AJ35" s="6" t="e">
        <f>AVERAGEIFS($R$2:$R$999,$P$2:$P$999,"&lt;=4",$O$2:$O$999,"&lt;=44",$C$2:$C$999,"&gt;=0.01")</f>
        <v>#DIV/0!</v>
      </c>
      <c r="AK35" s="6" t="e">
        <f>AVERAGEIFS($R$2:$R$999,$N$2:$N$999,"&lt;=-5",$P$2:$P$999,"&lt;=4",$O$2:$O$999,"&lt;=44",$C$2:$C$999,"&gt;=0.01")</f>
        <v>#DIV/0!</v>
      </c>
      <c r="AL35" s="6" t="e">
        <f>AVERAGEIFS($R$2:$R$999,$N$2:$N$999,"&gt;=-4.5",$N$2:$N$999,"&lt;=4.5",$P$2:$P$999,"&lt;=4",$O$2:$O$999,"&lt;=44",$C$2:$C$999,"&gt;=0.01")</f>
        <v>#DIV/0!</v>
      </c>
      <c r="AM35" s="6" t="e">
        <f>AVERAGEIFS($R$2:$R$999,$N$2:$N$999,"&gt;=5",$P$2:$P$999,"&lt;=4",$O$2:$O$999,"&lt;=44",$C$2:$C$999,"&gt;=0.01")</f>
        <v>#DIV/0!</v>
      </c>
      <c r="AO35" s="6" t="e">
        <f>AVERAGEIFS($R$2:$R$999,$P$2:$P$999,"&lt;=4",$E$2:$E$999,"YES",$C$2:$C$999,"&gt;=0.01")</f>
        <v>#DIV/0!</v>
      </c>
      <c r="AP35" s="6" t="e">
        <f>AVERAGEIFS($R$2:$R$999,$N$2:$N$999,"&lt;=-5",$P$2:$P$999,"&lt;=4",$E$2:$E$999,"YES",$C$2:$C$999,"&gt;=0.01")</f>
        <v>#DIV/0!</v>
      </c>
      <c r="AQ35" s="6" t="e">
        <f>AVERAGEIFS($R$2:$R$999,$N$2:$N$999,"&gt;=-4.5",$N$2:$N$999,"&lt;=4.55",$P$2:$P$999,"&lt;=4",$E$2:$E$999,"YES",$C$2:$C$999,"&gt;=0.01")</f>
        <v>#DIV/0!</v>
      </c>
      <c r="AR35" s="6" t="e">
        <f>AVERAGEIFS($R$2:$R$999,$N$2:$N$999,"&gt;=5",$P$2:$P$999,"&lt;=4",$E$2:$E$999,"YES",$C$2:$C$999,"&gt;=0.01")</f>
        <v>#DIV/0!</v>
      </c>
      <c r="AT35" s="6" t="e">
        <f>AVERAGEIFS($R$2:$R$999,$P$2:$P$999,"&lt;=4",$E$2:$E$999,"YES",$F$2:$F$999,"UP",$C$2:$C$999,"&gt;=0.01")</f>
        <v>#DIV/0!</v>
      </c>
      <c r="AU35" s="6" t="e">
        <f>AVERAGEIFS($R$2:$R$999,$N$2:$N$999,"&lt;=-5",$P$2:$P$999,"&lt;=4",$E$2:$E$999,"YES",$F$2:$F$999,"UP",$C$2:$C$999,"&gt;=0.01")</f>
        <v>#DIV/0!</v>
      </c>
      <c r="AV35" s="6" t="e">
        <f>AVERAGEIFS($R$2:$R$999,$N$2:$N$999,"&gt;=-4.5",$N$2:$N$999,"&lt;=4.55",$P$2:$P$999,"&lt;=4",$E$2:$E$999,"YES",$F$2:$F$999,"UP",$C$2:$C$999,"&gt;=0.01")</f>
        <v>#DIV/0!</v>
      </c>
      <c r="AW35" s="6" t="e">
        <f>AVERAGEIFS($R$2:$R$999,$N$2:$N$999,"&gt;=5",$P$2:$P$999,"&lt;=4",$E$2:$E$999,"YES",$F$2:$F$999,"UP",$C$2:$C$999,"&gt;=0.01")</f>
        <v>#DIV/0!</v>
      </c>
      <c r="AY35" s="6" t="e">
        <f>AVERAGEIFS($R$2:$R$999,$P$2:$P$999,"&lt;=4",$C$2:$C$999,"&lt;=9.4",$C$2:$C$999,"&gt;=0.01")</f>
        <v>#DIV/0!</v>
      </c>
      <c r="AZ35" s="6" t="e">
        <f>AVERAGEIFS($R$2:$R$999,$N$2:$N$999,"&lt;=-5",$P$2:$P$999,"&lt;=4",$C$2:$C$999,"&lt;=9.4",$C$2:$C$999,"&gt;=0.01")</f>
        <v>#DIV/0!</v>
      </c>
      <c r="BA35" s="6" t="e">
        <f>AVERAGEIFS($R$2:$R$999,$N$2:$N$999,"&gt;=-4.5",$N$2:$N$999,"&lt;=4.55",$P$2:$P$999,"&lt;=4",$C$2:$C$999,"&lt;=9.4",$C$2:$C$999,"&gt;=0.01")</f>
        <v>#DIV/0!</v>
      </c>
      <c r="BB35" s="6" t="e">
        <f>AVERAGEIFS($R$2:$R$999,$N$2:$N$999,"&gt;=5",$P$2:$P$999,"&lt;=4",$C$2:$C$999,"&lt;=9.4",$C$2:$C$999,"&gt;=0.01")</f>
        <v>#DIV/0!</v>
      </c>
      <c r="BC35" s="3"/>
      <c r="BD35" s="4" t="e">
        <f>AVERAGEIFS($R$2:$R$999,$P$2:$P$999,"&lt;=4",$J$2:$J$999,"YES")</f>
        <v>#DIV/0!</v>
      </c>
      <c r="BE35" s="4" t="e">
        <f>AVERAGEIFS($R$2:$R$999,$N$2:$N$999,"&lt;=-5",$P$2:$P$999,"&lt;=4",$J$2:$J$999,"YES")</f>
        <v>#DIV/0!</v>
      </c>
      <c r="BF35" s="4" t="e">
        <f>AVERAGEIFS($R$2:$R$999,$N$2:$N$999,"&gt;=-4.5",$N$2:$N$999,"&lt;=4.55",$P$2:$P$999,"&lt;=4",$J$2:$J$999,"YES")</f>
        <v>#DIV/0!</v>
      </c>
      <c r="BG35" s="4" t="e">
        <f>AVERAGEIFS($R$2:$R$999,$N$2:$N$999,"&gt;=5",$P$2:$P$999,"&lt;=4",$J$2:$J$999,"YES")</f>
        <v>#DIV/0!</v>
      </c>
      <c r="BI35" s="1"/>
      <c r="BJ35" s="1"/>
      <c r="BK35" s="1"/>
      <c r="BQ35" s="1"/>
    </row>
    <row r="36" spans="1:69" x14ac:dyDescent="0.2">
      <c r="A36" s="8">
        <v>16</v>
      </c>
      <c r="B36" s="8" t="s">
        <v>127</v>
      </c>
      <c r="C36" s="8"/>
      <c r="D36" s="8" t="s">
        <v>75</v>
      </c>
      <c r="E36" s="8"/>
      <c r="F36" s="8"/>
      <c r="G36" s="8" t="s">
        <v>75</v>
      </c>
      <c r="H36" s="8" t="s">
        <v>75</v>
      </c>
      <c r="I36" s="8"/>
      <c r="J36" s="8"/>
      <c r="K36" s="8"/>
      <c r="L36" s="8"/>
      <c r="M36" s="8"/>
      <c r="N36" s="8"/>
      <c r="O36" s="8"/>
      <c r="P36" s="8"/>
      <c r="R36" s="9"/>
      <c r="U36" s="1"/>
      <c r="V36" s="1"/>
      <c r="W36" s="1"/>
      <c r="X36" s="1"/>
      <c r="Z36" s="9"/>
      <c r="AA36" s="9"/>
      <c r="AB36" s="9"/>
      <c r="AC36" s="9"/>
      <c r="AE36" s="9"/>
      <c r="AF36" s="9"/>
      <c r="AG36" s="9"/>
      <c r="AH36" s="9"/>
      <c r="AJ36" s="6"/>
      <c r="AK36" s="6"/>
      <c r="AL36" s="6"/>
      <c r="AM36" s="6"/>
      <c r="AO36" s="6"/>
      <c r="AP36" s="6"/>
      <c r="AQ36" s="6"/>
      <c r="AR36" s="6"/>
      <c r="AT36" s="6"/>
      <c r="AU36" s="6"/>
      <c r="AV36" s="6"/>
      <c r="AW36" s="6"/>
      <c r="AY36" s="6"/>
      <c r="AZ36" s="6"/>
      <c r="BA36" s="6"/>
      <c r="BB36" s="6"/>
      <c r="BC36" s="3"/>
      <c r="BD36" s="4"/>
      <c r="BE36" s="4"/>
      <c r="BF36" s="4"/>
      <c r="BG36" s="4"/>
      <c r="BI36" s="1"/>
      <c r="BJ36" s="1"/>
      <c r="BK36" s="1"/>
      <c r="BQ36" s="1"/>
    </row>
    <row r="37" spans="1:69" x14ac:dyDescent="0.2">
      <c r="A37" s="11">
        <v>16</v>
      </c>
      <c r="B37" s="11" t="s">
        <v>50</v>
      </c>
      <c r="C37" s="11">
        <v>10.9</v>
      </c>
      <c r="D37" s="11" t="s">
        <v>75</v>
      </c>
      <c r="E37" s="11" t="s">
        <v>75</v>
      </c>
      <c r="F37" s="11" t="s">
        <v>109</v>
      </c>
      <c r="G37" s="11" t="s">
        <v>75</v>
      </c>
      <c r="H37" s="11"/>
      <c r="I37" s="11"/>
      <c r="J37" s="11"/>
      <c r="K37" s="8"/>
      <c r="L37" s="8"/>
      <c r="M37" s="8"/>
      <c r="N37" s="8"/>
      <c r="O37" s="8"/>
      <c r="P37" s="8"/>
      <c r="R37" s="9"/>
      <c r="T37" t="s">
        <v>40</v>
      </c>
      <c r="U37" s="1" t="s">
        <v>36</v>
      </c>
      <c r="V37" s="1" t="s">
        <v>31</v>
      </c>
      <c r="W37" s="1" t="s">
        <v>43</v>
      </c>
      <c r="X37" s="1" t="s">
        <v>30</v>
      </c>
      <c r="Z37" s="8" t="s">
        <v>36</v>
      </c>
      <c r="AA37" s="9" t="s">
        <v>31</v>
      </c>
      <c r="AB37" s="9" t="s">
        <v>43</v>
      </c>
      <c r="AC37" s="9" t="s">
        <v>30</v>
      </c>
      <c r="AE37" s="8" t="s">
        <v>36</v>
      </c>
      <c r="AF37" s="9" t="s">
        <v>31</v>
      </c>
      <c r="AG37" s="9" t="s">
        <v>43</v>
      </c>
      <c r="AH37" s="9" t="s">
        <v>30</v>
      </c>
      <c r="AI37" s="5" t="s">
        <v>40</v>
      </c>
      <c r="AJ37" s="6" t="s">
        <v>36</v>
      </c>
      <c r="AK37" s="6" t="s">
        <v>31</v>
      </c>
      <c r="AL37" s="6" t="s">
        <v>43</v>
      </c>
      <c r="AM37" s="6" t="s">
        <v>30</v>
      </c>
      <c r="AO37" s="5" t="s">
        <v>36</v>
      </c>
      <c r="AP37" s="6" t="s">
        <v>31</v>
      </c>
      <c r="AQ37" s="6" t="s">
        <v>43</v>
      </c>
      <c r="AR37" s="6" t="s">
        <v>30</v>
      </c>
      <c r="AT37" s="5" t="s">
        <v>36</v>
      </c>
      <c r="AU37" s="6" t="s">
        <v>31</v>
      </c>
      <c r="AV37" s="6" t="s">
        <v>43</v>
      </c>
      <c r="AW37" s="6" t="s">
        <v>30</v>
      </c>
      <c r="AY37" s="5" t="s">
        <v>36</v>
      </c>
      <c r="AZ37" s="6" t="s">
        <v>31</v>
      </c>
      <c r="BA37" s="6" t="s">
        <v>43</v>
      </c>
      <c r="BB37" s="6" t="s">
        <v>30</v>
      </c>
      <c r="BC37" s="3"/>
      <c r="BD37" s="3" t="s">
        <v>36</v>
      </c>
      <c r="BE37" s="4" t="s">
        <v>31</v>
      </c>
      <c r="BF37" s="4" t="s">
        <v>43</v>
      </c>
      <c r="BG37" s="4" t="s">
        <v>30</v>
      </c>
      <c r="BI37" s="1"/>
      <c r="BJ37" s="1"/>
      <c r="BK37" s="1"/>
      <c r="BQ37" s="1"/>
    </row>
    <row r="38" spans="1:69" x14ac:dyDescent="0.2">
      <c r="A38" s="11">
        <v>16</v>
      </c>
      <c r="B38" s="11" t="s">
        <v>17</v>
      </c>
      <c r="C38" s="11">
        <v>9.5</v>
      </c>
      <c r="D38" s="11" t="s">
        <v>75</v>
      </c>
      <c r="E38" s="11" t="s">
        <v>75</v>
      </c>
      <c r="F38" s="11" t="s">
        <v>109</v>
      </c>
      <c r="G38" s="11" t="s">
        <v>75</v>
      </c>
      <c r="H38" s="11"/>
      <c r="I38" s="11"/>
      <c r="J38" s="11"/>
      <c r="K38" s="8"/>
      <c r="L38" s="8"/>
      <c r="M38" s="8"/>
      <c r="N38" s="8"/>
      <c r="O38" s="8"/>
      <c r="P38" s="8"/>
      <c r="R38" s="9"/>
      <c r="U38" s="1" t="e">
        <f>AVERAGEIFS($R$2:$R$999,$P$2:$P$999,"&gt;=4.1",$P$2:$P$999,"&lt;=5",$O$2:$O$999,"&lt;=44")</f>
        <v>#DIV/0!</v>
      </c>
      <c r="V38" s="1" t="e">
        <f>AVERAGEIFS($R$2:$R$999,$N$2:$N$999,"&lt;=-5",$P$2:$P$999,"&gt;=4.1",$P$2:$P$999,"&lt;=5",$O$2:$O$999,"&lt;=44")</f>
        <v>#DIV/0!</v>
      </c>
      <c r="W38" s="1" t="e">
        <f>AVERAGEIFS($R$2:$R$999,$N$2:$N$999,"&gt;=-4.5",$N$2:$N$999,"&lt;=4.5",$P$2:$P$999,"&gt;=4.1",$P$2:$P$999,"&lt;=5",$O$2:$O$999,"&lt;=44")</f>
        <v>#DIV/0!</v>
      </c>
      <c r="X38" s="1" t="e">
        <f>AVERAGEIFS($R$2:$R$999,$N$2:$N$999,"&gt;=5",$P$2:$P$999,"&gt;=4.1",$P$2:$P$999,"&lt;=5",$O$2:$O$999,"&lt;=44")</f>
        <v>#DIV/0!</v>
      </c>
      <c r="Z38" s="9" t="e">
        <f>AVERAGEIFS($R$2:$R$999,$P$2:$P$999,"&gt;=4.1",$P$2:$P$999,"&lt;=5",$E$2:$E$999,"YES")</f>
        <v>#DIV/0!</v>
      </c>
      <c r="AA38" s="9" t="e">
        <f>AVERAGEIFS($R$2:$R$999,$N$2:$N$999,"&lt;=-5",$P$2:$P$999,"&gt;=4.1",$P$2:$P$999,"&lt;=5",$E$2:$E$999,"YES")</f>
        <v>#DIV/0!</v>
      </c>
      <c r="AB38" s="9" t="e">
        <f>AVERAGEIFS($R$2:$R$999,$N$2:$N$999,"&gt;=-4.5",$N$2:$N$999,"&lt;=4.5",$P$2:$P$999,"&gt;=4.1",$P$2:$P$999,"&lt;=5",$E$2:$E$999,"YES")</f>
        <v>#DIV/0!</v>
      </c>
      <c r="AC38" s="9" t="e">
        <f>AVERAGEIFS($R$2:$R$999,$N$2:$N$999,"&gt;=5",$P$2:$P$999,"&gt;=4.1",$P$2:$P$999,"&lt;=5",$E$2:$E$999,"YES")</f>
        <v>#DIV/0!</v>
      </c>
      <c r="AE38" s="9" t="e">
        <f>AVERAGEIFS($R$2:$R$999,$P$2:$P$999,"&gt;=4.1",$P$2:$P$999,"&lt;=5",$E$2:$E$999,"YES",$F$2:$F$999,"UP")</f>
        <v>#DIV/0!</v>
      </c>
      <c r="AF38" s="9" t="e">
        <f>AVERAGEIFS($R$2:$R$999,$N$2:$N$999,"&lt;=-5",$P$2:$P$999,"&gt;=4.1",$P$2:$P$999,"&lt;=5",$E$2:$E$999,"YES",$F$2:$F$999,"UP")</f>
        <v>#DIV/0!</v>
      </c>
      <c r="AG38" s="9" t="e">
        <f>AVERAGEIFS($R$2:$R$999,$N$2:$N$999,"&gt;=-4.5",$N$2:$N$999,"&lt;=4.5",$P$2:$P$999,"&gt;=4.1",$P$2:$P$999,"&lt;=5",$E$2:$E$999,"YES",$F$2:$F$999,"UP")</f>
        <v>#DIV/0!</v>
      </c>
      <c r="AH38" s="9" t="e">
        <f>AVERAGEIFS($R$2:$R$999,$N$2:$N$999,"&gt;=5",$P$2:$P$999,"&gt;=4.1",$P$2:$P$999,"&lt;=5",$E$2:$E$999,"YES",$F$2:$F$999,"UP")</f>
        <v>#DIV/0!</v>
      </c>
      <c r="AJ38" s="6" t="e">
        <f>AVERAGEIFS($R$2:$R$999,$P$2:$P$999,"&gt;=4.1",$P$2:$P$999,"&lt;=5",$O$2:$O$999,"&lt;=44",$C$2:$C$999,"&gt;=0.01")</f>
        <v>#DIV/0!</v>
      </c>
      <c r="AK38" s="6" t="e">
        <f>AVERAGEIFS($R$2:$R$999,$N$2:$N$999,"&lt;=-5",$P$2:$P$999,"&gt;=4.1",$P$2:$P$999,"&lt;=5",$O$2:$O$999,"&lt;=44",$C$2:$C$999,"&gt;=0.01")</f>
        <v>#DIV/0!</v>
      </c>
      <c r="AL38" s="6" t="e">
        <f>AVERAGEIFS($R$2:$R$999,$N$2:$N$999,"&gt;=-4.5",$N$2:$N$999,"&lt;=4.5",$P$2:$P$999,"&gt;=4.1",$P$2:$P$999,"&lt;=5",$O$2:$O$999,"&lt;=44",$C$2:$C$999,"&gt;=0.01")</f>
        <v>#DIV/0!</v>
      </c>
      <c r="AM38" s="6" t="e">
        <f>AVERAGEIFS($R$2:$R$999,$N$2:$N$999,"&gt;=5",$P$2:$P$999,"&gt;=4.1",$P$2:$P$999,"&lt;=5",$O$2:$O$999,"&lt;=44",$C$2:$C$999,"&gt;=0.01")</f>
        <v>#DIV/0!</v>
      </c>
      <c r="AO38" s="6" t="e">
        <f>AVERAGEIFS($R$2:$R$999,$P$2:$P$999,"&gt;=4.1",$P$2:$P$999,"&lt;=5",$E$2:$E$999,"YES",$C$2:$C$999,"&gt;=0.01")</f>
        <v>#DIV/0!</v>
      </c>
      <c r="AP38" s="6" t="e">
        <f>AVERAGEIFS($R$2:$R$999,$N$2:$N$999,"&lt;=-5",$P$2:$P$999,"&gt;=4.1",$P$2:$P$999,"&lt;=5",$E$2:$E$999,"YES",$C$2:$C$999,"&gt;=0.01")</f>
        <v>#DIV/0!</v>
      </c>
      <c r="AQ38" s="6" t="e">
        <f>AVERAGEIFS($R$2:$R$999,$N$2:$N$999,"&gt;=-4.5",$N$2:$N$999,"&lt;=4.5",$P$2:$P$999,"&gt;=4.1",$P$2:$P$999,"&lt;=5",$E$2:$E$999,"YES",$C$2:$C$999,"&gt;=0.01")</f>
        <v>#DIV/0!</v>
      </c>
      <c r="AR38" s="6" t="e">
        <f>AVERAGEIFS($R$2:$R$999,$N$2:$N$999,"&gt;=5",$P$2:$P$999,"&gt;=4.1",$P$2:$P$999,"&lt;=5",$E$2:$E$999,"YES",$C$2:$C$999,"&gt;=0.01")</f>
        <v>#DIV/0!</v>
      </c>
      <c r="AT38" s="6" t="e">
        <f>AVERAGEIFS($R$2:$R$999,$P$2:$P$999,"&gt;=4.1",$P$2:$P$999,"&lt;=5",$E$2:$E$999,"YES",$F$2:$F$999,"UP",$C$2:$C$999,"&gt;=0.01")</f>
        <v>#DIV/0!</v>
      </c>
      <c r="AU38" s="6" t="e">
        <f>AVERAGEIFS($R$2:$R$999,$N$2:$N$999,"&lt;=-5",$P$2:$P$999,"&gt;=4.1",$P$2:$P$999,"&lt;=5",$E$2:$E$999,"YES",$F$2:$F$999,"UP",$C$2:$C$999,"&gt;=0.01")</f>
        <v>#DIV/0!</v>
      </c>
      <c r="AV38" s="6" t="e">
        <f>AVERAGEIFS($R$2:$R$999,$N$2:$N$999,"&gt;=-4.5",$N$2:$N$999,"&lt;=4.5",$P$2:$P$999,"&gt;=4.1",$P$2:$P$999,"&lt;=5",$E$2:$E$999,"YES",$F$2:$F$999,"UP",$C$2:$C$999,"&gt;=0.01")</f>
        <v>#DIV/0!</v>
      </c>
      <c r="AW38" s="6" t="e">
        <f>AVERAGEIFS($R$2:$R$999,$N$2:$N$999,"&gt;=5",$P$2:$P$999,"&gt;=4.1",$P$2:$P$999,"&lt;=5",$E$2:$E$999,"YES",$F$2:$F$999,"UP",$C$2:$C$999,"&gt;=0.01")</f>
        <v>#DIV/0!</v>
      </c>
      <c r="AY38" s="6" t="e">
        <f>AVERAGEIFS($R$2:$R$999,$P$2:$P$999,"&gt;=4.1",$P$2:$P$999,"&lt;=5",$C$2:$C$999,"&lt;=9.4",$C$2:$C$999,"&gt;=0.01")</f>
        <v>#DIV/0!</v>
      </c>
      <c r="AZ38" s="6" t="e">
        <f>AVERAGEIFS($R$2:$R$999,$N$2:$N$999,"&lt;=-5",$P$2:$P$999,"&gt;=4.1",$P$2:$P$999,"&lt;=5",$C$2:$C$999,"&lt;=9.4",$C$2:$C$999,"&gt;=0.01")</f>
        <v>#DIV/0!</v>
      </c>
      <c r="BA38" s="6" t="e">
        <f>AVERAGEIFS($R$2:$R$999,$N$2:$N$999,"&gt;=-4.5",$N$2:$N$999,"&lt;=4.5",$P$2:$P$999,"&gt;=4.1",$P$2:$P$999,"&lt;=5",$C$2:$C$999,"&lt;=9.4",$C$2:$C$999,"&gt;=0.01")</f>
        <v>#DIV/0!</v>
      </c>
      <c r="BB38" s="6" t="e">
        <f>AVERAGEIFS($R$2:$R$999,$N$2:$N$999,"&gt;=5",$P$2:$P$999,"&gt;=4.1",$P$2:$P$999,"&lt;=5",$C$2:$C$999,"&lt;=9.4",$C$2:$C$999,"&gt;=0.01")</f>
        <v>#DIV/0!</v>
      </c>
      <c r="BC38" s="3"/>
      <c r="BD38" s="4" t="e">
        <f>AVERAGEIFS($R$2:$R$999,$P$2:$P$999,"&gt;=4.1",$P$2:$P$999,"&lt;=5",$J$2:$J$999,"YES")</f>
        <v>#DIV/0!</v>
      </c>
      <c r="BE38" s="4" t="e">
        <f>AVERAGEIFS($R$2:$R$999,$N$2:$N$999,"&lt;=-5",$P$2:$P$999,"&gt;=4.1",$P$2:$P$999,"&lt;=5",$J$2:$J$999,"YES")</f>
        <v>#DIV/0!</v>
      </c>
      <c r="BF38" s="4" t="e">
        <f>AVERAGEIFS($R$2:$R$999,$N$2:$N$999,"&gt;=-4.5",$N$2:$N$999,"&lt;=4.5",$P$2:$P$999,"&gt;=4.1",$P$2:$P$999,"&lt;=5",$J$2:$J$999,"YES")</f>
        <v>#DIV/0!</v>
      </c>
      <c r="BG38" s="4" t="e">
        <f>AVERAGEIFS($R$2:$R$999,$N$2:$N$999,"&gt;=5",$P$2:$P$999,"&gt;=4.1",$P$2:$P$999,"&lt;=5",$J$2:$J$999,"YES")</f>
        <v>#DIV/0!</v>
      </c>
      <c r="BI38" s="1"/>
      <c r="BJ38" s="1"/>
      <c r="BK38" s="1"/>
      <c r="BQ38" s="1"/>
    </row>
    <row r="39" spans="1:69" x14ac:dyDescent="0.2">
      <c r="A39" s="8">
        <v>16</v>
      </c>
      <c r="B39" s="8" t="s">
        <v>159</v>
      </c>
      <c r="C39" s="8"/>
      <c r="D39" s="8"/>
      <c r="E39" s="8"/>
      <c r="F39" s="8"/>
      <c r="G39" s="8" t="s">
        <v>75</v>
      </c>
      <c r="H39" s="8"/>
      <c r="I39" s="8"/>
      <c r="J39" s="8"/>
      <c r="K39" s="8"/>
      <c r="L39" s="8"/>
      <c r="M39" s="8"/>
      <c r="N39" s="8"/>
      <c r="O39" s="8"/>
      <c r="P39" s="8"/>
      <c r="R39" s="9"/>
      <c r="U39" s="1"/>
      <c r="V39" s="1"/>
      <c r="W39" s="1"/>
      <c r="X39" s="1"/>
      <c r="Z39" s="9"/>
      <c r="AA39" s="9"/>
      <c r="AB39" s="9"/>
      <c r="AC39" s="9"/>
      <c r="AE39" s="9"/>
      <c r="AF39" s="9"/>
      <c r="AG39" s="9"/>
      <c r="AH39" s="9"/>
      <c r="AJ39" s="6"/>
      <c r="AK39" s="6"/>
      <c r="AL39" s="6"/>
      <c r="AM39" s="6"/>
      <c r="AO39" s="6"/>
      <c r="AP39" s="6"/>
      <c r="AQ39" s="6"/>
      <c r="AR39" s="6"/>
      <c r="AT39" s="6"/>
      <c r="AU39" s="6"/>
      <c r="AV39" s="6"/>
      <c r="AW39" s="6"/>
      <c r="AY39" s="6"/>
      <c r="AZ39" s="6"/>
      <c r="BA39" s="6"/>
      <c r="BB39" s="6"/>
      <c r="BC39" s="3"/>
      <c r="BD39" s="4"/>
      <c r="BE39" s="4"/>
      <c r="BF39" s="4"/>
      <c r="BG39" s="4"/>
      <c r="BI39" s="1"/>
      <c r="BJ39" s="1"/>
      <c r="BK39" s="1"/>
      <c r="BQ39" s="1"/>
    </row>
    <row r="40" spans="1:69" x14ac:dyDescent="0.2">
      <c r="A40" s="8">
        <v>16</v>
      </c>
      <c r="B40" s="8" t="s">
        <v>160</v>
      </c>
      <c r="C40" s="8"/>
      <c r="D40" s="8"/>
      <c r="E40" s="8"/>
      <c r="F40" s="8"/>
      <c r="G40" s="8" t="s">
        <v>75</v>
      </c>
      <c r="H40" s="8"/>
      <c r="I40" s="8"/>
      <c r="J40" s="8"/>
      <c r="K40" s="8"/>
      <c r="L40" s="8"/>
      <c r="M40" s="8"/>
      <c r="N40" s="8"/>
      <c r="O40" s="8"/>
      <c r="P40" s="8"/>
      <c r="R40" s="9"/>
      <c r="T40" t="s">
        <v>40</v>
      </c>
      <c r="U40" s="1" t="s">
        <v>34</v>
      </c>
      <c r="V40" s="1" t="s">
        <v>31</v>
      </c>
      <c r="W40" s="1" t="s">
        <v>43</v>
      </c>
      <c r="X40" s="1" t="s">
        <v>30</v>
      </c>
      <c r="Z40" s="8" t="s">
        <v>37</v>
      </c>
      <c r="AA40" s="9" t="s">
        <v>31</v>
      </c>
      <c r="AB40" s="9" t="s">
        <v>43</v>
      </c>
      <c r="AC40" s="9" t="s">
        <v>30</v>
      </c>
      <c r="AE40" s="8" t="s">
        <v>37</v>
      </c>
      <c r="AF40" s="9" t="s">
        <v>31</v>
      </c>
      <c r="AG40" s="9" t="s">
        <v>43</v>
      </c>
      <c r="AH40" s="9" t="s">
        <v>30</v>
      </c>
      <c r="AI40" s="5" t="s">
        <v>40</v>
      </c>
      <c r="AJ40" s="6" t="s">
        <v>34</v>
      </c>
      <c r="AK40" s="6" t="s">
        <v>31</v>
      </c>
      <c r="AL40" s="6" t="s">
        <v>43</v>
      </c>
      <c r="AM40" s="6" t="s">
        <v>30</v>
      </c>
      <c r="AO40" s="5" t="s">
        <v>37</v>
      </c>
      <c r="AP40" s="6" t="s">
        <v>31</v>
      </c>
      <c r="AQ40" s="6" t="s">
        <v>43</v>
      </c>
      <c r="AR40" s="6" t="s">
        <v>30</v>
      </c>
      <c r="AT40" s="5" t="s">
        <v>37</v>
      </c>
      <c r="AU40" s="6" t="s">
        <v>31</v>
      </c>
      <c r="AV40" s="6" t="s">
        <v>43</v>
      </c>
      <c r="AW40" s="6" t="s">
        <v>30</v>
      </c>
      <c r="AY40" s="5" t="s">
        <v>37</v>
      </c>
      <c r="AZ40" s="6" t="s">
        <v>31</v>
      </c>
      <c r="BA40" s="6" t="s">
        <v>43</v>
      </c>
      <c r="BB40" s="6" t="s">
        <v>30</v>
      </c>
      <c r="BC40" s="3"/>
      <c r="BD40" s="3" t="s">
        <v>37</v>
      </c>
      <c r="BE40" s="4" t="s">
        <v>31</v>
      </c>
      <c r="BF40" s="4" t="s">
        <v>43</v>
      </c>
      <c r="BG40" s="4" t="s">
        <v>30</v>
      </c>
      <c r="BI40" s="1"/>
      <c r="BJ40" s="1"/>
      <c r="BK40" s="1"/>
      <c r="BQ40" s="1"/>
    </row>
    <row r="41" spans="1:69" x14ac:dyDescent="0.2">
      <c r="A41" s="8">
        <v>16</v>
      </c>
      <c r="B41" s="8" t="s">
        <v>95</v>
      </c>
      <c r="C41" s="8"/>
      <c r="D41" s="8"/>
      <c r="E41" s="8"/>
      <c r="F41" s="8"/>
      <c r="G41" s="8" t="s">
        <v>75</v>
      </c>
      <c r="H41" s="8"/>
      <c r="I41" s="8"/>
      <c r="J41" s="8" t="s">
        <v>75</v>
      </c>
      <c r="K41" s="8"/>
      <c r="L41" s="8"/>
      <c r="M41" s="8"/>
      <c r="N41" s="8"/>
      <c r="O41" s="8"/>
      <c r="P41" s="8"/>
      <c r="R41" s="9"/>
      <c r="U41" s="1" t="e">
        <f>AVERAGEIFS($R$2:$R$999,$P$2:$P$999,"&gt;=5.1",$P$2:$P$999,"&lt;=6.2",$O$2:$O$999,"&lt;=44")</f>
        <v>#DIV/0!</v>
      </c>
      <c r="V41" s="1" t="e">
        <f>AVERAGEIFS($R$2:$R$999,$N$2:$N$999,"&lt;=-5",$P$2:$P$999,"&gt;=5.1",$P$2:$P$999,"&lt;=6.2",$O$2:$O$999,"&lt;=44")</f>
        <v>#DIV/0!</v>
      </c>
      <c r="W41" s="1" t="e">
        <f>AVERAGEIFS($R$2:$R$999,$N$2:$N$999,"&gt;=-4.5",$N$2:$N$999,"&lt;=4.5",$P$2:$P$999,"&gt;=5.1",$P$2:$P$999,"&lt;=6.2",$O$2:$O$999,"&lt;=44")</f>
        <v>#DIV/0!</v>
      </c>
      <c r="X41" s="1" t="e">
        <f>AVERAGEIFS($R$2:$R$999,$N$2:$N$999,"&gt;=5",$P$2:$P$999,"&gt;=5.1",$P$2:$P$999,"&lt;=6.2",$O$2:$O$999,"&lt;=44")</f>
        <v>#DIV/0!</v>
      </c>
      <c r="Z41" s="9" t="e">
        <f>AVERAGEIFS($R$2:$R$999,$P$2:$P$999,"&gt;=5.1",$P$2:$P$999,"&lt;=6.2",$E$2:$E$999,"YES")</f>
        <v>#DIV/0!</v>
      </c>
      <c r="AA41" s="9" t="e">
        <f>AVERAGEIFS($R$2:$R$999,$N$2:$N$999,"&lt;=-5",$P$2:$P$999,"&gt;=5.1",$P$2:$P$999,"&lt;=6.2",$E$2:$E$999,"YES")</f>
        <v>#DIV/0!</v>
      </c>
      <c r="AB41" s="9" t="e">
        <f>AVERAGEIFS($R$2:$R$999,$N$2:$N$999,"&gt;=-4.5",$N$2:$N$999,"&lt;=4.5",$P$2:$P$999,"&gt;=5.1",$P$2:$P$999,"&lt;=6.2",$E$2:$E$999,"YES")</f>
        <v>#DIV/0!</v>
      </c>
      <c r="AC41" s="9" t="e">
        <f>AVERAGEIFS($R$2:$R$999,$N$2:$N$999,"&gt;=5",$P$2:$P$999,"&gt;=5.1",$P$2:$P$999,"&lt;=6.2",$E$2:$E$999,"YES")</f>
        <v>#DIV/0!</v>
      </c>
      <c r="AE41" s="9" t="e">
        <f>AVERAGEIFS($R$2:$R$999,$P$2:$P$999,"&gt;=5.1",$P$2:$P$999,"&lt;=6.2",$E$2:$E$999,"YES",$F$2:$F$999,"UP")</f>
        <v>#DIV/0!</v>
      </c>
      <c r="AF41" s="9" t="e">
        <f>AVERAGEIFS($R$2:$R$999,$N$2:$N$999,"&lt;=-5",$P$2:$P$999,"&gt;=5.1",$P$2:$P$999,"&lt;=6.2",$E$2:$E$999,"YES",$F$2:$F$999,"UP")</f>
        <v>#DIV/0!</v>
      </c>
      <c r="AG41" s="9" t="e">
        <f>AVERAGEIFS($R$2:$R$999,$N$2:$N$999,"&gt;=-4.5",$N$2:$N$999,"&lt;=4.5",$P$2:$P$999,"&gt;=5.1",$P$2:$P$999,"&lt;=6.2",$E$2:$E$999,"YES",$F$2:$F$999,"UP")</f>
        <v>#DIV/0!</v>
      </c>
      <c r="AH41" s="9" t="e">
        <f>AVERAGEIFS($R$2:$R$999,$N$2:$N$999,"&gt;=5",$P$2:$P$999,"&gt;=5.1",$P$2:$P$999,"&lt;=6.2",$E$2:$E$999,"YES",$F$2:$F$999,"UP")</f>
        <v>#DIV/0!</v>
      </c>
      <c r="AJ41" s="6" t="e">
        <f>AVERAGEIFS($R$2:$R$999,$P$2:$P$999,"&gt;=5.1",$P$2:$P$999,"&lt;=6.2",$O$2:$O$999,"&lt;=44",$C$2:$C$999,"&gt;=0.01")</f>
        <v>#DIV/0!</v>
      </c>
      <c r="AK41" s="6" t="e">
        <f>AVERAGEIFS($R$2:$R$999,$N$2:$N$999,"&lt;=-5",$P$2:$P$999,"&gt;=5.1",$P$2:$P$999,"&lt;=6.2",$O$2:$O$999,"&lt;=44",$C$2:$C$999,"&gt;=0.01")</f>
        <v>#DIV/0!</v>
      </c>
      <c r="AL41" s="6" t="e">
        <f>AVERAGEIFS($R$2:$R$999,$N$2:$N$999,"&gt;=-4.5",$N$2:$N$999,"&lt;=4.5",$P$2:$P$999,"&gt;=5.1",$P$2:$P$999,"&lt;=6.2",$O$2:$O$999,"&lt;=44",$C$2:$C$999,"&gt;=0.01")</f>
        <v>#DIV/0!</v>
      </c>
      <c r="AM41" s="6" t="e">
        <f>AVERAGEIFS($R$2:$R$999,$N$2:$N$999,"&gt;=5",$P$2:$P$999,"&gt;=5.1",$P$2:$P$999,"&lt;=6.2",$O$2:$O$999,"&lt;=44",$C$2:$C$999,"&gt;=0.01")</f>
        <v>#DIV/0!</v>
      </c>
      <c r="AO41" s="6" t="e">
        <f>AVERAGEIFS($R$2:$R$999,$P$2:$P$999,"&gt;=5.1",$P$2:$P$999,"&lt;=6.2",$E$2:$E$999,"YES",$C$2:$C$999,"&gt;=0.01")</f>
        <v>#DIV/0!</v>
      </c>
      <c r="AP41" s="6" t="e">
        <f>AVERAGEIFS($R$2:$R$999,$N$2:$N$999,"&lt;=-5",$P$2:$P$999,"&gt;=5.1",$P$2:$P$999,"&lt;=6.2",$E$2:$E$999,"YES",$C$2:$C$999,"&gt;=0.01")</f>
        <v>#DIV/0!</v>
      </c>
      <c r="AQ41" s="6" t="e">
        <f>AVERAGEIFS($R$2:$R$999,$N$2:$N$999,"&gt;=-4.5",$N$2:$N$999,"&lt;=4.5",$P$2:$P$999,"&gt;=5.1",$P$2:$P$999,"&lt;=6.2",$E$2:$E$999,"YES",$C$2:$C$999,"&gt;=0.01")</f>
        <v>#DIV/0!</v>
      </c>
      <c r="AR41" s="6" t="e">
        <f>AVERAGEIFS($R$2:$R$999,$N$2:$N$999,"&gt;=5",$P$2:$P$999,"&gt;=5.1",$P$2:$P$999,"&lt;=6.2",$E$2:$E$999,"YES",$C$2:$C$999,"&gt;=0.01")</f>
        <v>#DIV/0!</v>
      </c>
      <c r="AT41" s="6" t="e">
        <f>AVERAGEIFS($R$2:$R$999,$P$2:$P$999,"&gt;=5.1",$P$2:$P$999,"&lt;=6.2",$E$2:$E$999,"YES",$F$2:$F$999,"UP",$C$2:$C$999,"&gt;=0.01")</f>
        <v>#DIV/0!</v>
      </c>
      <c r="AU41" s="6" t="e">
        <f>AVERAGEIFS($R$2:$R$999,$N$2:$N$999,"&lt;=-5",$P$2:$P$999,"&gt;=5.1",$P$2:$P$999,"&lt;=6.2",$E$2:$E$999,"YES",$F$2:$F$999,"UP",$C$2:$C$999,"&gt;=0.01")</f>
        <v>#DIV/0!</v>
      </c>
      <c r="AV41" s="6" t="e">
        <f>AVERAGEIFS($R$2:$R$999,$N$2:$N$999,"&gt;=-4.5",$N$2:$N$999,"&lt;=4.5",$P$2:$P$999,"&gt;=5.1",$P$2:$P$999,"&lt;=6.2",$E$2:$E$999,"YES",$F$2:$F$999,"UP",$C$2:$C$999,"&gt;=0.01")</f>
        <v>#DIV/0!</v>
      </c>
      <c r="AW41" s="6" t="e">
        <f>AVERAGEIFS($R$2:$R$999,$N$2:$N$999,"&gt;=5",$P$2:$P$999,"&gt;=5.1",$P$2:$P$999,"&lt;=6.2",$E$2:$E$999,"YES",$F$2:$F$999,"UP",$C$2:$C$999,"&gt;=0.01")</f>
        <v>#DIV/0!</v>
      </c>
      <c r="AY41" s="6" t="e">
        <f>AVERAGEIFS($R$2:$R$999,$P$2:$P$999,"&gt;=5.1",$P$2:$P$999,"&lt;=6.2",$C$2:$C$999,"&lt;=9.4",$C$2:$C$999,"&gt;=0.01")</f>
        <v>#DIV/0!</v>
      </c>
      <c r="AZ41" s="6" t="e">
        <f>AVERAGEIFS($R$2:$R$999,$N$2:$N$999,"&lt;=-5",$P$2:$P$999,"&gt;=5.1",$P$2:$P$999,"&lt;=6.2",$C$2:$C$999,"&lt;=9.4",$C$2:$C$999,"&gt;=0.01")</f>
        <v>#DIV/0!</v>
      </c>
      <c r="BA41" s="6" t="e">
        <f>AVERAGEIFS($R$2:$R$999,$N$2:$N$999,"&gt;=-4.5",$N$2:$N$999,"&lt;=4.5",$P$2:$P$999,"&gt;=5.1",$P$2:$P$999,"&lt;=6.2",$C$2:$C$999,"&lt;=9.4",$C$2:$C$999,"&gt;=0.01")</f>
        <v>#DIV/0!</v>
      </c>
      <c r="BB41" s="6" t="e">
        <f>AVERAGEIFS($R$2:$R$999,$N$2:$N$999,"&gt;=5",$P$2:$P$999,"&gt;=5.1",$P$2:$P$999,"&lt;=6.2",$C$2:$C$999,"&lt;=9.4",$C$2:$C$999,"&gt;=0.01")</f>
        <v>#DIV/0!</v>
      </c>
      <c r="BC41" s="3"/>
      <c r="BD41" s="4" t="e">
        <f>AVERAGEIFS($R$2:$R$999,$P$2:$P$999,"&gt;=5.1",$P$2:$P$999,"&lt;=6.2",$J$2:$J$999,"YES")</f>
        <v>#DIV/0!</v>
      </c>
      <c r="BE41" s="4" t="e">
        <f>AVERAGEIFS($R$2:$R$999,$N$2:$N$999,"&lt;=-5",$P$2:$P$999,"&gt;=5.1",$P$2:$P$999,"&lt;=6.2",$J$2:$J$999,"YES")</f>
        <v>#DIV/0!</v>
      </c>
      <c r="BF41" s="4" t="e">
        <f>AVERAGEIFS($R$2:$R$999,$N$2:$N$999,"&gt;=-4.5",$N$2:$N$999,"&lt;=4.5",$P$2:$P$999,"&gt;=5.1",$P$2:$P$999,"&lt;=6.2",$J$2:$J$999,"YES")</f>
        <v>#DIV/0!</v>
      </c>
      <c r="BG41" s="4" t="e">
        <f>AVERAGEIFS($R$2:$R$999,$N$2:$N$999,"&gt;=5",$P$2:$P$999,"&gt;=5.1",$P$2:$P$999,"&lt;=6.2",$J$2:$J$999,"YES")</f>
        <v>#DIV/0!</v>
      </c>
      <c r="BI41" s="1"/>
      <c r="BJ41" s="1"/>
      <c r="BK41" s="1"/>
      <c r="BQ41" s="1"/>
    </row>
    <row r="42" spans="1:69" x14ac:dyDescent="0.2">
      <c r="A42" s="8">
        <v>16</v>
      </c>
      <c r="B42" s="8" t="s">
        <v>174</v>
      </c>
      <c r="C42" s="8"/>
      <c r="D42" s="8"/>
      <c r="E42" s="8"/>
      <c r="F42" s="8"/>
      <c r="G42" s="8" t="s">
        <v>75</v>
      </c>
      <c r="H42" s="8"/>
      <c r="I42" s="8"/>
      <c r="J42" s="8" t="s">
        <v>75</v>
      </c>
      <c r="K42" s="8"/>
      <c r="L42" s="8"/>
      <c r="M42" s="8"/>
      <c r="N42" s="8"/>
      <c r="O42" s="8"/>
      <c r="P42" s="8"/>
      <c r="R42" s="9"/>
      <c r="U42" s="1"/>
      <c r="V42" s="1"/>
      <c r="W42" s="1"/>
      <c r="X42" s="1"/>
      <c r="Z42" s="9"/>
      <c r="AA42" s="9"/>
      <c r="AB42" s="9"/>
      <c r="AC42" s="9"/>
      <c r="AE42" s="9"/>
      <c r="AF42" s="9"/>
      <c r="AG42" s="9"/>
      <c r="AH42" s="9"/>
      <c r="AJ42" s="6"/>
      <c r="AK42" s="6"/>
      <c r="AL42" s="6"/>
      <c r="AM42" s="6"/>
      <c r="AO42" s="6"/>
      <c r="AP42" s="6"/>
      <c r="AQ42" s="6"/>
      <c r="AR42" s="6"/>
      <c r="AT42" s="6"/>
      <c r="AU42" s="6"/>
      <c r="AV42" s="6"/>
      <c r="AW42" s="6"/>
      <c r="AY42" s="6"/>
      <c r="AZ42" s="6"/>
      <c r="BA42" s="6"/>
      <c r="BB42" s="6"/>
      <c r="BC42" s="3"/>
      <c r="BD42" s="4"/>
      <c r="BE42" s="4"/>
      <c r="BF42" s="4"/>
      <c r="BG42" s="4"/>
      <c r="BI42" s="1"/>
      <c r="BJ42" s="1"/>
      <c r="BK42" s="1"/>
      <c r="BQ42" s="1"/>
    </row>
    <row r="43" spans="1:69" x14ac:dyDescent="0.2">
      <c r="A43" s="8">
        <v>16</v>
      </c>
      <c r="B43" s="8" t="s">
        <v>137</v>
      </c>
      <c r="C43" s="8"/>
      <c r="D43" s="8"/>
      <c r="E43" s="8"/>
      <c r="F43" s="8"/>
      <c r="G43" s="8" t="s">
        <v>75</v>
      </c>
      <c r="H43" s="8"/>
      <c r="I43" s="8"/>
      <c r="J43" s="8" t="s">
        <v>75</v>
      </c>
      <c r="K43" s="8"/>
      <c r="L43" s="8"/>
      <c r="M43" s="8"/>
      <c r="N43" s="8"/>
      <c r="O43" s="8"/>
      <c r="P43" s="8"/>
      <c r="R43" s="9"/>
      <c r="T43" t="s">
        <v>40</v>
      </c>
      <c r="U43" s="1" t="s">
        <v>35</v>
      </c>
      <c r="V43" s="1" t="s">
        <v>31</v>
      </c>
      <c r="W43" s="1" t="s">
        <v>43</v>
      </c>
      <c r="X43" s="1" t="s">
        <v>30</v>
      </c>
      <c r="Z43" s="8" t="s">
        <v>35</v>
      </c>
      <c r="AA43" s="9" t="s">
        <v>31</v>
      </c>
      <c r="AB43" s="9" t="s">
        <v>43</v>
      </c>
      <c r="AC43" s="9" t="s">
        <v>30</v>
      </c>
      <c r="AE43" s="8" t="s">
        <v>35</v>
      </c>
      <c r="AF43" s="9" t="s">
        <v>31</v>
      </c>
      <c r="AG43" s="9" t="s">
        <v>43</v>
      </c>
      <c r="AH43" s="9" t="s">
        <v>30</v>
      </c>
      <c r="AI43" s="5" t="s">
        <v>40</v>
      </c>
      <c r="AJ43" s="6" t="s">
        <v>35</v>
      </c>
      <c r="AK43" s="6" t="s">
        <v>31</v>
      </c>
      <c r="AL43" s="6" t="s">
        <v>43</v>
      </c>
      <c r="AM43" s="6" t="s">
        <v>30</v>
      </c>
      <c r="AO43" s="5" t="s">
        <v>35</v>
      </c>
      <c r="AP43" s="6" t="s">
        <v>31</v>
      </c>
      <c r="AQ43" s="6" t="s">
        <v>43</v>
      </c>
      <c r="AR43" s="6" t="s">
        <v>30</v>
      </c>
      <c r="AT43" s="5" t="s">
        <v>35</v>
      </c>
      <c r="AU43" s="6" t="s">
        <v>31</v>
      </c>
      <c r="AV43" s="6" t="s">
        <v>43</v>
      </c>
      <c r="AW43" s="6" t="s">
        <v>30</v>
      </c>
      <c r="AY43" s="5" t="s">
        <v>35</v>
      </c>
      <c r="AZ43" s="6" t="s">
        <v>31</v>
      </c>
      <c r="BA43" s="6" t="s">
        <v>43</v>
      </c>
      <c r="BB43" s="6" t="s">
        <v>30</v>
      </c>
      <c r="BC43" s="3"/>
      <c r="BD43" s="3" t="s">
        <v>35</v>
      </c>
      <c r="BE43" s="4" t="s">
        <v>31</v>
      </c>
      <c r="BF43" s="4" t="s">
        <v>43</v>
      </c>
      <c r="BG43" s="4" t="s">
        <v>30</v>
      </c>
      <c r="BI43" s="1"/>
      <c r="BJ43" s="1"/>
      <c r="BK43" s="1"/>
      <c r="BQ43" s="1"/>
    </row>
    <row r="44" spans="1:69" x14ac:dyDescent="0.2">
      <c r="A44" s="8">
        <v>16</v>
      </c>
      <c r="B44" s="8" t="s">
        <v>70</v>
      </c>
      <c r="C44" s="8"/>
      <c r="D44" s="8" t="s">
        <v>75</v>
      </c>
      <c r="E44" s="8"/>
      <c r="F44" s="8"/>
      <c r="G44" s="8"/>
      <c r="H44" s="8" t="s">
        <v>75</v>
      </c>
      <c r="I44" s="8" t="s">
        <v>183</v>
      </c>
      <c r="J44" s="8" t="s">
        <v>183</v>
      </c>
      <c r="K44" s="8"/>
      <c r="L44" s="8"/>
      <c r="M44" s="8"/>
      <c r="N44" s="8"/>
      <c r="O44" s="8"/>
      <c r="P44" s="8"/>
      <c r="R44" s="9"/>
      <c r="U44" s="1" t="e">
        <f>AVERAGEIFS($R$2:$R$999,$P$2:$P$999,"&gt;=6.3",$O$2:$O$999,"&lt;=44")</f>
        <v>#DIV/0!</v>
      </c>
      <c r="V44" s="1" t="e">
        <f>AVERAGEIFS($R$2:$R$999,$N$2:$N$999,"&lt;=-5",$P$2:$P$999,"&gt;=6.3",$O$2:$O$999,"&lt;=44")</f>
        <v>#DIV/0!</v>
      </c>
      <c r="W44" s="1" t="e">
        <f>AVERAGEIFS($R$2:$R$999,$N$2:$N$999,"&gt;=-4.5",$N$2:$N$999,"&lt;=4.5",$P$2:$P$999,"&gt;=6.3",$O$2:$O$999,"&lt;=44")</f>
        <v>#DIV/0!</v>
      </c>
      <c r="X44" s="1" t="e">
        <f>AVERAGEIFS($R$2:$R$999,$N$2:$N$999,"&gt;=5",$P$2:$P$999,"&gt;=6.3",$O$2:$O$999,"&lt;=44")</f>
        <v>#DIV/0!</v>
      </c>
      <c r="Z44" s="9" t="e">
        <f>AVERAGEIFS($R$2:$R$999,$P$2:$P$999,"&gt;=6.3",$E$2:$E$999,"YES")</f>
        <v>#DIV/0!</v>
      </c>
      <c r="AA44" s="9" t="e">
        <f>AVERAGEIFS($R$2:$R$999,$N$2:$N$999,"&lt;=-5",$P$2:$P$999,"&gt;=6.3",$E$2:$E$999,"YES")</f>
        <v>#DIV/0!</v>
      </c>
      <c r="AB44" s="9" t="e">
        <f>AVERAGEIFS($R$2:$R$999,$N$2:$N$999,"&gt;=-4.5",$N$2:$N$999,"&lt;=4.5",$P$2:$P$999,"&gt;=6.3",$E$2:$E$999,"YES")</f>
        <v>#DIV/0!</v>
      </c>
      <c r="AC44" s="9" t="e">
        <f>AVERAGEIFS($R$2:$R$999,$N$2:$N$999,"&gt;=5",$P$2:$P$999,"&gt;=6.3",$E$2:$E$999,"YES")</f>
        <v>#DIV/0!</v>
      </c>
      <c r="AE44" s="9" t="e">
        <f>AVERAGEIFS($R$2:$R$999,$P$2:$P$999,"&gt;=6.3",$E$2:$E$999,"YES",$F$2:$F$999,"UP")</f>
        <v>#DIV/0!</v>
      </c>
      <c r="AF44" s="9" t="e">
        <f>AVERAGEIFS($R$2:$R$999,$N$2:$N$999,"&lt;=-5",$P$2:$P$999,"&gt;=6.3",$E$2:$E$999,"YES",$F$2:$F$999,"UP")</f>
        <v>#DIV/0!</v>
      </c>
      <c r="AG44" s="9" t="e">
        <f>AVERAGEIFS($R$2:$R$999,$N$2:$N$999,"&gt;=-4.5",$N$2:$N$999,"&lt;=4.5",$P$2:$P$999,"&gt;=6.3",$E$2:$E$999,"YES",$F$2:$F$999,"UP")</f>
        <v>#DIV/0!</v>
      </c>
      <c r="AH44" s="9" t="e">
        <f>AVERAGEIFS($R$2:$R$999,$N$2:$N$999,"&gt;=5",$P$2:$P$999,"&gt;=6.3",$E$2:$E$999,"YES",$F$2:$F$999,"UP")</f>
        <v>#DIV/0!</v>
      </c>
      <c r="AJ44" s="6" t="e">
        <f>AVERAGEIFS($R$2:$R$999,$P$2:$P$999,"&gt;=6.3",$O$2:$O$999,"&lt;=44",$C$2:$C$999,"&gt;=0.01")</f>
        <v>#DIV/0!</v>
      </c>
      <c r="AK44" s="6" t="e">
        <f>AVERAGEIFS($R$2:$R$999,$N$2:$N$999,"&lt;=-5",$P$2:$P$999,"&gt;=6.3",$O$2:$O$999,"&lt;=44",$C$2:$C$999,"&gt;=0.01")</f>
        <v>#DIV/0!</v>
      </c>
      <c r="AL44" s="6" t="e">
        <f>AVERAGEIFS($R$2:$R$999,$N$2:$N$999,"&gt;=-4.5",$N$2:$N$999,"&lt;=4.5",$P$2:$P$999,"&gt;=6.3",$O$2:$O$999,"&lt;=44",$C$2:$C$999,"&gt;=0.01")</f>
        <v>#DIV/0!</v>
      </c>
      <c r="AM44" s="6" t="e">
        <f>AVERAGEIFS($R$2:$R$999,$N$2:$N$999,"&gt;=5",$P$2:$P$999,"&gt;=6.3",$O$2:$O$999,"&lt;=44",$C$2:$C$999,"&gt;=0.01")</f>
        <v>#DIV/0!</v>
      </c>
      <c r="AO44" s="6" t="e">
        <f>AVERAGEIFS($R$2:$R$999,$P$2:$P$999,"&gt;=6.3",$E$2:$E$999,"YES",$C$2:$C$999,"&gt;=0.01")</f>
        <v>#DIV/0!</v>
      </c>
      <c r="AP44" s="6" t="e">
        <f>AVERAGEIFS($R$2:$R$999,$N$2:$N$999,"&lt;=-5",$P$2:$P$999,"&gt;=6.3",$E$2:$E$999,"YES",$C$2:$C$999,"&gt;=0.01")</f>
        <v>#DIV/0!</v>
      </c>
      <c r="AQ44" s="6" t="e">
        <f>AVERAGEIFS($R$2:$R$999,$N$2:$N$999,"&gt;=-4.5",$N$2:$N$999,"&lt;=4.5",$P$2:$P$999,"&gt;=6.3",$E$2:$E$999,"YES",$C$2:$C$999,"&gt;=0.01")</f>
        <v>#DIV/0!</v>
      </c>
      <c r="AR44" s="6" t="e">
        <f>AVERAGEIFS($R$2:$R$999,$N$2:$N$999,"&gt;=5",$P$2:$P$999,"&gt;=6.3",$E$2:$E$999,"YES",$C$2:$C$999,"&gt;=0.01")</f>
        <v>#DIV/0!</v>
      </c>
      <c r="AT44" s="6" t="e">
        <f>AVERAGEIFS($R$2:$R$999,$P$2:$P$999,"&gt;=6.3",$E$2:$E$999,"YES",$F$2:$F$999,"UP",$C$2:$C$999,"&gt;=0.01")</f>
        <v>#DIV/0!</v>
      </c>
      <c r="AU44" s="6" t="e">
        <f>AVERAGEIFS($R$2:$R$999,$N$2:$N$999,"&lt;=-5",$P$2:$P$999,"&gt;=6.3",$E$2:$E$999,"YES",$F$2:$F$999,"UP",$C$2:$C$999,"&gt;=0.01")</f>
        <v>#DIV/0!</v>
      </c>
      <c r="AV44" s="6" t="e">
        <f>AVERAGEIFS($R$2:$R$999,$N$2:$N$999,"&gt;=-4.5",$N$2:$N$999,"&lt;=4.5",$P$2:$P$999,"&gt;=6.3",$E$2:$E$999,"YES",$F$2:$F$999,"UP",$C$2:$C$999,"&gt;=0.01")</f>
        <v>#DIV/0!</v>
      </c>
      <c r="AW44" s="6" t="e">
        <f>AVERAGEIFS($R$2:$R$999,$N$2:$N$999,"&gt;=5",$P$2:$P$999,"&gt;=6.3",$E$2:$E$999,"YES",$F$2:$F$999,"UP",$C$2:$C$999,"&gt;=0.01")</f>
        <v>#DIV/0!</v>
      </c>
      <c r="AY44" s="6" t="e">
        <f>AVERAGEIFS($R$2:$R$999,$P$2:$P$999,"&gt;=6.3",$C$2:$C$999,"&lt;=9.4",$C$2:$C$999,"&gt;=0.01")</f>
        <v>#DIV/0!</v>
      </c>
      <c r="AZ44" s="6" t="e">
        <f>AVERAGEIFS($R$2:$R$999,$N$2:$N$999,"&lt;=-5",$P$2:$P$999,"&gt;=6.3",$C$2:$C$999,"&lt;=9.4",$C$2:$C$999,"&gt;=0.01")</f>
        <v>#DIV/0!</v>
      </c>
      <c r="BA44" s="6" t="e">
        <f>AVERAGEIFS($R$2:$R$999,$N$2:$N$999,"&gt;=-4.5",$N$2:$N$999,"&lt;=4.5",$P$2:$P$999,"&gt;=6.3",$C$2:$C$999,"&lt;=9.4",$C$2:$C$999,"&gt;=0.01")</f>
        <v>#DIV/0!</v>
      </c>
      <c r="BB44" s="6" t="e">
        <f>AVERAGEIFS($R$2:$R$999,$N$2:$N$999,"&gt;=5",$P$2:$P$999,"&gt;=6.3",$C$2:$C$999,"&lt;=9.4",$C$2:$C$999,"&gt;=0.01")</f>
        <v>#DIV/0!</v>
      </c>
      <c r="BC44" s="3"/>
      <c r="BD44" s="4" t="e">
        <f>AVERAGEIFS($R$2:$R$999,$P$2:$P$999,"&gt;=6.3",$J$2:$J$999,"YES")</f>
        <v>#DIV/0!</v>
      </c>
      <c r="BE44" s="4" t="e">
        <f>AVERAGEIFS($R$2:$R$999,$N$2:$N$999,"&lt;=-5",$J$2:$J$999,"YES")</f>
        <v>#DIV/0!</v>
      </c>
      <c r="BF44" s="4" t="e">
        <f>AVERAGEIFS($R$2:$R$999,$N$2:$N$999,"&gt;=-4.5",$N$2:$N$999,"&lt;=4.5",$P$2:$P$999,"&gt;=6.3",$J$2:$J$999,"YES")</f>
        <v>#DIV/0!</v>
      </c>
      <c r="BG44" s="4" t="e">
        <f>AVERAGEIFS($R$2:$R$999,$N$2:$N$999,"&gt;=5",$P$2:$P$999,"&gt;=6.3",$J$2:$J$999,"YES")</f>
        <v>#DIV/0!</v>
      </c>
      <c r="BI44" s="1"/>
      <c r="BJ44" s="1"/>
      <c r="BK44" s="1"/>
      <c r="BQ44" s="1"/>
    </row>
    <row r="45" spans="1:69" x14ac:dyDescent="0.2">
      <c r="A45" s="8">
        <v>16</v>
      </c>
      <c r="B45" s="8" t="s">
        <v>105</v>
      </c>
      <c r="C45" s="8"/>
      <c r="D45" s="8" t="s">
        <v>75</v>
      </c>
      <c r="E45" s="8"/>
      <c r="F45" s="8"/>
      <c r="G45" s="8"/>
      <c r="H45" s="8" t="s">
        <v>75</v>
      </c>
      <c r="I45" s="8" t="s">
        <v>183</v>
      </c>
      <c r="J45" s="8" t="s">
        <v>183</v>
      </c>
      <c r="K45" s="8"/>
      <c r="L45" s="8"/>
      <c r="M45" s="8"/>
      <c r="N45" s="8"/>
      <c r="O45" s="8"/>
      <c r="P45" s="8"/>
      <c r="R45" s="9"/>
      <c r="U45" s="1"/>
      <c r="V45" s="1"/>
      <c r="W45" s="1"/>
      <c r="X45" s="1"/>
      <c r="Z45" s="9"/>
      <c r="AA45" s="9"/>
      <c r="AB45" s="9"/>
      <c r="AC45" s="9"/>
      <c r="AD45" s="9"/>
      <c r="AF45" s="9"/>
      <c r="AG45" s="9"/>
      <c r="AH45" s="9"/>
      <c r="AJ45" s="6"/>
      <c r="AK45" s="6"/>
      <c r="AL45" s="6"/>
      <c r="AM45" s="6"/>
      <c r="AO45" s="6"/>
      <c r="AP45" s="6"/>
      <c r="AQ45" s="6"/>
      <c r="AR45" s="6"/>
      <c r="AS45" s="6"/>
      <c r="AU45" s="6"/>
      <c r="AV45" s="6"/>
      <c r="AW45" s="6"/>
      <c r="AY45" s="6"/>
      <c r="AZ45" s="6"/>
      <c r="BA45" s="6"/>
      <c r="BB45" s="6"/>
      <c r="BC45" s="3"/>
      <c r="BD45" s="3"/>
      <c r="BE45" s="3"/>
      <c r="BF45" s="3"/>
      <c r="BG45" s="3"/>
      <c r="BI45" s="1"/>
      <c r="BJ45" s="1"/>
      <c r="BK45" s="1"/>
      <c r="BQ45" s="1"/>
    </row>
    <row r="46" spans="1:69" x14ac:dyDescent="0.2">
      <c r="A46" s="8">
        <v>16</v>
      </c>
      <c r="B46" t="s">
        <v>48</v>
      </c>
      <c r="C46" s="8"/>
      <c r="D46" s="8" t="s">
        <v>75</v>
      </c>
      <c r="E46" s="8"/>
      <c r="F46" s="8"/>
      <c r="G46" s="8"/>
      <c r="H46" s="8" t="s">
        <v>75</v>
      </c>
      <c r="I46" s="8"/>
      <c r="J46" s="8"/>
      <c r="K46" s="8"/>
      <c r="L46" s="8"/>
      <c r="M46" s="8"/>
      <c r="N46" s="8"/>
      <c r="O46" s="8"/>
      <c r="P46" s="8"/>
      <c r="R46" s="9"/>
      <c r="T46" t="s">
        <v>41</v>
      </c>
      <c r="U46" s="1" t="s">
        <v>29</v>
      </c>
      <c r="V46" s="1" t="s">
        <v>31</v>
      </c>
      <c r="W46" s="1" t="s">
        <v>43</v>
      </c>
      <c r="X46" s="1" t="s">
        <v>30</v>
      </c>
      <c r="Z46" s="9"/>
      <c r="AA46" s="9"/>
      <c r="AB46" s="9"/>
      <c r="AC46" s="9"/>
      <c r="AD46" s="8" t="s">
        <v>111</v>
      </c>
      <c r="AE46" s="8" t="s">
        <v>111</v>
      </c>
      <c r="AF46" s="9" t="s">
        <v>31</v>
      </c>
      <c r="AG46" s="9" t="s">
        <v>43</v>
      </c>
      <c r="AH46" s="9" t="s">
        <v>30</v>
      </c>
      <c r="AI46" s="5" t="s">
        <v>41</v>
      </c>
      <c r="AJ46" s="6" t="s">
        <v>29</v>
      </c>
      <c r="AK46" s="6" t="s">
        <v>31</v>
      </c>
      <c r="AL46" s="6" t="s">
        <v>43</v>
      </c>
      <c r="AM46" s="6" t="s">
        <v>30</v>
      </c>
      <c r="AO46" s="6"/>
      <c r="AP46" s="6"/>
      <c r="AQ46" s="6"/>
      <c r="AR46" s="6"/>
      <c r="AS46" s="5" t="s">
        <v>111</v>
      </c>
      <c r="AT46" s="5" t="s">
        <v>111</v>
      </c>
      <c r="AU46" s="6" t="s">
        <v>31</v>
      </c>
      <c r="AV46" s="6" t="s">
        <v>43</v>
      </c>
      <c r="AW46" s="6" t="s">
        <v>30</v>
      </c>
      <c r="AY46" s="6"/>
      <c r="AZ46" s="6"/>
      <c r="BA46" s="6"/>
      <c r="BB46" s="6"/>
      <c r="BD46" s="1"/>
      <c r="BE46" s="1"/>
      <c r="BF46" s="1"/>
      <c r="BG46" s="1"/>
      <c r="BI46" s="1"/>
      <c r="BJ46" s="1"/>
      <c r="BK46" s="1"/>
      <c r="BQ46" s="1"/>
    </row>
    <row r="47" spans="1:69" x14ac:dyDescent="0.2">
      <c r="A47" s="8">
        <v>16</v>
      </c>
      <c r="B47" t="s">
        <v>106</v>
      </c>
      <c r="C47" s="8"/>
      <c r="D47" s="8" t="s">
        <v>75</v>
      </c>
      <c r="E47" s="8"/>
      <c r="F47" s="8"/>
      <c r="G47" s="8"/>
      <c r="H47" s="8" t="s">
        <v>75</v>
      </c>
      <c r="I47" s="8"/>
      <c r="J47" s="8"/>
      <c r="K47" s="8"/>
      <c r="L47" s="8"/>
      <c r="M47" s="8"/>
      <c r="N47" s="8"/>
      <c r="O47" s="8"/>
      <c r="P47" s="8"/>
      <c r="R47" s="9"/>
      <c r="U47" s="1" t="e">
        <f>AVERAGEIFS($R$2:$R$999,$O$2:$O$999,"&gt;=44.5",$O$2:$O$999,"&lt;=48.5")</f>
        <v>#DIV/0!</v>
      </c>
      <c r="V47" s="1" t="e">
        <f>AVERAGEIFS($R$2:$R$999,$N$2:$N$999,"&lt;=-5",$O$2:$O$999,"&gt;=44.5",$O$2:$O$999,"&lt;=48.5")</f>
        <v>#DIV/0!</v>
      </c>
      <c r="W47" s="1" t="e">
        <f>AVERAGEIFS($R$2:$R$999,$N$2:$N$999,"&gt;=-4.5",$N$2:$N$999,"&lt;=4.5",$O$2:$O$999,"&gt;=44.5",$O$2:$O$999,"&lt;=48.5")</f>
        <v>#DIV/0!</v>
      </c>
      <c r="X47" s="1" t="e">
        <f>AVERAGEIFS($R$2:$R$999,$N$2:$N$999,"&gt;=5",$O$2:$O$999,"&gt;=44.5",$O$2:$O$999,"&lt;=48.5")</f>
        <v>#DIV/0!</v>
      </c>
      <c r="Z47" s="9"/>
      <c r="AA47" s="9"/>
      <c r="AB47" s="9"/>
      <c r="AC47" s="9"/>
      <c r="AE47" s="9" t="e">
        <f>AVERAGEIFS($R$2:$R$999,$F$2:$F$999,"UP")</f>
        <v>#DIV/0!</v>
      </c>
      <c r="AF47" s="9" t="e">
        <f>AVERAGEIFS($R$2:$R$999,$N$2:$N$999,"&lt;=-5",$F$2:$F$999,"UP")</f>
        <v>#DIV/0!</v>
      </c>
      <c r="AG47" s="9" t="e">
        <f>AVERAGEIFS($R$2:$R$999,$N$2:$N$999,"&gt;=-4.5",$N$2:$N$999,"&lt;=4.5",$F$2:$F$999,"UP")</f>
        <v>#DIV/0!</v>
      </c>
      <c r="AH47" s="9" t="e">
        <f>AVERAGEIFS($R$2:$R$999,$N$2:$N$999,"&gt;=5",$F$2:$F$999,"UP")</f>
        <v>#DIV/0!</v>
      </c>
      <c r="AJ47" s="6" t="e">
        <f>AVERAGEIFS($R$2:$R$999,$O$2:$O$999,"&gt;=44.5",$O$2:$O$999,"&lt;=48.5",$C$2:$C$999,"&gt;=0.01")</f>
        <v>#DIV/0!</v>
      </c>
      <c r="AK47" s="6" t="e">
        <f>AVERAGEIFS($R$2:$R$999,$N$2:$N$999,"&lt;=-5",$O$2:$O$999,"&gt;=44.5",$O$2:$O$999,"&lt;=48.5",$C$2:$C$999,"&gt;=0.01")</f>
        <v>#DIV/0!</v>
      </c>
      <c r="AL47" s="6" t="e">
        <f>AVERAGEIFS($R$2:$R$999,$N$2:$N$999,"&gt;=-4.5",$N$2:$N$999,"&lt;=4.5",$O$2:$O$999,"&gt;=44.5",$O$2:$O$999,"&lt;=48.5",$C$2:$C$999,"&gt;=0.01")</f>
        <v>#DIV/0!</v>
      </c>
      <c r="AM47" s="6" t="e">
        <f>AVERAGEIFS($R$2:$R$999,$N$2:$N$999,"&gt;=5",$O$2:$O$999,"&gt;=44.5",$O$2:$O$999,"&lt;=48.5",$C$2:$C$999,"&gt;=0.01")</f>
        <v>#DIV/0!</v>
      </c>
      <c r="AO47" s="6"/>
      <c r="AP47" s="6"/>
      <c r="AQ47" s="6"/>
      <c r="AR47" s="6"/>
      <c r="AT47" s="6" t="e">
        <f>AVERAGEIFS($R$2:$R$999,$F$2:$F$999,"UP",$C$2:$C$999,"&gt;=0.01")</f>
        <v>#DIV/0!</v>
      </c>
      <c r="AU47" s="6" t="e">
        <f>AVERAGEIFS($R$2:$R$999,$N$2:$N$999,"&lt;=-5",$F$2:$F$999,"UP",$C$2:$C$999,"&gt;=0.01")</f>
        <v>#DIV/0!</v>
      </c>
      <c r="AV47" s="6" t="e">
        <f>AVERAGEIFS($R$2:$R$999,$N$2:$N$999,"&gt;=-4.5",$N$2:$N$999,"&lt;=4.5",$F$2:$F$999,"UP",$C$2:$C$999,"&gt;=0.01")</f>
        <v>#DIV/0!</v>
      </c>
      <c r="AW47" s="6" t="e">
        <f>AVERAGEIFS($R$2:$R$999,$N$2:$N$999,"&gt;=5",$F$2:$F$999,"UP",$C$2:$C$999,"&gt;=0.01")</f>
        <v>#DIV/0!</v>
      </c>
      <c r="AY47" s="6"/>
      <c r="AZ47" s="6"/>
      <c r="BA47" s="6"/>
      <c r="BB47" s="6"/>
      <c r="BD47" s="1"/>
      <c r="BE47" s="1"/>
      <c r="BF47" s="1"/>
      <c r="BG47" s="1"/>
      <c r="BI47" s="1"/>
      <c r="BJ47" s="1"/>
      <c r="BK47" s="1"/>
      <c r="BQ47" s="1"/>
    </row>
    <row r="48" spans="1:69" x14ac:dyDescent="0.2">
      <c r="A48" s="8">
        <v>16</v>
      </c>
      <c r="B48" t="s">
        <v>170</v>
      </c>
      <c r="C48" s="8"/>
      <c r="D48" s="8" t="s">
        <v>75</v>
      </c>
      <c r="E48" s="8"/>
      <c r="F48" s="8"/>
      <c r="G48" s="8"/>
      <c r="H48" s="8" t="s">
        <v>75</v>
      </c>
      <c r="I48" s="8"/>
      <c r="J48" s="8"/>
      <c r="K48" s="8"/>
      <c r="L48" s="8"/>
      <c r="M48" s="8"/>
      <c r="N48" s="8"/>
      <c r="O48" s="8"/>
      <c r="P48" s="8"/>
      <c r="R48" s="9"/>
      <c r="U48" s="1"/>
      <c r="V48" s="1"/>
      <c r="W48" s="1"/>
      <c r="X48" s="1"/>
      <c r="Z48" s="9"/>
      <c r="AA48" s="9"/>
      <c r="AB48" s="9"/>
      <c r="AC48" s="9"/>
      <c r="AE48" s="9"/>
      <c r="AF48" s="9"/>
      <c r="AG48" s="9"/>
      <c r="AH48" s="9"/>
      <c r="AJ48" s="6"/>
      <c r="AK48" s="6"/>
      <c r="AL48" s="6"/>
      <c r="AM48" s="6"/>
      <c r="AO48" s="6"/>
      <c r="AP48" s="6"/>
      <c r="AQ48" s="6"/>
      <c r="AR48" s="6"/>
      <c r="AT48" s="6"/>
      <c r="AU48" s="6"/>
      <c r="AV48" s="6"/>
      <c r="AW48" s="6"/>
      <c r="AY48" s="6"/>
      <c r="AZ48" s="6"/>
      <c r="BA48" s="6"/>
      <c r="BB48" s="6"/>
      <c r="BD48" s="1"/>
      <c r="BE48" s="1"/>
      <c r="BF48" s="1"/>
      <c r="BG48" s="1"/>
      <c r="BI48" s="1"/>
      <c r="BJ48" s="1"/>
      <c r="BK48" s="1"/>
      <c r="BQ48" s="1"/>
    </row>
    <row r="49" spans="1:69" x14ac:dyDescent="0.2">
      <c r="A49" s="10">
        <v>16</v>
      </c>
      <c r="B49" s="10" t="s">
        <v>91</v>
      </c>
      <c r="C49" s="10"/>
      <c r="D49" s="10" t="s">
        <v>75</v>
      </c>
      <c r="E49" s="10" t="s">
        <v>75</v>
      </c>
      <c r="F49" s="10"/>
      <c r="G49" s="10"/>
      <c r="H49" s="10" t="s">
        <v>75</v>
      </c>
      <c r="I49" s="10" t="s">
        <v>75</v>
      </c>
      <c r="J49" s="8"/>
      <c r="K49" s="8"/>
      <c r="L49" s="8"/>
      <c r="M49" s="8"/>
      <c r="N49" s="8"/>
      <c r="O49" s="8"/>
      <c r="P49" s="8"/>
      <c r="R49" s="9"/>
      <c r="T49" t="s">
        <v>41</v>
      </c>
      <c r="U49" s="1" t="s">
        <v>33</v>
      </c>
      <c r="V49" s="1" t="s">
        <v>31</v>
      </c>
      <c r="W49" s="1" t="s">
        <v>43</v>
      </c>
      <c r="X49" s="1" t="s">
        <v>30</v>
      </c>
      <c r="Z49" s="9"/>
      <c r="AA49" s="9"/>
      <c r="AB49" s="9"/>
      <c r="AC49" s="9"/>
      <c r="AE49" s="8" t="s">
        <v>33</v>
      </c>
      <c r="AF49" s="9" t="s">
        <v>31</v>
      </c>
      <c r="AG49" s="9" t="s">
        <v>43</v>
      </c>
      <c r="AH49" s="9" t="s">
        <v>30</v>
      </c>
      <c r="AI49" s="5" t="s">
        <v>41</v>
      </c>
      <c r="AJ49" s="6" t="s">
        <v>33</v>
      </c>
      <c r="AK49" s="6" t="s">
        <v>31</v>
      </c>
      <c r="AL49" s="6" t="s">
        <v>43</v>
      </c>
      <c r="AM49" s="6" t="s">
        <v>30</v>
      </c>
      <c r="AO49" s="6"/>
      <c r="AP49" s="6"/>
      <c r="AQ49" s="6"/>
      <c r="AR49" s="6"/>
      <c r="AT49" s="5" t="s">
        <v>33</v>
      </c>
      <c r="AU49" s="6" t="s">
        <v>31</v>
      </c>
      <c r="AV49" s="6" t="s">
        <v>43</v>
      </c>
      <c r="AW49" s="6" t="s">
        <v>30</v>
      </c>
      <c r="AY49" s="6"/>
      <c r="AZ49" s="6"/>
      <c r="BA49" s="6"/>
      <c r="BB49" s="6"/>
      <c r="BD49" s="1"/>
      <c r="BE49" s="1"/>
      <c r="BF49" s="1"/>
      <c r="BG49" s="1"/>
      <c r="BI49" s="1"/>
      <c r="BJ49" s="1"/>
      <c r="BK49" s="1"/>
      <c r="BQ49" s="1"/>
    </row>
    <row r="50" spans="1:69" x14ac:dyDescent="0.2">
      <c r="A50" s="10">
        <v>16</v>
      </c>
      <c r="B50" s="10" t="s">
        <v>135</v>
      </c>
      <c r="C50" s="10"/>
      <c r="D50" s="10" t="s">
        <v>75</v>
      </c>
      <c r="E50" s="10" t="s">
        <v>75</v>
      </c>
      <c r="F50" s="10"/>
      <c r="G50" s="10"/>
      <c r="H50" s="10" t="s">
        <v>75</v>
      </c>
      <c r="I50" s="10" t="s">
        <v>75</v>
      </c>
      <c r="J50" s="8"/>
      <c r="K50" s="8"/>
      <c r="L50" s="8"/>
      <c r="M50" s="8"/>
      <c r="N50" s="8"/>
      <c r="O50" s="8"/>
      <c r="P50" s="8"/>
      <c r="R50" s="9"/>
      <c r="U50" s="1" t="e">
        <f>AVERAGEIFS($R$2:$R$999,$P$2:$P$999,"&lt;=4",$O$2:$O$999,"&gt;=44.5",$O$2:$O$999,"&lt;=48.5")</f>
        <v>#DIV/0!</v>
      </c>
      <c r="V50" s="1" t="e">
        <f>AVERAGEIFS($R$2:$R$999,$N$2:$N$999,"&lt;=-5",$P$2:$P$999,"&lt;=4",$O$2:$O$999,"&gt;=44.5",$O$2:$O$999,"&lt;=48.5")</f>
        <v>#DIV/0!</v>
      </c>
      <c r="W50" s="1" t="e">
        <f>AVERAGEIFS($R$2:$R$999,$N$2:$N$999,"&gt;=-4.5",$N$2:$N$999,"&lt;=4.5",$P$2:$P$999,"&lt;=4",$O$2:$O$999,"&gt;=44.5",$O$2:$O$999,"&lt;=48.5")</f>
        <v>#DIV/0!</v>
      </c>
      <c r="X50" s="1" t="e">
        <f>AVERAGEIFS($R$2:$R$999,$N$2:$N$999,"&gt;=5",$P$2:$P$999,"&lt;=4",$O$2:$O$999,"&gt;=44.5",$O$2:$O$999,"&lt;=48.5")</f>
        <v>#DIV/0!</v>
      </c>
      <c r="Z50" s="9"/>
      <c r="AA50" s="9"/>
      <c r="AB50" s="9"/>
      <c r="AC50" s="9"/>
      <c r="AE50" s="9" t="e">
        <f>AVERAGEIFS($R$2:$R$999,$P$2:$P$999,"&lt;=4",$F$2:$F$999,"UP")</f>
        <v>#DIV/0!</v>
      </c>
      <c r="AF50" s="9" t="e">
        <f>AVERAGEIFS($R$2:$R$999,$N$2:$N$999,"&lt;=-5",$P$2:$P$999,"&lt;=4",$F$2:$F$999,"UP")</f>
        <v>#DIV/0!</v>
      </c>
      <c r="AG50" s="9" t="e">
        <f>AVERAGEIFS($R$2:$R$999,$N$2:$N$999,"&gt;=-4.5",$N$2:$N$999,"&lt;=4.55",$P$2:$P$999,"&lt;=4",$F$2:$F$999,"UP")</f>
        <v>#DIV/0!</v>
      </c>
      <c r="AH50" s="9" t="e">
        <f>AVERAGEIFS($R$2:$R$999,$N$2:$N$999,"&gt;=5",$P$2:$P$999,"&lt;=4",$F$2:$F$999,"UP")</f>
        <v>#DIV/0!</v>
      </c>
      <c r="AJ50" s="6" t="e">
        <f>AVERAGEIFS($R$2:$R$999,$P$2:$P$999,"&lt;=4",$O$2:$O$999,"&gt;=44.5",$O$2:$O$999,"&lt;=48.5",$C$2:$C$999,"&gt;=0.01")</f>
        <v>#DIV/0!</v>
      </c>
      <c r="AK50" s="6" t="e">
        <f>AVERAGEIFS($R$2:$R$999,$N$2:$N$999,"&lt;=-5",$P$2:$P$999,"&lt;=4",$O$2:$O$999,"&gt;=44.5",$O$2:$O$999,"&lt;=48.5",$C$2:$C$999,"&gt;=0.01")</f>
        <v>#DIV/0!</v>
      </c>
      <c r="AL50" s="6" t="e">
        <f>AVERAGEIFS($R$2:$R$999,$N$2:$N$999,"&gt;=-4.5",$N$2:$N$999,"&lt;=4.5",$P$2:$P$999,"&lt;=4",$O$2:$O$999,"&gt;=44.5",$O$2:$O$999,"&lt;=48.5",$C$2:$C$999,"&gt;=0.01")</f>
        <v>#DIV/0!</v>
      </c>
      <c r="AM50" s="6" t="e">
        <f>AVERAGEIFS($R$2:$R$999,$N$2:$N$999,"&gt;=5",$P$2:$P$999,"&lt;=4",$O$2:$O$999,"&gt;=44.5",$O$2:$O$999,"&lt;=48.5",$C$2:$C$999,"&gt;=0.01")</f>
        <v>#DIV/0!</v>
      </c>
      <c r="AO50" s="6"/>
      <c r="AP50" s="6"/>
      <c r="AQ50" s="6"/>
      <c r="AR50" s="6"/>
      <c r="AT50" s="6" t="e">
        <f>AVERAGEIFS($R$2:$R$999,$P$2:$P$999,"&lt;=4",$F$2:$F$999,"UP",$C$2:$C$999,"&gt;=0.01")</f>
        <v>#DIV/0!</v>
      </c>
      <c r="AU50" s="6" t="e">
        <f>AVERAGEIFS($R$2:$R$999,$N$2:$N$999,"&lt;=-5",$P$2:$P$999,"&lt;=4",$F$2:$F$999,"UP",$C$2:$C$999,"&gt;=0.01")</f>
        <v>#DIV/0!</v>
      </c>
      <c r="AV50" s="6" t="e">
        <f>AVERAGEIFS($R$2:$R$999,$N$2:$N$999,"&gt;=-4.5",$N$2:$N$999,"&lt;=4.55",$P$2:$P$999,"&lt;=4",$F$2:$F$999,"UP",$C$2:$C$999,"&gt;=0.01")</f>
        <v>#DIV/0!</v>
      </c>
      <c r="AW50" s="6" t="e">
        <f>AVERAGEIFS($R$2:$R$999,$N$2:$N$999,"&gt;=5",$P$2:$P$999,"&lt;=4",$F$2:$F$999,"UP",$C$2:$C$999,"&gt;=0.01")</f>
        <v>#DIV/0!</v>
      </c>
      <c r="AY50" s="6"/>
      <c r="AZ50" s="6"/>
      <c r="BA50" s="6"/>
      <c r="BB50" s="6"/>
      <c r="BD50" s="1"/>
      <c r="BE50" s="1"/>
      <c r="BF50" s="1"/>
      <c r="BG50" s="1"/>
      <c r="BI50" s="1"/>
      <c r="BJ50" s="1"/>
      <c r="BK50" s="1"/>
      <c r="BQ50" s="1"/>
    </row>
    <row r="51" spans="1:69" x14ac:dyDescent="0.2">
      <c r="A51" s="10">
        <v>16</v>
      </c>
      <c r="B51" s="10" t="s">
        <v>178</v>
      </c>
      <c r="C51" s="10"/>
      <c r="D51" s="10" t="s">
        <v>75</v>
      </c>
      <c r="E51" s="10" t="s">
        <v>75</v>
      </c>
      <c r="F51" s="10"/>
      <c r="G51" s="10"/>
      <c r="H51" s="10" t="s">
        <v>75</v>
      </c>
      <c r="I51" s="10" t="s">
        <v>75</v>
      </c>
      <c r="J51" s="8"/>
      <c r="K51" s="8"/>
      <c r="L51" s="8"/>
      <c r="M51" s="8"/>
      <c r="N51" s="8"/>
      <c r="O51" s="8"/>
      <c r="P51" s="8"/>
      <c r="R51" s="9"/>
      <c r="U51" s="1"/>
      <c r="V51" s="1"/>
      <c r="W51" s="1"/>
      <c r="X51" s="1"/>
      <c r="Z51" s="9"/>
      <c r="AA51" s="9"/>
      <c r="AB51" s="9"/>
      <c r="AC51" s="9"/>
      <c r="AE51" s="9"/>
      <c r="AF51" s="9"/>
      <c r="AG51" s="9"/>
      <c r="AH51" s="9"/>
      <c r="AJ51" s="6"/>
      <c r="AK51" s="6"/>
      <c r="AL51" s="6"/>
      <c r="AM51" s="6"/>
      <c r="AO51" s="6"/>
      <c r="AP51" s="6"/>
      <c r="AQ51" s="6"/>
      <c r="AR51" s="6"/>
      <c r="AT51" s="6"/>
      <c r="AU51" s="6"/>
      <c r="AV51" s="6"/>
      <c r="AW51" s="6"/>
      <c r="AY51" s="6"/>
      <c r="AZ51" s="6"/>
      <c r="BA51" s="6"/>
      <c r="BB51" s="6"/>
      <c r="BD51" s="1"/>
      <c r="BE51" s="1"/>
      <c r="BF51" s="1"/>
      <c r="BG51" s="1"/>
      <c r="BI51" s="1"/>
      <c r="BJ51" s="1"/>
      <c r="BK51" s="1"/>
      <c r="BQ51" s="1"/>
    </row>
    <row r="52" spans="1:69" x14ac:dyDescent="0.2">
      <c r="A52" s="8">
        <v>16</v>
      </c>
      <c r="B52" s="8" t="s">
        <v>128</v>
      </c>
      <c r="C52" s="8"/>
      <c r="D52" s="8" t="s">
        <v>75</v>
      </c>
      <c r="E52" s="8"/>
      <c r="F52" s="8"/>
      <c r="G52" s="8"/>
      <c r="H52" s="8" t="s">
        <v>75</v>
      </c>
      <c r="I52" s="8"/>
      <c r="J52" s="8"/>
      <c r="K52" s="8"/>
      <c r="L52" s="8"/>
      <c r="M52" s="8"/>
      <c r="N52" s="8"/>
      <c r="O52" s="8"/>
      <c r="P52" s="8"/>
      <c r="R52" s="9"/>
      <c r="T52" t="s">
        <v>41</v>
      </c>
      <c r="U52" s="1" t="s">
        <v>36</v>
      </c>
      <c r="V52" s="1" t="s">
        <v>31</v>
      </c>
      <c r="W52" s="1" t="s">
        <v>43</v>
      </c>
      <c r="X52" s="1" t="s">
        <v>30</v>
      </c>
      <c r="Z52" s="9"/>
      <c r="AA52" s="9"/>
      <c r="AB52" s="9"/>
      <c r="AC52" s="9"/>
      <c r="AE52" s="8" t="s">
        <v>36</v>
      </c>
      <c r="AF52" s="9" t="s">
        <v>31</v>
      </c>
      <c r="AG52" s="9" t="s">
        <v>43</v>
      </c>
      <c r="AH52" s="9" t="s">
        <v>30</v>
      </c>
      <c r="AI52" s="5" t="s">
        <v>41</v>
      </c>
      <c r="AJ52" s="6" t="s">
        <v>36</v>
      </c>
      <c r="AK52" s="6" t="s">
        <v>31</v>
      </c>
      <c r="AL52" s="6" t="s">
        <v>43</v>
      </c>
      <c r="AM52" s="6" t="s">
        <v>30</v>
      </c>
      <c r="AO52" s="6"/>
      <c r="AP52" s="6"/>
      <c r="AQ52" s="6"/>
      <c r="AR52" s="6"/>
      <c r="AT52" s="5" t="s">
        <v>36</v>
      </c>
      <c r="AU52" s="6" t="s">
        <v>31</v>
      </c>
      <c r="AV52" s="6" t="s">
        <v>43</v>
      </c>
      <c r="AW52" s="6" t="s">
        <v>30</v>
      </c>
      <c r="AY52" s="6"/>
      <c r="AZ52" s="6"/>
      <c r="BA52" s="6"/>
      <c r="BB52" s="6"/>
      <c r="BD52" s="1"/>
      <c r="BE52" s="1"/>
      <c r="BF52" s="1"/>
      <c r="BG52" s="1"/>
      <c r="BI52" s="1"/>
      <c r="BJ52" s="1"/>
      <c r="BK52" s="1"/>
      <c r="BQ52" s="1"/>
    </row>
    <row r="53" spans="1:69" x14ac:dyDescent="0.2">
      <c r="A53" s="8">
        <v>16</v>
      </c>
      <c r="B53" s="8" t="s">
        <v>80</v>
      </c>
      <c r="C53" s="8"/>
      <c r="D53" s="8" t="s">
        <v>75</v>
      </c>
      <c r="E53" s="8"/>
      <c r="F53" s="8"/>
      <c r="G53" s="8"/>
      <c r="H53" s="8" t="s">
        <v>75</v>
      </c>
      <c r="I53" s="8"/>
      <c r="J53" s="8"/>
      <c r="K53" s="8"/>
      <c r="L53" s="8"/>
      <c r="M53" s="8"/>
      <c r="N53" s="8"/>
      <c r="O53" s="8"/>
      <c r="P53" s="8"/>
      <c r="R53" s="9"/>
      <c r="U53" s="1" t="e">
        <f>AVERAGEIFS($R$2:$R$999,$P$2:$P$999,"&gt;=4.1",$P$2:$P$999,"&lt;=5",$O$2:$O$999,"&gt;=44.5",$O$2:$O$999,"&lt;=48.5")</f>
        <v>#DIV/0!</v>
      </c>
      <c r="V53" s="1" t="e">
        <f>AVERAGEIFS($R$2:$R$999,$N$2:$N$999,"&lt;=-5",$P$2:$P$999,"&gt;=4.1",$P$2:$P$999,"&lt;=5",$O$2:$O$999,"&gt;=44.5",$O$2:$O$999,"&lt;=48.5")</f>
        <v>#DIV/0!</v>
      </c>
      <c r="W53" s="1" t="e">
        <f>AVERAGEIFS($R$2:$R$999,$N$2:$N$999,"&gt;=-4.5",$N$2:$N$999,"&lt;=4.5",$P$2:$P$999,"&gt;=4.1",$P$2:$P$999,"&lt;=5",$O$2:$O$999,"&gt;=44.5",$O$2:$O$999,"&lt;=48.5")</f>
        <v>#DIV/0!</v>
      </c>
      <c r="X53" s="1" t="e">
        <f>AVERAGEIFS($R$2:$R$999,$N$2:$N$999,"&gt;=5",$P$2:$P$999,"&gt;=4.1",$P$2:$P$999,"&lt;=5",$O$2:$O$999,"&gt;=44.5",$O$2:$O$999,"&lt;=48.5")</f>
        <v>#DIV/0!</v>
      </c>
      <c r="Z53" s="9"/>
      <c r="AA53" s="9"/>
      <c r="AB53" s="9"/>
      <c r="AC53" s="9"/>
      <c r="AE53" s="9" t="e">
        <f>AVERAGEIFS($R$2:$R$999,$P$2:$P$999,"&gt;=4.1",$P$2:$P$999,"&lt;=5",$F$2:$F$999,"UP")</f>
        <v>#DIV/0!</v>
      </c>
      <c r="AF53" s="9" t="e">
        <f>AVERAGEIFS($R$2:$R$999,$N$2:$N$999,"&lt;=-5",$P$2:$P$999,"&gt;=4.1",$P$2:$P$999,"&lt;=5",$F$2:$F$999,"UP")</f>
        <v>#DIV/0!</v>
      </c>
      <c r="AG53" s="9" t="e">
        <f>AVERAGEIFS($R$2:$R$999,$N$2:$N$999,"&gt;=-4.5",$N$2:$N$999,"&lt;=4.5",$P$2:$P$999,"&gt;=4.1",$P$2:$P$999,"&lt;=5",$F$2:$F$999,"UP")</f>
        <v>#DIV/0!</v>
      </c>
      <c r="AH53" s="9" t="e">
        <f>AVERAGEIFS($R$2:$R$999,$N$2:$N$999,"&gt;=5",$P$2:$P$999,"&gt;=4.1",$P$2:$P$999,"&lt;=5",$F$2:$F$999,"UP")</f>
        <v>#DIV/0!</v>
      </c>
      <c r="AJ53" s="6" t="e">
        <f>AVERAGEIFS($R$2:$R$999,$P$2:$P$999,"&gt;=4.1",$P$2:$P$999,"&lt;=5",$O$2:$O$999,"&gt;=44.5",$O$2:$O$999,"&lt;=48.5",$C$2:$C$999,"&gt;=0.01")</f>
        <v>#DIV/0!</v>
      </c>
      <c r="AK53" s="6" t="e">
        <f>AVERAGEIFS($R$2:$R$999,$N$2:$N$999,"&lt;=-5",$P$2:$P$999,"&gt;=4.1",$P$2:$P$999,"&lt;=5",$O$2:$O$999,"&gt;=44.5",$O$2:$O$999,"&lt;=48.5",$C$2:$C$999,"&gt;=0.01")</f>
        <v>#DIV/0!</v>
      </c>
      <c r="AL53" s="6" t="e">
        <f>AVERAGEIFS($R$2:$R$999,$N$2:$N$999,"&gt;=-4.5",$N$2:$N$999,"&lt;=4.5",$P$2:$P$999,"&gt;=4.1",$P$2:$P$999,"&lt;=5",$O$2:$O$999,"&gt;=44.5",$O$2:$O$999,"&lt;=48.5",$C$2:$C$999,"&gt;=0.01")</f>
        <v>#DIV/0!</v>
      </c>
      <c r="AM53" s="6" t="e">
        <f>AVERAGEIFS($R$2:$R$999,$N$2:$N$999,"&gt;=5",$P$2:$P$999,"&gt;=4.1",$P$2:$P$999,"&lt;=5",$O$2:$O$999,"&gt;=44.5",$O$2:$O$999,"&lt;=48.5",$C$2:$C$999,"&gt;=0.01")</f>
        <v>#DIV/0!</v>
      </c>
      <c r="AO53" s="6"/>
      <c r="AP53" s="6"/>
      <c r="AQ53" s="6"/>
      <c r="AR53" s="6"/>
      <c r="AT53" s="6" t="e">
        <f>AVERAGEIFS($R$2:$R$999,$P$2:$P$999,"&gt;=4.1",$P$2:$P$999,"&lt;=5",$F$2:$F$999,"UP",$C$2:$C$999,"&gt;=0.01")</f>
        <v>#DIV/0!</v>
      </c>
      <c r="AU53" s="6" t="e">
        <f>AVERAGEIFS($R$2:$R$999,$N$2:$N$999,"&lt;=-5",$P$2:$P$999,"&gt;=4.1",$P$2:$P$999,"&lt;=5",$F$2:$F$999,"UP",$C$2:$C$999,"&gt;=0.01")</f>
        <v>#DIV/0!</v>
      </c>
      <c r="AV53" s="6" t="e">
        <f>AVERAGEIFS($R$2:$R$999,$N$2:$N$999,"&gt;=-4.5",$N$2:$N$999,"&lt;=4.5",$P$2:$P$999,"&gt;=4.1",$P$2:$P$999,"&lt;=5",$F$2:$F$999,"UP",$C$2:$C$999,"&gt;=0.01")</f>
        <v>#DIV/0!</v>
      </c>
      <c r="AW53" s="6" t="e">
        <f>AVERAGEIFS($R$2:$R$999,$N$2:$N$999,"&gt;=5",$P$2:$P$999,"&gt;=4.1",$P$2:$P$999,"&lt;=5",$F$2:$F$999,"UP",$C$2:$C$999,"&gt;=0.01")</f>
        <v>#DIV/0!</v>
      </c>
      <c r="AY53" s="6"/>
      <c r="AZ53" s="6"/>
      <c r="BA53" s="6"/>
      <c r="BB53" s="6"/>
      <c r="BD53" s="1"/>
      <c r="BE53" s="1"/>
      <c r="BF53" s="1"/>
      <c r="BG53" s="1"/>
      <c r="BI53" s="1"/>
      <c r="BJ53" s="1"/>
      <c r="BK53" s="1"/>
      <c r="BQ53" s="1"/>
    </row>
    <row r="54" spans="1:69" x14ac:dyDescent="0.2">
      <c r="A54" s="10">
        <v>16</v>
      </c>
      <c r="B54" s="10" t="s">
        <v>94</v>
      </c>
      <c r="C54" s="10"/>
      <c r="D54" s="10" t="s">
        <v>75</v>
      </c>
      <c r="E54" s="10"/>
      <c r="F54" s="10"/>
      <c r="G54" s="10"/>
      <c r="H54" s="10" t="s">
        <v>75</v>
      </c>
      <c r="I54" s="10" t="s">
        <v>75</v>
      </c>
      <c r="J54" s="10" t="s">
        <v>75</v>
      </c>
      <c r="K54" s="8"/>
      <c r="L54" s="8"/>
      <c r="M54" s="8"/>
      <c r="N54" s="8"/>
      <c r="O54" s="8"/>
      <c r="P54" s="8"/>
      <c r="R54" s="9"/>
      <c r="U54" s="1"/>
      <c r="V54" s="1"/>
      <c r="W54" s="1"/>
      <c r="X54" s="1"/>
      <c r="Z54" s="9"/>
      <c r="AA54" s="9"/>
      <c r="AB54" s="9"/>
      <c r="AC54" s="9"/>
      <c r="AE54" s="9"/>
      <c r="AF54" s="9"/>
      <c r="AG54" s="9"/>
      <c r="AH54" s="9"/>
      <c r="AJ54" s="6"/>
      <c r="AK54" s="6"/>
      <c r="AL54" s="6"/>
      <c r="AM54" s="6"/>
      <c r="AO54" s="6"/>
      <c r="AP54" s="6"/>
      <c r="AQ54" s="6"/>
      <c r="AR54" s="6"/>
      <c r="AT54" s="6"/>
      <c r="AU54" s="6"/>
      <c r="AV54" s="6"/>
      <c r="AW54" s="6"/>
      <c r="AY54" s="6"/>
      <c r="AZ54" s="6"/>
      <c r="BA54" s="6"/>
      <c r="BB54" s="6"/>
      <c r="BD54" s="1"/>
      <c r="BE54" s="1"/>
      <c r="BF54" s="1"/>
      <c r="BG54" s="1"/>
      <c r="BI54" s="1"/>
      <c r="BJ54" s="1"/>
      <c r="BK54" s="1"/>
      <c r="BQ54" s="1"/>
    </row>
    <row r="55" spans="1:69" x14ac:dyDescent="0.2">
      <c r="A55" s="11">
        <v>16</v>
      </c>
      <c r="B55" s="11" t="s">
        <v>181</v>
      </c>
      <c r="C55" s="11">
        <v>10.9</v>
      </c>
      <c r="D55" s="11" t="s">
        <v>75</v>
      </c>
      <c r="E55" s="11"/>
      <c r="F55" s="11"/>
      <c r="G55" s="11"/>
      <c r="H55" s="11" t="s">
        <v>75</v>
      </c>
      <c r="I55" s="11" t="s">
        <v>75</v>
      </c>
      <c r="J55" s="11" t="s">
        <v>75</v>
      </c>
      <c r="K55" s="8"/>
      <c r="L55" s="8"/>
      <c r="M55" s="8"/>
      <c r="N55" s="8"/>
      <c r="O55" s="8"/>
      <c r="P55" s="8"/>
      <c r="R55" s="9"/>
      <c r="T55" t="s">
        <v>41</v>
      </c>
      <c r="U55" s="1" t="s">
        <v>34</v>
      </c>
      <c r="V55" s="1" t="s">
        <v>31</v>
      </c>
      <c r="W55" s="1" t="s">
        <v>43</v>
      </c>
      <c r="X55" s="1" t="s">
        <v>30</v>
      </c>
      <c r="Z55" s="9"/>
      <c r="AA55" s="9"/>
      <c r="AB55" s="9"/>
      <c r="AC55" s="9"/>
      <c r="AE55" s="8" t="s">
        <v>37</v>
      </c>
      <c r="AF55" s="9" t="s">
        <v>31</v>
      </c>
      <c r="AG55" s="9" t="s">
        <v>43</v>
      </c>
      <c r="AH55" s="9" t="s">
        <v>30</v>
      </c>
      <c r="AI55" s="5" t="s">
        <v>41</v>
      </c>
      <c r="AJ55" s="6" t="s">
        <v>34</v>
      </c>
      <c r="AK55" s="6" t="s">
        <v>31</v>
      </c>
      <c r="AL55" s="6" t="s">
        <v>43</v>
      </c>
      <c r="AM55" s="6" t="s">
        <v>30</v>
      </c>
      <c r="AO55" s="6"/>
      <c r="AP55" s="6"/>
      <c r="AQ55" s="6"/>
      <c r="AR55" s="6"/>
      <c r="AT55" s="5" t="s">
        <v>37</v>
      </c>
      <c r="AU55" s="6" t="s">
        <v>31</v>
      </c>
      <c r="AV55" s="6" t="s">
        <v>43</v>
      </c>
      <c r="AW55" s="6" t="s">
        <v>30</v>
      </c>
      <c r="AY55" s="6"/>
      <c r="AZ55" s="6"/>
      <c r="BA55" s="6"/>
      <c r="BB55" s="6"/>
      <c r="BD55" s="1"/>
      <c r="BE55" s="1"/>
      <c r="BF55" s="1"/>
      <c r="BG55" s="1"/>
      <c r="BI55" s="1"/>
      <c r="BJ55" s="1"/>
      <c r="BK55" s="1"/>
      <c r="BQ55" s="1"/>
    </row>
    <row r="56" spans="1:69" x14ac:dyDescent="0.2">
      <c r="A56" s="8">
        <v>16</v>
      </c>
      <c r="B56" s="8" t="s">
        <v>56</v>
      </c>
      <c r="C56" s="8"/>
      <c r="D56" s="8"/>
      <c r="E56" s="8"/>
      <c r="F56" s="8"/>
      <c r="G56" s="8"/>
      <c r="H56" s="8" t="s">
        <v>75</v>
      </c>
      <c r="I56" s="8"/>
      <c r="J56" s="8" t="s">
        <v>75</v>
      </c>
      <c r="K56" s="8"/>
      <c r="L56" s="8"/>
      <c r="M56" s="8"/>
      <c r="N56" s="8"/>
      <c r="O56" s="8"/>
      <c r="P56" s="8"/>
      <c r="R56" s="9"/>
      <c r="U56" s="1" t="e">
        <f>AVERAGEIFS($R$2:$R$999,$P$2:$P$999,"&gt;=5.1",$P$2:$P$999,"&lt;=6.2",$O$2:$O$999,"&gt;=44.5",$O$2:$O$999,"&lt;=48.5")</f>
        <v>#DIV/0!</v>
      </c>
      <c r="V56" s="1" t="e">
        <f>AVERAGEIFS($R$2:$R$999,$N$2:$N$999,"&lt;=-5",$P$2:$P$999,"&gt;=5.1",$P$2:$P$999,"&lt;=6.2",$O$2:$O$999,"&gt;=44.5",$O$2:$O$999,"&lt;=48.5")</f>
        <v>#DIV/0!</v>
      </c>
      <c r="W56" s="1" t="e">
        <f>AVERAGEIFS($R$2:$R$999,$N$2:$N$999,"&gt;=-4.5",$N$2:$N$999,"&lt;=4.5",$P$2:$P$999,"&gt;=5.1",$P$2:$P$999,"&lt;=6.2",$O$2:$O$999,"&gt;=44.5",$O$2:$O$999,"&lt;=48.5")</f>
        <v>#DIV/0!</v>
      </c>
      <c r="X56" s="1" t="e">
        <f>AVERAGEIFS($R$2:$R$999,$N$2:$N$999,"&gt;=5",$P$2:$P$999,"&gt;=5.1",$P$2:$P$999,"&lt;=6.2",$O$2:$O$999,"&gt;=44.5",$O$2:$O$999,"&lt;=48.5")</f>
        <v>#DIV/0!</v>
      </c>
      <c r="Z56" s="9"/>
      <c r="AA56" s="9"/>
      <c r="AB56" s="9"/>
      <c r="AC56" s="9"/>
      <c r="AE56" s="9" t="e">
        <f>AVERAGEIFS($R$2:$R$999,$P$2:$P$999,"&gt;=5.1",$P$2:$P$999,"&lt;=6.2",$F$2:$F$999,"UP")</f>
        <v>#DIV/0!</v>
      </c>
      <c r="AF56" s="9" t="e">
        <f>AVERAGEIFS($R$2:$R$999,$N$2:$N$999,"&lt;=-5",$P$2:$P$999,"&gt;=5.1",$P$2:$P$999,"&lt;=6.2",$F$2:$F$999,"UP")</f>
        <v>#DIV/0!</v>
      </c>
      <c r="AG56" s="9" t="e">
        <f>AVERAGEIFS($R$2:$R$999,$N$2:$N$999,"&gt;=-4.5",$N$2:$N$999,"&lt;=4.5",$P$2:$P$999,"&gt;=5.1",$P$2:$P$999,"&lt;=6.2",$F$2:$F$999,"UP")</f>
        <v>#DIV/0!</v>
      </c>
      <c r="AH56" s="9" t="e">
        <f>AVERAGEIFS($R$2:$R$999,$N$2:$N$999,"&gt;=5",$P$2:$P$999,"&gt;=5.1",$P$2:$P$999,"&lt;=6.2",$F$2:$F$999,"UP")</f>
        <v>#DIV/0!</v>
      </c>
      <c r="AJ56" s="6" t="e">
        <f>AVERAGEIFS($R$2:$R$999,$P$2:$P$999,"&gt;=5.1",$P$2:$P$999,"&lt;=6.2",$O$2:$O$999,"&gt;=44.5",$O$2:$O$999,"&lt;=48.5",$C$2:$C$999,"&gt;=0.01")</f>
        <v>#DIV/0!</v>
      </c>
      <c r="AK56" s="6" t="e">
        <f>AVERAGEIFS($R$2:$R$999,$N$2:$N$999,"&lt;=-5",$P$2:$P$999,"&gt;=5.1",$P$2:$P$999,"&lt;=6.2",$O$2:$O$999,"&gt;=44.5",$O$2:$O$999,"&lt;=48.5",$C$2:$C$999,"&gt;=0.01")</f>
        <v>#DIV/0!</v>
      </c>
      <c r="AL56" s="6" t="e">
        <f>AVERAGEIFS($R$2:$R$999,$N$2:$N$999,"&gt;=-4.5",$N$2:$N$999,"&lt;=4.5",$P$2:$P$999,"&gt;=5.1",$P$2:$P$999,"&lt;=6.2",$O$2:$O$999,"&gt;=44.5",$O$2:$O$999,"&lt;=48.5",$C$2:$C$999,"&gt;=0.01")</f>
        <v>#DIV/0!</v>
      </c>
      <c r="AM56" s="6" t="e">
        <f>AVERAGEIFS($R$2:$R$999,$N$2:$N$999,"&gt;=5",$P$2:$P$999,"&gt;=5.1",$P$2:$P$999,"&lt;=6.2",$O$2:$O$999,"&gt;=44.5",$O$2:$O$999,"&lt;=48.5",$C$2:$C$999,"&gt;=0.01")</f>
        <v>#DIV/0!</v>
      </c>
      <c r="AO56" s="6"/>
      <c r="AP56" s="6"/>
      <c r="AQ56" s="6"/>
      <c r="AR56" s="6"/>
      <c r="AT56" s="6" t="e">
        <f>AVERAGEIFS($R$2:$R$999,$P$2:$P$999,"&gt;=5.1",$P$2:$P$999,"&lt;=6.2",$F$2:$F$999,"UP",$C$2:$C$999,"&gt;=0.01")</f>
        <v>#DIV/0!</v>
      </c>
      <c r="AU56" s="6" t="e">
        <f>AVERAGEIFS($R$2:$R$999,$N$2:$N$999,"&lt;=-5",$P$2:$P$999,"&gt;=5.1",$P$2:$P$999,"&lt;=6.2",$F$2:$F$999,"UP",$C$2:$C$999,"&gt;=0.01")</f>
        <v>#DIV/0!</v>
      </c>
      <c r="AV56" s="6" t="e">
        <f>AVERAGEIFS($R$2:$R$999,$N$2:$N$999,"&gt;=-4.5",$N$2:$N$999,"&lt;=4.5",$P$2:$P$999,"&gt;=5.1",$P$2:$P$999,"&lt;=6.2",$F$2:$F$999,"UP",$C$2:$C$999,"&gt;=0.01")</f>
        <v>#DIV/0!</v>
      </c>
      <c r="AW56" s="6" t="e">
        <f>AVERAGEIFS($R$2:$R$999,$N$2:$N$999,"&gt;=5",$P$2:$P$999,"&gt;=5.1",$P$2:$P$999,"&lt;=6.2",$F$2:$F$999,"UP",$C$2:$C$999,"&gt;=0.01")</f>
        <v>#DIV/0!</v>
      </c>
      <c r="AY56" s="6"/>
      <c r="AZ56" s="6"/>
      <c r="BA56" s="6"/>
      <c r="BB56" s="6"/>
      <c r="BD56" s="1"/>
      <c r="BE56" s="1"/>
      <c r="BF56" s="1"/>
      <c r="BG56" s="1"/>
      <c r="BI56" s="1"/>
      <c r="BJ56" s="1"/>
      <c r="BK56" s="1"/>
      <c r="BQ56" s="1"/>
    </row>
    <row r="57" spans="1:69" x14ac:dyDescent="0.2">
      <c r="A57" s="8">
        <v>16</v>
      </c>
      <c r="B57" s="8" t="s">
        <v>60</v>
      </c>
      <c r="C57" s="8"/>
      <c r="D57" s="8"/>
      <c r="E57" s="8"/>
      <c r="F57" s="8"/>
      <c r="G57" s="8"/>
      <c r="H57" s="8" t="s">
        <v>75</v>
      </c>
      <c r="I57" s="8"/>
      <c r="J57" s="8" t="s">
        <v>75</v>
      </c>
      <c r="K57" s="8"/>
      <c r="L57" s="8"/>
      <c r="M57" s="8"/>
      <c r="N57" s="8"/>
      <c r="O57" s="8"/>
      <c r="P57" s="8"/>
      <c r="R57" s="9"/>
      <c r="U57" s="1"/>
      <c r="V57" s="1"/>
      <c r="W57" s="1"/>
      <c r="X57" s="1"/>
      <c r="Z57" s="9"/>
      <c r="AA57" s="9"/>
      <c r="AB57" s="9"/>
      <c r="AC57" s="9"/>
      <c r="AE57" s="9"/>
      <c r="AF57" s="9"/>
      <c r="AG57" s="9"/>
      <c r="AH57" s="9"/>
      <c r="AJ57" s="6"/>
      <c r="AK57" s="6"/>
      <c r="AL57" s="6"/>
      <c r="AM57" s="6"/>
      <c r="AO57" s="6"/>
      <c r="AP57" s="6"/>
      <c r="AQ57" s="6"/>
      <c r="AR57" s="6"/>
      <c r="AT57" s="6"/>
      <c r="AU57" s="6"/>
      <c r="AV57" s="6"/>
      <c r="AW57" s="6"/>
      <c r="AY57" s="6"/>
      <c r="AZ57" s="6"/>
      <c r="BA57" s="6"/>
      <c r="BB57" s="6"/>
      <c r="BD57" s="1"/>
      <c r="BE57" s="1"/>
      <c r="BF57" s="1"/>
      <c r="BG57" s="1"/>
      <c r="BI57" s="1"/>
      <c r="BJ57" s="1"/>
      <c r="BK57" s="1"/>
      <c r="BQ57" s="1"/>
    </row>
    <row r="58" spans="1:69" x14ac:dyDescent="0.2">
      <c r="A58" s="8">
        <v>16</v>
      </c>
      <c r="B58" t="s">
        <v>62</v>
      </c>
      <c r="C58" s="8"/>
      <c r="D58" s="8"/>
      <c r="E58" s="8"/>
      <c r="F58" s="8"/>
      <c r="G58" s="8"/>
      <c r="H58" s="8" t="s">
        <v>75</v>
      </c>
      <c r="I58" s="8"/>
      <c r="J58" s="8"/>
      <c r="K58" s="8"/>
      <c r="L58" s="8"/>
      <c r="M58" s="8"/>
      <c r="N58" s="8"/>
      <c r="O58" s="8"/>
      <c r="P58" s="8"/>
      <c r="R58" s="9"/>
      <c r="T58" t="s">
        <v>41</v>
      </c>
      <c r="U58" s="1" t="s">
        <v>35</v>
      </c>
      <c r="V58" s="1" t="s">
        <v>31</v>
      </c>
      <c r="W58" s="1" t="s">
        <v>43</v>
      </c>
      <c r="X58" s="1" t="s">
        <v>30</v>
      </c>
      <c r="Z58" s="9"/>
      <c r="AA58" s="9"/>
      <c r="AB58" s="9"/>
      <c r="AC58" s="9"/>
      <c r="AE58" s="8" t="s">
        <v>35</v>
      </c>
      <c r="AF58" s="9" t="s">
        <v>31</v>
      </c>
      <c r="AG58" s="9" t="s">
        <v>43</v>
      </c>
      <c r="AH58" s="9" t="s">
        <v>30</v>
      </c>
      <c r="AI58" s="5" t="s">
        <v>41</v>
      </c>
      <c r="AJ58" s="6" t="s">
        <v>35</v>
      </c>
      <c r="AK58" s="6" t="s">
        <v>31</v>
      </c>
      <c r="AL58" s="6" t="s">
        <v>43</v>
      </c>
      <c r="AM58" s="6" t="s">
        <v>30</v>
      </c>
      <c r="AO58" s="6"/>
      <c r="AP58" s="6"/>
      <c r="AQ58" s="6"/>
      <c r="AR58" s="6"/>
      <c r="AT58" s="5" t="s">
        <v>35</v>
      </c>
      <c r="AU58" s="6" t="s">
        <v>31</v>
      </c>
      <c r="AV58" s="6" t="s">
        <v>43</v>
      </c>
      <c r="AW58" s="6" t="s">
        <v>30</v>
      </c>
      <c r="AY58" s="6"/>
      <c r="AZ58" s="6"/>
      <c r="BA58" s="6"/>
      <c r="BB58" s="6"/>
      <c r="BD58" s="1"/>
      <c r="BE58" s="1"/>
      <c r="BF58" s="1"/>
      <c r="BG58" s="1"/>
      <c r="BI58" s="1"/>
      <c r="BJ58" s="1"/>
      <c r="BK58" s="1"/>
      <c r="BQ58" s="1"/>
    </row>
    <row r="59" spans="1:69" x14ac:dyDescent="0.2">
      <c r="A59" s="8">
        <v>16</v>
      </c>
      <c r="B59" t="s">
        <v>83</v>
      </c>
      <c r="C59" s="8"/>
      <c r="D59" s="8"/>
      <c r="E59" s="8"/>
      <c r="F59" s="8"/>
      <c r="G59" s="8"/>
      <c r="H59" s="8" t="s">
        <v>75</v>
      </c>
      <c r="I59" s="8"/>
      <c r="J59" s="8"/>
      <c r="K59" s="8"/>
      <c r="L59" s="8"/>
      <c r="M59" s="8"/>
      <c r="N59" s="8"/>
      <c r="O59" s="8"/>
      <c r="P59" s="8"/>
      <c r="R59" s="9"/>
      <c r="U59" s="1" t="e">
        <f>AVERAGEIFS($R$2:$R$999,$P$2:$P$999,"&gt;=6.3",$O$2:$O$999,"&gt;=44.5",$O$2:$O$999,"&lt;=48.5")</f>
        <v>#DIV/0!</v>
      </c>
      <c r="V59" s="1" t="e">
        <f>AVERAGEIFS($R$2:$R$999,$N$2:$N$999,"&lt;=-5",$P$2:$P$999,"&gt;=6.3",$O$2:$O$999,"&gt;=44.5",$O$2:$O$999,"&lt;=48.5")</f>
        <v>#DIV/0!</v>
      </c>
      <c r="W59" s="1" t="e">
        <f>AVERAGEIFS($R$2:$R$999,$N$2:$N$999,"&gt;=-4.5",$N$2:$N$999,"&lt;=4.5",$P$2:$P$999,"&gt;=6.3",$O$2:$O$999,"&gt;=44.5",$O$2:$O$999,"&lt;=48.5")</f>
        <v>#DIV/0!</v>
      </c>
      <c r="X59" s="1" t="e">
        <f>AVERAGEIFS($R$2:$R$999,$N$2:$N$999,"&gt;=5",$P$2:$P$999,"&gt;=6.3",$O$2:$O$999,"&gt;=44.5",$O$2:$O$999,"&lt;=48.5")</f>
        <v>#DIV/0!</v>
      </c>
      <c r="Z59" s="9"/>
      <c r="AA59" s="9"/>
      <c r="AB59" s="9"/>
      <c r="AC59" s="9"/>
      <c r="AE59" s="9" t="e">
        <f>AVERAGEIFS($R$2:$R$999,$P$2:$P$999,"&gt;=6.3",$F$2:$F$999,"UP")</f>
        <v>#DIV/0!</v>
      </c>
      <c r="AF59" s="9" t="e">
        <f>AVERAGEIFS($R$2:$R$999,$N$2:$N$999,"&lt;=-5",$P$2:$P$999,"&gt;=6.3",$F$2:$F$999,"UP")</f>
        <v>#DIV/0!</v>
      </c>
      <c r="AG59" s="9" t="e">
        <f>AVERAGEIFS($R$2:$R$999,$N$2:$N$999,"&gt;=-4.5",$N$2:$N$999,"&lt;=4.5",$P$2:$P$999,"&gt;=6.3",$F$2:$F$999,"UP")</f>
        <v>#DIV/0!</v>
      </c>
      <c r="AH59" s="9" t="e">
        <f>AVERAGEIFS($R$2:$R$999,$N$2:$N$999,"&gt;=5",$P$2:$P$999,"&gt;=6.3",$F$2:$F$999,"UP")</f>
        <v>#DIV/0!</v>
      </c>
      <c r="AJ59" s="6" t="e">
        <f>AVERAGEIFS($R$2:$R$999,$P$2:$P$999,"&gt;=6.3",$O$2:$O$999,"&gt;=44.5",$O$2:$O$999,"&lt;=48.5",$C$2:$C$999,"&gt;=0.01")</f>
        <v>#DIV/0!</v>
      </c>
      <c r="AK59" s="6" t="e">
        <f>AVERAGEIFS($R$2:$R$999,$N$2:$N$999,"&lt;=-5",$P$2:$P$999,"&gt;=6.3",$O$2:$O$999,"&gt;=44.5",$O$2:$O$999,"&lt;=48.5",$C$2:$C$999,"&gt;=0.01")</f>
        <v>#DIV/0!</v>
      </c>
      <c r="AL59" s="6" t="e">
        <f>AVERAGEIFS($R$2:$R$999,$N$2:$N$999,"&gt;=-4.5",$N$2:$N$999,"&lt;=4.5",$P$2:$P$999,"&gt;=6.3",$O$2:$O$999,"&gt;=44.5",$O$2:$O$999,"&lt;=48.5",$C$2:$C$999,"&gt;=0.01")</f>
        <v>#DIV/0!</v>
      </c>
      <c r="AM59" s="6" t="e">
        <f>AVERAGEIFS($R$2:$R$999,$N$2:$N$999,"&gt;=5",$P$2:$P$999,"&gt;=6.3",$O$2:$O$999,"&gt;=44.5",$O$2:$O$999,"&lt;=48.5",$C$2:$C$999,"&gt;=0.01")</f>
        <v>#DIV/0!</v>
      </c>
      <c r="AO59" s="6"/>
      <c r="AP59" s="6"/>
      <c r="AQ59" s="6"/>
      <c r="AR59" s="6"/>
      <c r="AT59" s="6" t="e">
        <f>AVERAGEIFS($R$2:$R$999,$P$2:$P$999,"&gt;=6.3",$F$2:$F$999,"UP",$C$2:$C$999,"&gt;=0.01")</f>
        <v>#DIV/0!</v>
      </c>
      <c r="AU59" s="6" t="e">
        <f>AVERAGEIFS($R$2:$R$999,$N$2:$N$999,"&lt;=-5",$P$2:$P$999,"&gt;=6.3",$F$2:$F$999,"UP",$C$2:$C$999,"&gt;=0.01")</f>
        <v>#DIV/0!</v>
      </c>
      <c r="AV59" s="6" t="e">
        <f>AVERAGEIFS($R$2:$R$999,$N$2:$N$999,"&gt;=-4.5",$N$2:$N$999,"&lt;=4.5",$P$2:$P$999,"&gt;=6.3",$F$2:$F$999,"UP",$C$2:$C$999,"&gt;=0.01")</f>
        <v>#DIV/0!</v>
      </c>
      <c r="AW59" s="6" t="e">
        <f>AVERAGEIFS($R$2:$R$999,$N$2:$N$999,"&gt;=5",$P$2:$P$999,"&gt;=6.3",$F$2:$F$999,"UP",$C$2:$C$999,"&gt;=0.01")</f>
        <v>#DIV/0!</v>
      </c>
      <c r="AY59" s="6"/>
      <c r="AZ59" s="6"/>
      <c r="BA59" s="6"/>
      <c r="BB59" s="6"/>
      <c r="BD59" s="1"/>
      <c r="BE59" s="1"/>
      <c r="BF59" s="1"/>
      <c r="BG59" s="1"/>
      <c r="BI59" s="1"/>
      <c r="BJ59" s="1"/>
      <c r="BK59" s="1"/>
      <c r="BQ59" s="1"/>
    </row>
    <row r="60" spans="1:69" x14ac:dyDescent="0.2">
      <c r="A60" s="8">
        <v>16</v>
      </c>
      <c r="B60" t="s">
        <v>117</v>
      </c>
      <c r="C60" s="8"/>
      <c r="D60" s="8"/>
      <c r="E60" s="8"/>
      <c r="F60" s="8"/>
      <c r="G60" s="8"/>
      <c r="H60" s="8" t="s">
        <v>75</v>
      </c>
      <c r="I60" s="8"/>
      <c r="J60" s="8"/>
      <c r="K60" s="8"/>
      <c r="L60" s="8"/>
      <c r="M60" s="8"/>
      <c r="N60" s="8"/>
      <c r="O60" s="8"/>
      <c r="P60" s="8"/>
      <c r="R60" s="9"/>
      <c r="U60" s="1"/>
      <c r="V60" s="1"/>
      <c r="W60" s="1"/>
      <c r="X60" s="1"/>
      <c r="Z60" s="9"/>
      <c r="AA60" s="9"/>
      <c r="AB60" s="9"/>
      <c r="AC60" s="9"/>
      <c r="AD60" s="9"/>
      <c r="AF60" s="9"/>
      <c r="AG60" s="9"/>
      <c r="AH60" s="9"/>
      <c r="AJ60" s="6"/>
      <c r="AK60" s="6"/>
      <c r="AL60" s="6"/>
      <c r="AM60" s="6"/>
      <c r="AO60" s="6"/>
      <c r="AP60" s="6"/>
      <c r="AQ60" s="6"/>
      <c r="AR60" s="6"/>
      <c r="AS60" s="6"/>
      <c r="AU60" s="6"/>
      <c r="AV60" s="6"/>
      <c r="AW60" s="6"/>
      <c r="AY60" s="6"/>
      <c r="AZ60" s="6"/>
      <c r="BA60" s="6"/>
      <c r="BB60" s="6"/>
      <c r="BD60" s="1"/>
      <c r="BE60" s="1"/>
      <c r="BF60" s="1"/>
      <c r="BG60" s="1"/>
      <c r="BI60" s="1"/>
      <c r="BJ60" s="1"/>
      <c r="BK60" s="1"/>
      <c r="BQ60" s="1"/>
    </row>
    <row r="61" spans="1:69" x14ac:dyDescent="0.2">
      <c r="A61" s="8">
        <v>16</v>
      </c>
      <c r="B61" s="8" t="s">
        <v>57</v>
      </c>
      <c r="C61" s="8"/>
      <c r="D61" s="8" t="s">
        <v>75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R61" s="9"/>
      <c r="T61" t="s">
        <v>42</v>
      </c>
      <c r="U61" s="1" t="s">
        <v>29</v>
      </c>
      <c r="V61" s="1" t="s">
        <v>31</v>
      </c>
      <c r="W61" s="1" t="s">
        <v>43</v>
      </c>
      <c r="X61" s="1" t="s">
        <v>30</v>
      </c>
      <c r="Z61" s="9"/>
      <c r="AA61" s="9"/>
      <c r="AB61" s="9"/>
      <c r="AC61" s="9"/>
      <c r="AD61" s="9"/>
      <c r="AF61" s="9"/>
      <c r="AG61" s="9"/>
      <c r="AH61" s="9"/>
      <c r="AI61" s="5" t="s">
        <v>42</v>
      </c>
      <c r="AJ61" s="6" t="s">
        <v>29</v>
      </c>
      <c r="AK61" s="6" t="s">
        <v>31</v>
      </c>
      <c r="AL61" s="6" t="s">
        <v>43</v>
      </c>
      <c r="AM61" s="6" t="s">
        <v>30</v>
      </c>
      <c r="AO61" s="6"/>
      <c r="AP61" s="6"/>
      <c r="AQ61" s="6"/>
      <c r="AR61" s="6"/>
      <c r="AS61" s="6"/>
      <c r="AU61" s="6"/>
      <c r="AV61" s="6"/>
      <c r="AW61" s="6"/>
      <c r="AY61" s="6"/>
      <c r="AZ61" s="6"/>
      <c r="BA61" s="6"/>
      <c r="BB61" s="6"/>
      <c r="BD61" s="1"/>
      <c r="BE61" s="1"/>
      <c r="BF61" s="1"/>
      <c r="BG61" s="1"/>
      <c r="BI61" s="1"/>
      <c r="BJ61" s="1"/>
      <c r="BK61" s="1"/>
      <c r="BQ61" s="1"/>
    </row>
    <row r="62" spans="1:69" x14ac:dyDescent="0.2">
      <c r="A62" s="8">
        <v>16</v>
      </c>
      <c r="B62" s="8" t="s">
        <v>143</v>
      </c>
      <c r="C62" s="8"/>
      <c r="D62" s="8" t="s">
        <v>75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R62" s="9"/>
      <c r="U62" s="1" t="e">
        <f>AVERAGEIF($O$2:$O$999,"&gt;=49",$R$2:$R$999)</f>
        <v>#DIV/0!</v>
      </c>
      <c r="V62" s="1" t="e">
        <f>AVERAGEIFS($R$2:$R$999,$N$2:$N$999,"&lt;=-5",$N$2:$N$999,"&lt;=5",$O$2:$O$999,"&gt;=49")</f>
        <v>#DIV/0!</v>
      </c>
      <c r="W62" s="1" t="e">
        <f>AVERAGEIFS($R$2:$R$999,$N$2:$N$999,"&gt;=-4.5",$N$2:$N$999,"&lt;=4.5",$O$2:$O$999,"&gt;=49")</f>
        <v>#DIV/0!</v>
      </c>
      <c r="X62" s="1" t="e">
        <f>AVERAGEIFS($R$2:$R$999,$N$2:$N$999,"&gt;=5",$O$2:$O$999,"&gt;=49")</f>
        <v>#DIV/0!</v>
      </c>
      <c r="Z62" s="9"/>
      <c r="AA62" s="9"/>
      <c r="AB62" s="9"/>
      <c r="AC62" s="9"/>
      <c r="AD62" s="9"/>
      <c r="AF62" s="9"/>
      <c r="AG62" s="9"/>
      <c r="AH62" s="9"/>
      <c r="AJ62" s="6" t="e">
        <f>AVERAGEIFS($R$2:$R$999,$O$2:$O$999,"&gt;=49",$C$2:$C$999,"&gt;=0.01")</f>
        <v>#DIV/0!</v>
      </c>
      <c r="AK62" s="6" t="e">
        <f>AVERAGEIFS($R$2:$R$999,$N$2:$N$999,"&lt;=-5",$N$2:$N$999,"&lt;=5",$O$2:$O$999,"&gt;=49",$C$2:$C$999,"&gt;=0.01")</f>
        <v>#DIV/0!</v>
      </c>
      <c r="AL62" s="6" t="e">
        <f>AVERAGEIFS($R$2:$R$999,$N$2:$N$999,"&gt;=-4.5",$N$2:$N$999,"&lt;=4.5",$O$2:$O$999,"&gt;=49",$C$2:$C$999,"&gt;=0.01")</f>
        <v>#DIV/0!</v>
      </c>
      <c r="AM62" s="6" t="e">
        <f>AVERAGEIFS($R$2:$R$999,$N$2:$N$999,"&gt;=5",$O$2:$O$999,"&gt;=49",$C$2:$C$999,"&gt;=0.01")</f>
        <v>#DIV/0!</v>
      </c>
      <c r="AO62" s="6"/>
      <c r="AP62" s="6"/>
      <c r="AQ62" s="6"/>
      <c r="AR62" s="6"/>
      <c r="AS62" s="6"/>
      <c r="AU62" s="6"/>
      <c r="AV62" s="6"/>
      <c r="AW62" s="6"/>
      <c r="AY62" s="6"/>
      <c r="AZ62" s="6"/>
      <c r="BA62" s="6"/>
      <c r="BB62" s="6"/>
      <c r="BD62" s="1"/>
      <c r="BE62" s="1"/>
      <c r="BF62" s="1"/>
      <c r="BG62" s="1"/>
      <c r="BI62" s="1"/>
      <c r="BJ62" s="1"/>
      <c r="BK62" s="1"/>
      <c r="BQ62" s="1"/>
    </row>
    <row r="63" spans="1:69" x14ac:dyDescent="0.2">
      <c r="A63" s="3">
        <v>16</v>
      </c>
      <c r="B63" s="3" t="s">
        <v>182</v>
      </c>
      <c r="C63" s="3">
        <v>9.4</v>
      </c>
      <c r="D63" s="3" t="s">
        <v>75</v>
      </c>
      <c r="E63" s="3"/>
      <c r="F63" s="3"/>
      <c r="G63" s="3"/>
      <c r="H63" s="3"/>
      <c r="I63" s="3" t="s">
        <v>75</v>
      </c>
      <c r="J63" s="8"/>
      <c r="K63" s="8"/>
      <c r="L63" s="8"/>
      <c r="M63" s="8"/>
      <c r="N63" s="8"/>
      <c r="O63" s="8"/>
      <c r="P63" s="8"/>
      <c r="R63" s="9"/>
      <c r="U63" s="1"/>
      <c r="V63" s="1"/>
      <c r="W63" s="1"/>
      <c r="X63" s="1"/>
      <c r="Z63" s="9"/>
      <c r="AA63" s="9"/>
      <c r="AB63" s="9"/>
      <c r="AC63" s="9"/>
      <c r="AD63" s="9"/>
      <c r="AF63" s="9"/>
      <c r="AG63" s="9"/>
      <c r="AH63" s="9"/>
      <c r="AJ63" s="6"/>
      <c r="AK63" s="6"/>
      <c r="AL63" s="6"/>
      <c r="AM63" s="6"/>
      <c r="AO63" s="6"/>
      <c r="AP63" s="6"/>
      <c r="AQ63" s="6"/>
      <c r="AR63" s="6"/>
      <c r="AS63" s="6"/>
      <c r="AU63" s="6"/>
      <c r="AV63" s="6"/>
      <c r="AW63" s="6"/>
      <c r="AY63" s="6"/>
      <c r="AZ63" s="6"/>
      <c r="BA63" s="6"/>
      <c r="BB63" s="6"/>
      <c r="BD63" s="1"/>
      <c r="BE63" s="1"/>
      <c r="BF63" s="1"/>
      <c r="BG63" s="1"/>
      <c r="BI63" s="1"/>
      <c r="BJ63" s="1"/>
      <c r="BK63" s="1"/>
      <c r="BQ63" s="1"/>
    </row>
    <row r="64" spans="1:69" x14ac:dyDescent="0.2">
      <c r="A64" s="8">
        <v>16</v>
      </c>
      <c r="B64" s="8" t="s">
        <v>96</v>
      </c>
      <c r="C64" s="8"/>
      <c r="D64" s="8" t="s">
        <v>75</v>
      </c>
      <c r="E64" s="8"/>
      <c r="F64" s="8"/>
      <c r="G64" s="8"/>
      <c r="H64" s="8"/>
      <c r="I64" s="8" t="s">
        <v>75</v>
      </c>
      <c r="J64" s="8"/>
      <c r="K64" s="8"/>
      <c r="L64" s="8"/>
      <c r="M64" s="8"/>
      <c r="N64" s="8"/>
      <c r="O64" s="8"/>
      <c r="P64" s="8"/>
      <c r="R64" s="9"/>
      <c r="T64" t="s">
        <v>42</v>
      </c>
      <c r="U64" s="1" t="s">
        <v>33</v>
      </c>
      <c r="V64" s="1" t="s">
        <v>31</v>
      </c>
      <c r="W64" s="1" t="s">
        <v>43</v>
      </c>
      <c r="X64" s="1" t="s">
        <v>30</v>
      </c>
      <c r="Z64" s="9"/>
      <c r="AA64" s="9"/>
      <c r="AB64" s="9"/>
      <c r="AC64" s="9"/>
      <c r="AD64" s="9"/>
      <c r="AF64" s="9"/>
      <c r="AG64" s="9"/>
      <c r="AH64" s="9"/>
      <c r="AI64" s="5" t="s">
        <v>42</v>
      </c>
      <c r="AJ64" s="6" t="s">
        <v>33</v>
      </c>
      <c r="AK64" s="6" t="s">
        <v>31</v>
      </c>
      <c r="AL64" s="6" t="s">
        <v>43</v>
      </c>
      <c r="AM64" s="6" t="s">
        <v>30</v>
      </c>
      <c r="AO64" s="6"/>
      <c r="AP64" s="6"/>
      <c r="AQ64" s="6"/>
      <c r="AR64" s="6"/>
      <c r="AS64" s="6"/>
      <c r="AU64" s="6"/>
      <c r="AV64" s="6"/>
      <c r="AW64" s="6"/>
      <c r="AY64" s="6"/>
      <c r="AZ64" s="6"/>
      <c r="BA64" s="6"/>
      <c r="BB64" s="6"/>
      <c r="BD64" s="1"/>
      <c r="BE64" s="1"/>
      <c r="BF64" s="1"/>
      <c r="BG64" s="1"/>
      <c r="BI64" s="1"/>
      <c r="BJ64" s="1"/>
      <c r="BK64" s="1"/>
      <c r="BQ64" s="1"/>
    </row>
    <row r="65" spans="1:69" x14ac:dyDescent="0.2">
      <c r="A65" s="3">
        <v>16</v>
      </c>
      <c r="B65" s="3" t="s">
        <v>136</v>
      </c>
      <c r="C65" s="3">
        <v>10</v>
      </c>
      <c r="D65" s="3" t="s">
        <v>75</v>
      </c>
      <c r="E65" s="3"/>
      <c r="F65" s="3"/>
      <c r="G65" s="3"/>
      <c r="H65" s="3"/>
      <c r="I65" s="3" t="s">
        <v>75</v>
      </c>
      <c r="J65" s="8"/>
      <c r="K65" s="8"/>
      <c r="L65" s="8"/>
      <c r="M65" s="8"/>
      <c r="N65" s="8"/>
      <c r="O65" s="8"/>
      <c r="P65" s="8"/>
      <c r="R65" s="9"/>
      <c r="U65" s="1" t="e">
        <f>AVERAGEIFS($R$2:$R$999,$P$2:$P$999,"&lt;=4",$O$2:$O$999,"&gt;=49")</f>
        <v>#DIV/0!</v>
      </c>
      <c r="V65" s="1" t="e">
        <f>AVERAGEIFS($R$2:$R$999,$N$2:$N$999,"&lt;=-5",$P$2:$P$999,"&lt;=4",$O$2:$O$999,"&gt;=49")</f>
        <v>#DIV/0!</v>
      </c>
      <c r="W65" s="1" t="e">
        <f>AVERAGEIFS($R$2:$R$999,$N$2:$N$999,"&gt;=-4.5",$N$2:$N$999,"&lt;=4.5",$P$2:$P$999,"&lt;=4",$O$2:$O$999,"&gt;=49")</f>
        <v>#DIV/0!</v>
      </c>
      <c r="X65" s="1" t="e">
        <f>AVERAGEIFS($R$2:$R$999,$N$2:$N$999,"&gt;=5",$P$2:$P$999,"&lt;=4",$O$2:$O$999,"&gt;=49")</f>
        <v>#DIV/0!</v>
      </c>
      <c r="Z65" s="9"/>
      <c r="AA65" s="9"/>
      <c r="AB65" s="9"/>
      <c r="AC65" s="9"/>
      <c r="AD65" s="9"/>
      <c r="AF65" s="9"/>
      <c r="AG65" s="9"/>
      <c r="AH65" s="9"/>
      <c r="AJ65" s="6" t="e">
        <f>AVERAGEIFS($R$2:$R$999,$P$2:$P$999,"&lt;=4",$O$2:$O$999,"&gt;=49",$C$2:$C$999,"&gt;=0.01")</f>
        <v>#DIV/0!</v>
      </c>
      <c r="AK65" s="6" t="e">
        <f>AVERAGEIFS($R$2:$R$999,$N$2:$N$999,"&lt;=-5",$P$2:$P$999,"&lt;=4",$O$2:$O$999,"&gt;=49",$C$2:$C$999,"&gt;=0.01")</f>
        <v>#DIV/0!</v>
      </c>
      <c r="AL65" s="6" t="e">
        <f>AVERAGEIFS($R$2:$R$999,$N$2:$N$999,"&gt;=-4.5",$N$2:$N$999,"&lt;=4.5",$P$2:$P$999,"&lt;=4",$O$2:$O$999,"&gt;=49",$C$2:$C$999,"&gt;=0.01")</f>
        <v>#DIV/0!</v>
      </c>
      <c r="AM65" s="6" t="e">
        <f>AVERAGEIFS($R$2:$R$999,$N$2:$N$999,"&gt;=5",$P$2:$P$999,"&lt;=4",$O$2:$O$999,"&gt;=49",$C$2:$C$999,"&gt;=0.01")</f>
        <v>#DIV/0!</v>
      </c>
      <c r="AO65" s="6"/>
      <c r="AP65" s="6"/>
      <c r="AQ65" s="6"/>
      <c r="AR65" s="6"/>
      <c r="AS65" s="6"/>
      <c r="AU65" s="6"/>
      <c r="AV65" s="6"/>
      <c r="AW65" s="6"/>
      <c r="AY65" s="6"/>
      <c r="AZ65" s="6"/>
      <c r="BA65" s="6"/>
      <c r="BB65" s="6"/>
      <c r="BD65" s="1"/>
      <c r="BE65" s="1"/>
      <c r="BF65" s="1"/>
      <c r="BG65" s="1"/>
      <c r="BI65" s="1"/>
      <c r="BJ65" s="1"/>
      <c r="BK65" s="1"/>
      <c r="BQ65" s="1"/>
    </row>
    <row r="66" spans="1:69" x14ac:dyDescent="0.2">
      <c r="A66" s="8">
        <v>16</v>
      </c>
      <c r="B66" s="8" t="s">
        <v>11</v>
      </c>
      <c r="C66" s="8"/>
      <c r="D66" s="8"/>
      <c r="E66" s="8"/>
      <c r="F66" s="8" t="s">
        <v>109</v>
      </c>
      <c r="G66" s="8"/>
      <c r="H66" s="8"/>
      <c r="I66" s="8"/>
      <c r="J66" s="8"/>
      <c r="K66" s="8"/>
      <c r="L66" s="8"/>
      <c r="M66" s="8"/>
      <c r="N66" s="8"/>
      <c r="O66" s="8"/>
      <c r="P66" s="8"/>
      <c r="R66" s="9"/>
      <c r="U66" s="1"/>
      <c r="V66" s="1"/>
      <c r="W66" s="1"/>
      <c r="X66" s="1"/>
      <c r="Z66" s="9"/>
      <c r="AA66" s="9"/>
      <c r="AB66" s="9"/>
      <c r="AC66" s="9"/>
      <c r="AD66" s="9"/>
      <c r="AF66" s="9"/>
      <c r="AG66" s="9"/>
      <c r="AH66" s="9"/>
      <c r="AJ66" s="6"/>
      <c r="AK66" s="6"/>
      <c r="AL66" s="6"/>
      <c r="AM66" s="6"/>
      <c r="AO66" s="6"/>
      <c r="AP66" s="6"/>
      <c r="AQ66" s="6"/>
      <c r="AR66" s="6"/>
      <c r="AS66" s="6"/>
      <c r="AU66" s="6"/>
      <c r="AV66" s="6"/>
      <c r="AW66" s="6"/>
      <c r="AY66" s="6"/>
      <c r="AZ66" s="6"/>
      <c r="BA66" s="6"/>
      <c r="BB66" s="6"/>
      <c r="BD66" s="1"/>
      <c r="BE66" s="1"/>
      <c r="BF66" s="1"/>
      <c r="BG66" s="1"/>
      <c r="BI66" s="1"/>
      <c r="BJ66" s="1"/>
      <c r="BK66" s="1"/>
      <c r="BQ66" s="1"/>
    </row>
    <row r="67" spans="1:69" x14ac:dyDescent="0.2">
      <c r="A67" s="8">
        <v>16</v>
      </c>
      <c r="B67" s="8" t="s">
        <v>10</v>
      </c>
      <c r="F67" t="s">
        <v>109</v>
      </c>
      <c r="T67" t="s">
        <v>42</v>
      </c>
      <c r="U67" s="1" t="s">
        <v>36</v>
      </c>
      <c r="V67" s="1" t="s">
        <v>31</v>
      </c>
      <c r="W67" s="1" t="s">
        <v>43</v>
      </c>
      <c r="X67" s="1" t="s">
        <v>30</v>
      </c>
      <c r="Z67" s="9"/>
      <c r="AA67" s="9"/>
      <c r="AB67" s="9"/>
      <c r="AC67" s="9"/>
      <c r="AD67" s="9"/>
      <c r="AF67" s="9"/>
      <c r="AG67" s="9"/>
      <c r="AH67" s="9"/>
      <c r="AI67" s="5" t="s">
        <v>42</v>
      </c>
      <c r="AJ67" s="6" t="s">
        <v>36</v>
      </c>
      <c r="AK67" s="6" t="s">
        <v>31</v>
      </c>
      <c r="AL67" s="6" t="s">
        <v>43</v>
      </c>
      <c r="AM67" s="6" t="s">
        <v>30</v>
      </c>
      <c r="AO67" s="6"/>
      <c r="AP67" s="6"/>
      <c r="AQ67" s="6"/>
      <c r="AR67" s="6"/>
      <c r="AS67" s="6"/>
      <c r="AU67" s="6"/>
      <c r="AV67" s="6"/>
      <c r="AW67" s="6"/>
      <c r="AY67" s="6"/>
      <c r="AZ67" s="6"/>
      <c r="BA67" s="6"/>
      <c r="BB67" s="6"/>
      <c r="BD67" s="1"/>
      <c r="BE67" s="1"/>
      <c r="BF67" s="1"/>
      <c r="BG67" s="1"/>
      <c r="BI67" s="1"/>
      <c r="BJ67" s="1"/>
      <c r="BK67" s="1"/>
      <c r="BQ67" s="1"/>
    </row>
    <row r="68" spans="1:69" x14ac:dyDescent="0.2">
      <c r="A68" s="8">
        <v>16</v>
      </c>
      <c r="B68" s="8" t="s">
        <v>184</v>
      </c>
      <c r="F68" t="s">
        <v>109</v>
      </c>
      <c r="U68" s="1" t="e">
        <f>AVERAGEIFS($R$2:$R$999,$P$2:$P$999,"&gt;=4.1",$P$2:$P$999,"&lt;=5",$O$2:$O$999,"&gt;=49")</f>
        <v>#DIV/0!</v>
      </c>
      <c r="V68" s="1" t="e">
        <f>AVERAGEIFS($R$2:$R$999,$N$2:$N$999,"&lt;=-5",$P$2:$P$999,"&gt;=4.1",$P$2:$P$999,"&lt;=5",$O$2:$O$999,"&gt;=49")</f>
        <v>#DIV/0!</v>
      </c>
      <c r="W68" s="1" t="e">
        <f>AVERAGEIFS($R$2:$R$999,$N$2:$N$999,"&gt;=-4.5",$N$2:$N$999,"&lt;=4.5",$P$2:$P$999,"&gt;=4.1",$P$2:$P$999,"&lt;=5",$O$2:$O$999,"&gt;=49")</f>
        <v>#DIV/0!</v>
      </c>
      <c r="X68" s="1" t="e">
        <f>AVERAGEIFS($R$2:$R$999,$N$2:$N$999,"&gt;=5",$P$2:$P$999,"&gt;=4.1",$P$2:$P$999,"&lt;=5",$O$2:$O$999,"&gt;=49")</f>
        <v>#DIV/0!</v>
      </c>
      <c r="Z68" s="9"/>
      <c r="AA68" s="9"/>
      <c r="AB68" s="9"/>
      <c r="AC68" s="9"/>
      <c r="AD68" s="9"/>
      <c r="AF68" s="9"/>
      <c r="AG68" s="9"/>
      <c r="AH68" s="9"/>
      <c r="AJ68" s="6" t="e">
        <f>AVERAGEIFS($R$2:$R$999,$P$2:$P$999,"&gt;=4.1",$P$2:$P$999,"&lt;=5",$O$2:$O$999,"&gt;=49",$C$2:$C$999,"&gt;=0.01")</f>
        <v>#DIV/0!</v>
      </c>
      <c r="AK68" s="6" t="e">
        <f>AVERAGEIFS($R$2:$R$999,$N$2:$N$999,"&lt;=-5",$P$2:$P$999,"&gt;=4.1",$P$2:$P$999,"&lt;=5",$O$2:$O$999,"&gt;=49",$C$2:$C$999,"&gt;=0.01")</f>
        <v>#DIV/0!</v>
      </c>
      <c r="AL68" s="6" t="e">
        <f>AVERAGEIFS($R$2:$R$999,$N$2:$N$999,"&gt;=-4.5",$N$2:$N$999,"&lt;=4.5",$P$2:$P$999,"&gt;=4.1",$P$2:$P$999,"&lt;=5",$O$2:$O$999,"&gt;=49",$C$2:$C$999,"&gt;=0.01")</f>
        <v>#DIV/0!</v>
      </c>
      <c r="AM68" s="6" t="e">
        <f>AVERAGEIFS($R$2:$R$999,$N$2:$N$999,"&gt;=5",$P$2:$P$999,"&gt;=4.1",$P$2:$P$999,"&lt;=5",$O$2:$O$999,"&gt;=49",$C$2:$C$999,"&gt;=0.01")</f>
        <v>#DIV/0!</v>
      </c>
      <c r="AO68" s="6"/>
      <c r="AP68" s="6"/>
      <c r="AQ68" s="6"/>
      <c r="AR68" s="6"/>
      <c r="AS68" s="6"/>
      <c r="AU68" s="6"/>
      <c r="AV68" s="6"/>
      <c r="AW68" s="6"/>
      <c r="AY68" s="6"/>
      <c r="AZ68" s="6"/>
      <c r="BA68" s="6"/>
      <c r="BB68" s="6"/>
      <c r="BD68" s="1"/>
      <c r="BE68" s="1"/>
      <c r="BF68" s="1"/>
      <c r="BG68" s="1"/>
      <c r="BI68" s="1"/>
      <c r="BJ68" s="1"/>
      <c r="BK68" s="1"/>
      <c r="BQ68" s="1"/>
    </row>
    <row r="69" spans="1:69" x14ac:dyDescent="0.2">
      <c r="U69" s="1"/>
      <c r="V69" s="1"/>
      <c r="W69" s="1"/>
      <c r="X69" s="1"/>
      <c r="Z69" s="9"/>
      <c r="AA69" s="9"/>
      <c r="AB69" s="9"/>
      <c r="AC69" s="9"/>
      <c r="AD69" s="9"/>
      <c r="AF69" s="9"/>
      <c r="AG69" s="9"/>
      <c r="AH69" s="9"/>
      <c r="AJ69" s="6"/>
      <c r="AK69" s="6"/>
      <c r="AL69" s="6"/>
      <c r="AM69" s="6"/>
      <c r="AO69" s="6"/>
      <c r="AP69" s="6"/>
      <c r="AQ69" s="6"/>
      <c r="AR69" s="6"/>
      <c r="AS69" s="6"/>
      <c r="AU69" s="6"/>
      <c r="AV69" s="6"/>
      <c r="AW69" s="6"/>
      <c r="AY69" s="6"/>
      <c r="AZ69" s="6"/>
      <c r="BA69" s="6"/>
      <c r="BB69" s="6"/>
      <c r="BD69" s="1"/>
      <c r="BE69" s="1"/>
      <c r="BF69" s="1"/>
      <c r="BG69" s="1"/>
      <c r="BI69" s="1"/>
      <c r="BJ69" s="1"/>
      <c r="BK69" s="1"/>
      <c r="BQ69" s="1"/>
    </row>
    <row r="70" spans="1:69" x14ac:dyDescent="0.2">
      <c r="T70" t="s">
        <v>42</v>
      </c>
      <c r="U70" s="1" t="s">
        <v>34</v>
      </c>
      <c r="V70" s="1" t="s">
        <v>31</v>
      </c>
      <c r="W70" s="1" t="s">
        <v>43</v>
      </c>
      <c r="X70" s="1" t="s">
        <v>30</v>
      </c>
      <c r="Z70" s="9"/>
      <c r="AA70" s="9"/>
      <c r="AB70" s="9"/>
      <c r="AC70" s="9"/>
      <c r="AD70" s="9"/>
      <c r="AF70" s="9"/>
      <c r="AG70" s="9"/>
      <c r="AH70" s="9"/>
      <c r="AI70" s="5" t="s">
        <v>42</v>
      </c>
      <c r="AJ70" s="6" t="s">
        <v>34</v>
      </c>
      <c r="AK70" s="6" t="s">
        <v>31</v>
      </c>
      <c r="AL70" s="6" t="s">
        <v>43</v>
      </c>
      <c r="AM70" s="6" t="s">
        <v>30</v>
      </c>
      <c r="AO70" s="6"/>
      <c r="AP70" s="6"/>
      <c r="AQ70" s="6"/>
      <c r="AR70" s="6"/>
      <c r="AS70" s="6"/>
      <c r="AU70" s="6"/>
      <c r="AV70" s="6"/>
      <c r="AW70" s="6"/>
      <c r="AY70" s="6"/>
      <c r="AZ70" s="6"/>
      <c r="BA70" s="6"/>
      <c r="BB70" s="6"/>
      <c r="BD70" s="1"/>
      <c r="BE70" s="1"/>
      <c r="BF70" s="1"/>
      <c r="BG70" s="1"/>
      <c r="BI70" s="1"/>
      <c r="BJ70" s="1"/>
      <c r="BK70" s="1"/>
      <c r="BQ70" s="1"/>
    </row>
    <row r="71" spans="1:69" x14ac:dyDescent="0.2">
      <c r="U71" s="1" t="e">
        <f>AVERAGEIFS($R$2:$R$999,$P$2:$P$999,"&gt;=5.1",$P$2:$P$999,"&lt;=6.2",$O$2:$O$999,"&gt;=49")</f>
        <v>#DIV/0!</v>
      </c>
      <c r="V71" s="1" t="e">
        <f>AVERAGEIFS($R$2:$R$999,$N$2:$N$999,"&lt;=-5",$P$2:$P$999,"&gt;=5.1",$P$2:$P$999,"&lt;=6.2",$O$2:$O$999,"&gt;=49")</f>
        <v>#DIV/0!</v>
      </c>
      <c r="W71" s="1" t="e">
        <f>AVERAGEIFS($R$2:$R$999,$N$2:$N$999,"&gt;=-4.5",$N$2:$N$999,"&lt;=4.5",$P$2:$P$999,"&gt;=5.1",$P$2:$P$999,"&lt;=6.2",$O$2:$O$999,"&gt;=49")</f>
        <v>#DIV/0!</v>
      </c>
      <c r="X71" s="1" t="e">
        <f>AVERAGEIFS($R$2:$R$999,$N$2:$N$999,"&gt;=5",$P$2:$P$999,"&gt;=5.1",$P$2:$P$999,"&lt;=6.2",$O$2:$O$999,"&gt;=49")</f>
        <v>#DIV/0!</v>
      </c>
      <c r="Z71" s="9"/>
      <c r="AA71" s="9"/>
      <c r="AB71" s="9"/>
      <c r="AC71" s="9"/>
      <c r="AD71" s="9"/>
      <c r="AF71" s="9"/>
      <c r="AG71" s="9"/>
      <c r="AH71" s="9"/>
      <c r="AJ71" s="6" t="e">
        <f>AVERAGEIFS($R$2:$R$999,$P$2:$P$999,"&gt;=5.1",$P$2:$P$999,"&lt;=6.2",$O$2:$O$999,"&gt;=49",$C$2:$C$999,"&gt;=0.01")</f>
        <v>#DIV/0!</v>
      </c>
      <c r="AK71" s="6" t="e">
        <f>AVERAGEIFS($R$2:$R$999,$N$2:$N$999,"&lt;=-5",$P$2:$P$999,"&gt;=5.1",$P$2:$P$999,"&lt;=6.2",$O$2:$O$999,"&gt;=49",$C$2:$C$999,"&gt;=0.01")</f>
        <v>#DIV/0!</v>
      </c>
      <c r="AL71" s="6" t="e">
        <f>AVERAGEIFS($R$2:$R$999,$N$2:$N$999,"&gt;=-4.5",$N$2:$N$999,"&lt;=4.5",$P$2:$P$999,"&gt;=5.1",$P$2:$P$999,"&lt;=6.2",$O$2:$O$999,"&gt;=49",$C$2:$C$999,"&gt;=0.01")</f>
        <v>#DIV/0!</v>
      </c>
      <c r="AM71" s="6" t="e">
        <f>AVERAGEIFS($R$2:$R$999,$N$2:$N$999,"&gt;=5",$P$2:$P$999,"&gt;=5.1",$P$2:$P$999,"&lt;=6.2",$O$2:$O$999,"&gt;=49",$C$2:$C$999,"&gt;=0.01")</f>
        <v>#DIV/0!</v>
      </c>
      <c r="AO71" s="6"/>
      <c r="AP71" s="6"/>
      <c r="AQ71" s="6"/>
      <c r="AR71" s="6"/>
      <c r="AS71" s="6"/>
      <c r="AU71" s="6"/>
      <c r="AV71" s="6"/>
      <c r="AW71" s="6"/>
      <c r="AY71" s="6"/>
      <c r="AZ71" s="6"/>
      <c r="BA71" s="6"/>
      <c r="BB71" s="6"/>
      <c r="BD71" s="1"/>
      <c r="BE71" s="1"/>
      <c r="BF71" s="1"/>
      <c r="BG71" s="1"/>
      <c r="BI71" s="1"/>
      <c r="BJ71" s="1"/>
      <c r="BK71" s="1"/>
      <c r="BQ71" s="1"/>
    </row>
    <row r="72" spans="1:69" x14ac:dyDescent="0.2">
      <c r="U72" s="1"/>
      <c r="V72" s="1"/>
      <c r="W72" s="1"/>
      <c r="X72" s="1"/>
      <c r="Z72" s="9"/>
      <c r="AA72" s="9"/>
      <c r="AB72" s="9"/>
      <c r="AC72" s="9"/>
      <c r="AD72" s="9"/>
      <c r="AF72" s="9"/>
      <c r="AG72" s="9"/>
      <c r="AH72" s="9"/>
      <c r="AJ72" s="6"/>
      <c r="AK72" s="6"/>
      <c r="AL72" s="6"/>
      <c r="AM72" s="6"/>
      <c r="AO72" s="6"/>
      <c r="AP72" s="6"/>
      <c r="AQ72" s="6"/>
      <c r="AR72" s="6"/>
      <c r="AS72" s="6"/>
      <c r="AU72" s="6"/>
      <c r="AV72" s="6"/>
      <c r="AW72" s="6"/>
      <c r="AY72" s="6"/>
      <c r="AZ72" s="6"/>
      <c r="BA72" s="6"/>
      <c r="BB72" s="6"/>
      <c r="BD72" s="1"/>
      <c r="BE72" s="1"/>
      <c r="BF72" s="1"/>
      <c r="BG72" s="1"/>
      <c r="BI72" s="1"/>
      <c r="BJ72" s="1"/>
      <c r="BK72" s="1"/>
      <c r="BQ72" s="1"/>
    </row>
    <row r="73" spans="1:69" x14ac:dyDescent="0.2">
      <c r="T73" t="s">
        <v>42</v>
      </c>
      <c r="U73" s="1" t="s">
        <v>35</v>
      </c>
      <c r="V73" s="1" t="s">
        <v>31</v>
      </c>
      <c r="W73" s="1" t="s">
        <v>43</v>
      </c>
      <c r="X73" s="1" t="s">
        <v>30</v>
      </c>
      <c r="Z73" s="9"/>
      <c r="AA73" s="9"/>
      <c r="AB73" s="9"/>
      <c r="AC73" s="9"/>
      <c r="AD73" s="9"/>
      <c r="AF73" s="9"/>
      <c r="AG73" s="9"/>
      <c r="AH73" s="9"/>
      <c r="AI73" s="5" t="s">
        <v>42</v>
      </c>
      <c r="AJ73" s="6" t="s">
        <v>35</v>
      </c>
      <c r="AK73" s="6" t="s">
        <v>31</v>
      </c>
      <c r="AL73" s="6" t="s">
        <v>43</v>
      </c>
      <c r="AM73" s="6" t="s">
        <v>30</v>
      </c>
      <c r="AO73" s="6"/>
      <c r="AP73" s="6"/>
      <c r="AQ73" s="6"/>
      <c r="AR73" s="6"/>
      <c r="AS73" s="6"/>
      <c r="AU73" s="6"/>
      <c r="AV73" s="6"/>
      <c r="AW73" s="6"/>
      <c r="AY73" s="6"/>
      <c r="AZ73" s="6"/>
      <c r="BA73" s="6"/>
      <c r="BB73" s="6"/>
      <c r="BD73" s="1"/>
      <c r="BE73" s="1"/>
      <c r="BF73" s="1"/>
      <c r="BG73" s="1"/>
      <c r="BI73" s="1"/>
      <c r="BJ73" s="1"/>
      <c r="BK73" s="1"/>
      <c r="BQ73" s="1"/>
    </row>
    <row r="74" spans="1:69" x14ac:dyDescent="0.2">
      <c r="K74" s="1"/>
      <c r="L74" s="1"/>
      <c r="M74" s="1"/>
      <c r="U74" s="1" t="e">
        <f>AVERAGEIFS($R$2:$R$999,$P$2:$P$999,"&gt;=6.3",$O$2:$O$999,"&gt;=49")</f>
        <v>#DIV/0!</v>
      </c>
      <c r="V74" s="1" t="e">
        <f>AVERAGEIFS($R$2:$R$999,$N$2:$N$999,"&lt;=-5",$P$2:$P$999,"&gt;=6.3",$O$2:$O$999,"&gt;=49")</f>
        <v>#DIV/0!</v>
      </c>
      <c r="W74" s="1" t="e">
        <f>AVERAGEIFS($R$2:$R$999,$N$2:$N$999,"&gt;=-4.5",$N$2:$N$999,"&lt;=4.5",$P$2:$P$999,"&gt;=6.3",$O$2:$O$999,"&gt;=49")</f>
        <v>#DIV/0!</v>
      </c>
      <c r="X74" s="1" t="e">
        <f>AVERAGEIFS($R$2:$R$999,$N$2:$N$999,"&gt;=5",$P$2:$P$999,"&gt;=6.3",$O$2:$O$999,"&gt;=49")</f>
        <v>#DIV/0!</v>
      </c>
      <c r="Z74" s="9"/>
      <c r="AA74" s="9"/>
      <c r="AB74" s="9"/>
      <c r="AC74" s="9"/>
      <c r="AD74" s="9"/>
      <c r="AF74" s="9"/>
      <c r="AG74" s="9"/>
      <c r="AH74" s="9"/>
      <c r="AJ74" s="6" t="e">
        <f>AVERAGEIFS($R$2:$R$999,$P$2:$P$999,"&gt;=6.3",$O$2:$O$999,"&gt;=49",$C$2:$C$999,"&gt;=0.01")</f>
        <v>#DIV/0!</v>
      </c>
      <c r="AK74" s="6" t="e">
        <f>AVERAGEIFS($R$2:$R$999,$N$2:$N$999,"&lt;=-5",$P$2:$P$999,"&gt;=6.3",$O$2:$O$999,"&gt;=49",$C$2:$C$999,"&gt;=0.01")</f>
        <v>#DIV/0!</v>
      </c>
      <c r="AL74" s="6" t="e">
        <f>AVERAGEIFS($R$2:$R$999,$N$2:$N$999,"&gt;=-4.5",$N$2:$N$999,"&lt;=4.5",$P$2:$P$999,"&gt;=6.3",$O$2:$O$999,"&gt;=49",$C$2:$C$999,"&gt;=0.01")</f>
        <v>#DIV/0!</v>
      </c>
      <c r="AM74" s="6" t="e">
        <f>AVERAGEIFS($R$2:$R$999,$N$2:$N$999,"&gt;=5",$P$2:$P$999,"&gt;=6.3",$O$2:$O$999,"&gt;=49",$C$2:$C$999,"&gt;=0.01")</f>
        <v>#DIV/0!</v>
      </c>
      <c r="AO74" s="6"/>
      <c r="AP74" s="6"/>
      <c r="AQ74" s="6"/>
      <c r="AR74" s="6"/>
      <c r="AS74" s="6"/>
      <c r="AU74" s="6"/>
      <c r="AV74" s="6"/>
      <c r="AW74" s="6"/>
      <c r="AY74" s="6"/>
      <c r="AZ74" s="6"/>
      <c r="BA74" s="6"/>
      <c r="BB74" s="6"/>
      <c r="BD74" s="1"/>
      <c r="BE74" s="1"/>
      <c r="BF74" s="1"/>
      <c r="BG74" s="1"/>
      <c r="BI74" s="1"/>
      <c r="BJ74" s="1"/>
      <c r="BK74" s="1"/>
      <c r="BQ74" s="1"/>
    </row>
    <row r="83" spans="11:13" x14ac:dyDescent="0.2">
      <c r="K83" s="1"/>
      <c r="L83" s="1"/>
      <c r="M83" s="1"/>
    </row>
  </sheetData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BA0C2-F776-B047-A0C8-F912EDD4B95A}">
  <sheetPr codeName="Sheet9"/>
  <dimension ref="A1:CK83"/>
  <sheetViews>
    <sheetView workbookViewId="0">
      <pane ySplit="1" topLeftCell="A48" activePane="bottomLeft" state="frozen"/>
      <selection pane="bottomLeft" activeCell="B8" sqref="B8:B10"/>
    </sheetView>
  </sheetViews>
  <sheetFormatPr baseColWidth="10" defaultRowHeight="16" x14ac:dyDescent="0.2"/>
  <cols>
    <col min="2" max="2" width="17.1640625" bestFit="1" customWidth="1"/>
    <col min="3" max="3" width="5.1640625" bestFit="1" customWidth="1"/>
    <col min="4" max="4" width="10.5" bestFit="1" customWidth="1"/>
    <col min="5" max="5" width="8.1640625" bestFit="1" customWidth="1"/>
    <col min="6" max="6" width="9.1640625" bestFit="1" customWidth="1"/>
    <col min="7" max="8" width="9.1640625" customWidth="1"/>
    <col min="9" max="9" width="9.83203125" bestFit="1" customWidth="1"/>
    <col min="10" max="10" width="11.83203125" bestFit="1" customWidth="1"/>
    <col min="11" max="11" width="3.6640625" bestFit="1" customWidth="1"/>
    <col min="12" max="12" width="4.83203125" bestFit="1" customWidth="1"/>
    <col min="13" max="13" width="8" bestFit="1" customWidth="1"/>
    <col min="14" max="14" width="6.83203125" bestFit="1" customWidth="1"/>
    <col min="15" max="15" width="5.1640625" bestFit="1" customWidth="1"/>
    <col min="17" max="17" width="10.83203125" style="8"/>
    <col min="18" max="19" width="10.83203125" style="1"/>
    <col min="20" max="20" width="12" bestFit="1" customWidth="1"/>
    <col min="21" max="21" width="15" bestFit="1" customWidth="1"/>
    <col min="23" max="23" width="12.33203125" bestFit="1" customWidth="1"/>
    <col min="25" max="25" width="12" style="8" bestFit="1" customWidth="1"/>
    <col min="26" max="26" width="15" style="8" bestFit="1" customWidth="1"/>
    <col min="27" max="27" width="10.83203125" style="8"/>
    <col min="28" max="28" width="12.33203125" style="8" bestFit="1" customWidth="1"/>
    <col min="29" max="30" width="10.83203125" style="8"/>
    <col min="31" max="31" width="12" style="8" bestFit="1" customWidth="1"/>
    <col min="32" max="32" width="15" style="8" bestFit="1" customWidth="1"/>
    <col min="33" max="33" width="10.83203125" style="8"/>
    <col min="34" max="34" width="12.33203125" style="8" bestFit="1" customWidth="1"/>
    <col min="35" max="35" width="12" style="5" bestFit="1" customWidth="1"/>
    <col min="36" max="36" width="15" style="5" bestFit="1" customWidth="1"/>
    <col min="37" max="37" width="10.83203125" style="5"/>
    <col min="38" max="38" width="12.33203125" style="5" bestFit="1" customWidth="1"/>
    <col min="39" max="39" width="10.83203125" style="5"/>
    <col min="40" max="40" width="12" style="5" bestFit="1" customWidth="1"/>
    <col min="41" max="41" width="15" style="5" bestFit="1" customWidth="1"/>
    <col min="42" max="42" width="10.83203125" style="5"/>
    <col min="43" max="43" width="12.33203125" style="5" bestFit="1" customWidth="1"/>
    <col min="44" max="45" width="10.83203125" style="5"/>
    <col min="46" max="46" width="12" style="5" bestFit="1" customWidth="1"/>
    <col min="47" max="47" width="15" style="5" bestFit="1" customWidth="1"/>
    <col min="48" max="48" width="10.83203125" style="5"/>
    <col min="49" max="49" width="12.33203125" style="5" bestFit="1" customWidth="1"/>
    <col min="50" max="50" width="12" style="5" bestFit="1" customWidth="1"/>
    <col min="51" max="51" width="15" style="5" bestFit="1" customWidth="1"/>
    <col min="52" max="52" width="10.83203125" style="5"/>
    <col min="53" max="53" width="12.33203125" style="5" bestFit="1" customWidth="1"/>
    <col min="54" max="54" width="10.83203125" style="5"/>
    <col min="55" max="55" width="12" bestFit="1" customWidth="1"/>
    <col min="56" max="56" width="15" bestFit="1" customWidth="1"/>
    <col min="58" max="58" width="12.33203125" bestFit="1" customWidth="1"/>
    <col min="60" max="60" width="12" bestFit="1" customWidth="1"/>
    <col min="61" max="61" width="15" bestFit="1" customWidth="1"/>
    <col min="63" max="63" width="12.33203125" bestFit="1" customWidth="1"/>
  </cols>
  <sheetData>
    <row r="1" spans="1:89" x14ac:dyDescent="0.2">
      <c r="A1" t="s">
        <v>0</v>
      </c>
      <c r="B1" t="s">
        <v>1</v>
      </c>
      <c r="C1" t="s">
        <v>77</v>
      </c>
      <c r="D1" t="s">
        <v>65</v>
      </c>
      <c r="E1" t="s">
        <v>66</v>
      </c>
      <c r="F1" t="s">
        <v>108</v>
      </c>
      <c r="G1" t="s">
        <v>120</v>
      </c>
      <c r="H1" t="s">
        <v>121</v>
      </c>
      <c r="I1" t="s">
        <v>119</v>
      </c>
      <c r="J1" t="s">
        <v>133</v>
      </c>
      <c r="K1" t="s">
        <v>122</v>
      </c>
      <c r="L1" t="s">
        <v>123</v>
      </c>
      <c r="M1" t="s">
        <v>124</v>
      </c>
      <c r="N1" t="s">
        <v>9</v>
      </c>
      <c r="O1" t="s">
        <v>13</v>
      </c>
      <c r="P1" t="s">
        <v>2</v>
      </c>
      <c r="Q1" s="8" t="s">
        <v>3</v>
      </c>
      <c r="R1" s="1" t="s">
        <v>6</v>
      </c>
      <c r="U1" s="1" t="s">
        <v>29</v>
      </c>
      <c r="V1" s="1" t="s">
        <v>31</v>
      </c>
      <c r="W1" s="1" t="s">
        <v>43</v>
      </c>
      <c r="X1" s="1" t="s">
        <v>30</v>
      </c>
      <c r="Y1" s="8" t="s">
        <v>87</v>
      </c>
      <c r="Z1" s="8" t="s">
        <v>87</v>
      </c>
      <c r="AA1" s="9" t="s">
        <v>31</v>
      </c>
      <c r="AB1" s="9" t="s">
        <v>43</v>
      </c>
      <c r="AC1" s="9" t="s">
        <v>30</v>
      </c>
      <c r="AD1" s="8" t="s">
        <v>114</v>
      </c>
      <c r="AE1" s="8" t="s">
        <v>87</v>
      </c>
      <c r="AF1" s="9" t="s">
        <v>31</v>
      </c>
      <c r="AG1" s="9" t="s">
        <v>43</v>
      </c>
      <c r="AH1" s="9" t="s">
        <v>30</v>
      </c>
      <c r="AJ1" s="6" t="s">
        <v>118</v>
      </c>
      <c r="AK1" s="6" t="s">
        <v>31</v>
      </c>
      <c r="AL1" s="6" t="s">
        <v>43</v>
      </c>
      <c r="AM1" s="6" t="s">
        <v>30</v>
      </c>
      <c r="AN1" s="5" t="s">
        <v>87</v>
      </c>
      <c r="AO1" s="5" t="s">
        <v>87</v>
      </c>
      <c r="AP1" s="6" t="s">
        <v>31</v>
      </c>
      <c r="AQ1" s="6" t="s">
        <v>43</v>
      </c>
      <c r="AR1" s="6" t="s">
        <v>30</v>
      </c>
      <c r="AS1" s="5" t="s">
        <v>114</v>
      </c>
      <c r="AT1" s="5" t="s">
        <v>87</v>
      </c>
      <c r="AU1" s="6" t="s">
        <v>31</v>
      </c>
      <c r="AV1" s="6" t="s">
        <v>43</v>
      </c>
      <c r="AW1" s="6" t="s">
        <v>30</v>
      </c>
      <c r="AX1" s="6" t="s">
        <v>88</v>
      </c>
      <c r="AY1" s="6" t="s">
        <v>88</v>
      </c>
      <c r="AZ1" s="6" t="s">
        <v>31</v>
      </c>
      <c r="BA1" s="6" t="s">
        <v>43</v>
      </c>
      <c r="BB1" s="6" t="s">
        <v>30</v>
      </c>
      <c r="BC1" s="3" t="s">
        <v>149</v>
      </c>
      <c r="BD1" s="4"/>
      <c r="BE1" s="4" t="s">
        <v>31</v>
      </c>
      <c r="BF1" s="4" t="s">
        <v>43</v>
      </c>
      <c r="BG1" s="4" t="s">
        <v>30</v>
      </c>
      <c r="BH1" s="8"/>
      <c r="BI1" s="9"/>
      <c r="BJ1" s="9"/>
      <c r="BK1" s="9"/>
      <c r="BL1" s="9"/>
    </row>
    <row r="2" spans="1:89" x14ac:dyDescent="0.2">
      <c r="A2" s="11">
        <v>15</v>
      </c>
      <c r="B2" s="11" t="s">
        <v>156</v>
      </c>
      <c r="C2" s="11"/>
      <c r="D2" s="11" t="s">
        <v>75</v>
      </c>
      <c r="E2" s="11" t="s">
        <v>75</v>
      </c>
      <c r="F2" s="11" t="s">
        <v>109</v>
      </c>
      <c r="G2" s="11" t="s">
        <v>75</v>
      </c>
      <c r="H2" s="11" t="s">
        <v>75</v>
      </c>
      <c r="I2" s="11" t="s">
        <v>75</v>
      </c>
      <c r="J2" s="11" t="s">
        <v>75</v>
      </c>
      <c r="K2" s="11" t="s">
        <v>76</v>
      </c>
      <c r="L2" s="11" t="s">
        <v>75</v>
      </c>
      <c r="M2" s="11" t="s">
        <v>132</v>
      </c>
      <c r="N2" s="11">
        <v>3.5</v>
      </c>
      <c r="O2" s="11">
        <v>47.5</v>
      </c>
      <c r="P2">
        <v>7.2</v>
      </c>
      <c r="Q2" s="8">
        <v>7.4</v>
      </c>
      <c r="R2" s="1">
        <f t="shared" ref="R2:R33" si="0">Q2/P2</f>
        <v>1.0277777777777779</v>
      </c>
      <c r="U2" s="1">
        <f>AVERAGE($R$2:$R$999)</f>
        <v>2.6109026837079568</v>
      </c>
      <c r="V2" s="1">
        <f>AVERAGEIF($N$2:$N$999,"&lt;=-5",$R$2:$R$999)</f>
        <v>2.3525554757394218</v>
      </c>
      <c r="W2" s="1">
        <f>AVERAGEIFS($R$2:$R$999,$N$2:$N$999,"&gt;=-4.5",$N$2:$N$999,"&lt;=4.5")</f>
        <v>2.7527405443937987</v>
      </c>
      <c r="X2" s="1">
        <f>AVERAGEIF($N$2:$N$999,"&gt;=5",$R$2:$R$999)</f>
        <v>2.463154534166081</v>
      </c>
      <c r="Z2" s="9">
        <f>AVERAGEIFS($R$2:$R$999,$E$2:$E$999,"YES",$D$2:$D$999,"YES")</f>
        <v>3.2987579644233711</v>
      </c>
      <c r="AA2" s="9">
        <f>AVERAGEIFS($R$2:$R$999,$N$2:$N$999,"&lt;=-5",$E$2:$E$999,"YES",$D$2:$D$999,"YES")</f>
        <v>2.4997582456973988</v>
      </c>
      <c r="AB2" s="9">
        <f>AVERAGEIFS($R$2:$R$999,$N$2:$N$999,"&gt;=-4.5",$N$2:$N$999,"&lt;=4.5",$E$2:$E$999,"YES",$D$2:$D$999,"YES")</f>
        <v>3.5419979989352872</v>
      </c>
      <c r="AC2" s="9">
        <f>AVERAGEIFS($R$2:$R$999,$N$2:$N$999,"&gt;=5",$E$2:$E$999,"YES",$D$2:$D$999,"YES")</f>
        <v>2.8815575105897686</v>
      </c>
      <c r="AE2" s="9">
        <f>AVERAGEIFS($R$2:$R$999,$E$2:$E$999,"YES",$D$2:$D$999,"YES",$F$2:$F$999,"UP")</f>
        <v>3.9472618785199014</v>
      </c>
      <c r="AF2" s="9" t="e">
        <f>AVERAGEIFS($R$2:$R$999,$N$2:$N$999,"&lt;=-5",$E$2:$E$999,"YES",$D$2:$D$999,"YES",$F$2:$F$999,"UP")</f>
        <v>#DIV/0!</v>
      </c>
      <c r="AG2" s="9">
        <f>AVERAGEIFS($R$2:$R$999,$N$2:$N$999,"&gt;=-4.5",$N$2:$N$999,"&lt;=4.5",$E$2:$E$999,"YES",$D$2:$D$999,"YES",$F$2:$F$999,"UP")</f>
        <v>3.9472618785199014</v>
      </c>
      <c r="AH2" s="9" t="e">
        <f>AVERAGEIFS($R$2:$R$999,$N$2:$N$999,"&gt;=5",$E$2:$E$999,"YES",$D$2:$D$999,"YES",$F$2:$F$999,"UP")</f>
        <v>#DIV/0!</v>
      </c>
      <c r="AJ2" s="6">
        <f>AVERAGEIFS($R$2:$R$999,$C$2:$C$999,"&gt;=0.01")</f>
        <v>2.5339634073551673</v>
      </c>
      <c r="AK2" s="6">
        <f>AVERAGEIFS($R$2:$R$999,$N$2:$N$999,"&lt;=-5",$C$2:$C$999,"&gt;=0.01")</f>
        <v>1.9642922374429224</v>
      </c>
      <c r="AL2" s="6">
        <f>AVERAGEIFS($R$2:$R$999,$N$2:$N$999,"&gt;=-4.5",$N$2:$N$999,"&lt;=4.55",$C$2:$C$999,"&gt;=0.01")</f>
        <v>2.6110003298296585</v>
      </c>
      <c r="AM2" s="6">
        <f>AVERAGEIFS($R$2:$R$999,$N$2:$N$999,"&gt;=5",$C$2:$C$999,"&gt;=0.01")</f>
        <v>2.9303015016998062</v>
      </c>
      <c r="AO2" s="6">
        <f>AVERAGEIFS($R$2:$R$999,$E$2:$E$999,"YES",$D$2:$D$999,"YES",$C$2:$C$999,"&gt;=0.01")</f>
        <v>3.3519659875592076</v>
      </c>
      <c r="AP2" s="6" t="e">
        <f>AVERAGEIFS($R$2:$R$999,$N$2:$N$999,"&lt;=-5",$E$2:$E$999,"YES",$D$2:$D$999,"YES",$C$2:$C$999,"&gt;=0.01")</f>
        <v>#DIV/0!</v>
      </c>
      <c r="AQ2" s="6">
        <f>AVERAGEIFS($R$2:$R$999,$N$2:$N$999,"&gt;=-4.5",$N$2:$N$999,"&lt;=4.5",$E$2:$E$999,"YES",$D$2:$D$999,"YES",$C$2:$C$999,"&gt;=0.01")</f>
        <v>3.1643126177024481</v>
      </c>
      <c r="AR2" s="6">
        <f>AVERAGEIFS($R$2:$R$999,$N$2:$N$999,"&gt;=5",$E$2:$E$999,"YES",$D$2:$D$999,"YES",$C$2:$C$999,"&gt;=0.01")</f>
        <v>3.7272727272727266</v>
      </c>
      <c r="AT2" s="6" t="e">
        <f>AVERAGEIFS($R$2:$R$999,$E$2:$E$999,"YES",$D$2:$D$999,"YES",$F$2:$F$999,"UP",$C$2:$C$999,"&gt;=0.01")</f>
        <v>#DIV/0!</v>
      </c>
      <c r="AU2" s="6" t="e">
        <f>AVERAGEIFS($R$2:$R$999,$N$2:$N$999,"&lt;=-5",$E$2:$E$999,"YES",$D$2:$D$999,"YES",$F$2:$F$999,"UP",$C$2:$C$999,"&gt;=0.01")</f>
        <v>#DIV/0!</v>
      </c>
      <c r="AV2" s="6" t="e">
        <f>AVERAGEIFS($R$2:$R$999,$N$2:$N$999,"&gt;=-4.5",$N$2:$N$999,"&lt;=4.5",$E$2:$E$999,"YES",$D$2:$D$999,"YES",$F$2:$F$999,"UP",$C$2:$C$999,"&gt;=0.01")</f>
        <v>#DIV/0!</v>
      </c>
      <c r="AW2" s="6" t="e">
        <f>AVERAGEIFS($R$2:$R$999,$N$2:$N$999,"&gt;=5",$E$2:$E$999,"YES",$D$2:$D$999,"YES",$F$2:$F$999,"UP",$C$2:$C$999,"&gt;=0.01")</f>
        <v>#DIV/0!</v>
      </c>
      <c r="AY2" s="6">
        <f>AVERAGEIFS($R$2:$R$999,$C$2:$C$999,"&gt;=11")</f>
        <v>2.6743452268865346</v>
      </c>
      <c r="AZ2" s="6">
        <f>AVERAGEIFS($R$2:$R$999,$N$2:$N$999,"&lt;=-5",$C$2:$C$999,"&gt;=11")</f>
        <v>2.4085844748858447</v>
      </c>
      <c r="BA2" s="6">
        <f>AVERAGEIFS($R$2:$R$999,$N$2:$N$999,"&gt;=-4.5",$N$2:$N$999,"&lt;=4.5",$C$2:$C$999,"&gt;=11")</f>
        <v>3.0706510863350487</v>
      </c>
      <c r="BB2" s="6">
        <f>AVERAGEIFS($R$2:$R$999,$N$2:$N$999,"&gt;=5",$C$2:$C$999,"&gt;=11")</f>
        <v>2.0169491525423728</v>
      </c>
      <c r="BC2" s="3"/>
      <c r="BD2" s="4">
        <f>AVERAGEIFS($R$2:$R$999,$I$2:$I$999,"YES",$J$2:$J$999,"YES")</f>
        <v>2.7106142728093947</v>
      </c>
      <c r="BE2" s="4" t="e">
        <f>AVERAGEIFS($R$2:$R$999,$N$2:$N$999,"&lt;=-5",$I$2:$I$999,"YES",$J$2:$J$999,"YES")</f>
        <v>#DIV/0!</v>
      </c>
      <c r="BF2" s="4">
        <f>AVERAGEIFS($R$2:$R$999,$N$2:$N$999,"&gt;=-4.5",$N$2:$N$999,"&lt;=4.5",$I$2:$I$999,"YES",$J$2:$J$999,"YES")</f>
        <v>2.7106142728093947</v>
      </c>
      <c r="BG2" s="4" t="e">
        <f>AVERAGEIFS($R$2:$R$999,$N$2:$N$999,"&gt;=5",$I$2:$I$999,"YES",$J$2:$J$999,"YES")</f>
        <v>#DIV/0!</v>
      </c>
      <c r="BH2" s="8"/>
      <c r="BI2" s="9"/>
      <c r="BJ2" s="9"/>
      <c r="BK2" s="9"/>
      <c r="BL2" s="9"/>
    </row>
    <row r="3" spans="1:89" x14ac:dyDescent="0.2">
      <c r="A3" s="11">
        <v>15</v>
      </c>
      <c r="B3" s="11" t="s">
        <v>98</v>
      </c>
      <c r="C3" s="11"/>
      <c r="D3" s="11" t="s">
        <v>75</v>
      </c>
      <c r="E3" s="11" t="s">
        <v>75</v>
      </c>
      <c r="F3" s="11" t="s">
        <v>109</v>
      </c>
      <c r="G3" s="11" t="s">
        <v>75</v>
      </c>
      <c r="H3" s="11" t="s">
        <v>75</v>
      </c>
      <c r="I3" s="11" t="s">
        <v>75</v>
      </c>
      <c r="J3" s="11" t="s">
        <v>75</v>
      </c>
      <c r="K3" s="11" t="s">
        <v>76</v>
      </c>
      <c r="L3" s="11" t="s">
        <v>75</v>
      </c>
      <c r="M3" s="11" t="s">
        <v>132</v>
      </c>
      <c r="N3" s="11">
        <v>3.5</v>
      </c>
      <c r="O3" s="11">
        <v>47.5</v>
      </c>
      <c r="P3">
        <v>4.0999999999999996</v>
      </c>
      <c r="Q3" s="8">
        <v>21.2</v>
      </c>
      <c r="R3" s="1">
        <f t="shared" si="0"/>
        <v>5.1707317073170733</v>
      </c>
      <c r="U3" s="1"/>
      <c r="V3" s="1"/>
      <c r="W3" s="1"/>
      <c r="X3" s="1"/>
      <c r="Z3" s="9"/>
      <c r="AA3" s="9"/>
      <c r="AB3" s="9"/>
      <c r="AC3" s="9"/>
      <c r="AE3" s="9"/>
      <c r="AF3" s="9"/>
      <c r="AG3" s="9"/>
      <c r="AH3" s="9"/>
      <c r="AJ3" s="6"/>
      <c r="AK3" s="6"/>
      <c r="AL3" s="6"/>
      <c r="AM3" s="6"/>
      <c r="AO3" s="6"/>
      <c r="AP3" s="6"/>
      <c r="AQ3" s="6"/>
      <c r="AR3" s="6"/>
      <c r="AT3" s="6"/>
      <c r="AU3" s="6"/>
      <c r="AV3" s="6"/>
      <c r="AW3" s="6"/>
      <c r="AY3" s="6"/>
      <c r="AZ3" s="6"/>
      <c r="BA3" s="6"/>
      <c r="BB3" s="6"/>
      <c r="BC3" s="3"/>
      <c r="BD3" s="4"/>
      <c r="BE3" s="4"/>
      <c r="BF3" s="4"/>
      <c r="BG3" s="4"/>
      <c r="BH3" s="8"/>
      <c r="BI3" s="9"/>
      <c r="BJ3" s="9"/>
      <c r="BK3" s="9"/>
      <c r="BL3" s="9"/>
    </row>
    <row r="4" spans="1:89" x14ac:dyDescent="0.2">
      <c r="A4" s="11">
        <v>15</v>
      </c>
      <c r="B4" s="11" t="s">
        <v>157</v>
      </c>
      <c r="C4" s="11"/>
      <c r="D4" s="11" t="s">
        <v>75</v>
      </c>
      <c r="E4" s="11" t="s">
        <v>75</v>
      </c>
      <c r="F4" s="11" t="s">
        <v>109</v>
      </c>
      <c r="G4" s="11" t="s">
        <v>75</v>
      </c>
      <c r="H4" s="11" t="s">
        <v>75</v>
      </c>
      <c r="I4" s="11" t="s">
        <v>75</v>
      </c>
      <c r="J4" s="11" t="s">
        <v>75</v>
      </c>
      <c r="K4" s="11" t="s">
        <v>76</v>
      </c>
      <c r="L4" s="11" t="s">
        <v>75</v>
      </c>
      <c r="M4" s="11" t="s">
        <v>132</v>
      </c>
      <c r="N4" s="11">
        <v>3.5</v>
      </c>
      <c r="O4" s="11">
        <v>47.5</v>
      </c>
      <c r="P4">
        <v>3</v>
      </c>
      <c r="Q4" s="8">
        <v>5.8</v>
      </c>
      <c r="R4" s="1">
        <f t="shared" si="0"/>
        <v>1.9333333333333333</v>
      </c>
      <c r="U4" t="s">
        <v>33</v>
      </c>
      <c r="V4" s="1" t="s">
        <v>31</v>
      </c>
      <c r="W4" s="1" t="s">
        <v>43</v>
      </c>
      <c r="X4" s="1" t="s">
        <v>30</v>
      </c>
      <c r="Z4" s="8" t="s">
        <v>33</v>
      </c>
      <c r="AA4" s="9" t="s">
        <v>31</v>
      </c>
      <c r="AB4" s="9" t="s">
        <v>43</v>
      </c>
      <c r="AC4" s="9" t="s">
        <v>30</v>
      </c>
      <c r="AE4" s="8" t="s">
        <v>33</v>
      </c>
      <c r="AF4" s="9" t="s">
        <v>31</v>
      </c>
      <c r="AG4" s="9" t="s">
        <v>43</v>
      </c>
      <c r="AH4" s="9" t="s">
        <v>30</v>
      </c>
      <c r="AJ4" s="5" t="s">
        <v>33</v>
      </c>
      <c r="AK4" s="6" t="s">
        <v>31</v>
      </c>
      <c r="AL4" s="6" t="s">
        <v>43</v>
      </c>
      <c r="AM4" s="6" t="s">
        <v>30</v>
      </c>
      <c r="AO4" s="5" t="s">
        <v>33</v>
      </c>
      <c r="AP4" s="6" t="s">
        <v>31</v>
      </c>
      <c r="AQ4" s="6" t="s">
        <v>43</v>
      </c>
      <c r="AR4" s="6" t="s">
        <v>30</v>
      </c>
      <c r="AT4" s="5" t="s">
        <v>33</v>
      </c>
      <c r="AU4" s="6" t="s">
        <v>31</v>
      </c>
      <c r="AV4" s="6" t="s">
        <v>43</v>
      </c>
      <c r="AW4" s="6" t="s">
        <v>30</v>
      </c>
      <c r="AY4" s="5" t="s">
        <v>33</v>
      </c>
      <c r="AZ4" s="6" t="s">
        <v>31</v>
      </c>
      <c r="BA4" s="6" t="s">
        <v>43</v>
      </c>
      <c r="BB4" s="6" t="s">
        <v>30</v>
      </c>
      <c r="BC4" s="3"/>
      <c r="BD4" s="3" t="s">
        <v>33</v>
      </c>
      <c r="BE4" s="4" t="s">
        <v>31</v>
      </c>
      <c r="BF4" s="4" t="s">
        <v>43</v>
      </c>
      <c r="BG4" s="4" t="s">
        <v>30</v>
      </c>
      <c r="BH4" s="8"/>
      <c r="BI4" s="8"/>
      <c r="BJ4" s="9"/>
      <c r="BK4" s="9"/>
      <c r="BL4" s="9"/>
    </row>
    <row r="5" spans="1:89" x14ac:dyDescent="0.2">
      <c r="A5" s="10">
        <v>15</v>
      </c>
      <c r="B5" s="10" t="s">
        <v>51</v>
      </c>
      <c r="C5" s="10">
        <v>11</v>
      </c>
      <c r="D5" s="10" t="s">
        <v>75</v>
      </c>
      <c r="E5" s="10" t="s">
        <v>76</v>
      </c>
      <c r="F5" s="10"/>
      <c r="G5" s="10" t="s">
        <v>75</v>
      </c>
      <c r="H5" s="10" t="s">
        <v>75</v>
      </c>
      <c r="I5" s="10" t="s">
        <v>76</v>
      </c>
      <c r="J5" s="10" t="s">
        <v>76</v>
      </c>
      <c r="K5" s="10" t="s">
        <v>76</v>
      </c>
      <c r="L5" s="10" t="s">
        <v>76</v>
      </c>
      <c r="M5" s="10" t="s">
        <v>134</v>
      </c>
      <c r="N5" s="10">
        <v>-3</v>
      </c>
      <c r="O5" s="10">
        <v>48</v>
      </c>
      <c r="P5">
        <v>6.4</v>
      </c>
      <c r="Q5" s="8">
        <v>14.6</v>
      </c>
      <c r="R5" s="1">
        <f t="shared" si="0"/>
        <v>2.28125</v>
      </c>
      <c r="U5" s="1">
        <f>AVERAGEIFS($R$2:$R$999,$P$2:$P$999,"&lt;=4")</f>
        <v>2.623557982160682</v>
      </c>
      <c r="V5" s="1">
        <f>AVERAGEIFS($R$2:$R$999,$N$2:$N$999,"&lt;=-5",$P$2:$P$999,"&lt;=4")</f>
        <v>0.69736842105263164</v>
      </c>
      <c r="W5" s="1">
        <f>AVERAGEIFS($R$2:$R$999,$N$2:$N$999,"&gt;=-4.5",$N$2:$N$999,"&lt;=4.55",$P$2:$P$999,"&lt;=4")</f>
        <v>3.0721021613007782</v>
      </c>
      <c r="X5" s="1">
        <f>AVERAGEIFS($R$2:$R$999,$N$2:$N$999,"&gt;=5",$P$2:$P$999,"&lt;=4")</f>
        <v>2.2410202252944185</v>
      </c>
      <c r="Z5" s="9">
        <f>AVERAGEIFS($R$2:$R$999,$P$2:$P$999,"&lt;=4",$E$2:$E$999,"YES",$D$2:$D$999,"YES")</f>
        <v>2.7123360316112861</v>
      </c>
      <c r="AA5" s="9">
        <f>AVERAGEIFS($R$2:$R$999,$N$2:$N$999,"&lt;=-5",$P$2:$P$999,"&lt;=4",$E$2:$E$999,"YES",$D$2:$D$999,"YES")</f>
        <v>1.3947368421052633</v>
      </c>
      <c r="AB5" s="9">
        <f>AVERAGEIFS($R$2:$R$999,$N$2:$N$999,"&gt;=-4.5",$N$2:$N$999,"&lt;=4.55",$P$2:$P$999,"&lt;=4",$E$2:$E$999,"YES",$D$2:$D$999,"YES")</f>
        <v>3.1528091060985797</v>
      </c>
      <c r="AC5" s="9">
        <f>AVERAGEIFS($R$2:$R$999,$N$2:$N$999,"&gt;=5",$P$2:$P$999,"&lt;=4",$E$2:$E$999,"YES",$D$2:$D$999,"YES")</f>
        <v>1.3870967741935483</v>
      </c>
      <c r="AE5" s="9">
        <f>AVERAGEIFS($R$2:$R$999,$P$2:$P$999,"&lt;=4",$E$2:$E$999,"YES",$D$2:$D$999,"YES",$F$2:$F$999,"UP")</f>
        <v>3.4068922305764415</v>
      </c>
      <c r="AF5" s="9" t="e">
        <f>AVERAGEIFS($R$2:$R$999,$N$2:$N$999,"&lt;=-5",$P$2:$P$999,"&lt;=4",$E$2:$E$999,"YES",$D$2:$D$999,"YES",$F$2:$F$999,"UP")</f>
        <v>#DIV/0!</v>
      </c>
      <c r="AG5" s="9">
        <f>AVERAGEIFS($R$2:$R$999,$N$2:$N$999,"&gt;=-4.5",$N$2:$N$999,"&lt;=4.55",$P$2:$P$999,"&lt;=4",$E$2:$E$999,"YES",$D$2:$D$999,"YES",$F$2:$F$999,"UP")</f>
        <v>3.4068922305764415</v>
      </c>
      <c r="AH5" s="9" t="e">
        <f>AVERAGEIFS($R$2:$R$999,$N$2:$N$999,"&gt;=5",$P$2:$P$999,"&lt;=4",$E$2:$E$999,"YES",$D$2:$D$999,"YES",$F$2:$F$999,"UP")</f>
        <v>#DIV/0!</v>
      </c>
      <c r="AJ5" s="6">
        <f>AVERAGEIFS($R$2:$R$999,$P$2:$P$999,"&lt;=4",$C$2:$C$999,"&gt;=0.01")</f>
        <v>1.7942460317460318</v>
      </c>
      <c r="AK5" s="6">
        <f>AVERAGEIFS($R$2:$R$999,$N$2:$N$999,"&lt;=-5",$P$2:$P$999,"&lt;=4",$C$2:$C$999,"&gt;=0.01")</f>
        <v>0</v>
      </c>
      <c r="AL5" s="6">
        <f>AVERAGEIFS($R$2:$R$999,$N$2:$N$999,"&gt;=-4.5",$N$2:$N$999,"&lt;=4.55",$P$2:$P$999,"&lt;=4",$C$2:$C$999,"&gt;=0.01")</f>
        <v>1.2</v>
      </c>
      <c r="AM5" s="6">
        <f>AVERAGEIFS($R$2:$R$999,$N$2:$N$999,"&gt;=5",$P$2:$P$999,"&lt;=4",$C$2:$C$999,"&gt;=0.01")</f>
        <v>2.9884920634920635</v>
      </c>
      <c r="AO5" s="6" t="e">
        <f>AVERAGEIFS($R$2:$R$999,$P$2:$P$999,"&lt;=4",$E$2:$E$999,"YES",$D$2:$D$999,"YES",$C$2:$C$999,"&gt;=0.01")</f>
        <v>#DIV/0!</v>
      </c>
      <c r="AP5" s="6" t="e">
        <f>AVERAGEIFS($R$2:$R$999,$N$2:$N$999,"&lt;=-5",$P$2:$P$999,"&lt;=4",$E$2:$E$999,"YES",$D$2:$D$999,"YES",$C$2:$C$999,"&gt;=0.01")</f>
        <v>#DIV/0!</v>
      </c>
      <c r="AQ5" s="6" t="e">
        <f>AVERAGEIFS($R$2:$R$999,$N$2:$N$999,"&gt;=-4.5",$N$2:$N$999,"&lt;=4.55",$P$2:$P$999,"&lt;=4",$E$2:$E$999,"YES",$D$2:$D$999,"YES",$C$2:$C$999,"&gt;=0.01")</f>
        <v>#DIV/0!</v>
      </c>
      <c r="AR5" s="6" t="e">
        <f>AVERAGEIFS($R$2:$R$999,$N$2:$N$999,"&gt;=5",$P$2:$P$999,"&lt;=4",$E$2:$E$999,"YES",$D$2:$D$999,"YES",$C$2:$C$999,"&gt;=0.01")</f>
        <v>#DIV/0!</v>
      </c>
      <c r="AT5" s="6" t="e">
        <f>AVERAGEIFS($R$2:$R$999,$P$2:$P$999,"&lt;=4",$E$2:$E$999,"YES",$D$2:$D$999,"YES",$F$2:$F$999,"UP",$C$2:$C$999,"&gt;=0.01")</f>
        <v>#DIV/0!</v>
      </c>
      <c r="AU5" s="6" t="e">
        <f>AVERAGEIFS($R$2:$R$999,$N$2:$N$999,"&lt;=-5",$P$2:$P$999,"&lt;=4",$E$2:$E$999,"YES",$D$2:$D$999,"YES",$F$2:$F$999,"UP",$C$2:$C$999,"&gt;=0.01")</f>
        <v>#DIV/0!</v>
      </c>
      <c r="AV5" s="6" t="e">
        <f>AVERAGEIFS($R$2:$R$999,$N$2:$N$999,"&gt;=-4.5",$N$2:$N$999,"&lt;=4.55",$P$2:$P$999,"&lt;=4",$E$2:$E$999,"YES",$D$2:$D$999,"YES",$F$2:$F$999,"UP",$C$2:$C$999,"&gt;=0.01")</f>
        <v>#DIV/0!</v>
      </c>
      <c r="AW5" s="6" t="e">
        <f>AVERAGEIFS($R$2:$R$999,$N$2:$N$999,"&gt;=5",$P$2:$P$999,"&lt;=4",$E$2:$E$999,"YES",$D$2:$D$999,"YES",$F$2:$F$999,"UP",$C$2:$C$999,"&gt;=0.01")</f>
        <v>#DIV/0!</v>
      </c>
      <c r="AY5" s="6" t="e">
        <f>AVERAGEIFS($R$2:$R$999,$P$2:$P$999,"&lt;=4",$C$2:$C$999,"&gt;=11")</f>
        <v>#DIV/0!</v>
      </c>
      <c r="AZ5" s="6" t="e">
        <f>AVERAGEIFS($R$2:$R$999,$N$2:$N$999,"&lt;=-5",$P$2:$P$999,"&lt;=4",$C$2:$C$999,"&gt;=11")</f>
        <v>#DIV/0!</v>
      </c>
      <c r="BA5" s="6" t="e">
        <f>AVERAGEIFS($R$2:$R$999,$N$2:$N$999,"&gt;=-4.5",$N$2:$N$999,"&lt;=4.55",$P$2:$P$999,"&lt;=4",$C$2:$C$999,"&gt;=11")</f>
        <v>#DIV/0!</v>
      </c>
      <c r="BB5" s="6" t="e">
        <f>AVERAGEIFS($R$2:$R$999,$N$2:$N$999,"&gt;=5",$P$2:$P$999,"&lt;=4",$C$2:$C$999,"&gt;=11")</f>
        <v>#DIV/0!</v>
      </c>
      <c r="BC5" s="3"/>
      <c r="BD5" s="4">
        <f>AVERAGEIFS($R$2:$R$999,$P$2:$P$999,"&lt;=4",$I$2:$I$999,"YES",$J$2:$J$999,"YES")</f>
        <v>1.9333333333333333</v>
      </c>
      <c r="BE5" s="4" t="e">
        <f>AVERAGEIFS($R$2:$R$999,$N$2:$N$999,"&lt;=-5",$P$2:$P$999,"&lt;=4",$I$2:$I$999,"YES",$J$2:$J$999,"YES")</f>
        <v>#DIV/0!</v>
      </c>
      <c r="BF5" s="4">
        <f>AVERAGEIFS($R$2:$R$999,$N$2:$N$999,"&gt;=-4.5",$N$2:$N$999,"&lt;=4.55",$P$2:$P$999,"&lt;=4",$I$2:$I$999,"YES",$J$2:$J$999,"YES")</f>
        <v>1.9333333333333333</v>
      </c>
      <c r="BG5" s="4" t="e">
        <f>AVERAGEIFS($R$2:$R$999,$N$2:$N$999,"&gt;=5",$P$2:$P$999,"&lt;=4",$I$2:$I$999,"YES",$J$2:$J$999,"YES")</f>
        <v>#DIV/0!</v>
      </c>
      <c r="BH5" s="8"/>
      <c r="BI5" s="9"/>
      <c r="BJ5" s="9"/>
      <c r="BK5" s="9"/>
      <c r="BL5" s="9"/>
    </row>
    <row r="6" spans="1:89" x14ac:dyDescent="0.2">
      <c r="A6" s="3">
        <v>15</v>
      </c>
      <c r="B6" s="3" t="s">
        <v>52</v>
      </c>
      <c r="C6" s="3"/>
      <c r="D6" s="3" t="s">
        <v>75</v>
      </c>
      <c r="E6" s="3" t="s">
        <v>76</v>
      </c>
      <c r="F6" s="3"/>
      <c r="G6" s="3" t="s">
        <v>75</v>
      </c>
      <c r="H6" s="3" t="s">
        <v>75</v>
      </c>
      <c r="I6" s="3" t="s">
        <v>76</v>
      </c>
      <c r="J6" s="3" t="s">
        <v>75</v>
      </c>
      <c r="K6" s="3" t="s">
        <v>76</v>
      </c>
      <c r="L6" s="3" t="s">
        <v>76</v>
      </c>
      <c r="M6" s="3" t="s">
        <v>134</v>
      </c>
      <c r="N6" s="3">
        <v>-3</v>
      </c>
      <c r="O6" s="3">
        <v>48</v>
      </c>
      <c r="P6">
        <v>6.7</v>
      </c>
      <c r="Q6" s="8">
        <v>7.3</v>
      </c>
      <c r="R6" s="1">
        <f t="shared" si="0"/>
        <v>1.0895522388059702</v>
      </c>
      <c r="U6" s="1"/>
      <c r="V6" s="1"/>
      <c r="W6" s="1"/>
      <c r="X6" s="1"/>
      <c r="Z6" s="9"/>
      <c r="AA6" s="9"/>
      <c r="AB6" s="9"/>
      <c r="AC6" s="9"/>
      <c r="AE6" s="9"/>
      <c r="AF6" s="9"/>
      <c r="AG6" s="9"/>
      <c r="AH6" s="9"/>
      <c r="AJ6" s="6"/>
      <c r="AK6" s="6"/>
      <c r="AL6" s="6"/>
      <c r="AM6" s="6"/>
      <c r="AO6" s="6"/>
      <c r="AP6" s="6"/>
      <c r="AQ6" s="6"/>
      <c r="AR6" s="6"/>
      <c r="AT6" s="6"/>
      <c r="AU6" s="6"/>
      <c r="AV6" s="6"/>
      <c r="AW6" s="6"/>
      <c r="AY6" s="6"/>
      <c r="AZ6" s="6"/>
      <c r="BA6" s="6"/>
      <c r="BB6" s="6"/>
      <c r="BC6" s="3"/>
      <c r="BD6" s="4"/>
      <c r="BE6" s="4"/>
      <c r="BF6" s="4"/>
      <c r="BG6" s="4"/>
      <c r="BH6" s="8"/>
      <c r="BI6" s="9"/>
      <c r="BJ6" s="9"/>
      <c r="BK6" s="9"/>
      <c r="BL6" s="9"/>
    </row>
    <row r="7" spans="1:89" x14ac:dyDescent="0.2">
      <c r="A7" s="3">
        <v>15</v>
      </c>
      <c r="B7" s="3" t="s">
        <v>179</v>
      </c>
      <c r="C7" s="3"/>
      <c r="D7" s="3" t="s">
        <v>75</v>
      </c>
      <c r="E7" s="3" t="s">
        <v>76</v>
      </c>
      <c r="F7" s="3"/>
      <c r="G7" s="3" t="s">
        <v>75</v>
      </c>
      <c r="H7" s="3" t="s">
        <v>75</v>
      </c>
      <c r="I7" s="3" t="s">
        <v>76</v>
      </c>
      <c r="J7" s="3" t="s">
        <v>75</v>
      </c>
      <c r="K7" s="3" t="s">
        <v>76</v>
      </c>
      <c r="L7" s="3" t="s">
        <v>76</v>
      </c>
      <c r="M7" s="3" t="s">
        <v>134</v>
      </c>
      <c r="N7" s="3">
        <v>-3</v>
      </c>
      <c r="O7" s="3">
        <v>48</v>
      </c>
      <c r="P7">
        <v>3.2</v>
      </c>
      <c r="Q7" s="8">
        <v>16.899999999999999</v>
      </c>
      <c r="R7" s="1">
        <f t="shared" si="0"/>
        <v>5.2812499999999991</v>
      </c>
      <c r="U7" t="s">
        <v>36</v>
      </c>
      <c r="V7" s="1" t="s">
        <v>31</v>
      </c>
      <c r="W7" s="1" t="s">
        <v>43</v>
      </c>
      <c r="X7" s="1" t="s">
        <v>30</v>
      </c>
      <c r="Z7" s="8" t="s">
        <v>36</v>
      </c>
      <c r="AA7" s="9" t="s">
        <v>31</v>
      </c>
      <c r="AB7" s="9" t="s">
        <v>43</v>
      </c>
      <c r="AC7" s="9" t="s">
        <v>30</v>
      </c>
      <c r="AE7" s="8" t="s">
        <v>36</v>
      </c>
      <c r="AF7" s="9" t="s">
        <v>31</v>
      </c>
      <c r="AG7" s="9" t="s">
        <v>43</v>
      </c>
      <c r="AH7" s="9" t="s">
        <v>30</v>
      </c>
      <c r="AJ7" s="5" t="s">
        <v>36</v>
      </c>
      <c r="AK7" s="6" t="s">
        <v>31</v>
      </c>
      <c r="AL7" s="6" t="s">
        <v>43</v>
      </c>
      <c r="AM7" s="6" t="s">
        <v>30</v>
      </c>
      <c r="AO7" s="5" t="s">
        <v>36</v>
      </c>
      <c r="AP7" s="6" t="s">
        <v>31</v>
      </c>
      <c r="AQ7" s="6" t="s">
        <v>43</v>
      </c>
      <c r="AR7" s="6" t="s">
        <v>30</v>
      </c>
      <c r="AT7" s="5" t="s">
        <v>36</v>
      </c>
      <c r="AU7" s="6" t="s">
        <v>31</v>
      </c>
      <c r="AV7" s="6" t="s">
        <v>43</v>
      </c>
      <c r="AW7" s="6" t="s">
        <v>30</v>
      </c>
      <c r="AY7" s="5" t="s">
        <v>36</v>
      </c>
      <c r="AZ7" s="6" t="s">
        <v>31</v>
      </c>
      <c r="BA7" s="6" t="s">
        <v>43</v>
      </c>
      <c r="BB7" s="6" t="s">
        <v>30</v>
      </c>
      <c r="BC7" s="3"/>
      <c r="BD7" s="3" t="s">
        <v>36</v>
      </c>
      <c r="BE7" s="4" t="s">
        <v>31</v>
      </c>
      <c r="BF7" s="4" t="s">
        <v>43</v>
      </c>
      <c r="BG7" s="4" t="s">
        <v>30</v>
      </c>
      <c r="BH7" s="8"/>
      <c r="BI7" s="8"/>
      <c r="BJ7" s="9"/>
      <c r="BK7" s="9"/>
      <c r="BL7" s="9"/>
    </row>
    <row r="8" spans="1:89" x14ac:dyDescent="0.2">
      <c r="A8">
        <v>15</v>
      </c>
      <c r="B8" t="s">
        <v>62</v>
      </c>
      <c r="D8" t="s">
        <v>75</v>
      </c>
      <c r="E8" t="s">
        <v>76</v>
      </c>
      <c r="F8" t="s">
        <v>110</v>
      </c>
      <c r="G8" t="s">
        <v>76</v>
      </c>
      <c r="H8" t="s">
        <v>76</v>
      </c>
      <c r="I8" t="s">
        <v>76</v>
      </c>
      <c r="J8" t="s">
        <v>76</v>
      </c>
      <c r="K8" t="s">
        <v>76</v>
      </c>
      <c r="L8" t="s">
        <v>76</v>
      </c>
      <c r="M8" t="s">
        <v>132</v>
      </c>
      <c r="N8">
        <v>2.5</v>
      </c>
      <c r="O8">
        <v>44.5</v>
      </c>
      <c r="P8">
        <v>6.3</v>
      </c>
      <c r="Q8" s="8">
        <v>18.899999999999999</v>
      </c>
      <c r="R8" s="1">
        <f t="shared" si="0"/>
        <v>3</v>
      </c>
      <c r="U8" s="1">
        <f>AVERAGEIFS($R$2:$R$999,$P$2:$P$999,"&gt;=4.1",$P$2:$P$999,"&lt;=5")</f>
        <v>2.7647804118620081</v>
      </c>
      <c r="V8" s="1">
        <f>AVERAGEIFS($R$2:$R$999,$N$2:$N$999,"&lt;=-5",$P$2:$P$999,"&gt;=4.1",$P$2:$P$999,"&lt;=5")</f>
        <v>2.3308477825238625</v>
      </c>
      <c r="W8" s="1">
        <f>AVERAGEIFS($R$2:$R$999,$N$2:$N$999,"&gt;=-4.5",$N$2:$N$999,"&lt;=4.5",$P$2:$P$999,"&gt;=4.1",$P$2:$P$999,"&lt;=5")</f>
        <v>3.9083353442481066</v>
      </c>
      <c r="X8" s="1">
        <f>AVERAGEIFS($R$2:$R$999,$N$2:$N$999,"&gt;=5",$P$2:$P$999,"&gt;=4.1",$P$2:$P$999,"&lt;=5")</f>
        <v>1.8264471223368361</v>
      </c>
      <c r="Z8" s="9">
        <f>AVERAGEIFS($R$2:$R$999,$P$2:$P$999,"&gt;=4.1",$P$2:$P$999,"&lt;=5",$E$2:$E$999,"YES",$D$2:$D$999,"YES")</f>
        <v>4.9038155294512329</v>
      </c>
      <c r="AA8" s="9" t="e">
        <f>AVERAGEIFS($R$2:$R$999,$N$2:$N$999,"&lt;=-5",$P$2:$P$999,"&gt;=4.1",$P$2:$P$999,"&lt;=5",$E$2:$E$999,"YES",$D$2:$D$999,"YES")</f>
        <v>#DIV/0!</v>
      </c>
      <c r="AB8" s="9">
        <f>AVERAGEIFS($R$2:$R$999,$N$2:$N$999,"&gt;=-4.5",$N$2:$N$999,"&lt;=4.5",$P$2:$P$999,"&gt;=4.1",$P$2:$P$999,"&lt;=5",$E$2:$E$999,"YES",$D$2:$D$999,"YES")</f>
        <v>5.2959964635107344</v>
      </c>
      <c r="AC8" s="9">
        <f>AVERAGEIFS($R$2:$R$999,$N$2:$N$999,"&gt;=5",$P$2:$P$999,"&gt;=4.1",$P$2:$P$999,"&lt;=5",$E$2:$E$999,"YES",$D$2:$D$999,"YES")</f>
        <v>3.7272727272727266</v>
      </c>
      <c r="AE8" s="9">
        <f>AVERAGEIFS($R$2:$R$999,$P$2:$P$999,"&gt;=4.1",$P$2:$P$999,"&lt;=5",$E$2:$E$999,"YES",$D$2:$D$999,"YES",$F$2:$F$999,"UP")</f>
        <v>6.7631436314363143</v>
      </c>
      <c r="AF8" s="9" t="e">
        <f>AVERAGEIFS($R$2:$R$999,$N$2:$N$999,"&lt;=-5",$P$2:$P$999,"&gt;=4.1",$P$2:$P$999,"&lt;=5",$E$2:$E$999,"YES",$D$2:$D$999,"YES",$F$2:$F$999,"UP")</f>
        <v>#DIV/0!</v>
      </c>
      <c r="AG8" s="9">
        <f>AVERAGEIFS($R$2:$R$999,$N$2:$N$999,"&gt;=-4.5",$N$2:$N$999,"&lt;=4.5",$P$2:$P$999,"&gt;=4.1",$P$2:$P$999,"&lt;=5",$E$2:$E$999,"YES",$D$2:$D$999,"YES",$F$2:$F$999,"UP")</f>
        <v>6.7631436314363143</v>
      </c>
      <c r="AH8" s="9" t="e">
        <f>AVERAGEIFS($R$2:$R$999,$N$2:$N$999,"&gt;=5",$P$2:$P$999,"&gt;=4.1",$P$2:$P$999,"&lt;=5",$E$2:$E$999,"YES",$D$2:$D$999,"YES",$F$2:$F$999,"UP")</f>
        <v>#DIV/0!</v>
      </c>
      <c r="AJ8" s="6">
        <f>AVERAGEIFS($R$2:$R$999,$P$2:$P$999,"&gt;=4.1",$P$2:$P$999,"&lt;=5",$C$2:$C$999,"&gt;=0.01")</f>
        <v>2.652976024470334</v>
      </c>
      <c r="AK8" s="6">
        <f>AVERAGEIFS($R$2:$R$999,$N$2:$N$999,"&lt;=-5",$P$2:$P$999,"&gt;=4.1",$P$2:$P$999,"&lt;=5",$C$2:$C$999,"&gt;=0.01")</f>
        <v>3.04</v>
      </c>
      <c r="AL8" s="6">
        <f>AVERAGEIFS($R$2:$R$999,$N$2:$N$999,"&gt;=-4.5",$N$2:$N$999,"&lt;=4.5",$P$2:$P$999,"&gt;=4.1",$P$2:$P$999,"&lt;=5",$C$2:$C$999,"&gt;=0.01")</f>
        <v>1.9223156853043046</v>
      </c>
      <c r="AM8" s="6">
        <f>AVERAGEIFS($R$2:$R$999,$N$2:$N$999,"&gt;=5",$P$2:$P$999,"&gt;=4.1",$P$2:$P$999,"&lt;=5",$C$2:$C$999,"&gt;=0.01")</f>
        <v>3.7272727272727266</v>
      </c>
      <c r="AO8" s="6">
        <f>AVERAGEIFS($R$2:$R$999,$P$2:$P$999,"&gt;=4.1",$P$2:$P$999,"&lt;=5",$E$2:$E$999,"YES",$D$2:$D$999,"YES",$C$2:$C$999,"&gt;=0.01")</f>
        <v>3.7272727272727266</v>
      </c>
      <c r="AP8" s="6" t="e">
        <f>AVERAGEIFS($R$2:$R$999,$N$2:$N$999,"&lt;=-5",$P$2:$P$999,"&gt;=4.1",$P$2:$P$999,"&lt;=5",$E$2:$E$999,"YES",$D$2:$D$999,"YES",$C$2:$C$999,"&gt;=0.01")</f>
        <v>#DIV/0!</v>
      </c>
      <c r="AQ8" s="6" t="e">
        <f>AVERAGEIFS($R$2:$R$999,$N$2:$N$999,"&gt;=-4.5",$N$2:$N$999,"&lt;=4.5",$P$2:$P$999,"&gt;=4.1",$P$2:$P$999,"&lt;=5",$E$2:$E$999,"YES",$D$2:$D$999,"YES",$C$2:$C$999,"&gt;=0.01")</f>
        <v>#DIV/0!</v>
      </c>
      <c r="AR8" s="6">
        <f>AVERAGEIFS($R$2:$R$999,$N$2:$N$999,"&gt;=5",$P$2:$P$999,"&gt;=4.1",$P$2:$P$999,"&lt;=5",$E$2:$E$999,"YES",$D$2:$D$999,"YES",$C$2:$C$999,"&gt;=0.01")</f>
        <v>3.7272727272727266</v>
      </c>
      <c r="AT8" s="6" t="e">
        <f>AVERAGEIFS($R$2:$R$999,$P$2:$P$999,"&gt;=4.1",$P$2:$P$999,"&lt;=5",$E$2:$E$999,"YES",$D$2:$D$999,"YES",$F$2:$F$999,"UP",$C$2:$C$999,"&gt;=0.01")</f>
        <v>#DIV/0!</v>
      </c>
      <c r="AU8" s="6" t="e">
        <f>AVERAGEIFS($R$2:$R$999,$N$2:$N$999,"&lt;=-5",$P$2:$P$999,"&gt;=4.1",$P$2:$P$999,"&lt;=5",$E$2:$E$999,"YES",$D$2:$D$999,"YES",$F$2:$F$999,"UP",$C$2:$C$999,"&gt;=0.01")</f>
        <v>#DIV/0!</v>
      </c>
      <c r="AV8" s="6" t="e">
        <f>AVERAGEIFS($R$2:$R$999,$N$2:$N$999,"&gt;=-4.5",$N$2:$N$999,"&lt;=4.5",$P$2:$P$999,"&gt;=4.1",$P$2:$P$999,"&lt;=5",$E$2:$E$999,"YES",$D$2:$D$999,"YES",$F$2:$F$999,"UP",$C$2:$C$999,"&gt;=0.01")</f>
        <v>#DIV/0!</v>
      </c>
      <c r="AW8" s="6" t="e">
        <f>AVERAGEIFS($R$2:$R$999,$N$2:$N$999,"&gt;=5",$P$2:$P$999,"&gt;=4.1",$P$2:$P$999,"&lt;=5",$E$2:$E$999,"YES",$D$2:$D$999,"YES",$F$2:$F$999,"UP",$C$2:$C$999,"&gt;=0.01")</f>
        <v>#DIV/0!</v>
      </c>
      <c r="AY8" s="6" t="e">
        <f>AVERAGEIFS($R$2:$R$999,$P$2:$P$999,"&gt;=4.1",$P$2:$P$999,"&lt;=5",$C$2:$C$999,"&gt;=11")</f>
        <v>#DIV/0!</v>
      </c>
      <c r="AZ8" s="6" t="e">
        <f>AVERAGEIFS($R$2:$R$999,$N$2:$N$999,"&lt;=-5",$P$2:$P$999,"&gt;=4.1",$P$2:$P$999,"&lt;=5",$C$2:$C$999,"&gt;=11")</f>
        <v>#DIV/0!</v>
      </c>
      <c r="BA8" s="6" t="e">
        <f>AVERAGEIFS($R$2:$R$999,$N$2:$N$999,"&gt;=-4.5",$N$2:$N$999,"&lt;=4.5",$P$2:$P$999,"&gt;=4.1",$P$2:$P$999,"&lt;=5",$C$2:$C$999,"&gt;=11")</f>
        <v>#DIV/0!</v>
      </c>
      <c r="BB8" s="6" t="e">
        <f>AVERAGEIFS($R$2:$R$999,$N$2:$N$999,"&gt;=5",$P$2:$P$999,"&gt;=4.1",$P$2:$P$999,"&lt;=5",$C$2:$C$999,"&gt;=11")</f>
        <v>#DIV/0!</v>
      </c>
      <c r="BC8" s="3"/>
      <c r="BD8" s="4">
        <f>AVERAGEIFS($R$2:$R$999,$P$2:$P$999,"&gt;=4.1",$P$2:$P$999,"&lt;=5",$I$2:$I$999,"YES",$J$2:$J$999,"YES")</f>
        <v>5.1707317073170733</v>
      </c>
      <c r="BE8" s="4" t="e">
        <f>AVERAGEIFS($R$2:$R$999,$N$2:$N$999,"&lt;=-5",$P$2:$P$999,"&gt;=4.1",$P$2:$P$999,"&lt;=5",$I$2:$I$999,"YES",$J$2:$J$999,"YES")</f>
        <v>#DIV/0!</v>
      </c>
      <c r="BF8" s="4">
        <f>AVERAGEIFS($R$2:$R$999,$N$2:$N$999,"&gt;=-4.5",$N$2:$N$999,"&lt;=4.5",$P$2:$P$999,"&gt;=4.1",$P$2:$P$999,"&lt;=5",$I$2:$I$999,"YES",$J$2:$J$999,"YES")</f>
        <v>5.1707317073170733</v>
      </c>
      <c r="BG8" s="4" t="e">
        <f>AVERAGEIFS($R$2:$R$999,$N$2:$N$999,"&gt;=5",$P$2:$P$999,"&gt;=4.1",$P$2:$P$999,"&lt;=5",$I$2:$I$999,"YES",$J$2:$J$999,"YES")</f>
        <v>#DIV/0!</v>
      </c>
      <c r="BH8" s="8"/>
      <c r="BI8" s="9"/>
      <c r="BJ8" s="9"/>
      <c r="BK8" s="9"/>
      <c r="BL8" s="9"/>
    </row>
    <row r="9" spans="1:89" x14ac:dyDescent="0.2">
      <c r="A9">
        <v>15</v>
      </c>
      <c r="B9" t="s">
        <v>83</v>
      </c>
      <c r="D9" t="s">
        <v>75</v>
      </c>
      <c r="E9" t="s">
        <v>76</v>
      </c>
      <c r="F9" t="s">
        <v>110</v>
      </c>
      <c r="G9" t="s">
        <v>76</v>
      </c>
      <c r="H9" t="s">
        <v>76</v>
      </c>
      <c r="I9" t="s">
        <v>76</v>
      </c>
      <c r="J9" t="s">
        <v>76</v>
      </c>
      <c r="K9" t="s">
        <v>76</v>
      </c>
      <c r="L9" t="s">
        <v>76</v>
      </c>
      <c r="M9" t="s">
        <v>132</v>
      </c>
      <c r="N9">
        <v>2.5</v>
      </c>
      <c r="O9">
        <v>44.5</v>
      </c>
      <c r="P9">
        <v>4.5999999999999996</v>
      </c>
      <c r="Q9" s="8">
        <v>17.100000000000001</v>
      </c>
      <c r="R9" s="1">
        <f t="shared" si="0"/>
        <v>3.7173913043478266</v>
      </c>
      <c r="U9" s="1"/>
      <c r="V9" s="1"/>
      <c r="W9" s="1"/>
      <c r="X9" s="1"/>
      <c r="Z9" s="9"/>
      <c r="AA9" s="9"/>
      <c r="AB9" s="9"/>
      <c r="AC9" s="9"/>
      <c r="AE9" s="9"/>
      <c r="AF9" s="9"/>
      <c r="AG9" s="9"/>
      <c r="AH9" s="9"/>
      <c r="AJ9" s="6"/>
      <c r="AK9" s="6"/>
      <c r="AL9" s="6"/>
      <c r="AM9" s="6"/>
      <c r="AO9" s="6"/>
      <c r="AP9" s="6"/>
      <c r="AQ9" s="6"/>
      <c r="AR9" s="6"/>
      <c r="AT9" s="6"/>
      <c r="AU9" s="6"/>
      <c r="AV9" s="6"/>
      <c r="AW9" s="6"/>
      <c r="AY9" s="6"/>
      <c r="AZ9" s="6"/>
      <c r="BA9" s="6"/>
      <c r="BB9" s="6"/>
      <c r="BC9" s="3"/>
      <c r="BD9" s="4"/>
      <c r="BE9" s="4"/>
      <c r="BF9" s="4"/>
      <c r="BG9" s="4"/>
      <c r="BH9" s="8"/>
      <c r="BI9" s="9"/>
      <c r="BJ9" s="9"/>
      <c r="BK9" s="9"/>
      <c r="BL9" s="9"/>
    </row>
    <row r="10" spans="1:89" x14ac:dyDescent="0.2">
      <c r="A10">
        <v>15</v>
      </c>
      <c r="B10" t="s">
        <v>117</v>
      </c>
      <c r="D10" t="s">
        <v>75</v>
      </c>
      <c r="E10" t="s">
        <v>76</v>
      </c>
      <c r="F10" t="s">
        <v>110</v>
      </c>
      <c r="G10" t="s">
        <v>76</v>
      </c>
      <c r="H10" t="s">
        <v>76</v>
      </c>
      <c r="I10" t="s">
        <v>76</v>
      </c>
      <c r="J10" t="s">
        <v>76</v>
      </c>
      <c r="K10" t="s">
        <v>76</v>
      </c>
      <c r="L10" t="s">
        <v>76</v>
      </c>
      <c r="M10" t="s">
        <v>132</v>
      </c>
      <c r="N10">
        <v>2.5</v>
      </c>
      <c r="O10">
        <v>44.5</v>
      </c>
      <c r="P10">
        <v>5.2</v>
      </c>
      <c r="Q10" s="8">
        <v>3.9</v>
      </c>
      <c r="R10" s="1">
        <f t="shared" si="0"/>
        <v>0.75</v>
      </c>
      <c r="U10" t="s">
        <v>37</v>
      </c>
      <c r="V10" s="1" t="s">
        <v>31</v>
      </c>
      <c r="W10" s="1" t="s">
        <v>43</v>
      </c>
      <c r="X10" s="1" t="s">
        <v>30</v>
      </c>
      <c r="Z10" s="8" t="s">
        <v>37</v>
      </c>
      <c r="AA10" s="9" t="s">
        <v>31</v>
      </c>
      <c r="AB10" s="9" t="s">
        <v>43</v>
      </c>
      <c r="AC10" s="9" t="s">
        <v>30</v>
      </c>
      <c r="AE10" s="8" t="s">
        <v>37</v>
      </c>
      <c r="AF10" s="9" t="s">
        <v>31</v>
      </c>
      <c r="AG10" s="9" t="s">
        <v>43</v>
      </c>
      <c r="AH10" s="9" t="s">
        <v>30</v>
      </c>
      <c r="AJ10" s="5" t="s">
        <v>37</v>
      </c>
      <c r="AK10" s="6" t="s">
        <v>31</v>
      </c>
      <c r="AL10" s="6" t="s">
        <v>43</v>
      </c>
      <c r="AM10" s="6" t="s">
        <v>30</v>
      </c>
      <c r="AO10" s="5" t="s">
        <v>37</v>
      </c>
      <c r="AP10" s="6" t="s">
        <v>31</v>
      </c>
      <c r="AQ10" s="6" t="s">
        <v>43</v>
      </c>
      <c r="AR10" s="6" t="s">
        <v>30</v>
      </c>
      <c r="AT10" s="5" t="s">
        <v>37</v>
      </c>
      <c r="AU10" s="6" t="s">
        <v>31</v>
      </c>
      <c r="AV10" s="6" t="s">
        <v>43</v>
      </c>
      <c r="AW10" s="6" t="s">
        <v>30</v>
      </c>
      <c r="AY10" s="5" t="s">
        <v>37</v>
      </c>
      <c r="AZ10" s="6" t="s">
        <v>31</v>
      </c>
      <c r="BA10" s="6" t="s">
        <v>43</v>
      </c>
      <c r="BB10" s="6" t="s">
        <v>30</v>
      </c>
      <c r="BC10" s="3"/>
      <c r="BD10" s="3" t="s">
        <v>37</v>
      </c>
      <c r="BE10" s="4" t="s">
        <v>31</v>
      </c>
      <c r="BF10" s="4" t="s">
        <v>43</v>
      </c>
      <c r="BG10" s="4" t="s">
        <v>30</v>
      </c>
      <c r="BH10" s="8"/>
      <c r="BI10" s="8"/>
      <c r="BJ10" s="9"/>
      <c r="BK10" s="9"/>
      <c r="BL10" s="9"/>
    </row>
    <row r="11" spans="1:89" x14ac:dyDescent="0.2">
      <c r="A11" s="3">
        <v>15</v>
      </c>
      <c r="B11" s="3" t="s">
        <v>159</v>
      </c>
      <c r="C11" s="3"/>
      <c r="D11" s="3" t="s">
        <v>75</v>
      </c>
      <c r="E11" s="3" t="s">
        <v>76</v>
      </c>
      <c r="F11" s="3"/>
      <c r="G11" s="3" t="s">
        <v>75</v>
      </c>
      <c r="H11" s="3" t="s">
        <v>75</v>
      </c>
      <c r="I11" s="3" t="s">
        <v>76</v>
      </c>
      <c r="J11" s="3" t="s">
        <v>76</v>
      </c>
      <c r="K11" s="3" t="s">
        <v>76</v>
      </c>
      <c r="L11" s="3" t="s">
        <v>75</v>
      </c>
      <c r="M11" s="3" t="s">
        <v>134</v>
      </c>
      <c r="N11" s="3">
        <v>-9</v>
      </c>
      <c r="O11" s="3">
        <v>40.5</v>
      </c>
      <c r="P11">
        <v>7.1</v>
      </c>
      <c r="Q11" s="8">
        <v>2.9</v>
      </c>
      <c r="R11" s="1">
        <f t="shared" si="0"/>
        <v>0.40845070422535212</v>
      </c>
      <c r="U11" s="1">
        <f>AVERAGEIFS($R$2:$R$999,$P$2:$P$999,"&gt;=5.1",$P$2:$P$999,"&lt;=6.2")</f>
        <v>2.3754376036287574</v>
      </c>
      <c r="V11" s="1">
        <f>AVERAGEIFS($R$2:$R$999,$N$2:$N$999,"&lt;=-5",$P$2:$P$999,"&gt;=5.1",$P$2:$P$999,"&lt;=6.2")</f>
        <v>3.0599105812220566</v>
      </c>
      <c r="W11" s="1">
        <f>AVERAGEIFS($R$2:$R$999,$N$2:$N$999,"&gt;=-4.5",$N$2:$N$999,"&lt;=4.5",$P$2:$P$999,"&gt;=5.1",$P$2:$P$999,"&lt;=6.2")</f>
        <v>2.283577830528738</v>
      </c>
      <c r="X11" s="1">
        <f>AVERAGEIFS($R$2:$R$999,$N$2:$N$999,"&gt;=5",$P$2:$P$999,"&gt;=5.1",$P$2:$P$999,"&lt;=6.2")</f>
        <v>2.0169491525423728</v>
      </c>
      <c r="Z11" s="9">
        <f>AVERAGEIFS($R$2:$R$999,$P$2:$P$999,"&gt;=5.1",$P$2:$P$999,"&lt;=6.2",$E$2:$E$999,"YES",$D$2:$D$999,"YES")</f>
        <v>3.2408994782501317</v>
      </c>
      <c r="AA11" s="9">
        <f>AVERAGEIFS($R$2:$R$999,$N$2:$N$999,"&lt;=-5",$P$2:$P$999,"&gt;=5.1",$P$2:$P$999,"&lt;=6.2",$E$2:$E$999,"YES",$D$2:$D$999,"YES")</f>
        <v>1.9016393442622952</v>
      </c>
      <c r="AB11" s="9">
        <f>AVERAGEIFS($R$2:$R$999,$N$2:$N$999,"&gt;=-4.5",$N$2:$N$999,"&lt;=4.5",$P$2:$P$999,"&gt;=5.1",$P$2:$P$999,"&lt;=6.2",$E$2:$E$999,"YES",$D$2:$D$999,"YES")</f>
        <v>3.6873195229127433</v>
      </c>
      <c r="AC11" s="9" t="e">
        <f>AVERAGEIFS($R$2:$R$999,$N$2:$N$999,"&gt;=5",$P$2:$P$999,"&gt;=5.1",$P$2:$P$999,"&lt;=6.2",$E$2:$E$999,"YES",$D$2:$D$999,"YES")</f>
        <v>#DIV/0!</v>
      </c>
      <c r="AE11" s="9">
        <f>AVERAGEIFS($R$2:$R$999,$P$2:$P$999,"&gt;=5.1",$P$2:$P$999,"&lt;=6.2",$E$2:$E$999,"YES",$D$2:$D$999,"YES",$F$2:$F$999,"UP")</f>
        <v>4.7333333333333334</v>
      </c>
      <c r="AF11" s="9" t="e">
        <f>AVERAGEIFS($R$2:$R$999,$N$2:$N$999,"&lt;=-5",$P$2:$P$999,"&gt;=5.1",$P$2:$P$999,"&lt;=6.2",$E$2:$E$999,"YES",$D$2:$D$999,"YES",$F$2:$F$999,"UP")</f>
        <v>#DIV/0!</v>
      </c>
      <c r="AG11" s="9">
        <f>AVERAGEIFS($R$2:$R$999,$N$2:$N$999,"&gt;=-4.5",$N$2:$N$999,"&lt;=4.5",$P$2:$P$999,"&gt;=5.1",$P$2:$P$999,"&lt;=6.2",$E$2:$E$999,"YES",$D$2:$D$999,"YES",$F$2:$F$999,"UP")</f>
        <v>4.7333333333333334</v>
      </c>
      <c r="AH11" s="9" t="e">
        <f>AVERAGEIFS($R$2:$R$999,$N$2:$N$999,"&gt;=5",$P$2:$P$999,"&gt;=5.1",$P$2:$P$999,"&lt;=6.2",$E$2:$E$999,"YES",$D$2:$D$999,"YES",$F$2:$F$999,"UP")</f>
        <v>#DIV/0!</v>
      </c>
      <c r="AJ11" s="6">
        <f>AVERAGEIFS($R$2:$R$999,$P$2:$P$999,"&gt;=5.1",$P$2:$P$999,"&lt;=6.2",$C$2:$C$999,"&gt;=0.01")</f>
        <v>3.0316784584001155</v>
      </c>
      <c r="AK11" s="6" t="e">
        <f>AVERAGEIFS($R$2:$R$999,$N$2:$N$999,"&lt;=-5",$P$2:$P$999,"&gt;=5.1",$P$2:$P$999,"&lt;=6.2",$C$2:$C$999,"&gt;=0.01")</f>
        <v>#DIV/0!</v>
      </c>
      <c r="AL11" s="6">
        <f>AVERAGEIFS($R$2:$R$999,$N$2:$N$999,"&gt;=-4.5",$N$2:$N$999,"&lt;=4.5",$P$2:$P$999,"&gt;=5.1",$P$2:$P$999,"&lt;=6.2",$C$2:$C$999,"&gt;=0.01")</f>
        <v>3.234624319571664</v>
      </c>
      <c r="AM11" s="6">
        <f>AVERAGEIFS($R$2:$R$999,$N$2:$N$999,"&gt;=5",$P$2:$P$999,"&gt;=5.1",$P$2:$P$999,"&lt;=6.2",$C$2:$C$999,"&gt;=0.01")</f>
        <v>2.0169491525423728</v>
      </c>
      <c r="AO11" s="6">
        <f>AVERAGEIFS($R$2:$R$999,$P$2:$P$999,"&gt;=5.1",$P$2:$P$999,"&lt;=6.2",$E$2:$E$999,"YES",$D$2:$D$999,"YES",$C$2:$C$999,"&gt;=0.01")</f>
        <v>3.1643126177024481</v>
      </c>
      <c r="AP11" s="6" t="e">
        <f>AVERAGEIFS($R$2:$R$999,$N$2:$N$999,"&lt;=-5",$P$2:$P$999,"&gt;=5.1",$P$2:$P$999,"&lt;=6.2",$E$2:$E$999,"YES",$D$2:$D$999,"YES",$C$2:$C$999,"&gt;=0.01")</f>
        <v>#DIV/0!</v>
      </c>
      <c r="AQ11" s="6">
        <f>AVERAGEIFS($R$2:$R$999,$N$2:$N$999,"&gt;=-4.5",$N$2:$N$999,"&lt;=4.5",$P$2:$P$999,"&gt;=5.1",$P$2:$P$999,"&lt;=6.2",$E$2:$E$999,"YES",$D$2:$D$999,"YES",$C$2:$C$999,"&gt;=0.01")</f>
        <v>3.1643126177024481</v>
      </c>
      <c r="AR11" s="6" t="e">
        <f>AVERAGEIFS($R$2:$R$999,$N$2:$N$999,"&gt;=5",$P$2:$P$999,"&gt;=5.1",$P$2:$P$999,"&lt;=6.2",$E$2:$E$999,"YES",$D$2:$D$999,"YES",$C$2:$C$999,"&gt;=0.01")</f>
        <v>#DIV/0!</v>
      </c>
      <c r="AT11" s="6" t="e">
        <f>AVERAGEIFS($R$2:$R$999,$P$2:$P$999,"&gt;=5.1",$P$2:$P$999,"&lt;=6.2",$E$2:$E$999,"YES",$D$2:$D$999,"YES",$F$2:$F$999,"UP",$C$2:$C$999,"&gt;=0.01")</f>
        <v>#DIV/0!</v>
      </c>
      <c r="AU11" s="6" t="e">
        <f>AVERAGEIFS($R$2:$R$999,$N$2:$N$999,"&lt;=-5",$P$2:$P$999,"&gt;=5.1",$P$2:$P$999,"&lt;=6.2",$E$2:$E$999,"YES",$D$2:$D$999,"YES",$F$2:$F$999,"UP",$C$2:$C$999,"&gt;=0.01")</f>
        <v>#DIV/0!</v>
      </c>
      <c r="AV11" s="6" t="e">
        <f>AVERAGEIFS($R$2:$R$999,$N$2:$N$999,"&gt;=-4.5",$N$2:$N$999,"&lt;=4.5",$P$2:$P$999,"&gt;=5.1",$P$2:$P$999,"&lt;=6.2",$E$2:$E$999,"YES",$D$2:$D$999,"YES",$F$2:$F$999,"UP",$C$2:$C$999,"&gt;=0.01")</f>
        <v>#DIV/0!</v>
      </c>
      <c r="AW11" s="6" t="e">
        <f>AVERAGEIFS($R$2:$R$999,$N$2:$N$999,"&gt;=5",$P$2:$P$999,"&gt;=5.1",$P$2:$P$999,"&lt;=6.2",$E$2:$E$999,"YES",$D$2:$D$999,"YES",$F$2:$F$999,"UP",$C$2:$C$999,"&gt;=0.01")</f>
        <v>#DIV/0!</v>
      </c>
      <c r="AY11" s="6">
        <f>AVERAGEIFS($R$2:$R$999,$P$2:$P$999,"&gt;=5.1",$P$2:$P$999,"&lt;=6.2",$C$2:$C$999,"&gt;=11")</f>
        <v>2.9825508038491733</v>
      </c>
      <c r="AZ11" s="6" t="e">
        <f>AVERAGEIFS($R$2:$R$999,$N$2:$N$999,"&lt;=-5",$P$2:$P$999,"&gt;=5.1",$P$2:$P$999,"&lt;=6.2",$C$2:$C$999,"&gt;=11")</f>
        <v>#DIV/0!</v>
      </c>
      <c r="BA11" s="6">
        <f>AVERAGEIFS($R$2:$R$999,$N$2:$N$999,"&gt;=-4.5",$N$2:$N$999,"&lt;=4.5",$P$2:$P$999,"&gt;=5.1",$P$2:$P$999,"&lt;=6.2",$C$2:$C$999,"&gt;=11")</f>
        <v>3.4653516295025728</v>
      </c>
      <c r="BB11" s="6">
        <f>AVERAGEIFS($R$2:$R$999,$N$2:$N$999,"&gt;=5",$P$2:$P$999,"&gt;=5.1",$P$2:$P$999,"&lt;=6.2",$C$2:$C$999,"&gt;=11")</f>
        <v>2.0169491525423728</v>
      </c>
      <c r="BC11" s="3"/>
      <c r="BD11" s="4" t="e">
        <f>AVERAGEIFS($R$2:$R$999,$P$2:$P$999,"&gt;=5.1",$P$2:$P$999,"&lt;=6.2",$I$2:$I$999,"YES",$J$2:$J$999,"YES")</f>
        <v>#DIV/0!</v>
      </c>
      <c r="BE11" s="4" t="e">
        <f>AVERAGEIFS($R$2:$R$999,$N$2:$N$999,"&lt;=-5",$P$2:$P$999,"&gt;=5.1",$P$2:$P$999,"&lt;=6.2",$I$2:$I$999,"YES",$J$2:$J$999,"YES")</f>
        <v>#DIV/0!</v>
      </c>
      <c r="BF11" s="4" t="e">
        <f>AVERAGEIFS($R$2:$R$999,$N$2:$N$999,"&gt;=-4.5",$N$2:$N$999,"&lt;=4.5",$P$2:$P$999,"&gt;=5.1",$P$2:$P$999,"&lt;=6.2",$I$2:$I$999,"YES",$J$2:$J$999,"YES")</f>
        <v>#DIV/0!</v>
      </c>
      <c r="BG11" s="4" t="e">
        <f>AVERAGEIFS($R$2:$R$999,$N$2:$N$999,"&gt;=5",$P$2:$P$999,"&gt;=5.1",$P$2:$P$999,"&lt;=6.2",$I$2:$I$999,"YES",$J$2:$J$999,"YES")</f>
        <v>#DIV/0!</v>
      </c>
      <c r="BH11" s="8"/>
      <c r="BI11" s="9"/>
      <c r="BJ11" s="9"/>
      <c r="BK11" s="9"/>
      <c r="BL11" s="9"/>
    </row>
    <row r="12" spans="1:89" x14ac:dyDescent="0.2">
      <c r="A12" s="3">
        <v>15</v>
      </c>
      <c r="B12" s="3" t="s">
        <v>160</v>
      </c>
      <c r="C12" s="3"/>
      <c r="D12" s="3" t="s">
        <v>75</v>
      </c>
      <c r="E12" s="3" t="s">
        <v>76</v>
      </c>
      <c r="F12" s="3"/>
      <c r="G12" s="3" t="s">
        <v>75</v>
      </c>
      <c r="H12" s="3" t="s">
        <v>75</v>
      </c>
      <c r="I12" s="3" t="s">
        <v>76</v>
      </c>
      <c r="J12" s="3" t="s">
        <v>76</v>
      </c>
      <c r="K12" s="3" t="s">
        <v>76</v>
      </c>
      <c r="L12" s="3" t="s">
        <v>75</v>
      </c>
      <c r="M12" s="3" t="s">
        <v>134</v>
      </c>
      <c r="N12" s="3">
        <v>-9</v>
      </c>
      <c r="O12" s="3">
        <v>40.5</v>
      </c>
      <c r="P12">
        <v>4.3</v>
      </c>
      <c r="Q12" s="8">
        <v>3.3</v>
      </c>
      <c r="R12" s="1">
        <f t="shared" si="0"/>
        <v>0.76744186046511631</v>
      </c>
      <c r="U12" s="1"/>
      <c r="V12" s="1"/>
      <c r="W12" s="1"/>
      <c r="X12" s="1"/>
      <c r="Z12" s="9"/>
      <c r="AA12" s="9"/>
      <c r="AB12" s="9"/>
      <c r="AC12" s="9"/>
      <c r="AE12" s="9"/>
      <c r="AF12" s="9"/>
      <c r="AG12" s="9"/>
      <c r="AH12" s="9"/>
      <c r="AJ12" s="6"/>
      <c r="AK12" s="6"/>
      <c r="AL12" s="6"/>
      <c r="AM12" s="6"/>
      <c r="AO12" s="6"/>
      <c r="AP12" s="6"/>
      <c r="AQ12" s="6"/>
      <c r="AR12" s="6"/>
      <c r="AT12" s="6"/>
      <c r="AU12" s="6"/>
      <c r="AV12" s="6"/>
      <c r="AW12" s="6"/>
      <c r="AY12" s="6"/>
      <c r="AZ12" s="6"/>
      <c r="BA12" s="6"/>
      <c r="BB12" s="6"/>
      <c r="BC12" s="3"/>
      <c r="BD12" s="4"/>
      <c r="BE12" s="4"/>
      <c r="BF12" s="4"/>
      <c r="BG12" s="4"/>
      <c r="BH12" s="8"/>
      <c r="BI12" s="9"/>
      <c r="BJ12" s="9"/>
      <c r="BK12" s="9"/>
      <c r="BL12" s="9"/>
    </row>
    <row r="13" spans="1:89" x14ac:dyDescent="0.2">
      <c r="A13" s="11">
        <v>15</v>
      </c>
      <c r="B13" s="11" t="s">
        <v>92</v>
      </c>
      <c r="C13" s="11"/>
      <c r="D13" s="11" t="s">
        <v>75</v>
      </c>
      <c r="E13" s="11" t="s">
        <v>75</v>
      </c>
      <c r="F13" s="11" t="s">
        <v>109</v>
      </c>
      <c r="G13" s="11" t="s">
        <v>75</v>
      </c>
      <c r="H13" s="11" t="s">
        <v>75</v>
      </c>
      <c r="I13" s="11" t="s">
        <v>75</v>
      </c>
      <c r="J13" s="11" t="s">
        <v>76</v>
      </c>
      <c r="K13" s="11" t="s">
        <v>76</v>
      </c>
      <c r="L13" s="11" t="s">
        <v>75</v>
      </c>
      <c r="M13" s="11" t="s">
        <v>134</v>
      </c>
      <c r="N13" s="11">
        <v>-3.5</v>
      </c>
      <c r="O13" s="11">
        <v>47.5</v>
      </c>
      <c r="P13">
        <v>7.7</v>
      </c>
      <c r="Q13" s="8">
        <v>20.100000000000001</v>
      </c>
      <c r="R13" s="1">
        <f t="shared" si="0"/>
        <v>2.6103896103896105</v>
      </c>
      <c r="U13" t="s">
        <v>35</v>
      </c>
      <c r="V13" s="1" t="s">
        <v>31</v>
      </c>
      <c r="W13" s="1" t="s">
        <v>43</v>
      </c>
      <c r="X13" s="1" t="s">
        <v>30</v>
      </c>
      <c r="Z13" s="8" t="s">
        <v>35</v>
      </c>
      <c r="AA13" s="9" t="s">
        <v>31</v>
      </c>
      <c r="AB13" s="9" t="s">
        <v>43</v>
      </c>
      <c r="AC13" s="9" t="s">
        <v>30</v>
      </c>
      <c r="AE13" s="8" t="s">
        <v>35</v>
      </c>
      <c r="AF13" s="9" t="s">
        <v>31</v>
      </c>
      <c r="AG13" s="9" t="s">
        <v>43</v>
      </c>
      <c r="AH13" s="9" t="s">
        <v>30</v>
      </c>
      <c r="AJ13" s="5" t="s">
        <v>35</v>
      </c>
      <c r="AK13" s="6" t="s">
        <v>31</v>
      </c>
      <c r="AL13" s="6" t="s">
        <v>43</v>
      </c>
      <c r="AM13" s="6" t="s">
        <v>30</v>
      </c>
      <c r="AO13" s="5" t="s">
        <v>35</v>
      </c>
      <c r="AP13" s="6" t="s">
        <v>31</v>
      </c>
      <c r="AQ13" s="6" t="s">
        <v>43</v>
      </c>
      <c r="AR13" s="6" t="s">
        <v>30</v>
      </c>
      <c r="AT13" s="5" t="s">
        <v>35</v>
      </c>
      <c r="AU13" s="6" t="s">
        <v>31</v>
      </c>
      <c r="AV13" s="6" t="s">
        <v>43</v>
      </c>
      <c r="AW13" s="6" t="s">
        <v>30</v>
      </c>
      <c r="AY13" s="5" t="s">
        <v>35</v>
      </c>
      <c r="AZ13" s="6" t="s">
        <v>31</v>
      </c>
      <c r="BA13" s="6" t="s">
        <v>43</v>
      </c>
      <c r="BB13" s="6" t="s">
        <v>30</v>
      </c>
      <c r="BC13" s="3"/>
      <c r="BD13" s="3" t="s">
        <v>35</v>
      </c>
      <c r="BE13" s="4" t="s">
        <v>31</v>
      </c>
      <c r="BF13" s="4" t="s">
        <v>43</v>
      </c>
      <c r="BG13" s="4" t="s">
        <v>30</v>
      </c>
      <c r="BH13" s="8"/>
      <c r="BI13" s="8"/>
      <c r="BJ13" s="9"/>
      <c r="BK13" s="9"/>
      <c r="BL13" s="9"/>
    </row>
    <row r="14" spans="1:89" x14ac:dyDescent="0.2">
      <c r="A14" s="11">
        <v>15</v>
      </c>
      <c r="B14" s="11" t="s">
        <v>21</v>
      </c>
      <c r="C14" s="11"/>
      <c r="D14" s="11" t="s">
        <v>75</v>
      </c>
      <c r="E14" s="11" t="s">
        <v>75</v>
      </c>
      <c r="F14" s="11" t="s">
        <v>109</v>
      </c>
      <c r="G14" s="11" t="s">
        <v>75</v>
      </c>
      <c r="H14" s="11" t="s">
        <v>75</v>
      </c>
      <c r="I14" s="11" t="s">
        <v>75</v>
      </c>
      <c r="J14" s="11" t="s">
        <v>76</v>
      </c>
      <c r="K14" s="11" t="s">
        <v>76</v>
      </c>
      <c r="L14" s="11" t="s">
        <v>75</v>
      </c>
      <c r="M14" s="11" t="s">
        <v>134</v>
      </c>
      <c r="N14" s="11">
        <v>-3.5</v>
      </c>
      <c r="O14" s="11">
        <v>47.5</v>
      </c>
      <c r="P14">
        <v>4.5</v>
      </c>
      <c r="Q14" s="8">
        <v>37.6</v>
      </c>
      <c r="R14" s="1">
        <f t="shared" si="0"/>
        <v>8.3555555555555561</v>
      </c>
      <c r="U14" s="1">
        <f>AVERAGEIFS($R$2:$R$999,$P$2:$P$999,"&gt;=6.3")</f>
        <v>2.64881968986389</v>
      </c>
      <c r="V14" s="1">
        <f>AVERAGEIFS($R$2:$R$999,$N$2:$N$999,"&lt;=-5",$P$2:$P$999,"&gt;=6.3")</f>
        <v>2.7533959486366433</v>
      </c>
      <c r="W14" s="1">
        <f>AVERAGEIFS($R$2:$R$999,$N$2:$N$999,"&gt;=-4.5",$N$2:$N$999,"&lt;=4.5",$P$2:$P$999,"&gt;=6.3")</f>
        <v>2.1299496166722531</v>
      </c>
      <c r="X14" s="1">
        <f>AVERAGEIFS($R$2:$R$999,$N$2:$N$999,"&gt;=5",$P$2:$P$999,"&gt;=6.3")</f>
        <v>4.722294372294372</v>
      </c>
      <c r="Z14" s="9">
        <f>AVERAGEIFS($R$2:$R$999,$P$2:$P$999,"&gt;=6.3",$E$2:$E$999,"YES",$D$2:$D$999,"YES")</f>
        <v>2.9992737938390115</v>
      </c>
      <c r="AA14" s="9">
        <f>AVERAGEIFS($R$2:$R$999,$N$2:$N$999,"&lt;=-5",$P$2:$P$999,"&gt;=6.3",$E$2:$E$999,"YES",$D$2:$D$999,"YES")</f>
        <v>4.2028985507246377</v>
      </c>
      <c r="AB14" s="9">
        <f>AVERAGEIFS($R$2:$R$999,$N$2:$N$999,"&gt;=-4.5",$N$2:$N$999,"&lt;=4.5",$P$2:$P$999,"&gt;=6.3",$E$2:$E$999,"YES",$D$2:$D$999,"YES")</f>
        <v>2.4210557960557959</v>
      </c>
      <c r="AC14" s="9">
        <f>AVERAGEIFS($R$2:$R$999,$N$2:$N$999,"&gt;=5",$P$2:$P$999,"&gt;=6.3",$E$2:$E$999,"YES",$D$2:$D$999,"YES")</f>
        <v>3.5303030303030307</v>
      </c>
      <c r="AE14" s="9">
        <f>AVERAGEIFS($R$2:$R$999,$P$2:$P$999,"&gt;=6.3",$E$2:$E$999,"YES",$D$2:$D$999,"YES",$F$2:$F$999,"UP")</f>
        <v>1.8190836940836941</v>
      </c>
      <c r="AF14" s="9" t="e">
        <f>AVERAGEIFS($R$2:$R$999,$N$2:$N$999,"&lt;=-5",$P$2:$P$999,"&gt;=6.3",$E$2:$E$999,"YES",$D$2:$D$999,"YES",$F$2:$F$999,"UP")</f>
        <v>#DIV/0!</v>
      </c>
      <c r="AG14" s="9">
        <f>AVERAGEIFS($R$2:$R$999,$N$2:$N$999,"&gt;=-4.5",$N$2:$N$999,"&lt;=4.5",$P$2:$P$999,"&gt;=6.3",$E$2:$E$999,"YES",$D$2:$D$999,"YES",$F$2:$F$999,"UP")</f>
        <v>1.8190836940836941</v>
      </c>
      <c r="AH14" s="9" t="e">
        <f>AVERAGEIFS($R$2:$R$999,$N$2:$N$999,"&gt;=5",$P$2:$P$999,"&gt;=6.3",$E$2:$E$999,"YES",$D$2:$D$999,"YES",$F$2:$F$999,"UP")</f>
        <v>#DIV/0!</v>
      </c>
      <c r="AJ14" s="6">
        <f>AVERAGEIFS($R$2:$R$999,$P$2:$P$999,"&gt;=6.3",$C$2:$C$999,"&gt;=0.01")</f>
        <v>2.3661396499238969</v>
      </c>
      <c r="AK14" s="6">
        <f>AVERAGEIFS($R$2:$R$999,$N$2:$N$999,"&lt;=-5",$P$2:$P$999,"&gt;=6.3",$C$2:$C$999,"&gt;=0.01")</f>
        <v>2.4085844748858447</v>
      </c>
      <c r="AL14" s="6">
        <f>AVERAGEIFS($R$2:$R$999,$N$2:$N$999,"&gt;=-4.5",$N$2:$N$999,"&lt;=4.5",$P$2:$P$999,"&gt;=6.3",$C$2:$C$999,"&gt;=0.01")</f>
        <v>2.28125</v>
      </c>
      <c r="AM14" s="6" t="e">
        <f>AVERAGEIFS($R$2:$R$999,$N$2:$N$999,"&gt;=5",$P$2:$P$999,"&gt;=6.3",$C$2:$C$999,"&gt;=0.01")</f>
        <v>#DIV/0!</v>
      </c>
      <c r="AO14" s="6" t="e">
        <f>AVERAGEIFS($R$2:$R$999,$P$2:$P$999,"&gt;=6.3",$E$2:$E$999,"YES",$D$2:$D$999,"YES",$C$2:$C$999,"&gt;=0.01")</f>
        <v>#DIV/0!</v>
      </c>
      <c r="AP14" s="6" t="e">
        <f>AVERAGEIFS($R$2:$R$999,$N$2:$N$999,"&lt;=-5",$P$2:$P$999,"&gt;=6.3",$E$2:$E$999,"YES",$D$2:$D$999,"YES",$C$2:$C$999,"&gt;=0.01")</f>
        <v>#DIV/0!</v>
      </c>
      <c r="AQ14" s="6" t="e">
        <f>AVERAGEIFS($R$2:$R$999,$N$2:$N$999,"&gt;=-4.5",$N$2:$N$999,"&lt;=4.5",$P$2:$P$999,"&gt;=6.3",$E$2:$E$999,"YES",$D$2:$D$999,"YES",$C$2:$C$999,"&gt;=0.01")</f>
        <v>#DIV/0!</v>
      </c>
      <c r="AR14" s="6" t="e">
        <f>AVERAGEIFS($R$2:$R$999,$N$2:$N$999,"&gt;=5",$P$2:$P$999,"&gt;=6.3",$E$2:$E$999,"YES",$D$2:$D$999,"YES",$C$2:$C$999,"&gt;=0.01")</f>
        <v>#DIV/0!</v>
      </c>
      <c r="AT14" s="6" t="e">
        <f>AVERAGEIFS($R$2:$R$999,$P$2:$P$999,"&gt;=6.3",$E$2:$E$999,"YES",$D$2:$D$999,"YES",$F$2:$F$999,"UP",$C$2:$C$999,"&gt;=0.01")</f>
        <v>#DIV/0!</v>
      </c>
      <c r="AU14" s="6" t="e">
        <f>AVERAGEIFS($R$2:$R$999,$N$2:$N$999,"&lt;=-5",$P$2:$P$999,"&gt;=6.3",$E$2:$E$999,"YES",$D$2:$D$999,"YES",$F$2:$F$999,"UP",$C$2:$C$999,"&gt;=0.01")</f>
        <v>#DIV/0!</v>
      </c>
      <c r="AV14" s="6" t="e">
        <f>AVERAGEIFS($R$2:$R$999,$N$2:$N$999,"&gt;=-4.5",$N$2:$N$999,"&lt;=4.5",$P$2:$P$999,"&gt;=6.3",$E$2:$E$999,"YES",$D$2:$D$999,"YES",$F$2:$F$999,"UP",$C$2:$C$999,"&gt;=0.01")</f>
        <v>#DIV/0!</v>
      </c>
      <c r="AW14" s="6" t="e">
        <f>AVERAGEIFS($R$2:$R$999,$N$2:$N$999,"&gt;=5",$P$2:$P$999,"&gt;=6.3",$E$2:$E$999,"YES",$D$2:$D$999,"YES",$F$2:$F$999,"UP",$C$2:$C$999,"&gt;=0.01")</f>
        <v>#DIV/0!</v>
      </c>
      <c r="AY14" s="6">
        <f>AVERAGEIFS($R$2:$R$999,$P$2:$P$999,"&gt;=6.3",$C$2:$C$999,"&gt;=11")</f>
        <v>2.3661396499238969</v>
      </c>
      <c r="AZ14" s="6">
        <f>AVERAGEIFS($R$2:$R$999,$N$2:$N$999,"&lt;=-5",$P$2:$P$999,"&gt;=6.3",$C$2:$C$999,"&gt;=11")</f>
        <v>2.4085844748858447</v>
      </c>
      <c r="BA14" s="6">
        <f>AVERAGEIFS($R$2:$R$999,$N$2:$N$999,"&gt;=-4.5",$N$2:$N$999,"&lt;=4.5",$P$2:$P$999,"&gt;=6.3",$C$2:$C$999,"&gt;=11")</f>
        <v>2.28125</v>
      </c>
      <c r="BB14" s="6" t="e">
        <f>AVERAGEIFS($R$2:$R$999,$N$2:$N$999,"&gt;=5",$P$2:$P$999,"&gt;=6.3",$C$2:$C$999,"&gt;=11")</f>
        <v>#DIV/0!</v>
      </c>
      <c r="BC14" s="3"/>
      <c r="BD14" s="4">
        <f>AVERAGEIFS($R$2:$R$999,$P$2:$P$999,"&gt;=6.3",$I$2:$I$999,"YES",$J$2:$J$999,"YES")</f>
        <v>1.0277777777777779</v>
      </c>
      <c r="BE14" s="4" t="e">
        <f>AVERAGEIFS($R$2:$R$999,$N$2:$N$999,"&lt;=-5",$I$2:$I$999,"YES",$J$2:$J$999,"YES")</f>
        <v>#DIV/0!</v>
      </c>
      <c r="BF14" s="4">
        <f>AVERAGEIFS($R$2:$R$999,$N$2:$N$999,"&gt;=-4.5",$N$2:$N$999,"&lt;=4.5",$P$2:$P$999,"&gt;=6.3",$I$2:$I$999,"YES",$J$2:$J$999,"YES")</f>
        <v>1.0277777777777779</v>
      </c>
      <c r="BG14" s="4" t="e">
        <f>AVERAGEIFS($R$2:$R$999,$N$2:$N$999,"&gt;=5",$P$2:$P$999,"&gt;=6.3",$I$2:$I$999,"YES",$J$2:$J$999,"YES")</f>
        <v>#DIV/0!</v>
      </c>
      <c r="BH14" s="8"/>
      <c r="BI14" s="9"/>
      <c r="BJ14" s="9"/>
      <c r="BK14" s="9"/>
      <c r="BL14" s="9"/>
    </row>
    <row r="15" spans="1:89" x14ac:dyDescent="0.2">
      <c r="A15" s="11">
        <v>15</v>
      </c>
      <c r="B15" s="11" t="s">
        <v>162</v>
      </c>
      <c r="C15" s="11"/>
      <c r="D15" s="11" t="s">
        <v>75</v>
      </c>
      <c r="E15" s="11" t="s">
        <v>75</v>
      </c>
      <c r="F15" s="11" t="s">
        <v>109</v>
      </c>
      <c r="G15" s="11" t="s">
        <v>75</v>
      </c>
      <c r="H15" s="11" t="s">
        <v>75</v>
      </c>
      <c r="I15" s="11" t="s">
        <v>75</v>
      </c>
      <c r="J15" s="11" t="s">
        <v>76</v>
      </c>
      <c r="K15" s="11" t="s">
        <v>76</v>
      </c>
      <c r="L15" s="11" t="s">
        <v>75</v>
      </c>
      <c r="M15" s="11" t="s">
        <v>134</v>
      </c>
      <c r="N15" s="11">
        <v>-3.5</v>
      </c>
      <c r="O15" s="11">
        <v>47.5</v>
      </c>
      <c r="P15">
        <v>3</v>
      </c>
      <c r="Q15" s="8">
        <v>13.9</v>
      </c>
      <c r="R15" s="1">
        <f t="shared" si="0"/>
        <v>4.6333333333333337</v>
      </c>
      <c r="BC15" s="3"/>
      <c r="BD15" s="3"/>
      <c r="BE15" s="3"/>
      <c r="BF15" s="3"/>
      <c r="BG15" s="3"/>
      <c r="BH15" s="8"/>
      <c r="BI15" s="8"/>
      <c r="BJ15" s="8"/>
      <c r="BK15" s="8"/>
      <c r="BL15" s="8"/>
    </row>
    <row r="16" spans="1:89" x14ac:dyDescent="0.2">
      <c r="A16" s="3">
        <v>15</v>
      </c>
      <c r="B16" s="3" t="s">
        <v>163</v>
      </c>
      <c r="C16" s="3"/>
      <c r="D16" s="3" t="s">
        <v>75</v>
      </c>
      <c r="E16" s="3" t="s">
        <v>75</v>
      </c>
      <c r="F16" s="3"/>
      <c r="G16" s="3" t="s">
        <v>75</v>
      </c>
      <c r="H16" s="3" t="s">
        <v>76</v>
      </c>
      <c r="I16" s="3" t="s">
        <v>76</v>
      </c>
      <c r="J16" s="3" t="s">
        <v>76</v>
      </c>
      <c r="K16" s="3" t="s">
        <v>76</v>
      </c>
      <c r="L16" s="3" t="s">
        <v>75</v>
      </c>
      <c r="M16" s="3" t="s">
        <v>134</v>
      </c>
      <c r="N16" s="3">
        <v>-6</v>
      </c>
      <c r="O16" s="3">
        <v>48</v>
      </c>
      <c r="P16">
        <v>6.9</v>
      </c>
      <c r="Q16" s="8">
        <v>29</v>
      </c>
      <c r="R16" s="1">
        <f t="shared" si="0"/>
        <v>4.2028985507246377</v>
      </c>
      <c r="U16" s="1" t="s">
        <v>32</v>
      </c>
      <c r="V16" s="1" t="s">
        <v>31</v>
      </c>
      <c r="W16" s="1" t="s">
        <v>43</v>
      </c>
      <c r="X16" s="1" t="s">
        <v>30</v>
      </c>
      <c r="Y16" s="9" t="s">
        <v>65</v>
      </c>
      <c r="Z16" s="9" t="s">
        <v>65</v>
      </c>
      <c r="AA16" s="9" t="s">
        <v>31</v>
      </c>
      <c r="AB16" s="9" t="s">
        <v>43</v>
      </c>
      <c r="AC16" s="9" t="s">
        <v>30</v>
      </c>
      <c r="AD16" s="9" t="s">
        <v>112</v>
      </c>
      <c r="AE16" s="9"/>
      <c r="AF16" s="9" t="s">
        <v>31</v>
      </c>
      <c r="AG16" s="9" t="s">
        <v>43</v>
      </c>
      <c r="AH16" s="9" t="s">
        <v>30</v>
      </c>
      <c r="AJ16" s="6" t="s">
        <v>32</v>
      </c>
      <c r="AK16" s="6" t="s">
        <v>31</v>
      </c>
      <c r="AL16" s="6" t="s">
        <v>43</v>
      </c>
      <c r="AM16" s="6" t="s">
        <v>30</v>
      </c>
      <c r="AN16" s="6" t="s">
        <v>65</v>
      </c>
      <c r="AO16" s="6" t="s">
        <v>65</v>
      </c>
      <c r="AP16" s="6" t="s">
        <v>31</v>
      </c>
      <c r="AQ16" s="6" t="s">
        <v>43</v>
      </c>
      <c r="AR16" s="6" t="s">
        <v>30</v>
      </c>
      <c r="AS16" s="6" t="s">
        <v>112</v>
      </c>
      <c r="AT16" s="6"/>
      <c r="AU16" s="6" t="s">
        <v>31</v>
      </c>
      <c r="AV16" s="6" t="s">
        <v>43</v>
      </c>
      <c r="AW16" s="6" t="s">
        <v>30</v>
      </c>
      <c r="AX16" s="6" t="s">
        <v>89</v>
      </c>
      <c r="AY16" s="6" t="s">
        <v>89</v>
      </c>
      <c r="AZ16" s="6" t="s">
        <v>31</v>
      </c>
      <c r="BA16" s="6" t="s">
        <v>43</v>
      </c>
      <c r="BB16" s="6" t="s">
        <v>30</v>
      </c>
      <c r="BC16" s="3" t="s">
        <v>150</v>
      </c>
      <c r="BD16" s="4"/>
      <c r="BE16" s="4" t="s">
        <v>31</v>
      </c>
      <c r="BF16" s="4" t="s">
        <v>43</v>
      </c>
      <c r="BG16" s="4" t="s">
        <v>30</v>
      </c>
      <c r="BH16" s="8"/>
      <c r="BI16" s="9"/>
      <c r="BJ16" s="9"/>
      <c r="BK16" s="9"/>
      <c r="BL16" s="9"/>
      <c r="BQ16" s="1"/>
      <c r="BS16" s="1"/>
      <c r="BT16" s="1"/>
      <c r="BU16" s="1"/>
      <c r="BV16" s="1"/>
      <c r="BX16" s="1"/>
      <c r="BY16" s="1"/>
      <c r="BZ16" s="1"/>
      <c r="CA16" s="1"/>
      <c r="CC16" s="1"/>
      <c r="CD16" s="1"/>
      <c r="CE16" s="1"/>
      <c r="CF16" s="1"/>
      <c r="CH16" s="1"/>
      <c r="CI16" s="1"/>
      <c r="CJ16" s="1"/>
      <c r="CK16" s="1"/>
    </row>
    <row r="17" spans="1:89" x14ac:dyDescent="0.2">
      <c r="A17" s="3">
        <v>15</v>
      </c>
      <c r="B17" s="3" t="s">
        <v>103</v>
      </c>
      <c r="C17" s="3"/>
      <c r="D17" s="3" t="s">
        <v>75</v>
      </c>
      <c r="E17" s="3" t="s">
        <v>75</v>
      </c>
      <c r="F17" s="3"/>
      <c r="G17" s="3" t="s">
        <v>75</v>
      </c>
      <c r="H17" s="3" t="s">
        <v>76</v>
      </c>
      <c r="I17" s="3" t="s">
        <v>76</v>
      </c>
      <c r="J17" s="3" t="s">
        <v>76</v>
      </c>
      <c r="K17" s="3" t="s">
        <v>76</v>
      </c>
      <c r="L17" s="3" t="s">
        <v>75</v>
      </c>
      <c r="M17" s="3" t="s">
        <v>134</v>
      </c>
      <c r="N17" s="3">
        <v>-6</v>
      </c>
      <c r="O17" s="3">
        <v>48</v>
      </c>
      <c r="P17">
        <v>6.1</v>
      </c>
      <c r="Q17" s="8">
        <v>11.6</v>
      </c>
      <c r="R17" s="1">
        <f t="shared" si="0"/>
        <v>1.9016393442622952</v>
      </c>
      <c r="U17" s="1">
        <f>AVERAGE($Q$2:$Q$999)</f>
        <v>13.232812500000005</v>
      </c>
      <c r="V17" s="1">
        <f>AVERAGEIF($N$2:$N$999,"&lt;=-5",$Q$2:$Q$999)</f>
        <v>13.671428571428569</v>
      </c>
      <c r="W17" s="1">
        <f>AVERAGEIFS($Q$2:$Q$999,$N$2:$N$999,"&gt;=-4.5",$N$2:$N$999,"&lt;=4.5")</f>
        <v>13.31842105263158</v>
      </c>
      <c r="X17" s="1">
        <f>AVERAGEIF($N$2:$N$999,"&gt;=5",$Q$2:$Q$999)</f>
        <v>12.449999999999998</v>
      </c>
      <c r="Z17" s="9">
        <f>AVERAGEIFS($R$2:$R$999,$D$2:$D$999,"YES")</f>
        <v>2.8096371024798148</v>
      </c>
      <c r="AA17" s="9">
        <f>AVERAGEIFS($R$2:$R$999,$N$2:$N$999,"&lt;=-5",$D$2:$D$999,"YES")</f>
        <v>2.2245084144604599</v>
      </c>
      <c r="AB17" s="9">
        <f>AVERAGEIFS($R$2:$R$999,$N$2:$N$999,"&gt;=-4.5",$N$2:$N$999,"&lt;=4.5",$D$2:$D$999,"YES")</f>
        <v>3.0688310334749409</v>
      </c>
      <c r="AC17" s="9">
        <f>AVERAGEIFS($R$2:$R$999,$N$2:$N$999,"&gt;=5",$D$2:$D$999,"YES")</f>
        <v>2.8815575105897686</v>
      </c>
      <c r="AE17" s="9">
        <f>AVERAGEIFS($R$2:$R$999,$D$2:$D$999,"YES",$F$2:$F$999,"UP")</f>
        <v>3.3273240152412171</v>
      </c>
      <c r="AF17" s="9" t="e">
        <f>AVERAGEIFS($R$2:$R$999,$N$2:$N$999,"&lt;=-5",$D$2:$D$999,"YES",$F$2:$F$999,"UP")</f>
        <v>#DIV/0!</v>
      </c>
      <c r="AG17" s="9">
        <f>AVERAGEIFS($R$2:$R$999,$N$2:$N$999,"&gt;=-4.5",$N$2:$N$999,"&lt;=4.5",$D$2:$D$999,"YES",$F$2:$F$999,"UP")</f>
        <v>3.3273240152412171</v>
      </c>
      <c r="AH17" s="9" t="e">
        <f>AVERAGEIFS($R$2:$R$999,$N$2:$N$999,"&gt;=5",$D$2:$D$999,"YES",$F$2:$F$999,"UP")</f>
        <v>#DIV/0!</v>
      </c>
      <c r="AJ17" s="6">
        <f>AVERAGEIFS($Q$2:$Q$999,$C$2:$C$999,"&gt;=0.01")</f>
        <v>13.305882352941175</v>
      </c>
      <c r="AK17" s="6">
        <f>AVERAGEIFS($Q$2:$Q$999,$N$2:$N$999,"&lt;=-5",$C$2:$C$999,"&gt;=0.01")</f>
        <v>12.75</v>
      </c>
      <c r="AL17" s="6">
        <f>AVERAGEIFS($Q$2:$Q$999,$N$2:$N$999,"&gt;=-4.5",$C$2:$C$999,"&gt;=0.01")</f>
        <v>13.476923076923075</v>
      </c>
      <c r="AM17" s="6">
        <f>AVERAGEIFS($Q$2:$Q$999,$N$2:$N$999,"&gt;=5",$C$2:$C$999,"&gt;=0.01")</f>
        <v>12.45</v>
      </c>
      <c r="AO17" s="6">
        <f>AVERAGEIFS($R$2:$R$999,$D$2:$D$999,"YES",$C$2:$C$999,"&gt;=0.01")</f>
        <v>2.6500687565729932</v>
      </c>
      <c r="AP17" s="6">
        <f>AVERAGEIFS($R$2:$R$999,$N$2:$N$999,"&lt;=-5",$D$2:$D$999,"YES",$C$2:$C$999,"&gt;=0.01")</f>
        <v>2.0711111111111111</v>
      </c>
      <c r="AQ17" s="6">
        <f>AVERAGEIFS($R$2:$R$999,$N$2:$N$999,"&gt;=-4.5",$N$2:$N$999,"&lt;=4.5",$D$2:$D$999,"YES",$C$2:$C$999,"&gt;=0.01")</f>
        <v>2.8699584118016319</v>
      </c>
      <c r="AR17" s="6">
        <f>AVERAGEIFS($R$2:$R$999,$N$2:$N$999,"&gt;=5",$D$2:$D$999,"YES",$C$2:$C$999,"&gt;=0.01")</f>
        <v>3.7272727272727266</v>
      </c>
      <c r="AT17" s="6" t="e">
        <f>AVERAGEIFS($R$2:$R$999,$D$2:$D$999,"YES",$F$2:$F$999,"UP",$C$2:$C$999,"&gt;=0.01")</f>
        <v>#DIV/0!</v>
      </c>
      <c r="AU17" s="6" t="e">
        <f>AVERAGEIFS($R$2:$R$999,$N$2:$N$999,"&lt;=-5",$D$2:$D$999,"YES",$F$2:$F$999,"UP",$C$2:$C$999,"&gt;=0.01")</f>
        <v>#DIV/0!</v>
      </c>
      <c r="AV17" s="6" t="e">
        <f>AVERAGEIFS($R$2:$R$999,$N$2:$N$999,"&gt;=-4.5",$N$2:$N$999,"&lt;=4.5",$D$2:$D$999,"YES",$F$2:$F$999,"UP",$C$2:$C$999,"&gt;=0.01")</f>
        <v>#DIV/0!</v>
      </c>
      <c r="AW17" s="6" t="e">
        <f>AVERAGEIFS($R$2:$R$999,$N$2:$N$999,"&gt;=5",$D$2:$D$999,"YES",$F$2:$F$999,"UP",$C$2:$C$999,"&gt;=0.01")</f>
        <v>#DIV/0!</v>
      </c>
      <c r="AY17" s="6">
        <f>AVERAGEIFS($R$2:$R$999,$C$2:$C$999,"&gt;=9.5",$C$2:$C$999,"&lt;=10.9")</f>
        <v>3.2239952718676124</v>
      </c>
      <c r="AZ17" s="6" t="e">
        <f>AVERAGEIFS($R$2:$R$999,$N$2:$N$999,"&lt;=-5",$C$2:$C$999,"&gt;=9.5",$C$2:$C$999,"&lt;=10.9")</f>
        <v>#DIV/0!</v>
      </c>
      <c r="BA17" s="6">
        <f>AVERAGEIFS($R$2:$R$999,$N$2:$N$999,"&gt;=-4.5",$N$2:$N$999,"&lt;=4.5",$C$2:$C$999,"&gt;=9.5",$C$2:$C$999,"&lt;=10.9")</f>
        <v>3.2239952718676124</v>
      </c>
      <c r="BB17" s="6" t="e">
        <f>AVERAGEIFS($R$2:$R$999,$N$2:$N$999,"&gt;=5",$C$2:$C$999,"&gt;=9.5",$C$2:$C$999,"&lt;=10.9")</f>
        <v>#DIV/0!</v>
      </c>
      <c r="BC17" s="3"/>
      <c r="BD17" s="4">
        <f>AVERAGEIFS($R$2:$R$999,$I$2:$I$999,"YES")</f>
        <v>3.3627767615389925</v>
      </c>
      <c r="BE17" s="4">
        <f>AVERAGEIFS($R$2:$R$999,$N$2:$N$999,"&lt;=-5",$I$2:$I$999,"YES")</f>
        <v>3.4111742424242424</v>
      </c>
      <c r="BF17" s="4">
        <f>AVERAGEIFS($R$2:$R$999,$N$2:$N$999,"&gt;=-4.5",$N$2:$N$999,"&lt;=4.55",$I$2:$I$999,"YES")</f>
        <v>3.7531826175435241</v>
      </c>
      <c r="BG17" s="4">
        <f>AVERAGEIFS($R$2:$R$999,$N$2:$N$999,"&gt;=5",$I$2:$I$999,"YES")</f>
        <v>2.2894294916034048</v>
      </c>
      <c r="BH17" s="8"/>
      <c r="BI17" s="9"/>
      <c r="BJ17" s="9"/>
      <c r="BK17" s="9"/>
      <c r="BL17" s="9"/>
      <c r="BQ17" s="1"/>
      <c r="BS17" s="1"/>
      <c r="BT17" s="1"/>
      <c r="BU17" s="1"/>
      <c r="BV17" s="1"/>
      <c r="BX17" s="1"/>
      <c r="BY17" s="1"/>
      <c r="BZ17" s="1"/>
      <c r="CA17" s="1"/>
      <c r="CC17" s="1"/>
      <c r="CD17" s="1"/>
      <c r="CE17" s="1"/>
      <c r="CF17" s="1"/>
      <c r="CH17" s="1"/>
      <c r="CI17" s="1"/>
      <c r="CJ17" s="1"/>
      <c r="CK17" s="1"/>
    </row>
    <row r="18" spans="1:89" x14ac:dyDescent="0.2">
      <c r="A18" s="3">
        <v>15</v>
      </c>
      <c r="B18" s="3" t="s">
        <v>164</v>
      </c>
      <c r="C18" s="3"/>
      <c r="D18" s="3" t="s">
        <v>75</v>
      </c>
      <c r="E18" s="3" t="s">
        <v>75</v>
      </c>
      <c r="F18" s="3"/>
      <c r="G18" s="3" t="s">
        <v>75</v>
      </c>
      <c r="H18" s="3" t="s">
        <v>76</v>
      </c>
      <c r="I18" s="3" t="s">
        <v>76</v>
      </c>
      <c r="J18" s="3" t="s">
        <v>76</v>
      </c>
      <c r="K18" s="3" t="s">
        <v>76</v>
      </c>
      <c r="L18" s="3" t="s">
        <v>75</v>
      </c>
      <c r="M18" s="3" t="s">
        <v>134</v>
      </c>
      <c r="N18" s="3">
        <v>-6</v>
      </c>
      <c r="O18" s="3">
        <v>48</v>
      </c>
      <c r="P18">
        <v>3.8</v>
      </c>
      <c r="Q18" s="8">
        <v>5.3</v>
      </c>
      <c r="R18" s="1">
        <f t="shared" si="0"/>
        <v>1.3947368421052633</v>
      </c>
      <c r="U18" s="1"/>
      <c r="V18" s="1"/>
      <c r="W18" s="1"/>
      <c r="X18" s="1"/>
      <c r="Z18" s="9"/>
      <c r="AA18" s="9"/>
      <c r="AB18" s="9"/>
      <c r="AC18" s="9"/>
      <c r="AE18" s="9"/>
      <c r="AF18" s="9"/>
      <c r="AG18" s="9"/>
      <c r="AH18" s="9"/>
      <c r="AJ18" s="6"/>
      <c r="AK18" s="6"/>
      <c r="AL18" s="6"/>
      <c r="AM18" s="6"/>
      <c r="AO18" s="6"/>
      <c r="AP18" s="6"/>
      <c r="AQ18" s="6"/>
      <c r="AR18" s="6"/>
      <c r="AT18" s="6"/>
      <c r="AU18" s="6"/>
      <c r="AV18" s="6"/>
      <c r="AW18" s="6"/>
      <c r="AY18" s="6"/>
      <c r="AZ18" s="6"/>
      <c r="BA18" s="6"/>
      <c r="BB18" s="6"/>
      <c r="BC18" s="3"/>
      <c r="BD18" s="4"/>
      <c r="BE18" s="4"/>
      <c r="BF18" s="4"/>
      <c r="BG18" s="4"/>
      <c r="BH18" s="8"/>
      <c r="BI18" s="9"/>
      <c r="BJ18" s="9"/>
      <c r="BK18" s="9"/>
      <c r="BL18" s="9"/>
      <c r="BQ18" s="1"/>
      <c r="BS18" s="1"/>
      <c r="BT18" s="1"/>
      <c r="BU18" s="1"/>
      <c r="BV18" s="1"/>
      <c r="BX18" s="1"/>
      <c r="BY18" s="1"/>
      <c r="BZ18" s="1"/>
      <c r="CA18" s="1"/>
      <c r="CC18" s="1"/>
      <c r="CD18" s="1"/>
      <c r="CE18" s="1"/>
      <c r="CF18" s="1"/>
      <c r="CH18" s="1"/>
      <c r="CI18" s="1"/>
      <c r="CJ18" s="1"/>
      <c r="CK18" s="1"/>
    </row>
    <row r="19" spans="1:89" x14ac:dyDescent="0.2">
      <c r="A19" s="10">
        <v>15</v>
      </c>
      <c r="B19" s="10" t="s">
        <v>165</v>
      </c>
      <c r="C19" s="10"/>
      <c r="D19" s="10" t="s">
        <v>75</v>
      </c>
      <c r="E19" s="10" t="s">
        <v>75</v>
      </c>
      <c r="F19" s="10"/>
      <c r="G19" s="10" t="s">
        <v>75</v>
      </c>
      <c r="H19" s="10" t="s">
        <v>75</v>
      </c>
      <c r="I19" s="10" t="s">
        <v>76</v>
      </c>
      <c r="J19" s="10" t="s">
        <v>76</v>
      </c>
      <c r="K19" s="10" t="s">
        <v>76</v>
      </c>
      <c r="L19" s="10" t="s">
        <v>76</v>
      </c>
      <c r="M19" s="10" t="s">
        <v>134</v>
      </c>
      <c r="N19" s="10">
        <v>3.5</v>
      </c>
      <c r="O19" s="10">
        <v>46.5</v>
      </c>
      <c r="P19">
        <v>6.4</v>
      </c>
      <c r="Q19" s="8">
        <v>23.2</v>
      </c>
      <c r="R19" s="1">
        <f t="shared" si="0"/>
        <v>3.6249999999999996</v>
      </c>
      <c r="T19" s="2"/>
      <c r="U19" s="1" t="s">
        <v>38</v>
      </c>
      <c r="V19" s="1" t="s">
        <v>31</v>
      </c>
      <c r="W19" s="1" t="s">
        <v>43</v>
      </c>
      <c r="X19" s="1" t="s">
        <v>30</v>
      </c>
      <c r="Z19" s="8" t="s">
        <v>33</v>
      </c>
      <c r="AA19" s="9" t="s">
        <v>31</v>
      </c>
      <c r="AB19" s="9" t="s">
        <v>43</v>
      </c>
      <c r="AC19" s="9" t="s">
        <v>30</v>
      </c>
      <c r="AE19" s="8" t="s">
        <v>33</v>
      </c>
      <c r="AF19" s="9" t="s">
        <v>31</v>
      </c>
      <c r="AG19" s="9" t="s">
        <v>43</v>
      </c>
      <c r="AH19" s="9" t="s">
        <v>30</v>
      </c>
      <c r="AI19" s="7"/>
      <c r="AJ19" s="6" t="s">
        <v>38</v>
      </c>
      <c r="AK19" s="6" t="s">
        <v>31</v>
      </c>
      <c r="AL19" s="6" t="s">
        <v>43</v>
      </c>
      <c r="AM19" s="6" t="s">
        <v>30</v>
      </c>
      <c r="AO19" s="5" t="s">
        <v>33</v>
      </c>
      <c r="AP19" s="6" t="s">
        <v>31</v>
      </c>
      <c r="AQ19" s="6" t="s">
        <v>43</v>
      </c>
      <c r="AR19" s="6" t="s">
        <v>30</v>
      </c>
      <c r="AT19" s="5" t="s">
        <v>33</v>
      </c>
      <c r="AU19" s="6" t="s">
        <v>31</v>
      </c>
      <c r="AV19" s="6" t="s">
        <v>43</v>
      </c>
      <c r="AW19" s="6" t="s">
        <v>30</v>
      </c>
      <c r="AY19" s="5" t="s">
        <v>33</v>
      </c>
      <c r="AZ19" s="6" t="s">
        <v>31</v>
      </c>
      <c r="BA19" s="6" t="s">
        <v>43</v>
      </c>
      <c r="BB19" s="6" t="s">
        <v>30</v>
      </c>
      <c r="BC19" s="3"/>
      <c r="BD19" s="3" t="s">
        <v>33</v>
      </c>
      <c r="BE19" s="4" t="s">
        <v>31</v>
      </c>
      <c r="BF19" s="4" t="s">
        <v>43</v>
      </c>
      <c r="BG19" s="4" t="s">
        <v>30</v>
      </c>
      <c r="BH19" s="8"/>
      <c r="BI19" s="8"/>
      <c r="BJ19" s="9"/>
      <c r="BK19" s="9"/>
      <c r="BL19" s="9"/>
      <c r="BQ19" s="1"/>
      <c r="BR19" s="2"/>
      <c r="BS19" s="1"/>
      <c r="BT19" s="1"/>
      <c r="BU19" s="1"/>
      <c r="BV19" s="1"/>
      <c r="BW19" s="2"/>
      <c r="BX19" s="1"/>
      <c r="BY19" s="1"/>
      <c r="BZ19" s="1"/>
      <c r="CA19" s="1"/>
      <c r="CB19" s="2"/>
      <c r="CC19" s="1"/>
      <c r="CD19" s="1"/>
      <c r="CE19" s="1"/>
      <c r="CF19" s="1"/>
      <c r="CG19" s="2"/>
      <c r="CH19" s="1"/>
      <c r="CI19" s="1"/>
      <c r="CJ19" s="1"/>
      <c r="CK19" s="1"/>
    </row>
    <row r="20" spans="1:89" x14ac:dyDescent="0.2">
      <c r="A20" s="10">
        <v>15</v>
      </c>
      <c r="B20" s="10" t="s">
        <v>180</v>
      </c>
      <c r="C20" s="10"/>
      <c r="D20" s="10" t="s">
        <v>75</v>
      </c>
      <c r="E20" s="10" t="s">
        <v>75</v>
      </c>
      <c r="F20" s="10"/>
      <c r="G20" s="10" t="s">
        <v>75</v>
      </c>
      <c r="H20" s="10" t="s">
        <v>75</v>
      </c>
      <c r="I20" s="10" t="s">
        <v>76</v>
      </c>
      <c r="J20" s="10" t="s">
        <v>76</v>
      </c>
      <c r="K20" s="10" t="s">
        <v>76</v>
      </c>
      <c r="L20" s="10" t="s">
        <v>76</v>
      </c>
      <c r="M20" s="10" t="s">
        <v>134</v>
      </c>
      <c r="N20" s="10">
        <v>3.5</v>
      </c>
      <c r="O20" s="10">
        <v>46.5</v>
      </c>
      <c r="P20">
        <v>3.5</v>
      </c>
      <c r="Q20" s="8">
        <v>10.9</v>
      </c>
      <c r="R20" s="1">
        <f t="shared" si="0"/>
        <v>3.1142857142857143</v>
      </c>
      <c r="U20" s="1">
        <f>AVERAGEIFS($Q$2:$Q$999,$P$2:$P$999,"&lt;=4")</f>
        <v>9.1944444444444429</v>
      </c>
      <c r="V20" s="1">
        <f>AVERAGEIFS($Q$2:$Q$999,$N$2:$N$999,"&lt;=-5",$P$2:$P$999,"&lt;=4")</f>
        <v>2.65</v>
      </c>
      <c r="W20" s="1">
        <f>AVERAGEIFS($Q$2:$Q$999,$N$2:$N$999,"&gt;=-4.5",$N$2:$N$999,"&lt;=4.5",$P$2:$P$999,"&lt;=4")</f>
        <v>10.733333333333333</v>
      </c>
      <c r="X20" s="1">
        <f>AVERAGEIFS($Q$2:$Q$999,$N$2:$N$999,"&gt;=5",$P$2:$P$999,"&lt;=4")</f>
        <v>7.85</v>
      </c>
      <c r="Z20" s="9">
        <f>AVERAGEIFS($R$2:$R$999,$P$2:$P$999,"&lt;=4",$D$2:$D$999,"YES")</f>
        <v>2.7868739935059974</v>
      </c>
      <c r="AA20" s="9">
        <f>AVERAGEIFS($R$2:$R$999,$N$2:$N$999,"&lt;=-5",$P$2:$P$999,"&lt;=4",$D$2:$D$999,"YES")</f>
        <v>0.69736842105263164</v>
      </c>
      <c r="AB20" s="9">
        <f>AVERAGEIFS($R$2:$R$999,$N$2:$N$999,"&gt;=-4.5",$N$2:$N$999,"&lt;=4.55",$P$2:$P$999,"&lt;=4",$D$2:$D$999,"YES")</f>
        <v>3.4842225390333947</v>
      </c>
      <c r="AC20" s="9">
        <f>AVERAGEIFS($R$2:$R$999,$N$2:$N$999,"&gt;=5",$P$2:$P$999,"&lt;=4",$D$2:$D$999,"YES")</f>
        <v>1.3870967741935483</v>
      </c>
      <c r="AE20" s="9">
        <f>AVERAGEIFS($R$2:$R$999,$P$2:$P$999,"&lt;=4",$D$2:$D$999,"YES",$F$2:$F$999,"UP")</f>
        <v>3.460648919596288</v>
      </c>
      <c r="AF20" s="9" t="e">
        <f>AVERAGEIFS($R$2:$R$999,$N$2:$N$999,"&lt;=-5",$P$2:$P$999,"&lt;=4",$D$2:$D$999,"YES",$F$2:$F$999,"UP")</f>
        <v>#DIV/0!</v>
      </c>
      <c r="AG20" s="9">
        <f>AVERAGEIFS($R$2:$R$999,$N$2:$N$999,"&gt;=-4.5",$N$2:$N$999,"&lt;=4.55",$P$2:$P$999,"&lt;=4",$D$2:$D$999,"YES",$F$2:$F$999,"UP")</f>
        <v>3.460648919596288</v>
      </c>
      <c r="AH20" s="9" t="e">
        <f>AVERAGEIFS($R$2:$R$999,$N$2:$N$999,"&gt;=5",$P$2:$P$999,"&lt;=4",$D$2:$D$999,"YES",$F$2:$F$999,"UP")</f>
        <v>#DIV/0!</v>
      </c>
      <c r="AJ20" s="6">
        <f>AVERAGEIFS($Q$2:$Q$999,$P$2:$P$999,"&lt;=4",$C$2:$C$999,"&gt;=0.01")</f>
        <v>6.4249999999999998</v>
      </c>
      <c r="AK20" s="6">
        <f>AVERAGEIFS($Q$2:$Q$999,$N$2:$N$999,"&lt;=-5",$P$2:$P$999,"&lt;=4",$C$2:$C$999,"&gt;=0.01")</f>
        <v>0</v>
      </c>
      <c r="AL20" s="6">
        <f>AVERAGEIFS($Q$2:$Q$999,$N$2:$N$999,"&gt;=-4.5",$N$2:$N$999,"&lt;=4.5",$P$2:$P$999,"&lt;=4",$C$2:$C$999,"&gt;=0.01")</f>
        <v>4.2</v>
      </c>
      <c r="AM20" s="6">
        <f>AVERAGEIFS($Q$2:$Q$999,$N$2:$N$999,"&gt;=5",$P$2:$P$999,"&lt;=4",$C$2:$C$999,"&gt;=0.01")</f>
        <v>10.75</v>
      </c>
      <c r="AO20" s="6">
        <f>AVERAGEIFS($R$2:$R$999,$P$2:$P$999,"&lt;=4",$D$2:$D$999,"YES",$C$2:$C$999,"&gt;=0.01")</f>
        <v>0</v>
      </c>
      <c r="AP20" s="6">
        <f>AVERAGEIFS($R$2:$R$999,$N$2:$N$999,"&lt;=-5",$P$2:$P$999,"&lt;=4",$D$2:$D$999,"YES",$C$2:$C$999,"&gt;=0.01")</f>
        <v>0</v>
      </c>
      <c r="AQ20" s="6" t="e">
        <f>AVERAGEIFS($R$2:$R$999,$N$2:$N$999,"&gt;=-4.5",$N$2:$N$999,"&lt;=4.55",$P$2:$P$999,"&lt;=4",$D$2:$D$999,"YES",$C$2:$C$999,"&gt;=0.01")</f>
        <v>#DIV/0!</v>
      </c>
      <c r="AR20" s="6" t="e">
        <f>AVERAGEIFS($R$2:$R$999,$N$2:$N$999,"&gt;=5",$P$2:$P$999,"&lt;=4",$D$2:$D$999,"YES",$C$2:$C$999,"&gt;=0.01")</f>
        <v>#DIV/0!</v>
      </c>
      <c r="AT20" s="6" t="e">
        <f>AVERAGEIFS($R$2:$R$999,$P$2:$P$999,"&lt;=4",$D$2:$D$999,"YES",$F$2:$F$999,"UP",$C$2:$C$999,"&gt;=0.01")</f>
        <v>#DIV/0!</v>
      </c>
      <c r="AU20" s="6" t="e">
        <f>AVERAGEIFS($R$2:$R$999,$N$2:$N$999,"&lt;=-5",$P$2:$P$999,"&lt;=4",$D$2:$D$999,"YES",$F$2:$F$999,"UP",$C$2:$C$999,"&gt;=0.01")</f>
        <v>#DIV/0!</v>
      </c>
      <c r="AV20" s="6" t="e">
        <f>AVERAGEIFS($R$2:$R$999,$N$2:$N$999,"&gt;=-4.5",$N$2:$N$999,"&lt;=4.55",$P$2:$P$999,"&lt;=4",$D$2:$D$999,"YES",$F$2:$F$999,"UP",$C$2:$C$999,"&gt;=0.01")</f>
        <v>#DIV/0!</v>
      </c>
      <c r="AW20" s="6" t="e">
        <f>AVERAGEIFS($R$2:$R$999,$N$2:$N$999,"&gt;=5",$P$2:$P$999,"&lt;=4",$D$2:$D$999,"YES",$F$2:$F$999,"UP",$C$2:$C$999,"&gt;=0.01")</f>
        <v>#DIV/0!</v>
      </c>
      <c r="AY20" s="6" t="e">
        <f>AVERAGEIFS($R$2:$R$999,$P$2:$P$999,"&lt;=4",$C$2:$C$999,"&gt;=9.5",$C$2:$C$999,"&lt;=10.9")</f>
        <v>#DIV/0!</v>
      </c>
      <c r="AZ20" s="6" t="e">
        <f>AVERAGEIFS($R$2:$R$999,$N$2:$N$999,"&lt;=-5",$P$2:$P$999,"&lt;=4",$C$2:$C$999,"&gt;=9.5",$C$2:$C$999,"&lt;=10.9")</f>
        <v>#DIV/0!</v>
      </c>
      <c r="BA20" s="6" t="e">
        <f>AVERAGEIFS($R$2:$R$999,$N$2:$N$999,"&gt;=-4.5",$N$2:$N$999,"&lt;=4.55",$P$2:$P$999,"&lt;=4",$C$2:$C$999,"&gt;=9.5",$C$2:$C$999,"&lt;=10.9")</f>
        <v>#DIV/0!</v>
      </c>
      <c r="BB20" s="6" t="e">
        <f>AVERAGEIFS($R$2:$R$999,$N$2:$N$999,"&gt;=5",$P$2:$P$999,"&lt;=4",$C$2:$C$999,"&gt;=9.5",$C$2:$C$999,"&lt;=10.9")</f>
        <v>#DIV/0!</v>
      </c>
      <c r="BC20" s="3"/>
      <c r="BD20" s="4">
        <f>AVERAGEIFS($R$2:$R$999,$P$2:$P$999,"&lt;=4",$I$2:$I$999,"YES")</f>
        <v>2.7487301587301589</v>
      </c>
      <c r="BE20" s="4" t="e">
        <f>AVERAGEIFS($R$2:$R$999,$N$2:$N$999,"&lt;=-5",$P$2:$P$999,"&lt;=4",$I$2:$I$999,"YES")</f>
        <v>#DIV/0!</v>
      </c>
      <c r="BF20" s="4">
        <f>AVERAGEIFS($R$2:$R$999,$N$2:$N$999,"&gt;=-4.5",$N$2:$N$999,"&lt;=4.55",$P$2:$P$999,"&lt;=4",$I$2:$I$999,"YES")</f>
        <v>2.588888888888889</v>
      </c>
      <c r="BG20" s="4">
        <f>AVERAGEIFS($R$2:$R$999,$N$2:$N$999,"&gt;=5",$P$2:$P$999,"&lt;=4",$I$2:$I$999,"YES")</f>
        <v>2.9884920634920635</v>
      </c>
      <c r="BH20" s="8"/>
      <c r="BI20" s="9"/>
      <c r="BJ20" s="9"/>
      <c r="BK20" s="9"/>
      <c r="BL20" s="9"/>
      <c r="BQ20" s="1"/>
      <c r="BS20" s="1"/>
      <c r="BT20" s="1"/>
      <c r="BU20" s="1"/>
      <c r="BV20" s="1"/>
      <c r="BX20" s="1"/>
      <c r="BY20" s="1"/>
      <c r="BZ20" s="1"/>
      <c r="CA20" s="1"/>
      <c r="CC20" s="1"/>
      <c r="CD20" s="1"/>
      <c r="CE20" s="1"/>
      <c r="CF20" s="1"/>
      <c r="CH20" s="1"/>
      <c r="CI20" s="1"/>
      <c r="CJ20" s="1"/>
      <c r="CK20" s="1"/>
    </row>
    <row r="21" spans="1:89" x14ac:dyDescent="0.2">
      <c r="A21" s="10">
        <v>15</v>
      </c>
      <c r="B21" s="10" t="s">
        <v>8</v>
      </c>
      <c r="C21" s="10"/>
      <c r="D21" s="10" t="s">
        <v>75</v>
      </c>
      <c r="E21" s="10" t="s">
        <v>75</v>
      </c>
      <c r="F21" s="10"/>
      <c r="G21" s="10" t="s">
        <v>75</v>
      </c>
      <c r="H21" s="10" t="s">
        <v>75</v>
      </c>
      <c r="I21" s="10" t="s">
        <v>76</v>
      </c>
      <c r="J21" s="10" t="s">
        <v>76</v>
      </c>
      <c r="K21" s="10" t="s">
        <v>76</v>
      </c>
      <c r="L21" s="10" t="s">
        <v>76</v>
      </c>
      <c r="M21" s="10" t="s">
        <v>134</v>
      </c>
      <c r="N21" s="10">
        <v>3.5</v>
      </c>
      <c r="O21" s="10">
        <v>46.5</v>
      </c>
      <c r="P21">
        <v>4</v>
      </c>
      <c r="Q21" s="8">
        <v>8.6999999999999993</v>
      </c>
      <c r="R21" s="1">
        <f t="shared" si="0"/>
        <v>2.1749999999999998</v>
      </c>
      <c r="U21" s="1"/>
      <c r="V21" s="1"/>
      <c r="W21" s="1"/>
      <c r="X21" s="1"/>
      <c r="Z21" s="9"/>
      <c r="AA21" s="9"/>
      <c r="AB21" s="9"/>
      <c r="AC21" s="9"/>
      <c r="AE21" s="9"/>
      <c r="AF21" s="9"/>
      <c r="AG21" s="9"/>
      <c r="AH21" s="9"/>
      <c r="AJ21" s="6"/>
      <c r="AK21" s="6"/>
      <c r="AL21" s="6"/>
      <c r="AM21" s="6"/>
      <c r="AO21" s="6"/>
      <c r="AP21" s="6"/>
      <c r="AQ21" s="6"/>
      <c r="AR21" s="6"/>
      <c r="AT21" s="6"/>
      <c r="AU21" s="6"/>
      <c r="AV21" s="6"/>
      <c r="AW21" s="6"/>
      <c r="AY21" s="6"/>
      <c r="AZ21" s="6"/>
      <c r="BA21" s="6"/>
      <c r="BB21" s="6"/>
      <c r="BC21" s="3"/>
      <c r="BD21" s="4"/>
      <c r="BE21" s="4"/>
      <c r="BF21" s="4"/>
      <c r="BG21" s="4"/>
      <c r="BH21" s="8"/>
      <c r="BI21" s="9"/>
      <c r="BJ21" s="9"/>
      <c r="BK21" s="9"/>
      <c r="BL21" s="9"/>
      <c r="BQ21" s="1"/>
      <c r="BS21" s="1"/>
      <c r="BT21" s="1"/>
      <c r="BU21" s="1"/>
      <c r="BV21" s="1"/>
      <c r="BX21" s="1"/>
      <c r="BY21" s="1"/>
      <c r="BZ21" s="1"/>
      <c r="CA21" s="1"/>
      <c r="CC21" s="1"/>
      <c r="CD21" s="1"/>
      <c r="CE21" s="1"/>
      <c r="CF21" s="1"/>
      <c r="CH21" s="1"/>
      <c r="CI21" s="1"/>
      <c r="CJ21" s="1"/>
      <c r="CK21" s="1"/>
    </row>
    <row r="22" spans="1:89" x14ac:dyDescent="0.2">
      <c r="A22" s="11">
        <v>15</v>
      </c>
      <c r="B22" s="11" t="s">
        <v>102</v>
      </c>
      <c r="C22" s="11">
        <v>9.6</v>
      </c>
      <c r="D22" s="11" t="s">
        <v>75</v>
      </c>
      <c r="E22" s="11" t="s">
        <v>75</v>
      </c>
      <c r="F22" s="11"/>
      <c r="G22" s="11" t="s">
        <v>75</v>
      </c>
      <c r="H22" s="11" t="s">
        <v>75</v>
      </c>
      <c r="I22" s="11" t="s">
        <v>76</v>
      </c>
      <c r="J22" s="11" t="s">
        <v>75</v>
      </c>
      <c r="K22" s="11" t="s">
        <v>76</v>
      </c>
      <c r="L22" s="11" t="s">
        <v>76</v>
      </c>
      <c r="M22" s="11" t="s">
        <v>132</v>
      </c>
      <c r="N22" s="11">
        <v>-3.5</v>
      </c>
      <c r="O22" s="11">
        <v>46.5</v>
      </c>
      <c r="P22">
        <v>5.4</v>
      </c>
      <c r="Q22" s="8">
        <v>23.1</v>
      </c>
      <c r="R22" s="1">
        <f t="shared" si="0"/>
        <v>4.2777777777777777</v>
      </c>
      <c r="U22" s="1" t="s">
        <v>36</v>
      </c>
      <c r="V22" s="1" t="s">
        <v>31</v>
      </c>
      <c r="W22" s="1" t="s">
        <v>43</v>
      </c>
      <c r="X22" s="1" t="s">
        <v>30</v>
      </c>
      <c r="Z22" s="8" t="s">
        <v>36</v>
      </c>
      <c r="AA22" s="9" t="s">
        <v>31</v>
      </c>
      <c r="AB22" s="9" t="s">
        <v>43</v>
      </c>
      <c r="AC22" s="9" t="s">
        <v>30</v>
      </c>
      <c r="AE22" s="8" t="s">
        <v>36</v>
      </c>
      <c r="AF22" s="9" t="s">
        <v>31</v>
      </c>
      <c r="AG22" s="9" t="s">
        <v>43</v>
      </c>
      <c r="AH22" s="9" t="s">
        <v>30</v>
      </c>
      <c r="AJ22" s="6" t="s">
        <v>36</v>
      </c>
      <c r="AK22" s="6" t="s">
        <v>31</v>
      </c>
      <c r="AL22" s="6" t="s">
        <v>43</v>
      </c>
      <c r="AM22" s="6" t="s">
        <v>30</v>
      </c>
      <c r="AO22" s="5" t="s">
        <v>36</v>
      </c>
      <c r="AP22" s="6" t="s">
        <v>31</v>
      </c>
      <c r="AQ22" s="6" t="s">
        <v>43</v>
      </c>
      <c r="AR22" s="6" t="s">
        <v>30</v>
      </c>
      <c r="AT22" s="5" t="s">
        <v>36</v>
      </c>
      <c r="AU22" s="6" t="s">
        <v>31</v>
      </c>
      <c r="AV22" s="6" t="s">
        <v>43</v>
      </c>
      <c r="AW22" s="6" t="s">
        <v>30</v>
      </c>
      <c r="AY22" s="5" t="s">
        <v>36</v>
      </c>
      <c r="AZ22" s="6" t="s">
        <v>31</v>
      </c>
      <c r="BA22" s="6" t="s">
        <v>43</v>
      </c>
      <c r="BB22" s="6" t="s">
        <v>30</v>
      </c>
      <c r="BC22" s="3"/>
      <c r="BD22" s="3" t="s">
        <v>36</v>
      </c>
      <c r="BE22" s="4" t="s">
        <v>31</v>
      </c>
      <c r="BF22" s="4" t="s">
        <v>43</v>
      </c>
      <c r="BG22" s="4" t="s">
        <v>30</v>
      </c>
      <c r="BH22" s="8"/>
      <c r="BI22" s="8"/>
      <c r="BJ22" s="9"/>
      <c r="BK22" s="9"/>
      <c r="BL22" s="9"/>
      <c r="BQ22" s="1"/>
      <c r="BS22" s="1"/>
      <c r="BT22" s="1"/>
      <c r="BU22" s="1"/>
      <c r="BV22" s="1"/>
      <c r="BX22" s="1"/>
      <c r="BY22" s="1"/>
      <c r="BZ22" s="1"/>
      <c r="CA22" s="1"/>
      <c r="CC22" s="1"/>
      <c r="CD22" s="1"/>
      <c r="CE22" s="1"/>
      <c r="CF22" s="1"/>
      <c r="CH22" s="1"/>
      <c r="CI22" s="1"/>
      <c r="CJ22" s="1"/>
      <c r="CK22" s="1"/>
    </row>
    <row r="23" spans="1:89" x14ac:dyDescent="0.2">
      <c r="A23" s="10">
        <v>15</v>
      </c>
      <c r="B23" s="10" t="s">
        <v>166</v>
      </c>
      <c r="C23" s="10"/>
      <c r="D23" s="10" t="s">
        <v>75</v>
      </c>
      <c r="E23" s="10" t="s">
        <v>75</v>
      </c>
      <c r="F23" s="10"/>
      <c r="G23" s="10" t="s">
        <v>75</v>
      </c>
      <c r="H23" s="10" t="s">
        <v>75</v>
      </c>
      <c r="I23" s="10" t="s">
        <v>76</v>
      </c>
      <c r="J23" s="10" t="s">
        <v>75</v>
      </c>
      <c r="K23" s="10" t="s">
        <v>76</v>
      </c>
      <c r="L23" s="10" t="s">
        <v>76</v>
      </c>
      <c r="M23" s="10" t="s">
        <v>132</v>
      </c>
      <c r="N23" s="10">
        <v>-3.5</v>
      </c>
      <c r="O23" s="10">
        <v>46.5</v>
      </c>
      <c r="P23">
        <v>4.7</v>
      </c>
      <c r="Q23" s="8">
        <v>11.1</v>
      </c>
      <c r="R23" s="1">
        <f t="shared" si="0"/>
        <v>2.3617021276595742</v>
      </c>
      <c r="U23" s="1">
        <f>AVERAGEIFS($Q$2:$Q$999,$P$2:$P$999,"&gt;=4.1",$P$2:$P$999,"&lt;=5")</f>
        <v>12.574999999999998</v>
      </c>
      <c r="V23" s="1">
        <f>AVERAGEIFS($Q$2:$Q$999,$N$2:$N$999,"&lt;=-5",$P$2:$P$999,"&gt;=4.1",$P$2:$P$999,"&lt;=5")</f>
        <v>11.08</v>
      </c>
      <c r="W23" s="1">
        <f>AVERAGEIFS($Q$2:$Q$999,$N$2:$N$999,"&gt;=-4.5",$N$2:$N$999,"&lt;=4.5",$P$2:$P$999,"&gt;=4.1",$P$2:$P$999,"&lt;=5")</f>
        <v>17.400000000000002</v>
      </c>
      <c r="X23" s="1">
        <f>AVERAGEIFS($Q$2:$Q$999,$N$2:$N$999,"&gt;=5",$P$2:$P$999,"&gt;=4.1",$P$2:$P$999,"&lt;=5")</f>
        <v>8.2799999999999994</v>
      </c>
      <c r="Z23" s="9">
        <f>AVERAGEIFS($R$2:$R$999,$P$2:$P$999,"&gt;=4.1",$P$2:$P$999,"&lt;=5",$D$2:$D$999,"YES")</f>
        <v>3.5980806297894889</v>
      </c>
      <c r="AA23" s="9">
        <f>AVERAGEIFS($R$2:$R$999,$N$2:$N$999,"&lt;=-5",$P$2:$P$999,"&gt;=4.1",$P$2:$P$999,"&lt;=5",$D$2:$D$999,"YES")</f>
        <v>2.2625180614881613</v>
      </c>
      <c r="AB23" s="9">
        <f>AVERAGEIFS($R$2:$R$999,$N$2:$N$999,"&gt;=-4.5",$N$2:$N$999,"&lt;=4.5",$P$2:$P$999,"&gt;=4.1",$P$2:$P$999,"&lt;=5",$D$2:$D$999,"YES")</f>
        <v>4.9013451737200073</v>
      </c>
      <c r="AC23" s="9">
        <f>AVERAGEIFS($R$2:$R$999,$N$2:$N$999,"&gt;=5",$P$2:$P$999,"&gt;=4.1",$P$2:$P$999,"&lt;=5",$D$2:$D$999,"YES")</f>
        <v>3.7272727272727266</v>
      </c>
      <c r="AE23" s="9">
        <f>AVERAGEIFS($R$2:$R$999,$P$2:$P$999,"&gt;=4.1",$P$2:$P$999,"&lt;=5",$D$2:$D$999,"YES",$F$2:$F$999,"UP")</f>
        <v>6.7631436314363143</v>
      </c>
      <c r="AF23" s="9" t="e">
        <f>AVERAGEIFS($R$2:$R$999,$N$2:$N$999,"&lt;=-5",$P$2:$P$999,"&gt;=4.1",$P$2:$P$999,"&lt;=5",$D$2:$D$999,"YES",$F$2:$F$999,"UP")</f>
        <v>#DIV/0!</v>
      </c>
      <c r="AG23" s="9">
        <f>AVERAGEIFS($R$2:$R$999,$N$2:$N$999,"&gt;=-4.5",$N$2:$N$999,"&lt;=4.5",$P$2:$P$999,"&gt;=4.1",$P$2:$P$999,"&lt;=5",$D$2:$D$999,"YES",$F$2:$F$999,"UP")</f>
        <v>6.7631436314363143</v>
      </c>
      <c r="AH23" s="9" t="e">
        <f>AVERAGEIFS($R$2:$R$999,$N$2:$N$999,"&gt;=5",$P$2:$P$999,"&gt;=4.1",$P$2:$P$999,"&lt;=5",$D$2:$D$999,"YES",$F$2:$F$999,"UP")</f>
        <v>#DIV/0!</v>
      </c>
      <c r="AJ23" s="6">
        <f>AVERAGEIFS($Q$2:$Q$999,$P$2:$P$999,"&gt;=4.1",$P$2:$P$999,"&lt;=5",$C$2:$C$999,"&gt;=0.01")</f>
        <v>12.25</v>
      </c>
      <c r="AK23" s="6">
        <f>AVERAGEIFS($Q$2:$Q$999,$N$2:$N$999,"&lt;=-5",$P$2:$P$999,"&gt;=4.1",$P$2:$P$999,"&lt;=5",$C$2:$C$999,"&gt;=0.01")</f>
        <v>15.2</v>
      </c>
      <c r="AL23" s="6">
        <f>AVERAGEIFS($Q$2:$Q$999,$N$2:$N$999,"&gt;=-4.5",$N$2:$N$999,"&lt;=4.5",$P$2:$P$999,"&gt;=4.1",$P$2:$P$999,"&lt;=5",$C$2:$C$999,"&gt;=0.01")</f>
        <v>8.6999999999999993</v>
      </c>
      <c r="AM23" s="6">
        <f>AVERAGEIFS($Q$2:$Q$999,$N$2:$N$999,"&gt;=5",$P$2:$P$999,"&gt;=4.1",$P$2:$P$999,"&lt;=5",$C$2:$C$999,"&gt;=0.01")</f>
        <v>16.399999999999999</v>
      </c>
      <c r="AO23" s="6">
        <f>AVERAGEIFS($R$2:$R$999,$P$2:$P$999,"&gt;=4.1",$P$2:$P$999,"&lt;=5",$D$2:$D$999,"YES",$C$2:$C$999,"&gt;=0.01")</f>
        <v>3.3836363636363633</v>
      </c>
      <c r="AP23" s="6">
        <f>AVERAGEIFS($R$2:$R$999,$N$2:$N$999,"&lt;=-5",$P$2:$P$999,"&gt;=4.1",$P$2:$P$999,"&lt;=5",$D$2:$D$999,"YES",$C$2:$C$999,"&gt;=0.01")</f>
        <v>3.04</v>
      </c>
      <c r="AQ23" s="6" t="e">
        <f>AVERAGEIFS($R$2:$R$999,$N$2:$N$999,"&gt;=-4.5",$N$2:$N$999,"&lt;=4.5",$P$2:$P$999,"&gt;=4.1",$P$2:$P$999,"&lt;=5",$D$2:$D$999,"YES",$C$2:$C$999,"&gt;=0.01")</f>
        <v>#DIV/0!</v>
      </c>
      <c r="AR23" s="6">
        <f>AVERAGEIFS($R$2:$R$999,$N$2:$N$999,"&gt;=5",$P$2:$P$999,"&gt;=4.1",$P$2:$P$999,"&lt;=5",$D$2:$D$999,"YES",$C$2:$C$999,"&gt;=0.01")</f>
        <v>3.7272727272727266</v>
      </c>
      <c r="AT23" s="6" t="e">
        <f>AVERAGEIFS($R$2:$R$999,$P$2:$P$999,"&gt;=4.1",$P$2:$P$999,"&lt;=5",$D$2:$D$999,"YES",$F$2:$F$999,"UP",$C$2:$C$999,"&gt;=0.01")</f>
        <v>#DIV/0!</v>
      </c>
      <c r="AU23" s="6" t="e">
        <f>AVERAGEIFS($R$2:$R$999,$N$2:$N$999,"&lt;=-5",$P$2:$P$999,"&gt;=4.1",$P$2:$P$999,"&lt;=5",$D$2:$D$999,"YES",$F$2:$F$999,"UP",$C$2:$C$999,"&gt;=0.01")</f>
        <v>#DIV/0!</v>
      </c>
      <c r="AV23" s="6" t="e">
        <f>AVERAGEIFS($R$2:$R$999,$N$2:$N$999,"&gt;=-4.5",$N$2:$N$999,"&lt;=4.5",$P$2:$P$999,"&gt;=4.1",$P$2:$P$999,"&lt;=5",$D$2:$D$999,"YES",$F$2:$F$999,"UP",$C$2:$C$999,"&gt;=0.01")</f>
        <v>#DIV/0!</v>
      </c>
      <c r="AW23" s="6" t="e">
        <f>AVERAGEIFS($R$2:$R$999,$N$2:$N$999,"&gt;=5",$P$2:$P$999,"&gt;=4.1",$P$2:$P$999,"&lt;=5",$D$2:$D$999,"YES",$F$2:$F$999,"UP",$C$2:$C$999,"&gt;=0.01")</f>
        <v>#DIV/0!</v>
      </c>
      <c r="AY23" s="6">
        <f>AVERAGEIFS($R$2:$R$999,$P$2:$P$999,"&gt;=4.1",$P$2:$P$999,"&lt;=5",$C$2:$C$999,"&gt;=9.5",$C$2:$C$999,"&lt;=10.9")</f>
        <v>2.1702127659574466</v>
      </c>
      <c r="AZ23" s="6" t="e">
        <f>AVERAGEIFS($R$2:$R$999,$N$2:$N$999,"&lt;=-5",$P$2:$P$999,"&gt;=4.1",$P$2:$P$999,"&lt;=5",$C$2:$C$999,"&gt;=9.5",$C$2:$C$999,"&lt;=10.9")</f>
        <v>#DIV/0!</v>
      </c>
      <c r="BA23" s="6">
        <f>AVERAGEIFS($R$2:$R$999,$N$2:$N$999,"&gt;=-4.5",$N$2:$N$999,"&lt;=4.5",$P$2:$P$999,"&gt;=4.1",$P$2:$P$999,"&lt;=5",$C$2:$C$999,"&gt;=9.5",$C$2:$C$999,"&lt;=10.9")</f>
        <v>2.1702127659574466</v>
      </c>
      <c r="BB23" s="6" t="e">
        <f>AVERAGEIFS($R$2:$R$999,$N$2:$N$999,"&gt;=5",$P$2:$P$999,"&gt;=4.1",$P$2:$P$999,"&lt;=5",$C$2:$C$999,"&gt;=9.5",$C$2:$C$999,"&lt;=10.9")</f>
        <v>#DIV/0!</v>
      </c>
      <c r="BC23" s="3"/>
      <c r="BD23" s="4">
        <f>AVERAGEIFS($R$2:$R$999,$P$2:$P$999,"&gt;=4.1",$P$2:$P$999,"&lt;=5",$I$2:$I$999,"YES")</f>
        <v>4.2554395693413456</v>
      </c>
      <c r="BE23" s="4">
        <f>AVERAGEIFS($R$2:$R$999,$N$2:$N$999,"&lt;=-5",$P$2:$P$999,"&gt;=4.1",$P$2:$P$999,"&lt;=5",$I$2:$I$999,"YES")</f>
        <v>2.604166666666667</v>
      </c>
      <c r="BF23" s="4">
        <f>AVERAGEIFS($R$2:$R$999,$N$2:$N$999,"&gt;=-4.5",$N$2:$N$999,"&lt;=4.5",$P$2:$P$999,"&gt;=4.1",$P$2:$P$999,"&lt;=5",$I$2:$I$999,"YES")</f>
        <v>6.7631436314363143</v>
      </c>
      <c r="BG23" s="4">
        <f>AVERAGEIFS($R$2:$R$999,$N$2:$N$999,"&gt;=5",$P$2:$P$999,"&gt;=4.1",$P$2:$P$999,"&lt;=5",$I$2:$I$999,"YES")</f>
        <v>0.89130434782608692</v>
      </c>
      <c r="BH23" s="8"/>
      <c r="BI23" s="9"/>
      <c r="BJ23" s="9"/>
      <c r="BK23" s="9"/>
      <c r="BL23" s="9"/>
      <c r="BQ23" s="1"/>
      <c r="BS23" s="1"/>
      <c r="BT23" s="1"/>
      <c r="BU23" s="1"/>
      <c r="BV23" s="1"/>
      <c r="BX23" s="1"/>
      <c r="BY23" s="1"/>
      <c r="BZ23" s="1"/>
      <c r="CA23" s="1"/>
      <c r="CC23" s="1"/>
      <c r="CD23" s="1"/>
      <c r="CE23" s="1"/>
      <c r="CF23" s="1"/>
      <c r="CH23" s="1"/>
      <c r="CI23" s="1"/>
      <c r="CJ23" s="1"/>
      <c r="CK23" s="1"/>
    </row>
    <row r="24" spans="1:89" x14ac:dyDescent="0.2">
      <c r="A24" s="11">
        <v>15</v>
      </c>
      <c r="B24" s="11" t="s">
        <v>139</v>
      </c>
      <c r="C24" s="11">
        <v>8.9</v>
      </c>
      <c r="D24" s="11" t="s">
        <v>75</v>
      </c>
      <c r="E24" s="11" t="s">
        <v>75</v>
      </c>
      <c r="F24" s="11"/>
      <c r="G24" s="11" t="s">
        <v>75</v>
      </c>
      <c r="H24" s="11" t="s">
        <v>75</v>
      </c>
      <c r="I24" s="11" t="s">
        <v>76</v>
      </c>
      <c r="J24" s="11" t="s">
        <v>75</v>
      </c>
      <c r="K24" s="11" t="s">
        <v>76</v>
      </c>
      <c r="L24" s="11" t="s">
        <v>76</v>
      </c>
      <c r="M24" s="11" t="s">
        <v>132</v>
      </c>
      <c r="N24" s="11">
        <v>-3.5</v>
      </c>
      <c r="O24" s="11">
        <v>46.5</v>
      </c>
      <c r="P24">
        <v>5.9</v>
      </c>
      <c r="Q24" s="8">
        <v>12.1</v>
      </c>
      <c r="R24" s="1">
        <f t="shared" si="0"/>
        <v>2.0508474576271185</v>
      </c>
      <c r="U24" s="1"/>
      <c r="V24" s="1"/>
      <c r="W24" s="1"/>
      <c r="X24" s="1"/>
      <c r="Z24" s="9"/>
      <c r="AA24" s="9"/>
      <c r="AB24" s="9"/>
      <c r="AC24" s="9"/>
      <c r="AE24" s="9"/>
      <c r="AF24" s="9"/>
      <c r="AG24" s="9"/>
      <c r="AH24" s="9"/>
      <c r="AJ24" s="6"/>
      <c r="AK24" s="6"/>
      <c r="AL24" s="6"/>
      <c r="AM24" s="6"/>
      <c r="AO24" s="6"/>
      <c r="AP24" s="6"/>
      <c r="AQ24" s="6"/>
      <c r="AR24" s="6"/>
      <c r="AT24" s="6"/>
      <c r="AU24" s="6"/>
      <c r="AV24" s="6"/>
      <c r="AW24" s="6"/>
      <c r="AY24" s="6"/>
      <c r="AZ24" s="6"/>
      <c r="BA24" s="6"/>
      <c r="BB24" s="6"/>
      <c r="BC24" s="3"/>
      <c r="BD24" s="4"/>
      <c r="BE24" s="4"/>
      <c r="BF24" s="4"/>
      <c r="BG24" s="4"/>
      <c r="BH24" s="8"/>
      <c r="BI24" s="9"/>
      <c r="BJ24" s="9"/>
      <c r="BK24" s="9"/>
      <c r="BL24" s="9"/>
      <c r="BQ24" s="1"/>
      <c r="BS24" s="1"/>
      <c r="BT24" s="1"/>
      <c r="BU24" s="1"/>
      <c r="BV24" s="1"/>
      <c r="BX24" s="1"/>
      <c r="BY24" s="1"/>
      <c r="BZ24" s="1"/>
      <c r="CA24" s="1"/>
      <c r="CC24" s="1"/>
      <c r="CD24" s="1"/>
      <c r="CE24" s="1"/>
      <c r="CF24" s="1"/>
      <c r="CH24" s="1"/>
      <c r="CI24" s="1"/>
      <c r="CJ24" s="1"/>
      <c r="CK24" s="1"/>
    </row>
    <row r="25" spans="1:89" x14ac:dyDescent="0.2">
      <c r="A25" s="10">
        <v>15</v>
      </c>
      <c r="B25" s="10" t="s">
        <v>64</v>
      </c>
      <c r="C25" s="10"/>
      <c r="D25" s="10" t="s">
        <v>75</v>
      </c>
      <c r="E25" s="10" t="s">
        <v>75</v>
      </c>
      <c r="F25" s="10" t="s">
        <v>109</v>
      </c>
      <c r="G25" s="10" t="s">
        <v>75</v>
      </c>
      <c r="H25" s="10" t="s">
        <v>75</v>
      </c>
      <c r="I25" s="10" t="s">
        <v>76</v>
      </c>
      <c r="J25" s="10" t="s">
        <v>76</v>
      </c>
      <c r="K25" s="10" t="s">
        <v>75</v>
      </c>
      <c r="L25" s="10" t="s">
        <v>75</v>
      </c>
      <c r="M25" s="10" t="s">
        <v>132</v>
      </c>
      <c r="N25" s="10">
        <v>-3</v>
      </c>
      <c r="O25" s="10">
        <v>50</v>
      </c>
      <c r="P25">
        <v>6</v>
      </c>
      <c r="Q25" s="8">
        <v>28.4</v>
      </c>
      <c r="R25" s="1">
        <f t="shared" si="0"/>
        <v>4.7333333333333334</v>
      </c>
      <c r="U25" s="1" t="s">
        <v>34</v>
      </c>
      <c r="V25" s="1" t="s">
        <v>31</v>
      </c>
      <c r="W25" s="1" t="s">
        <v>43</v>
      </c>
      <c r="X25" s="1" t="s">
        <v>30</v>
      </c>
      <c r="Z25" s="8" t="s">
        <v>37</v>
      </c>
      <c r="AA25" s="9" t="s">
        <v>31</v>
      </c>
      <c r="AB25" s="9" t="s">
        <v>43</v>
      </c>
      <c r="AC25" s="9" t="s">
        <v>30</v>
      </c>
      <c r="AE25" s="8" t="s">
        <v>37</v>
      </c>
      <c r="AF25" s="9" t="s">
        <v>31</v>
      </c>
      <c r="AG25" s="9" t="s">
        <v>43</v>
      </c>
      <c r="AH25" s="9" t="s">
        <v>30</v>
      </c>
      <c r="AJ25" s="6" t="s">
        <v>34</v>
      </c>
      <c r="AK25" s="6" t="s">
        <v>31</v>
      </c>
      <c r="AL25" s="6" t="s">
        <v>43</v>
      </c>
      <c r="AM25" s="6" t="s">
        <v>30</v>
      </c>
      <c r="AO25" s="5" t="s">
        <v>37</v>
      </c>
      <c r="AP25" s="6" t="s">
        <v>31</v>
      </c>
      <c r="AQ25" s="6" t="s">
        <v>43</v>
      </c>
      <c r="AR25" s="6" t="s">
        <v>30</v>
      </c>
      <c r="AT25" s="5" t="s">
        <v>37</v>
      </c>
      <c r="AU25" s="6" t="s">
        <v>31</v>
      </c>
      <c r="AV25" s="6" t="s">
        <v>43</v>
      </c>
      <c r="AW25" s="6" t="s">
        <v>30</v>
      </c>
      <c r="AY25" s="5" t="s">
        <v>37</v>
      </c>
      <c r="AZ25" s="6" t="s">
        <v>31</v>
      </c>
      <c r="BA25" s="6" t="s">
        <v>43</v>
      </c>
      <c r="BB25" s="6" t="s">
        <v>30</v>
      </c>
      <c r="BC25" s="3"/>
      <c r="BD25" s="3" t="s">
        <v>37</v>
      </c>
      <c r="BE25" s="4" t="s">
        <v>31</v>
      </c>
      <c r="BF25" s="4" t="s">
        <v>43</v>
      </c>
      <c r="BG25" s="4" t="s">
        <v>30</v>
      </c>
      <c r="BH25" s="8"/>
      <c r="BI25" s="8"/>
      <c r="BJ25" s="9"/>
      <c r="BK25" s="9"/>
      <c r="BL25" s="9"/>
      <c r="BQ25" s="1"/>
      <c r="BS25" s="1"/>
      <c r="BT25" s="1"/>
      <c r="BU25" s="1"/>
      <c r="BV25" s="1"/>
      <c r="BX25" s="1"/>
      <c r="BY25" s="1"/>
      <c r="BZ25" s="1"/>
      <c r="CA25" s="1"/>
      <c r="CC25" s="1"/>
      <c r="CD25" s="1"/>
      <c r="CE25" s="1"/>
      <c r="CF25" s="1"/>
      <c r="CH25" s="1"/>
      <c r="CI25" s="1"/>
      <c r="CJ25" s="1"/>
      <c r="CK25" s="1"/>
    </row>
    <row r="26" spans="1:89" x14ac:dyDescent="0.2">
      <c r="A26" s="10">
        <v>15</v>
      </c>
      <c r="B26" s="10" t="s">
        <v>53</v>
      </c>
      <c r="C26" s="10"/>
      <c r="D26" s="10" t="s">
        <v>75</v>
      </c>
      <c r="E26" s="10" t="s">
        <v>75</v>
      </c>
      <c r="F26" s="10" t="s">
        <v>109</v>
      </c>
      <c r="G26" s="10" t="s">
        <v>75</v>
      </c>
      <c r="H26" s="10" t="s">
        <v>75</v>
      </c>
      <c r="I26" s="10" t="s">
        <v>76</v>
      </c>
      <c r="J26" s="10" t="s">
        <v>76</v>
      </c>
      <c r="K26" s="10" t="s">
        <v>75</v>
      </c>
      <c r="L26" s="10" t="s">
        <v>75</v>
      </c>
      <c r="M26" s="10" t="s">
        <v>132</v>
      </c>
      <c r="N26" s="10">
        <v>-3</v>
      </c>
      <c r="O26" s="10">
        <v>50</v>
      </c>
      <c r="P26">
        <v>3.8</v>
      </c>
      <c r="Q26" s="8">
        <v>8.6999999999999993</v>
      </c>
      <c r="R26" s="1">
        <f t="shared" si="0"/>
        <v>2.2894736842105261</v>
      </c>
      <c r="U26" s="1">
        <f>AVERAGEIFS($Q$2:$Q$999,$P$2:$P$999,"&gt;=5.1",$P$2:$P$999,"&lt;=6.2")</f>
        <v>13.442857142857141</v>
      </c>
      <c r="V26" s="1">
        <f>AVERAGEIFS($Q$2:$Q$999,$N$2:$N$999,"&lt;=-5",$P$2:$P$999,"&gt;=5.1",$P$2:$P$999,"&lt;=6.2")</f>
        <v>17.399999999999999</v>
      </c>
      <c r="W26" s="1">
        <f>AVERAGEIFS($Q$2:$Q$999,$N$2:$N$999,"&gt;=-4.5",$N$2:$N$999,"&lt;=4.5",$P$2:$P$999,"&gt;=5.1",$P$2:$P$999,"&lt;=6.2")</f>
        <v>12.863636363636363</v>
      </c>
      <c r="X26" s="1">
        <f>AVERAGEIFS($Q$2:$Q$999,$N$2:$N$999,"&gt;=5",$P$2:$P$999,"&gt;=5.1",$P$2:$P$999,"&lt;=6.2")</f>
        <v>11.9</v>
      </c>
      <c r="Z26" s="9">
        <f>AVERAGEIFS($R$2:$R$999,$P$2:$P$999,"&gt;=5.1",$P$2:$P$999,"&lt;=6.2",$D$2:$D$999,"YES")</f>
        <v>2.3323832778977489</v>
      </c>
      <c r="AA26" s="9">
        <f>AVERAGEIFS($R$2:$R$999,$N$2:$N$999,"&lt;=-5",$P$2:$P$999,"&gt;=5.1",$P$2:$P$999,"&lt;=6.2",$D$2:$D$999,"YES")</f>
        <v>1.9016393442622952</v>
      </c>
      <c r="AB26" s="9">
        <f>AVERAGEIFS($R$2:$R$999,$N$2:$N$999,"&gt;=-4.5",$N$2:$N$999,"&lt;=4.5",$P$2:$P$999,"&gt;=5.1",$P$2:$P$999,"&lt;=6.2",$D$2:$D$999,"YES")</f>
        <v>2.4185320646248392</v>
      </c>
      <c r="AC26" s="9" t="e">
        <f>AVERAGEIFS($R$2:$R$999,$N$2:$N$999,"&gt;=5",$P$2:$P$999,"&gt;=5.1",$P$2:$P$999,"&lt;=6.2",$D$2:$D$999,"YES")</f>
        <v>#DIV/0!</v>
      </c>
      <c r="AE26" s="9">
        <f>AVERAGEIFS($R$2:$R$999,$P$2:$P$999,"&gt;=5.1",$P$2:$P$999,"&lt;=6.2",$D$2:$D$999,"YES",$F$2:$F$999,"UP")</f>
        <v>2.5070175438596491</v>
      </c>
      <c r="AF26" s="9" t="e">
        <f>AVERAGEIFS($R$2:$R$999,$N$2:$N$999,"&lt;=-5",$P$2:$P$999,"&gt;=5.1",$P$2:$P$999,"&lt;=6.2",$D$2:$D$999,"YES",$F$2:$F$999,"UP")</f>
        <v>#DIV/0!</v>
      </c>
      <c r="AG26" s="9">
        <f>AVERAGEIFS($R$2:$R$999,$N$2:$N$999,"&gt;=-4.5",$N$2:$N$999,"&lt;=4.5",$P$2:$P$999,"&gt;=5.1",$P$2:$P$999,"&lt;=6.2",$D$2:$D$999,"YES",$F$2:$F$999,"UP")</f>
        <v>2.5070175438596491</v>
      </c>
      <c r="AH26" s="9" t="e">
        <f>AVERAGEIFS($R$2:$R$999,$N$2:$N$999,"&gt;=5",$P$2:$P$999,"&gt;=5.1",$P$2:$P$999,"&lt;=6.2",$D$2:$D$999,"YES",$F$2:$F$999,"UP")</f>
        <v>#DIV/0!</v>
      </c>
      <c r="AJ26" s="6">
        <f>AVERAGEIFS($Q$2:$Q$999,$P$2:$P$999,"&gt;=5.1",$P$2:$P$999,"&lt;=6.2",$C$2:$C$999,"&gt;=0.01")</f>
        <v>16.849999999999998</v>
      </c>
      <c r="AK26" s="6" t="e">
        <f>AVERAGEIFS($Q$2:$Q$999,$N$2:$N$999,"&lt;=-5",$P$2:$P$999,"&gt;=5.1",$P$2:$P$999,"&lt;=6.2",$C$2:$C$999,"&gt;=0.01")</f>
        <v>#DIV/0!</v>
      </c>
      <c r="AL26" s="6">
        <f>AVERAGEIFS($Q$2:$Q$999,$N$2:$N$999,"&gt;=-4.5",$N$2:$N$999,"&lt;=4.5",$P$2:$P$999,"&gt;=5.1",$P$2:$P$999,"&lt;=6.2",$C$2:$C$999,"&gt;=0.01")</f>
        <v>17.84</v>
      </c>
      <c r="AM26" s="6">
        <f>AVERAGEIFS($Q$2:$Q$999,$N$2:$N$999,"&gt;=5",$P$2:$P$999,"&gt;=5.1",$P$2:$P$999,"&lt;=6.2",$C$2:$C$999,"&gt;=0.01")</f>
        <v>11.9</v>
      </c>
      <c r="AO26" s="6">
        <f>AVERAGEIFS($R$2:$R$999,$P$2:$P$999,"&gt;=5.1",$P$2:$P$999,"&lt;=6.2",$D$2:$D$999,"YES",$C$2:$C$999,"&gt;=0.01")</f>
        <v>3.1643126177024481</v>
      </c>
      <c r="AP26" s="6" t="e">
        <f>AVERAGEIFS($R$2:$R$999,$N$2:$N$999,"&lt;=-5",$P$2:$P$999,"&gt;=5.1",$P$2:$P$999,"&lt;=6.2",$D$2:$D$999,"YES",$C$2:$C$999,"&gt;=0.01")</f>
        <v>#DIV/0!</v>
      </c>
      <c r="AQ26" s="6">
        <f>AVERAGEIFS($R$2:$R$999,$N$2:$N$999,"&gt;=-4.5",$N$2:$N$999,"&lt;=4.5",$P$2:$P$999,"&gt;=5.1",$P$2:$P$999,"&lt;=6.2",$D$2:$D$999,"YES",$C$2:$C$999,"&gt;=0.01")</f>
        <v>3.1643126177024481</v>
      </c>
      <c r="AR26" s="6" t="e">
        <f>AVERAGEIFS($R$2:$R$999,$N$2:$N$999,"&gt;=5",$P$2:$P$999,"&gt;=5.1",$P$2:$P$999,"&lt;=6.2",$D$2:$D$999,"YES",$C$2:$C$999,"&gt;=0.01")</f>
        <v>#DIV/0!</v>
      </c>
      <c r="AT26" s="6" t="e">
        <f>AVERAGEIFS($R$2:$R$999,$P$2:$P$999,"&gt;=5.1",$P$2:$P$999,"&lt;=6.2",$D$2:$D$999,"YES",$F$2:$F$999,"UP",$C$2:$C$999,"&gt;=0.01")</f>
        <v>#DIV/0!</v>
      </c>
      <c r="AU26" s="6" t="e">
        <f>AVERAGEIFS($R$2:$R$999,$N$2:$N$999,"&lt;=-5",$P$2:$P$999,"&gt;=5.1",$P$2:$P$999,"&lt;=6.2",$D$2:$D$999,"YES",$F$2:$F$999,"UP",$C$2:$C$999,"&gt;=0.01")</f>
        <v>#DIV/0!</v>
      </c>
      <c r="AV26" s="6" t="e">
        <f>AVERAGEIFS($R$2:$R$999,$N$2:$N$999,"&gt;=-4.5",$N$2:$N$999,"&lt;=4.5",$P$2:$P$999,"&gt;=5.1",$P$2:$P$999,"&lt;=6.2",$D$2:$D$999,"YES",$F$2:$F$999,"UP",$C$2:$C$999,"&gt;=0.01")</f>
        <v>#DIV/0!</v>
      </c>
      <c r="AW26" s="6" t="e">
        <f>AVERAGEIFS($R$2:$R$999,$N$2:$N$999,"&gt;=5",$P$2:$P$999,"&gt;=5.1",$P$2:$P$999,"&lt;=6.2",$D$2:$D$999,"YES",$F$2:$F$999,"UP",$C$2:$C$999,"&gt;=0.01")</f>
        <v>#DIV/0!</v>
      </c>
      <c r="AY26" s="6">
        <f>AVERAGEIFS($R$2:$R$999,$P$2:$P$999,"&gt;=5.1",$P$2:$P$999,"&lt;=6.2",$C$2:$C$999,"&gt;=9.5",$C$2:$C$999,"&lt;=10.9")</f>
        <v>4.2777777777777777</v>
      </c>
      <c r="AZ26" s="6" t="e">
        <f>AVERAGEIFS($R$2:$R$999,$N$2:$N$999,"&lt;=-5",$P$2:$P$999,"&gt;=5.1",$P$2:$P$999,"&lt;=6.2",$C$2:$C$999,"&gt;=9.5",$C$2:$C$999,"&lt;=10.9")</f>
        <v>#DIV/0!</v>
      </c>
      <c r="BA26" s="6">
        <f>AVERAGEIFS($R$2:$R$999,$N$2:$N$999,"&gt;=-4.5",$N$2:$N$999,"&lt;=4.5",$P$2:$P$999,"&gt;=5.1",$P$2:$P$999,"&lt;=6.2",$C$2:$C$999,"&gt;=9.5",$C$2:$C$999,"&lt;=10.9")</f>
        <v>4.2777777777777777</v>
      </c>
      <c r="BB26" s="6" t="e">
        <f>AVERAGEIFS($R$2:$R$999,$N$2:$N$999,"&gt;=5",$P$2:$P$999,"&gt;=5.1",$P$2:$P$999,"&lt;=6.2",$C$2:$C$999,"&gt;=9.5",$C$2:$C$999,"&lt;=10.9")</f>
        <v>#DIV/0!</v>
      </c>
      <c r="BC26" s="3"/>
      <c r="BD26" s="4">
        <f>AVERAGEIFS($R$2:$R$999,$P$2:$P$999,"&gt;=5.1",$P$2:$P$999,"&lt;=6.2",$I$2:$I$999,"YES")</f>
        <v>4.6562607204116642</v>
      </c>
      <c r="BE26" s="4">
        <f>AVERAGEIFS($R$2:$R$999,$N$2:$N$999,"&lt;=-5",$P$2:$P$999,"&gt;=5.1",$P$2:$P$999,"&lt;=6.2",$I$2:$I$999,"YES")</f>
        <v>4.2181818181818178</v>
      </c>
      <c r="BF26" s="4">
        <f>AVERAGEIFS($R$2:$R$999,$N$2:$N$999,"&gt;=-4.5",$N$2:$N$999,"&lt;=4.5",$P$2:$P$999,"&gt;=5.1",$P$2:$P$999,"&lt;=6.2",$I$2:$I$999,"YES")</f>
        <v>5.0943396226415096</v>
      </c>
      <c r="BG26" s="4" t="e">
        <f>AVERAGEIFS($R$2:$R$999,$N$2:$N$999,"&gt;=5",$P$2:$P$999,"&gt;=5.1",$P$2:$P$999,"&lt;=6.2",$I$2:$I$999,"YES")</f>
        <v>#DIV/0!</v>
      </c>
      <c r="BH26" s="8"/>
      <c r="BI26" s="9"/>
      <c r="BJ26" s="9"/>
      <c r="BK26" s="9"/>
      <c r="BL26" s="9"/>
      <c r="BQ26" s="1"/>
      <c r="BS26" s="1"/>
      <c r="BT26" s="1"/>
      <c r="BU26" s="1"/>
      <c r="BV26" s="1"/>
      <c r="BX26" s="1"/>
      <c r="BY26" s="1"/>
      <c r="BZ26" s="1"/>
      <c r="CA26" s="1"/>
      <c r="CC26" s="1"/>
      <c r="CD26" s="1"/>
      <c r="CE26" s="1"/>
      <c r="CF26" s="1"/>
      <c r="CH26" s="1"/>
      <c r="CI26" s="1"/>
      <c r="CJ26" s="1"/>
      <c r="CK26" s="1"/>
    </row>
    <row r="27" spans="1:89" x14ac:dyDescent="0.2">
      <c r="A27" s="10">
        <v>15</v>
      </c>
      <c r="B27" s="10" t="s">
        <v>171</v>
      </c>
      <c r="C27" s="10"/>
      <c r="D27" s="10" t="s">
        <v>75</v>
      </c>
      <c r="E27" s="10" t="s">
        <v>75</v>
      </c>
      <c r="F27" s="10" t="s">
        <v>109</v>
      </c>
      <c r="G27" s="10" t="s">
        <v>75</v>
      </c>
      <c r="H27" s="10" t="s">
        <v>75</v>
      </c>
      <c r="I27" s="10" t="s">
        <v>76</v>
      </c>
      <c r="J27" s="10" t="s">
        <v>76</v>
      </c>
      <c r="K27" s="10" t="s">
        <v>75</v>
      </c>
      <c r="L27" s="10" t="s">
        <v>75</v>
      </c>
      <c r="M27" s="10" t="s">
        <v>132</v>
      </c>
      <c r="N27" s="10">
        <v>-3</v>
      </c>
      <c r="O27" s="10">
        <v>50</v>
      </c>
      <c r="P27">
        <v>3.5</v>
      </c>
      <c r="Q27" s="8">
        <v>16.7</v>
      </c>
      <c r="R27" s="1">
        <f t="shared" si="0"/>
        <v>4.7714285714285714</v>
      </c>
      <c r="U27" s="1"/>
      <c r="V27" s="1"/>
      <c r="W27" s="1"/>
      <c r="X27" s="1"/>
      <c r="Z27" s="9"/>
      <c r="AA27" s="9"/>
      <c r="AB27" s="9"/>
      <c r="AC27" s="9"/>
      <c r="AE27" s="9"/>
      <c r="AF27" s="9"/>
      <c r="AG27" s="9"/>
      <c r="AH27" s="9"/>
      <c r="AJ27" s="6"/>
      <c r="AK27" s="6"/>
      <c r="AL27" s="6"/>
      <c r="AM27" s="6"/>
      <c r="AO27" s="6"/>
      <c r="AP27" s="6"/>
      <c r="AQ27" s="6"/>
      <c r="AR27" s="6"/>
      <c r="AT27" s="6"/>
      <c r="AU27" s="6"/>
      <c r="AV27" s="6"/>
      <c r="AW27" s="6"/>
      <c r="AY27" s="6"/>
      <c r="AZ27" s="6"/>
      <c r="BA27" s="6"/>
      <c r="BB27" s="6"/>
      <c r="BC27" s="3"/>
      <c r="BD27" s="4"/>
      <c r="BE27" s="4"/>
      <c r="BF27" s="4"/>
      <c r="BG27" s="4"/>
      <c r="BH27" s="8"/>
      <c r="BI27" s="9"/>
      <c r="BJ27" s="9"/>
      <c r="BK27" s="9"/>
      <c r="BL27" s="9"/>
      <c r="BQ27" s="1"/>
      <c r="BS27" s="1"/>
      <c r="BT27" s="1"/>
      <c r="BU27" s="1"/>
      <c r="BV27" s="1"/>
      <c r="BX27" s="1"/>
      <c r="BY27" s="1"/>
      <c r="BZ27" s="1"/>
      <c r="CA27" s="1"/>
      <c r="CC27" s="1"/>
      <c r="CD27" s="1"/>
      <c r="CE27" s="1"/>
      <c r="CF27" s="1"/>
      <c r="CH27" s="1"/>
      <c r="CI27" s="1"/>
      <c r="CJ27" s="1"/>
      <c r="CK27" s="1"/>
    </row>
    <row r="28" spans="1:89" x14ac:dyDescent="0.2">
      <c r="A28">
        <v>15</v>
      </c>
      <c r="B28" t="s">
        <v>85</v>
      </c>
      <c r="D28" t="s">
        <v>75</v>
      </c>
      <c r="E28" t="s">
        <v>75</v>
      </c>
      <c r="G28" t="s">
        <v>76</v>
      </c>
      <c r="H28" t="s">
        <v>76</v>
      </c>
      <c r="I28" t="s">
        <v>76</v>
      </c>
      <c r="J28" t="s">
        <v>76</v>
      </c>
      <c r="K28" t="s">
        <v>76</v>
      </c>
      <c r="L28" t="s">
        <v>75</v>
      </c>
      <c r="M28" t="s">
        <v>132</v>
      </c>
      <c r="N28">
        <v>6</v>
      </c>
      <c r="O28">
        <v>48</v>
      </c>
      <c r="P28">
        <v>6.6</v>
      </c>
      <c r="Q28" s="8">
        <v>23.3</v>
      </c>
      <c r="R28" s="1">
        <f t="shared" si="0"/>
        <v>3.5303030303030307</v>
      </c>
      <c r="U28" s="1" t="s">
        <v>35</v>
      </c>
      <c r="V28" s="1" t="s">
        <v>31</v>
      </c>
      <c r="W28" s="1" t="s">
        <v>43</v>
      </c>
      <c r="X28" s="1" t="s">
        <v>30</v>
      </c>
      <c r="Z28" s="8" t="s">
        <v>35</v>
      </c>
      <c r="AA28" s="9" t="s">
        <v>31</v>
      </c>
      <c r="AB28" s="9" t="s">
        <v>43</v>
      </c>
      <c r="AC28" s="9" t="s">
        <v>30</v>
      </c>
      <c r="AE28" s="8" t="s">
        <v>35</v>
      </c>
      <c r="AF28" s="9" t="s">
        <v>31</v>
      </c>
      <c r="AG28" s="9" t="s">
        <v>43</v>
      </c>
      <c r="AH28" s="9" t="s">
        <v>30</v>
      </c>
      <c r="AJ28" s="6" t="s">
        <v>35</v>
      </c>
      <c r="AK28" s="6" t="s">
        <v>31</v>
      </c>
      <c r="AL28" s="6" t="s">
        <v>43</v>
      </c>
      <c r="AM28" s="6" t="s">
        <v>30</v>
      </c>
      <c r="AO28" s="5" t="s">
        <v>35</v>
      </c>
      <c r="AP28" s="6" t="s">
        <v>31</v>
      </c>
      <c r="AQ28" s="6" t="s">
        <v>43</v>
      </c>
      <c r="AR28" s="6" t="s">
        <v>30</v>
      </c>
      <c r="AT28" s="5" t="s">
        <v>35</v>
      </c>
      <c r="AU28" s="6" t="s">
        <v>31</v>
      </c>
      <c r="AV28" s="6" t="s">
        <v>43</v>
      </c>
      <c r="AW28" s="6" t="s">
        <v>30</v>
      </c>
      <c r="AY28" s="5" t="s">
        <v>35</v>
      </c>
      <c r="AZ28" s="6" t="s">
        <v>31</v>
      </c>
      <c r="BA28" s="6" t="s">
        <v>43</v>
      </c>
      <c r="BB28" s="6" t="s">
        <v>30</v>
      </c>
      <c r="BC28" s="3"/>
      <c r="BD28" s="3" t="s">
        <v>35</v>
      </c>
      <c r="BE28" s="4" t="s">
        <v>31</v>
      </c>
      <c r="BF28" s="4" t="s">
        <v>43</v>
      </c>
      <c r="BG28" s="4" t="s">
        <v>30</v>
      </c>
      <c r="BH28" s="8"/>
      <c r="BI28" s="8"/>
      <c r="BJ28" s="9"/>
      <c r="BK28" s="9"/>
      <c r="BL28" s="9"/>
      <c r="BQ28" s="1"/>
      <c r="BS28" s="1"/>
      <c r="BT28" s="1"/>
      <c r="BU28" s="1"/>
      <c r="BV28" s="1"/>
      <c r="BX28" s="1"/>
      <c r="BY28" s="1"/>
      <c r="BZ28" s="1"/>
      <c r="CA28" s="1"/>
      <c r="CC28" s="1"/>
      <c r="CD28" s="1"/>
      <c r="CE28" s="1"/>
      <c r="CF28" s="1"/>
      <c r="CH28" s="1"/>
      <c r="CI28" s="1"/>
      <c r="CJ28" s="1"/>
      <c r="CK28" s="1"/>
    </row>
    <row r="29" spans="1:89" x14ac:dyDescent="0.2">
      <c r="A29" s="3">
        <v>15</v>
      </c>
      <c r="B29" s="3" t="s">
        <v>49</v>
      </c>
      <c r="C29" s="3">
        <v>8.1</v>
      </c>
      <c r="D29" s="3" t="s">
        <v>75</v>
      </c>
      <c r="E29" s="3" t="s">
        <v>75</v>
      </c>
      <c r="F29" s="3"/>
      <c r="G29" s="3" t="s">
        <v>76</v>
      </c>
      <c r="H29" s="3" t="s">
        <v>76</v>
      </c>
      <c r="I29" s="3" t="s">
        <v>76</v>
      </c>
      <c r="J29" s="3" t="s">
        <v>76</v>
      </c>
      <c r="K29" s="3" t="s">
        <v>76</v>
      </c>
      <c r="L29" s="3" t="s">
        <v>75</v>
      </c>
      <c r="M29" s="3" t="s">
        <v>132</v>
      </c>
      <c r="N29" s="3">
        <v>6</v>
      </c>
      <c r="O29" s="3">
        <v>48</v>
      </c>
      <c r="P29">
        <v>4.4000000000000004</v>
      </c>
      <c r="Q29" s="8">
        <v>16.399999999999999</v>
      </c>
      <c r="R29" s="1">
        <f t="shared" si="0"/>
        <v>3.7272727272727266</v>
      </c>
      <c r="U29" s="1">
        <f>AVERAGEIFS($Q$2:$Q$999,$P$2:$P$999,"&gt;=6.3")</f>
        <v>18.250000000000004</v>
      </c>
      <c r="V29" s="1">
        <f>AVERAGEIFS($Q$2:$Q$999,$N$2:$N$999,"&lt;=-5",$P$2:$P$999,"&gt;=6.3")</f>
        <v>19.18</v>
      </c>
      <c r="W29" s="1">
        <f>AVERAGEIFS($Q$2:$Q$999,$N$2:$N$999,"&gt;=-4.5",$N$2:$N$999,"&lt;=4.5",$P$2:$P$999,"&gt;=6.3")</f>
        <v>14.600000000000001</v>
      </c>
      <c r="X29" s="1">
        <f>AVERAGEIFS($Q$2:$Q$999,$N$2:$N$999,"&gt;=5",$P$2:$P$999,"&gt;=6.3")</f>
        <v>32.35</v>
      </c>
      <c r="Z29" s="9">
        <f>AVERAGEIFS($R$2:$R$999,$P$2:$P$999,"&gt;=6.3",$D$2:$D$999,"YES")</f>
        <v>2.4777975525145908</v>
      </c>
      <c r="AA29" s="9">
        <f>AVERAGEIFS($R$2:$R$999,$N$2:$N$999,"&lt;=-5",$P$2:$P$999,"&gt;=6.3",$D$2:$D$999,"YES")</f>
        <v>3.0307860316862154</v>
      </c>
      <c r="AB29" s="9">
        <f>AVERAGEIFS($R$2:$R$999,$N$2:$N$999,"&gt;=-4.5",$N$2:$N$999,"&lt;=4.5",$P$2:$P$999,"&gt;=6.3",$D$2:$D$999,"YES")</f>
        <v>2.0114462104467434</v>
      </c>
      <c r="AC29" s="9">
        <f>AVERAGEIFS($R$2:$R$999,$N$2:$N$999,"&gt;=5",$P$2:$P$999,"&gt;=6.3",$D$2:$D$999,"YES")</f>
        <v>3.5303030303030307</v>
      </c>
      <c r="AE29" s="9">
        <f>AVERAGEIFS($R$2:$R$999,$P$2:$P$999,"&gt;=6.3",$D$2:$D$999,"YES",$F$2:$F$999,"UP")</f>
        <v>1.3614404114404115</v>
      </c>
      <c r="AF29" s="9" t="e">
        <f>AVERAGEIFS($R$2:$R$999,$N$2:$N$999,"&lt;=-5",$P$2:$P$999,"&gt;=6.3",$D$2:$D$999,"YES",$F$2:$F$999,"UP")</f>
        <v>#DIV/0!</v>
      </c>
      <c r="AG29" s="9">
        <f>AVERAGEIFS($R$2:$R$999,$N$2:$N$999,"&gt;=-4.5",$N$2:$N$999,"&lt;=4.5",$P$2:$P$999,"&gt;=6.3",$D$2:$D$999,"YES",$F$2:$F$999,"UP")</f>
        <v>1.3614404114404115</v>
      </c>
      <c r="AH29" s="9" t="e">
        <f>AVERAGEIFS($R$2:$R$999,$N$2:$N$999,"&gt;=5",$P$2:$P$999,"&gt;=6.3",$D$2:$D$999,"YES",$F$2:$F$999,"UP")</f>
        <v>#DIV/0!</v>
      </c>
      <c r="AJ29" s="6">
        <f>AVERAGEIFS($Q$2:$Q$999,$P$2:$P$999,"&gt;=6.3",$C$2:$C$999,"&gt;=0.01")</f>
        <v>16.8</v>
      </c>
      <c r="AK29" s="6">
        <f>AVERAGEIFS($Q$2:$Q$999,$N$2:$N$999,"&lt;=-5",$P$2:$P$999,"&gt;=6.3",$C$2:$C$999,"&gt;=0.01")</f>
        <v>17.899999999999999</v>
      </c>
      <c r="AL29" s="6">
        <f>AVERAGEIFS($Q$2:$Q$999,$N$2:$N$999,"&gt;=-4.5",$N$2:$N$999,"&lt;=4.5",$P$2:$P$999,"&gt;=6.3",$C$2:$C$999,"&gt;=0.01")</f>
        <v>14.6</v>
      </c>
      <c r="AM29" s="6" t="e">
        <f>AVERAGEIFS($Q$2:$Q$999,$N$2:$N$999,"&gt;=5",$P$2:$P$999,"&gt;=6.3",$C$2:$C$999,"&gt;=0.01")</f>
        <v>#DIV/0!</v>
      </c>
      <c r="AO29" s="6">
        <f>AVERAGEIFS($R$2:$R$999,$P$2:$P$999,"&gt;=6.3",$D$2:$D$999,"YES",$C$2:$C$999,"&gt;=0.01")</f>
        <v>2.7272916666666669</v>
      </c>
      <c r="AP29" s="6">
        <f>AVERAGEIFS($R$2:$R$999,$N$2:$N$999,"&lt;=-5",$P$2:$P$999,"&gt;=6.3",$D$2:$D$999,"YES",$C$2:$C$999,"&gt;=0.01")</f>
        <v>3.1733333333333333</v>
      </c>
      <c r="AQ29" s="6">
        <f>AVERAGEIFS($R$2:$R$999,$N$2:$N$999,"&gt;=-4.5",$N$2:$N$999,"&lt;=4.5",$P$2:$P$999,"&gt;=6.3",$D$2:$D$999,"YES",$C$2:$C$999,"&gt;=0.01")</f>
        <v>2.28125</v>
      </c>
      <c r="AR29" s="6" t="e">
        <f>AVERAGEIFS($R$2:$R$999,$N$2:$N$999,"&gt;=5",$P$2:$P$999,"&gt;=6.3",$D$2:$D$999,"YES",$C$2:$C$999,"&gt;=0.01")</f>
        <v>#DIV/0!</v>
      </c>
      <c r="AT29" s="6" t="e">
        <f>AVERAGEIFS($R$2:$R$999,$P$2:$P$999,"&gt;=6.3",$D$2:$D$999,"YES",$F$2:$F$999,"UP",$C$2:$C$999,"&gt;=0.01")</f>
        <v>#DIV/0!</v>
      </c>
      <c r="AU29" s="6" t="e">
        <f>AVERAGEIFS($R$2:$R$999,$N$2:$N$999,"&lt;=-5",$P$2:$P$999,"&gt;=6.3",$D$2:$D$999,"YES",$F$2:$F$999,"UP",$C$2:$C$999,"&gt;=0.01")</f>
        <v>#DIV/0!</v>
      </c>
      <c r="AV29" s="6" t="e">
        <f>AVERAGEIFS($R$2:$R$999,$N$2:$N$999,"&gt;=-4.5",$N$2:$N$999,"&lt;=4.5",$P$2:$P$999,"&gt;=6.3",$D$2:$D$999,"YES",$F$2:$F$999,"UP",$C$2:$C$999,"&gt;=0.01")</f>
        <v>#DIV/0!</v>
      </c>
      <c r="AW29" s="6" t="e">
        <f>AVERAGEIFS($R$2:$R$999,$N$2:$N$999,"&gt;=5",$P$2:$P$999,"&gt;=6.3",$D$2:$D$999,"YES",$F$2:$F$999,"UP",$C$2:$C$999,"&gt;=0.01")</f>
        <v>#DIV/0!</v>
      </c>
      <c r="AY29" s="6" t="e">
        <f>AVERAGEIFS($R$2:$R$999,$P$2:$P$999,"&gt;=6.3",$C$2:$C$999,"&gt;=9.5",$C$2:$C$999,"&lt;=10.9")</f>
        <v>#DIV/0!</v>
      </c>
      <c r="AZ29" s="6" t="e">
        <f>AVERAGEIFS($R$2:$R$999,$N$2:$N$999,"&lt;=-5",$P$2:$P$999,"&gt;=6.3",$C$2:$C$999,"&gt;=9.5",$C$2:$C$999,"&lt;=10.9")</f>
        <v>#DIV/0!</v>
      </c>
      <c r="BA29" s="6" t="e">
        <f>AVERAGEIFS($R$2:$R$999,$N$2:$N$999,"&gt;=-4.5",$N$2:$N$999,"&lt;=4.5",$P$2:$P$999,"&gt;=6.3",$C$2:$C$999,"&gt;=9.5",$C$2:$C$999,"&lt;=10.9")</f>
        <v>#DIV/0!</v>
      </c>
      <c r="BB29" s="6" t="e">
        <f>AVERAGEIFS($R$2:$R$999,$N$2:$N$999,"&gt;=5",$P$2:$P$999,"&gt;=6.3",$C$2:$C$999,"&gt;=9.5",$C$2:$C$999,"&lt;=10.9")</f>
        <v>#DIV/0!</v>
      </c>
      <c r="BC29" s="3"/>
      <c r="BD29" s="4">
        <f>AVERAGEIFS($R$2:$R$999,$P$2:$P$999,"&gt;=6.3",$I$2:$I$999,"YES")</f>
        <v>1.8190836940836941</v>
      </c>
      <c r="BE29" s="4">
        <f>AVERAGEIFS($R$2:$R$999,$N$2:$N$999,"&lt;=-5",$I$2:$I$999,"YES")</f>
        <v>3.4111742424242424</v>
      </c>
      <c r="BF29" s="4">
        <f>AVERAGEIFS($R$2:$R$999,$N$2:$N$999,"&gt;=-4.5",$N$2:$N$999,"&lt;=4.5",$P$2:$P$999,"&gt;=6.3",$I$2:$I$999,"YES")</f>
        <v>1.8190836940836941</v>
      </c>
      <c r="BG29" s="4" t="e">
        <f>AVERAGEIFS($R$2:$R$999,$N$2:$N$999,"&gt;=5",$P$2:$P$999,"&gt;=6.3",$I$2:$I$999,"YES")</f>
        <v>#DIV/0!</v>
      </c>
      <c r="BH29" s="8"/>
      <c r="BI29" s="9"/>
      <c r="BJ29" s="9"/>
      <c r="BK29" s="9"/>
      <c r="BL29" s="9"/>
      <c r="BQ29" s="1"/>
      <c r="BS29" s="1"/>
      <c r="BT29" s="1"/>
      <c r="BU29" s="1"/>
      <c r="BV29" s="1"/>
      <c r="BX29" s="1"/>
      <c r="BY29" s="1"/>
      <c r="BZ29" s="1"/>
      <c r="CA29" s="1"/>
      <c r="CC29" s="1"/>
      <c r="CD29" s="1"/>
      <c r="CE29" s="1"/>
      <c r="CF29" s="1"/>
      <c r="CH29" s="1"/>
      <c r="CI29" s="1"/>
      <c r="CJ29" s="1"/>
      <c r="CK29" s="1"/>
    </row>
    <row r="30" spans="1:89" x14ac:dyDescent="0.2">
      <c r="A30">
        <v>15</v>
      </c>
      <c r="B30" t="s">
        <v>167</v>
      </c>
      <c r="D30" t="s">
        <v>75</v>
      </c>
      <c r="E30" t="s">
        <v>75</v>
      </c>
      <c r="G30" t="s">
        <v>76</v>
      </c>
      <c r="H30" t="s">
        <v>76</v>
      </c>
      <c r="I30" t="s">
        <v>76</v>
      </c>
      <c r="J30" t="s">
        <v>76</v>
      </c>
      <c r="K30" t="s">
        <v>76</v>
      </c>
      <c r="L30" t="s">
        <v>75</v>
      </c>
      <c r="M30" t="s">
        <v>132</v>
      </c>
      <c r="N30">
        <v>6</v>
      </c>
      <c r="O30">
        <v>48</v>
      </c>
      <c r="P30">
        <v>3.1</v>
      </c>
      <c r="Q30" s="8">
        <v>4.3</v>
      </c>
      <c r="R30" s="1">
        <f t="shared" si="0"/>
        <v>1.3870967741935483</v>
      </c>
      <c r="U30" s="1"/>
      <c r="V30" s="1"/>
      <c r="W30" s="1"/>
      <c r="X30" s="1"/>
      <c r="AD30" s="9"/>
      <c r="AF30" s="9"/>
      <c r="AG30" s="9"/>
      <c r="AH30" s="9"/>
      <c r="AJ30" s="6"/>
      <c r="AK30" s="6"/>
      <c r="AL30" s="6"/>
      <c r="AM30" s="6"/>
      <c r="AS30" s="6"/>
      <c r="AU30" s="6"/>
      <c r="AV30" s="6"/>
      <c r="AW30" s="6"/>
      <c r="AY30" s="6"/>
      <c r="AZ30" s="6"/>
      <c r="BA30" s="6"/>
      <c r="BB30" s="6"/>
      <c r="BC30" s="3"/>
      <c r="BD30" s="3"/>
      <c r="BE30" s="3"/>
      <c r="BF30" s="3"/>
      <c r="BG30" s="3"/>
      <c r="BH30" s="8"/>
      <c r="BI30" s="8"/>
      <c r="BJ30" s="8"/>
      <c r="BK30" s="8"/>
      <c r="BL30" s="8"/>
      <c r="BQ30" s="1"/>
      <c r="BS30" s="1"/>
      <c r="BT30" s="1"/>
      <c r="BU30" s="1"/>
      <c r="BV30" s="1"/>
      <c r="BX30" s="1"/>
      <c r="BY30" s="1"/>
      <c r="BZ30" s="1"/>
      <c r="CA30" s="1"/>
      <c r="CC30" s="1"/>
      <c r="CD30" s="1"/>
      <c r="CE30" s="1"/>
      <c r="CF30" s="1"/>
      <c r="CH30" s="1"/>
      <c r="CI30" s="1"/>
      <c r="CJ30" s="1"/>
      <c r="CK30" s="1"/>
    </row>
    <row r="31" spans="1:89" x14ac:dyDescent="0.2">
      <c r="A31" s="10">
        <v>15</v>
      </c>
      <c r="B31" s="10" t="s">
        <v>116</v>
      </c>
      <c r="C31" s="10"/>
      <c r="D31" s="10" t="s">
        <v>75</v>
      </c>
      <c r="E31" s="10" t="s">
        <v>76</v>
      </c>
      <c r="F31" s="10" t="s">
        <v>109</v>
      </c>
      <c r="G31" s="10" t="s">
        <v>75</v>
      </c>
      <c r="H31" s="10" t="s">
        <v>75</v>
      </c>
      <c r="I31" s="10" t="s">
        <v>76</v>
      </c>
      <c r="J31" s="10" t="s">
        <v>76</v>
      </c>
      <c r="K31" s="10" t="s">
        <v>76</v>
      </c>
      <c r="L31" s="10" t="s">
        <v>75</v>
      </c>
      <c r="M31" s="10" t="s">
        <v>134</v>
      </c>
      <c r="N31" s="10">
        <v>1</v>
      </c>
      <c r="O31" s="10">
        <v>48.5</v>
      </c>
      <c r="P31">
        <v>6.5</v>
      </c>
      <c r="Q31" s="8">
        <v>2.9</v>
      </c>
      <c r="R31" s="1">
        <f t="shared" si="0"/>
        <v>0.44615384615384612</v>
      </c>
      <c r="T31" t="s">
        <v>40</v>
      </c>
      <c r="U31" s="1" t="s">
        <v>29</v>
      </c>
      <c r="V31" s="1" t="s">
        <v>31</v>
      </c>
      <c r="W31" s="1" t="s">
        <v>43</v>
      </c>
      <c r="X31" s="1" t="s">
        <v>30</v>
      </c>
      <c r="Y31" s="8" t="s">
        <v>66</v>
      </c>
      <c r="Z31" s="8" t="s">
        <v>66</v>
      </c>
      <c r="AA31" s="9" t="s">
        <v>31</v>
      </c>
      <c r="AB31" s="9" t="s">
        <v>43</v>
      </c>
      <c r="AC31" s="9" t="s">
        <v>30</v>
      </c>
      <c r="AD31" s="9" t="s">
        <v>113</v>
      </c>
      <c r="AF31" s="9" t="s">
        <v>31</v>
      </c>
      <c r="AG31" s="9" t="s">
        <v>43</v>
      </c>
      <c r="AH31" s="9" t="s">
        <v>30</v>
      </c>
      <c r="AI31" s="5" t="s">
        <v>40</v>
      </c>
      <c r="AJ31" s="6" t="s">
        <v>29</v>
      </c>
      <c r="AK31" s="6" t="s">
        <v>31</v>
      </c>
      <c r="AL31" s="6" t="s">
        <v>43</v>
      </c>
      <c r="AM31" s="6" t="s">
        <v>30</v>
      </c>
      <c r="AN31" s="5" t="s">
        <v>66</v>
      </c>
      <c r="AO31" s="5" t="s">
        <v>66</v>
      </c>
      <c r="AP31" s="6" t="s">
        <v>31</v>
      </c>
      <c r="AQ31" s="6" t="s">
        <v>43</v>
      </c>
      <c r="AR31" s="6" t="s">
        <v>30</v>
      </c>
      <c r="AS31" s="6" t="s">
        <v>113</v>
      </c>
      <c r="AU31" s="6" t="s">
        <v>31</v>
      </c>
      <c r="AV31" s="6" t="s">
        <v>43</v>
      </c>
      <c r="AW31" s="6" t="s">
        <v>30</v>
      </c>
      <c r="AX31" s="6" t="s">
        <v>90</v>
      </c>
      <c r="AY31" s="6" t="s">
        <v>90</v>
      </c>
      <c r="AZ31" s="6" t="s">
        <v>31</v>
      </c>
      <c r="BA31" s="6" t="s">
        <v>43</v>
      </c>
      <c r="BB31" s="6" t="s">
        <v>30</v>
      </c>
      <c r="BC31" s="3" t="s">
        <v>151</v>
      </c>
      <c r="BD31" s="4"/>
      <c r="BE31" s="4" t="s">
        <v>31</v>
      </c>
      <c r="BF31" s="4" t="s">
        <v>43</v>
      </c>
      <c r="BG31" s="4" t="s">
        <v>30</v>
      </c>
      <c r="BH31" s="8"/>
      <c r="BI31" s="9"/>
      <c r="BJ31" s="9"/>
      <c r="BK31" s="9"/>
      <c r="BL31" s="8"/>
      <c r="BQ31" s="1"/>
    </row>
    <row r="32" spans="1:89" x14ac:dyDescent="0.2">
      <c r="A32" s="10">
        <v>15</v>
      </c>
      <c r="B32" s="10" t="s">
        <v>14</v>
      </c>
      <c r="C32" s="10"/>
      <c r="D32" s="10" t="s">
        <v>75</v>
      </c>
      <c r="E32" s="10" t="s">
        <v>76</v>
      </c>
      <c r="F32" s="10" t="s">
        <v>109</v>
      </c>
      <c r="G32" s="10" t="s">
        <v>75</v>
      </c>
      <c r="H32" s="10" t="s">
        <v>75</v>
      </c>
      <c r="I32" s="10" t="s">
        <v>76</v>
      </c>
      <c r="J32" s="10" t="s">
        <v>76</v>
      </c>
      <c r="K32" s="10" t="s">
        <v>76</v>
      </c>
      <c r="L32" s="10" t="s">
        <v>75</v>
      </c>
      <c r="M32" s="10" t="s">
        <v>134</v>
      </c>
      <c r="N32" s="10">
        <v>1</v>
      </c>
      <c r="O32" s="10">
        <v>48.5</v>
      </c>
      <c r="P32">
        <v>5.7</v>
      </c>
      <c r="Q32" s="8">
        <v>1.6</v>
      </c>
      <c r="R32" s="1">
        <f t="shared" si="0"/>
        <v>0.2807017543859649</v>
      </c>
      <c r="U32" s="1">
        <f>AVERAGEIF($O$2:$O$999,"&lt;=44",$R$2:$R$999)</f>
        <v>1.3730506313586717</v>
      </c>
      <c r="V32" s="1">
        <f>AVERAGEIFS($R$2:$R$999,$N$2:$N$999,"&lt;=-5",$O$2:$O$999,"&lt;=44")</f>
        <v>0.39196418823015611</v>
      </c>
      <c r="W32" s="1">
        <f>AVERAGEIFS($R$2:$R$999,$N$2:$N$999,"&gt;=-4.5",$N$2:$N$999,"&lt;=4.5",$O$2:$O$999,"&lt;=44")</f>
        <v>2.0638641962446131</v>
      </c>
      <c r="X32" s="1">
        <f>AVERAGEIFS($R$2:$R$999,$N$2:$N$999,"&gt;=5",$O$2:$O$999,"&lt;=44")</f>
        <v>0.17142857142857143</v>
      </c>
      <c r="Z32" s="9">
        <f>AVERAGEIFS($R$2:$R$999,$E$2:$E$999,"YES")</f>
        <v>3.0934816712514022</v>
      </c>
      <c r="AA32" s="9">
        <f>AVERAGEIFS($R$2:$R$999,$N$2:$N$999,"&lt;=-5",$E$2:$E$999,"YES")</f>
        <v>2.4997582456973988</v>
      </c>
      <c r="AB32" s="9">
        <f>AVERAGEIFS($R$2:$R$999,$N$2:$N$999,"&gt;=-4.5",$N$2:$N$999,"&lt;=4.5",$E$2:$E$999,"YES")</f>
        <v>3.2277562689540087</v>
      </c>
      <c r="AC32" s="9">
        <f>AVERAGEIFS($R$2:$R$999,$N$2:$N$999,"&gt;=5",$E$2:$E$999,"YES")</f>
        <v>2.8815575105897686</v>
      </c>
      <c r="AE32" s="9">
        <f>AVERAGEIFS($R$2:$R$999,$E$2:$E$999,"YES",$F$2:$F$999,"UP")</f>
        <v>3.3745833136518306</v>
      </c>
      <c r="AF32" s="9" t="e">
        <f>AVERAGEIFS($R$2:$R$999,$N$2:$N$999,"&lt;=-5",$E$2:$E$999,"YES",$F$2:$F$999,"UP")</f>
        <v>#DIV/0!</v>
      </c>
      <c r="AG32" s="9">
        <f>AVERAGEIFS($R$2:$R$999,$N$2:$N$999,"&gt;=-4.5",$N$2:$N$999,"&lt;=4.5",$E$2:$E$999,"YES",$F$2:$F$999,"UP")</f>
        <v>3.3745833136518306</v>
      </c>
      <c r="AH32" s="9" t="e">
        <f>AVERAGEIFS($R$2:$R$999,$N$2:$N$999,"&gt;=5",$E$2:$E$999,"YES",$F$2:$F$999,"UP")</f>
        <v>#DIV/0!</v>
      </c>
      <c r="AJ32" s="6">
        <f>AVERAGEIFS($R$2:$R$999,$O$2:$O$999,"&lt;=44",$C$2:$C$999,"&gt;=0.01")</f>
        <v>1.9249623439126335</v>
      </c>
      <c r="AK32" s="6">
        <f>AVERAGEIFS($R$2:$R$999,$N$2:$N$999,"&lt;=-5",$O$2:$O$999,"&lt;=44",$C$2:$C$999,"&gt;=0.01")</f>
        <v>0</v>
      </c>
      <c r="AL32" s="6">
        <f>AVERAGEIFS($R$2:$R$999,$N$2:$N$999,"&gt;=-4.5",$N$2:$N$999,"&lt;=4.5",$O$2:$O$999,"&lt;=44",$C$2:$C$999,"&gt;=0.01")</f>
        <v>2.8445863730118077</v>
      </c>
      <c r="AM32" s="6">
        <f>AVERAGEIFS($R$2:$R$999,$N$2:$N$999,"&gt;=5",$O$2:$O$999,"&lt;=44",$C$2:$C$999,"&gt;=0.01")</f>
        <v>0.17142857142857143</v>
      </c>
      <c r="AO32" s="6">
        <f>AVERAGEIFS($R$2:$R$999,$E$2:$E$999,"YES",$C$2:$C$999,"&gt;=0.01")</f>
        <v>3.3519659875592076</v>
      </c>
      <c r="AP32" s="6" t="e">
        <f>AVERAGEIFS($R$2:$R$999,$N$2:$N$999,"&lt;=-5",$E$2:$E$999,"YES",$C$2:$C$999,"&gt;=0.01")</f>
        <v>#DIV/0!</v>
      </c>
      <c r="AQ32" s="6">
        <f>AVERAGEIFS($R$2:$R$999,$N$2:$N$999,"&gt;=-4.5",$N$2:$N$999,"&lt;=4.5",$E$2:$E$999,"YES",$C$2:$C$999,"&gt;=0.01")</f>
        <v>3.1643126177024481</v>
      </c>
      <c r="AR32" s="6">
        <f>AVERAGEIFS($R$2:$R$999,$N$2:$N$999,"&gt;=5",$E$2:$E$999,"YES",$C$2:$C$999,"&gt;=0.01")</f>
        <v>3.7272727272727266</v>
      </c>
      <c r="AT32" s="6" t="e">
        <f>AVERAGEIFS($R$2:$R$999,$E$2:$E$999,"YES",$F$2:$F$999,"UP",$C$2:$C$999,"&gt;=0.01")</f>
        <v>#DIV/0!</v>
      </c>
      <c r="AU32" s="6" t="e">
        <f>AVERAGEIFS($R$2:$R$999,$N$2:$N$999,"&lt;=-5",$E$2:$E$999,"YES",$F$2:$F$999,"UP",$C$2:$C$999,"&gt;=0.01")</f>
        <v>#DIV/0!</v>
      </c>
      <c r="AV32" s="6" t="e">
        <f>AVERAGEIFS($R$2:$R$999,$N$2:$N$999,"&gt;=-4.5",$N$2:$N$999,"&lt;=4.5",$E$2:$E$999,"YES",$F$2:$F$999,"UP",$C$2:$C$999,"&gt;=0.01")</f>
        <v>#DIV/0!</v>
      </c>
      <c r="AW32" s="6" t="e">
        <f>AVERAGEIFS($R$2:$R$999,$N$2:$N$999,"&gt;=5",$E$2:$E$999,"YES",$F$2:$F$999,"UP",$C$2:$C$999,"&gt;=0.01")</f>
        <v>#DIV/0!</v>
      </c>
      <c r="AY32" s="6">
        <f>AVERAGEIFS($R$2:$R$999,$C$2:$C$999,"&lt;=9.4",$C$2:$C$999,"&gt;=0.01")</f>
        <v>2.2870351133314899</v>
      </c>
      <c r="AZ32" s="6">
        <f>AVERAGEIFS($R$2:$R$999,$N$2:$N$999,"&lt;=-5",$C$2:$C$999,"&lt;=9.4",$C$2:$C$999,"&gt;=0.01")</f>
        <v>1.52</v>
      </c>
      <c r="BA32" s="6">
        <f>AVERAGEIFS($R$2:$R$999,$N$2:$N$999,"&gt;=-4.5",$N$2:$N$999,"&lt;=4.5",$C$2:$C$999,"&lt;=9.4",$C$2:$C$999,"&gt;=0.01")</f>
        <v>1.9597647914316394</v>
      </c>
      <c r="BB32" s="6">
        <f>AVERAGEIFS($R$2:$R$999,$N$2:$N$999,"&gt;=5",$C$2:$C$999,"&lt;=9.4",$C$2:$C$999,"&gt;=0.01")</f>
        <v>3.2347522847522843</v>
      </c>
      <c r="BC32" s="3"/>
      <c r="BD32" s="4">
        <f>AVERAGEIFS($R$2:$R$999,$J$2:$J$999,"YES")</f>
        <v>2.8879325576894854</v>
      </c>
      <c r="BE32" s="4" t="e">
        <f>AVERAGEIFS($R$2:$R$999,$N$2:$N$999,"&lt;=-5",$J$2:$J$999,"YES")</f>
        <v>#DIV/0!</v>
      </c>
      <c r="BF32" s="4">
        <f>AVERAGEIFS($R$2:$R$999,$N$2:$N$999,"&gt;=-4.5",$N$2:$N$999,"&lt;=4.55",$J$2:$J$999,"YES")</f>
        <v>2.899121552537328</v>
      </c>
      <c r="BG32" s="4">
        <f>AVERAGEIFS($R$2:$R$999,$N$2:$N$999,"&gt;=5",$J$2:$J$999,"YES")</f>
        <v>2.8580952380952382</v>
      </c>
      <c r="BH32" s="8"/>
      <c r="BI32" s="9"/>
      <c r="BJ32" s="9"/>
      <c r="BK32" s="9"/>
      <c r="BL32" s="8"/>
      <c r="BQ32" s="1"/>
    </row>
    <row r="33" spans="1:69" x14ac:dyDescent="0.2">
      <c r="A33" s="10">
        <v>15</v>
      </c>
      <c r="B33" s="10" t="s">
        <v>86</v>
      </c>
      <c r="C33" s="10"/>
      <c r="D33" s="10" t="s">
        <v>75</v>
      </c>
      <c r="E33" s="10" t="s">
        <v>76</v>
      </c>
      <c r="F33" s="10" t="s">
        <v>109</v>
      </c>
      <c r="G33" s="10" t="s">
        <v>75</v>
      </c>
      <c r="H33" s="10" t="s">
        <v>75</v>
      </c>
      <c r="I33" s="10" t="s">
        <v>76</v>
      </c>
      <c r="J33" s="10" t="s">
        <v>76</v>
      </c>
      <c r="K33" s="10" t="s">
        <v>76</v>
      </c>
      <c r="L33" s="10" t="s">
        <v>75</v>
      </c>
      <c r="M33" s="10" t="s">
        <v>134</v>
      </c>
      <c r="N33" s="10">
        <v>1</v>
      </c>
      <c r="O33" s="10">
        <v>48.5</v>
      </c>
      <c r="P33">
        <v>3.7</v>
      </c>
      <c r="Q33" s="8">
        <v>13.6</v>
      </c>
      <c r="R33" s="1">
        <f t="shared" si="0"/>
        <v>3.6756756756756754</v>
      </c>
      <c r="U33" s="1"/>
      <c r="V33" s="1"/>
      <c r="W33" s="1"/>
      <c r="X33" s="1"/>
      <c r="Z33" s="9"/>
      <c r="AA33" s="9"/>
      <c r="AB33" s="9"/>
      <c r="AC33" s="9"/>
      <c r="AE33" s="9"/>
      <c r="AF33" s="9"/>
      <c r="AG33" s="9"/>
      <c r="AH33" s="9"/>
      <c r="AJ33" s="6"/>
      <c r="AK33" s="6"/>
      <c r="AL33" s="6"/>
      <c r="AM33" s="6"/>
      <c r="AO33" s="6"/>
      <c r="AP33" s="6"/>
      <c r="AQ33" s="6"/>
      <c r="AR33" s="6"/>
      <c r="AT33" s="6"/>
      <c r="AU33" s="6"/>
      <c r="AV33" s="6"/>
      <c r="AW33" s="6"/>
      <c r="AY33" s="6"/>
      <c r="AZ33" s="6"/>
      <c r="BA33" s="6"/>
      <c r="BB33" s="6"/>
      <c r="BC33" s="3"/>
      <c r="BD33" s="4"/>
      <c r="BE33" s="4"/>
      <c r="BF33" s="4"/>
      <c r="BG33" s="4"/>
      <c r="BH33" s="8"/>
      <c r="BI33" s="9"/>
      <c r="BJ33" s="9"/>
      <c r="BK33" s="9"/>
      <c r="BL33" s="8"/>
      <c r="BQ33" s="1"/>
    </row>
    <row r="34" spans="1:69" x14ac:dyDescent="0.2">
      <c r="A34" s="3">
        <v>15</v>
      </c>
      <c r="B34" s="3" t="s">
        <v>4</v>
      </c>
      <c r="C34" s="3"/>
      <c r="D34" s="3" t="s">
        <v>75</v>
      </c>
      <c r="E34" s="3" t="s">
        <v>76</v>
      </c>
      <c r="F34" s="3"/>
      <c r="G34" s="3" t="s">
        <v>75</v>
      </c>
      <c r="H34" s="3" t="s">
        <v>75</v>
      </c>
      <c r="I34" s="3" t="s">
        <v>76</v>
      </c>
      <c r="J34" s="3" t="s">
        <v>76</v>
      </c>
      <c r="K34" s="3" t="s">
        <v>76</v>
      </c>
      <c r="L34" s="3" t="s">
        <v>75</v>
      </c>
      <c r="M34" s="3" t="s">
        <v>132</v>
      </c>
      <c r="N34" s="3">
        <v>-14.5</v>
      </c>
      <c r="O34" s="3">
        <v>44.5</v>
      </c>
      <c r="P34">
        <v>4.5</v>
      </c>
      <c r="Q34" s="8">
        <v>14.5</v>
      </c>
      <c r="R34" s="1">
        <f t="shared" ref="R34:R65" si="1">Q34/P34</f>
        <v>3.2222222222222223</v>
      </c>
      <c r="T34" t="s">
        <v>40</v>
      </c>
      <c r="U34" s="1" t="s">
        <v>33</v>
      </c>
      <c r="V34" s="1" t="s">
        <v>31</v>
      </c>
      <c r="W34" s="1" t="s">
        <v>43</v>
      </c>
      <c r="X34" s="1" t="s">
        <v>30</v>
      </c>
      <c r="Z34" s="8" t="s">
        <v>33</v>
      </c>
      <c r="AA34" s="9" t="s">
        <v>31</v>
      </c>
      <c r="AB34" s="9" t="s">
        <v>43</v>
      </c>
      <c r="AC34" s="9" t="s">
        <v>30</v>
      </c>
      <c r="AE34" s="8" t="s">
        <v>33</v>
      </c>
      <c r="AF34" s="9" t="s">
        <v>31</v>
      </c>
      <c r="AG34" s="9" t="s">
        <v>43</v>
      </c>
      <c r="AH34" s="9" t="s">
        <v>30</v>
      </c>
      <c r="AI34" s="5" t="s">
        <v>40</v>
      </c>
      <c r="AJ34" s="6" t="s">
        <v>33</v>
      </c>
      <c r="AK34" s="6" t="s">
        <v>31</v>
      </c>
      <c r="AL34" s="6" t="s">
        <v>43</v>
      </c>
      <c r="AM34" s="6" t="s">
        <v>30</v>
      </c>
      <c r="AO34" s="5" t="s">
        <v>33</v>
      </c>
      <c r="AP34" s="6" t="s">
        <v>31</v>
      </c>
      <c r="AQ34" s="6" t="s">
        <v>43</v>
      </c>
      <c r="AR34" s="6" t="s">
        <v>30</v>
      </c>
      <c r="AT34" s="5" t="s">
        <v>33</v>
      </c>
      <c r="AU34" s="6" t="s">
        <v>31</v>
      </c>
      <c r="AV34" s="6" t="s">
        <v>43</v>
      </c>
      <c r="AW34" s="6" t="s">
        <v>30</v>
      </c>
      <c r="AY34" s="5" t="s">
        <v>33</v>
      </c>
      <c r="AZ34" s="6" t="s">
        <v>31</v>
      </c>
      <c r="BA34" s="6" t="s">
        <v>43</v>
      </c>
      <c r="BB34" s="6" t="s">
        <v>30</v>
      </c>
      <c r="BC34" s="3"/>
      <c r="BD34" s="3" t="s">
        <v>33</v>
      </c>
      <c r="BE34" s="4" t="s">
        <v>31</v>
      </c>
      <c r="BF34" s="4" t="s">
        <v>43</v>
      </c>
      <c r="BG34" s="4" t="s">
        <v>30</v>
      </c>
      <c r="BI34" s="1"/>
      <c r="BJ34" s="1"/>
      <c r="BK34" s="1"/>
      <c r="BQ34" s="1"/>
    </row>
    <row r="35" spans="1:69" x14ac:dyDescent="0.2">
      <c r="A35" s="10">
        <v>15</v>
      </c>
      <c r="B35" s="10" t="s">
        <v>7</v>
      </c>
      <c r="C35" s="10">
        <v>8.5</v>
      </c>
      <c r="D35" s="10" t="s">
        <v>75</v>
      </c>
      <c r="E35" s="10" t="s">
        <v>76</v>
      </c>
      <c r="F35" s="10"/>
      <c r="G35" s="10" t="s">
        <v>75</v>
      </c>
      <c r="H35" s="10" t="s">
        <v>75</v>
      </c>
      <c r="I35" s="10" t="s">
        <v>76</v>
      </c>
      <c r="J35" s="10" t="s">
        <v>76</v>
      </c>
      <c r="K35" s="10" t="s">
        <v>76</v>
      </c>
      <c r="L35" s="10" t="s">
        <v>75</v>
      </c>
      <c r="M35" s="10" t="s">
        <v>132</v>
      </c>
      <c r="N35" s="10">
        <v>-14.5</v>
      </c>
      <c r="O35" s="10">
        <v>44.5</v>
      </c>
      <c r="P35">
        <v>5</v>
      </c>
      <c r="Q35" s="8">
        <v>15.2</v>
      </c>
      <c r="R35" s="1">
        <f t="shared" si="1"/>
        <v>3.04</v>
      </c>
      <c r="U35" s="1">
        <f>AVERAGEIFS($R$2:$R$999,$P$2:$P$999,"&lt;=4",$O$2:$O$999,"&lt;=44")</f>
        <v>0.52389162561576352</v>
      </c>
      <c r="V35" s="1">
        <f>AVERAGEIFS($R$2:$R$999,$N$2:$N$999,"&lt;=-5",$P$2:$P$999,"&lt;=4",$O$2:$O$999,"&lt;=44")</f>
        <v>0</v>
      </c>
      <c r="W35" s="1">
        <f>AVERAGEIFS($R$2:$R$999,$N$2:$N$999,"&gt;=-4.5",$N$2:$N$999,"&lt;=4.5",$P$2:$P$999,"&lt;=4",$O$2:$O$999,"&lt;=44")</f>
        <v>0.96206896551724141</v>
      </c>
      <c r="X35" s="1">
        <f>AVERAGEIFS($R$2:$R$999,$N$2:$N$999,"&gt;=5",$P$2:$P$999,"&lt;=4",$O$2:$O$999,"&lt;=44")</f>
        <v>0.17142857142857143</v>
      </c>
      <c r="Z35" s="9">
        <f>AVERAGEIFS($R$2:$R$999,$P$2:$P$999,"&lt;=4",$E$2:$E$999,"YES")</f>
        <v>2.4526320280989209</v>
      </c>
      <c r="AA35" s="9">
        <f>AVERAGEIFS($R$2:$R$999,$N$2:$N$999,"&lt;=-5",$P$2:$P$999,"&lt;=4",$E$2:$E$999,"YES")</f>
        <v>1.3947368421052633</v>
      </c>
      <c r="AB35" s="9">
        <f>AVERAGEIFS($R$2:$R$999,$N$2:$N$999,"&gt;=-4.5",$N$2:$N$999,"&lt;=4.55",$P$2:$P$999,"&lt;=4",$E$2:$E$999,"YES")</f>
        <v>2.7559792337987825</v>
      </c>
      <c r="AC35" s="9">
        <f>AVERAGEIFS($R$2:$R$999,$N$2:$N$999,"&gt;=5",$P$2:$P$999,"&lt;=4",$E$2:$E$999,"YES")</f>
        <v>1.3870967741935483</v>
      </c>
      <c r="AE35" s="9">
        <f>AVERAGEIFS($R$2:$R$999,$P$2:$P$999,"&lt;=4",$E$2:$E$999,"YES",$F$2:$F$999,"UP")</f>
        <v>2.8005137844611534</v>
      </c>
      <c r="AF35" s="9" t="e">
        <f>AVERAGEIFS($R$2:$R$999,$N$2:$N$999,"&lt;=-5",$P$2:$P$999,"&lt;=4",$E$2:$E$999,"YES",$F$2:$F$999,"UP")</f>
        <v>#DIV/0!</v>
      </c>
      <c r="AG35" s="9">
        <f>AVERAGEIFS($R$2:$R$999,$N$2:$N$999,"&gt;=-4.5",$N$2:$N$999,"&lt;=4.55",$P$2:$P$999,"&lt;=4",$E$2:$E$999,"YES",$F$2:$F$999,"UP")</f>
        <v>2.8005137844611534</v>
      </c>
      <c r="AH35" s="9" t="e">
        <f>AVERAGEIFS($R$2:$R$999,$N$2:$N$999,"&gt;=5",$P$2:$P$999,"&lt;=4",$E$2:$E$999,"YES",$F$2:$F$999,"UP")</f>
        <v>#DIV/0!</v>
      </c>
      <c r="AJ35" s="6">
        <f>AVERAGEIFS($R$2:$R$999,$P$2:$P$999,"&lt;=4",$O$2:$O$999,"&lt;=44",$C$2:$C$999,"&gt;=0.01")</f>
        <v>0.45714285714285713</v>
      </c>
      <c r="AK35" s="6">
        <f>AVERAGEIFS($R$2:$R$999,$N$2:$N$999,"&lt;=-5",$P$2:$P$999,"&lt;=4",$O$2:$O$999,"&lt;=44",$C$2:$C$999,"&gt;=0.01")</f>
        <v>0</v>
      </c>
      <c r="AL35" s="6">
        <f>AVERAGEIFS($R$2:$R$999,$N$2:$N$999,"&gt;=-4.5",$N$2:$N$999,"&lt;=4.5",$P$2:$P$999,"&lt;=4",$O$2:$O$999,"&lt;=44",$C$2:$C$999,"&gt;=0.01")</f>
        <v>1.2</v>
      </c>
      <c r="AM35" s="6">
        <f>AVERAGEIFS($R$2:$R$999,$N$2:$N$999,"&gt;=5",$P$2:$P$999,"&lt;=4",$O$2:$O$999,"&lt;=44",$C$2:$C$999,"&gt;=0.01")</f>
        <v>0.17142857142857143</v>
      </c>
      <c r="AO35" s="6" t="e">
        <f>AVERAGEIFS($R$2:$R$999,$P$2:$P$999,"&lt;=4",$E$2:$E$999,"YES",$C$2:$C$999,"&gt;=0.01")</f>
        <v>#DIV/0!</v>
      </c>
      <c r="AP35" s="6" t="e">
        <f>AVERAGEIFS($R$2:$R$999,$N$2:$N$999,"&lt;=-5",$P$2:$P$999,"&lt;=4",$E$2:$E$999,"YES",$C$2:$C$999,"&gt;=0.01")</f>
        <v>#DIV/0!</v>
      </c>
      <c r="AQ35" s="6" t="e">
        <f>AVERAGEIFS($R$2:$R$999,$N$2:$N$999,"&gt;=-4.5",$N$2:$N$999,"&lt;=4.55",$P$2:$P$999,"&lt;=4",$E$2:$E$999,"YES",$C$2:$C$999,"&gt;=0.01")</f>
        <v>#DIV/0!</v>
      </c>
      <c r="AR35" s="6" t="e">
        <f>AVERAGEIFS($R$2:$R$999,$N$2:$N$999,"&gt;=5",$P$2:$P$999,"&lt;=4",$E$2:$E$999,"YES",$C$2:$C$999,"&gt;=0.01")</f>
        <v>#DIV/0!</v>
      </c>
      <c r="AT35" s="6" t="e">
        <f>AVERAGEIFS($R$2:$R$999,$P$2:$P$999,"&lt;=4",$E$2:$E$999,"YES",$F$2:$F$999,"UP",$C$2:$C$999,"&gt;=0.01")</f>
        <v>#DIV/0!</v>
      </c>
      <c r="AU35" s="6" t="e">
        <f>AVERAGEIFS($R$2:$R$999,$N$2:$N$999,"&lt;=-5",$P$2:$P$999,"&lt;=4",$E$2:$E$999,"YES",$F$2:$F$999,"UP",$C$2:$C$999,"&gt;=0.01")</f>
        <v>#DIV/0!</v>
      </c>
      <c r="AV35" s="6" t="e">
        <f>AVERAGEIFS($R$2:$R$999,$N$2:$N$999,"&gt;=-4.5",$N$2:$N$999,"&lt;=4.55",$P$2:$P$999,"&lt;=4",$E$2:$E$999,"YES",$F$2:$F$999,"UP",$C$2:$C$999,"&gt;=0.01")</f>
        <v>#DIV/0!</v>
      </c>
      <c r="AW35" s="6" t="e">
        <f>AVERAGEIFS($R$2:$R$999,$N$2:$N$999,"&gt;=5",$P$2:$P$999,"&lt;=4",$E$2:$E$999,"YES",$F$2:$F$999,"UP",$C$2:$C$999,"&gt;=0.01")</f>
        <v>#DIV/0!</v>
      </c>
      <c r="AY35" s="6">
        <f>AVERAGEIFS($R$2:$R$999,$P$2:$P$999,"&lt;=4",$C$2:$C$999,"&lt;=9.4",$C$2:$C$999,"&gt;=0.01")</f>
        <v>1.7942460317460318</v>
      </c>
      <c r="AZ35" s="6">
        <f>AVERAGEIFS($R$2:$R$999,$N$2:$N$999,"&lt;=-5",$P$2:$P$999,"&lt;=4",$C$2:$C$999,"&lt;=9.4",$C$2:$C$999,"&gt;=0.01")</f>
        <v>0</v>
      </c>
      <c r="BA35" s="6">
        <f>AVERAGEIFS($R$2:$R$999,$N$2:$N$999,"&gt;=-4.5",$N$2:$N$999,"&lt;=4.55",$P$2:$P$999,"&lt;=4",$C$2:$C$999,"&lt;=9.4",$C$2:$C$999,"&gt;=0.01")</f>
        <v>1.2</v>
      </c>
      <c r="BB35" s="6">
        <f>AVERAGEIFS($R$2:$R$999,$N$2:$N$999,"&gt;=5",$P$2:$P$999,"&lt;=4",$C$2:$C$999,"&lt;=9.4",$C$2:$C$999,"&gt;=0.01")</f>
        <v>2.9884920634920635</v>
      </c>
      <c r="BC35" s="3"/>
      <c r="BD35" s="4">
        <f>AVERAGEIFS($R$2:$R$999,$P$2:$P$999,"&lt;=4",$J$2:$J$999,"YES")</f>
        <v>3.6072916666666663</v>
      </c>
      <c r="BE35" s="4" t="e">
        <f>AVERAGEIFS($R$2:$R$999,$N$2:$N$999,"&lt;=-5",$P$2:$P$999,"&lt;=4",$J$2:$J$999,"YES")</f>
        <v>#DIV/0!</v>
      </c>
      <c r="BF35" s="4">
        <f>AVERAGEIFS($R$2:$R$999,$N$2:$N$999,"&gt;=-4.5",$N$2:$N$999,"&lt;=4.55",$P$2:$P$999,"&lt;=4",$J$2:$J$999,"YES")</f>
        <v>3.6072916666666663</v>
      </c>
      <c r="BG35" s="4" t="e">
        <f>AVERAGEIFS($R$2:$R$999,$N$2:$N$999,"&gt;=5",$P$2:$P$999,"&lt;=4",$J$2:$J$999,"YES")</f>
        <v>#DIV/0!</v>
      </c>
      <c r="BI35" s="1"/>
      <c r="BJ35" s="1"/>
      <c r="BK35" s="1"/>
      <c r="BQ35" s="1"/>
    </row>
    <row r="36" spans="1:69" x14ac:dyDescent="0.2">
      <c r="A36">
        <v>15</v>
      </c>
      <c r="B36" t="s">
        <v>168</v>
      </c>
      <c r="C36">
        <v>12.2</v>
      </c>
      <c r="D36" t="s">
        <v>75</v>
      </c>
      <c r="E36" t="s">
        <v>76</v>
      </c>
      <c r="G36" t="s">
        <v>75</v>
      </c>
      <c r="H36" t="s">
        <v>76</v>
      </c>
      <c r="I36" s="8" t="s">
        <v>76</v>
      </c>
      <c r="J36" s="8" t="s">
        <v>76</v>
      </c>
      <c r="K36" t="s">
        <v>75</v>
      </c>
      <c r="L36" t="s">
        <v>75</v>
      </c>
      <c r="M36" t="s">
        <v>132</v>
      </c>
      <c r="N36">
        <v>-10</v>
      </c>
      <c r="O36">
        <v>46</v>
      </c>
      <c r="P36">
        <v>7.5</v>
      </c>
      <c r="Q36" s="8">
        <v>23.8</v>
      </c>
      <c r="R36" s="1">
        <f t="shared" si="1"/>
        <v>3.1733333333333333</v>
      </c>
      <c r="U36" s="1"/>
      <c r="V36" s="1"/>
      <c r="W36" s="1"/>
      <c r="X36" s="1"/>
      <c r="Z36" s="9"/>
      <c r="AA36" s="9"/>
      <c r="AB36" s="9"/>
      <c r="AC36" s="9"/>
      <c r="AE36" s="9"/>
      <c r="AF36" s="9"/>
      <c r="AG36" s="9"/>
      <c r="AH36" s="9"/>
      <c r="AJ36" s="6"/>
      <c r="AK36" s="6"/>
      <c r="AL36" s="6"/>
      <c r="AM36" s="6"/>
      <c r="AO36" s="6"/>
      <c r="AP36" s="6"/>
      <c r="AQ36" s="6"/>
      <c r="AR36" s="6"/>
      <c r="AT36" s="6"/>
      <c r="AU36" s="6"/>
      <c r="AV36" s="6"/>
      <c r="AW36" s="6"/>
      <c r="AY36" s="6"/>
      <c r="AZ36" s="6"/>
      <c r="BA36" s="6"/>
      <c r="BB36" s="6"/>
      <c r="BC36" s="3"/>
      <c r="BD36" s="4"/>
      <c r="BE36" s="4"/>
      <c r="BF36" s="4"/>
      <c r="BG36" s="4"/>
      <c r="BI36" s="1"/>
      <c r="BJ36" s="1"/>
      <c r="BK36" s="1"/>
      <c r="BQ36" s="1"/>
    </row>
    <row r="37" spans="1:69" x14ac:dyDescent="0.2">
      <c r="A37">
        <v>15</v>
      </c>
      <c r="B37" t="s">
        <v>19</v>
      </c>
      <c r="D37" t="s">
        <v>75</v>
      </c>
      <c r="E37" t="s">
        <v>76</v>
      </c>
      <c r="G37" t="s">
        <v>75</v>
      </c>
      <c r="H37" t="s">
        <v>76</v>
      </c>
      <c r="I37" s="8" t="s">
        <v>76</v>
      </c>
      <c r="J37" s="8" t="s">
        <v>76</v>
      </c>
      <c r="K37" t="s">
        <v>75</v>
      </c>
      <c r="L37" t="s">
        <v>75</v>
      </c>
      <c r="M37" t="s">
        <v>132</v>
      </c>
      <c r="N37">
        <v>-10</v>
      </c>
      <c r="O37">
        <v>46</v>
      </c>
      <c r="P37">
        <v>6.5</v>
      </c>
      <c r="Q37" s="8">
        <v>28.2</v>
      </c>
      <c r="R37" s="1">
        <f t="shared" si="1"/>
        <v>4.3384615384615381</v>
      </c>
      <c r="T37" t="s">
        <v>40</v>
      </c>
      <c r="U37" s="1" t="s">
        <v>36</v>
      </c>
      <c r="V37" s="1" t="s">
        <v>31</v>
      </c>
      <c r="W37" s="1" t="s">
        <v>43</v>
      </c>
      <c r="X37" s="1" t="s">
        <v>30</v>
      </c>
      <c r="Z37" s="8" t="s">
        <v>36</v>
      </c>
      <c r="AA37" s="9" t="s">
        <v>31</v>
      </c>
      <c r="AB37" s="9" t="s">
        <v>43</v>
      </c>
      <c r="AC37" s="9" t="s">
        <v>30</v>
      </c>
      <c r="AE37" s="8" t="s">
        <v>36</v>
      </c>
      <c r="AF37" s="9" t="s">
        <v>31</v>
      </c>
      <c r="AG37" s="9" t="s">
        <v>43</v>
      </c>
      <c r="AH37" s="9" t="s">
        <v>30</v>
      </c>
      <c r="AI37" s="5" t="s">
        <v>40</v>
      </c>
      <c r="AJ37" s="6" t="s">
        <v>36</v>
      </c>
      <c r="AK37" s="6" t="s">
        <v>31</v>
      </c>
      <c r="AL37" s="6" t="s">
        <v>43</v>
      </c>
      <c r="AM37" s="6" t="s">
        <v>30</v>
      </c>
      <c r="AO37" s="5" t="s">
        <v>36</v>
      </c>
      <c r="AP37" s="6" t="s">
        <v>31</v>
      </c>
      <c r="AQ37" s="6" t="s">
        <v>43</v>
      </c>
      <c r="AR37" s="6" t="s">
        <v>30</v>
      </c>
      <c r="AT37" s="5" t="s">
        <v>36</v>
      </c>
      <c r="AU37" s="6" t="s">
        <v>31</v>
      </c>
      <c r="AV37" s="6" t="s">
        <v>43</v>
      </c>
      <c r="AW37" s="6" t="s">
        <v>30</v>
      </c>
      <c r="AY37" s="5" t="s">
        <v>36</v>
      </c>
      <c r="AZ37" s="6" t="s">
        <v>31</v>
      </c>
      <c r="BA37" s="6" t="s">
        <v>43</v>
      </c>
      <c r="BB37" s="6" t="s">
        <v>30</v>
      </c>
      <c r="BC37" s="3"/>
      <c r="BD37" s="3" t="s">
        <v>36</v>
      </c>
      <c r="BE37" s="4" t="s">
        <v>31</v>
      </c>
      <c r="BF37" s="4" t="s">
        <v>43</v>
      </c>
      <c r="BG37" s="4" t="s">
        <v>30</v>
      </c>
      <c r="BI37" s="1"/>
      <c r="BJ37" s="1"/>
      <c r="BK37" s="1"/>
      <c r="BQ37" s="1"/>
    </row>
    <row r="38" spans="1:69" x14ac:dyDescent="0.2">
      <c r="A38">
        <v>15</v>
      </c>
      <c r="B38" t="s">
        <v>18</v>
      </c>
      <c r="D38" t="s">
        <v>75</v>
      </c>
      <c r="E38" t="s">
        <v>76</v>
      </c>
      <c r="G38" t="s">
        <v>75</v>
      </c>
      <c r="H38" t="s">
        <v>76</v>
      </c>
      <c r="I38" s="8" t="s">
        <v>76</v>
      </c>
      <c r="J38" s="8" t="s">
        <v>76</v>
      </c>
      <c r="K38" t="s">
        <v>75</v>
      </c>
      <c r="L38" t="s">
        <v>75</v>
      </c>
      <c r="M38" t="s">
        <v>132</v>
      </c>
      <c r="N38">
        <v>-10</v>
      </c>
      <c r="O38">
        <v>46</v>
      </c>
      <c r="P38">
        <v>4.9000000000000004</v>
      </c>
      <c r="Q38" s="8">
        <v>9.9</v>
      </c>
      <c r="R38" s="1">
        <f t="shared" si="1"/>
        <v>2.0204081632653059</v>
      </c>
      <c r="U38" s="1">
        <f>AVERAGEIFS($R$2:$R$999,$P$2:$P$999,"&gt;=4.1",$P$2:$P$999,"&lt;=5",$O$2:$O$999,"&lt;=44")</f>
        <v>1.4688273132112815</v>
      </c>
      <c r="V38" s="1">
        <f>AVERAGEIFS($R$2:$R$999,$N$2:$N$999,"&lt;=-5",$P$2:$P$999,"&gt;=4.1",$P$2:$P$999,"&lt;=5",$O$2:$O$999,"&lt;=44")</f>
        <v>0.76744186046511631</v>
      </c>
      <c r="W38" s="1">
        <f>AVERAGEIFS($R$2:$R$999,$N$2:$N$999,"&gt;=-4.5",$N$2:$N$999,"&lt;=4.5",$P$2:$P$999,"&gt;=4.1",$P$2:$P$999,"&lt;=5",$O$2:$O$999,"&lt;=44")</f>
        <v>2.1702127659574466</v>
      </c>
      <c r="X38" s="1" t="e">
        <f>AVERAGEIFS($R$2:$R$999,$N$2:$N$999,"&gt;=5",$P$2:$P$999,"&gt;=4.1",$P$2:$P$999,"&lt;=5",$O$2:$O$999,"&lt;=44")</f>
        <v>#DIV/0!</v>
      </c>
      <c r="Z38" s="9">
        <f>AVERAGEIFS($R$2:$R$999,$P$2:$P$999,"&gt;=4.1",$P$2:$P$999,"&lt;=5",$E$2:$E$999,"YES")</f>
        <v>4.9038155294512329</v>
      </c>
      <c r="AA38" s="9" t="e">
        <f>AVERAGEIFS($R$2:$R$999,$N$2:$N$999,"&lt;=-5",$P$2:$P$999,"&gt;=4.1",$P$2:$P$999,"&lt;=5",$E$2:$E$999,"YES")</f>
        <v>#DIV/0!</v>
      </c>
      <c r="AB38" s="9">
        <f>AVERAGEIFS($R$2:$R$999,$N$2:$N$999,"&gt;=-4.5",$N$2:$N$999,"&lt;=4.5",$P$2:$P$999,"&gt;=4.1",$P$2:$P$999,"&lt;=5",$E$2:$E$999,"YES")</f>
        <v>5.2959964635107344</v>
      </c>
      <c r="AC38" s="9">
        <f>AVERAGEIFS($R$2:$R$999,$N$2:$N$999,"&gt;=5",$P$2:$P$999,"&gt;=4.1",$P$2:$P$999,"&lt;=5",$E$2:$E$999,"YES")</f>
        <v>3.7272727272727266</v>
      </c>
      <c r="AE38" s="9">
        <f>AVERAGEIFS($R$2:$R$999,$P$2:$P$999,"&gt;=4.1",$P$2:$P$999,"&lt;=5",$E$2:$E$999,"YES",$F$2:$F$999,"UP")</f>
        <v>6.7631436314363143</v>
      </c>
      <c r="AF38" s="9" t="e">
        <f>AVERAGEIFS($R$2:$R$999,$N$2:$N$999,"&lt;=-5",$P$2:$P$999,"&gt;=4.1",$P$2:$P$999,"&lt;=5",$E$2:$E$999,"YES",$F$2:$F$999,"UP")</f>
        <v>#DIV/0!</v>
      </c>
      <c r="AG38" s="9">
        <f>AVERAGEIFS($R$2:$R$999,$N$2:$N$999,"&gt;=-4.5",$N$2:$N$999,"&lt;=4.5",$P$2:$P$999,"&gt;=4.1",$P$2:$P$999,"&lt;=5",$E$2:$E$999,"YES",$F$2:$F$999,"UP")</f>
        <v>6.7631436314363143</v>
      </c>
      <c r="AH38" s="9" t="e">
        <f>AVERAGEIFS($R$2:$R$999,$N$2:$N$999,"&gt;=5",$P$2:$P$999,"&gt;=4.1",$P$2:$P$999,"&lt;=5",$E$2:$E$999,"YES",$F$2:$F$999,"UP")</f>
        <v>#DIV/0!</v>
      </c>
      <c r="AJ38" s="6">
        <f>AVERAGEIFS($R$2:$R$999,$P$2:$P$999,"&gt;=4.1",$P$2:$P$999,"&lt;=5",$O$2:$O$999,"&lt;=44",$C$2:$C$999,"&gt;=0.01")</f>
        <v>2.1702127659574466</v>
      </c>
      <c r="AK38" s="6" t="e">
        <f>AVERAGEIFS($R$2:$R$999,$N$2:$N$999,"&lt;=-5",$P$2:$P$999,"&gt;=4.1",$P$2:$P$999,"&lt;=5",$O$2:$O$999,"&lt;=44",$C$2:$C$999,"&gt;=0.01")</f>
        <v>#DIV/0!</v>
      </c>
      <c r="AL38" s="6">
        <f>AVERAGEIFS($R$2:$R$999,$N$2:$N$999,"&gt;=-4.5",$N$2:$N$999,"&lt;=4.5",$P$2:$P$999,"&gt;=4.1",$P$2:$P$999,"&lt;=5",$O$2:$O$999,"&lt;=44",$C$2:$C$999,"&gt;=0.01")</f>
        <v>2.1702127659574466</v>
      </c>
      <c r="AM38" s="6" t="e">
        <f>AVERAGEIFS($R$2:$R$999,$N$2:$N$999,"&gt;=5",$P$2:$P$999,"&gt;=4.1",$P$2:$P$999,"&lt;=5",$O$2:$O$999,"&lt;=44",$C$2:$C$999,"&gt;=0.01")</f>
        <v>#DIV/0!</v>
      </c>
      <c r="AO38" s="6">
        <f>AVERAGEIFS($R$2:$R$999,$P$2:$P$999,"&gt;=4.1",$P$2:$P$999,"&lt;=5",$E$2:$E$999,"YES",$C$2:$C$999,"&gt;=0.01")</f>
        <v>3.7272727272727266</v>
      </c>
      <c r="AP38" s="6" t="e">
        <f>AVERAGEIFS($R$2:$R$999,$N$2:$N$999,"&lt;=-5",$P$2:$P$999,"&gt;=4.1",$P$2:$P$999,"&lt;=5",$E$2:$E$999,"YES",$C$2:$C$999,"&gt;=0.01")</f>
        <v>#DIV/0!</v>
      </c>
      <c r="AQ38" s="6" t="e">
        <f>AVERAGEIFS($R$2:$R$999,$N$2:$N$999,"&gt;=-4.5",$N$2:$N$999,"&lt;=4.5",$P$2:$P$999,"&gt;=4.1",$P$2:$P$999,"&lt;=5",$E$2:$E$999,"YES",$C$2:$C$999,"&gt;=0.01")</f>
        <v>#DIV/0!</v>
      </c>
      <c r="AR38" s="6">
        <f>AVERAGEIFS($R$2:$R$999,$N$2:$N$999,"&gt;=5",$P$2:$P$999,"&gt;=4.1",$P$2:$P$999,"&lt;=5",$E$2:$E$999,"YES",$C$2:$C$999,"&gt;=0.01")</f>
        <v>3.7272727272727266</v>
      </c>
      <c r="AT38" s="6" t="e">
        <f>AVERAGEIFS($R$2:$R$999,$P$2:$P$999,"&gt;=4.1",$P$2:$P$999,"&lt;=5",$E$2:$E$999,"YES",$F$2:$F$999,"UP",$C$2:$C$999,"&gt;=0.01")</f>
        <v>#DIV/0!</v>
      </c>
      <c r="AU38" s="6" t="e">
        <f>AVERAGEIFS($R$2:$R$999,$N$2:$N$999,"&lt;=-5",$P$2:$P$999,"&gt;=4.1",$P$2:$P$999,"&lt;=5",$E$2:$E$999,"YES",$F$2:$F$999,"UP",$C$2:$C$999,"&gt;=0.01")</f>
        <v>#DIV/0!</v>
      </c>
      <c r="AV38" s="6" t="e">
        <f>AVERAGEIFS($R$2:$R$999,$N$2:$N$999,"&gt;=-4.5",$N$2:$N$999,"&lt;=4.5",$P$2:$P$999,"&gt;=4.1",$P$2:$P$999,"&lt;=5",$E$2:$E$999,"YES",$F$2:$F$999,"UP",$C$2:$C$999,"&gt;=0.01")</f>
        <v>#DIV/0!</v>
      </c>
      <c r="AW38" s="6" t="e">
        <f>AVERAGEIFS($R$2:$R$999,$N$2:$N$999,"&gt;=5",$P$2:$P$999,"&gt;=4.1",$P$2:$P$999,"&lt;=5",$E$2:$E$999,"YES",$F$2:$F$999,"UP",$C$2:$C$999,"&gt;=0.01")</f>
        <v>#DIV/0!</v>
      </c>
      <c r="AY38" s="6">
        <f>AVERAGEIFS($R$2:$R$999,$P$2:$P$999,"&gt;=4.1",$P$2:$P$999,"&lt;=5",$C$2:$C$999,"&lt;=9.4",$C$2:$C$999,"&gt;=0.01")</f>
        <v>2.8138971106412964</v>
      </c>
      <c r="AZ38" s="6">
        <f>AVERAGEIFS($R$2:$R$999,$N$2:$N$999,"&lt;=-5",$P$2:$P$999,"&gt;=4.1",$P$2:$P$999,"&lt;=5",$C$2:$C$999,"&lt;=9.4",$C$2:$C$999,"&gt;=0.01")</f>
        <v>3.04</v>
      </c>
      <c r="BA38" s="6">
        <f>AVERAGEIFS($R$2:$R$999,$N$2:$N$999,"&gt;=-4.5",$N$2:$N$999,"&lt;=4.5",$P$2:$P$999,"&gt;=4.1",$P$2:$P$999,"&lt;=5",$C$2:$C$999,"&lt;=9.4",$C$2:$C$999,"&gt;=0.01")</f>
        <v>1.6744186046511629</v>
      </c>
      <c r="BB38" s="6">
        <f>AVERAGEIFS($R$2:$R$999,$N$2:$N$999,"&gt;=5",$P$2:$P$999,"&gt;=4.1",$P$2:$P$999,"&lt;=5",$C$2:$C$999,"&lt;=9.4",$C$2:$C$999,"&gt;=0.01")</f>
        <v>3.7272727272727266</v>
      </c>
      <c r="BC38" s="3"/>
      <c r="BD38" s="4">
        <f>AVERAGEIFS($R$2:$R$999,$P$2:$P$999,"&gt;=4.1",$P$2:$P$999,"&lt;=5",$J$2:$J$999,"YES")</f>
        <v>2.5481084587441618</v>
      </c>
      <c r="BE38" s="4" t="e">
        <f>AVERAGEIFS($R$2:$R$999,$N$2:$N$999,"&lt;=-5",$P$2:$P$999,"&gt;=4.1",$P$2:$P$999,"&lt;=5",$J$2:$J$999,"YES")</f>
        <v>#DIV/0!</v>
      </c>
      <c r="BF38" s="4">
        <f>AVERAGEIFS($R$2:$R$999,$N$2:$N$999,"&gt;=-4.5",$N$2:$N$999,"&lt;=4.5",$P$2:$P$999,"&gt;=4.1",$P$2:$P$999,"&lt;=5",$J$2:$J$999,"YES")</f>
        <v>3.7662169174883235</v>
      </c>
      <c r="BG38" s="4">
        <f>AVERAGEIFS($R$2:$R$999,$N$2:$N$999,"&gt;=5",$P$2:$P$999,"&gt;=4.1",$P$2:$P$999,"&lt;=5",$J$2:$J$999,"YES")</f>
        <v>1.33</v>
      </c>
      <c r="BI38" s="1"/>
      <c r="BJ38" s="1"/>
      <c r="BK38" s="1"/>
      <c r="BQ38" s="1"/>
    </row>
    <row r="39" spans="1:69" x14ac:dyDescent="0.2">
      <c r="A39" s="10">
        <v>15</v>
      </c>
      <c r="B39" s="10" t="s">
        <v>22</v>
      </c>
      <c r="C39" s="10"/>
      <c r="D39" s="10" t="s">
        <v>76</v>
      </c>
      <c r="E39" s="10" t="s">
        <v>75</v>
      </c>
      <c r="F39" s="10" t="s">
        <v>109</v>
      </c>
      <c r="G39" s="10" t="s">
        <v>75</v>
      </c>
      <c r="H39" s="10" t="s">
        <v>75</v>
      </c>
      <c r="I39" s="10" t="s">
        <v>76</v>
      </c>
      <c r="J39" s="10" t="s">
        <v>76</v>
      </c>
      <c r="K39" s="10" t="s">
        <v>75</v>
      </c>
      <c r="L39" s="10" t="s">
        <v>75</v>
      </c>
      <c r="M39" s="10" t="s">
        <v>134</v>
      </c>
      <c r="N39" s="10">
        <v>3</v>
      </c>
      <c r="O39" s="10">
        <v>50</v>
      </c>
      <c r="P39">
        <v>8</v>
      </c>
      <c r="Q39" s="8">
        <v>20.9</v>
      </c>
      <c r="R39" s="1">
        <f t="shared" si="1"/>
        <v>2.6124999999999998</v>
      </c>
      <c r="U39" s="1"/>
      <c r="V39" s="1"/>
      <c r="W39" s="1"/>
      <c r="X39" s="1"/>
      <c r="Z39" s="9"/>
      <c r="AA39" s="9"/>
      <c r="AB39" s="9"/>
      <c r="AC39" s="9"/>
      <c r="AE39" s="9"/>
      <c r="AF39" s="9"/>
      <c r="AG39" s="9"/>
      <c r="AH39" s="9"/>
      <c r="AJ39" s="6"/>
      <c r="AK39" s="6"/>
      <c r="AL39" s="6"/>
      <c r="AM39" s="6"/>
      <c r="AO39" s="6"/>
      <c r="AP39" s="6"/>
      <c r="AQ39" s="6"/>
      <c r="AR39" s="6"/>
      <c r="AT39" s="6"/>
      <c r="AU39" s="6"/>
      <c r="AV39" s="6"/>
      <c r="AW39" s="6"/>
      <c r="AY39" s="6"/>
      <c r="AZ39" s="6"/>
      <c r="BA39" s="6"/>
      <c r="BB39" s="6"/>
      <c r="BC39" s="3"/>
      <c r="BD39" s="4"/>
      <c r="BE39" s="4"/>
      <c r="BF39" s="4"/>
      <c r="BG39" s="4"/>
      <c r="BI39" s="1"/>
      <c r="BJ39" s="1"/>
      <c r="BK39" s="1"/>
      <c r="BQ39" s="1"/>
    </row>
    <row r="40" spans="1:69" x14ac:dyDescent="0.2">
      <c r="A40" s="10">
        <v>15</v>
      </c>
      <c r="B40" s="10" t="s">
        <v>23</v>
      </c>
      <c r="C40" s="10"/>
      <c r="D40" s="10" t="s">
        <v>76</v>
      </c>
      <c r="E40" s="10" t="s">
        <v>75</v>
      </c>
      <c r="F40" s="10" t="s">
        <v>109</v>
      </c>
      <c r="G40" s="10" t="s">
        <v>75</v>
      </c>
      <c r="H40" s="10" t="s">
        <v>75</v>
      </c>
      <c r="I40" s="10" t="s">
        <v>76</v>
      </c>
      <c r="J40" s="10" t="s">
        <v>76</v>
      </c>
      <c r="K40" s="10" t="s">
        <v>75</v>
      </c>
      <c r="L40" s="10" t="s">
        <v>75</v>
      </c>
      <c r="M40" s="10" t="s">
        <v>134</v>
      </c>
      <c r="N40" s="10">
        <v>3</v>
      </c>
      <c r="O40" s="10">
        <v>50</v>
      </c>
      <c r="P40">
        <v>5.6</v>
      </c>
      <c r="Q40" s="8">
        <v>11.1</v>
      </c>
      <c r="R40" s="1">
        <f t="shared" si="1"/>
        <v>1.9821428571428572</v>
      </c>
      <c r="T40" t="s">
        <v>40</v>
      </c>
      <c r="U40" s="1" t="s">
        <v>34</v>
      </c>
      <c r="V40" s="1" t="s">
        <v>31</v>
      </c>
      <c r="W40" s="1" t="s">
        <v>43</v>
      </c>
      <c r="X40" s="1" t="s">
        <v>30</v>
      </c>
      <c r="Z40" s="8" t="s">
        <v>37</v>
      </c>
      <c r="AA40" s="9" t="s">
        <v>31</v>
      </c>
      <c r="AB40" s="9" t="s">
        <v>43</v>
      </c>
      <c r="AC40" s="9" t="s">
        <v>30</v>
      </c>
      <c r="AE40" s="8" t="s">
        <v>37</v>
      </c>
      <c r="AF40" s="9" t="s">
        <v>31</v>
      </c>
      <c r="AG40" s="9" t="s">
        <v>43</v>
      </c>
      <c r="AH40" s="9" t="s">
        <v>30</v>
      </c>
      <c r="AI40" s="5" t="s">
        <v>40</v>
      </c>
      <c r="AJ40" s="6" t="s">
        <v>34</v>
      </c>
      <c r="AK40" s="6" t="s">
        <v>31</v>
      </c>
      <c r="AL40" s="6" t="s">
        <v>43</v>
      </c>
      <c r="AM40" s="6" t="s">
        <v>30</v>
      </c>
      <c r="AO40" s="5" t="s">
        <v>37</v>
      </c>
      <c r="AP40" s="6" t="s">
        <v>31</v>
      </c>
      <c r="AQ40" s="6" t="s">
        <v>43</v>
      </c>
      <c r="AR40" s="6" t="s">
        <v>30</v>
      </c>
      <c r="AT40" s="5" t="s">
        <v>37</v>
      </c>
      <c r="AU40" s="6" t="s">
        <v>31</v>
      </c>
      <c r="AV40" s="6" t="s">
        <v>43</v>
      </c>
      <c r="AW40" s="6" t="s">
        <v>30</v>
      </c>
      <c r="AY40" s="5" t="s">
        <v>37</v>
      </c>
      <c r="AZ40" s="6" t="s">
        <v>31</v>
      </c>
      <c r="BA40" s="6" t="s">
        <v>43</v>
      </c>
      <c r="BB40" s="6" t="s">
        <v>30</v>
      </c>
      <c r="BC40" s="3"/>
      <c r="BD40" s="3" t="s">
        <v>37</v>
      </c>
      <c r="BE40" s="4" t="s">
        <v>31</v>
      </c>
      <c r="BF40" s="4" t="s">
        <v>43</v>
      </c>
      <c r="BG40" s="4" t="s">
        <v>30</v>
      </c>
      <c r="BI40" s="1"/>
      <c r="BJ40" s="1"/>
      <c r="BK40" s="1"/>
      <c r="BQ40" s="1"/>
    </row>
    <row r="41" spans="1:69" x14ac:dyDescent="0.2">
      <c r="A41" s="10">
        <v>15</v>
      </c>
      <c r="B41" s="10" t="s">
        <v>169</v>
      </c>
      <c r="C41" s="10"/>
      <c r="D41" s="10" t="s">
        <v>76</v>
      </c>
      <c r="E41" s="10" t="s">
        <v>75</v>
      </c>
      <c r="F41" s="10" t="s">
        <v>109</v>
      </c>
      <c r="G41" s="10" t="s">
        <v>75</v>
      </c>
      <c r="H41" s="10" t="s">
        <v>75</v>
      </c>
      <c r="I41" s="10" t="s">
        <v>76</v>
      </c>
      <c r="J41" s="10" t="s">
        <v>76</v>
      </c>
      <c r="K41" s="10" t="s">
        <v>75</v>
      </c>
      <c r="L41" s="10" t="s">
        <v>75</v>
      </c>
      <c r="M41" s="10" t="s">
        <v>134</v>
      </c>
      <c r="N41" s="10">
        <v>3</v>
      </c>
      <c r="O41" s="10">
        <v>50</v>
      </c>
      <c r="P41">
        <v>3.2</v>
      </c>
      <c r="Q41" s="8">
        <v>1.2</v>
      </c>
      <c r="R41" s="1">
        <f t="shared" si="1"/>
        <v>0.37499999999999994</v>
      </c>
      <c r="U41" s="1">
        <f>AVERAGEIFS($R$2:$R$999,$P$2:$P$999,"&gt;=5.1",$P$2:$P$999,"&lt;=6.2",$O$2:$O$999,"&lt;=44")</f>
        <v>2.7629448268252497</v>
      </c>
      <c r="V41" s="1" t="e">
        <f>AVERAGEIFS($R$2:$R$999,$N$2:$N$999,"&lt;=-5",$P$2:$P$999,"&gt;=5.1",$P$2:$P$999,"&lt;=6.2",$O$2:$O$999,"&lt;=44")</f>
        <v>#DIV/0!</v>
      </c>
      <c r="W41" s="1">
        <f>AVERAGEIFS($R$2:$R$999,$N$2:$N$999,"&gt;=-4.5",$N$2:$N$999,"&lt;=4.5",$P$2:$P$999,"&gt;=5.1",$P$2:$P$999,"&lt;=6.2",$O$2:$O$999,"&lt;=44")</f>
        <v>2.7629448268252497</v>
      </c>
      <c r="X41" s="1" t="e">
        <f>AVERAGEIFS($R$2:$R$999,$N$2:$N$999,"&gt;=5",$P$2:$P$999,"&gt;=5.1",$P$2:$P$999,"&lt;=6.2",$O$2:$O$999,"&lt;=44")</f>
        <v>#DIV/0!</v>
      </c>
      <c r="Z41" s="9">
        <f>AVERAGEIFS($R$2:$R$999,$P$2:$P$999,"&gt;=5.1",$P$2:$P$999,"&lt;=6.2",$E$2:$E$999,"YES")</f>
        <v>2.9891481540286771</v>
      </c>
      <c r="AA41" s="9">
        <f>AVERAGEIFS($R$2:$R$999,$N$2:$N$999,"&lt;=-5",$P$2:$P$999,"&gt;=5.1",$P$2:$P$999,"&lt;=6.2",$E$2:$E$999,"YES")</f>
        <v>1.9016393442622952</v>
      </c>
      <c r="AB41" s="9">
        <f>AVERAGEIFS($R$2:$R$999,$N$2:$N$999,"&gt;=-4.5",$N$2:$N$999,"&lt;=4.5",$P$2:$P$999,"&gt;=5.1",$P$2:$P$999,"&lt;=6.2",$E$2:$E$999,"YES")</f>
        <v>3.261025356470272</v>
      </c>
      <c r="AC41" s="9" t="e">
        <f>AVERAGEIFS($R$2:$R$999,$N$2:$N$999,"&gt;=5",$P$2:$P$999,"&gt;=5.1",$P$2:$P$999,"&lt;=6.2",$E$2:$E$999,"YES")</f>
        <v>#DIV/0!</v>
      </c>
      <c r="AE41" s="9">
        <f>AVERAGEIFS($R$2:$R$999,$P$2:$P$999,"&gt;=5.1",$P$2:$P$999,"&lt;=6.2",$E$2:$E$999,"YES",$F$2:$F$999,"UP")</f>
        <v>3.3577380952380951</v>
      </c>
      <c r="AF41" s="9" t="e">
        <f>AVERAGEIFS($R$2:$R$999,$N$2:$N$999,"&lt;=-5",$P$2:$P$999,"&gt;=5.1",$P$2:$P$999,"&lt;=6.2",$E$2:$E$999,"YES",$F$2:$F$999,"UP")</f>
        <v>#DIV/0!</v>
      </c>
      <c r="AG41" s="9">
        <f>AVERAGEIFS($R$2:$R$999,$N$2:$N$999,"&gt;=-4.5",$N$2:$N$999,"&lt;=4.5",$P$2:$P$999,"&gt;=5.1",$P$2:$P$999,"&lt;=6.2",$E$2:$E$999,"YES",$F$2:$F$999,"UP")</f>
        <v>3.3577380952380951</v>
      </c>
      <c r="AH41" s="9" t="e">
        <f>AVERAGEIFS($R$2:$R$999,$N$2:$N$999,"&gt;=5",$P$2:$P$999,"&gt;=5.1",$P$2:$P$999,"&lt;=6.2",$E$2:$E$999,"YES",$F$2:$F$999,"UP")</f>
        <v>#DIV/0!</v>
      </c>
      <c r="AJ41" s="6">
        <f>AVERAGEIFS($R$2:$R$999,$P$2:$P$999,"&gt;=5.1",$P$2:$P$999,"&lt;=6.2",$O$2:$O$999,"&lt;=44",$C$2:$C$999,"&gt;=0.01")</f>
        <v>4.0040663630448927</v>
      </c>
      <c r="AK41" s="6" t="e">
        <f>AVERAGEIFS($R$2:$R$999,$N$2:$N$999,"&lt;=-5",$P$2:$P$999,"&gt;=5.1",$P$2:$P$999,"&lt;=6.2",$O$2:$O$999,"&lt;=44",$C$2:$C$999,"&gt;=0.01")</f>
        <v>#DIV/0!</v>
      </c>
      <c r="AL41" s="6">
        <f>AVERAGEIFS($R$2:$R$999,$N$2:$N$999,"&gt;=-4.5",$N$2:$N$999,"&lt;=4.5",$P$2:$P$999,"&gt;=5.1",$P$2:$P$999,"&lt;=6.2",$O$2:$O$999,"&lt;=44",$C$2:$C$999,"&gt;=0.01")</f>
        <v>4.0040663630448927</v>
      </c>
      <c r="AM41" s="6" t="e">
        <f>AVERAGEIFS($R$2:$R$999,$N$2:$N$999,"&gt;=5",$P$2:$P$999,"&gt;=5.1",$P$2:$P$999,"&lt;=6.2",$O$2:$O$999,"&lt;=44",$C$2:$C$999,"&gt;=0.01")</f>
        <v>#DIV/0!</v>
      </c>
      <c r="AO41" s="6">
        <f>AVERAGEIFS($R$2:$R$999,$P$2:$P$999,"&gt;=5.1",$P$2:$P$999,"&lt;=6.2",$E$2:$E$999,"YES",$C$2:$C$999,"&gt;=0.01")</f>
        <v>3.1643126177024481</v>
      </c>
      <c r="AP41" s="6" t="e">
        <f>AVERAGEIFS($R$2:$R$999,$N$2:$N$999,"&lt;=-5",$P$2:$P$999,"&gt;=5.1",$P$2:$P$999,"&lt;=6.2",$E$2:$E$999,"YES",$C$2:$C$999,"&gt;=0.01")</f>
        <v>#DIV/0!</v>
      </c>
      <c r="AQ41" s="6">
        <f>AVERAGEIFS($R$2:$R$999,$N$2:$N$999,"&gt;=-4.5",$N$2:$N$999,"&lt;=4.5",$P$2:$P$999,"&gt;=5.1",$P$2:$P$999,"&lt;=6.2",$E$2:$E$999,"YES",$C$2:$C$999,"&gt;=0.01")</f>
        <v>3.1643126177024481</v>
      </c>
      <c r="AR41" s="6" t="e">
        <f>AVERAGEIFS($R$2:$R$999,$N$2:$N$999,"&gt;=5",$P$2:$P$999,"&gt;=5.1",$P$2:$P$999,"&lt;=6.2",$E$2:$E$999,"YES",$C$2:$C$999,"&gt;=0.01")</f>
        <v>#DIV/0!</v>
      </c>
      <c r="AT41" s="6" t="e">
        <f>AVERAGEIFS($R$2:$R$999,$P$2:$P$999,"&gt;=5.1",$P$2:$P$999,"&lt;=6.2",$E$2:$E$999,"YES",$F$2:$F$999,"UP",$C$2:$C$999,"&gt;=0.01")</f>
        <v>#DIV/0!</v>
      </c>
      <c r="AU41" s="6" t="e">
        <f>AVERAGEIFS($R$2:$R$999,$N$2:$N$999,"&lt;=-5",$P$2:$P$999,"&gt;=5.1",$P$2:$P$999,"&lt;=6.2",$E$2:$E$999,"YES",$F$2:$F$999,"UP",$C$2:$C$999,"&gt;=0.01")</f>
        <v>#DIV/0!</v>
      </c>
      <c r="AV41" s="6" t="e">
        <f>AVERAGEIFS($R$2:$R$999,$N$2:$N$999,"&gt;=-4.5",$N$2:$N$999,"&lt;=4.5",$P$2:$P$999,"&gt;=5.1",$P$2:$P$999,"&lt;=6.2",$E$2:$E$999,"YES",$F$2:$F$999,"UP",$C$2:$C$999,"&gt;=0.01")</f>
        <v>#DIV/0!</v>
      </c>
      <c r="AW41" s="6" t="e">
        <f>AVERAGEIFS($R$2:$R$999,$N$2:$N$999,"&gt;=5",$P$2:$P$999,"&gt;=5.1",$P$2:$P$999,"&lt;=6.2",$E$2:$E$999,"YES",$F$2:$F$999,"UP",$C$2:$C$999,"&gt;=0.01")</f>
        <v>#DIV/0!</v>
      </c>
      <c r="AY41" s="6">
        <f>AVERAGEIFS($R$2:$R$999,$P$2:$P$999,"&gt;=5.1",$P$2:$P$999,"&lt;=6.2",$C$2:$C$999,"&lt;=9.4",$C$2:$C$999,"&gt;=0.01")</f>
        <v>2.4823202805376972</v>
      </c>
      <c r="AZ41" s="6" t="e">
        <f>AVERAGEIFS($R$2:$R$999,$N$2:$N$999,"&lt;=-5",$P$2:$P$999,"&gt;=5.1",$P$2:$P$999,"&lt;=6.2",$C$2:$C$999,"&lt;=9.4",$C$2:$C$999,"&gt;=0.01")</f>
        <v>#DIV/0!</v>
      </c>
      <c r="BA41" s="6">
        <f>AVERAGEIFS($R$2:$R$999,$N$2:$N$999,"&gt;=-4.5",$N$2:$N$999,"&lt;=4.5",$P$2:$P$999,"&gt;=5.1",$P$2:$P$999,"&lt;=6.2",$C$2:$C$999,"&lt;=9.4",$C$2:$C$999,"&gt;=0.01")</f>
        <v>2.4823202805376972</v>
      </c>
      <c r="BB41" s="6" t="e">
        <f>AVERAGEIFS($R$2:$R$999,$N$2:$N$999,"&gt;=5",$P$2:$P$999,"&gt;=5.1",$P$2:$P$999,"&lt;=6.2",$C$2:$C$999,"&lt;=9.4",$C$2:$C$999,"&gt;=0.01")</f>
        <v>#DIV/0!</v>
      </c>
      <c r="BC41" s="3"/>
      <c r="BD41" s="4">
        <f>AVERAGEIFS($R$2:$R$999,$P$2:$P$999,"&gt;=5.1",$P$2:$P$999,"&lt;=6.2",$J$2:$J$999,"YES")</f>
        <v>3.1643126177024481</v>
      </c>
      <c r="BE41" s="4" t="e">
        <f>AVERAGEIFS($R$2:$R$999,$N$2:$N$999,"&lt;=-5",$P$2:$P$999,"&gt;=5.1",$P$2:$P$999,"&lt;=6.2",$J$2:$J$999,"YES")</f>
        <v>#DIV/0!</v>
      </c>
      <c r="BF41" s="4">
        <f>AVERAGEIFS($R$2:$R$999,$N$2:$N$999,"&gt;=-4.5",$N$2:$N$999,"&lt;=4.5",$P$2:$P$999,"&gt;=5.1",$P$2:$P$999,"&lt;=6.2",$J$2:$J$999,"YES")</f>
        <v>3.1643126177024481</v>
      </c>
      <c r="BG41" s="4" t="e">
        <f>AVERAGEIFS($R$2:$R$999,$N$2:$N$999,"&gt;=5",$P$2:$P$999,"&gt;=5.1",$P$2:$P$999,"&lt;=6.2",$J$2:$J$999,"YES")</f>
        <v>#DIV/0!</v>
      </c>
      <c r="BI41" s="1"/>
      <c r="BJ41" s="1"/>
      <c r="BK41" s="1"/>
      <c r="BQ41" s="1"/>
    </row>
    <row r="42" spans="1:69" x14ac:dyDescent="0.2">
      <c r="A42">
        <v>15</v>
      </c>
      <c r="B42" t="s">
        <v>48</v>
      </c>
      <c r="C42">
        <v>12.1</v>
      </c>
      <c r="D42" t="s">
        <v>76</v>
      </c>
      <c r="E42" t="s">
        <v>76</v>
      </c>
      <c r="G42" t="s">
        <v>76</v>
      </c>
      <c r="H42" t="s">
        <v>75</v>
      </c>
      <c r="I42" t="s">
        <v>76</v>
      </c>
      <c r="J42" t="s">
        <v>76</v>
      </c>
      <c r="K42" t="s">
        <v>75</v>
      </c>
      <c r="L42" t="s">
        <v>75</v>
      </c>
      <c r="M42" t="s">
        <v>134</v>
      </c>
      <c r="N42">
        <v>10</v>
      </c>
      <c r="O42">
        <v>46</v>
      </c>
      <c r="P42">
        <v>5.9</v>
      </c>
      <c r="Q42" s="8">
        <v>11.9</v>
      </c>
      <c r="R42" s="1">
        <f t="shared" si="1"/>
        <v>2.0169491525423728</v>
      </c>
      <c r="U42" s="1"/>
      <c r="V42" s="1"/>
      <c r="W42" s="1"/>
      <c r="X42" s="1"/>
      <c r="Z42" s="9"/>
      <c r="AA42" s="9"/>
      <c r="AB42" s="9"/>
      <c r="AC42" s="9"/>
      <c r="AE42" s="9"/>
      <c r="AF42" s="9"/>
      <c r="AG42" s="9"/>
      <c r="AH42" s="9"/>
      <c r="AJ42" s="6"/>
      <c r="AK42" s="6"/>
      <c r="AL42" s="6"/>
      <c r="AM42" s="6"/>
      <c r="AO42" s="6"/>
      <c r="AP42" s="6"/>
      <c r="AQ42" s="6"/>
      <c r="AR42" s="6"/>
      <c r="AT42" s="6"/>
      <c r="AU42" s="6"/>
      <c r="AV42" s="6"/>
      <c r="AW42" s="6"/>
      <c r="AY42" s="6"/>
      <c r="AZ42" s="6"/>
      <c r="BA42" s="6"/>
      <c r="BB42" s="6"/>
      <c r="BC42" s="3"/>
      <c r="BD42" s="4"/>
      <c r="BE42" s="4"/>
      <c r="BF42" s="4"/>
      <c r="BG42" s="4"/>
      <c r="BI42" s="1"/>
      <c r="BJ42" s="1"/>
      <c r="BK42" s="1"/>
      <c r="BQ42" s="1"/>
    </row>
    <row r="43" spans="1:69" x14ac:dyDescent="0.2">
      <c r="A43">
        <v>15</v>
      </c>
      <c r="B43" t="s">
        <v>106</v>
      </c>
      <c r="D43" t="s">
        <v>76</v>
      </c>
      <c r="E43" t="s">
        <v>76</v>
      </c>
      <c r="G43" t="s">
        <v>76</v>
      </c>
      <c r="H43" t="s">
        <v>75</v>
      </c>
      <c r="I43" t="s">
        <v>76</v>
      </c>
      <c r="J43" t="s">
        <v>76</v>
      </c>
      <c r="K43" t="s">
        <v>75</v>
      </c>
      <c r="L43" t="s">
        <v>75</v>
      </c>
      <c r="M43" t="s">
        <v>134</v>
      </c>
      <c r="N43">
        <v>10</v>
      </c>
      <c r="O43">
        <v>46</v>
      </c>
      <c r="P43">
        <v>4.0999999999999996</v>
      </c>
      <c r="Q43" s="8">
        <v>7.6</v>
      </c>
      <c r="R43" s="1">
        <f t="shared" si="1"/>
        <v>1.8536585365853659</v>
      </c>
      <c r="T43" t="s">
        <v>40</v>
      </c>
      <c r="U43" s="1" t="s">
        <v>35</v>
      </c>
      <c r="V43" s="1" t="s">
        <v>31</v>
      </c>
      <c r="W43" s="1" t="s">
        <v>43</v>
      </c>
      <c r="X43" s="1" t="s">
        <v>30</v>
      </c>
      <c r="Z43" s="8" t="s">
        <v>35</v>
      </c>
      <c r="AA43" s="9" t="s">
        <v>31</v>
      </c>
      <c r="AB43" s="9" t="s">
        <v>43</v>
      </c>
      <c r="AC43" s="9" t="s">
        <v>30</v>
      </c>
      <c r="AE43" s="8" t="s">
        <v>35</v>
      </c>
      <c r="AF43" s="9" t="s">
        <v>31</v>
      </c>
      <c r="AG43" s="9" t="s">
        <v>43</v>
      </c>
      <c r="AH43" s="9" t="s">
        <v>30</v>
      </c>
      <c r="AI43" s="5" t="s">
        <v>40</v>
      </c>
      <c r="AJ43" s="6" t="s">
        <v>35</v>
      </c>
      <c r="AK43" s="6" t="s">
        <v>31</v>
      </c>
      <c r="AL43" s="6" t="s">
        <v>43</v>
      </c>
      <c r="AM43" s="6" t="s">
        <v>30</v>
      </c>
      <c r="AO43" s="5" t="s">
        <v>35</v>
      </c>
      <c r="AP43" s="6" t="s">
        <v>31</v>
      </c>
      <c r="AQ43" s="6" t="s">
        <v>43</v>
      </c>
      <c r="AR43" s="6" t="s">
        <v>30</v>
      </c>
      <c r="AT43" s="5" t="s">
        <v>35</v>
      </c>
      <c r="AU43" s="6" t="s">
        <v>31</v>
      </c>
      <c r="AV43" s="6" t="s">
        <v>43</v>
      </c>
      <c r="AW43" s="6" t="s">
        <v>30</v>
      </c>
      <c r="AY43" s="5" t="s">
        <v>35</v>
      </c>
      <c r="AZ43" s="6" t="s">
        <v>31</v>
      </c>
      <c r="BA43" s="6" t="s">
        <v>43</v>
      </c>
      <c r="BB43" s="6" t="s">
        <v>30</v>
      </c>
      <c r="BC43" s="3"/>
      <c r="BD43" s="3" t="s">
        <v>35</v>
      </c>
      <c r="BE43" s="4" t="s">
        <v>31</v>
      </c>
      <c r="BF43" s="4" t="s">
        <v>43</v>
      </c>
      <c r="BG43" s="4" t="s">
        <v>30</v>
      </c>
      <c r="BI43" s="1"/>
      <c r="BJ43" s="1"/>
      <c r="BK43" s="1"/>
      <c r="BQ43" s="1"/>
    </row>
    <row r="44" spans="1:69" x14ac:dyDescent="0.2">
      <c r="A44">
        <v>15</v>
      </c>
      <c r="B44" t="s">
        <v>170</v>
      </c>
      <c r="D44" t="s">
        <v>76</v>
      </c>
      <c r="E44" t="s">
        <v>76</v>
      </c>
      <c r="G44" t="s">
        <v>76</v>
      </c>
      <c r="H44" t="s">
        <v>75</v>
      </c>
      <c r="I44" t="s">
        <v>76</v>
      </c>
      <c r="J44" t="s">
        <v>76</v>
      </c>
      <c r="K44" t="s">
        <v>75</v>
      </c>
      <c r="L44" t="s">
        <v>75</v>
      </c>
      <c r="M44" t="s">
        <v>134</v>
      </c>
      <c r="N44">
        <v>10</v>
      </c>
      <c r="O44">
        <v>46</v>
      </c>
      <c r="P44">
        <v>3.5</v>
      </c>
      <c r="Q44" s="8">
        <v>5.6</v>
      </c>
      <c r="R44" s="1">
        <f t="shared" si="1"/>
        <v>1.5999999999999999</v>
      </c>
      <c r="U44" s="1">
        <f>AVERAGEIFS($R$2:$R$999,$P$2:$P$999,"&gt;=6.3",$O$2:$O$999,"&lt;=44")</f>
        <v>0.40845070422535212</v>
      </c>
      <c r="V44" s="1">
        <f>AVERAGEIFS($R$2:$R$999,$N$2:$N$999,"&lt;=-5",$P$2:$P$999,"&gt;=6.3",$O$2:$O$999,"&lt;=44")</f>
        <v>0.40845070422535212</v>
      </c>
      <c r="W44" s="1" t="e">
        <f>AVERAGEIFS($R$2:$R$999,$N$2:$N$999,"&gt;=-4.5",$N$2:$N$999,"&lt;=4.5",$P$2:$P$999,"&gt;=6.3",$O$2:$O$999,"&lt;=44")</f>
        <v>#DIV/0!</v>
      </c>
      <c r="X44" s="1" t="e">
        <f>AVERAGEIFS($R$2:$R$999,$N$2:$N$999,"&gt;=5",$P$2:$P$999,"&gt;=6.3",$O$2:$O$999,"&lt;=44")</f>
        <v>#DIV/0!</v>
      </c>
      <c r="Z44" s="9">
        <f>AVERAGEIFS($R$2:$R$999,$P$2:$P$999,"&gt;=6.3",$E$2:$E$999,"YES")</f>
        <v>2.9348114948658428</v>
      </c>
      <c r="AA44" s="9">
        <f>AVERAGEIFS($R$2:$R$999,$N$2:$N$999,"&lt;=-5",$P$2:$P$999,"&gt;=6.3",$E$2:$E$999,"YES")</f>
        <v>4.2028985507246377</v>
      </c>
      <c r="AB44" s="9">
        <f>AVERAGEIFS($R$2:$R$999,$N$2:$N$999,"&gt;=-4.5",$N$2:$N$999,"&lt;=4.5",$P$2:$P$999,"&gt;=6.3",$E$2:$E$999,"YES")</f>
        <v>2.4689168470418466</v>
      </c>
      <c r="AC44" s="9">
        <f>AVERAGEIFS($R$2:$R$999,$N$2:$N$999,"&gt;=5",$P$2:$P$999,"&gt;=6.3",$E$2:$E$999,"YES")</f>
        <v>3.5303030303030307</v>
      </c>
      <c r="AE44" s="9">
        <f>AVERAGEIFS($R$2:$R$999,$P$2:$P$999,"&gt;=6.3",$E$2:$E$999,"YES",$F$2:$F$999,"UP")</f>
        <v>2.083555796055796</v>
      </c>
      <c r="AF44" s="9" t="e">
        <f>AVERAGEIFS($R$2:$R$999,$N$2:$N$999,"&lt;=-5",$P$2:$P$999,"&gt;=6.3",$E$2:$E$999,"YES",$F$2:$F$999,"UP")</f>
        <v>#DIV/0!</v>
      </c>
      <c r="AG44" s="9">
        <f>AVERAGEIFS($R$2:$R$999,$N$2:$N$999,"&gt;=-4.5",$N$2:$N$999,"&lt;=4.5",$P$2:$P$999,"&gt;=6.3",$E$2:$E$999,"YES",$F$2:$F$999,"UP")</f>
        <v>2.083555796055796</v>
      </c>
      <c r="AH44" s="9" t="e">
        <f>AVERAGEIFS($R$2:$R$999,$N$2:$N$999,"&gt;=5",$P$2:$P$999,"&gt;=6.3",$E$2:$E$999,"YES",$F$2:$F$999,"UP")</f>
        <v>#DIV/0!</v>
      </c>
      <c r="AJ44" s="6" t="e">
        <f>AVERAGEIFS($R$2:$R$999,$P$2:$P$999,"&gt;=6.3",$O$2:$O$999,"&lt;=44",$C$2:$C$999,"&gt;=0.01")</f>
        <v>#DIV/0!</v>
      </c>
      <c r="AK44" s="6" t="e">
        <f>AVERAGEIFS($R$2:$R$999,$N$2:$N$999,"&lt;=-5",$P$2:$P$999,"&gt;=6.3",$O$2:$O$999,"&lt;=44",$C$2:$C$999,"&gt;=0.01")</f>
        <v>#DIV/0!</v>
      </c>
      <c r="AL44" s="6" t="e">
        <f>AVERAGEIFS($R$2:$R$999,$N$2:$N$999,"&gt;=-4.5",$N$2:$N$999,"&lt;=4.5",$P$2:$P$999,"&gt;=6.3",$O$2:$O$999,"&lt;=44",$C$2:$C$999,"&gt;=0.01")</f>
        <v>#DIV/0!</v>
      </c>
      <c r="AM44" s="6" t="e">
        <f>AVERAGEIFS($R$2:$R$999,$N$2:$N$999,"&gt;=5",$P$2:$P$999,"&gt;=6.3",$O$2:$O$999,"&lt;=44",$C$2:$C$999,"&gt;=0.01")</f>
        <v>#DIV/0!</v>
      </c>
      <c r="AO44" s="6" t="e">
        <f>AVERAGEIFS($R$2:$R$999,$P$2:$P$999,"&gt;=6.3",$E$2:$E$999,"YES",$C$2:$C$999,"&gt;=0.01")</f>
        <v>#DIV/0!</v>
      </c>
      <c r="AP44" s="6" t="e">
        <f>AVERAGEIFS($R$2:$R$999,$N$2:$N$999,"&lt;=-5",$P$2:$P$999,"&gt;=6.3",$E$2:$E$999,"YES",$C$2:$C$999,"&gt;=0.01")</f>
        <v>#DIV/0!</v>
      </c>
      <c r="AQ44" s="6" t="e">
        <f>AVERAGEIFS($R$2:$R$999,$N$2:$N$999,"&gt;=-4.5",$N$2:$N$999,"&lt;=4.5",$P$2:$P$999,"&gt;=6.3",$E$2:$E$999,"YES",$C$2:$C$999,"&gt;=0.01")</f>
        <v>#DIV/0!</v>
      </c>
      <c r="AR44" s="6" t="e">
        <f>AVERAGEIFS($R$2:$R$999,$N$2:$N$999,"&gt;=5",$P$2:$P$999,"&gt;=6.3",$E$2:$E$999,"YES",$C$2:$C$999,"&gt;=0.01")</f>
        <v>#DIV/0!</v>
      </c>
      <c r="AT44" s="6" t="e">
        <f>AVERAGEIFS($R$2:$R$999,$P$2:$P$999,"&gt;=6.3",$E$2:$E$999,"YES",$F$2:$F$999,"UP",$C$2:$C$999,"&gt;=0.01")</f>
        <v>#DIV/0!</v>
      </c>
      <c r="AU44" s="6" t="e">
        <f>AVERAGEIFS($R$2:$R$999,$N$2:$N$999,"&lt;=-5",$P$2:$P$999,"&gt;=6.3",$E$2:$E$999,"YES",$F$2:$F$999,"UP",$C$2:$C$999,"&gt;=0.01")</f>
        <v>#DIV/0!</v>
      </c>
      <c r="AV44" s="6" t="e">
        <f>AVERAGEIFS($R$2:$R$999,$N$2:$N$999,"&gt;=-4.5",$N$2:$N$999,"&lt;=4.5",$P$2:$P$999,"&gt;=6.3",$E$2:$E$999,"YES",$F$2:$F$999,"UP",$C$2:$C$999,"&gt;=0.01")</f>
        <v>#DIV/0!</v>
      </c>
      <c r="AW44" s="6" t="e">
        <f>AVERAGEIFS($R$2:$R$999,$N$2:$N$999,"&gt;=5",$P$2:$P$999,"&gt;=6.3",$E$2:$E$999,"YES",$F$2:$F$999,"UP",$C$2:$C$999,"&gt;=0.01")</f>
        <v>#DIV/0!</v>
      </c>
      <c r="AY44" s="6" t="e">
        <f>AVERAGEIFS($R$2:$R$999,$P$2:$P$999,"&gt;=6.3",$C$2:$C$999,"&lt;=9.4",$C$2:$C$999,"&gt;=0.01")</f>
        <v>#DIV/0!</v>
      </c>
      <c r="AZ44" s="6" t="e">
        <f>AVERAGEIFS($R$2:$R$999,$N$2:$N$999,"&lt;=-5",$P$2:$P$999,"&gt;=6.3",$C$2:$C$999,"&lt;=9.4",$C$2:$C$999,"&gt;=0.01")</f>
        <v>#DIV/0!</v>
      </c>
      <c r="BA44" s="6" t="e">
        <f>AVERAGEIFS($R$2:$R$999,$N$2:$N$999,"&gt;=-4.5",$N$2:$N$999,"&lt;=4.5",$P$2:$P$999,"&gt;=6.3",$C$2:$C$999,"&lt;=9.4",$C$2:$C$999,"&gt;=0.01")</f>
        <v>#DIV/0!</v>
      </c>
      <c r="BB44" s="6" t="e">
        <f>AVERAGEIFS($R$2:$R$999,$N$2:$N$999,"&gt;=5",$P$2:$P$999,"&gt;=6.3",$C$2:$C$999,"&lt;=9.4",$C$2:$C$999,"&gt;=0.01")</f>
        <v>#DIV/0!</v>
      </c>
      <c r="BC44" s="3"/>
      <c r="BD44" s="4">
        <f>AVERAGEIFS($R$2:$R$999,$P$2:$P$999,"&gt;=6.3",$J$2:$J$999,"YES")</f>
        <v>2.6772052436231539</v>
      </c>
      <c r="BE44" s="4" t="e">
        <f>AVERAGEIFS($R$2:$R$999,$N$2:$N$999,"&lt;=-5",$J$2:$J$999,"YES")</f>
        <v>#DIV/0!</v>
      </c>
      <c r="BF44" s="4">
        <f>AVERAGEIFS($R$2:$R$999,$N$2:$N$999,"&gt;=-4.5",$N$2:$N$999,"&lt;=4.5",$P$2:$P$999,"&gt;=6.3",$J$2:$J$999,"YES")</f>
        <v>1.058665008291874</v>
      </c>
      <c r="BG44" s="4">
        <f>AVERAGEIFS($R$2:$R$999,$N$2:$N$999,"&gt;=5",$P$2:$P$999,"&gt;=6.3",$J$2:$J$999,"YES")</f>
        <v>5.9142857142857137</v>
      </c>
      <c r="BI44" s="1"/>
      <c r="BJ44" s="1"/>
      <c r="BK44" s="1"/>
      <c r="BQ44" s="1"/>
    </row>
    <row r="45" spans="1:69" x14ac:dyDescent="0.2">
      <c r="A45">
        <v>15</v>
      </c>
      <c r="B45" t="s">
        <v>172</v>
      </c>
      <c r="D45" t="s">
        <v>76</v>
      </c>
      <c r="E45" t="s">
        <v>76</v>
      </c>
      <c r="F45" t="s">
        <v>110</v>
      </c>
      <c r="G45" t="s">
        <v>76</v>
      </c>
      <c r="H45" t="s">
        <v>75</v>
      </c>
      <c r="I45" t="s">
        <v>75</v>
      </c>
      <c r="J45" t="s">
        <v>76</v>
      </c>
      <c r="K45" t="s">
        <v>76</v>
      </c>
      <c r="L45" t="s">
        <v>75</v>
      </c>
      <c r="M45" t="s">
        <v>132</v>
      </c>
      <c r="N45">
        <v>-6.5</v>
      </c>
      <c r="O45">
        <v>45.5</v>
      </c>
      <c r="P45">
        <v>4.8</v>
      </c>
      <c r="Q45" s="8">
        <v>12.5</v>
      </c>
      <c r="R45" s="1">
        <f t="shared" si="1"/>
        <v>2.604166666666667</v>
      </c>
      <c r="U45" s="1"/>
      <c r="V45" s="1"/>
      <c r="W45" s="1"/>
      <c r="X45" s="1"/>
      <c r="Z45" s="9"/>
      <c r="AA45" s="9"/>
      <c r="AB45" s="9"/>
      <c r="AC45" s="9"/>
      <c r="AD45" s="9"/>
      <c r="AF45" s="9"/>
      <c r="AG45" s="9"/>
      <c r="AH45" s="9"/>
      <c r="AJ45" s="6"/>
      <c r="AK45" s="6"/>
      <c r="AL45" s="6"/>
      <c r="AM45" s="6"/>
      <c r="AO45" s="6"/>
      <c r="AP45" s="6"/>
      <c r="AQ45" s="6"/>
      <c r="AR45" s="6"/>
      <c r="AS45" s="6"/>
      <c r="AU45" s="6"/>
      <c r="AV45" s="6"/>
      <c r="AW45" s="6"/>
      <c r="AY45" s="6"/>
      <c r="AZ45" s="6"/>
      <c r="BA45" s="6"/>
      <c r="BB45" s="6"/>
      <c r="BC45" s="3"/>
      <c r="BD45" s="3"/>
      <c r="BE45" s="3"/>
      <c r="BF45" s="3"/>
      <c r="BG45" s="3"/>
      <c r="BI45" s="1"/>
      <c r="BJ45" s="1"/>
      <c r="BK45" s="1"/>
      <c r="BQ45" s="1"/>
    </row>
    <row r="46" spans="1:69" x14ac:dyDescent="0.2">
      <c r="A46">
        <v>15</v>
      </c>
      <c r="B46" t="s">
        <v>107</v>
      </c>
      <c r="D46" t="s">
        <v>76</v>
      </c>
      <c r="E46" t="s">
        <v>76</v>
      </c>
      <c r="F46" t="s">
        <v>110</v>
      </c>
      <c r="G46" t="s">
        <v>76</v>
      </c>
      <c r="H46" t="s">
        <v>75</v>
      </c>
      <c r="I46" t="s">
        <v>75</v>
      </c>
      <c r="J46" t="s">
        <v>76</v>
      </c>
      <c r="K46" t="s">
        <v>76</v>
      </c>
      <c r="L46" t="s">
        <v>75</v>
      </c>
      <c r="M46" t="s">
        <v>132</v>
      </c>
      <c r="N46">
        <v>-6.5</v>
      </c>
      <c r="O46">
        <v>45.5</v>
      </c>
      <c r="P46">
        <v>5.5</v>
      </c>
      <c r="Q46" s="8">
        <v>23.2</v>
      </c>
      <c r="R46" s="1">
        <f t="shared" si="1"/>
        <v>4.2181818181818178</v>
      </c>
      <c r="T46" t="s">
        <v>41</v>
      </c>
      <c r="U46" s="1" t="s">
        <v>29</v>
      </c>
      <c r="V46" s="1" t="s">
        <v>31</v>
      </c>
      <c r="W46" s="1" t="s">
        <v>43</v>
      </c>
      <c r="X46" s="1" t="s">
        <v>30</v>
      </c>
      <c r="Z46" s="9"/>
      <c r="AA46" s="9"/>
      <c r="AB46" s="9"/>
      <c r="AC46" s="9"/>
      <c r="AD46" s="8" t="s">
        <v>111</v>
      </c>
      <c r="AE46" s="8" t="s">
        <v>111</v>
      </c>
      <c r="AF46" s="9" t="s">
        <v>31</v>
      </c>
      <c r="AG46" s="9" t="s">
        <v>43</v>
      </c>
      <c r="AH46" s="9" t="s">
        <v>30</v>
      </c>
      <c r="AI46" s="5" t="s">
        <v>41</v>
      </c>
      <c r="AJ46" s="6" t="s">
        <v>29</v>
      </c>
      <c r="AK46" s="6" t="s">
        <v>31</v>
      </c>
      <c r="AL46" s="6" t="s">
        <v>43</v>
      </c>
      <c r="AM46" s="6" t="s">
        <v>30</v>
      </c>
      <c r="AO46" s="6"/>
      <c r="AP46" s="6"/>
      <c r="AQ46" s="6"/>
      <c r="AR46" s="6"/>
      <c r="AS46" s="5" t="s">
        <v>111</v>
      </c>
      <c r="AT46" s="5" t="s">
        <v>111</v>
      </c>
      <c r="AU46" s="6" t="s">
        <v>31</v>
      </c>
      <c r="AV46" s="6" t="s">
        <v>43</v>
      </c>
      <c r="AW46" s="6" t="s">
        <v>30</v>
      </c>
      <c r="AY46" s="6"/>
      <c r="AZ46" s="6"/>
      <c r="BA46" s="6"/>
      <c r="BB46" s="6"/>
      <c r="BD46" s="1"/>
      <c r="BE46" s="1"/>
      <c r="BF46" s="1"/>
      <c r="BG46" s="1"/>
      <c r="BI46" s="1"/>
      <c r="BJ46" s="1"/>
      <c r="BK46" s="1"/>
      <c r="BQ46" s="1"/>
    </row>
    <row r="47" spans="1:69" x14ac:dyDescent="0.2">
      <c r="A47">
        <v>15</v>
      </c>
      <c r="B47" t="s">
        <v>50</v>
      </c>
      <c r="C47">
        <v>12.1</v>
      </c>
      <c r="D47" t="s">
        <v>76</v>
      </c>
      <c r="E47" t="s">
        <v>76</v>
      </c>
      <c r="G47" t="s">
        <v>75</v>
      </c>
      <c r="H47" t="s">
        <v>75</v>
      </c>
      <c r="I47" t="s">
        <v>76</v>
      </c>
      <c r="J47" t="s">
        <v>76</v>
      </c>
      <c r="K47" t="s">
        <v>76</v>
      </c>
      <c r="L47" t="s">
        <v>76</v>
      </c>
      <c r="M47" t="s">
        <v>132</v>
      </c>
      <c r="N47">
        <v>3</v>
      </c>
      <c r="O47">
        <v>48</v>
      </c>
      <c r="P47">
        <v>5.5</v>
      </c>
      <c r="Q47" s="8">
        <v>10.1</v>
      </c>
      <c r="R47" s="1">
        <f t="shared" si="1"/>
        <v>1.8363636363636362</v>
      </c>
      <c r="U47" s="1">
        <f>AVERAGEIFS($R$2:$R$999,$O$2:$O$999,"&gt;=44.5",$O$2:$O$999,"&lt;=48.5")</f>
        <v>2.8459038957834841</v>
      </c>
      <c r="V47" s="1">
        <f>AVERAGEIFS($R$2:$R$999,$N$2:$N$999,"&lt;=-5",$O$2:$O$999,"&gt;=44.5",$O$2:$O$999,"&lt;=48.5")</f>
        <v>2.8872621905146758</v>
      </c>
      <c r="W47" s="1">
        <f>AVERAGEIFS($R$2:$R$999,$N$2:$N$999,"&gt;=-4.5",$N$2:$N$999,"&lt;=4.5",$O$2:$O$999,"&gt;=44.5",$O$2:$O$999,"&lt;=48.5")</f>
        <v>2.9021952716685155</v>
      </c>
      <c r="X47" s="1">
        <f>AVERAGEIFS($R$2:$R$999,$N$2:$N$999,"&gt;=5",$O$2:$O$999,"&gt;=44.5",$O$2:$O$999,"&lt;=48.5")</f>
        <v>2.6714932580513091</v>
      </c>
      <c r="Z47" s="9"/>
      <c r="AA47" s="9"/>
      <c r="AB47" s="9"/>
      <c r="AC47" s="9"/>
      <c r="AE47" s="9">
        <f>AVERAGEIFS($R$2:$R$999,$F$2:$F$999,"UP")</f>
        <v>3.054784258220995</v>
      </c>
      <c r="AF47" s="9" t="e">
        <f>AVERAGEIFS($R$2:$R$999,$N$2:$N$999,"&lt;=-5",$F$2:$F$999,"UP")</f>
        <v>#DIV/0!</v>
      </c>
      <c r="AG47" s="9">
        <f>AVERAGEIFS($R$2:$R$999,$N$2:$N$999,"&gt;=-4.5",$N$2:$N$999,"&lt;=4.5",$F$2:$F$999,"UP")</f>
        <v>3.054784258220995</v>
      </c>
      <c r="AH47" s="9" t="e">
        <f>AVERAGEIFS($R$2:$R$999,$N$2:$N$999,"&gt;=5",$F$2:$F$999,"UP")</f>
        <v>#DIV/0!</v>
      </c>
      <c r="AJ47" s="6">
        <f>AVERAGEIFS($R$2:$R$999,$O$2:$O$999,"&gt;=44.5",$O$2:$O$999,"&lt;=48.5",$C$2:$C$999,"&gt;=0.01")</f>
        <v>2.8661458055965485</v>
      </c>
      <c r="AK47" s="6">
        <f>AVERAGEIFS($R$2:$R$999,$N$2:$N$999,"&lt;=-5",$O$2:$O$999,"&gt;=44.5",$O$2:$O$999,"&lt;=48.5",$C$2:$C$999,"&gt;=0.01")</f>
        <v>2.6190563165905631</v>
      </c>
      <c r="AL47" s="6">
        <f>AVERAGEIFS($R$2:$R$999,$N$2:$N$999,"&gt;=-4.5",$N$2:$N$999,"&lt;=4.5",$O$2:$O$999,"&gt;=44.5",$O$2:$O$999,"&lt;=48.5",$C$2:$C$999,"&gt;=0.01")</f>
        <v>2.4241314952839388</v>
      </c>
      <c r="AM47" s="6">
        <f>AVERAGEIFS($R$2:$R$999,$N$2:$N$999,"&gt;=5",$O$2:$O$999,"&gt;=44.5",$O$2:$O$999,"&lt;=48.5",$C$2:$C$999,"&gt;=0.01")</f>
        <v>3.849925811790218</v>
      </c>
      <c r="AO47" s="6"/>
      <c r="AP47" s="6"/>
      <c r="AQ47" s="6"/>
      <c r="AR47" s="6"/>
      <c r="AT47" s="6" t="e">
        <f>AVERAGEIFS($R$2:$R$999,$F$2:$F$999,"UP",$C$2:$C$999,"&gt;=0.01")</f>
        <v>#DIV/0!</v>
      </c>
      <c r="AU47" s="6" t="e">
        <f>AVERAGEIFS($R$2:$R$999,$N$2:$N$999,"&lt;=-5",$F$2:$F$999,"UP",$C$2:$C$999,"&gt;=0.01")</f>
        <v>#DIV/0!</v>
      </c>
      <c r="AV47" s="6" t="e">
        <f>AVERAGEIFS($R$2:$R$999,$N$2:$N$999,"&gt;=-4.5",$N$2:$N$999,"&lt;=4.5",$F$2:$F$999,"UP",$C$2:$C$999,"&gt;=0.01")</f>
        <v>#DIV/0!</v>
      </c>
      <c r="AW47" s="6" t="e">
        <f>AVERAGEIFS($R$2:$R$999,$N$2:$N$999,"&gt;=5",$F$2:$F$999,"UP",$C$2:$C$999,"&gt;=0.01")</f>
        <v>#DIV/0!</v>
      </c>
      <c r="AY47" s="6"/>
      <c r="AZ47" s="6"/>
      <c r="BA47" s="6"/>
      <c r="BB47" s="6"/>
      <c r="BD47" s="1"/>
      <c r="BE47" s="1"/>
      <c r="BF47" s="1"/>
      <c r="BG47" s="1"/>
      <c r="BI47" s="1"/>
      <c r="BJ47" s="1"/>
      <c r="BK47" s="1"/>
      <c r="BQ47" s="1"/>
    </row>
    <row r="48" spans="1:69" x14ac:dyDescent="0.2">
      <c r="A48">
        <v>15</v>
      </c>
      <c r="B48" t="s">
        <v>17</v>
      </c>
      <c r="C48">
        <v>9.4</v>
      </c>
      <c r="D48" t="s">
        <v>76</v>
      </c>
      <c r="E48" t="s">
        <v>76</v>
      </c>
      <c r="G48" t="s">
        <v>75</v>
      </c>
      <c r="H48" t="s">
        <v>75</v>
      </c>
      <c r="I48" t="s">
        <v>76</v>
      </c>
      <c r="J48" t="s">
        <v>76</v>
      </c>
      <c r="K48" t="s">
        <v>76</v>
      </c>
      <c r="L48" t="s">
        <v>76</v>
      </c>
      <c r="M48" t="s">
        <v>132</v>
      </c>
      <c r="N48">
        <v>3</v>
      </c>
      <c r="O48">
        <v>48</v>
      </c>
      <c r="P48">
        <v>4.3</v>
      </c>
      <c r="Q48" s="8">
        <v>7.2</v>
      </c>
      <c r="R48" s="1">
        <f t="shared" si="1"/>
        <v>1.6744186046511629</v>
      </c>
      <c r="U48" s="1"/>
      <c r="V48" s="1"/>
      <c r="W48" s="1"/>
      <c r="X48" s="1"/>
      <c r="Z48" s="9"/>
      <c r="AA48" s="9"/>
      <c r="AB48" s="9"/>
      <c r="AC48" s="9"/>
      <c r="AE48" s="9"/>
      <c r="AF48" s="9"/>
      <c r="AG48" s="9"/>
      <c r="AH48" s="9"/>
      <c r="AJ48" s="6"/>
      <c r="AK48" s="6"/>
      <c r="AL48" s="6"/>
      <c r="AM48" s="6"/>
      <c r="AO48" s="6"/>
      <c r="AP48" s="6"/>
      <c r="AQ48" s="6"/>
      <c r="AR48" s="6"/>
      <c r="AT48" s="6"/>
      <c r="AU48" s="6"/>
      <c r="AV48" s="6"/>
      <c r="AW48" s="6"/>
      <c r="AY48" s="6"/>
      <c r="AZ48" s="6"/>
      <c r="BA48" s="6"/>
      <c r="BB48" s="6"/>
      <c r="BD48" s="1"/>
      <c r="BE48" s="1"/>
      <c r="BF48" s="1"/>
      <c r="BG48" s="1"/>
      <c r="BI48" s="1"/>
      <c r="BJ48" s="1"/>
      <c r="BK48" s="1"/>
      <c r="BQ48" s="1"/>
    </row>
    <row r="49" spans="1:69" x14ac:dyDescent="0.2">
      <c r="A49">
        <v>15</v>
      </c>
      <c r="B49" t="s">
        <v>126</v>
      </c>
      <c r="C49">
        <v>8.8000000000000007</v>
      </c>
      <c r="D49" t="s">
        <v>76</v>
      </c>
      <c r="E49" t="s">
        <v>76</v>
      </c>
      <c r="G49" t="s">
        <v>75</v>
      </c>
      <c r="H49" t="s">
        <v>76</v>
      </c>
      <c r="I49" t="s">
        <v>76</v>
      </c>
      <c r="J49" t="s">
        <v>76</v>
      </c>
      <c r="K49" t="s">
        <v>76</v>
      </c>
      <c r="L49" t="s">
        <v>75</v>
      </c>
      <c r="M49" t="s">
        <v>134</v>
      </c>
      <c r="N49">
        <v>2</v>
      </c>
      <c r="O49">
        <v>36.5</v>
      </c>
      <c r="P49">
        <v>5.8</v>
      </c>
      <c r="Q49" s="8">
        <v>16.899999999999999</v>
      </c>
      <c r="R49" s="1">
        <f t="shared" si="1"/>
        <v>2.9137931034482758</v>
      </c>
      <c r="T49" t="s">
        <v>41</v>
      </c>
      <c r="U49" s="1" t="s">
        <v>33</v>
      </c>
      <c r="V49" s="1" t="s">
        <v>31</v>
      </c>
      <c r="W49" s="1" t="s">
        <v>43</v>
      </c>
      <c r="X49" s="1" t="s">
        <v>30</v>
      </c>
      <c r="Z49" s="9"/>
      <c r="AA49" s="9"/>
      <c r="AB49" s="9"/>
      <c r="AC49" s="9"/>
      <c r="AE49" s="8" t="s">
        <v>33</v>
      </c>
      <c r="AF49" s="9" t="s">
        <v>31</v>
      </c>
      <c r="AG49" s="9" t="s">
        <v>43</v>
      </c>
      <c r="AH49" s="9" t="s">
        <v>30</v>
      </c>
      <c r="AI49" s="5" t="s">
        <v>41</v>
      </c>
      <c r="AJ49" s="6" t="s">
        <v>33</v>
      </c>
      <c r="AK49" s="6" t="s">
        <v>31</v>
      </c>
      <c r="AL49" s="6" t="s">
        <v>43</v>
      </c>
      <c r="AM49" s="6" t="s">
        <v>30</v>
      </c>
      <c r="AO49" s="6"/>
      <c r="AP49" s="6"/>
      <c r="AQ49" s="6"/>
      <c r="AR49" s="6"/>
      <c r="AT49" s="5" t="s">
        <v>33</v>
      </c>
      <c r="AU49" s="6" t="s">
        <v>31</v>
      </c>
      <c r="AV49" s="6" t="s">
        <v>43</v>
      </c>
      <c r="AW49" s="6" t="s">
        <v>30</v>
      </c>
      <c r="AY49" s="6"/>
      <c r="AZ49" s="6"/>
      <c r="BA49" s="6"/>
      <c r="BB49" s="6"/>
      <c r="BD49" s="1"/>
      <c r="BE49" s="1"/>
      <c r="BF49" s="1"/>
      <c r="BG49" s="1"/>
      <c r="BI49" s="1"/>
      <c r="BJ49" s="1"/>
      <c r="BK49" s="1"/>
      <c r="BQ49" s="1"/>
    </row>
    <row r="50" spans="1:69" x14ac:dyDescent="0.2">
      <c r="A50">
        <v>15</v>
      </c>
      <c r="B50" t="s">
        <v>46</v>
      </c>
      <c r="D50" t="s">
        <v>76</v>
      </c>
      <c r="E50" t="s">
        <v>76</v>
      </c>
      <c r="G50" t="s">
        <v>75</v>
      </c>
      <c r="H50" t="s">
        <v>76</v>
      </c>
      <c r="I50" t="s">
        <v>76</v>
      </c>
      <c r="J50" t="s">
        <v>76</v>
      </c>
      <c r="K50" t="s">
        <v>76</v>
      </c>
      <c r="L50" t="s">
        <v>75</v>
      </c>
      <c r="M50" t="s">
        <v>134</v>
      </c>
      <c r="N50">
        <v>2</v>
      </c>
      <c r="O50">
        <v>36.5</v>
      </c>
      <c r="P50">
        <v>5.7</v>
      </c>
      <c r="Q50" s="8">
        <v>1.6</v>
      </c>
      <c r="R50" s="1">
        <f t="shared" si="1"/>
        <v>0.2807017543859649</v>
      </c>
      <c r="U50" s="1">
        <f>AVERAGEIFS($R$2:$R$999,$P$2:$P$999,"&lt;=4",$O$2:$O$999,"&gt;=44.5",$O$2:$O$999,"&lt;=48.5")</f>
        <v>3.4265977200718294</v>
      </c>
      <c r="V50" s="1">
        <f>AVERAGEIFS($R$2:$R$999,$N$2:$N$999,"&lt;=-5",$P$2:$P$999,"&lt;=4",$O$2:$O$999,"&gt;=44.5",$O$2:$O$999,"&lt;=48.5")</f>
        <v>1.3947368421052633</v>
      </c>
      <c r="W50" s="1">
        <f>AVERAGEIFS($R$2:$R$999,$N$2:$N$999,"&gt;=-4.5",$N$2:$N$999,"&lt;=4.5",$P$2:$P$999,"&lt;=4",$O$2:$O$999,"&gt;=44.5",$O$2:$O$999,"&lt;=48.5")</f>
        <v>3.9293122498479645</v>
      </c>
      <c r="X50" s="1">
        <f>AVERAGEIFS($R$2:$R$999,$N$2:$N$999,"&gt;=5",$P$2:$P$999,"&lt;=4",$O$2:$O$999,"&gt;=44.5",$O$2:$O$999,"&lt;=48.5")</f>
        <v>2.9308841099163678</v>
      </c>
      <c r="Z50" s="9"/>
      <c r="AA50" s="9"/>
      <c r="AB50" s="9"/>
      <c r="AC50" s="9"/>
      <c r="AE50" s="9">
        <f>AVERAGEIFS($R$2:$R$999,$P$2:$P$999,"&lt;=4",$F$2:$F$999,"UP")</f>
        <v>3.4815074700413047</v>
      </c>
      <c r="AF50" s="9" t="e">
        <f>AVERAGEIFS($R$2:$R$999,$N$2:$N$999,"&lt;=-5",$P$2:$P$999,"&lt;=4",$F$2:$F$999,"UP")</f>
        <v>#DIV/0!</v>
      </c>
      <c r="AG50" s="9">
        <f>AVERAGEIFS($R$2:$R$999,$N$2:$N$999,"&gt;=-4.5",$N$2:$N$999,"&lt;=4.55",$P$2:$P$999,"&lt;=4",$F$2:$F$999,"UP")</f>
        <v>3.4815074700413047</v>
      </c>
      <c r="AH50" s="9" t="e">
        <f>AVERAGEIFS($R$2:$R$999,$N$2:$N$999,"&gt;=5",$P$2:$P$999,"&lt;=4",$F$2:$F$999,"UP")</f>
        <v>#DIV/0!</v>
      </c>
      <c r="AJ50" s="6">
        <f>AVERAGEIFS($R$2:$R$999,$P$2:$P$999,"&lt;=4",$O$2:$O$999,"&gt;=44.5",$O$2:$O$999,"&lt;=48.5",$C$2:$C$999,"&gt;=0.01")</f>
        <v>5.8055555555555554</v>
      </c>
      <c r="AK50" s="6" t="e">
        <f>AVERAGEIFS($R$2:$R$999,$N$2:$N$999,"&lt;=-5",$P$2:$P$999,"&lt;=4",$O$2:$O$999,"&gt;=44.5",$O$2:$O$999,"&lt;=48.5",$C$2:$C$999,"&gt;=0.01")</f>
        <v>#DIV/0!</v>
      </c>
      <c r="AL50" s="6" t="e">
        <f>AVERAGEIFS($R$2:$R$999,$N$2:$N$999,"&gt;=-4.5",$N$2:$N$999,"&lt;=4.5",$P$2:$P$999,"&lt;=4",$O$2:$O$999,"&gt;=44.5",$O$2:$O$999,"&lt;=48.5",$C$2:$C$999,"&gt;=0.01")</f>
        <v>#DIV/0!</v>
      </c>
      <c r="AM50" s="6">
        <f>AVERAGEIFS($R$2:$R$999,$N$2:$N$999,"&gt;=5",$P$2:$P$999,"&lt;=4",$O$2:$O$999,"&gt;=44.5",$O$2:$O$999,"&lt;=48.5",$C$2:$C$999,"&gt;=0.01")</f>
        <v>5.8055555555555554</v>
      </c>
      <c r="AO50" s="6"/>
      <c r="AP50" s="6"/>
      <c r="AQ50" s="6"/>
      <c r="AR50" s="6"/>
      <c r="AT50" s="6" t="e">
        <f>AVERAGEIFS($R$2:$R$999,$P$2:$P$999,"&lt;=4",$F$2:$F$999,"UP",$C$2:$C$999,"&gt;=0.01")</f>
        <v>#DIV/0!</v>
      </c>
      <c r="AU50" s="6" t="e">
        <f>AVERAGEIFS($R$2:$R$999,$N$2:$N$999,"&lt;=-5",$P$2:$P$999,"&lt;=4",$F$2:$F$999,"UP",$C$2:$C$999,"&gt;=0.01")</f>
        <v>#DIV/0!</v>
      </c>
      <c r="AV50" s="6" t="e">
        <f>AVERAGEIFS($R$2:$R$999,$N$2:$N$999,"&gt;=-4.5",$N$2:$N$999,"&lt;=4.55",$P$2:$P$999,"&lt;=4",$F$2:$F$999,"UP",$C$2:$C$999,"&gt;=0.01")</f>
        <v>#DIV/0!</v>
      </c>
      <c r="AW50" s="6" t="e">
        <f>AVERAGEIFS($R$2:$R$999,$N$2:$N$999,"&gt;=5",$P$2:$P$999,"&lt;=4",$F$2:$F$999,"UP",$C$2:$C$999,"&gt;=0.01")</f>
        <v>#DIV/0!</v>
      </c>
      <c r="AY50" s="6"/>
      <c r="AZ50" s="6"/>
      <c r="BA50" s="6"/>
      <c r="BB50" s="6"/>
      <c r="BD50" s="1"/>
      <c r="BE50" s="1"/>
      <c r="BF50" s="1"/>
      <c r="BG50" s="1"/>
      <c r="BI50" s="1"/>
      <c r="BJ50" s="1"/>
      <c r="BK50" s="1"/>
      <c r="BQ50" s="1"/>
    </row>
    <row r="51" spans="1:69" x14ac:dyDescent="0.2">
      <c r="A51">
        <v>15</v>
      </c>
      <c r="B51" t="s">
        <v>173</v>
      </c>
      <c r="D51" t="s">
        <v>76</v>
      </c>
      <c r="E51" t="s">
        <v>76</v>
      </c>
      <c r="G51" t="s">
        <v>75</v>
      </c>
      <c r="H51" t="s">
        <v>76</v>
      </c>
      <c r="I51" t="s">
        <v>76</v>
      </c>
      <c r="J51" t="s">
        <v>76</v>
      </c>
      <c r="K51" t="s">
        <v>76</v>
      </c>
      <c r="L51" t="s">
        <v>75</v>
      </c>
      <c r="M51" t="s">
        <v>134</v>
      </c>
      <c r="N51">
        <v>2</v>
      </c>
      <c r="O51">
        <v>36.5</v>
      </c>
      <c r="P51">
        <v>2.9</v>
      </c>
      <c r="Q51" s="8">
        <v>2.1</v>
      </c>
      <c r="R51" s="1">
        <f t="shared" si="1"/>
        <v>0.72413793103448276</v>
      </c>
      <c r="U51" s="1"/>
      <c r="V51" s="1"/>
      <c r="W51" s="1"/>
      <c r="X51" s="1"/>
      <c r="Z51" s="9"/>
      <c r="AA51" s="9"/>
      <c r="AB51" s="9"/>
      <c r="AC51" s="9"/>
      <c r="AE51" s="9"/>
      <c r="AF51" s="9"/>
      <c r="AG51" s="9"/>
      <c r="AH51" s="9"/>
      <c r="AJ51" s="6"/>
      <c r="AK51" s="6"/>
      <c r="AL51" s="6"/>
      <c r="AM51" s="6"/>
      <c r="AO51" s="6"/>
      <c r="AP51" s="6"/>
      <c r="AQ51" s="6"/>
      <c r="AR51" s="6"/>
      <c r="AT51" s="6"/>
      <c r="AU51" s="6"/>
      <c r="AV51" s="6"/>
      <c r="AW51" s="6"/>
      <c r="AY51" s="6"/>
      <c r="AZ51" s="6"/>
      <c r="BA51" s="6"/>
      <c r="BB51" s="6"/>
      <c r="BD51" s="1"/>
      <c r="BE51" s="1"/>
      <c r="BF51" s="1"/>
      <c r="BG51" s="1"/>
      <c r="BI51" s="1"/>
      <c r="BJ51" s="1"/>
      <c r="BK51" s="1"/>
      <c r="BQ51" s="1"/>
    </row>
    <row r="52" spans="1:69" x14ac:dyDescent="0.2">
      <c r="A52">
        <v>15</v>
      </c>
      <c r="B52" t="s">
        <v>95</v>
      </c>
      <c r="D52" t="s">
        <v>76</v>
      </c>
      <c r="E52" t="s">
        <v>76</v>
      </c>
      <c r="G52" t="s">
        <v>75</v>
      </c>
      <c r="H52" t="s">
        <v>76</v>
      </c>
      <c r="I52" t="s">
        <v>76</v>
      </c>
      <c r="J52" t="s">
        <v>75</v>
      </c>
      <c r="K52" t="s">
        <v>76</v>
      </c>
      <c r="L52" t="s">
        <v>75</v>
      </c>
      <c r="M52" t="s">
        <v>134</v>
      </c>
      <c r="N52">
        <v>11</v>
      </c>
      <c r="O52">
        <v>46.5</v>
      </c>
      <c r="P52">
        <v>7</v>
      </c>
      <c r="Q52" s="8">
        <v>41.4</v>
      </c>
      <c r="R52" s="1">
        <f t="shared" si="1"/>
        <v>5.9142857142857137</v>
      </c>
      <c r="T52" t="s">
        <v>41</v>
      </c>
      <c r="U52" s="1" t="s">
        <v>36</v>
      </c>
      <c r="V52" s="1" t="s">
        <v>31</v>
      </c>
      <c r="W52" s="1" t="s">
        <v>43</v>
      </c>
      <c r="X52" s="1" t="s">
        <v>30</v>
      </c>
      <c r="Z52" s="9"/>
      <c r="AA52" s="9"/>
      <c r="AB52" s="9"/>
      <c r="AC52" s="9"/>
      <c r="AE52" s="8" t="s">
        <v>36</v>
      </c>
      <c r="AF52" s="9" t="s">
        <v>31</v>
      </c>
      <c r="AG52" s="9" t="s">
        <v>43</v>
      </c>
      <c r="AH52" s="9" t="s">
        <v>30</v>
      </c>
      <c r="AI52" s="5" t="s">
        <v>41</v>
      </c>
      <c r="AJ52" s="6" t="s">
        <v>36</v>
      </c>
      <c r="AK52" s="6" t="s">
        <v>31</v>
      </c>
      <c r="AL52" s="6" t="s">
        <v>43</v>
      </c>
      <c r="AM52" s="6" t="s">
        <v>30</v>
      </c>
      <c r="AO52" s="6"/>
      <c r="AP52" s="6"/>
      <c r="AQ52" s="6"/>
      <c r="AR52" s="6"/>
      <c r="AT52" s="5" t="s">
        <v>36</v>
      </c>
      <c r="AU52" s="6" t="s">
        <v>31</v>
      </c>
      <c r="AV52" s="6" t="s">
        <v>43</v>
      </c>
      <c r="AW52" s="6" t="s">
        <v>30</v>
      </c>
      <c r="AY52" s="6"/>
      <c r="AZ52" s="6"/>
      <c r="BA52" s="6"/>
      <c r="BB52" s="6"/>
      <c r="BD52" s="1"/>
      <c r="BE52" s="1"/>
      <c r="BF52" s="1"/>
      <c r="BG52" s="1"/>
      <c r="BI52" s="1"/>
      <c r="BJ52" s="1"/>
      <c r="BK52" s="1"/>
      <c r="BQ52" s="1"/>
    </row>
    <row r="53" spans="1:69" x14ac:dyDescent="0.2">
      <c r="A53">
        <v>15</v>
      </c>
      <c r="B53" t="s">
        <v>174</v>
      </c>
      <c r="D53" t="s">
        <v>76</v>
      </c>
      <c r="E53" t="s">
        <v>76</v>
      </c>
      <c r="G53" t="s">
        <v>75</v>
      </c>
      <c r="H53" t="s">
        <v>76</v>
      </c>
      <c r="I53" t="s">
        <v>76</v>
      </c>
      <c r="J53" t="s">
        <v>75</v>
      </c>
      <c r="K53" t="s">
        <v>76</v>
      </c>
      <c r="L53" t="s">
        <v>75</v>
      </c>
      <c r="M53" t="s">
        <v>134</v>
      </c>
      <c r="N53">
        <v>11</v>
      </c>
      <c r="O53">
        <v>46.5</v>
      </c>
      <c r="P53">
        <v>5</v>
      </c>
      <c r="Q53" s="8">
        <v>5</v>
      </c>
      <c r="R53" s="1">
        <f t="shared" si="1"/>
        <v>1</v>
      </c>
      <c r="U53" s="1">
        <f>AVERAGEIFS($R$2:$R$999,$P$2:$P$999,"&gt;=4.1",$P$2:$P$999,"&lt;=5",$O$2:$O$999,"&gt;=44.5",$O$2:$O$999,"&lt;=48.5")</f>
        <v>2.9499165688121112</v>
      </c>
      <c r="V53" s="1">
        <f>AVERAGEIFS($R$2:$R$999,$N$2:$N$999,"&lt;=-5",$P$2:$P$999,"&gt;=4.1",$P$2:$P$999,"&lt;=5",$O$2:$O$999,"&gt;=44.5",$O$2:$O$999,"&lt;=48.5")</f>
        <v>2.7216992630385493</v>
      </c>
      <c r="W53" s="1">
        <f>AVERAGEIFS($R$2:$R$999,$N$2:$N$999,"&gt;=-4.5",$N$2:$N$999,"&lt;=4.5",$P$2:$P$999,"&gt;=4.1",$P$2:$P$999,"&lt;=5",$O$2:$O$999,"&gt;=44.5",$O$2:$O$999,"&lt;=48.5")</f>
        <v>4.2559598599062385</v>
      </c>
      <c r="X53" s="1">
        <f>AVERAGEIFS($R$2:$R$999,$N$2:$N$999,"&gt;=5",$P$2:$P$999,"&gt;=4.1",$P$2:$P$999,"&lt;=5",$O$2:$O$999,"&gt;=44.5",$O$2:$O$999,"&lt;=48.5")</f>
        <v>1.8264471223368361</v>
      </c>
      <c r="Z53" s="9"/>
      <c r="AA53" s="9"/>
      <c r="AB53" s="9"/>
      <c r="AC53" s="9"/>
      <c r="AE53" s="9">
        <f>AVERAGEIFS($R$2:$R$999,$P$2:$P$999,"&gt;=4.1",$P$2:$P$999,"&lt;=5",$F$2:$F$999,"UP")</f>
        <v>6.7631436314363143</v>
      </c>
      <c r="AF53" s="9" t="e">
        <f>AVERAGEIFS($R$2:$R$999,$N$2:$N$999,"&lt;=-5",$P$2:$P$999,"&gt;=4.1",$P$2:$P$999,"&lt;=5",$F$2:$F$999,"UP")</f>
        <v>#DIV/0!</v>
      </c>
      <c r="AG53" s="9">
        <f>AVERAGEIFS($R$2:$R$999,$N$2:$N$999,"&gt;=-4.5",$N$2:$N$999,"&lt;=4.5",$P$2:$P$999,"&gt;=4.1",$P$2:$P$999,"&lt;=5",$F$2:$F$999,"UP")</f>
        <v>6.7631436314363143</v>
      </c>
      <c r="AH53" s="9" t="e">
        <f>AVERAGEIFS($R$2:$R$999,$N$2:$N$999,"&gt;=5",$P$2:$P$999,"&gt;=4.1",$P$2:$P$999,"&lt;=5",$F$2:$F$999,"UP")</f>
        <v>#DIV/0!</v>
      </c>
      <c r="AJ53" s="6">
        <f>AVERAGEIFS($R$2:$R$999,$P$2:$P$999,"&gt;=4.1",$P$2:$P$999,"&lt;=5",$O$2:$O$999,"&gt;=44.5",$O$2:$O$999,"&lt;=48.5",$C$2:$C$999,"&gt;=0.01")</f>
        <v>2.8138971106412964</v>
      </c>
      <c r="AK53" s="6">
        <f>AVERAGEIFS($R$2:$R$999,$N$2:$N$999,"&lt;=-5",$P$2:$P$999,"&gt;=4.1",$P$2:$P$999,"&lt;=5",$O$2:$O$999,"&gt;=44.5",$O$2:$O$999,"&lt;=48.5",$C$2:$C$999,"&gt;=0.01")</f>
        <v>3.04</v>
      </c>
      <c r="AL53" s="6">
        <f>AVERAGEIFS($R$2:$R$999,$N$2:$N$999,"&gt;=-4.5",$N$2:$N$999,"&lt;=4.5",$P$2:$P$999,"&gt;=4.1",$P$2:$P$999,"&lt;=5",$O$2:$O$999,"&gt;=44.5",$O$2:$O$999,"&lt;=48.5",$C$2:$C$999,"&gt;=0.01")</f>
        <v>1.6744186046511629</v>
      </c>
      <c r="AM53" s="6">
        <f>AVERAGEIFS($R$2:$R$999,$N$2:$N$999,"&gt;=5",$P$2:$P$999,"&gt;=4.1",$P$2:$P$999,"&lt;=5",$O$2:$O$999,"&gt;=44.5",$O$2:$O$999,"&lt;=48.5",$C$2:$C$999,"&gt;=0.01")</f>
        <v>3.7272727272727266</v>
      </c>
      <c r="AO53" s="6"/>
      <c r="AP53" s="6"/>
      <c r="AQ53" s="6"/>
      <c r="AR53" s="6"/>
      <c r="AT53" s="6" t="e">
        <f>AVERAGEIFS($R$2:$R$999,$P$2:$P$999,"&gt;=4.1",$P$2:$P$999,"&lt;=5",$F$2:$F$999,"UP",$C$2:$C$999,"&gt;=0.01")</f>
        <v>#DIV/0!</v>
      </c>
      <c r="AU53" s="6" t="e">
        <f>AVERAGEIFS($R$2:$R$999,$N$2:$N$999,"&lt;=-5",$P$2:$P$999,"&gt;=4.1",$P$2:$P$999,"&lt;=5",$F$2:$F$999,"UP",$C$2:$C$999,"&gt;=0.01")</f>
        <v>#DIV/0!</v>
      </c>
      <c r="AV53" s="6" t="e">
        <f>AVERAGEIFS($R$2:$R$999,$N$2:$N$999,"&gt;=-4.5",$N$2:$N$999,"&lt;=4.5",$P$2:$P$999,"&gt;=4.1",$P$2:$P$999,"&lt;=5",$F$2:$F$999,"UP",$C$2:$C$999,"&gt;=0.01")</f>
        <v>#DIV/0!</v>
      </c>
      <c r="AW53" s="6" t="e">
        <f>AVERAGEIFS($R$2:$R$999,$N$2:$N$999,"&gt;=5",$P$2:$P$999,"&gt;=4.1",$P$2:$P$999,"&lt;=5",$F$2:$F$999,"UP",$C$2:$C$999,"&gt;=0.01")</f>
        <v>#DIV/0!</v>
      </c>
      <c r="AY53" s="6"/>
      <c r="AZ53" s="6"/>
      <c r="BA53" s="6"/>
      <c r="BB53" s="6"/>
      <c r="BD53" s="1"/>
      <c r="BE53" s="1"/>
      <c r="BF53" s="1"/>
      <c r="BG53" s="1"/>
      <c r="BI53" s="1"/>
      <c r="BJ53" s="1"/>
      <c r="BK53" s="1"/>
      <c r="BQ53" s="1"/>
    </row>
    <row r="54" spans="1:69" x14ac:dyDescent="0.2">
      <c r="A54">
        <v>15</v>
      </c>
      <c r="B54" t="s">
        <v>137</v>
      </c>
      <c r="D54" t="s">
        <v>76</v>
      </c>
      <c r="E54" t="s">
        <v>76</v>
      </c>
      <c r="G54" t="s">
        <v>75</v>
      </c>
      <c r="H54" t="s">
        <v>76</v>
      </c>
      <c r="I54" t="s">
        <v>76</v>
      </c>
      <c r="J54" t="s">
        <v>75</v>
      </c>
      <c r="K54" t="s">
        <v>76</v>
      </c>
      <c r="L54" t="s">
        <v>75</v>
      </c>
      <c r="M54" t="s">
        <v>134</v>
      </c>
      <c r="N54">
        <v>11</v>
      </c>
      <c r="O54">
        <v>46.5</v>
      </c>
      <c r="P54">
        <v>5</v>
      </c>
      <c r="Q54" s="8">
        <v>8.3000000000000007</v>
      </c>
      <c r="R54" s="1">
        <f t="shared" si="1"/>
        <v>1.6600000000000001</v>
      </c>
      <c r="U54" s="1"/>
      <c r="V54" s="1"/>
      <c r="W54" s="1"/>
      <c r="X54" s="1"/>
      <c r="Z54" s="9"/>
      <c r="AA54" s="9"/>
      <c r="AB54" s="9"/>
      <c r="AC54" s="9"/>
      <c r="AE54" s="9"/>
      <c r="AF54" s="9"/>
      <c r="AG54" s="9"/>
      <c r="AH54" s="9"/>
      <c r="AJ54" s="6"/>
      <c r="AK54" s="6"/>
      <c r="AL54" s="6"/>
      <c r="AM54" s="6"/>
      <c r="AO54" s="6"/>
      <c r="AP54" s="6"/>
      <c r="AQ54" s="6"/>
      <c r="AR54" s="6"/>
      <c r="AT54" s="6"/>
      <c r="AU54" s="6"/>
      <c r="AV54" s="6"/>
      <c r="AW54" s="6"/>
      <c r="AY54" s="6"/>
      <c r="AZ54" s="6"/>
      <c r="BA54" s="6"/>
      <c r="BB54" s="6"/>
      <c r="BD54" s="1"/>
      <c r="BE54" s="1"/>
      <c r="BF54" s="1"/>
      <c r="BG54" s="1"/>
      <c r="BI54" s="1"/>
      <c r="BJ54" s="1"/>
      <c r="BK54" s="1"/>
      <c r="BQ54" s="1"/>
    </row>
    <row r="55" spans="1:69" x14ac:dyDescent="0.2">
      <c r="A55">
        <v>15</v>
      </c>
      <c r="B55" t="s">
        <v>175</v>
      </c>
      <c r="D55" t="s">
        <v>76</v>
      </c>
      <c r="E55" t="s">
        <v>76</v>
      </c>
      <c r="F55" t="s">
        <v>109</v>
      </c>
      <c r="G55" t="s">
        <v>76</v>
      </c>
      <c r="H55" t="s">
        <v>76</v>
      </c>
      <c r="I55" t="s">
        <v>76</v>
      </c>
      <c r="J55" t="s">
        <v>76</v>
      </c>
      <c r="K55" t="s">
        <v>76</v>
      </c>
      <c r="L55" t="s">
        <v>75</v>
      </c>
      <c r="M55" t="s">
        <v>134</v>
      </c>
      <c r="N55">
        <v>-1</v>
      </c>
      <c r="O55">
        <v>48.5</v>
      </c>
      <c r="P55">
        <v>6.2</v>
      </c>
      <c r="Q55" s="8">
        <v>5.7</v>
      </c>
      <c r="R55" s="1">
        <f t="shared" si="1"/>
        <v>0.91935483870967738</v>
      </c>
      <c r="T55" t="s">
        <v>41</v>
      </c>
      <c r="U55" s="1" t="s">
        <v>34</v>
      </c>
      <c r="V55" s="1" t="s">
        <v>31</v>
      </c>
      <c r="W55" s="1" t="s">
        <v>43</v>
      </c>
      <c r="X55" s="1" t="s">
        <v>30</v>
      </c>
      <c r="Z55" s="9"/>
      <c r="AA55" s="9"/>
      <c r="AB55" s="9"/>
      <c r="AC55" s="9"/>
      <c r="AE55" s="8" t="s">
        <v>37</v>
      </c>
      <c r="AF55" s="9" t="s">
        <v>31</v>
      </c>
      <c r="AG55" s="9" t="s">
        <v>43</v>
      </c>
      <c r="AH55" s="9" t="s">
        <v>30</v>
      </c>
      <c r="AI55" s="5" t="s">
        <v>41</v>
      </c>
      <c r="AJ55" s="6" t="s">
        <v>34</v>
      </c>
      <c r="AK55" s="6" t="s">
        <v>31</v>
      </c>
      <c r="AL55" s="6" t="s">
        <v>43</v>
      </c>
      <c r="AM55" s="6" t="s">
        <v>30</v>
      </c>
      <c r="AO55" s="6"/>
      <c r="AP55" s="6"/>
      <c r="AQ55" s="6"/>
      <c r="AR55" s="6"/>
      <c r="AT55" s="5" t="s">
        <v>37</v>
      </c>
      <c r="AU55" s="6" t="s">
        <v>31</v>
      </c>
      <c r="AV55" s="6" t="s">
        <v>43</v>
      </c>
      <c r="AW55" s="6" t="s">
        <v>30</v>
      </c>
      <c r="AY55" s="6"/>
      <c r="AZ55" s="6"/>
      <c r="BA55" s="6"/>
      <c r="BB55" s="6"/>
      <c r="BD55" s="1"/>
      <c r="BE55" s="1"/>
      <c r="BF55" s="1"/>
      <c r="BG55" s="1"/>
      <c r="BI55" s="1"/>
      <c r="BJ55" s="1"/>
      <c r="BK55" s="1"/>
      <c r="BQ55" s="1"/>
    </row>
    <row r="56" spans="1:69" x14ac:dyDescent="0.2">
      <c r="A56">
        <v>15</v>
      </c>
      <c r="B56" t="s">
        <v>176</v>
      </c>
      <c r="D56" t="s">
        <v>76</v>
      </c>
      <c r="E56" t="s">
        <v>76</v>
      </c>
      <c r="F56" t="s">
        <v>109</v>
      </c>
      <c r="G56" t="s">
        <v>76</v>
      </c>
      <c r="H56" t="s">
        <v>76</v>
      </c>
      <c r="I56" t="s">
        <v>76</v>
      </c>
      <c r="J56" t="s">
        <v>76</v>
      </c>
      <c r="K56" t="s">
        <v>76</v>
      </c>
      <c r="L56" t="s">
        <v>75</v>
      </c>
      <c r="M56" t="s">
        <v>134</v>
      </c>
      <c r="N56">
        <v>-1</v>
      </c>
      <c r="O56">
        <v>48.5</v>
      </c>
      <c r="P56">
        <v>6.5</v>
      </c>
      <c r="Q56" s="8">
        <v>16.100000000000001</v>
      </c>
      <c r="R56" s="1">
        <f t="shared" si="1"/>
        <v>2.476923076923077</v>
      </c>
      <c r="U56" s="1">
        <f>AVERAGEIFS($R$2:$R$999,$P$2:$P$999,"&gt;=5.1",$P$2:$P$999,"&lt;=6.2",$O$2:$O$999,"&gt;=44.5",$O$2:$O$999,"&lt;=48.5")</f>
        <v>2.0279795310945179</v>
      </c>
      <c r="V56" s="1">
        <f>AVERAGEIFS($R$2:$R$999,$N$2:$N$999,"&lt;=-5",$P$2:$P$999,"&gt;=5.1",$P$2:$P$999,"&lt;=6.2",$O$2:$O$999,"&gt;=44.5",$O$2:$O$999,"&lt;=48.5")</f>
        <v>3.0599105812220566</v>
      </c>
      <c r="W56" s="1">
        <f>AVERAGEIFS($R$2:$R$999,$N$2:$N$999,"&gt;=-4.5",$N$2:$N$999,"&lt;=4.5",$P$2:$P$999,"&gt;=5.1",$P$2:$P$999,"&lt;=6.2",$O$2:$O$999,"&gt;=44.5",$O$2:$O$999,"&lt;=48.5")</f>
        <v>1.685840910810696</v>
      </c>
      <c r="X56" s="1">
        <f>AVERAGEIFS($R$2:$R$999,$N$2:$N$999,"&gt;=5",$P$2:$P$999,"&gt;=5.1",$P$2:$P$999,"&lt;=6.2",$O$2:$O$999,"&gt;=44.5",$O$2:$O$999,"&lt;=48.5")</f>
        <v>2.0169491525423728</v>
      </c>
      <c r="Z56" s="9"/>
      <c r="AA56" s="9"/>
      <c r="AB56" s="9"/>
      <c r="AC56" s="9"/>
      <c r="AE56" s="9">
        <f>AVERAGEIFS($R$2:$R$999,$P$2:$P$999,"&gt;=5.1",$P$2:$P$999,"&lt;=6.2",$F$2:$F$999,"UP")</f>
        <v>1.9788831958929582</v>
      </c>
      <c r="AF56" s="9" t="e">
        <f>AVERAGEIFS($R$2:$R$999,$N$2:$N$999,"&lt;=-5",$P$2:$P$999,"&gt;=5.1",$P$2:$P$999,"&lt;=6.2",$F$2:$F$999,"UP")</f>
        <v>#DIV/0!</v>
      </c>
      <c r="AG56" s="9">
        <f>AVERAGEIFS($R$2:$R$999,$N$2:$N$999,"&gt;=-4.5",$N$2:$N$999,"&lt;=4.5",$P$2:$P$999,"&gt;=5.1",$P$2:$P$999,"&lt;=6.2",$F$2:$F$999,"UP")</f>
        <v>1.9788831958929582</v>
      </c>
      <c r="AH56" s="9" t="e">
        <f>AVERAGEIFS($R$2:$R$999,$N$2:$N$999,"&gt;=5",$P$2:$P$999,"&gt;=5.1",$P$2:$P$999,"&lt;=6.2",$F$2:$F$999,"UP")</f>
        <v>#DIV/0!</v>
      </c>
      <c r="AJ56" s="6">
        <f>AVERAGEIFS($R$2:$R$999,$P$2:$P$999,"&gt;=5.1",$P$2:$P$999,"&lt;=6.2",$O$2:$O$999,"&gt;=44.5",$O$2:$O$999,"&lt;=48.5",$C$2:$C$999,"&gt;=0.01")</f>
        <v>2.5454845060777265</v>
      </c>
      <c r="AK56" s="6" t="e">
        <f>AVERAGEIFS($R$2:$R$999,$N$2:$N$999,"&lt;=-5",$P$2:$P$999,"&gt;=5.1",$P$2:$P$999,"&lt;=6.2",$O$2:$O$999,"&gt;=44.5",$O$2:$O$999,"&lt;=48.5",$C$2:$C$999,"&gt;=0.01")</f>
        <v>#DIV/0!</v>
      </c>
      <c r="AL56" s="6">
        <f>AVERAGEIFS($R$2:$R$999,$N$2:$N$999,"&gt;=-4.5",$N$2:$N$999,"&lt;=4.5",$P$2:$P$999,"&gt;=5.1",$P$2:$P$999,"&lt;=6.2",$O$2:$O$999,"&gt;=44.5",$O$2:$O$999,"&lt;=48.5",$C$2:$C$999,"&gt;=0.01")</f>
        <v>2.7216629572561772</v>
      </c>
      <c r="AM56" s="6">
        <f>AVERAGEIFS($R$2:$R$999,$N$2:$N$999,"&gt;=5",$P$2:$P$999,"&gt;=5.1",$P$2:$P$999,"&lt;=6.2",$O$2:$O$999,"&gt;=44.5",$O$2:$O$999,"&lt;=48.5",$C$2:$C$999,"&gt;=0.01")</f>
        <v>2.0169491525423728</v>
      </c>
      <c r="AO56" s="6"/>
      <c r="AP56" s="6"/>
      <c r="AQ56" s="6"/>
      <c r="AR56" s="6"/>
      <c r="AT56" s="6" t="e">
        <f>AVERAGEIFS($R$2:$R$999,$P$2:$P$999,"&gt;=5.1",$P$2:$P$999,"&lt;=6.2",$F$2:$F$999,"UP",$C$2:$C$999,"&gt;=0.01")</f>
        <v>#DIV/0!</v>
      </c>
      <c r="AU56" s="6" t="e">
        <f>AVERAGEIFS($R$2:$R$999,$N$2:$N$999,"&lt;=-5",$P$2:$P$999,"&gt;=5.1",$P$2:$P$999,"&lt;=6.2",$F$2:$F$999,"UP",$C$2:$C$999,"&gt;=0.01")</f>
        <v>#DIV/0!</v>
      </c>
      <c r="AV56" s="6" t="e">
        <f>AVERAGEIFS($R$2:$R$999,$N$2:$N$999,"&gt;=-4.5",$N$2:$N$999,"&lt;=4.5",$P$2:$P$999,"&gt;=5.1",$P$2:$P$999,"&lt;=6.2",$F$2:$F$999,"UP",$C$2:$C$999,"&gt;=0.01")</f>
        <v>#DIV/0!</v>
      </c>
      <c r="AW56" s="6" t="e">
        <f>AVERAGEIFS($R$2:$R$999,$N$2:$N$999,"&gt;=5",$P$2:$P$999,"&gt;=5.1",$P$2:$P$999,"&lt;=6.2",$F$2:$F$999,"UP",$C$2:$C$999,"&gt;=0.01")</f>
        <v>#DIV/0!</v>
      </c>
      <c r="AY56" s="6"/>
      <c r="AZ56" s="6"/>
      <c r="BA56" s="6"/>
      <c r="BB56" s="6"/>
      <c r="BD56" s="1"/>
      <c r="BE56" s="1"/>
      <c r="BF56" s="1"/>
      <c r="BG56" s="1"/>
      <c r="BI56" s="1"/>
      <c r="BJ56" s="1"/>
      <c r="BK56" s="1"/>
      <c r="BQ56" s="1"/>
    </row>
    <row r="57" spans="1:69" x14ac:dyDescent="0.2">
      <c r="A57">
        <v>15</v>
      </c>
      <c r="B57" t="s">
        <v>177</v>
      </c>
      <c r="D57" t="s">
        <v>76</v>
      </c>
      <c r="E57" t="s">
        <v>76</v>
      </c>
      <c r="F57" t="s">
        <v>109</v>
      </c>
      <c r="G57" t="s">
        <v>76</v>
      </c>
      <c r="H57" t="s">
        <v>76</v>
      </c>
      <c r="I57" t="s">
        <v>76</v>
      </c>
      <c r="J57" t="s">
        <v>76</v>
      </c>
      <c r="K57" t="s">
        <v>76</v>
      </c>
      <c r="L57" t="s">
        <v>75</v>
      </c>
      <c r="M57" t="s">
        <v>134</v>
      </c>
      <c r="N57">
        <v>-1</v>
      </c>
      <c r="O57">
        <v>48.5</v>
      </c>
      <c r="P57">
        <v>3.9</v>
      </c>
      <c r="Q57" s="8">
        <v>26.1</v>
      </c>
      <c r="R57" s="1">
        <f t="shared" si="1"/>
        <v>6.6923076923076925</v>
      </c>
      <c r="U57" s="1"/>
      <c r="V57" s="1"/>
      <c r="W57" s="1"/>
      <c r="X57" s="1"/>
      <c r="Z57" s="9"/>
      <c r="AA57" s="9"/>
      <c r="AB57" s="9"/>
      <c r="AC57" s="9"/>
      <c r="AE57" s="9"/>
      <c r="AF57" s="9"/>
      <c r="AG57" s="9"/>
      <c r="AH57" s="9"/>
      <c r="AJ57" s="6"/>
      <c r="AK57" s="6"/>
      <c r="AL57" s="6"/>
      <c r="AM57" s="6"/>
      <c r="AO57" s="6"/>
      <c r="AP57" s="6"/>
      <c r="AQ57" s="6"/>
      <c r="AR57" s="6"/>
      <c r="AT57" s="6"/>
      <c r="AU57" s="6"/>
      <c r="AV57" s="6"/>
      <c r="AW57" s="6"/>
      <c r="AY57" s="6"/>
      <c r="AZ57" s="6"/>
      <c r="BA57" s="6"/>
      <c r="BB57" s="6"/>
      <c r="BD57" s="1"/>
      <c r="BE57" s="1"/>
      <c r="BF57" s="1"/>
      <c r="BG57" s="1"/>
      <c r="BI57" s="1"/>
      <c r="BJ57" s="1"/>
      <c r="BK57" s="1"/>
      <c r="BQ57" s="1"/>
    </row>
    <row r="58" spans="1:69" x14ac:dyDescent="0.2">
      <c r="A58">
        <v>15</v>
      </c>
      <c r="B58" t="s">
        <v>44</v>
      </c>
      <c r="C58">
        <v>12.4</v>
      </c>
      <c r="D58" t="s">
        <v>76</v>
      </c>
      <c r="E58" t="s">
        <v>76</v>
      </c>
      <c r="G58" t="s">
        <v>76</v>
      </c>
      <c r="H58" t="s">
        <v>76</v>
      </c>
      <c r="I58" t="s">
        <v>76</v>
      </c>
      <c r="J58" t="s">
        <v>76</v>
      </c>
      <c r="K58" t="s">
        <v>76</v>
      </c>
      <c r="L58" t="s">
        <v>76</v>
      </c>
      <c r="M58" t="s">
        <v>134</v>
      </c>
      <c r="N58">
        <v>-10</v>
      </c>
      <c r="O58">
        <v>45</v>
      </c>
      <c r="P58">
        <v>7.3</v>
      </c>
      <c r="Q58" s="8">
        <v>12</v>
      </c>
      <c r="R58" s="1">
        <f t="shared" si="1"/>
        <v>1.6438356164383563</v>
      </c>
      <c r="T58" t="s">
        <v>41</v>
      </c>
      <c r="U58" s="1" t="s">
        <v>35</v>
      </c>
      <c r="V58" s="1" t="s">
        <v>31</v>
      </c>
      <c r="W58" s="1" t="s">
        <v>43</v>
      </c>
      <c r="X58" s="1" t="s">
        <v>30</v>
      </c>
      <c r="Z58" s="9"/>
      <c r="AA58" s="9"/>
      <c r="AB58" s="9"/>
      <c r="AC58" s="9"/>
      <c r="AE58" s="8" t="s">
        <v>35</v>
      </c>
      <c r="AF58" s="9" t="s">
        <v>31</v>
      </c>
      <c r="AG58" s="9" t="s">
        <v>43</v>
      </c>
      <c r="AH58" s="9" t="s">
        <v>30</v>
      </c>
      <c r="AI58" s="5" t="s">
        <v>41</v>
      </c>
      <c r="AJ58" s="6" t="s">
        <v>35</v>
      </c>
      <c r="AK58" s="6" t="s">
        <v>31</v>
      </c>
      <c r="AL58" s="6" t="s">
        <v>43</v>
      </c>
      <c r="AM58" s="6" t="s">
        <v>30</v>
      </c>
      <c r="AO58" s="6"/>
      <c r="AP58" s="6"/>
      <c r="AQ58" s="6"/>
      <c r="AR58" s="6"/>
      <c r="AT58" s="5" t="s">
        <v>35</v>
      </c>
      <c r="AU58" s="6" t="s">
        <v>31</v>
      </c>
      <c r="AV58" s="6" t="s">
        <v>43</v>
      </c>
      <c r="AW58" s="6" t="s">
        <v>30</v>
      </c>
      <c r="AY58" s="6"/>
      <c r="AZ58" s="6"/>
      <c r="BA58" s="6"/>
      <c r="BB58" s="6"/>
      <c r="BD58" s="1"/>
      <c r="BE58" s="1"/>
      <c r="BF58" s="1"/>
      <c r="BG58" s="1"/>
      <c r="BI58" s="1"/>
      <c r="BJ58" s="1"/>
      <c r="BK58" s="1"/>
      <c r="BQ58" s="1"/>
    </row>
    <row r="59" spans="1:69" x14ac:dyDescent="0.2">
      <c r="A59">
        <v>15</v>
      </c>
      <c r="B59" t="s">
        <v>94</v>
      </c>
      <c r="C59">
        <v>12.1</v>
      </c>
      <c r="D59" t="s">
        <v>76</v>
      </c>
      <c r="E59" t="s">
        <v>76</v>
      </c>
      <c r="G59" t="s">
        <v>76</v>
      </c>
      <c r="H59" t="s">
        <v>76</v>
      </c>
      <c r="I59" t="s">
        <v>75</v>
      </c>
      <c r="J59" t="s">
        <v>76</v>
      </c>
      <c r="K59" t="s">
        <v>75</v>
      </c>
      <c r="L59" t="s">
        <v>75</v>
      </c>
      <c r="M59" t="s">
        <v>132</v>
      </c>
      <c r="N59">
        <v>4.5</v>
      </c>
      <c r="O59">
        <v>39</v>
      </c>
      <c r="P59">
        <v>5.3</v>
      </c>
      <c r="Q59" s="8">
        <v>27</v>
      </c>
      <c r="R59" s="1">
        <f t="shared" si="1"/>
        <v>5.0943396226415096</v>
      </c>
      <c r="U59" s="1">
        <f>AVERAGEIFS($R$2:$R$999,$P$2:$P$999,"&gt;=6.3",$O$2:$O$999,"&gt;=44.5",$O$2:$O$999,"&lt;=48.5")</f>
        <v>2.8114403095426352</v>
      </c>
      <c r="V59" s="1">
        <f>AVERAGEIFS($R$2:$R$999,$N$2:$N$999,"&lt;=-5",$P$2:$P$999,"&gt;=6.3",$O$2:$O$999,"&gt;=44.5",$O$2:$O$999,"&lt;=48.5")</f>
        <v>3.3396322597394663</v>
      </c>
      <c r="W59" s="1">
        <f>AVERAGEIFS($R$2:$R$999,$N$2:$N$999,"&gt;=-4.5",$N$2:$N$999,"&lt;=4.5",$P$2:$P$999,"&gt;=6.3",$O$2:$O$999,"&gt;=44.5",$O$2:$O$999,"&lt;=48.5")</f>
        <v>2.0696308187562851</v>
      </c>
      <c r="X59" s="1">
        <f>AVERAGEIFS($R$2:$R$999,$N$2:$N$999,"&gt;=5",$P$2:$P$999,"&gt;=6.3",$O$2:$O$999,"&gt;=44.5",$O$2:$O$999,"&lt;=48.5")</f>
        <v>4.722294372294372</v>
      </c>
      <c r="Z59" s="9"/>
      <c r="AA59" s="9"/>
      <c r="AB59" s="9"/>
      <c r="AC59" s="9"/>
      <c r="AE59" s="9">
        <f>AVERAGEIFS($R$2:$R$999,$P$2:$P$999,"&gt;=6.3",$F$2:$F$999,"UP")</f>
        <v>1.8347488622488624</v>
      </c>
      <c r="AF59" s="9" t="e">
        <f>AVERAGEIFS($R$2:$R$999,$N$2:$N$999,"&lt;=-5",$P$2:$P$999,"&gt;=6.3",$F$2:$F$999,"UP")</f>
        <v>#DIV/0!</v>
      </c>
      <c r="AG59" s="9">
        <f>AVERAGEIFS($R$2:$R$999,$N$2:$N$999,"&gt;=-4.5",$N$2:$N$999,"&lt;=4.5",$P$2:$P$999,"&gt;=6.3",$F$2:$F$999,"UP")</f>
        <v>1.8347488622488624</v>
      </c>
      <c r="AH59" s="9" t="e">
        <f>AVERAGEIFS($R$2:$R$999,$N$2:$N$999,"&gt;=5",$P$2:$P$999,"&gt;=6.3",$F$2:$F$999,"UP")</f>
        <v>#DIV/0!</v>
      </c>
      <c r="AJ59" s="6">
        <f>AVERAGEIFS($R$2:$R$999,$P$2:$P$999,"&gt;=6.3",$O$2:$O$999,"&gt;=44.5",$O$2:$O$999,"&lt;=48.5",$C$2:$C$999,"&gt;=0.01")</f>
        <v>2.3661396499238969</v>
      </c>
      <c r="AK59" s="6">
        <f>AVERAGEIFS($R$2:$R$999,$N$2:$N$999,"&lt;=-5",$P$2:$P$999,"&gt;=6.3",$O$2:$O$999,"&gt;=44.5",$O$2:$O$999,"&lt;=48.5",$C$2:$C$999,"&gt;=0.01")</f>
        <v>2.4085844748858447</v>
      </c>
      <c r="AL59" s="6">
        <f>AVERAGEIFS($R$2:$R$999,$N$2:$N$999,"&gt;=-4.5",$N$2:$N$999,"&lt;=4.5",$P$2:$P$999,"&gt;=6.3",$O$2:$O$999,"&gt;=44.5",$O$2:$O$999,"&lt;=48.5",$C$2:$C$999,"&gt;=0.01")</f>
        <v>2.28125</v>
      </c>
      <c r="AM59" s="6" t="e">
        <f>AVERAGEIFS($R$2:$R$999,$N$2:$N$999,"&gt;=5",$P$2:$P$999,"&gt;=6.3",$O$2:$O$999,"&gt;=44.5",$O$2:$O$999,"&lt;=48.5",$C$2:$C$999,"&gt;=0.01")</f>
        <v>#DIV/0!</v>
      </c>
      <c r="AO59" s="6"/>
      <c r="AP59" s="6"/>
      <c r="AQ59" s="6"/>
      <c r="AR59" s="6"/>
      <c r="AT59" s="6" t="e">
        <f>AVERAGEIFS($R$2:$R$999,$P$2:$P$999,"&gt;=6.3",$F$2:$F$999,"UP",$C$2:$C$999,"&gt;=0.01")</f>
        <v>#DIV/0!</v>
      </c>
      <c r="AU59" s="6" t="e">
        <f>AVERAGEIFS($R$2:$R$999,$N$2:$N$999,"&lt;=-5",$P$2:$P$999,"&gt;=6.3",$F$2:$F$999,"UP",$C$2:$C$999,"&gt;=0.01")</f>
        <v>#DIV/0!</v>
      </c>
      <c r="AV59" s="6" t="e">
        <f>AVERAGEIFS($R$2:$R$999,$N$2:$N$999,"&gt;=-4.5",$N$2:$N$999,"&lt;=4.5",$P$2:$P$999,"&gt;=6.3",$F$2:$F$999,"UP",$C$2:$C$999,"&gt;=0.01")</f>
        <v>#DIV/0!</v>
      </c>
      <c r="AW59" s="6" t="e">
        <f>AVERAGEIFS($R$2:$R$999,$N$2:$N$999,"&gt;=5",$P$2:$P$999,"&gt;=6.3",$F$2:$F$999,"UP",$C$2:$C$999,"&gt;=0.01")</f>
        <v>#DIV/0!</v>
      </c>
      <c r="AY59" s="6"/>
      <c r="AZ59" s="6"/>
      <c r="BA59" s="6"/>
      <c r="BB59" s="6"/>
      <c r="BD59" s="1"/>
      <c r="BE59" s="1"/>
      <c r="BF59" s="1"/>
      <c r="BG59" s="1"/>
      <c r="BI59" s="1"/>
      <c r="BJ59" s="1"/>
      <c r="BK59" s="1"/>
      <c r="BQ59" s="1"/>
    </row>
    <row r="60" spans="1:69" x14ac:dyDescent="0.2">
      <c r="A60">
        <v>15</v>
      </c>
      <c r="B60" t="s">
        <v>105</v>
      </c>
      <c r="C60">
        <v>10.4</v>
      </c>
      <c r="D60" t="s">
        <v>76</v>
      </c>
      <c r="E60" t="s">
        <v>76</v>
      </c>
      <c r="G60" t="s">
        <v>76</v>
      </c>
      <c r="H60" t="s">
        <v>76</v>
      </c>
      <c r="I60" t="s">
        <v>76</v>
      </c>
      <c r="J60" t="s">
        <v>76</v>
      </c>
      <c r="K60" t="s">
        <v>76</v>
      </c>
      <c r="L60" t="s">
        <v>75</v>
      </c>
      <c r="M60" t="s">
        <v>132</v>
      </c>
      <c r="N60">
        <v>-1.5</v>
      </c>
      <c r="O60">
        <v>35.5</v>
      </c>
      <c r="P60">
        <v>4.7</v>
      </c>
      <c r="Q60" s="8">
        <v>10.199999999999999</v>
      </c>
      <c r="R60" s="1">
        <f t="shared" si="1"/>
        <v>2.1702127659574466</v>
      </c>
      <c r="U60" s="1"/>
      <c r="V60" s="1"/>
      <c r="W60" s="1"/>
      <c r="X60" s="1"/>
      <c r="Z60" s="9"/>
      <c r="AA60" s="9"/>
      <c r="AB60" s="9"/>
      <c r="AC60" s="9"/>
      <c r="AD60" s="9"/>
      <c r="AF60" s="9"/>
      <c r="AG60" s="9"/>
      <c r="AH60" s="9"/>
      <c r="AJ60" s="6"/>
      <c r="AK60" s="6"/>
      <c r="AL60" s="6"/>
      <c r="AM60" s="6"/>
      <c r="AO60" s="6"/>
      <c r="AP60" s="6"/>
      <c r="AQ60" s="6"/>
      <c r="AR60" s="6"/>
      <c r="AS60" s="6"/>
      <c r="AU60" s="6"/>
      <c r="AV60" s="6"/>
      <c r="AW60" s="6"/>
      <c r="AY60" s="6"/>
      <c r="AZ60" s="6"/>
      <c r="BA60" s="6"/>
      <c r="BB60" s="6"/>
      <c r="BD60" s="1"/>
      <c r="BE60" s="1"/>
      <c r="BF60" s="1"/>
      <c r="BG60" s="1"/>
      <c r="BI60" s="1"/>
      <c r="BJ60" s="1"/>
      <c r="BK60" s="1"/>
      <c r="BQ60" s="1"/>
    </row>
    <row r="61" spans="1:69" x14ac:dyDescent="0.2">
      <c r="A61" s="10">
        <v>15</v>
      </c>
      <c r="B61" s="10" t="s">
        <v>144</v>
      </c>
      <c r="C61" s="10">
        <v>8.6</v>
      </c>
      <c r="D61" s="10" t="s">
        <v>75</v>
      </c>
      <c r="E61" s="10" t="s">
        <v>76</v>
      </c>
      <c r="F61" s="10"/>
      <c r="G61" s="10" t="s">
        <v>75</v>
      </c>
      <c r="H61" s="10" t="s">
        <v>75</v>
      </c>
      <c r="I61" s="10" t="s">
        <v>76</v>
      </c>
      <c r="J61" s="10" t="s">
        <v>76</v>
      </c>
      <c r="K61" s="10" t="s">
        <v>76</v>
      </c>
      <c r="L61" s="10" t="s">
        <v>75</v>
      </c>
      <c r="M61" s="10" t="s">
        <v>134</v>
      </c>
      <c r="N61" s="10">
        <v>-9</v>
      </c>
      <c r="O61" s="10">
        <v>40.5</v>
      </c>
      <c r="P61">
        <v>3.3</v>
      </c>
      <c r="Q61" s="8">
        <v>0</v>
      </c>
      <c r="R61" s="1">
        <f t="shared" si="1"/>
        <v>0</v>
      </c>
      <c r="T61" t="s">
        <v>42</v>
      </c>
      <c r="U61" s="1" t="s">
        <v>29</v>
      </c>
      <c r="V61" s="1" t="s">
        <v>31</v>
      </c>
      <c r="W61" s="1" t="s">
        <v>43</v>
      </c>
      <c r="X61" s="1" t="s">
        <v>30</v>
      </c>
      <c r="Z61" s="9"/>
      <c r="AA61" s="9"/>
      <c r="AB61" s="9"/>
      <c r="AC61" s="9"/>
      <c r="AD61" s="9"/>
      <c r="AF61" s="9"/>
      <c r="AG61" s="9"/>
      <c r="AH61" s="9"/>
      <c r="AI61" s="5" t="s">
        <v>42</v>
      </c>
      <c r="AJ61" s="6" t="s">
        <v>29</v>
      </c>
      <c r="AK61" s="6" t="s">
        <v>31</v>
      </c>
      <c r="AL61" s="6" t="s">
        <v>43</v>
      </c>
      <c r="AM61" s="6" t="s">
        <v>30</v>
      </c>
      <c r="AO61" s="6"/>
      <c r="AP61" s="6"/>
      <c r="AQ61" s="6"/>
      <c r="AR61" s="6"/>
      <c r="AS61" s="6"/>
      <c r="AU61" s="6"/>
      <c r="AV61" s="6"/>
      <c r="AW61" s="6"/>
      <c r="AY61" s="6"/>
      <c r="AZ61" s="6"/>
      <c r="BA61" s="6"/>
      <c r="BB61" s="6"/>
      <c r="BD61" s="1"/>
      <c r="BE61" s="1"/>
      <c r="BF61" s="1"/>
      <c r="BG61" s="1"/>
      <c r="BI61" s="1"/>
      <c r="BJ61" s="1"/>
      <c r="BK61" s="1"/>
      <c r="BQ61" s="1"/>
    </row>
    <row r="62" spans="1:69" x14ac:dyDescent="0.2">
      <c r="A62">
        <v>15</v>
      </c>
      <c r="B62" t="s">
        <v>39</v>
      </c>
      <c r="D62" t="s">
        <v>76</v>
      </c>
      <c r="E62" t="s">
        <v>76</v>
      </c>
      <c r="G62" t="s">
        <v>76</v>
      </c>
      <c r="H62" t="s">
        <v>76</v>
      </c>
      <c r="I62" t="s">
        <v>75</v>
      </c>
      <c r="J62" t="s">
        <v>76</v>
      </c>
      <c r="K62" t="s">
        <v>76</v>
      </c>
      <c r="L62" t="s">
        <v>75</v>
      </c>
      <c r="M62" t="s">
        <v>134</v>
      </c>
      <c r="N62">
        <v>6.5</v>
      </c>
      <c r="O62">
        <v>45.5</v>
      </c>
      <c r="P62">
        <v>4.5999999999999996</v>
      </c>
      <c r="Q62" s="8">
        <v>4.0999999999999996</v>
      </c>
      <c r="R62" s="1">
        <f t="shared" si="1"/>
        <v>0.89130434782608692</v>
      </c>
      <c r="U62" s="1">
        <f>AVERAGEIF($O$2:$O$999,"&gt;=49",$R$2:$R$999)</f>
        <v>2.7939797410192146</v>
      </c>
      <c r="V62" s="1" t="e">
        <f>AVERAGEIFS($R$2:$R$999,$N$2:$N$999,"&lt;=-5",$N$2:$N$999,"&lt;=5",$O$2:$O$999,"&gt;=49")</f>
        <v>#DIV/0!</v>
      </c>
      <c r="W62" s="1">
        <f>AVERAGEIFS($R$2:$R$999,$N$2:$N$999,"&gt;=-4.5",$N$2:$N$999,"&lt;=4.5",$O$2:$O$999,"&gt;=49")</f>
        <v>2.7939797410192146</v>
      </c>
      <c r="X62" s="1" t="e">
        <f>AVERAGEIFS($R$2:$R$999,$N$2:$N$999,"&gt;=5",$O$2:$O$999,"&gt;=49")</f>
        <v>#DIV/0!</v>
      </c>
      <c r="Z62" s="9"/>
      <c r="AA62" s="9"/>
      <c r="AB62" s="9"/>
      <c r="AC62" s="9"/>
      <c r="AD62" s="9"/>
      <c r="AF62" s="9"/>
      <c r="AG62" s="9"/>
      <c r="AH62" s="9"/>
      <c r="AJ62" s="6" t="e">
        <f>AVERAGEIFS($R$2:$R$999,$O$2:$O$999,"&gt;=49",$C$2:$C$999,"&gt;=0.01")</f>
        <v>#DIV/0!</v>
      </c>
      <c r="AK62" s="6" t="e">
        <f>AVERAGEIFS($R$2:$R$999,$N$2:$N$999,"&lt;=-5",$N$2:$N$999,"&lt;=5",$O$2:$O$999,"&gt;=49",$C$2:$C$999,"&gt;=0.01")</f>
        <v>#DIV/0!</v>
      </c>
      <c r="AL62" s="6" t="e">
        <f>AVERAGEIFS($R$2:$R$999,$N$2:$N$999,"&gt;=-4.5",$N$2:$N$999,"&lt;=4.5",$O$2:$O$999,"&gt;=49",$C$2:$C$999,"&gt;=0.01")</f>
        <v>#DIV/0!</v>
      </c>
      <c r="AM62" s="6" t="e">
        <f>AVERAGEIFS($R$2:$R$999,$N$2:$N$999,"&gt;=5",$O$2:$O$999,"&gt;=49",$C$2:$C$999,"&gt;=0.01")</f>
        <v>#DIV/0!</v>
      </c>
      <c r="AO62" s="6"/>
      <c r="AP62" s="6"/>
      <c r="AQ62" s="6"/>
      <c r="AR62" s="6"/>
      <c r="AS62" s="6"/>
      <c r="AU62" s="6"/>
      <c r="AV62" s="6"/>
      <c r="AW62" s="6"/>
      <c r="AY62" s="6"/>
      <c r="AZ62" s="6"/>
      <c r="BA62" s="6"/>
      <c r="BB62" s="6"/>
      <c r="BD62" s="1"/>
      <c r="BE62" s="1"/>
      <c r="BF62" s="1"/>
      <c r="BG62" s="1"/>
      <c r="BI62" s="1"/>
      <c r="BJ62" s="1"/>
      <c r="BK62" s="1"/>
      <c r="BQ62" s="1"/>
    </row>
    <row r="63" spans="1:69" x14ac:dyDescent="0.2">
      <c r="A63" s="3">
        <v>15</v>
      </c>
      <c r="B63" s="3" t="s">
        <v>97</v>
      </c>
      <c r="C63" s="3">
        <v>8.4</v>
      </c>
      <c r="D63" s="3" t="s">
        <v>76</v>
      </c>
      <c r="E63" s="3" t="s">
        <v>76</v>
      </c>
      <c r="F63" s="3"/>
      <c r="G63" s="3" t="s">
        <v>76</v>
      </c>
      <c r="H63" s="3" t="s">
        <v>76</v>
      </c>
      <c r="I63" s="3" t="s">
        <v>75</v>
      </c>
      <c r="J63" s="3" t="s">
        <v>76</v>
      </c>
      <c r="K63" s="3" t="s">
        <v>76</v>
      </c>
      <c r="L63" s="3" t="s">
        <v>75</v>
      </c>
      <c r="M63" s="3" t="s">
        <v>134</v>
      </c>
      <c r="N63" s="3">
        <v>6.5</v>
      </c>
      <c r="O63" s="3">
        <v>45.5</v>
      </c>
      <c r="P63">
        <v>3.6</v>
      </c>
      <c r="Q63" s="8">
        <v>20.9</v>
      </c>
      <c r="R63" s="1">
        <f t="shared" si="1"/>
        <v>5.8055555555555554</v>
      </c>
      <c r="U63" s="1"/>
      <c r="V63" s="1"/>
      <c r="W63" s="1"/>
      <c r="X63" s="1"/>
      <c r="Z63" s="9"/>
      <c r="AA63" s="9"/>
      <c r="AB63" s="9"/>
      <c r="AC63" s="9"/>
      <c r="AD63" s="9"/>
      <c r="AF63" s="9"/>
      <c r="AG63" s="9"/>
      <c r="AH63" s="9"/>
      <c r="AJ63" s="6"/>
      <c r="AK63" s="6"/>
      <c r="AL63" s="6"/>
      <c r="AM63" s="6"/>
      <c r="AO63" s="6"/>
      <c r="AP63" s="6"/>
      <c r="AQ63" s="6"/>
      <c r="AR63" s="6"/>
      <c r="AS63" s="6"/>
      <c r="AU63" s="6"/>
      <c r="AV63" s="6"/>
      <c r="AW63" s="6"/>
      <c r="AY63" s="6"/>
      <c r="AZ63" s="6"/>
      <c r="BA63" s="6"/>
      <c r="BB63" s="6"/>
      <c r="BD63" s="1"/>
      <c r="BE63" s="1"/>
      <c r="BF63" s="1"/>
      <c r="BG63" s="1"/>
      <c r="BI63" s="1"/>
      <c r="BJ63" s="1"/>
      <c r="BK63" s="1"/>
      <c r="BQ63" s="1"/>
    </row>
    <row r="64" spans="1:69" x14ac:dyDescent="0.2">
      <c r="A64" s="3">
        <v>15</v>
      </c>
      <c r="B64" s="3" t="s">
        <v>178</v>
      </c>
      <c r="C64" s="3">
        <v>8.1</v>
      </c>
      <c r="D64" s="3" t="s">
        <v>76</v>
      </c>
      <c r="E64" s="3" t="s">
        <v>76</v>
      </c>
      <c r="F64" s="3"/>
      <c r="G64" s="3" t="s">
        <v>76</v>
      </c>
      <c r="H64" s="3" t="s">
        <v>76</v>
      </c>
      <c r="I64" s="3" t="s">
        <v>75</v>
      </c>
      <c r="J64" s="3" t="s">
        <v>76</v>
      </c>
      <c r="K64" s="3" t="s">
        <v>76</v>
      </c>
      <c r="L64" s="3" t="s">
        <v>75</v>
      </c>
      <c r="M64" s="3" t="s">
        <v>132</v>
      </c>
      <c r="N64" s="3">
        <v>40</v>
      </c>
      <c r="O64" s="3">
        <v>41.5</v>
      </c>
      <c r="P64">
        <v>3.5</v>
      </c>
      <c r="Q64" s="8">
        <v>0.6</v>
      </c>
      <c r="R64" s="1">
        <f t="shared" si="1"/>
        <v>0.17142857142857143</v>
      </c>
      <c r="T64" t="s">
        <v>42</v>
      </c>
      <c r="U64" s="1" t="s">
        <v>33</v>
      </c>
      <c r="V64" s="1" t="s">
        <v>31</v>
      </c>
      <c r="W64" s="1" t="s">
        <v>43</v>
      </c>
      <c r="X64" s="1" t="s">
        <v>30</v>
      </c>
      <c r="Z64" s="9"/>
      <c r="AA64" s="9"/>
      <c r="AB64" s="9"/>
      <c r="AC64" s="9"/>
      <c r="AD64" s="9"/>
      <c r="AF64" s="9"/>
      <c r="AG64" s="9"/>
      <c r="AH64" s="9"/>
      <c r="AI64" s="5" t="s">
        <v>42</v>
      </c>
      <c r="AJ64" s="6" t="s">
        <v>33</v>
      </c>
      <c r="AK64" s="6" t="s">
        <v>31</v>
      </c>
      <c r="AL64" s="6" t="s">
        <v>43</v>
      </c>
      <c r="AM64" s="6" t="s">
        <v>30</v>
      </c>
      <c r="AO64" s="6"/>
      <c r="AP64" s="6"/>
      <c r="AQ64" s="6"/>
      <c r="AR64" s="6"/>
      <c r="AS64" s="6"/>
      <c r="AU64" s="6"/>
      <c r="AV64" s="6"/>
      <c r="AW64" s="6"/>
      <c r="AY64" s="6"/>
      <c r="AZ64" s="6"/>
      <c r="BA64" s="6"/>
      <c r="BB64" s="6"/>
      <c r="BD64" s="1"/>
      <c r="BE64" s="1"/>
      <c r="BF64" s="1"/>
      <c r="BG64" s="1"/>
      <c r="BI64" s="1"/>
      <c r="BJ64" s="1"/>
      <c r="BK64" s="1"/>
      <c r="BQ64" s="1"/>
    </row>
    <row r="65" spans="1:69" x14ac:dyDescent="0.2">
      <c r="A65">
        <v>15</v>
      </c>
      <c r="B65" t="s">
        <v>104</v>
      </c>
      <c r="C65">
        <v>8.1999999999999993</v>
      </c>
      <c r="D65" t="s">
        <v>76</v>
      </c>
      <c r="E65" t="s">
        <v>76</v>
      </c>
      <c r="G65" t="s">
        <v>76</v>
      </c>
      <c r="H65" t="s">
        <v>76</v>
      </c>
      <c r="I65" t="s">
        <v>75</v>
      </c>
      <c r="J65" t="s">
        <v>76</v>
      </c>
      <c r="K65" t="s">
        <v>75</v>
      </c>
      <c r="L65" t="s">
        <v>75</v>
      </c>
      <c r="M65" t="s">
        <v>132</v>
      </c>
      <c r="N65">
        <v>4.5</v>
      </c>
      <c r="O65">
        <v>39</v>
      </c>
      <c r="P65">
        <v>3.5</v>
      </c>
      <c r="Q65" s="8">
        <v>4.2</v>
      </c>
      <c r="R65" s="1">
        <f t="shared" si="1"/>
        <v>1.2</v>
      </c>
      <c r="U65" s="1">
        <f>AVERAGEIFS($R$2:$R$999,$P$2:$P$999,"&lt;=4",$O$2:$O$999,"&gt;=49")</f>
        <v>2.4786340852130326</v>
      </c>
      <c r="V65" s="1" t="e">
        <f>AVERAGEIFS($R$2:$R$999,$N$2:$N$999,"&lt;=-5",$P$2:$P$999,"&lt;=4",$O$2:$O$999,"&gt;=49")</f>
        <v>#DIV/0!</v>
      </c>
      <c r="W65" s="1">
        <f>AVERAGEIFS($R$2:$R$999,$N$2:$N$999,"&gt;=-4.5",$N$2:$N$999,"&lt;=4.5",$P$2:$P$999,"&lt;=4",$O$2:$O$999,"&gt;=49")</f>
        <v>2.4786340852130326</v>
      </c>
      <c r="X65" s="1" t="e">
        <f>AVERAGEIFS($R$2:$R$999,$N$2:$N$999,"&gt;=5",$P$2:$P$999,"&lt;=4",$O$2:$O$999,"&gt;=49")</f>
        <v>#DIV/0!</v>
      </c>
      <c r="Z65" s="9"/>
      <c r="AA65" s="9"/>
      <c r="AB65" s="9"/>
      <c r="AC65" s="9"/>
      <c r="AD65" s="9"/>
      <c r="AF65" s="9"/>
      <c r="AG65" s="9"/>
      <c r="AH65" s="9"/>
      <c r="AJ65" s="6" t="e">
        <f>AVERAGEIFS($R$2:$R$999,$P$2:$P$999,"&lt;=4",$O$2:$O$999,"&gt;=49",$C$2:$C$999,"&gt;=0.01")</f>
        <v>#DIV/0!</v>
      </c>
      <c r="AK65" s="6" t="e">
        <f>AVERAGEIFS($R$2:$R$999,$N$2:$N$999,"&lt;=-5",$P$2:$P$999,"&lt;=4",$O$2:$O$999,"&gt;=49",$C$2:$C$999,"&gt;=0.01")</f>
        <v>#DIV/0!</v>
      </c>
      <c r="AL65" s="6" t="e">
        <f>AVERAGEIFS($R$2:$R$999,$N$2:$N$999,"&gt;=-4.5",$N$2:$N$999,"&lt;=4.5",$P$2:$P$999,"&lt;=4",$O$2:$O$999,"&gt;=49",$C$2:$C$999,"&gt;=0.01")</f>
        <v>#DIV/0!</v>
      </c>
      <c r="AM65" s="6" t="e">
        <f>AVERAGEIFS($R$2:$R$999,$N$2:$N$999,"&gt;=5",$P$2:$P$999,"&lt;=4",$O$2:$O$999,"&gt;=49",$C$2:$C$999,"&gt;=0.01")</f>
        <v>#DIV/0!</v>
      </c>
      <c r="AO65" s="6"/>
      <c r="AP65" s="6"/>
      <c r="AQ65" s="6"/>
      <c r="AR65" s="6"/>
      <c r="AS65" s="6"/>
      <c r="AU65" s="6"/>
      <c r="AV65" s="6"/>
      <c r="AW65" s="6"/>
      <c r="AY65" s="6"/>
      <c r="AZ65" s="6"/>
      <c r="BA65" s="6"/>
      <c r="BB65" s="6"/>
      <c r="BD65" s="1"/>
      <c r="BE65" s="1"/>
      <c r="BF65" s="1"/>
      <c r="BG65" s="1"/>
      <c r="BI65" s="1"/>
      <c r="BJ65" s="1"/>
      <c r="BK65" s="1"/>
      <c r="BQ65" s="1"/>
    </row>
    <row r="66" spans="1:69" x14ac:dyDescent="0.2">
      <c r="U66" s="1"/>
      <c r="V66" s="1"/>
      <c r="W66" s="1"/>
      <c r="X66" s="1"/>
      <c r="Z66" s="9"/>
      <c r="AA66" s="9"/>
      <c r="AB66" s="9"/>
      <c r="AC66" s="9"/>
      <c r="AD66" s="9"/>
      <c r="AF66" s="9"/>
      <c r="AG66" s="9"/>
      <c r="AH66" s="9"/>
      <c r="AJ66" s="6"/>
      <c r="AK66" s="6"/>
      <c r="AL66" s="6"/>
      <c r="AM66" s="6"/>
      <c r="AO66" s="6"/>
      <c r="AP66" s="6"/>
      <c r="AQ66" s="6"/>
      <c r="AR66" s="6"/>
      <c r="AS66" s="6"/>
      <c r="AU66" s="6"/>
      <c r="AV66" s="6"/>
      <c r="AW66" s="6"/>
      <c r="AY66" s="6"/>
      <c r="AZ66" s="6"/>
      <c r="BA66" s="6"/>
      <c r="BB66" s="6"/>
      <c r="BD66" s="1"/>
      <c r="BE66" s="1"/>
      <c r="BF66" s="1"/>
      <c r="BG66" s="1"/>
      <c r="BI66" s="1"/>
      <c r="BJ66" s="1"/>
      <c r="BK66" s="1"/>
      <c r="BQ66" s="1"/>
    </row>
    <row r="67" spans="1:69" x14ac:dyDescent="0.2">
      <c r="T67" t="s">
        <v>42</v>
      </c>
      <c r="U67" s="1" t="s">
        <v>36</v>
      </c>
      <c r="V67" s="1" t="s">
        <v>31</v>
      </c>
      <c r="W67" s="1" t="s">
        <v>43</v>
      </c>
      <c r="X67" s="1" t="s">
        <v>30</v>
      </c>
      <c r="Z67" s="9"/>
      <c r="AA67" s="9"/>
      <c r="AB67" s="9"/>
      <c r="AC67" s="9"/>
      <c r="AD67" s="9"/>
      <c r="AF67" s="9"/>
      <c r="AG67" s="9"/>
      <c r="AH67" s="9"/>
      <c r="AI67" s="5" t="s">
        <v>42</v>
      </c>
      <c r="AJ67" s="6" t="s">
        <v>36</v>
      </c>
      <c r="AK67" s="6" t="s">
        <v>31</v>
      </c>
      <c r="AL67" s="6" t="s">
        <v>43</v>
      </c>
      <c r="AM67" s="6" t="s">
        <v>30</v>
      </c>
      <c r="AO67" s="6"/>
      <c r="AP67" s="6"/>
      <c r="AQ67" s="6"/>
      <c r="AR67" s="6"/>
      <c r="AS67" s="6"/>
      <c r="AU67" s="6"/>
      <c r="AV67" s="6"/>
      <c r="AW67" s="6"/>
      <c r="AY67" s="6"/>
      <c r="AZ67" s="6"/>
      <c r="BA67" s="6"/>
      <c r="BB67" s="6"/>
      <c r="BD67" s="1"/>
      <c r="BE67" s="1"/>
      <c r="BF67" s="1"/>
      <c r="BG67" s="1"/>
      <c r="BI67" s="1"/>
      <c r="BJ67" s="1"/>
      <c r="BK67" s="1"/>
      <c r="BQ67" s="1"/>
    </row>
    <row r="68" spans="1:69" x14ac:dyDescent="0.2">
      <c r="U68" s="1" t="e">
        <f>AVERAGEIFS($R$2:$R$999,$P$2:$P$999,"&gt;=4.1",$P$2:$P$999,"&lt;=5",$O$2:$O$999,"&gt;=49")</f>
        <v>#DIV/0!</v>
      </c>
      <c r="V68" s="1" t="e">
        <f>AVERAGEIFS($R$2:$R$999,$N$2:$N$999,"&lt;=-5",$P$2:$P$999,"&gt;=4.1",$P$2:$P$999,"&lt;=5",$O$2:$O$999,"&gt;=49")</f>
        <v>#DIV/0!</v>
      </c>
      <c r="W68" s="1" t="e">
        <f>AVERAGEIFS($R$2:$R$999,$N$2:$N$999,"&gt;=-4.5",$N$2:$N$999,"&lt;=4.5",$P$2:$P$999,"&gt;=4.1",$P$2:$P$999,"&lt;=5",$O$2:$O$999,"&gt;=49")</f>
        <v>#DIV/0!</v>
      </c>
      <c r="X68" s="1" t="e">
        <f>AVERAGEIFS($R$2:$R$999,$N$2:$N$999,"&gt;=5",$P$2:$P$999,"&gt;=4.1",$P$2:$P$999,"&lt;=5",$O$2:$O$999,"&gt;=49")</f>
        <v>#DIV/0!</v>
      </c>
      <c r="Z68" s="9"/>
      <c r="AA68" s="9"/>
      <c r="AB68" s="9"/>
      <c r="AC68" s="9"/>
      <c r="AD68" s="9"/>
      <c r="AF68" s="9"/>
      <c r="AG68" s="9"/>
      <c r="AH68" s="9"/>
      <c r="AJ68" s="6" t="e">
        <f>AVERAGEIFS($R$2:$R$999,$P$2:$P$999,"&gt;=4.1",$P$2:$P$999,"&lt;=5",$O$2:$O$999,"&gt;=49",$C$2:$C$999,"&gt;=0.01")</f>
        <v>#DIV/0!</v>
      </c>
      <c r="AK68" s="6" t="e">
        <f>AVERAGEIFS($R$2:$R$999,$N$2:$N$999,"&lt;=-5",$P$2:$P$999,"&gt;=4.1",$P$2:$P$999,"&lt;=5",$O$2:$O$999,"&gt;=49",$C$2:$C$999,"&gt;=0.01")</f>
        <v>#DIV/0!</v>
      </c>
      <c r="AL68" s="6" t="e">
        <f>AVERAGEIFS($R$2:$R$999,$N$2:$N$999,"&gt;=-4.5",$N$2:$N$999,"&lt;=4.5",$P$2:$P$999,"&gt;=4.1",$P$2:$P$999,"&lt;=5",$O$2:$O$999,"&gt;=49",$C$2:$C$999,"&gt;=0.01")</f>
        <v>#DIV/0!</v>
      </c>
      <c r="AM68" s="6" t="e">
        <f>AVERAGEIFS($R$2:$R$999,$N$2:$N$999,"&gt;=5",$P$2:$P$999,"&gt;=4.1",$P$2:$P$999,"&lt;=5",$O$2:$O$999,"&gt;=49",$C$2:$C$999,"&gt;=0.01")</f>
        <v>#DIV/0!</v>
      </c>
      <c r="AO68" s="6"/>
      <c r="AP68" s="6"/>
      <c r="AQ68" s="6"/>
      <c r="AR68" s="6"/>
      <c r="AS68" s="6"/>
      <c r="AU68" s="6"/>
      <c r="AV68" s="6"/>
      <c r="AW68" s="6"/>
      <c r="AY68" s="6"/>
      <c r="AZ68" s="6"/>
      <c r="BA68" s="6"/>
      <c r="BB68" s="6"/>
      <c r="BD68" s="1"/>
      <c r="BE68" s="1"/>
      <c r="BF68" s="1"/>
      <c r="BG68" s="1"/>
      <c r="BI68" s="1"/>
      <c r="BJ68" s="1"/>
      <c r="BK68" s="1"/>
      <c r="BQ68" s="1"/>
    </row>
    <row r="69" spans="1:69" x14ac:dyDescent="0.2">
      <c r="U69" s="1"/>
      <c r="V69" s="1"/>
      <c r="W69" s="1"/>
      <c r="X69" s="1"/>
      <c r="Z69" s="9"/>
      <c r="AA69" s="9"/>
      <c r="AB69" s="9"/>
      <c r="AC69" s="9"/>
      <c r="AD69" s="9"/>
      <c r="AF69" s="9"/>
      <c r="AG69" s="9"/>
      <c r="AH69" s="9"/>
      <c r="AJ69" s="6"/>
      <c r="AK69" s="6"/>
      <c r="AL69" s="6"/>
      <c r="AM69" s="6"/>
      <c r="AO69" s="6"/>
      <c r="AP69" s="6"/>
      <c r="AQ69" s="6"/>
      <c r="AR69" s="6"/>
      <c r="AS69" s="6"/>
      <c r="AU69" s="6"/>
      <c r="AV69" s="6"/>
      <c r="AW69" s="6"/>
      <c r="AY69" s="6"/>
      <c r="AZ69" s="6"/>
      <c r="BA69" s="6"/>
      <c r="BB69" s="6"/>
      <c r="BD69" s="1"/>
      <c r="BE69" s="1"/>
      <c r="BF69" s="1"/>
      <c r="BG69" s="1"/>
      <c r="BI69" s="1"/>
      <c r="BJ69" s="1"/>
      <c r="BK69" s="1"/>
      <c r="BQ69" s="1"/>
    </row>
    <row r="70" spans="1:69" x14ac:dyDescent="0.2">
      <c r="T70" t="s">
        <v>42</v>
      </c>
      <c r="U70" s="1" t="s">
        <v>34</v>
      </c>
      <c r="V70" s="1" t="s">
        <v>31</v>
      </c>
      <c r="W70" s="1" t="s">
        <v>43</v>
      </c>
      <c r="X70" s="1" t="s">
        <v>30</v>
      </c>
      <c r="Z70" s="9"/>
      <c r="AA70" s="9"/>
      <c r="AB70" s="9"/>
      <c r="AC70" s="9"/>
      <c r="AD70" s="9"/>
      <c r="AF70" s="9"/>
      <c r="AG70" s="9"/>
      <c r="AH70" s="9"/>
      <c r="AI70" s="5" t="s">
        <v>42</v>
      </c>
      <c r="AJ70" s="6" t="s">
        <v>34</v>
      </c>
      <c r="AK70" s="6" t="s">
        <v>31</v>
      </c>
      <c r="AL70" s="6" t="s">
        <v>43</v>
      </c>
      <c r="AM70" s="6" t="s">
        <v>30</v>
      </c>
      <c r="AO70" s="6"/>
      <c r="AP70" s="6"/>
      <c r="AQ70" s="6"/>
      <c r="AR70" s="6"/>
      <c r="AS70" s="6"/>
      <c r="AU70" s="6"/>
      <c r="AV70" s="6"/>
      <c r="AW70" s="6"/>
      <c r="AY70" s="6"/>
      <c r="AZ70" s="6"/>
      <c r="BA70" s="6"/>
      <c r="BB70" s="6"/>
      <c r="BD70" s="1"/>
      <c r="BE70" s="1"/>
      <c r="BF70" s="1"/>
      <c r="BG70" s="1"/>
      <c r="BI70" s="1"/>
      <c r="BJ70" s="1"/>
      <c r="BK70" s="1"/>
      <c r="BQ70" s="1"/>
    </row>
    <row r="71" spans="1:69" x14ac:dyDescent="0.2">
      <c r="U71" s="1">
        <f>AVERAGEIFS($R$2:$R$999,$P$2:$P$999,"&gt;=5.1",$P$2:$P$999,"&lt;=6.2",$O$2:$O$999,"&gt;=49")</f>
        <v>3.3577380952380951</v>
      </c>
      <c r="V71" s="1" t="e">
        <f>AVERAGEIFS($R$2:$R$999,$N$2:$N$999,"&lt;=-5",$P$2:$P$999,"&gt;=5.1",$P$2:$P$999,"&lt;=6.2",$O$2:$O$999,"&gt;=49")</f>
        <v>#DIV/0!</v>
      </c>
      <c r="W71" s="1">
        <f>AVERAGEIFS($R$2:$R$999,$N$2:$N$999,"&gt;=-4.5",$N$2:$N$999,"&lt;=4.5",$P$2:$P$999,"&gt;=5.1",$P$2:$P$999,"&lt;=6.2",$O$2:$O$999,"&gt;=49")</f>
        <v>3.3577380952380951</v>
      </c>
      <c r="X71" s="1" t="e">
        <f>AVERAGEIFS($R$2:$R$999,$N$2:$N$999,"&gt;=5",$P$2:$P$999,"&gt;=5.1",$P$2:$P$999,"&lt;=6.2",$O$2:$O$999,"&gt;=49")</f>
        <v>#DIV/0!</v>
      </c>
      <c r="Z71" s="9"/>
      <c r="AA71" s="9"/>
      <c r="AB71" s="9"/>
      <c r="AC71" s="9"/>
      <c r="AD71" s="9"/>
      <c r="AF71" s="9"/>
      <c r="AG71" s="9"/>
      <c r="AH71" s="9"/>
      <c r="AJ71" s="6" t="e">
        <f>AVERAGEIFS($R$2:$R$999,$P$2:$P$999,"&gt;=5.1",$P$2:$P$999,"&lt;=6.2",$O$2:$O$999,"&gt;=49",$C$2:$C$999,"&gt;=0.01")</f>
        <v>#DIV/0!</v>
      </c>
      <c r="AK71" s="6" t="e">
        <f>AVERAGEIFS($R$2:$R$999,$N$2:$N$999,"&lt;=-5",$P$2:$P$999,"&gt;=5.1",$P$2:$P$999,"&lt;=6.2",$O$2:$O$999,"&gt;=49",$C$2:$C$999,"&gt;=0.01")</f>
        <v>#DIV/0!</v>
      </c>
      <c r="AL71" s="6" t="e">
        <f>AVERAGEIFS($R$2:$R$999,$N$2:$N$999,"&gt;=-4.5",$N$2:$N$999,"&lt;=4.5",$P$2:$P$999,"&gt;=5.1",$P$2:$P$999,"&lt;=6.2",$O$2:$O$999,"&gt;=49",$C$2:$C$999,"&gt;=0.01")</f>
        <v>#DIV/0!</v>
      </c>
      <c r="AM71" s="6" t="e">
        <f>AVERAGEIFS($R$2:$R$999,$N$2:$N$999,"&gt;=5",$P$2:$P$999,"&gt;=5.1",$P$2:$P$999,"&lt;=6.2",$O$2:$O$999,"&gt;=49",$C$2:$C$999,"&gt;=0.01")</f>
        <v>#DIV/0!</v>
      </c>
      <c r="AO71" s="6"/>
      <c r="AP71" s="6"/>
      <c r="AQ71" s="6"/>
      <c r="AR71" s="6"/>
      <c r="AS71" s="6"/>
      <c r="AU71" s="6"/>
      <c r="AV71" s="6"/>
      <c r="AW71" s="6"/>
      <c r="AY71" s="6"/>
      <c r="AZ71" s="6"/>
      <c r="BA71" s="6"/>
      <c r="BB71" s="6"/>
      <c r="BD71" s="1"/>
      <c r="BE71" s="1"/>
      <c r="BF71" s="1"/>
      <c r="BG71" s="1"/>
      <c r="BI71" s="1"/>
      <c r="BJ71" s="1"/>
      <c r="BK71" s="1"/>
      <c r="BQ71" s="1"/>
    </row>
    <row r="72" spans="1:69" x14ac:dyDescent="0.2">
      <c r="U72" s="1"/>
      <c r="V72" s="1"/>
      <c r="W72" s="1"/>
      <c r="X72" s="1"/>
      <c r="Z72" s="9"/>
      <c r="AA72" s="9"/>
      <c r="AB72" s="9"/>
      <c r="AC72" s="9"/>
      <c r="AD72" s="9"/>
      <c r="AF72" s="9"/>
      <c r="AG72" s="9"/>
      <c r="AH72" s="9"/>
      <c r="AJ72" s="6"/>
      <c r="AK72" s="6"/>
      <c r="AL72" s="6"/>
      <c r="AM72" s="6"/>
      <c r="AO72" s="6"/>
      <c r="AP72" s="6"/>
      <c r="AQ72" s="6"/>
      <c r="AR72" s="6"/>
      <c r="AS72" s="6"/>
      <c r="AU72" s="6"/>
      <c r="AV72" s="6"/>
      <c r="AW72" s="6"/>
      <c r="AY72" s="6"/>
      <c r="AZ72" s="6"/>
      <c r="BA72" s="6"/>
      <c r="BB72" s="6"/>
      <c r="BD72" s="1"/>
      <c r="BE72" s="1"/>
      <c r="BF72" s="1"/>
      <c r="BG72" s="1"/>
      <c r="BI72" s="1"/>
      <c r="BJ72" s="1"/>
      <c r="BK72" s="1"/>
      <c r="BQ72" s="1"/>
    </row>
    <row r="73" spans="1:69" x14ac:dyDescent="0.2">
      <c r="T73" t="s">
        <v>42</v>
      </c>
      <c r="U73" s="1" t="s">
        <v>35</v>
      </c>
      <c r="V73" s="1" t="s">
        <v>31</v>
      </c>
      <c r="W73" s="1" t="s">
        <v>43</v>
      </c>
      <c r="X73" s="1" t="s">
        <v>30</v>
      </c>
      <c r="Z73" s="9"/>
      <c r="AA73" s="9"/>
      <c r="AB73" s="9"/>
      <c r="AC73" s="9"/>
      <c r="AD73" s="9"/>
      <c r="AF73" s="9"/>
      <c r="AG73" s="9"/>
      <c r="AH73" s="9"/>
      <c r="AI73" s="5" t="s">
        <v>42</v>
      </c>
      <c r="AJ73" s="6" t="s">
        <v>35</v>
      </c>
      <c r="AK73" s="6" t="s">
        <v>31</v>
      </c>
      <c r="AL73" s="6" t="s">
        <v>43</v>
      </c>
      <c r="AM73" s="6" t="s">
        <v>30</v>
      </c>
      <c r="AO73" s="6"/>
      <c r="AP73" s="6"/>
      <c r="AQ73" s="6"/>
      <c r="AR73" s="6"/>
      <c r="AS73" s="6"/>
      <c r="AU73" s="6"/>
      <c r="AV73" s="6"/>
      <c r="AW73" s="6"/>
      <c r="AY73" s="6"/>
      <c r="AZ73" s="6"/>
      <c r="BA73" s="6"/>
      <c r="BB73" s="6"/>
      <c r="BD73" s="1"/>
      <c r="BE73" s="1"/>
      <c r="BF73" s="1"/>
      <c r="BG73" s="1"/>
      <c r="BI73" s="1"/>
      <c r="BJ73" s="1"/>
      <c r="BK73" s="1"/>
      <c r="BQ73" s="1"/>
    </row>
    <row r="74" spans="1:69" x14ac:dyDescent="0.2">
      <c r="K74" s="1"/>
      <c r="L74" s="1"/>
      <c r="M74" s="1"/>
      <c r="U74" s="1">
        <f>AVERAGEIFS($R$2:$R$999,$P$2:$P$999,"&gt;=6.3",$O$2:$O$999,"&gt;=49")</f>
        <v>2.6124999999999998</v>
      </c>
      <c r="V74" s="1" t="e">
        <f>AVERAGEIFS($R$2:$R$999,$N$2:$N$999,"&lt;=-5",$P$2:$P$999,"&gt;=6.3",$O$2:$O$999,"&gt;=49")</f>
        <v>#DIV/0!</v>
      </c>
      <c r="W74" s="1">
        <f>AVERAGEIFS($R$2:$R$999,$N$2:$N$999,"&gt;=-4.5",$N$2:$N$999,"&lt;=4.5",$P$2:$P$999,"&gt;=6.3",$O$2:$O$999,"&gt;=49")</f>
        <v>2.6124999999999998</v>
      </c>
      <c r="X74" s="1" t="e">
        <f>AVERAGEIFS($R$2:$R$999,$N$2:$N$999,"&gt;=5",$P$2:$P$999,"&gt;=6.3",$O$2:$O$999,"&gt;=49")</f>
        <v>#DIV/0!</v>
      </c>
      <c r="Z74" s="9"/>
      <c r="AA74" s="9"/>
      <c r="AB74" s="9"/>
      <c r="AC74" s="9"/>
      <c r="AD74" s="9"/>
      <c r="AF74" s="9"/>
      <c r="AG74" s="9"/>
      <c r="AH74" s="9"/>
      <c r="AJ74" s="6" t="e">
        <f>AVERAGEIFS($R$2:$R$999,$P$2:$P$999,"&gt;=6.3",$O$2:$O$999,"&gt;=49",$C$2:$C$999,"&gt;=0.01")</f>
        <v>#DIV/0!</v>
      </c>
      <c r="AK74" s="6" t="e">
        <f>AVERAGEIFS($R$2:$R$999,$N$2:$N$999,"&lt;=-5",$P$2:$P$999,"&gt;=6.3",$O$2:$O$999,"&gt;=49",$C$2:$C$999,"&gt;=0.01")</f>
        <v>#DIV/0!</v>
      </c>
      <c r="AL74" s="6" t="e">
        <f>AVERAGEIFS($R$2:$R$999,$N$2:$N$999,"&gt;=-4.5",$N$2:$N$999,"&lt;=4.5",$P$2:$P$999,"&gt;=6.3",$O$2:$O$999,"&gt;=49",$C$2:$C$999,"&gt;=0.01")</f>
        <v>#DIV/0!</v>
      </c>
      <c r="AM74" s="6" t="e">
        <f>AVERAGEIFS($R$2:$R$999,$N$2:$N$999,"&gt;=5",$P$2:$P$999,"&gt;=6.3",$O$2:$O$999,"&gt;=49",$C$2:$C$999,"&gt;=0.01")</f>
        <v>#DIV/0!</v>
      </c>
      <c r="AO74" s="6"/>
      <c r="AP74" s="6"/>
      <c r="AQ74" s="6"/>
      <c r="AR74" s="6"/>
      <c r="AS74" s="6"/>
      <c r="AU74" s="6"/>
      <c r="AV74" s="6"/>
      <c r="AW74" s="6"/>
      <c r="AY74" s="6"/>
      <c r="AZ74" s="6"/>
      <c r="BA74" s="6"/>
      <c r="BB74" s="6"/>
      <c r="BD74" s="1"/>
      <c r="BE74" s="1"/>
      <c r="BF74" s="1"/>
      <c r="BG74" s="1"/>
      <c r="BI74" s="1"/>
      <c r="BJ74" s="1"/>
      <c r="BK74" s="1"/>
      <c r="BQ74" s="1"/>
    </row>
    <row r="83" spans="11:13" x14ac:dyDescent="0.2">
      <c r="K83" s="1"/>
      <c r="L83" s="1"/>
      <c r="M83" s="1"/>
    </row>
  </sheetData>
  <autoFilter ref="A1:R65" xr:uid="{B659CF7C-791E-2D48-9BE7-0B00ECECE5E5}"/>
  <pageMargins left="0.7" right="0.7" top="0.75" bottom="0.75" header="0.3" footer="0.3"/>
  <pageSetup orientation="portrait" horizontalDpi="0" verticalDpi="0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35EAC-493A-6B47-BFA2-8E8DF9639AC7}">
  <sheetPr codeName="Sheet10"/>
  <dimension ref="A1:BV80"/>
  <sheetViews>
    <sheetView workbookViewId="0">
      <selection activeCell="D18" sqref="D18"/>
    </sheetView>
  </sheetViews>
  <sheetFormatPr baseColWidth="10" defaultRowHeight="16" x14ac:dyDescent="0.2"/>
  <cols>
    <col min="2" max="2" width="17.1640625" bestFit="1" customWidth="1"/>
    <col min="3" max="3" width="5.1640625" bestFit="1" customWidth="1"/>
    <col min="4" max="4" width="10.5" bestFit="1" customWidth="1"/>
    <col min="5" max="5" width="8.1640625" bestFit="1" customWidth="1"/>
    <col min="6" max="6" width="8.1640625" customWidth="1"/>
    <col min="7" max="8" width="9.1640625" customWidth="1"/>
    <col min="9" max="9" width="9.83203125" bestFit="1" customWidth="1"/>
    <col min="10" max="10" width="11.83203125" bestFit="1" customWidth="1"/>
    <col min="11" max="11" width="3.6640625" bestFit="1" customWidth="1"/>
    <col min="12" max="12" width="4.83203125" bestFit="1" customWidth="1"/>
    <col min="13" max="13" width="8" bestFit="1" customWidth="1"/>
    <col min="14" max="14" width="6.83203125" bestFit="1" customWidth="1"/>
    <col min="15" max="15" width="5.1640625" bestFit="1" customWidth="1"/>
    <col min="18" max="19" width="10.83203125" style="1"/>
    <col min="20" max="20" width="12" bestFit="1" customWidth="1"/>
    <col min="21" max="21" width="15" bestFit="1" customWidth="1"/>
    <col min="23" max="23" width="12.33203125" bestFit="1" customWidth="1"/>
    <col min="25" max="25" width="12" bestFit="1" customWidth="1"/>
    <col min="26" max="26" width="15" bestFit="1" customWidth="1"/>
    <col min="28" max="28" width="12.33203125" bestFit="1" customWidth="1"/>
    <col min="30" max="30" width="12" bestFit="1" customWidth="1"/>
    <col min="31" max="31" width="15" bestFit="1" customWidth="1"/>
    <col min="33" max="33" width="12.33203125" bestFit="1" customWidth="1"/>
    <col min="35" max="35" width="12" bestFit="1" customWidth="1"/>
    <col min="36" max="36" width="15" bestFit="1" customWidth="1"/>
    <col min="38" max="38" width="12.33203125" bestFit="1" customWidth="1"/>
    <col min="40" max="40" width="12" bestFit="1" customWidth="1"/>
    <col min="41" max="41" width="15" bestFit="1" customWidth="1"/>
    <col min="43" max="43" width="12.33203125" bestFit="1" customWidth="1"/>
    <col min="45" max="45" width="12" bestFit="1" customWidth="1"/>
    <col min="46" max="46" width="15" bestFit="1" customWidth="1"/>
    <col min="48" max="48" width="12.33203125" bestFit="1" customWidth="1"/>
    <col min="50" max="50" width="12" bestFit="1" customWidth="1"/>
    <col min="51" max="51" width="15" bestFit="1" customWidth="1"/>
    <col min="53" max="53" width="12.33203125" bestFit="1" customWidth="1"/>
  </cols>
  <sheetData>
    <row r="1" spans="1:74" x14ac:dyDescent="0.2">
      <c r="A1" t="s">
        <v>0</v>
      </c>
      <c r="B1" t="s">
        <v>1</v>
      </c>
      <c r="C1" t="s">
        <v>77</v>
      </c>
      <c r="D1" t="s">
        <v>65</v>
      </c>
      <c r="E1" t="s">
        <v>66</v>
      </c>
      <c r="F1" t="s">
        <v>108</v>
      </c>
      <c r="G1" t="s">
        <v>120</v>
      </c>
      <c r="H1" t="s">
        <v>121</v>
      </c>
      <c r="I1" t="s">
        <v>131</v>
      </c>
      <c r="J1" t="s">
        <v>119</v>
      </c>
      <c r="K1" t="s">
        <v>122</v>
      </c>
      <c r="L1" t="s">
        <v>123</v>
      </c>
      <c r="M1" t="s">
        <v>124</v>
      </c>
      <c r="N1" t="s">
        <v>9</v>
      </c>
      <c r="O1" t="s">
        <v>13</v>
      </c>
      <c r="P1" t="s">
        <v>2</v>
      </c>
      <c r="Q1" t="s">
        <v>3</v>
      </c>
      <c r="R1" s="1" t="s">
        <v>6</v>
      </c>
      <c r="U1" s="1" t="s">
        <v>29</v>
      </c>
      <c r="V1" s="1" t="s">
        <v>31</v>
      </c>
      <c r="W1" s="1" t="s">
        <v>43</v>
      </c>
      <c r="X1" s="1" t="s">
        <v>30</v>
      </c>
      <c r="Y1" s="8" t="s">
        <v>87</v>
      </c>
      <c r="Z1" s="8" t="s">
        <v>87</v>
      </c>
      <c r="AA1" s="9" t="s">
        <v>31</v>
      </c>
      <c r="AB1" s="9" t="s">
        <v>43</v>
      </c>
      <c r="AC1" s="9" t="s">
        <v>30</v>
      </c>
      <c r="AD1" s="8" t="s">
        <v>114</v>
      </c>
      <c r="AE1" s="8" t="s">
        <v>87</v>
      </c>
      <c r="AF1" s="9" t="s">
        <v>31</v>
      </c>
      <c r="AG1" s="9" t="s">
        <v>43</v>
      </c>
      <c r="AH1" s="9" t="s">
        <v>30</v>
      </c>
      <c r="AI1" s="5"/>
      <c r="AJ1" s="6" t="s">
        <v>118</v>
      </c>
      <c r="AK1" s="6" t="s">
        <v>31</v>
      </c>
      <c r="AL1" s="6" t="s">
        <v>43</v>
      </c>
      <c r="AM1" s="6" t="s">
        <v>30</v>
      </c>
      <c r="AN1" s="5" t="s">
        <v>87</v>
      </c>
      <c r="AO1" s="5" t="s">
        <v>87</v>
      </c>
      <c r="AP1" s="6" t="s">
        <v>31</v>
      </c>
      <c r="AQ1" s="6" t="s">
        <v>43</v>
      </c>
      <c r="AR1" s="6" t="s">
        <v>30</v>
      </c>
      <c r="AS1" s="5" t="s">
        <v>114</v>
      </c>
      <c r="AT1" s="5" t="s">
        <v>87</v>
      </c>
      <c r="AU1" s="6" t="s">
        <v>31</v>
      </c>
      <c r="AV1" s="6" t="s">
        <v>43</v>
      </c>
      <c r="AW1" s="6" t="s">
        <v>30</v>
      </c>
      <c r="AX1" s="6" t="s">
        <v>88</v>
      </c>
      <c r="AY1" s="6" t="s">
        <v>88</v>
      </c>
      <c r="AZ1" s="6" t="s">
        <v>31</v>
      </c>
      <c r="BA1" s="6" t="s">
        <v>43</v>
      </c>
      <c r="BB1" s="6" t="s">
        <v>30</v>
      </c>
      <c r="BC1" s="3" t="s">
        <v>149</v>
      </c>
      <c r="BD1" s="4"/>
      <c r="BE1" s="4" t="s">
        <v>31</v>
      </c>
      <c r="BF1" s="4" t="s">
        <v>43</v>
      </c>
      <c r="BG1" s="4" t="s">
        <v>30</v>
      </c>
      <c r="BH1" s="1"/>
      <c r="BI1" s="1"/>
      <c r="BJ1" s="1"/>
      <c r="BK1" s="1"/>
      <c r="BL1" s="1"/>
      <c r="BM1" s="1"/>
      <c r="BO1" s="1"/>
      <c r="BP1" s="1"/>
      <c r="BQ1" s="1"/>
      <c r="BT1" s="1"/>
      <c r="BU1" s="1"/>
      <c r="BV1" s="1"/>
    </row>
    <row r="2" spans="1:74" x14ac:dyDescent="0.2">
      <c r="A2">
        <v>2</v>
      </c>
      <c r="B2" t="s">
        <v>67</v>
      </c>
      <c r="C2">
        <v>11.5</v>
      </c>
      <c r="D2" t="s">
        <v>76</v>
      </c>
      <c r="E2" t="s">
        <v>76</v>
      </c>
      <c r="N2">
        <v>1</v>
      </c>
      <c r="O2">
        <v>44.5</v>
      </c>
      <c r="P2">
        <v>3.7</v>
      </c>
      <c r="Q2">
        <v>6</v>
      </c>
      <c r="R2" s="1">
        <f t="shared" ref="R2:R9" si="0">Q2/P2</f>
        <v>1.6216216216216215</v>
      </c>
      <c r="U2" s="1">
        <f>AVERAGE($R$2:$R$999)</f>
        <v>1.9112877072093004</v>
      </c>
      <c r="V2" s="1">
        <f>AVERAGEIF($N$2:$N$999,"&lt;=-5",$R$2:$R$999)</f>
        <v>0.34444444444444444</v>
      </c>
      <c r="W2" s="1">
        <f>AVERAGEIFS($R$2:$R$999,$N$2:$N$999,"&gt;=-4.5",$N$2:$N$999,"&lt;=4.5")</f>
        <v>2.1477559902746091</v>
      </c>
      <c r="X2" s="1">
        <f>AVERAGEIF($N$2:$N$999,"&gt;=5",$R$2:$R$999)</f>
        <v>1.8184582781356975</v>
      </c>
      <c r="Y2" s="8"/>
      <c r="Z2" s="9">
        <f>AVERAGEIFS($R$2:$R$999,$E$2:$E$999,"YES",$D$2:$D$999,"YES")</f>
        <v>1.2032626520529746</v>
      </c>
      <c r="AA2" s="9">
        <f>AVERAGEIFS($R$2:$R$999,$N$2:$N$999,"&lt;=-5",$E$2:$E$999,"YES",$D$2:$D$999,"YES")</f>
        <v>0</v>
      </c>
      <c r="AB2" s="9">
        <f>AVERAGEIFS($R$2:$R$999,$N$2:$N$999,"&gt;=-4.5",$N$2:$N$999,"&lt;=4.5",$E$2:$E$999,"YES",$D$2:$D$999,"YES")</f>
        <v>0.67321428571428577</v>
      </c>
      <c r="AC2" s="9">
        <f>AVERAGEIFS($R$2:$R$999,$N$2:$N$999,"&gt;=5",$E$2:$E$999,"YES",$D$2:$D$999,"YES")</f>
        <v>1.9577157802964253</v>
      </c>
      <c r="AD2" s="8"/>
      <c r="AE2" s="9">
        <f>AVERAGEIFS($R$2:$R$999,$E$2:$E$999,"YES",$D$2:$D$999,"YES",$F$2:$F$999,"UP")</f>
        <v>2.7338709677419355</v>
      </c>
      <c r="AF2" s="9" t="e">
        <f>AVERAGEIFS($R$2:$R$999,$N$2:$N$999,"&lt;=-5",$E$2:$E$999,"YES",$D$2:$D$999,"YES",$F$2:$F$999,"UP")</f>
        <v>#DIV/0!</v>
      </c>
      <c r="AG2" s="9" t="e">
        <f>AVERAGEIFS($R$2:$R$999,$N$2:$N$999,"&gt;=-4.5",$N$2:$N$999,"&lt;=4.5",$E$2:$E$999,"YES",$D$2:$D$999,"YES",$F$2:$F$999,"UP")</f>
        <v>#DIV/0!</v>
      </c>
      <c r="AH2" s="9">
        <f>AVERAGEIFS($R$2:$R$999,$N$2:$N$999,"&gt;=5",$E$2:$E$999,"YES",$D$2:$D$999,"YES",$F$2:$F$999,"UP")</f>
        <v>2.7338709677419355</v>
      </c>
      <c r="AI2" s="5"/>
      <c r="AJ2" s="6">
        <f>AVERAGEIFS($R$2:$R$999,$C$2:$C$999,"&gt;=0.01")</f>
        <v>1.9112877072093004</v>
      </c>
      <c r="AK2" s="6">
        <f>AVERAGEIFS($R$2:$R$999,$N$2:$N$999,"&lt;=-5",$C$2:$C$999,"&gt;=0.01")</f>
        <v>0.34444444444444444</v>
      </c>
      <c r="AL2" s="6">
        <f>AVERAGEIFS($R$2:$R$999,$N$2:$N$999,"&gt;=-4.5",$N$2:$N$999,"&lt;=4.55",$C$2:$C$999,"&gt;=0.01")</f>
        <v>2.1477559902746091</v>
      </c>
      <c r="AM2" s="6">
        <f>AVERAGEIFS($R$2:$R$999,$N$2:$N$999,"&gt;=5",$C$2:$C$999,"&gt;=0.01")</f>
        <v>1.8184582781356975</v>
      </c>
      <c r="AN2" s="5"/>
      <c r="AO2" s="6">
        <f>AVERAGEIFS($R$2:$R$999,$E$2:$E$999,"YES",$D$2:$D$999,"YES",$C$2:$C$999,"&gt;=0.01")</f>
        <v>1.2032626520529746</v>
      </c>
      <c r="AP2" s="6">
        <f>AVERAGEIFS($R$2:$R$999,$N$2:$N$999,"&lt;=-5",$E$2:$E$999,"YES",$D$2:$D$999,"YES",$C$2:$C$999,"&gt;=0.01")</f>
        <v>0</v>
      </c>
      <c r="AQ2" s="6">
        <f>AVERAGEIFS($R$2:$R$999,$N$2:$N$999,"&gt;=-4.5",$N$2:$N$999,"&lt;=4.5",$E$2:$E$999,"YES",$D$2:$D$999,"YES",$C$2:$C$999,"&gt;=0.01")</f>
        <v>0.67321428571428577</v>
      </c>
      <c r="AR2" s="6">
        <f>AVERAGEIFS($R$2:$R$999,$N$2:$N$999,"&gt;=5",$E$2:$E$999,"YES",$D$2:$D$999,"YES",$C$2:$C$999,"&gt;=0.01")</f>
        <v>1.9577157802964253</v>
      </c>
      <c r="AS2" s="5"/>
      <c r="AT2" s="6">
        <f>AVERAGEIFS($R$2:$R$999,$E$2:$E$999,"YES",$D$2:$D$999,"YES",$F$2:$F$999,"UP",$C$2:$C$999,"&gt;=0.01")</f>
        <v>2.7338709677419355</v>
      </c>
      <c r="AU2" s="6" t="e">
        <f>AVERAGEIFS($R$2:$R$999,$N$2:$N$999,"&lt;=-5",$E$2:$E$999,"YES",$D$2:$D$999,"YES",$F$2:$F$999,"UP",$C$2:$C$999,"&gt;=0.01")</f>
        <v>#DIV/0!</v>
      </c>
      <c r="AV2" s="6" t="e">
        <f>AVERAGEIFS($R$2:$R$999,$N$2:$N$999,"&gt;=-4.5",$N$2:$N$999,"&lt;=4.5",$E$2:$E$999,"YES",$D$2:$D$999,"YES",$F$2:$F$999,"UP",$C$2:$C$999,"&gt;=0.01")</f>
        <v>#DIV/0!</v>
      </c>
      <c r="AW2" s="6">
        <f>AVERAGEIFS($R$2:$R$999,$N$2:$N$999,"&gt;=5",$E$2:$E$999,"YES",$D$2:$D$999,"YES",$F$2:$F$999,"UP",$C$2:$C$999,"&gt;=0.01")</f>
        <v>2.7338709677419355</v>
      </c>
      <c r="AX2" s="5"/>
      <c r="AY2" s="6">
        <f>AVERAGEIFS($R$2:$R$999,$C$2:$C$999,"&gt;=11")</f>
        <v>2.1965250965250966</v>
      </c>
      <c r="AZ2" s="6" t="e">
        <f>AVERAGEIFS($R$2:$R$999,$N$2:$N$999,"&lt;=-5",$C$2:$C$999,"&gt;=11")</f>
        <v>#DIV/0!</v>
      </c>
      <c r="BA2" s="6">
        <f>AVERAGEIFS($R$2:$R$999,$N$2:$N$999,"&gt;=-4.5",$N$2:$N$999,"&lt;=4.5",$C$2:$C$999,"&gt;=11")</f>
        <v>2.1965250965250966</v>
      </c>
      <c r="BB2" s="6" t="e">
        <f>AVERAGEIFS($R$2:$R$999,$N$2:$N$999,"&gt;=5",$C$2:$C$999,"&gt;=11")</f>
        <v>#DIV/0!</v>
      </c>
      <c r="BC2" s="3"/>
      <c r="BD2" s="4" t="e">
        <f>AVERAGEIFS($R$2:$R$999,$I$2:$I$999,"YES",$J$2:$J$999,"YES")</f>
        <v>#DIV/0!</v>
      </c>
      <c r="BE2" s="4" t="e">
        <f>AVERAGEIFS($R$2:$R$999,$N$2:$N$999,"&lt;=-5",$I$2:$I$999,"YES",$J$2:$J$999,"YES")</f>
        <v>#DIV/0!</v>
      </c>
      <c r="BF2" s="4" t="e">
        <f>AVERAGEIFS($R$2:$R$999,$N$2:$N$999,"&gt;=-4.5",$N$2:$N$999,"&lt;=4.5",$I$2:$I$999,"YES",$J$2:$J$999,"YES")</f>
        <v>#DIV/0!</v>
      </c>
      <c r="BG2" s="4" t="e">
        <f>AVERAGEIFS($R$2:$R$999,$N$2:$N$999,"&gt;=5",$I$2:$I$999,"YES",$J$2:$J$999,"YES")</f>
        <v>#DIV/0!</v>
      </c>
      <c r="BI2" s="1"/>
      <c r="BJ2" s="1"/>
      <c r="BK2" s="1"/>
      <c r="BL2" s="1"/>
      <c r="BN2" s="1"/>
      <c r="BO2" s="1"/>
      <c r="BP2" s="1"/>
      <c r="BQ2" s="1"/>
      <c r="BS2" s="1"/>
      <c r="BT2" s="1"/>
      <c r="BU2" s="1"/>
      <c r="BV2" s="1"/>
    </row>
    <row r="3" spans="1:74" x14ac:dyDescent="0.2">
      <c r="A3">
        <v>2</v>
      </c>
      <c r="B3" t="s">
        <v>69</v>
      </c>
      <c r="C3">
        <v>10.4</v>
      </c>
      <c r="D3" t="s">
        <v>75</v>
      </c>
      <c r="E3" t="s">
        <v>75</v>
      </c>
      <c r="F3" t="s">
        <v>109</v>
      </c>
      <c r="N3">
        <v>13</v>
      </c>
      <c r="O3">
        <v>46</v>
      </c>
      <c r="P3">
        <v>3.1</v>
      </c>
      <c r="Q3">
        <v>6.1</v>
      </c>
      <c r="R3" s="1">
        <f t="shared" si="0"/>
        <v>1.9677419354838708</v>
      </c>
      <c r="U3" s="1"/>
      <c r="V3" s="1"/>
      <c r="W3" s="1"/>
      <c r="X3" s="1"/>
      <c r="Y3" s="8"/>
      <c r="Z3" s="9"/>
      <c r="AA3" s="9"/>
      <c r="AB3" s="9"/>
      <c r="AC3" s="9"/>
      <c r="AD3" s="8"/>
      <c r="AE3" s="9"/>
      <c r="AF3" s="9"/>
      <c r="AG3" s="9"/>
      <c r="AH3" s="9"/>
      <c r="AI3" s="5"/>
      <c r="AJ3" s="6"/>
      <c r="AK3" s="6"/>
      <c r="AL3" s="6"/>
      <c r="AM3" s="6"/>
      <c r="AN3" s="5"/>
      <c r="AO3" s="6"/>
      <c r="AP3" s="6"/>
      <c r="AQ3" s="6"/>
      <c r="AR3" s="6"/>
      <c r="AS3" s="5"/>
      <c r="AT3" s="6"/>
      <c r="AU3" s="6"/>
      <c r="AV3" s="6"/>
      <c r="AW3" s="6"/>
      <c r="AX3" s="5"/>
      <c r="AY3" s="6"/>
      <c r="AZ3" s="6"/>
      <c r="BA3" s="6"/>
      <c r="BB3" s="6"/>
      <c r="BC3" s="3"/>
      <c r="BD3" s="4"/>
      <c r="BE3" s="4"/>
      <c r="BF3" s="4"/>
      <c r="BG3" s="4"/>
      <c r="BI3" s="1"/>
      <c r="BJ3" s="1"/>
      <c r="BK3" s="1"/>
      <c r="BL3" s="1"/>
      <c r="BN3" s="1"/>
      <c r="BO3" s="1"/>
      <c r="BP3" s="1"/>
      <c r="BQ3" s="1"/>
      <c r="BS3" s="1"/>
      <c r="BT3" s="1"/>
      <c r="BU3" s="1"/>
      <c r="BV3" s="1"/>
    </row>
    <row r="4" spans="1:74" x14ac:dyDescent="0.2">
      <c r="A4">
        <v>2</v>
      </c>
      <c r="B4" t="s">
        <v>71</v>
      </c>
      <c r="C4">
        <v>10</v>
      </c>
      <c r="D4" t="s">
        <v>76</v>
      </c>
      <c r="E4" t="s">
        <v>76</v>
      </c>
      <c r="F4" t="s">
        <v>109</v>
      </c>
      <c r="N4">
        <v>-2</v>
      </c>
      <c r="O4">
        <v>52.5</v>
      </c>
      <c r="P4">
        <v>6.3</v>
      </c>
      <c r="Q4">
        <v>16.600000000000001</v>
      </c>
      <c r="R4" s="1">
        <f t="shared" si="0"/>
        <v>2.6349206349206353</v>
      </c>
      <c r="U4" t="s">
        <v>33</v>
      </c>
      <c r="V4" s="1" t="s">
        <v>31</v>
      </c>
      <c r="W4" s="1" t="s">
        <v>43</v>
      </c>
      <c r="X4" s="1" t="s">
        <v>30</v>
      </c>
      <c r="Y4" s="8"/>
      <c r="Z4" s="8" t="s">
        <v>33</v>
      </c>
      <c r="AA4" s="9" t="s">
        <v>31</v>
      </c>
      <c r="AB4" s="9" t="s">
        <v>43</v>
      </c>
      <c r="AC4" s="9" t="s">
        <v>30</v>
      </c>
      <c r="AD4" s="8"/>
      <c r="AE4" s="8" t="s">
        <v>33</v>
      </c>
      <c r="AF4" s="9" t="s">
        <v>31</v>
      </c>
      <c r="AG4" s="9" t="s">
        <v>43</v>
      </c>
      <c r="AH4" s="9" t="s">
        <v>30</v>
      </c>
      <c r="AI4" s="5"/>
      <c r="AJ4" s="5" t="s">
        <v>33</v>
      </c>
      <c r="AK4" s="6" t="s">
        <v>31</v>
      </c>
      <c r="AL4" s="6" t="s">
        <v>43</v>
      </c>
      <c r="AM4" s="6" t="s">
        <v>30</v>
      </c>
      <c r="AN4" s="5"/>
      <c r="AO4" s="5" t="s">
        <v>33</v>
      </c>
      <c r="AP4" s="6" t="s">
        <v>31</v>
      </c>
      <c r="AQ4" s="6" t="s">
        <v>43</v>
      </c>
      <c r="AR4" s="6" t="s">
        <v>30</v>
      </c>
      <c r="AS4" s="5"/>
      <c r="AT4" s="5" t="s">
        <v>33</v>
      </c>
      <c r="AU4" s="6" t="s">
        <v>31</v>
      </c>
      <c r="AV4" s="6" t="s">
        <v>43</v>
      </c>
      <c r="AW4" s="6" t="s">
        <v>30</v>
      </c>
      <c r="AX4" s="5"/>
      <c r="AY4" s="5" t="s">
        <v>33</v>
      </c>
      <c r="AZ4" s="6" t="s">
        <v>31</v>
      </c>
      <c r="BA4" s="6" t="s">
        <v>43</v>
      </c>
      <c r="BB4" s="6" t="s">
        <v>30</v>
      </c>
      <c r="BC4" s="3"/>
      <c r="BD4" s="3" t="s">
        <v>33</v>
      </c>
      <c r="BE4" s="4" t="s">
        <v>31</v>
      </c>
      <c r="BF4" s="4" t="s">
        <v>43</v>
      </c>
      <c r="BG4" s="4" t="s">
        <v>30</v>
      </c>
      <c r="BJ4" s="1"/>
      <c r="BK4" s="1"/>
      <c r="BL4" s="1"/>
      <c r="BO4" s="1"/>
      <c r="BP4" s="1"/>
      <c r="BQ4" s="1"/>
      <c r="BT4" s="1"/>
      <c r="BU4" s="1"/>
      <c r="BV4" s="1"/>
    </row>
    <row r="5" spans="1:74" x14ac:dyDescent="0.2">
      <c r="A5">
        <v>2</v>
      </c>
      <c r="B5" t="s">
        <v>72</v>
      </c>
      <c r="C5">
        <v>9.3000000000000007</v>
      </c>
      <c r="D5" t="s">
        <v>76</v>
      </c>
      <c r="E5" t="s">
        <v>76</v>
      </c>
      <c r="N5">
        <v>-4</v>
      </c>
      <c r="O5">
        <v>47</v>
      </c>
      <c r="P5">
        <v>4</v>
      </c>
      <c r="Q5">
        <v>0</v>
      </c>
      <c r="R5" s="1">
        <f t="shared" si="0"/>
        <v>0</v>
      </c>
      <c r="U5" s="1">
        <f>AVERAGEIFS($R$2:$R$999,$P$2:$P$999,"&lt;=4")</f>
        <v>2.040354856269043</v>
      </c>
      <c r="V5" s="1">
        <f>AVERAGEIFS($R$2:$R$999,$N$2:$N$999,"&lt;=-5",$P$2:$P$999,"&lt;=4")</f>
        <v>0</v>
      </c>
      <c r="W5" s="1">
        <f>AVERAGEIFS($R$2:$R$999,$N$2:$N$999,"&gt;=-4.5",$N$2:$N$999,"&lt;=4.55",$P$2:$P$999,"&lt;=4")</f>
        <v>2.3398240982025809</v>
      </c>
      <c r="X5" s="1">
        <f>AVERAGEIFS($R$2:$R$999,$N$2:$N$999,"&gt;=5",$P$2:$P$999,"&lt;=4")</f>
        <v>1.8184582781356975</v>
      </c>
      <c r="Y5" s="8"/>
      <c r="Z5" s="9">
        <f>AVERAGEIFS($R$2:$R$999,$P$2:$P$999,"&lt;=4",$E$2:$E$999,"YES",$D$2:$D$999,"YES")</f>
        <v>1.2032626520529746</v>
      </c>
      <c r="AA5" s="9">
        <f>AVERAGEIFS($R$2:$R$999,$N$2:$N$999,"&lt;=-5",$P$2:$P$999,"&lt;=4",$E$2:$E$999,"YES",$D$2:$D$999,"YES")</f>
        <v>0</v>
      </c>
      <c r="AB5" s="9">
        <f>AVERAGEIFS($R$2:$R$999,$N$2:$N$999,"&gt;=-4.5",$N$2:$N$999,"&lt;=4.55",$P$2:$P$999,"&lt;=4",$E$2:$E$999,"YES",$D$2:$D$999,"YES")</f>
        <v>0.67321428571428577</v>
      </c>
      <c r="AC5" s="9">
        <f>AVERAGEIFS($R$2:$R$999,$N$2:$N$999,"&gt;=5",$P$2:$P$999,"&lt;=4",$E$2:$E$999,"YES",$D$2:$D$999,"YES")</f>
        <v>1.9577157802964253</v>
      </c>
      <c r="AD5" s="8"/>
      <c r="AE5" s="9">
        <f>AVERAGEIFS($R$2:$R$999,$P$2:$P$999,"&lt;=4",$E$2:$E$999,"YES",$D$2:$D$999,"YES",$F$2:$F$999,"UP")</f>
        <v>2.7338709677419355</v>
      </c>
      <c r="AF5" s="9" t="e">
        <f>AVERAGEIFS($R$2:$R$999,$N$2:$N$999,"&lt;=-5",$P$2:$P$999,"&lt;=4",$E$2:$E$999,"YES",$D$2:$D$999,"YES",$F$2:$F$999,"UP")</f>
        <v>#DIV/0!</v>
      </c>
      <c r="AG5" s="9" t="e">
        <f>AVERAGEIFS($R$2:$R$999,$N$2:$N$999,"&gt;=-4.5",$N$2:$N$999,"&lt;=4.55",$P$2:$P$999,"&lt;=4",$E$2:$E$999,"YES",$D$2:$D$999,"YES",$F$2:$F$999,"UP")</f>
        <v>#DIV/0!</v>
      </c>
      <c r="AH5" s="9">
        <f>AVERAGEIFS($R$2:$R$999,$N$2:$N$999,"&gt;=5",$P$2:$P$999,"&lt;=4",$E$2:$E$999,"YES",$D$2:$D$999,"YES",$F$2:$F$999,"UP")</f>
        <v>2.7338709677419355</v>
      </c>
      <c r="AI5" s="5"/>
      <c r="AJ5" s="6">
        <f>AVERAGEIFS($R$2:$R$999,$P$2:$P$999,"&lt;=4",$C$2:$C$999,"&gt;=0.01")</f>
        <v>2.040354856269043</v>
      </c>
      <c r="AK5" s="6">
        <f>AVERAGEIFS($R$2:$R$999,$N$2:$N$999,"&lt;=-5",$P$2:$P$999,"&lt;=4",$C$2:$C$999,"&gt;=0.01")</f>
        <v>0</v>
      </c>
      <c r="AL5" s="6">
        <f>AVERAGEIFS($R$2:$R$999,$N$2:$N$999,"&gt;=-4.5",$N$2:$N$999,"&lt;=4.55",$P$2:$P$999,"&lt;=4",$C$2:$C$999,"&gt;=0.01")</f>
        <v>2.3398240982025809</v>
      </c>
      <c r="AM5" s="6">
        <f>AVERAGEIFS($R$2:$R$999,$N$2:$N$999,"&gt;=5",$P$2:$P$999,"&lt;=4",$C$2:$C$999,"&gt;=0.01")</f>
        <v>1.8184582781356975</v>
      </c>
      <c r="AN5" s="5"/>
      <c r="AO5" s="6">
        <f>AVERAGEIFS($R$2:$R$999,$P$2:$P$999,"&lt;=4",$E$2:$E$999,"YES",$D$2:$D$999,"YES",$C$2:$C$999,"&gt;=0.01")</f>
        <v>1.2032626520529746</v>
      </c>
      <c r="AP5" s="6">
        <f>AVERAGEIFS($R$2:$R$999,$N$2:$N$999,"&lt;=-5",$P$2:$P$999,"&lt;=4",$E$2:$E$999,"YES",$D$2:$D$999,"YES",$C$2:$C$999,"&gt;=0.01")</f>
        <v>0</v>
      </c>
      <c r="AQ5" s="6">
        <f>AVERAGEIFS($R$2:$R$999,$N$2:$N$999,"&gt;=-4.5",$N$2:$N$999,"&lt;=4.55",$P$2:$P$999,"&lt;=4",$E$2:$E$999,"YES",$D$2:$D$999,"YES",$C$2:$C$999,"&gt;=0.01")</f>
        <v>0.67321428571428577</v>
      </c>
      <c r="AR5" s="6">
        <f>AVERAGEIFS($R$2:$R$999,$N$2:$N$999,"&gt;=5",$P$2:$P$999,"&lt;=4",$E$2:$E$999,"YES",$D$2:$D$999,"YES",$C$2:$C$999,"&gt;=0.01")</f>
        <v>1.9577157802964253</v>
      </c>
      <c r="AS5" s="5"/>
      <c r="AT5" s="6">
        <f>AVERAGEIFS($R$2:$R$999,$P$2:$P$999,"&lt;=4",$E$2:$E$999,"YES",$D$2:$D$999,"YES",$F$2:$F$999,"UP",$C$2:$C$999,"&gt;=0.01")</f>
        <v>2.7338709677419355</v>
      </c>
      <c r="AU5" s="6" t="e">
        <f>AVERAGEIFS($R$2:$R$999,$N$2:$N$999,"&lt;=-5",$P$2:$P$999,"&lt;=4",$E$2:$E$999,"YES",$D$2:$D$999,"YES",$F$2:$F$999,"UP",$C$2:$C$999,"&gt;=0.01")</f>
        <v>#DIV/0!</v>
      </c>
      <c r="AV5" s="6" t="e">
        <f>AVERAGEIFS($R$2:$R$999,$N$2:$N$999,"&gt;=-4.5",$N$2:$N$999,"&lt;=4.55",$P$2:$P$999,"&lt;=4",$E$2:$E$999,"YES",$D$2:$D$999,"YES",$F$2:$F$999,"UP",$C$2:$C$999,"&gt;=0.01")</f>
        <v>#DIV/0!</v>
      </c>
      <c r="AW5" s="6">
        <f>AVERAGEIFS($R$2:$R$999,$N$2:$N$999,"&gt;=5",$P$2:$P$999,"&lt;=4",$E$2:$E$999,"YES",$D$2:$D$999,"YES",$F$2:$F$999,"UP",$C$2:$C$999,"&gt;=0.01")</f>
        <v>2.7338709677419355</v>
      </c>
      <c r="AX5" s="5"/>
      <c r="AY5" s="6">
        <f>AVERAGEIFS($R$2:$R$999,$P$2:$P$999,"&lt;=4",$C$2:$C$999,"&gt;=11")</f>
        <v>2.1965250965250966</v>
      </c>
      <c r="AZ5" s="6" t="e">
        <f>AVERAGEIFS($R$2:$R$999,$N$2:$N$999,"&lt;=-5",$P$2:$P$999,"&lt;=4",$C$2:$C$999,"&gt;=11")</f>
        <v>#DIV/0!</v>
      </c>
      <c r="BA5" s="6">
        <f>AVERAGEIFS($R$2:$R$999,$N$2:$N$999,"&gt;=-4.5",$N$2:$N$999,"&lt;=4.55",$P$2:$P$999,"&lt;=4",$C$2:$C$999,"&gt;=11")</f>
        <v>2.1965250965250966</v>
      </c>
      <c r="BB5" s="6" t="e">
        <f>AVERAGEIFS($R$2:$R$999,$N$2:$N$999,"&gt;=5",$P$2:$P$999,"&lt;=4",$C$2:$C$999,"&gt;=11")</f>
        <v>#DIV/0!</v>
      </c>
      <c r="BC5" s="3"/>
      <c r="BD5" s="4" t="e">
        <f>AVERAGEIFS($R$2:$R$999,$P$2:$P$999,"&lt;=4",$I$2:$I$999,"YES",$J$2:$J$999,"YES")</f>
        <v>#DIV/0!</v>
      </c>
      <c r="BE5" s="4" t="e">
        <f>AVERAGEIFS($R$2:$R$999,$N$2:$N$999,"&lt;=-5",$P$2:$P$999,"&lt;=4",$I$2:$I$999,"YES",$J$2:$J$999,"YES")</f>
        <v>#DIV/0!</v>
      </c>
      <c r="BF5" s="4" t="e">
        <f>AVERAGEIFS($R$2:$R$999,$N$2:$N$999,"&gt;=-4.5",$N$2:$N$999,"&lt;=4.55",$P$2:$P$999,"&lt;=4",$I$2:$I$999,"YES",$J$2:$J$999,"YES")</f>
        <v>#DIV/0!</v>
      </c>
      <c r="BG5" s="4" t="e">
        <f>AVERAGEIFS($R$2:$R$999,$N$2:$N$999,"&gt;=5",$P$2:$P$999,"&lt;=4",$I$2:$I$999,"YES",$J$2:$J$999,"YES")</f>
        <v>#DIV/0!</v>
      </c>
      <c r="BI5" s="1"/>
      <c r="BJ5" s="1"/>
      <c r="BK5" s="1"/>
      <c r="BL5" s="1"/>
      <c r="BN5" s="1"/>
      <c r="BO5" s="1"/>
      <c r="BP5" s="1"/>
      <c r="BQ5" s="1"/>
      <c r="BS5" s="1"/>
      <c r="BT5" s="1"/>
      <c r="BU5" s="1"/>
      <c r="BV5" s="1"/>
    </row>
    <row r="6" spans="1:74" x14ac:dyDescent="0.2">
      <c r="A6">
        <v>2</v>
      </c>
      <c r="B6" t="s">
        <v>10</v>
      </c>
      <c r="C6">
        <v>8.5</v>
      </c>
      <c r="D6" t="s">
        <v>75</v>
      </c>
      <c r="E6" t="s">
        <v>76</v>
      </c>
      <c r="N6">
        <v>-1</v>
      </c>
      <c r="O6">
        <v>53</v>
      </c>
      <c r="P6">
        <v>3.7</v>
      </c>
      <c r="Q6">
        <v>27.7</v>
      </c>
      <c r="R6" s="1">
        <f t="shared" si="0"/>
        <v>7.486486486486486</v>
      </c>
      <c r="U6" s="1"/>
      <c r="V6" s="1"/>
      <c r="W6" s="1"/>
      <c r="X6" s="1"/>
      <c r="Y6" s="8"/>
      <c r="Z6" s="9"/>
      <c r="AA6" s="9"/>
      <c r="AB6" s="9"/>
      <c r="AC6" s="9"/>
      <c r="AD6" s="8"/>
      <c r="AE6" s="9"/>
      <c r="AF6" s="9"/>
      <c r="AG6" s="9"/>
      <c r="AH6" s="9"/>
      <c r="AI6" s="5"/>
      <c r="AJ6" s="6"/>
      <c r="AK6" s="6"/>
      <c r="AL6" s="6"/>
      <c r="AM6" s="6"/>
      <c r="AN6" s="5"/>
      <c r="AO6" s="6"/>
      <c r="AP6" s="6"/>
      <c r="AQ6" s="6"/>
      <c r="AR6" s="6"/>
      <c r="AS6" s="5"/>
      <c r="AT6" s="6"/>
      <c r="AU6" s="6"/>
      <c r="AV6" s="6"/>
      <c r="AW6" s="6"/>
      <c r="AX6" s="5"/>
      <c r="AY6" s="6"/>
      <c r="AZ6" s="6"/>
      <c r="BA6" s="6"/>
      <c r="BB6" s="6"/>
      <c r="BC6" s="3"/>
      <c r="BD6" s="4"/>
      <c r="BE6" s="4"/>
      <c r="BF6" s="4"/>
      <c r="BG6" s="4"/>
      <c r="BI6" s="1"/>
      <c r="BJ6" s="1"/>
      <c r="BK6" s="1"/>
      <c r="BL6" s="1"/>
      <c r="BN6" s="1"/>
      <c r="BO6" s="1"/>
      <c r="BP6" s="1"/>
      <c r="BQ6" s="1"/>
      <c r="BS6" s="1"/>
      <c r="BT6" s="1"/>
      <c r="BU6" s="1"/>
      <c r="BV6" s="1"/>
    </row>
    <row r="7" spans="1:74" x14ac:dyDescent="0.2">
      <c r="A7">
        <v>2</v>
      </c>
      <c r="B7" t="s">
        <v>73</v>
      </c>
      <c r="C7">
        <v>8.5</v>
      </c>
      <c r="D7" t="s">
        <v>75</v>
      </c>
      <c r="E7" t="s">
        <v>75</v>
      </c>
      <c r="F7" t="s">
        <v>109</v>
      </c>
      <c r="N7">
        <v>13</v>
      </c>
      <c r="O7">
        <v>46</v>
      </c>
      <c r="P7">
        <v>3</v>
      </c>
      <c r="Q7">
        <v>10.5</v>
      </c>
      <c r="R7" s="1">
        <f t="shared" si="0"/>
        <v>3.5</v>
      </c>
      <c r="U7" t="s">
        <v>36</v>
      </c>
      <c r="V7" s="1" t="s">
        <v>31</v>
      </c>
      <c r="W7" s="1" t="s">
        <v>43</v>
      </c>
      <c r="X7" s="1" t="s">
        <v>30</v>
      </c>
      <c r="Y7" s="8"/>
      <c r="Z7" s="8" t="s">
        <v>36</v>
      </c>
      <c r="AA7" s="9" t="s">
        <v>31</v>
      </c>
      <c r="AB7" s="9" t="s">
        <v>43</v>
      </c>
      <c r="AC7" s="9" t="s">
        <v>30</v>
      </c>
      <c r="AD7" s="8"/>
      <c r="AE7" s="8" t="s">
        <v>36</v>
      </c>
      <c r="AF7" s="9" t="s">
        <v>31</v>
      </c>
      <c r="AG7" s="9" t="s">
        <v>43</v>
      </c>
      <c r="AH7" s="9" t="s">
        <v>30</v>
      </c>
      <c r="AI7" s="5"/>
      <c r="AJ7" s="5" t="s">
        <v>36</v>
      </c>
      <c r="AK7" s="6" t="s">
        <v>31</v>
      </c>
      <c r="AL7" s="6" t="s">
        <v>43</v>
      </c>
      <c r="AM7" s="6" t="s">
        <v>30</v>
      </c>
      <c r="AN7" s="5"/>
      <c r="AO7" s="5" t="s">
        <v>36</v>
      </c>
      <c r="AP7" s="6" t="s">
        <v>31</v>
      </c>
      <c r="AQ7" s="6" t="s">
        <v>43</v>
      </c>
      <c r="AR7" s="6" t="s">
        <v>30</v>
      </c>
      <c r="AS7" s="5"/>
      <c r="AT7" s="5" t="s">
        <v>36</v>
      </c>
      <c r="AU7" s="6" t="s">
        <v>31</v>
      </c>
      <c r="AV7" s="6" t="s">
        <v>43</v>
      </c>
      <c r="AW7" s="6" t="s">
        <v>30</v>
      </c>
      <c r="AX7" s="5"/>
      <c r="AY7" s="5" t="s">
        <v>36</v>
      </c>
      <c r="AZ7" s="6" t="s">
        <v>31</v>
      </c>
      <c r="BA7" s="6" t="s">
        <v>43</v>
      </c>
      <c r="BB7" s="6" t="s">
        <v>30</v>
      </c>
      <c r="BC7" s="3"/>
      <c r="BD7" s="3" t="s">
        <v>36</v>
      </c>
      <c r="BE7" s="4" t="s">
        <v>31</v>
      </c>
      <c r="BF7" s="4" t="s">
        <v>43</v>
      </c>
      <c r="BG7" s="4" t="s">
        <v>30</v>
      </c>
      <c r="BJ7" s="1"/>
      <c r="BK7" s="1"/>
      <c r="BL7" s="1"/>
      <c r="BO7" s="1"/>
      <c r="BP7" s="1"/>
      <c r="BQ7" s="1"/>
      <c r="BT7" s="1"/>
      <c r="BU7" s="1"/>
      <c r="BV7" s="1"/>
    </row>
    <row r="8" spans="1:74" x14ac:dyDescent="0.2">
      <c r="A8">
        <v>2</v>
      </c>
      <c r="B8" t="s">
        <v>21</v>
      </c>
      <c r="C8">
        <v>7.5</v>
      </c>
      <c r="D8" t="s">
        <v>76</v>
      </c>
      <c r="E8" t="s">
        <v>76</v>
      </c>
      <c r="N8">
        <v>6.5</v>
      </c>
      <c r="O8">
        <v>48</v>
      </c>
      <c r="P8">
        <v>3.2</v>
      </c>
      <c r="Q8">
        <v>0</v>
      </c>
      <c r="R8" s="1">
        <f t="shared" si="0"/>
        <v>0</v>
      </c>
      <c r="U8" s="1">
        <f>AVERAGEIFS($R$2:$R$999,$P$2:$P$999,"&gt;=4.1",$P$2:$P$999,"&lt;=5")</f>
        <v>1.0850437299827544</v>
      </c>
      <c r="V8" s="1">
        <f>AVERAGEIFS($R$2:$R$999,$N$2:$N$999,"&lt;=-5",$P$2:$P$999,"&gt;=4.1",$P$2:$P$999,"&lt;=5")</f>
        <v>0.68888888888888888</v>
      </c>
      <c r="W8" s="1">
        <f>AVERAGEIFS($R$2:$R$999,$N$2:$N$999,"&gt;=-4.5",$N$2:$N$999,"&lt;=4.5",$P$2:$P$999,"&gt;=4.1",$P$2:$P$999,"&lt;=5")</f>
        <v>1.2170953436807095</v>
      </c>
      <c r="X8" s="1" t="e">
        <f>AVERAGEIFS($R$2:$R$999,$N$2:$N$999,"&gt;=5",$P$2:$P$999,"&gt;=4.1",$P$2:$P$999,"&lt;=5")</f>
        <v>#DIV/0!</v>
      </c>
      <c r="Y8" s="8"/>
      <c r="Z8" s="9" t="e">
        <f>AVERAGEIFS($R$2:$R$999,$P$2:$P$999,"&gt;=4.1",$P$2:$P$999,"&lt;=5",$E$2:$E$999,"YES",$D$2:$D$999,"YES")</f>
        <v>#DIV/0!</v>
      </c>
      <c r="AA8" s="9" t="e">
        <f>AVERAGEIFS($R$2:$R$999,$N$2:$N$999,"&lt;=-5",$P$2:$P$999,"&gt;=4.1",$P$2:$P$999,"&lt;=5",$E$2:$E$999,"YES",$D$2:$D$999,"YES")</f>
        <v>#DIV/0!</v>
      </c>
      <c r="AB8" s="9" t="e">
        <f>AVERAGEIFS($R$2:$R$999,$N$2:$N$999,"&gt;=-4.5",$N$2:$N$999,"&lt;=4.5",$P$2:$P$999,"&gt;=4.1",$P$2:$P$999,"&lt;=5",$E$2:$E$999,"YES",$D$2:$D$999,"YES")</f>
        <v>#DIV/0!</v>
      </c>
      <c r="AC8" s="9" t="e">
        <f>AVERAGEIFS($R$2:$R$999,$N$2:$N$999,"&gt;=5",$P$2:$P$999,"&gt;=4.1",$P$2:$P$999,"&lt;=5",$E$2:$E$999,"YES",$D$2:$D$999,"YES")</f>
        <v>#DIV/0!</v>
      </c>
      <c r="AD8" s="8"/>
      <c r="AE8" s="9" t="e">
        <f>AVERAGEIFS($R$2:$R$999,$P$2:$P$999,"&gt;=4.1",$P$2:$P$999,"&lt;=5",$E$2:$E$999,"YES",$D$2:$D$999,"YES",$F$2:$F$999,"UP")</f>
        <v>#DIV/0!</v>
      </c>
      <c r="AF8" s="9" t="e">
        <f>AVERAGEIFS($R$2:$R$999,$N$2:$N$999,"&lt;=-5",$P$2:$P$999,"&gt;=4.1",$P$2:$P$999,"&lt;=5",$E$2:$E$999,"YES",$D$2:$D$999,"YES",$F$2:$F$999,"UP")</f>
        <v>#DIV/0!</v>
      </c>
      <c r="AG8" s="9" t="e">
        <f>AVERAGEIFS($R$2:$R$999,$N$2:$N$999,"&gt;=-4.5",$N$2:$N$999,"&lt;=4.5",$P$2:$P$999,"&gt;=4.1",$P$2:$P$999,"&lt;=5",$E$2:$E$999,"YES",$D$2:$D$999,"YES",$F$2:$F$999,"UP")</f>
        <v>#DIV/0!</v>
      </c>
      <c r="AH8" s="9" t="e">
        <f>AVERAGEIFS($R$2:$R$999,$N$2:$N$999,"&gt;=5",$P$2:$P$999,"&gt;=4.1",$P$2:$P$999,"&lt;=5",$E$2:$E$999,"YES",$D$2:$D$999,"YES",$F$2:$F$999,"UP")</f>
        <v>#DIV/0!</v>
      </c>
      <c r="AI8" s="5"/>
      <c r="AJ8" s="6">
        <f>AVERAGEIFS($R$2:$R$999,$P$2:$P$999,"&gt;=4.1",$P$2:$P$999,"&lt;=5",$C$2:$C$999,"&gt;=0.01")</f>
        <v>1.0850437299827544</v>
      </c>
      <c r="AK8" s="6">
        <f>AVERAGEIFS($R$2:$R$999,$N$2:$N$999,"&lt;=-5",$P$2:$P$999,"&gt;=4.1",$P$2:$P$999,"&lt;=5",$C$2:$C$999,"&gt;=0.01")</f>
        <v>0.68888888888888888</v>
      </c>
      <c r="AL8" s="6">
        <f>AVERAGEIFS($R$2:$R$999,$N$2:$N$999,"&gt;=-4.5",$N$2:$N$999,"&lt;=4.5",$P$2:$P$999,"&gt;=4.1",$P$2:$P$999,"&lt;=5",$C$2:$C$999,"&gt;=0.01")</f>
        <v>1.2170953436807095</v>
      </c>
      <c r="AM8" s="6" t="e">
        <f>AVERAGEIFS($R$2:$R$999,$N$2:$N$999,"&gt;=5",$P$2:$P$999,"&gt;=4.1",$P$2:$P$999,"&lt;=5",$C$2:$C$999,"&gt;=0.01")</f>
        <v>#DIV/0!</v>
      </c>
      <c r="AN8" s="5"/>
      <c r="AO8" s="6" t="e">
        <f>AVERAGEIFS($R$2:$R$999,$P$2:$P$999,"&gt;=4.1",$P$2:$P$999,"&lt;=5",$E$2:$E$999,"YES",$D$2:$D$999,"YES",$C$2:$C$999,"&gt;=0.01")</f>
        <v>#DIV/0!</v>
      </c>
      <c r="AP8" s="6" t="e">
        <f>AVERAGEIFS($R$2:$R$999,$N$2:$N$999,"&lt;=-5",$P$2:$P$999,"&gt;=4.1",$P$2:$P$999,"&lt;=5",$E$2:$E$999,"YES",$D$2:$D$999,"YES",$C$2:$C$999,"&gt;=0.01")</f>
        <v>#DIV/0!</v>
      </c>
      <c r="AQ8" s="6" t="e">
        <f>AVERAGEIFS($R$2:$R$999,$N$2:$N$999,"&gt;=-4.5",$N$2:$N$999,"&lt;=4.5",$P$2:$P$999,"&gt;=4.1",$P$2:$P$999,"&lt;=5",$E$2:$E$999,"YES",$D$2:$D$999,"YES",$C$2:$C$999,"&gt;=0.01")</f>
        <v>#DIV/0!</v>
      </c>
      <c r="AR8" s="6" t="e">
        <f>AVERAGEIFS($R$2:$R$999,$N$2:$N$999,"&gt;=5",$P$2:$P$999,"&gt;=4.1",$P$2:$P$999,"&lt;=5",$E$2:$E$999,"YES",$D$2:$D$999,"YES",$C$2:$C$999,"&gt;=0.01")</f>
        <v>#DIV/0!</v>
      </c>
      <c r="AS8" s="5"/>
      <c r="AT8" s="6" t="e">
        <f>AVERAGEIFS($R$2:$R$999,$P$2:$P$999,"&gt;=4.1",$P$2:$P$999,"&lt;=5",$E$2:$E$999,"YES",$D$2:$D$999,"YES",$F$2:$F$999,"UP",$C$2:$C$999,"&gt;=0.01")</f>
        <v>#DIV/0!</v>
      </c>
      <c r="AU8" s="6" t="e">
        <f>AVERAGEIFS($R$2:$R$999,$N$2:$N$999,"&lt;=-5",$P$2:$P$999,"&gt;=4.1",$P$2:$P$999,"&lt;=5",$E$2:$E$999,"YES",$D$2:$D$999,"YES",$F$2:$F$999,"UP",$C$2:$C$999,"&gt;=0.01")</f>
        <v>#DIV/0!</v>
      </c>
      <c r="AV8" s="6" t="e">
        <f>AVERAGEIFS($R$2:$R$999,$N$2:$N$999,"&gt;=-4.5",$N$2:$N$999,"&lt;=4.5",$P$2:$P$999,"&gt;=4.1",$P$2:$P$999,"&lt;=5",$E$2:$E$999,"YES",$D$2:$D$999,"YES",$F$2:$F$999,"UP",$C$2:$C$999,"&gt;=0.01")</f>
        <v>#DIV/0!</v>
      </c>
      <c r="AW8" s="6" t="e">
        <f>AVERAGEIFS($R$2:$R$999,$N$2:$N$999,"&gt;=5",$P$2:$P$999,"&gt;=4.1",$P$2:$P$999,"&lt;=5",$E$2:$E$999,"YES",$D$2:$D$999,"YES",$F$2:$F$999,"UP",$C$2:$C$999,"&gt;=0.01")</f>
        <v>#DIV/0!</v>
      </c>
      <c r="AX8" s="5"/>
      <c r="AY8" s="6" t="e">
        <f>AVERAGEIFS($R$2:$R$999,$P$2:$P$999,"&gt;=4.1",$P$2:$P$999,"&lt;=5",$C$2:$C$999,"&gt;=11")</f>
        <v>#DIV/0!</v>
      </c>
      <c r="AZ8" s="6" t="e">
        <f>AVERAGEIFS($R$2:$R$999,$N$2:$N$999,"&lt;=-5",$P$2:$P$999,"&gt;=4.1",$P$2:$P$999,"&lt;=5",$C$2:$C$999,"&gt;=11")</f>
        <v>#DIV/0!</v>
      </c>
      <c r="BA8" s="6" t="e">
        <f>AVERAGEIFS($R$2:$R$999,$N$2:$N$999,"&gt;=-4.5",$N$2:$N$999,"&lt;=4.5",$P$2:$P$999,"&gt;=4.1",$P$2:$P$999,"&lt;=5",$C$2:$C$999,"&gt;=11")</f>
        <v>#DIV/0!</v>
      </c>
      <c r="BB8" s="6" t="e">
        <f>AVERAGEIFS($R$2:$R$999,$N$2:$N$999,"&gt;=5",$P$2:$P$999,"&gt;=4.1",$P$2:$P$999,"&lt;=5",$C$2:$C$999,"&gt;=11")</f>
        <v>#DIV/0!</v>
      </c>
      <c r="BC8" s="3"/>
      <c r="BD8" s="4" t="e">
        <f>AVERAGEIFS($R$2:$R$999,$P$2:$P$999,"&gt;=4.1",$P$2:$P$999,"&lt;=5",$I$2:$I$999,"YES",$J$2:$J$999,"YES")</f>
        <v>#DIV/0!</v>
      </c>
      <c r="BE8" s="4" t="e">
        <f>AVERAGEIFS($R$2:$R$999,$N$2:$N$999,"&lt;=-5",$P$2:$P$999,"&gt;=4.1",$P$2:$P$999,"&lt;=5",$I$2:$I$999,"YES",$J$2:$J$999,"YES")</f>
        <v>#DIV/0!</v>
      </c>
      <c r="BF8" s="4" t="e">
        <f>AVERAGEIFS($R$2:$R$999,$N$2:$N$999,"&gt;=-4.5",$N$2:$N$999,"&lt;=4.5",$P$2:$P$999,"&gt;=4.1",$P$2:$P$999,"&lt;=5",$I$2:$I$999,"YES",$J$2:$J$999,"YES")</f>
        <v>#DIV/0!</v>
      </c>
      <c r="BG8" s="4" t="e">
        <f>AVERAGEIFS($R$2:$R$999,$N$2:$N$999,"&gt;=5",$P$2:$P$999,"&gt;=4.1",$P$2:$P$999,"&lt;=5",$I$2:$I$999,"YES",$J$2:$J$999,"YES")</f>
        <v>#DIV/0!</v>
      </c>
      <c r="BI8" s="1"/>
      <c r="BJ8" s="1"/>
      <c r="BK8" s="1"/>
      <c r="BL8" s="1"/>
      <c r="BN8" s="1"/>
      <c r="BO8" s="1"/>
      <c r="BP8" s="1"/>
      <c r="BQ8" s="1"/>
      <c r="BS8" s="1"/>
      <c r="BT8" s="1"/>
      <c r="BU8" s="1"/>
      <c r="BV8" s="1"/>
    </row>
    <row r="9" spans="1:74" x14ac:dyDescent="0.2">
      <c r="A9">
        <v>3</v>
      </c>
      <c r="B9" t="s">
        <v>25</v>
      </c>
      <c r="C9">
        <v>10.199999999999999</v>
      </c>
      <c r="D9" t="s">
        <v>76</v>
      </c>
      <c r="E9" t="s">
        <v>76</v>
      </c>
      <c r="N9">
        <v>-4</v>
      </c>
      <c r="O9">
        <v>45</v>
      </c>
      <c r="P9">
        <v>3.2</v>
      </c>
      <c r="Q9">
        <v>10.199999999999999</v>
      </c>
      <c r="R9" s="1">
        <f t="shared" si="0"/>
        <v>3.1874999999999996</v>
      </c>
      <c r="U9" s="1"/>
      <c r="V9" s="1"/>
      <c r="W9" s="1"/>
      <c r="X9" s="1"/>
      <c r="Y9" s="8"/>
      <c r="Z9" s="9"/>
      <c r="AA9" s="9"/>
      <c r="AB9" s="9"/>
      <c r="AC9" s="9"/>
      <c r="AD9" s="8"/>
      <c r="AE9" s="9"/>
      <c r="AF9" s="9"/>
      <c r="AG9" s="9"/>
      <c r="AH9" s="9"/>
      <c r="AI9" s="5"/>
      <c r="AJ9" s="6"/>
      <c r="AK9" s="6"/>
      <c r="AL9" s="6"/>
      <c r="AM9" s="6"/>
      <c r="AN9" s="5"/>
      <c r="AO9" s="6"/>
      <c r="AP9" s="6"/>
      <c r="AQ9" s="6"/>
      <c r="AR9" s="6"/>
      <c r="AS9" s="5"/>
      <c r="AT9" s="6"/>
      <c r="AU9" s="6"/>
      <c r="AV9" s="6"/>
      <c r="AW9" s="6"/>
      <c r="AX9" s="5"/>
      <c r="AY9" s="6"/>
      <c r="AZ9" s="6"/>
      <c r="BA9" s="6"/>
      <c r="BB9" s="6"/>
      <c r="BC9" s="3"/>
      <c r="BD9" s="4"/>
      <c r="BE9" s="4"/>
      <c r="BF9" s="4"/>
      <c r="BG9" s="4"/>
      <c r="BI9" s="1"/>
      <c r="BJ9" s="1"/>
      <c r="BK9" s="1"/>
      <c r="BL9" s="1"/>
      <c r="BN9" s="1"/>
      <c r="BO9" s="1"/>
      <c r="BP9" s="1"/>
      <c r="BQ9" s="1"/>
      <c r="BS9" s="1"/>
      <c r="BT9" s="1"/>
      <c r="BU9" s="1"/>
      <c r="BV9" s="1"/>
    </row>
    <row r="10" spans="1:74" x14ac:dyDescent="0.2">
      <c r="A10">
        <v>3</v>
      </c>
      <c r="B10" t="s">
        <v>15</v>
      </c>
      <c r="C10">
        <v>9.8000000000000007</v>
      </c>
      <c r="D10" t="s">
        <v>75</v>
      </c>
      <c r="E10" t="s">
        <v>75</v>
      </c>
      <c r="N10">
        <v>5</v>
      </c>
      <c r="O10">
        <v>48</v>
      </c>
      <c r="P10">
        <v>3.7</v>
      </c>
      <c r="Q10">
        <v>1.5</v>
      </c>
      <c r="R10" s="1">
        <f t="shared" ref="R10:R26" si="1">Q10/P10</f>
        <v>0.40540540540540537</v>
      </c>
      <c r="U10" t="s">
        <v>37</v>
      </c>
      <c r="V10" s="1" t="s">
        <v>31</v>
      </c>
      <c r="W10" s="1" t="s">
        <v>43</v>
      </c>
      <c r="X10" s="1" t="s">
        <v>30</v>
      </c>
      <c r="Y10" s="8"/>
      <c r="Z10" s="8" t="s">
        <v>37</v>
      </c>
      <c r="AA10" s="9" t="s">
        <v>31</v>
      </c>
      <c r="AB10" s="9" t="s">
        <v>43</v>
      </c>
      <c r="AC10" s="9" t="s">
        <v>30</v>
      </c>
      <c r="AD10" s="8"/>
      <c r="AE10" s="8" t="s">
        <v>37</v>
      </c>
      <c r="AF10" s="9" t="s">
        <v>31</v>
      </c>
      <c r="AG10" s="9" t="s">
        <v>43</v>
      </c>
      <c r="AH10" s="9" t="s">
        <v>30</v>
      </c>
      <c r="AI10" s="5"/>
      <c r="AJ10" s="5" t="s">
        <v>37</v>
      </c>
      <c r="AK10" s="6" t="s">
        <v>31</v>
      </c>
      <c r="AL10" s="6" t="s">
        <v>43</v>
      </c>
      <c r="AM10" s="6" t="s">
        <v>30</v>
      </c>
      <c r="AN10" s="5"/>
      <c r="AO10" s="5" t="s">
        <v>37</v>
      </c>
      <c r="AP10" s="6" t="s">
        <v>31</v>
      </c>
      <c r="AQ10" s="6" t="s">
        <v>43</v>
      </c>
      <c r="AR10" s="6" t="s">
        <v>30</v>
      </c>
      <c r="AS10" s="5"/>
      <c r="AT10" s="5" t="s">
        <v>37</v>
      </c>
      <c r="AU10" s="6" t="s">
        <v>31</v>
      </c>
      <c r="AV10" s="6" t="s">
        <v>43</v>
      </c>
      <c r="AW10" s="6" t="s">
        <v>30</v>
      </c>
      <c r="AX10" s="5"/>
      <c r="AY10" s="5" t="s">
        <v>37</v>
      </c>
      <c r="AZ10" s="6" t="s">
        <v>31</v>
      </c>
      <c r="BA10" s="6" t="s">
        <v>43</v>
      </c>
      <c r="BB10" s="6" t="s">
        <v>30</v>
      </c>
      <c r="BC10" s="3"/>
      <c r="BD10" s="3" t="s">
        <v>37</v>
      </c>
      <c r="BE10" s="4" t="s">
        <v>31</v>
      </c>
      <c r="BF10" s="4" t="s">
        <v>43</v>
      </c>
      <c r="BG10" s="4" t="s">
        <v>30</v>
      </c>
      <c r="BJ10" s="1"/>
      <c r="BK10" s="1"/>
      <c r="BL10" s="1"/>
      <c r="BO10" s="1"/>
      <c r="BP10" s="1"/>
      <c r="BQ10" s="1"/>
      <c r="BT10" s="1"/>
      <c r="BU10" s="1"/>
      <c r="BV10" s="1"/>
    </row>
    <row r="11" spans="1:74" x14ac:dyDescent="0.2">
      <c r="A11">
        <v>3</v>
      </c>
      <c r="B11" t="s">
        <v>69</v>
      </c>
      <c r="C11">
        <v>7.9</v>
      </c>
      <c r="D11" t="s">
        <v>76</v>
      </c>
      <c r="E11" t="s">
        <v>76</v>
      </c>
      <c r="F11" t="s">
        <v>109</v>
      </c>
      <c r="N11">
        <v>-2.5</v>
      </c>
      <c r="O11">
        <v>46</v>
      </c>
      <c r="P11">
        <v>3.4</v>
      </c>
      <c r="Q11">
        <v>4.3</v>
      </c>
      <c r="R11" s="1">
        <f t="shared" si="1"/>
        <v>1.2647058823529411</v>
      </c>
      <c r="U11" s="1" t="e">
        <f>AVERAGEIFS($R$2:$R$999,$P$2:$P$999,"&gt;=5.1",$P$2:$P$999,"&lt;=6.2")</f>
        <v>#DIV/0!</v>
      </c>
      <c r="V11" s="1" t="e">
        <f>AVERAGEIFS($R$2:$R$999,$N$2:$N$999,"&lt;=-5",$P$2:$P$999,"&gt;=5.1",$P$2:$P$999,"&lt;=6.2")</f>
        <v>#DIV/0!</v>
      </c>
      <c r="W11" s="1" t="e">
        <f>AVERAGEIFS($R$2:$R$999,$N$2:$N$999,"&gt;=-4.5",$N$2:$N$999,"&lt;=4.5",$P$2:$P$999,"&gt;=5.1",$P$2:$P$999,"&lt;=6.2")</f>
        <v>#DIV/0!</v>
      </c>
      <c r="X11" s="1" t="e">
        <f>AVERAGEIFS($R$2:$R$999,$N$2:$N$999,"&gt;=5",$P$2:$P$999,"&gt;=5.1",$P$2:$P$999,"&lt;=6.2")</f>
        <v>#DIV/0!</v>
      </c>
      <c r="Y11" s="8"/>
      <c r="Z11" s="9" t="e">
        <f>AVERAGEIFS($R$2:$R$999,$P$2:$P$999,"&gt;=5.1",$P$2:$P$999,"&lt;=6.2",$E$2:$E$999,"YES",$D$2:$D$999,"YES")</f>
        <v>#DIV/0!</v>
      </c>
      <c r="AA11" s="9" t="e">
        <f>AVERAGEIFS($R$2:$R$999,$N$2:$N$999,"&lt;=-5",$P$2:$P$999,"&gt;=5.1",$P$2:$P$999,"&lt;=6.2",$E$2:$E$999,"YES",$D$2:$D$999,"YES")</f>
        <v>#DIV/0!</v>
      </c>
      <c r="AB11" s="9" t="e">
        <f>AVERAGEIFS($R$2:$R$999,$N$2:$N$999,"&gt;=-4.5",$N$2:$N$999,"&lt;=4.5",$P$2:$P$999,"&gt;=5.1",$P$2:$P$999,"&lt;=6.2",$E$2:$E$999,"YES",$D$2:$D$999,"YES")</f>
        <v>#DIV/0!</v>
      </c>
      <c r="AC11" s="9" t="e">
        <f>AVERAGEIFS($R$2:$R$999,$N$2:$N$999,"&gt;=5",$P$2:$P$999,"&gt;=5.1",$P$2:$P$999,"&lt;=6.2",$E$2:$E$999,"YES",$D$2:$D$999,"YES")</f>
        <v>#DIV/0!</v>
      </c>
      <c r="AD11" s="8"/>
      <c r="AE11" s="9" t="e">
        <f>AVERAGEIFS($R$2:$R$999,$P$2:$P$999,"&gt;=5.1",$P$2:$P$999,"&lt;=6.2",$E$2:$E$999,"YES",$D$2:$D$999,"YES",$F$2:$F$999,"UP")</f>
        <v>#DIV/0!</v>
      </c>
      <c r="AF11" s="9" t="e">
        <f>AVERAGEIFS($R$2:$R$999,$N$2:$N$999,"&lt;=-5",$P$2:$P$999,"&gt;=5.1",$P$2:$P$999,"&lt;=6.2",$E$2:$E$999,"YES",$D$2:$D$999,"YES",$F$2:$F$999,"UP")</f>
        <v>#DIV/0!</v>
      </c>
      <c r="AG11" s="9" t="e">
        <f>AVERAGEIFS($R$2:$R$999,$N$2:$N$999,"&gt;=-4.5",$N$2:$N$999,"&lt;=4.5",$P$2:$P$999,"&gt;=5.1",$P$2:$P$999,"&lt;=6.2",$E$2:$E$999,"YES",$D$2:$D$999,"YES",$F$2:$F$999,"UP")</f>
        <v>#DIV/0!</v>
      </c>
      <c r="AH11" s="9" t="e">
        <f>AVERAGEIFS($R$2:$R$999,$N$2:$N$999,"&gt;=5",$P$2:$P$999,"&gt;=5.1",$P$2:$P$999,"&lt;=6.2",$E$2:$E$999,"YES",$D$2:$D$999,"YES",$F$2:$F$999,"UP")</f>
        <v>#DIV/0!</v>
      </c>
      <c r="AI11" s="5"/>
      <c r="AJ11" s="6" t="e">
        <f>AVERAGEIFS($R$2:$R$999,$P$2:$P$999,"&gt;=5.1",$P$2:$P$999,"&lt;=6.2",$C$2:$C$999,"&gt;=0.01")</f>
        <v>#DIV/0!</v>
      </c>
      <c r="AK11" s="6" t="e">
        <f>AVERAGEIFS($R$2:$R$999,$N$2:$N$999,"&lt;=-5",$P$2:$P$999,"&gt;=5.1",$P$2:$P$999,"&lt;=6.2",$C$2:$C$999,"&gt;=0.01")</f>
        <v>#DIV/0!</v>
      </c>
      <c r="AL11" s="6" t="e">
        <f>AVERAGEIFS($R$2:$R$999,$N$2:$N$999,"&gt;=-4.5",$N$2:$N$999,"&lt;=4.5",$P$2:$P$999,"&gt;=5.1",$P$2:$P$999,"&lt;=6.2",$C$2:$C$999,"&gt;=0.01")</f>
        <v>#DIV/0!</v>
      </c>
      <c r="AM11" s="6" t="e">
        <f>AVERAGEIFS($R$2:$R$999,$N$2:$N$999,"&gt;=5",$P$2:$P$999,"&gt;=5.1",$P$2:$P$999,"&lt;=6.2",$C$2:$C$999,"&gt;=0.01")</f>
        <v>#DIV/0!</v>
      </c>
      <c r="AN11" s="5"/>
      <c r="AO11" s="6" t="e">
        <f>AVERAGEIFS($R$2:$R$999,$P$2:$P$999,"&gt;=5.1",$P$2:$P$999,"&lt;=6.2",$E$2:$E$999,"YES",$D$2:$D$999,"YES",$C$2:$C$999,"&gt;=0.01")</f>
        <v>#DIV/0!</v>
      </c>
      <c r="AP11" s="6" t="e">
        <f>AVERAGEIFS($R$2:$R$999,$N$2:$N$999,"&lt;=-5",$P$2:$P$999,"&gt;=5.1",$P$2:$P$999,"&lt;=6.2",$E$2:$E$999,"YES",$D$2:$D$999,"YES",$C$2:$C$999,"&gt;=0.01")</f>
        <v>#DIV/0!</v>
      </c>
      <c r="AQ11" s="6" t="e">
        <f>AVERAGEIFS($R$2:$R$999,$N$2:$N$999,"&gt;=-4.5",$N$2:$N$999,"&lt;=4.5",$P$2:$P$999,"&gt;=5.1",$P$2:$P$999,"&lt;=6.2",$E$2:$E$999,"YES",$D$2:$D$999,"YES",$C$2:$C$999,"&gt;=0.01")</f>
        <v>#DIV/0!</v>
      </c>
      <c r="AR11" s="6" t="e">
        <f>AVERAGEIFS($R$2:$R$999,$N$2:$N$999,"&gt;=5",$P$2:$P$999,"&gt;=5.1",$P$2:$P$999,"&lt;=6.2",$E$2:$E$999,"YES",$D$2:$D$999,"YES",$C$2:$C$999,"&gt;=0.01")</f>
        <v>#DIV/0!</v>
      </c>
      <c r="AS11" s="5"/>
      <c r="AT11" s="6" t="e">
        <f>AVERAGEIFS($R$2:$R$999,$P$2:$P$999,"&gt;=5.1",$P$2:$P$999,"&lt;=6.2",$E$2:$E$999,"YES",$D$2:$D$999,"YES",$F$2:$F$999,"UP",$C$2:$C$999,"&gt;=0.01")</f>
        <v>#DIV/0!</v>
      </c>
      <c r="AU11" s="6" t="e">
        <f>AVERAGEIFS($R$2:$R$999,$N$2:$N$999,"&lt;=-5",$P$2:$P$999,"&gt;=5.1",$P$2:$P$999,"&lt;=6.2",$E$2:$E$999,"YES",$D$2:$D$999,"YES",$F$2:$F$999,"UP",$C$2:$C$999,"&gt;=0.01")</f>
        <v>#DIV/0!</v>
      </c>
      <c r="AV11" s="6" t="e">
        <f>AVERAGEIFS($R$2:$R$999,$N$2:$N$999,"&gt;=-4.5",$N$2:$N$999,"&lt;=4.5",$P$2:$P$999,"&gt;=5.1",$P$2:$P$999,"&lt;=6.2",$E$2:$E$999,"YES",$D$2:$D$999,"YES",$F$2:$F$999,"UP",$C$2:$C$999,"&gt;=0.01")</f>
        <v>#DIV/0!</v>
      </c>
      <c r="AW11" s="6" t="e">
        <f>AVERAGEIFS($R$2:$R$999,$N$2:$N$999,"&gt;=5",$P$2:$P$999,"&gt;=5.1",$P$2:$P$999,"&lt;=6.2",$E$2:$E$999,"YES",$D$2:$D$999,"YES",$F$2:$F$999,"UP",$C$2:$C$999,"&gt;=0.01")</f>
        <v>#DIV/0!</v>
      </c>
      <c r="AX11" s="5"/>
      <c r="AY11" s="6" t="e">
        <f>AVERAGEIFS($R$2:$R$999,$P$2:$P$999,"&gt;=5.1",$P$2:$P$999,"&lt;=6.2",$C$2:$C$999,"&gt;=11")</f>
        <v>#DIV/0!</v>
      </c>
      <c r="AZ11" s="6" t="e">
        <f>AVERAGEIFS($R$2:$R$999,$N$2:$N$999,"&lt;=-5",$P$2:$P$999,"&gt;=5.1",$P$2:$P$999,"&lt;=6.2",$C$2:$C$999,"&gt;=11")</f>
        <v>#DIV/0!</v>
      </c>
      <c r="BA11" s="6" t="e">
        <f>AVERAGEIFS($R$2:$R$999,$N$2:$N$999,"&gt;=-4.5",$N$2:$N$999,"&lt;=4.5",$P$2:$P$999,"&gt;=5.1",$P$2:$P$999,"&lt;=6.2",$C$2:$C$999,"&gt;=11")</f>
        <v>#DIV/0!</v>
      </c>
      <c r="BB11" s="6" t="e">
        <f>AVERAGEIFS($R$2:$R$999,$N$2:$N$999,"&gt;=5",$P$2:$P$999,"&gt;=5.1",$P$2:$P$999,"&lt;=6.2",$C$2:$C$999,"&gt;=11")</f>
        <v>#DIV/0!</v>
      </c>
      <c r="BC11" s="3"/>
      <c r="BD11" s="4" t="e">
        <f>AVERAGEIFS($R$2:$R$999,$P$2:$P$999,"&gt;=5.1",$P$2:$P$999,"&lt;=6.2",$I$2:$I$999,"YES",$J$2:$J$999,"YES")</f>
        <v>#DIV/0!</v>
      </c>
      <c r="BE11" s="4" t="e">
        <f>AVERAGEIFS($R$2:$R$999,$N$2:$N$999,"&lt;=-5",$P$2:$P$999,"&gt;=5.1",$P$2:$P$999,"&lt;=6.2",$I$2:$I$999,"YES",$J$2:$J$999,"YES")</f>
        <v>#DIV/0!</v>
      </c>
      <c r="BF11" s="4" t="e">
        <f>AVERAGEIFS($R$2:$R$999,$N$2:$N$999,"&gt;=-4.5",$N$2:$N$999,"&lt;=4.5",$P$2:$P$999,"&gt;=5.1",$P$2:$P$999,"&lt;=6.2",$I$2:$I$999,"YES",$J$2:$J$999,"YES")</f>
        <v>#DIV/0!</v>
      </c>
      <c r="BG11" s="4" t="e">
        <f>AVERAGEIFS($R$2:$R$999,$N$2:$N$999,"&gt;=5",$P$2:$P$999,"&gt;=5.1",$P$2:$P$999,"&lt;=6.2",$I$2:$I$999,"YES",$J$2:$J$999,"YES")</f>
        <v>#DIV/0!</v>
      </c>
      <c r="BI11" s="1"/>
      <c r="BJ11" s="1"/>
      <c r="BK11" s="1"/>
      <c r="BL11" s="1"/>
      <c r="BN11" s="1"/>
      <c r="BO11" s="1"/>
      <c r="BP11" s="1"/>
      <c r="BQ11" s="1"/>
      <c r="BS11" s="1"/>
      <c r="BT11" s="1"/>
      <c r="BU11" s="1"/>
      <c r="BV11" s="1"/>
    </row>
    <row r="12" spans="1:74" x14ac:dyDescent="0.2">
      <c r="A12">
        <v>4</v>
      </c>
      <c r="B12" t="s">
        <v>25</v>
      </c>
      <c r="C12">
        <v>10.5</v>
      </c>
      <c r="D12" t="s">
        <v>76</v>
      </c>
      <c r="E12" t="s">
        <v>76</v>
      </c>
      <c r="N12">
        <v>3.5</v>
      </c>
      <c r="O12">
        <v>46</v>
      </c>
      <c r="P12">
        <v>3.5</v>
      </c>
      <c r="Q12">
        <v>2.2999999999999998</v>
      </c>
      <c r="R12" s="1">
        <f t="shared" si="1"/>
        <v>0.65714285714285714</v>
      </c>
      <c r="U12" s="1"/>
      <c r="V12" s="1"/>
      <c r="W12" s="1"/>
      <c r="X12" s="1"/>
      <c r="Y12" s="8"/>
      <c r="Z12" s="9"/>
      <c r="AA12" s="9"/>
      <c r="AB12" s="9"/>
      <c r="AC12" s="9"/>
      <c r="AD12" s="8"/>
      <c r="AE12" s="9"/>
      <c r="AF12" s="9"/>
      <c r="AG12" s="9"/>
      <c r="AH12" s="9"/>
      <c r="AI12" s="5"/>
      <c r="AJ12" s="6"/>
      <c r="AK12" s="6"/>
      <c r="AL12" s="6"/>
      <c r="AM12" s="6"/>
      <c r="AN12" s="5"/>
      <c r="AO12" s="6"/>
      <c r="AP12" s="6"/>
      <c r="AQ12" s="6"/>
      <c r="AR12" s="6"/>
      <c r="AS12" s="5"/>
      <c r="AT12" s="6"/>
      <c r="AU12" s="6"/>
      <c r="AV12" s="6"/>
      <c r="AW12" s="6"/>
      <c r="AX12" s="5"/>
      <c r="AY12" s="6"/>
      <c r="AZ12" s="6"/>
      <c r="BA12" s="6"/>
      <c r="BB12" s="6"/>
      <c r="BC12" s="3"/>
      <c r="BD12" s="4"/>
      <c r="BE12" s="4"/>
      <c r="BF12" s="4"/>
      <c r="BG12" s="4"/>
      <c r="BI12" s="1"/>
      <c r="BJ12" s="1"/>
      <c r="BK12" s="1"/>
      <c r="BL12" s="1"/>
      <c r="BN12" s="1"/>
      <c r="BO12" s="1"/>
      <c r="BP12" s="1"/>
      <c r="BQ12" s="1"/>
      <c r="BS12" s="1"/>
      <c r="BT12" s="1"/>
      <c r="BU12" s="1"/>
      <c r="BV12" s="1"/>
    </row>
    <row r="13" spans="1:74" x14ac:dyDescent="0.2">
      <c r="A13">
        <v>4</v>
      </c>
      <c r="B13" t="s">
        <v>61</v>
      </c>
      <c r="C13">
        <v>8.8000000000000007</v>
      </c>
      <c r="D13" t="s">
        <v>76</v>
      </c>
      <c r="E13" t="s">
        <v>75</v>
      </c>
      <c r="N13">
        <v>3.5</v>
      </c>
      <c r="O13">
        <v>45.5</v>
      </c>
      <c r="P13">
        <v>3.2</v>
      </c>
      <c r="Q13">
        <v>9</v>
      </c>
      <c r="R13" s="1">
        <f t="shared" si="1"/>
        <v>2.8125</v>
      </c>
      <c r="U13" t="s">
        <v>35</v>
      </c>
      <c r="V13" s="1" t="s">
        <v>31</v>
      </c>
      <c r="W13" s="1" t="s">
        <v>43</v>
      </c>
      <c r="X13" s="1" t="s">
        <v>30</v>
      </c>
      <c r="Y13" s="8"/>
      <c r="Z13" s="8" t="s">
        <v>35</v>
      </c>
      <c r="AA13" s="9" t="s">
        <v>31</v>
      </c>
      <c r="AB13" s="9" t="s">
        <v>43</v>
      </c>
      <c r="AC13" s="9" t="s">
        <v>30</v>
      </c>
      <c r="AD13" s="8"/>
      <c r="AE13" s="8" t="s">
        <v>35</v>
      </c>
      <c r="AF13" s="9" t="s">
        <v>31</v>
      </c>
      <c r="AG13" s="9" t="s">
        <v>43</v>
      </c>
      <c r="AH13" s="9" t="s">
        <v>30</v>
      </c>
      <c r="AI13" s="5"/>
      <c r="AJ13" s="5" t="s">
        <v>35</v>
      </c>
      <c r="AK13" s="6" t="s">
        <v>31</v>
      </c>
      <c r="AL13" s="6" t="s">
        <v>43</v>
      </c>
      <c r="AM13" s="6" t="s">
        <v>30</v>
      </c>
      <c r="AN13" s="5"/>
      <c r="AO13" s="5" t="s">
        <v>35</v>
      </c>
      <c r="AP13" s="6" t="s">
        <v>31</v>
      </c>
      <c r="AQ13" s="6" t="s">
        <v>43</v>
      </c>
      <c r="AR13" s="6" t="s">
        <v>30</v>
      </c>
      <c r="AS13" s="5"/>
      <c r="AT13" s="5" t="s">
        <v>35</v>
      </c>
      <c r="AU13" s="6" t="s">
        <v>31</v>
      </c>
      <c r="AV13" s="6" t="s">
        <v>43</v>
      </c>
      <c r="AW13" s="6" t="s">
        <v>30</v>
      </c>
      <c r="AX13" s="5"/>
      <c r="AY13" s="5" t="s">
        <v>35</v>
      </c>
      <c r="AZ13" s="6" t="s">
        <v>31</v>
      </c>
      <c r="BA13" s="6" t="s">
        <v>43</v>
      </c>
      <c r="BB13" s="6" t="s">
        <v>30</v>
      </c>
      <c r="BC13" s="3"/>
      <c r="BD13" s="3" t="s">
        <v>35</v>
      </c>
      <c r="BE13" s="4" t="s">
        <v>31</v>
      </c>
      <c r="BF13" s="4" t="s">
        <v>43</v>
      </c>
      <c r="BG13" s="4" t="s">
        <v>30</v>
      </c>
      <c r="BJ13" s="1"/>
      <c r="BK13" s="1"/>
      <c r="BL13" s="1"/>
      <c r="BO13" s="1"/>
      <c r="BP13" s="1"/>
      <c r="BQ13" s="1"/>
      <c r="BT13" s="1"/>
      <c r="BU13" s="1"/>
      <c r="BV13" s="1"/>
    </row>
    <row r="14" spans="1:74" x14ac:dyDescent="0.2">
      <c r="A14">
        <v>4</v>
      </c>
      <c r="B14" t="s">
        <v>15</v>
      </c>
      <c r="C14">
        <v>8.3000000000000007</v>
      </c>
      <c r="D14" t="s">
        <v>75</v>
      </c>
      <c r="E14" t="s">
        <v>75</v>
      </c>
      <c r="N14">
        <v>-3</v>
      </c>
      <c r="O14">
        <v>48</v>
      </c>
      <c r="P14">
        <v>3.5</v>
      </c>
      <c r="Q14">
        <v>1.3</v>
      </c>
      <c r="R14" s="1">
        <f t="shared" si="1"/>
        <v>0.37142857142857144</v>
      </c>
      <c r="U14" s="1">
        <f>AVERAGEIFS($R$2:$R$999,$P$2:$P$999,"&gt;=6.3")</f>
        <v>2.6349206349206353</v>
      </c>
      <c r="V14" s="1" t="e">
        <f>AVERAGEIFS($R$2:$R$999,$N$2:$N$999,"&lt;=-5",$P$2:$P$999,"&gt;=6.3")</f>
        <v>#DIV/0!</v>
      </c>
      <c r="W14" s="1">
        <f>AVERAGEIFS($R$2:$R$999,$N$2:$N$999,"&gt;=-4.5",$N$2:$N$999,"&lt;=4.5",$P$2:$P$999,"&gt;=6.3")</f>
        <v>2.6349206349206353</v>
      </c>
      <c r="X14" s="1" t="e">
        <f>AVERAGEIFS($R$2:$R$999,$N$2:$N$999,"&gt;=5",$P$2:$P$999,"&gt;=6.3")</f>
        <v>#DIV/0!</v>
      </c>
      <c r="Y14" s="8"/>
      <c r="Z14" s="9" t="e">
        <f>AVERAGEIFS($R$2:$R$999,$P$2:$P$999,"&gt;=6.3",$E$2:$E$999,"YES",$D$2:$D$999,"YES")</f>
        <v>#DIV/0!</v>
      </c>
      <c r="AA14" s="9" t="e">
        <f>AVERAGEIFS($R$2:$R$999,$N$2:$N$999,"&lt;=-5",$P$2:$P$999,"&gt;=6.3",$E$2:$E$999,"YES",$D$2:$D$999,"YES")</f>
        <v>#DIV/0!</v>
      </c>
      <c r="AB14" s="9" t="e">
        <f>AVERAGEIFS($R$2:$R$999,$N$2:$N$999,"&gt;=-4.5",$N$2:$N$999,"&lt;=4.5",$P$2:$P$999,"&gt;=6.3",$E$2:$E$999,"YES",$D$2:$D$999,"YES")</f>
        <v>#DIV/0!</v>
      </c>
      <c r="AC14" s="9" t="e">
        <f>AVERAGEIFS($R$2:$R$999,$N$2:$N$999,"&gt;=5",$P$2:$P$999,"&gt;=6.3",$E$2:$E$999,"YES",$D$2:$D$999,"YES")</f>
        <v>#DIV/0!</v>
      </c>
      <c r="AD14" s="8"/>
      <c r="AE14" s="9" t="e">
        <f>AVERAGEIFS($R$2:$R$999,$P$2:$P$999,"&gt;=6.3",$E$2:$E$999,"YES",$D$2:$D$999,"YES",$F$2:$F$999,"UP")</f>
        <v>#DIV/0!</v>
      </c>
      <c r="AF14" s="9" t="e">
        <f>AVERAGEIFS($R$2:$R$999,$N$2:$N$999,"&lt;=-5",$P$2:$P$999,"&gt;=6.3",$E$2:$E$999,"YES",$D$2:$D$999,"YES",$F$2:$F$999,"UP")</f>
        <v>#DIV/0!</v>
      </c>
      <c r="AG14" s="9" t="e">
        <f>AVERAGEIFS($R$2:$R$999,$N$2:$N$999,"&gt;=-4.5",$N$2:$N$999,"&lt;=4.5",$P$2:$P$999,"&gt;=6.3",$E$2:$E$999,"YES",$D$2:$D$999,"YES",$F$2:$F$999,"UP")</f>
        <v>#DIV/0!</v>
      </c>
      <c r="AH14" s="9" t="e">
        <f>AVERAGEIFS($R$2:$R$999,$N$2:$N$999,"&gt;=5",$P$2:$P$999,"&gt;=6.3",$E$2:$E$999,"YES",$D$2:$D$999,"YES",$F$2:$F$999,"UP")</f>
        <v>#DIV/0!</v>
      </c>
      <c r="AI14" s="5"/>
      <c r="AJ14" s="6">
        <f>AVERAGEIFS($R$2:$R$999,$P$2:$P$999,"&gt;=6.3",$C$2:$C$999,"&gt;=0.01")</f>
        <v>2.6349206349206353</v>
      </c>
      <c r="AK14" s="6" t="e">
        <f>AVERAGEIFS($R$2:$R$999,$N$2:$N$999,"&lt;=-5",$P$2:$P$999,"&gt;=6.3",$C$2:$C$999,"&gt;=0.01")</f>
        <v>#DIV/0!</v>
      </c>
      <c r="AL14" s="6">
        <f>AVERAGEIFS($R$2:$R$999,$N$2:$N$999,"&gt;=-4.5",$N$2:$N$999,"&lt;=4.5",$P$2:$P$999,"&gt;=6.3",$C$2:$C$999,"&gt;=0.01")</f>
        <v>2.6349206349206353</v>
      </c>
      <c r="AM14" s="6" t="e">
        <f>AVERAGEIFS($R$2:$R$999,$N$2:$N$999,"&gt;=5",$P$2:$P$999,"&gt;=6.3",$C$2:$C$999,"&gt;=0.01")</f>
        <v>#DIV/0!</v>
      </c>
      <c r="AN14" s="5"/>
      <c r="AO14" s="6" t="e">
        <f>AVERAGEIFS($R$2:$R$999,$P$2:$P$999,"&gt;=6.3",$E$2:$E$999,"YES",$D$2:$D$999,"YES",$C$2:$C$999,"&gt;=0.01")</f>
        <v>#DIV/0!</v>
      </c>
      <c r="AP14" s="6" t="e">
        <f>AVERAGEIFS($R$2:$R$999,$N$2:$N$999,"&lt;=-5",$P$2:$P$999,"&gt;=6.3",$E$2:$E$999,"YES",$D$2:$D$999,"YES",$C$2:$C$999,"&gt;=0.01")</f>
        <v>#DIV/0!</v>
      </c>
      <c r="AQ14" s="6" t="e">
        <f>AVERAGEIFS($R$2:$R$999,$N$2:$N$999,"&gt;=-4.5",$N$2:$N$999,"&lt;=4.5",$P$2:$P$999,"&gt;=6.3",$E$2:$E$999,"YES",$D$2:$D$999,"YES",$C$2:$C$999,"&gt;=0.01")</f>
        <v>#DIV/0!</v>
      </c>
      <c r="AR14" s="6" t="e">
        <f>AVERAGEIFS($R$2:$R$999,$N$2:$N$999,"&gt;=5",$P$2:$P$999,"&gt;=6.3",$E$2:$E$999,"YES",$D$2:$D$999,"YES",$C$2:$C$999,"&gt;=0.01")</f>
        <v>#DIV/0!</v>
      </c>
      <c r="AS14" s="5"/>
      <c r="AT14" s="6" t="e">
        <f>AVERAGEIFS($R$2:$R$999,$P$2:$P$999,"&gt;=6.3",$E$2:$E$999,"YES",$D$2:$D$999,"YES",$F$2:$F$999,"UP",$C$2:$C$999,"&gt;=0.01")</f>
        <v>#DIV/0!</v>
      </c>
      <c r="AU14" s="6" t="e">
        <f>AVERAGEIFS($R$2:$R$999,$N$2:$N$999,"&lt;=-5",$P$2:$P$999,"&gt;=6.3",$E$2:$E$999,"YES",$D$2:$D$999,"YES",$F$2:$F$999,"UP",$C$2:$C$999,"&gt;=0.01")</f>
        <v>#DIV/0!</v>
      </c>
      <c r="AV14" s="6" t="e">
        <f>AVERAGEIFS($R$2:$R$999,$N$2:$N$999,"&gt;=-4.5",$N$2:$N$999,"&lt;=4.5",$P$2:$P$999,"&gt;=6.3",$E$2:$E$999,"YES",$D$2:$D$999,"YES",$F$2:$F$999,"UP",$C$2:$C$999,"&gt;=0.01")</f>
        <v>#DIV/0!</v>
      </c>
      <c r="AW14" s="6" t="e">
        <f>AVERAGEIFS($R$2:$R$999,$N$2:$N$999,"&gt;=5",$P$2:$P$999,"&gt;=6.3",$E$2:$E$999,"YES",$D$2:$D$999,"YES",$F$2:$F$999,"UP",$C$2:$C$999,"&gt;=0.01")</f>
        <v>#DIV/0!</v>
      </c>
      <c r="AX14" s="5"/>
      <c r="AY14" s="6" t="e">
        <f>AVERAGEIFS($R$2:$R$999,$P$2:$P$999,"&gt;=6.3",$C$2:$C$999,"&gt;=11")</f>
        <v>#DIV/0!</v>
      </c>
      <c r="AZ14" s="6" t="e">
        <f>AVERAGEIFS($R$2:$R$999,$N$2:$N$999,"&lt;=-5",$P$2:$P$999,"&gt;=6.3",$C$2:$C$999,"&gt;=11")</f>
        <v>#DIV/0!</v>
      </c>
      <c r="BA14" s="6" t="e">
        <f>AVERAGEIFS($R$2:$R$999,$N$2:$N$999,"&gt;=-4.5",$N$2:$N$999,"&lt;=4.5",$P$2:$P$999,"&gt;=6.3",$C$2:$C$999,"&gt;=11")</f>
        <v>#DIV/0!</v>
      </c>
      <c r="BB14" s="6" t="e">
        <f>AVERAGEIFS($R$2:$R$999,$N$2:$N$999,"&gt;=5",$P$2:$P$999,"&gt;=6.3",$C$2:$C$999,"&gt;=11")</f>
        <v>#DIV/0!</v>
      </c>
      <c r="BC14" s="3"/>
      <c r="BD14" s="4" t="e">
        <f>AVERAGEIFS($R$2:$R$999,$P$2:$P$999,"&gt;=6.3",$I$2:$I$999,"YES",$J$2:$J$999,"YES")</f>
        <v>#DIV/0!</v>
      </c>
      <c r="BE14" s="4" t="e">
        <f>AVERAGEIFS($R$2:$R$999,$N$2:$N$999,"&lt;=-5",$I$2:$I$999,"YES",$J$2:$J$999,"YES")</f>
        <v>#DIV/0!</v>
      </c>
      <c r="BF14" s="4" t="e">
        <f>AVERAGEIFS($R$2:$R$999,$N$2:$N$999,"&gt;=-4.5",$N$2:$N$999,"&lt;=4.5",$P$2:$P$999,"&gt;=6.3",$I$2:$I$999,"YES",$J$2:$J$999,"YES")</f>
        <v>#DIV/0!</v>
      </c>
      <c r="BG14" s="4" t="e">
        <f>AVERAGEIFS($R$2:$R$999,$N$2:$N$999,"&gt;=5",$P$2:$P$999,"&gt;=6.3",$I$2:$I$999,"YES",$J$2:$J$999,"YES")</f>
        <v>#DIV/0!</v>
      </c>
      <c r="BI14" s="1"/>
      <c r="BJ14" s="1"/>
      <c r="BK14" s="1"/>
      <c r="BL14" s="1"/>
      <c r="BN14" s="1"/>
      <c r="BO14" s="1"/>
      <c r="BP14" s="1"/>
      <c r="BQ14" s="1"/>
      <c r="BS14" s="1"/>
      <c r="BT14" s="1"/>
      <c r="BU14" s="1"/>
      <c r="BV14" s="1"/>
    </row>
    <row r="15" spans="1:74" x14ac:dyDescent="0.2">
      <c r="A15">
        <v>4</v>
      </c>
      <c r="B15" t="s">
        <v>73</v>
      </c>
      <c r="C15">
        <v>8.1999999999999993</v>
      </c>
      <c r="D15" t="s">
        <v>76</v>
      </c>
      <c r="E15" t="s">
        <v>76</v>
      </c>
      <c r="F15" t="s">
        <v>109</v>
      </c>
      <c r="N15">
        <v>5.5</v>
      </c>
      <c r="O15">
        <v>49</v>
      </c>
      <c r="P15">
        <v>3.3</v>
      </c>
      <c r="Q15">
        <v>3.9</v>
      </c>
      <c r="R15" s="1">
        <f t="shared" si="1"/>
        <v>1.1818181818181819</v>
      </c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3"/>
      <c r="BD15" s="3"/>
      <c r="BE15" s="3"/>
      <c r="BF15" s="3"/>
      <c r="BG15" s="3"/>
    </row>
    <row r="16" spans="1:74" x14ac:dyDescent="0.2">
      <c r="A16">
        <v>5</v>
      </c>
      <c r="B16" t="s">
        <v>25</v>
      </c>
      <c r="C16">
        <v>8.1999999999999993</v>
      </c>
      <c r="D16" t="s">
        <v>75</v>
      </c>
      <c r="E16" t="s">
        <v>75</v>
      </c>
      <c r="N16">
        <v>-14</v>
      </c>
      <c r="O16">
        <v>43</v>
      </c>
      <c r="P16">
        <v>3.7</v>
      </c>
      <c r="Q16">
        <v>0</v>
      </c>
      <c r="R16" s="1">
        <f t="shared" si="1"/>
        <v>0</v>
      </c>
      <c r="U16" s="1" t="s">
        <v>32</v>
      </c>
      <c r="V16" s="1" t="s">
        <v>31</v>
      </c>
      <c r="W16" s="1" t="s">
        <v>43</v>
      </c>
      <c r="X16" s="1" t="s">
        <v>30</v>
      </c>
      <c r="Y16" s="9" t="s">
        <v>65</v>
      </c>
      <c r="Z16" s="9" t="s">
        <v>65</v>
      </c>
      <c r="AA16" s="9" t="s">
        <v>31</v>
      </c>
      <c r="AB16" s="9" t="s">
        <v>43</v>
      </c>
      <c r="AC16" s="9" t="s">
        <v>30</v>
      </c>
      <c r="AD16" s="9" t="s">
        <v>112</v>
      </c>
      <c r="AE16" s="9"/>
      <c r="AF16" s="9" t="s">
        <v>31</v>
      </c>
      <c r="AG16" s="9" t="s">
        <v>43</v>
      </c>
      <c r="AH16" s="9" t="s">
        <v>30</v>
      </c>
      <c r="AI16" s="5"/>
      <c r="AJ16" s="6" t="s">
        <v>32</v>
      </c>
      <c r="AK16" s="6" t="s">
        <v>31</v>
      </c>
      <c r="AL16" s="6" t="s">
        <v>43</v>
      </c>
      <c r="AM16" s="6" t="s">
        <v>30</v>
      </c>
      <c r="AN16" s="6" t="s">
        <v>65</v>
      </c>
      <c r="AO16" s="6" t="s">
        <v>65</v>
      </c>
      <c r="AP16" s="6" t="s">
        <v>31</v>
      </c>
      <c r="AQ16" s="6" t="s">
        <v>43</v>
      </c>
      <c r="AR16" s="6" t="s">
        <v>30</v>
      </c>
      <c r="AS16" s="6" t="s">
        <v>112</v>
      </c>
      <c r="AT16" s="6"/>
      <c r="AU16" s="6" t="s">
        <v>31</v>
      </c>
      <c r="AV16" s="6" t="s">
        <v>43</v>
      </c>
      <c r="AW16" s="6" t="s">
        <v>30</v>
      </c>
      <c r="AX16" s="6" t="s">
        <v>89</v>
      </c>
      <c r="AY16" s="6" t="s">
        <v>89</v>
      </c>
      <c r="AZ16" s="6" t="s">
        <v>31</v>
      </c>
      <c r="BA16" s="6" t="s">
        <v>43</v>
      </c>
      <c r="BB16" s="6" t="s">
        <v>30</v>
      </c>
      <c r="BC16" s="3" t="s">
        <v>150</v>
      </c>
      <c r="BD16" s="4"/>
      <c r="BE16" s="4" t="s">
        <v>31</v>
      </c>
      <c r="BF16" s="4" t="s">
        <v>43</v>
      </c>
      <c r="BG16" s="4" t="s">
        <v>30</v>
      </c>
      <c r="BI16" s="1"/>
      <c r="BJ16" s="1"/>
      <c r="BK16" s="1"/>
      <c r="BL16" s="1"/>
      <c r="BN16" s="1"/>
      <c r="BO16" s="1"/>
      <c r="BP16" s="1"/>
      <c r="BQ16" s="1"/>
      <c r="BS16" s="1"/>
      <c r="BT16" s="1"/>
      <c r="BU16" s="1"/>
      <c r="BV16" s="1"/>
    </row>
    <row r="17" spans="1:74" x14ac:dyDescent="0.2">
      <c r="A17">
        <v>6</v>
      </c>
      <c r="B17" t="s">
        <v>54</v>
      </c>
      <c r="C17">
        <v>8.9</v>
      </c>
      <c r="D17" t="s">
        <v>76</v>
      </c>
      <c r="E17" t="s">
        <v>76</v>
      </c>
      <c r="N17">
        <v>1</v>
      </c>
      <c r="O17">
        <v>41</v>
      </c>
      <c r="P17">
        <v>3.8</v>
      </c>
      <c r="Q17">
        <v>10.7</v>
      </c>
      <c r="R17" s="1">
        <f t="shared" si="1"/>
        <v>2.8157894736842106</v>
      </c>
      <c r="U17" s="1">
        <f>AVERAGE($Q$2:$Q$999)</f>
        <v>7.0720000000000001</v>
      </c>
      <c r="V17" s="1">
        <f>AVERAGEIF($N$2:$N$999,"&lt;=-5",$Q$2:$Q$999)</f>
        <v>1.55</v>
      </c>
      <c r="W17" s="1">
        <f>AVERAGEIFS($Q$2:$Q$999,$N$2:$N$999,"&gt;=-4.5",$N$2:$N$999,"&lt;=4.5")</f>
        <v>8.2687500000000007</v>
      </c>
      <c r="X17" s="1">
        <f>AVERAGEIF($N$2:$N$999,"&gt;=5",$Q$2:$Q$999)</f>
        <v>5.9142857142857137</v>
      </c>
      <c r="Y17" s="8"/>
      <c r="Z17" s="9">
        <f>AVERAGEIFS($R$2:$R$999,$D$2:$D$999,"YES")</f>
        <v>1.9928958220893702</v>
      </c>
      <c r="AA17" s="9">
        <f>AVERAGEIFS($R$2:$R$999,$N$2:$N$999,"&lt;=-5",$D$2:$D$999,"YES")</f>
        <v>0</v>
      </c>
      <c r="AB17" s="9">
        <f>AVERAGEIFS($R$2:$R$999,$N$2:$N$999,"&gt;=-4.5",$N$2:$N$999,"&lt;=4.5",$D$2:$D$999,"YES")</f>
        <v>2.4532287644787645</v>
      </c>
      <c r="AC17" s="9">
        <f>AVERAGEIFS($R$2:$R$999,$N$2:$N$999,"&gt;=5",$D$2:$D$999,"YES")</f>
        <v>2.0307868352223188</v>
      </c>
      <c r="AD17" s="8"/>
      <c r="AE17" s="9">
        <f>AVERAGEIFS($R$2:$R$999,$D$2:$D$999,"YES",$F$2:$F$999,"UP")</f>
        <v>2.7338709677419355</v>
      </c>
      <c r="AF17" s="9" t="e">
        <f>AVERAGEIFS($R$2:$R$999,$N$2:$N$999,"&lt;=-5",$D$2:$D$999,"YES",$F$2:$F$999,"UP")</f>
        <v>#DIV/0!</v>
      </c>
      <c r="AG17" s="9" t="e">
        <f>AVERAGEIFS($R$2:$R$999,$N$2:$N$999,"&gt;=-4.5",$N$2:$N$999,"&lt;=4.5",$D$2:$D$999,"YES",$F$2:$F$999,"UP")</f>
        <v>#DIV/0!</v>
      </c>
      <c r="AH17" s="9">
        <f>AVERAGEIFS($R$2:$R$999,$N$2:$N$999,"&gt;=5",$D$2:$D$999,"YES",$F$2:$F$999,"UP")</f>
        <v>2.7338709677419355</v>
      </c>
      <c r="AI17" s="5"/>
      <c r="AJ17" s="6">
        <f>AVERAGEIFS($Q$2:$Q$999,$C$2:$C$999,"&gt;=0.01")</f>
        <v>7.0720000000000001</v>
      </c>
      <c r="AK17" s="6">
        <f>AVERAGEIFS($Q$2:$Q$999,$N$2:$N$999,"&lt;=-5",$C$2:$C$999,"&gt;=0.01")</f>
        <v>1.55</v>
      </c>
      <c r="AL17" s="6">
        <f>AVERAGEIFS($Q$2:$Q$999,$N$2:$N$999,"&gt;=-4.5",$C$2:$C$999,"&gt;=0.01")</f>
        <v>7.5521739130434788</v>
      </c>
      <c r="AM17" s="6">
        <f>AVERAGEIFS($Q$2:$Q$999,$N$2:$N$999,"&gt;=5",$C$2:$C$999,"&gt;=0.01")</f>
        <v>5.9142857142857137</v>
      </c>
      <c r="AN17" s="5"/>
      <c r="AO17" s="6">
        <f>AVERAGEIFS($R$2:$R$999,$D$2:$D$999,"YES",$C$2:$C$999,"&gt;=0.01")</f>
        <v>1.9928958220893702</v>
      </c>
      <c r="AP17" s="6">
        <f>AVERAGEIFS($R$2:$R$999,$N$2:$N$999,"&lt;=-5",$D$2:$D$999,"YES",$C$2:$C$999,"&gt;=0.01")</f>
        <v>0</v>
      </c>
      <c r="AQ17" s="6">
        <f>AVERAGEIFS($R$2:$R$999,$N$2:$N$999,"&gt;=-4.5",$N$2:$N$999,"&lt;=4.5",$D$2:$D$999,"YES",$C$2:$C$999,"&gt;=0.01")</f>
        <v>2.4532287644787645</v>
      </c>
      <c r="AR17" s="6">
        <f>AVERAGEIFS($R$2:$R$999,$N$2:$N$999,"&gt;=5",$D$2:$D$999,"YES",$C$2:$C$999,"&gt;=0.01")</f>
        <v>2.0307868352223188</v>
      </c>
      <c r="AS17" s="5"/>
      <c r="AT17" s="6">
        <f>AVERAGEIFS($R$2:$R$999,$D$2:$D$999,"YES",$F$2:$F$999,"UP",$C$2:$C$999,"&gt;=0.01")</f>
        <v>2.7338709677419355</v>
      </c>
      <c r="AU17" s="6" t="e">
        <f>AVERAGEIFS($R$2:$R$999,$N$2:$N$999,"&lt;=-5",$D$2:$D$999,"YES",$F$2:$F$999,"UP",$C$2:$C$999,"&gt;=0.01")</f>
        <v>#DIV/0!</v>
      </c>
      <c r="AV17" s="6" t="e">
        <f>AVERAGEIFS($R$2:$R$999,$N$2:$N$999,"&gt;=-4.5",$N$2:$N$999,"&lt;=4.5",$D$2:$D$999,"YES",$F$2:$F$999,"UP",$C$2:$C$999,"&gt;=0.01")</f>
        <v>#DIV/0!</v>
      </c>
      <c r="AW17" s="6">
        <f>AVERAGEIFS($R$2:$R$999,$N$2:$N$999,"&gt;=5",$D$2:$D$999,"YES",$F$2:$F$999,"UP",$C$2:$C$999,"&gt;=0.01")</f>
        <v>2.7338709677419355</v>
      </c>
      <c r="AX17" s="5"/>
      <c r="AY17" s="6">
        <f>AVERAGEIFS($R$2:$R$999,$C$2:$C$999,"&gt;=9.5",$C$2:$C$999,"&lt;=10.9")</f>
        <v>1.8931361795993131</v>
      </c>
      <c r="AZ17" s="6" t="e">
        <f>AVERAGEIFS($R$2:$R$999,$N$2:$N$999,"&lt;=-5",$C$2:$C$999,"&gt;=9.5",$C$2:$C$999,"&lt;=10.9")</f>
        <v>#DIV/0!</v>
      </c>
      <c r="BA17" s="6">
        <f>AVERAGEIFS($R$2:$R$999,$N$2:$N$999,"&gt;=-4.5",$N$2:$N$999,"&lt;=4.5",$C$2:$C$999,"&gt;=9.5",$C$2:$C$999,"&lt;=10.9")</f>
        <v>1.8636408730158729</v>
      </c>
      <c r="BB17" s="6">
        <f>AVERAGEIFS($R$2:$R$999,$N$2:$N$999,"&gt;=5",$C$2:$C$999,"&gt;=9.5",$C$2:$C$999,"&lt;=10.9")</f>
        <v>1.9324632550439003</v>
      </c>
      <c r="BC17" s="3"/>
      <c r="BD17" s="4" t="e">
        <f>AVERAGEIFS($R$2:$R$999,$I$2:$I$999,"YES")</f>
        <v>#DIV/0!</v>
      </c>
      <c r="BE17" s="4" t="e">
        <f>AVERAGEIFS($R$2:$R$999,$N$2:$N$999,"&lt;=-5",$I$2:$I$999,"YES")</f>
        <v>#DIV/0!</v>
      </c>
      <c r="BF17" s="4" t="e">
        <f>AVERAGEIFS($R$2:$R$999,$N$2:$N$999,"&gt;=-4.5",$N$2:$N$999,"&lt;=4.55",$I$2:$I$999,"YES")</f>
        <v>#DIV/0!</v>
      </c>
      <c r="BG17" s="4" t="e">
        <f>AVERAGEIFS($R$2:$R$999,$N$2:$N$999,"&gt;=5",$I$2:$I$999,"YES")</f>
        <v>#DIV/0!</v>
      </c>
      <c r="BI17" s="1"/>
      <c r="BJ17" s="1"/>
      <c r="BK17" s="1"/>
      <c r="BL17" s="1"/>
      <c r="BN17" s="1"/>
      <c r="BO17" s="1"/>
      <c r="BP17" s="1"/>
      <c r="BQ17" s="1"/>
      <c r="BS17" s="1"/>
      <c r="BT17" s="1"/>
      <c r="BU17" s="1"/>
      <c r="BV17" s="1"/>
    </row>
    <row r="18" spans="1:74" x14ac:dyDescent="0.2">
      <c r="A18">
        <v>7</v>
      </c>
      <c r="B18" t="s">
        <v>84</v>
      </c>
      <c r="C18">
        <v>9.1</v>
      </c>
      <c r="D18" t="s">
        <v>75</v>
      </c>
      <c r="E18" t="s">
        <v>76</v>
      </c>
      <c r="N18">
        <v>-3</v>
      </c>
      <c r="O18">
        <v>50</v>
      </c>
      <c r="P18">
        <v>5</v>
      </c>
      <c r="Q18">
        <v>4.9000000000000004</v>
      </c>
      <c r="R18" s="1">
        <f t="shared" si="1"/>
        <v>0.98000000000000009</v>
      </c>
      <c r="U18" s="1"/>
      <c r="V18" s="1"/>
      <c r="W18" s="1"/>
      <c r="X18" s="1"/>
      <c r="Y18" s="8"/>
      <c r="Z18" s="9"/>
      <c r="AA18" s="9"/>
      <c r="AB18" s="9"/>
      <c r="AC18" s="9"/>
      <c r="AD18" s="8"/>
      <c r="AE18" s="9"/>
      <c r="AF18" s="9"/>
      <c r="AG18" s="9"/>
      <c r="AH18" s="9"/>
      <c r="AI18" s="5"/>
      <c r="AJ18" s="6"/>
      <c r="AK18" s="6"/>
      <c r="AL18" s="6"/>
      <c r="AM18" s="6"/>
      <c r="AN18" s="5"/>
      <c r="AO18" s="6"/>
      <c r="AP18" s="6"/>
      <c r="AQ18" s="6"/>
      <c r="AR18" s="6"/>
      <c r="AS18" s="5"/>
      <c r="AT18" s="6"/>
      <c r="AU18" s="6"/>
      <c r="AV18" s="6"/>
      <c r="AW18" s="6"/>
      <c r="AX18" s="5"/>
      <c r="AY18" s="6"/>
      <c r="AZ18" s="6"/>
      <c r="BA18" s="6"/>
      <c r="BB18" s="6"/>
      <c r="BC18" s="3"/>
      <c r="BD18" s="4"/>
      <c r="BE18" s="4"/>
      <c r="BF18" s="4"/>
      <c r="BG18" s="4"/>
      <c r="BI18" s="1"/>
      <c r="BJ18" s="1"/>
      <c r="BK18" s="1"/>
      <c r="BL18" s="1"/>
      <c r="BN18" s="1"/>
      <c r="BO18" s="1"/>
      <c r="BP18" s="1"/>
      <c r="BQ18" s="1"/>
      <c r="BS18" s="1"/>
      <c r="BT18" s="1"/>
      <c r="BU18" s="1"/>
      <c r="BV18" s="1"/>
    </row>
    <row r="19" spans="1:74" x14ac:dyDescent="0.2">
      <c r="A19">
        <v>8</v>
      </c>
      <c r="B19" t="s">
        <v>60</v>
      </c>
      <c r="C19">
        <v>11.5</v>
      </c>
      <c r="D19" t="s">
        <v>76</v>
      </c>
      <c r="E19" t="s">
        <v>76</v>
      </c>
      <c r="F19" t="s">
        <v>110</v>
      </c>
      <c r="N19">
        <v>-3.5</v>
      </c>
      <c r="O19">
        <v>41</v>
      </c>
      <c r="P19">
        <v>3.5</v>
      </c>
      <c r="Q19">
        <v>9.6999999999999993</v>
      </c>
      <c r="R19" s="1">
        <f t="shared" si="1"/>
        <v>2.7714285714285714</v>
      </c>
      <c r="T19" s="2"/>
      <c r="U19" s="1" t="s">
        <v>38</v>
      </c>
      <c r="V19" s="1" t="s">
        <v>31</v>
      </c>
      <c r="W19" s="1" t="s">
        <v>43</v>
      </c>
      <c r="X19" s="1" t="s">
        <v>30</v>
      </c>
      <c r="Y19" s="8"/>
      <c r="Z19" s="8" t="s">
        <v>33</v>
      </c>
      <c r="AA19" s="9" t="s">
        <v>31</v>
      </c>
      <c r="AB19" s="9" t="s">
        <v>43</v>
      </c>
      <c r="AC19" s="9" t="s">
        <v>30</v>
      </c>
      <c r="AD19" s="8"/>
      <c r="AE19" s="8" t="s">
        <v>33</v>
      </c>
      <c r="AF19" s="9" t="s">
        <v>31</v>
      </c>
      <c r="AG19" s="9" t="s">
        <v>43</v>
      </c>
      <c r="AH19" s="9" t="s">
        <v>30</v>
      </c>
      <c r="AI19" s="7"/>
      <c r="AJ19" s="6" t="s">
        <v>38</v>
      </c>
      <c r="AK19" s="6" t="s">
        <v>31</v>
      </c>
      <c r="AL19" s="6" t="s">
        <v>43</v>
      </c>
      <c r="AM19" s="6" t="s">
        <v>30</v>
      </c>
      <c r="AN19" s="5"/>
      <c r="AO19" s="5" t="s">
        <v>33</v>
      </c>
      <c r="AP19" s="6" t="s">
        <v>31</v>
      </c>
      <c r="AQ19" s="6" t="s">
        <v>43</v>
      </c>
      <c r="AR19" s="6" t="s">
        <v>30</v>
      </c>
      <c r="AS19" s="5"/>
      <c r="AT19" s="5" t="s">
        <v>33</v>
      </c>
      <c r="AU19" s="6" t="s">
        <v>31</v>
      </c>
      <c r="AV19" s="6" t="s">
        <v>43</v>
      </c>
      <c r="AW19" s="6" t="s">
        <v>30</v>
      </c>
      <c r="AX19" s="5"/>
      <c r="AY19" s="5" t="s">
        <v>33</v>
      </c>
      <c r="AZ19" s="6" t="s">
        <v>31</v>
      </c>
      <c r="BA19" s="6" t="s">
        <v>43</v>
      </c>
      <c r="BB19" s="6" t="s">
        <v>30</v>
      </c>
      <c r="BC19" s="3"/>
      <c r="BD19" s="3" t="s">
        <v>33</v>
      </c>
      <c r="BE19" s="4" t="s">
        <v>31</v>
      </c>
      <c r="BF19" s="4" t="s">
        <v>43</v>
      </c>
      <c r="BG19" s="4" t="s">
        <v>30</v>
      </c>
      <c r="BH19" s="2"/>
      <c r="BI19" s="1"/>
      <c r="BJ19" s="1"/>
      <c r="BK19" s="1"/>
      <c r="BL19" s="1"/>
      <c r="BM19" s="2"/>
      <c r="BN19" s="1"/>
      <c r="BO19" s="1"/>
      <c r="BP19" s="1"/>
      <c r="BQ19" s="1"/>
      <c r="BR19" s="2"/>
      <c r="BS19" s="1"/>
      <c r="BT19" s="1"/>
      <c r="BU19" s="1"/>
      <c r="BV19" s="1"/>
    </row>
    <row r="20" spans="1:74" x14ac:dyDescent="0.2">
      <c r="A20">
        <v>8</v>
      </c>
      <c r="B20" t="s">
        <v>28</v>
      </c>
      <c r="C20">
        <v>10.6</v>
      </c>
      <c r="D20" t="s">
        <v>76</v>
      </c>
      <c r="E20" t="s">
        <v>76</v>
      </c>
      <c r="N20">
        <v>7</v>
      </c>
      <c r="O20">
        <v>39.5</v>
      </c>
      <c r="P20">
        <v>3.3</v>
      </c>
      <c r="Q20">
        <v>11.3</v>
      </c>
      <c r="R20" s="1">
        <f t="shared" si="1"/>
        <v>3.4242424242424248</v>
      </c>
      <c r="U20" s="1">
        <f>AVERAGEIFS($Q$2:$Q$999,$P$2:$P$999,"&lt;=4")</f>
        <v>7.0449999999999999</v>
      </c>
      <c r="V20" s="1">
        <f>AVERAGEIFS($Q$2:$Q$999,$N$2:$N$999,"&lt;=-5",$P$2:$P$999,"&lt;=4")</f>
        <v>0</v>
      </c>
      <c r="W20" s="1">
        <f>AVERAGEIFS($Q$2:$Q$999,$N$2:$N$999,"&gt;=-4.5",$N$2:$N$999,"&lt;=4.5",$P$2:$P$999,"&lt;=4")</f>
        <v>8.2916666666666679</v>
      </c>
      <c r="X20" s="1">
        <f>AVERAGEIFS($Q$2:$Q$999,$N$2:$N$999,"&gt;=5",$P$2:$P$999,"&lt;=4")</f>
        <v>5.9142857142857137</v>
      </c>
      <c r="Y20" s="8"/>
      <c r="Z20" s="9">
        <f>AVERAGEIFS($R$2:$R$999,$P$2:$P$999,"&lt;=4",$D$2:$D$999,"YES")</f>
        <v>2.1195077998505418</v>
      </c>
      <c r="AA20" s="9">
        <f>AVERAGEIFS($R$2:$R$999,$N$2:$N$999,"&lt;=-5",$P$2:$P$999,"&lt;=4",$D$2:$D$999,"YES")</f>
        <v>0</v>
      </c>
      <c r="AB20" s="9">
        <f>AVERAGEIFS($R$2:$R$999,$N$2:$N$999,"&gt;=-4.5",$N$2:$N$999,"&lt;=4.55",$P$2:$P$999,"&lt;=4",$D$2:$D$999,"YES")</f>
        <v>2.9443050193050193</v>
      </c>
      <c r="AC20" s="9">
        <f>AVERAGEIFS($R$2:$R$999,$N$2:$N$999,"&gt;=5",$P$2:$P$999,"&lt;=4",$D$2:$D$999,"YES")</f>
        <v>2.0307868352223188</v>
      </c>
      <c r="AD20" s="8"/>
      <c r="AE20" s="9">
        <f>AVERAGEIFS($R$2:$R$999,$P$2:$P$999,"&lt;=4",$D$2:$D$999,"YES",$F$2:$F$999,"UP")</f>
        <v>2.7338709677419355</v>
      </c>
      <c r="AF20" s="9" t="e">
        <f>AVERAGEIFS($R$2:$R$999,$N$2:$N$999,"&lt;=-5",$P$2:$P$999,"&lt;=4",$D$2:$D$999,"YES",$F$2:$F$999,"UP")</f>
        <v>#DIV/0!</v>
      </c>
      <c r="AG20" s="9" t="e">
        <f>AVERAGEIFS($R$2:$R$999,$N$2:$N$999,"&gt;=-4.5",$N$2:$N$999,"&lt;=4.55",$P$2:$P$999,"&lt;=4",$D$2:$D$999,"YES",$F$2:$F$999,"UP")</f>
        <v>#DIV/0!</v>
      </c>
      <c r="AH20" s="9">
        <f>AVERAGEIFS($R$2:$R$999,$N$2:$N$999,"&gt;=5",$P$2:$P$999,"&lt;=4",$D$2:$D$999,"YES",$F$2:$F$999,"UP")</f>
        <v>2.7338709677419355</v>
      </c>
      <c r="AI20" s="5"/>
      <c r="AJ20" s="6">
        <f>AVERAGEIFS($Q$2:$Q$999,$P$2:$P$999,"&lt;=4",$C$2:$C$999,"&gt;=0.01")</f>
        <v>7.0449999999999999</v>
      </c>
      <c r="AK20" s="6">
        <f>AVERAGEIFS($Q$2:$Q$999,$N$2:$N$999,"&lt;=-5",$P$2:$P$999,"&lt;=4",$C$2:$C$999,"&gt;=0.01")</f>
        <v>0</v>
      </c>
      <c r="AL20" s="6">
        <f>AVERAGEIFS($Q$2:$Q$999,$N$2:$N$999,"&gt;=-4.5",$N$2:$N$999,"&lt;=4.5",$P$2:$P$999,"&lt;=4",$C$2:$C$999,"&gt;=0.01")</f>
        <v>8.2916666666666679</v>
      </c>
      <c r="AM20" s="6">
        <f>AVERAGEIFS($Q$2:$Q$999,$N$2:$N$999,"&gt;=5",$P$2:$P$999,"&lt;=4",$C$2:$C$999,"&gt;=0.01")</f>
        <v>5.9142857142857137</v>
      </c>
      <c r="AN20" s="5"/>
      <c r="AO20" s="6">
        <f>AVERAGEIFS($R$2:$R$999,$P$2:$P$999,"&lt;=4",$D$2:$D$999,"YES",$C$2:$C$999,"&gt;=0.01")</f>
        <v>2.1195077998505418</v>
      </c>
      <c r="AP20" s="6">
        <f>AVERAGEIFS($R$2:$R$999,$N$2:$N$999,"&lt;=-5",$P$2:$P$999,"&lt;=4",$D$2:$D$999,"YES",$C$2:$C$999,"&gt;=0.01")</f>
        <v>0</v>
      </c>
      <c r="AQ20" s="6">
        <f>AVERAGEIFS($R$2:$R$999,$N$2:$N$999,"&gt;=-4.5",$N$2:$N$999,"&lt;=4.55",$P$2:$P$999,"&lt;=4",$D$2:$D$999,"YES",$C$2:$C$999,"&gt;=0.01")</f>
        <v>2.9443050193050193</v>
      </c>
      <c r="AR20" s="6">
        <f>AVERAGEIFS($R$2:$R$999,$N$2:$N$999,"&gt;=5",$P$2:$P$999,"&lt;=4",$D$2:$D$999,"YES",$C$2:$C$999,"&gt;=0.01")</f>
        <v>2.0307868352223188</v>
      </c>
      <c r="AS20" s="5"/>
      <c r="AT20" s="6">
        <f>AVERAGEIFS($R$2:$R$999,$P$2:$P$999,"&lt;=4",$D$2:$D$999,"YES",$F$2:$F$999,"UP",$C$2:$C$999,"&gt;=0.01")</f>
        <v>2.7338709677419355</v>
      </c>
      <c r="AU20" s="6" t="e">
        <f>AVERAGEIFS($R$2:$R$999,$N$2:$N$999,"&lt;=-5",$P$2:$P$999,"&lt;=4",$D$2:$D$999,"YES",$F$2:$F$999,"UP",$C$2:$C$999,"&gt;=0.01")</f>
        <v>#DIV/0!</v>
      </c>
      <c r="AV20" s="6" t="e">
        <f>AVERAGEIFS($R$2:$R$999,$N$2:$N$999,"&gt;=-4.5",$N$2:$N$999,"&lt;=4.55",$P$2:$P$999,"&lt;=4",$D$2:$D$999,"YES",$F$2:$F$999,"UP",$C$2:$C$999,"&gt;=0.01")</f>
        <v>#DIV/0!</v>
      </c>
      <c r="AW20" s="6">
        <f>AVERAGEIFS($R$2:$R$999,$N$2:$N$999,"&gt;=5",$P$2:$P$999,"&lt;=4",$D$2:$D$999,"YES",$F$2:$F$999,"UP",$C$2:$C$999,"&gt;=0.01")</f>
        <v>2.7338709677419355</v>
      </c>
      <c r="AX20" s="5"/>
      <c r="AY20" s="6">
        <f>AVERAGEIFS($R$2:$R$999,$P$2:$P$999,"&lt;=4",$C$2:$C$999,"&gt;=9.5",$C$2:$C$999,"&lt;=10.9")</f>
        <v>1.7695054370457595</v>
      </c>
      <c r="AZ20" s="6" t="e">
        <f>AVERAGEIFS($R$2:$R$999,$N$2:$N$999,"&lt;=-5",$P$2:$P$999,"&lt;=4",$C$2:$C$999,"&gt;=9.5",$C$2:$C$999,"&lt;=10.9")</f>
        <v>#DIV/0!</v>
      </c>
      <c r="BA20" s="6">
        <f>AVERAGEIFS($R$2:$R$999,$N$2:$N$999,"&gt;=-4.5",$N$2:$N$999,"&lt;=4.55",$P$2:$P$999,"&lt;=4",$C$2:$C$999,"&gt;=9.5",$C$2:$C$999,"&lt;=10.9")</f>
        <v>1.6065476190476187</v>
      </c>
      <c r="BB20" s="6">
        <f>AVERAGEIFS($R$2:$R$999,$N$2:$N$999,"&gt;=5",$P$2:$P$999,"&lt;=4",$C$2:$C$999,"&gt;=9.5",$C$2:$C$999,"&lt;=10.9")</f>
        <v>1.9324632550439003</v>
      </c>
      <c r="BC20" s="3"/>
      <c r="BD20" s="4" t="e">
        <f>AVERAGEIFS($R$2:$R$999,$P$2:$P$999,"&lt;=4",$I$2:$I$999,"YES")</f>
        <v>#DIV/0!</v>
      </c>
      <c r="BE20" s="4" t="e">
        <f>AVERAGEIFS($R$2:$R$999,$N$2:$N$999,"&lt;=-5",$P$2:$P$999,"&lt;=4",$I$2:$I$999,"YES")</f>
        <v>#DIV/0!</v>
      </c>
      <c r="BF20" s="4" t="e">
        <f>AVERAGEIFS($R$2:$R$999,$N$2:$N$999,"&gt;=-4.5",$N$2:$N$999,"&lt;=4.55",$P$2:$P$999,"&lt;=4",$I$2:$I$999,"YES")</f>
        <v>#DIV/0!</v>
      </c>
      <c r="BG20" s="4" t="e">
        <f>AVERAGEIFS($R$2:$R$999,$N$2:$N$999,"&gt;=5",$P$2:$P$999,"&lt;=4",$I$2:$I$999,"YES")</f>
        <v>#DIV/0!</v>
      </c>
      <c r="BI20" s="1"/>
      <c r="BJ20" s="1"/>
      <c r="BK20" s="1"/>
      <c r="BL20" s="1"/>
      <c r="BN20" s="1"/>
      <c r="BO20" s="1"/>
      <c r="BP20" s="1"/>
      <c r="BQ20" s="1"/>
      <c r="BS20" s="1"/>
      <c r="BT20" s="1"/>
      <c r="BU20" s="1"/>
      <c r="BV20" s="1"/>
    </row>
    <row r="21" spans="1:74" x14ac:dyDescent="0.2">
      <c r="A21">
        <v>8</v>
      </c>
      <c r="B21" t="s">
        <v>70</v>
      </c>
      <c r="C21">
        <v>8.8000000000000007</v>
      </c>
      <c r="D21" t="s">
        <v>76</v>
      </c>
      <c r="E21" t="s">
        <v>76</v>
      </c>
      <c r="N21">
        <v>-14</v>
      </c>
      <c r="O21">
        <v>44</v>
      </c>
      <c r="P21">
        <v>4.5</v>
      </c>
      <c r="Q21">
        <v>3.1</v>
      </c>
      <c r="R21" s="1">
        <f t="shared" si="1"/>
        <v>0.68888888888888888</v>
      </c>
      <c r="U21" s="1"/>
      <c r="V21" s="1"/>
      <c r="W21" s="1"/>
      <c r="X21" s="1"/>
      <c r="Y21" s="8"/>
      <c r="Z21" s="9"/>
      <c r="AA21" s="9"/>
      <c r="AB21" s="9"/>
      <c r="AC21" s="9"/>
      <c r="AD21" s="8"/>
      <c r="AE21" s="9"/>
      <c r="AF21" s="9"/>
      <c r="AG21" s="9"/>
      <c r="AH21" s="9"/>
      <c r="AI21" s="5"/>
      <c r="AJ21" s="6"/>
      <c r="AK21" s="6"/>
      <c r="AL21" s="6"/>
      <c r="AM21" s="6"/>
      <c r="AN21" s="5"/>
      <c r="AO21" s="6"/>
      <c r="AP21" s="6"/>
      <c r="AQ21" s="6"/>
      <c r="AR21" s="6"/>
      <c r="AS21" s="5"/>
      <c r="AT21" s="6"/>
      <c r="AU21" s="6"/>
      <c r="AV21" s="6"/>
      <c r="AW21" s="6"/>
      <c r="AX21" s="5"/>
      <c r="AY21" s="6"/>
      <c r="AZ21" s="6"/>
      <c r="BA21" s="6"/>
      <c r="BB21" s="6"/>
      <c r="BC21" s="3"/>
      <c r="BD21" s="4"/>
      <c r="BE21" s="4"/>
      <c r="BF21" s="4"/>
      <c r="BG21" s="4"/>
      <c r="BI21" s="1"/>
      <c r="BJ21" s="1"/>
      <c r="BK21" s="1"/>
      <c r="BL21" s="1"/>
      <c r="BN21" s="1"/>
      <c r="BO21" s="1"/>
      <c r="BP21" s="1"/>
      <c r="BQ21" s="1"/>
      <c r="BS21" s="1"/>
      <c r="BT21" s="1"/>
      <c r="BU21" s="1"/>
      <c r="BV21" s="1"/>
    </row>
    <row r="22" spans="1:74" x14ac:dyDescent="0.2">
      <c r="A22">
        <v>9</v>
      </c>
      <c r="B22" t="s">
        <v>28</v>
      </c>
      <c r="C22">
        <v>10.199999999999999</v>
      </c>
      <c r="D22" t="s">
        <v>75</v>
      </c>
      <c r="E22" t="s">
        <v>75</v>
      </c>
      <c r="N22">
        <v>-3.5</v>
      </c>
      <c r="O22">
        <v>42.5</v>
      </c>
      <c r="P22">
        <v>4</v>
      </c>
      <c r="Q22">
        <v>3.9</v>
      </c>
      <c r="R22" s="1">
        <f t="shared" si="1"/>
        <v>0.97499999999999998</v>
      </c>
      <c r="U22" s="1" t="s">
        <v>36</v>
      </c>
      <c r="V22" s="1" t="s">
        <v>31</v>
      </c>
      <c r="W22" s="1" t="s">
        <v>43</v>
      </c>
      <c r="X22" s="1" t="s">
        <v>30</v>
      </c>
      <c r="Y22" s="8"/>
      <c r="Z22" s="8" t="s">
        <v>36</v>
      </c>
      <c r="AA22" s="9" t="s">
        <v>31</v>
      </c>
      <c r="AB22" s="9" t="s">
        <v>43</v>
      </c>
      <c r="AC22" s="9" t="s">
        <v>30</v>
      </c>
      <c r="AD22" s="8"/>
      <c r="AE22" s="8" t="s">
        <v>36</v>
      </c>
      <c r="AF22" s="9" t="s">
        <v>31</v>
      </c>
      <c r="AG22" s="9" t="s">
        <v>43</v>
      </c>
      <c r="AH22" s="9" t="s">
        <v>30</v>
      </c>
      <c r="AI22" s="5"/>
      <c r="AJ22" s="6" t="s">
        <v>36</v>
      </c>
      <c r="AK22" s="6" t="s">
        <v>31</v>
      </c>
      <c r="AL22" s="6" t="s">
        <v>43</v>
      </c>
      <c r="AM22" s="6" t="s">
        <v>30</v>
      </c>
      <c r="AN22" s="5"/>
      <c r="AO22" s="5" t="s">
        <v>36</v>
      </c>
      <c r="AP22" s="6" t="s">
        <v>31</v>
      </c>
      <c r="AQ22" s="6" t="s">
        <v>43</v>
      </c>
      <c r="AR22" s="6" t="s">
        <v>30</v>
      </c>
      <c r="AS22" s="5"/>
      <c r="AT22" s="5" t="s">
        <v>36</v>
      </c>
      <c r="AU22" s="6" t="s">
        <v>31</v>
      </c>
      <c r="AV22" s="6" t="s">
        <v>43</v>
      </c>
      <c r="AW22" s="6" t="s">
        <v>30</v>
      </c>
      <c r="AX22" s="5"/>
      <c r="AY22" s="5" t="s">
        <v>36</v>
      </c>
      <c r="AZ22" s="6" t="s">
        <v>31</v>
      </c>
      <c r="BA22" s="6" t="s">
        <v>43</v>
      </c>
      <c r="BB22" s="6" t="s">
        <v>30</v>
      </c>
      <c r="BC22" s="3"/>
      <c r="BD22" s="3" t="s">
        <v>36</v>
      </c>
      <c r="BE22" s="4" t="s">
        <v>31</v>
      </c>
      <c r="BF22" s="4" t="s">
        <v>43</v>
      </c>
      <c r="BG22" s="4" t="s">
        <v>30</v>
      </c>
      <c r="BI22" s="1"/>
      <c r="BJ22" s="1"/>
      <c r="BK22" s="1"/>
      <c r="BL22" s="1"/>
      <c r="BN22" s="1"/>
      <c r="BO22" s="1"/>
      <c r="BP22" s="1"/>
      <c r="BQ22" s="1"/>
      <c r="BS22" s="1"/>
      <c r="BT22" s="1"/>
      <c r="BU22" s="1"/>
      <c r="BV22" s="1"/>
    </row>
    <row r="23" spans="1:74" x14ac:dyDescent="0.2">
      <c r="A23">
        <v>10</v>
      </c>
      <c r="B23" t="s">
        <v>28</v>
      </c>
      <c r="C23">
        <v>8.1999999999999993</v>
      </c>
      <c r="D23" t="s">
        <v>76</v>
      </c>
      <c r="E23" t="s">
        <v>76</v>
      </c>
      <c r="F23" t="s">
        <v>109</v>
      </c>
      <c r="N23">
        <v>1.5</v>
      </c>
      <c r="O23">
        <v>43</v>
      </c>
      <c r="P23">
        <v>3.5</v>
      </c>
      <c r="Q23">
        <v>14.4</v>
      </c>
      <c r="R23" s="1">
        <f t="shared" si="1"/>
        <v>4.1142857142857148</v>
      </c>
      <c r="U23" s="1">
        <f>AVERAGEIFS($Q$2:$Q$999,$P$2:$P$999,"&gt;=4.1",$P$2:$P$999,"&lt;=5")</f>
        <v>4.8250000000000002</v>
      </c>
      <c r="V23" s="1">
        <f>AVERAGEIFS($Q$2:$Q$999,$N$2:$N$999,"&lt;=-5",$P$2:$P$999,"&gt;=4.1",$P$2:$P$999,"&lt;=5")</f>
        <v>3.1</v>
      </c>
      <c r="W23" s="1">
        <f>AVERAGEIFS($Q$2:$Q$999,$N$2:$N$999,"&gt;=-4.5",$N$2:$N$999,"&lt;=4.5",$P$2:$P$999,"&gt;=4.1",$P$2:$P$999,"&lt;=5")</f>
        <v>5.3999999999999995</v>
      </c>
      <c r="X23" s="1" t="e">
        <f>AVERAGEIFS($Q$2:$Q$999,$N$2:$N$999,"&gt;=5",$P$2:$P$999,"&gt;=4.1",$P$2:$P$999,"&lt;=5")</f>
        <v>#DIV/0!</v>
      </c>
      <c r="Y23" s="8"/>
      <c r="Z23" s="9">
        <f>AVERAGEIFS($R$2:$R$999,$P$2:$P$999,"&gt;=4.1",$P$2:$P$999,"&lt;=5",$D$2:$D$999,"YES")</f>
        <v>0.98000000000000009</v>
      </c>
      <c r="AA23" s="9" t="e">
        <f>AVERAGEIFS($R$2:$R$999,$N$2:$N$999,"&lt;=-5",$P$2:$P$999,"&gt;=4.1",$P$2:$P$999,"&lt;=5",$D$2:$D$999,"YES")</f>
        <v>#DIV/0!</v>
      </c>
      <c r="AB23" s="9">
        <f>AVERAGEIFS($R$2:$R$999,$N$2:$N$999,"&gt;=-4.5",$N$2:$N$999,"&lt;=4.5",$P$2:$P$999,"&gt;=4.1",$P$2:$P$999,"&lt;=5",$D$2:$D$999,"YES")</f>
        <v>0.98000000000000009</v>
      </c>
      <c r="AC23" s="9" t="e">
        <f>AVERAGEIFS($R$2:$R$999,$N$2:$N$999,"&gt;=5",$P$2:$P$999,"&gt;=4.1",$P$2:$P$999,"&lt;=5",$D$2:$D$999,"YES")</f>
        <v>#DIV/0!</v>
      </c>
      <c r="AD23" s="8"/>
      <c r="AE23" s="9" t="e">
        <f>AVERAGEIFS($R$2:$R$999,$P$2:$P$999,"&gt;=4.1",$P$2:$P$999,"&lt;=5",$D$2:$D$999,"YES",$F$2:$F$999,"UP")</f>
        <v>#DIV/0!</v>
      </c>
      <c r="AF23" s="9" t="e">
        <f>AVERAGEIFS($R$2:$R$999,$N$2:$N$999,"&lt;=-5",$P$2:$P$999,"&gt;=4.1",$P$2:$P$999,"&lt;=5",$D$2:$D$999,"YES",$F$2:$F$999,"UP")</f>
        <v>#DIV/0!</v>
      </c>
      <c r="AG23" s="9" t="e">
        <f>AVERAGEIFS($R$2:$R$999,$N$2:$N$999,"&gt;=-4.5",$N$2:$N$999,"&lt;=4.5",$P$2:$P$999,"&gt;=4.1",$P$2:$P$999,"&lt;=5",$D$2:$D$999,"YES",$F$2:$F$999,"UP")</f>
        <v>#DIV/0!</v>
      </c>
      <c r="AH23" s="9" t="e">
        <f>AVERAGEIFS($R$2:$R$999,$N$2:$N$999,"&gt;=5",$P$2:$P$999,"&gt;=4.1",$P$2:$P$999,"&lt;=5",$D$2:$D$999,"YES",$F$2:$F$999,"UP")</f>
        <v>#DIV/0!</v>
      </c>
      <c r="AI23" s="5"/>
      <c r="AJ23" s="6">
        <f>AVERAGEIFS($Q$2:$Q$999,$P$2:$P$999,"&gt;=4.1",$P$2:$P$999,"&lt;=5",$C$2:$C$999,"&gt;=0.01")</f>
        <v>4.8250000000000002</v>
      </c>
      <c r="AK23" s="6">
        <f>AVERAGEIFS($Q$2:$Q$999,$N$2:$N$999,"&lt;=-5",$P$2:$P$999,"&gt;=4.1",$P$2:$P$999,"&lt;=5",$C$2:$C$999,"&gt;=0.01")</f>
        <v>3.1</v>
      </c>
      <c r="AL23" s="6">
        <f>AVERAGEIFS($Q$2:$Q$999,$N$2:$N$999,"&gt;=-4.5",$N$2:$N$999,"&lt;=4.5",$P$2:$P$999,"&gt;=4.1",$P$2:$P$999,"&lt;=5",$C$2:$C$999,"&gt;=0.01")</f>
        <v>5.3999999999999995</v>
      </c>
      <c r="AM23" s="6" t="e">
        <f>AVERAGEIFS($Q$2:$Q$999,$N$2:$N$999,"&gt;=5",$P$2:$P$999,"&gt;=4.1",$P$2:$P$999,"&lt;=5",$C$2:$C$999,"&gt;=0.01")</f>
        <v>#DIV/0!</v>
      </c>
      <c r="AN23" s="5"/>
      <c r="AO23" s="6">
        <f>AVERAGEIFS($R$2:$R$999,$P$2:$P$999,"&gt;=4.1",$P$2:$P$999,"&lt;=5",$D$2:$D$999,"YES",$C$2:$C$999,"&gt;=0.01")</f>
        <v>0.98000000000000009</v>
      </c>
      <c r="AP23" s="6" t="e">
        <f>AVERAGEIFS($R$2:$R$999,$N$2:$N$999,"&lt;=-5",$P$2:$P$999,"&gt;=4.1",$P$2:$P$999,"&lt;=5",$D$2:$D$999,"YES",$C$2:$C$999,"&gt;=0.01")</f>
        <v>#DIV/0!</v>
      </c>
      <c r="AQ23" s="6">
        <f>AVERAGEIFS($R$2:$R$999,$N$2:$N$999,"&gt;=-4.5",$N$2:$N$999,"&lt;=4.5",$P$2:$P$999,"&gt;=4.1",$P$2:$P$999,"&lt;=5",$D$2:$D$999,"YES",$C$2:$C$999,"&gt;=0.01")</f>
        <v>0.98000000000000009</v>
      </c>
      <c r="AR23" s="6" t="e">
        <f>AVERAGEIFS($R$2:$R$999,$N$2:$N$999,"&gt;=5",$P$2:$P$999,"&gt;=4.1",$P$2:$P$999,"&lt;=5",$D$2:$D$999,"YES",$C$2:$C$999,"&gt;=0.01")</f>
        <v>#DIV/0!</v>
      </c>
      <c r="AS23" s="5"/>
      <c r="AT23" s="6" t="e">
        <f>AVERAGEIFS($R$2:$R$999,$P$2:$P$999,"&gt;=4.1",$P$2:$P$999,"&lt;=5",$D$2:$D$999,"YES",$F$2:$F$999,"UP",$C$2:$C$999,"&gt;=0.01")</f>
        <v>#DIV/0!</v>
      </c>
      <c r="AU23" s="6" t="e">
        <f>AVERAGEIFS($R$2:$R$999,$N$2:$N$999,"&lt;=-5",$P$2:$P$999,"&gt;=4.1",$P$2:$P$999,"&lt;=5",$D$2:$D$999,"YES",$F$2:$F$999,"UP",$C$2:$C$999,"&gt;=0.01")</f>
        <v>#DIV/0!</v>
      </c>
      <c r="AV23" s="6" t="e">
        <f>AVERAGEIFS($R$2:$R$999,$N$2:$N$999,"&gt;=-4.5",$N$2:$N$999,"&lt;=4.5",$P$2:$P$999,"&gt;=4.1",$P$2:$P$999,"&lt;=5",$D$2:$D$999,"YES",$F$2:$F$999,"UP",$C$2:$C$999,"&gt;=0.01")</f>
        <v>#DIV/0!</v>
      </c>
      <c r="AW23" s="6" t="e">
        <f>AVERAGEIFS($R$2:$R$999,$N$2:$N$999,"&gt;=5",$P$2:$P$999,"&gt;=4.1",$P$2:$P$999,"&lt;=5",$D$2:$D$999,"YES",$F$2:$F$999,"UP",$C$2:$C$999,"&gt;=0.01")</f>
        <v>#DIV/0!</v>
      </c>
      <c r="AX23" s="5"/>
      <c r="AY23" s="6" t="e">
        <f>AVERAGEIFS($R$2:$R$999,$P$2:$P$999,"&gt;=4.1",$P$2:$P$999,"&lt;=5",$C$2:$C$999,"&gt;=9.5",$C$2:$C$999,"&lt;=10.9")</f>
        <v>#DIV/0!</v>
      </c>
      <c r="AZ23" s="6" t="e">
        <f>AVERAGEIFS($R$2:$R$999,$N$2:$N$999,"&lt;=-5",$P$2:$P$999,"&gt;=4.1",$P$2:$P$999,"&lt;=5",$C$2:$C$999,"&gt;=9.5",$C$2:$C$999,"&lt;=10.9")</f>
        <v>#DIV/0!</v>
      </c>
      <c r="BA23" s="6" t="e">
        <f>AVERAGEIFS($R$2:$R$999,$N$2:$N$999,"&gt;=-4.5",$N$2:$N$999,"&lt;=4.5",$P$2:$P$999,"&gt;=4.1",$P$2:$P$999,"&lt;=5",$C$2:$C$999,"&gt;=9.5",$C$2:$C$999,"&lt;=10.9")</f>
        <v>#DIV/0!</v>
      </c>
      <c r="BB23" s="6" t="e">
        <f>AVERAGEIFS($R$2:$R$999,$N$2:$N$999,"&gt;=5",$P$2:$P$999,"&gt;=4.1",$P$2:$P$999,"&lt;=5",$C$2:$C$999,"&gt;=9.5",$C$2:$C$999,"&lt;=10.9")</f>
        <v>#DIV/0!</v>
      </c>
      <c r="BC23" s="3"/>
      <c r="BD23" s="4" t="e">
        <f>AVERAGEIFS($R$2:$R$999,$P$2:$P$999,"&gt;=4.1",$P$2:$P$999,"&lt;=5",$I$2:$I$999,"YES")</f>
        <v>#DIV/0!</v>
      </c>
      <c r="BE23" s="4" t="e">
        <f>AVERAGEIFS($R$2:$R$999,$N$2:$N$999,"&lt;=-5",$P$2:$P$999,"&gt;=4.1",$P$2:$P$999,"&lt;=5",$I$2:$I$999,"YES")</f>
        <v>#DIV/0!</v>
      </c>
      <c r="BF23" s="4" t="e">
        <f>AVERAGEIFS($R$2:$R$999,$N$2:$N$999,"&gt;=-4.5",$N$2:$N$999,"&lt;=4.5",$P$2:$P$999,"&gt;=4.1",$P$2:$P$999,"&lt;=5",$I$2:$I$999,"YES")</f>
        <v>#DIV/0!</v>
      </c>
      <c r="BG23" s="4" t="e">
        <f>AVERAGEIFS($R$2:$R$999,$N$2:$N$999,"&gt;=5",$P$2:$P$999,"&gt;=4.1",$P$2:$P$999,"&lt;=5",$I$2:$I$999,"YES")</f>
        <v>#DIV/0!</v>
      </c>
      <c r="BI23" s="1"/>
      <c r="BJ23" s="1"/>
      <c r="BK23" s="1"/>
      <c r="BL23" s="1"/>
      <c r="BN23" s="1"/>
      <c r="BO23" s="1"/>
      <c r="BP23" s="1"/>
      <c r="BQ23" s="1"/>
      <c r="BS23" s="1"/>
      <c r="BT23" s="1"/>
      <c r="BU23" s="1"/>
      <c r="BV23" s="1"/>
    </row>
    <row r="24" spans="1:74" x14ac:dyDescent="0.2">
      <c r="A24">
        <v>12</v>
      </c>
      <c r="B24" s="1" t="s">
        <v>98</v>
      </c>
      <c r="C24" s="1">
        <v>8.1999999999999993</v>
      </c>
      <c r="D24" t="s">
        <v>76</v>
      </c>
      <c r="E24" t="s">
        <v>76</v>
      </c>
      <c r="N24">
        <v>-3.5</v>
      </c>
      <c r="O24">
        <v>42.5</v>
      </c>
      <c r="P24">
        <v>4.4000000000000004</v>
      </c>
      <c r="Q24">
        <v>5.0999999999999996</v>
      </c>
      <c r="R24" s="1">
        <f t="shared" si="1"/>
        <v>1.1590909090909089</v>
      </c>
      <c r="U24" s="1"/>
      <c r="V24" s="1"/>
      <c r="W24" s="1"/>
      <c r="X24" s="1"/>
      <c r="Y24" s="8"/>
      <c r="Z24" s="9"/>
      <c r="AA24" s="9"/>
      <c r="AB24" s="9"/>
      <c r="AC24" s="9"/>
      <c r="AD24" s="8"/>
      <c r="AE24" s="9"/>
      <c r="AF24" s="9"/>
      <c r="AG24" s="9"/>
      <c r="AH24" s="9"/>
      <c r="AI24" s="5"/>
      <c r="AJ24" s="6"/>
      <c r="AK24" s="6"/>
      <c r="AL24" s="6"/>
      <c r="AM24" s="6"/>
      <c r="AN24" s="5"/>
      <c r="AO24" s="6"/>
      <c r="AP24" s="6"/>
      <c r="AQ24" s="6"/>
      <c r="AR24" s="6"/>
      <c r="AS24" s="5"/>
      <c r="AT24" s="6"/>
      <c r="AU24" s="6"/>
      <c r="AV24" s="6"/>
      <c r="AW24" s="6"/>
      <c r="AX24" s="5"/>
      <c r="AY24" s="6"/>
      <c r="AZ24" s="6"/>
      <c r="BA24" s="6"/>
      <c r="BB24" s="6"/>
      <c r="BC24" s="3"/>
      <c r="BD24" s="4"/>
      <c r="BE24" s="4"/>
      <c r="BF24" s="4"/>
      <c r="BG24" s="4"/>
      <c r="BI24" s="1"/>
      <c r="BJ24" s="1"/>
      <c r="BK24" s="1"/>
      <c r="BL24" s="1"/>
      <c r="BN24" s="1"/>
      <c r="BO24" s="1"/>
      <c r="BP24" s="1"/>
      <c r="BQ24" s="1"/>
      <c r="BS24" s="1"/>
      <c r="BT24" s="1"/>
      <c r="BU24" s="1"/>
      <c r="BV24" s="1"/>
    </row>
    <row r="25" spans="1:74" x14ac:dyDescent="0.2">
      <c r="A25">
        <v>13</v>
      </c>
      <c r="B25" s="1" t="s">
        <v>98</v>
      </c>
      <c r="C25" s="1">
        <v>8.8000000000000007</v>
      </c>
      <c r="D25" t="s">
        <v>76</v>
      </c>
      <c r="E25" t="s">
        <v>76</v>
      </c>
      <c r="F25" t="s">
        <v>110</v>
      </c>
      <c r="N25">
        <v>3</v>
      </c>
      <c r="O25">
        <v>38.5</v>
      </c>
      <c r="P25">
        <v>4.0999999999999996</v>
      </c>
      <c r="Q25">
        <v>6.2</v>
      </c>
      <c r="R25" s="1">
        <f t="shared" si="1"/>
        <v>1.5121951219512197</v>
      </c>
      <c r="U25" s="1" t="s">
        <v>34</v>
      </c>
      <c r="V25" s="1" t="s">
        <v>31</v>
      </c>
      <c r="W25" s="1" t="s">
        <v>43</v>
      </c>
      <c r="X25" s="1" t="s">
        <v>30</v>
      </c>
      <c r="Y25" s="8"/>
      <c r="Z25" s="8" t="s">
        <v>37</v>
      </c>
      <c r="AA25" s="9" t="s">
        <v>31</v>
      </c>
      <c r="AB25" s="9" t="s">
        <v>43</v>
      </c>
      <c r="AC25" s="9" t="s">
        <v>30</v>
      </c>
      <c r="AD25" s="8"/>
      <c r="AE25" s="8" t="s">
        <v>37</v>
      </c>
      <c r="AF25" s="9" t="s">
        <v>31</v>
      </c>
      <c r="AG25" s="9" t="s">
        <v>43</v>
      </c>
      <c r="AH25" s="9" t="s">
        <v>30</v>
      </c>
      <c r="AI25" s="5"/>
      <c r="AJ25" s="6" t="s">
        <v>34</v>
      </c>
      <c r="AK25" s="6" t="s">
        <v>31</v>
      </c>
      <c r="AL25" s="6" t="s">
        <v>43</v>
      </c>
      <c r="AM25" s="6" t="s">
        <v>30</v>
      </c>
      <c r="AN25" s="5"/>
      <c r="AO25" s="5" t="s">
        <v>37</v>
      </c>
      <c r="AP25" s="6" t="s">
        <v>31</v>
      </c>
      <c r="AQ25" s="6" t="s">
        <v>43</v>
      </c>
      <c r="AR25" s="6" t="s">
        <v>30</v>
      </c>
      <c r="AS25" s="5"/>
      <c r="AT25" s="5" t="s">
        <v>37</v>
      </c>
      <c r="AU25" s="6" t="s">
        <v>31</v>
      </c>
      <c r="AV25" s="6" t="s">
        <v>43</v>
      </c>
      <c r="AW25" s="6" t="s">
        <v>30</v>
      </c>
      <c r="AX25" s="5"/>
      <c r="AY25" s="5" t="s">
        <v>37</v>
      </c>
      <c r="AZ25" s="6" t="s">
        <v>31</v>
      </c>
      <c r="BA25" s="6" t="s">
        <v>43</v>
      </c>
      <c r="BB25" s="6" t="s">
        <v>30</v>
      </c>
      <c r="BC25" s="3"/>
      <c r="BD25" s="3" t="s">
        <v>37</v>
      </c>
      <c r="BE25" s="4" t="s">
        <v>31</v>
      </c>
      <c r="BF25" s="4" t="s">
        <v>43</v>
      </c>
      <c r="BG25" s="4" t="s">
        <v>30</v>
      </c>
      <c r="BI25" s="1"/>
      <c r="BJ25" s="1"/>
      <c r="BK25" s="1"/>
      <c r="BL25" s="1"/>
      <c r="BN25" s="1"/>
      <c r="BO25" s="1"/>
      <c r="BP25" s="1"/>
      <c r="BQ25" s="1"/>
      <c r="BS25" s="1"/>
      <c r="BT25" s="1"/>
      <c r="BU25" s="1"/>
      <c r="BV25" s="1"/>
    </row>
    <row r="26" spans="1:74" x14ac:dyDescent="0.2">
      <c r="A26">
        <v>13</v>
      </c>
      <c r="B26" t="s">
        <v>104</v>
      </c>
      <c r="C26">
        <v>9.1999999999999993</v>
      </c>
      <c r="D26" t="s">
        <v>75</v>
      </c>
      <c r="E26" t="s">
        <v>76</v>
      </c>
      <c r="F26" t="s">
        <v>110</v>
      </c>
      <c r="N26">
        <v>10</v>
      </c>
      <c r="O26">
        <v>40</v>
      </c>
      <c r="P26">
        <v>3.6</v>
      </c>
      <c r="Q26">
        <v>8.1</v>
      </c>
      <c r="R26" s="1">
        <f t="shared" si="1"/>
        <v>2.25</v>
      </c>
      <c r="U26" s="1" t="e">
        <f>AVERAGEIFS($Q$2:$Q$999,$P$2:$P$999,"&gt;=5.1",$P$2:$P$999,"&lt;=6.2")</f>
        <v>#DIV/0!</v>
      </c>
      <c r="V26" s="1" t="e">
        <f>AVERAGEIFS($Q$2:$Q$999,$N$2:$N$999,"&lt;=-5",$P$2:$P$999,"&gt;=5.1",$P$2:$P$999,"&lt;=6.2")</f>
        <v>#DIV/0!</v>
      </c>
      <c r="W26" s="1" t="e">
        <f>AVERAGEIFS($Q$2:$Q$999,$N$2:$N$999,"&gt;=-4.5",$N$2:$N$999,"&lt;=4.5",$P$2:$P$999,"&gt;=5.1",$P$2:$P$999,"&lt;=6.2")</f>
        <v>#DIV/0!</v>
      </c>
      <c r="X26" s="1" t="e">
        <f>AVERAGEIFS($Q$2:$Q$999,$N$2:$N$999,"&gt;=5",$P$2:$P$999,"&gt;=5.1",$P$2:$P$999,"&lt;=6.2")</f>
        <v>#DIV/0!</v>
      </c>
      <c r="Y26" s="8"/>
      <c r="Z26" s="9" t="e">
        <f>AVERAGEIFS($R$2:$R$999,$P$2:$P$999,"&gt;=5.1",$P$2:$P$999,"&lt;=6.2",$D$2:$D$999,"YES")</f>
        <v>#DIV/0!</v>
      </c>
      <c r="AA26" s="9" t="e">
        <f>AVERAGEIFS($R$2:$R$999,$N$2:$N$999,"&lt;=-5",$P$2:$P$999,"&gt;=5.1",$P$2:$P$999,"&lt;=6.2",$D$2:$D$999,"YES")</f>
        <v>#DIV/0!</v>
      </c>
      <c r="AB26" s="9" t="e">
        <f>AVERAGEIFS($R$2:$R$999,$N$2:$N$999,"&gt;=-4.5",$N$2:$N$999,"&lt;=4.5",$P$2:$P$999,"&gt;=5.1",$P$2:$P$999,"&lt;=6.2",$D$2:$D$999,"YES")</f>
        <v>#DIV/0!</v>
      </c>
      <c r="AC26" s="9" t="e">
        <f>AVERAGEIFS($R$2:$R$999,$N$2:$N$999,"&gt;=5",$P$2:$P$999,"&gt;=5.1",$P$2:$P$999,"&lt;=6.2",$D$2:$D$999,"YES")</f>
        <v>#DIV/0!</v>
      </c>
      <c r="AD26" s="8"/>
      <c r="AE26" s="9" t="e">
        <f>AVERAGEIFS($R$2:$R$999,$P$2:$P$999,"&gt;=5.1",$P$2:$P$999,"&lt;=6.2",$D$2:$D$999,"YES",$F$2:$F$999,"UP")</f>
        <v>#DIV/0!</v>
      </c>
      <c r="AF26" s="9" t="e">
        <f>AVERAGEIFS($R$2:$R$999,$N$2:$N$999,"&lt;=-5",$P$2:$P$999,"&gt;=5.1",$P$2:$P$999,"&lt;=6.2",$D$2:$D$999,"YES",$F$2:$F$999,"UP")</f>
        <v>#DIV/0!</v>
      </c>
      <c r="AG26" s="9" t="e">
        <f>AVERAGEIFS($R$2:$R$999,$N$2:$N$999,"&gt;=-4.5",$N$2:$N$999,"&lt;=4.5",$P$2:$P$999,"&gt;=5.1",$P$2:$P$999,"&lt;=6.2",$D$2:$D$999,"YES",$F$2:$F$999,"UP")</f>
        <v>#DIV/0!</v>
      </c>
      <c r="AH26" s="9" t="e">
        <f>AVERAGEIFS($R$2:$R$999,$N$2:$N$999,"&gt;=5",$P$2:$P$999,"&gt;=5.1",$P$2:$P$999,"&lt;=6.2",$D$2:$D$999,"YES",$F$2:$F$999,"UP")</f>
        <v>#DIV/0!</v>
      </c>
      <c r="AI26" s="5"/>
      <c r="AJ26" s="6" t="e">
        <f>AVERAGEIFS($Q$2:$Q$999,$P$2:$P$999,"&gt;=5.1",$P$2:$P$999,"&lt;=6.2",$C$2:$C$999,"&gt;=0.01")</f>
        <v>#DIV/0!</v>
      </c>
      <c r="AK26" s="6" t="e">
        <f>AVERAGEIFS($Q$2:$Q$999,$N$2:$N$999,"&lt;=-5",$P$2:$P$999,"&gt;=5.1",$P$2:$P$999,"&lt;=6.2",$C$2:$C$999,"&gt;=0.01")</f>
        <v>#DIV/0!</v>
      </c>
      <c r="AL26" s="6" t="e">
        <f>AVERAGEIFS($Q$2:$Q$999,$N$2:$N$999,"&gt;=-4.5",$N$2:$N$999,"&lt;=4.5",$P$2:$P$999,"&gt;=5.1",$P$2:$P$999,"&lt;=6.2",$C$2:$C$999,"&gt;=0.01")</f>
        <v>#DIV/0!</v>
      </c>
      <c r="AM26" s="6" t="e">
        <f>AVERAGEIFS($Q$2:$Q$999,$N$2:$N$999,"&gt;=5",$P$2:$P$999,"&gt;=5.1",$P$2:$P$999,"&lt;=6.2",$C$2:$C$999,"&gt;=0.01")</f>
        <v>#DIV/0!</v>
      </c>
      <c r="AN26" s="5"/>
      <c r="AO26" s="6" t="e">
        <f>AVERAGEIFS($R$2:$R$999,$P$2:$P$999,"&gt;=5.1",$P$2:$P$999,"&lt;=6.2",$D$2:$D$999,"YES",$C$2:$C$999,"&gt;=0.01")</f>
        <v>#DIV/0!</v>
      </c>
      <c r="AP26" s="6" t="e">
        <f>AVERAGEIFS($R$2:$R$999,$N$2:$N$999,"&lt;=-5",$P$2:$P$999,"&gt;=5.1",$P$2:$P$999,"&lt;=6.2",$D$2:$D$999,"YES",$C$2:$C$999,"&gt;=0.01")</f>
        <v>#DIV/0!</v>
      </c>
      <c r="AQ26" s="6" t="e">
        <f>AVERAGEIFS($R$2:$R$999,$N$2:$N$999,"&gt;=-4.5",$N$2:$N$999,"&lt;=4.5",$P$2:$P$999,"&gt;=5.1",$P$2:$P$999,"&lt;=6.2",$D$2:$D$999,"YES",$C$2:$C$999,"&gt;=0.01")</f>
        <v>#DIV/0!</v>
      </c>
      <c r="AR26" s="6" t="e">
        <f>AVERAGEIFS($R$2:$R$999,$N$2:$N$999,"&gt;=5",$P$2:$P$999,"&gt;=5.1",$P$2:$P$999,"&lt;=6.2",$D$2:$D$999,"YES",$C$2:$C$999,"&gt;=0.01")</f>
        <v>#DIV/0!</v>
      </c>
      <c r="AS26" s="5"/>
      <c r="AT26" s="6" t="e">
        <f>AVERAGEIFS($R$2:$R$999,$P$2:$P$999,"&gt;=5.1",$P$2:$P$999,"&lt;=6.2",$D$2:$D$999,"YES",$F$2:$F$999,"UP",$C$2:$C$999,"&gt;=0.01")</f>
        <v>#DIV/0!</v>
      </c>
      <c r="AU26" s="6" t="e">
        <f>AVERAGEIFS($R$2:$R$999,$N$2:$N$999,"&lt;=-5",$P$2:$P$999,"&gt;=5.1",$P$2:$P$999,"&lt;=6.2",$D$2:$D$999,"YES",$F$2:$F$999,"UP",$C$2:$C$999,"&gt;=0.01")</f>
        <v>#DIV/0!</v>
      </c>
      <c r="AV26" s="6" t="e">
        <f>AVERAGEIFS($R$2:$R$999,$N$2:$N$999,"&gt;=-4.5",$N$2:$N$999,"&lt;=4.5",$P$2:$P$999,"&gt;=5.1",$P$2:$P$999,"&lt;=6.2",$D$2:$D$999,"YES",$F$2:$F$999,"UP",$C$2:$C$999,"&gt;=0.01")</f>
        <v>#DIV/0!</v>
      </c>
      <c r="AW26" s="6" t="e">
        <f>AVERAGEIFS($R$2:$R$999,$N$2:$N$999,"&gt;=5",$P$2:$P$999,"&gt;=5.1",$P$2:$P$999,"&lt;=6.2",$D$2:$D$999,"YES",$F$2:$F$999,"UP",$C$2:$C$999,"&gt;=0.01")</f>
        <v>#DIV/0!</v>
      </c>
      <c r="AX26" s="5"/>
      <c r="AY26" s="6" t="e">
        <f>AVERAGEIFS($R$2:$R$999,$P$2:$P$999,"&gt;=5.1",$P$2:$P$999,"&lt;=6.2",$C$2:$C$999,"&gt;=9.5",$C$2:$C$999,"&lt;=10.9")</f>
        <v>#DIV/0!</v>
      </c>
      <c r="AZ26" s="6" t="e">
        <f>AVERAGEIFS($R$2:$R$999,$N$2:$N$999,"&lt;=-5",$P$2:$P$999,"&gt;=5.1",$P$2:$P$999,"&lt;=6.2",$C$2:$C$999,"&gt;=9.5",$C$2:$C$999,"&lt;=10.9")</f>
        <v>#DIV/0!</v>
      </c>
      <c r="BA26" s="6" t="e">
        <f>AVERAGEIFS($R$2:$R$999,$N$2:$N$999,"&gt;=-4.5",$N$2:$N$999,"&lt;=4.5",$P$2:$P$999,"&gt;=5.1",$P$2:$P$999,"&lt;=6.2",$C$2:$C$999,"&gt;=9.5",$C$2:$C$999,"&lt;=10.9")</f>
        <v>#DIV/0!</v>
      </c>
      <c r="BB26" s="6" t="e">
        <f>AVERAGEIFS($R$2:$R$999,$N$2:$N$999,"&gt;=5",$P$2:$P$999,"&gt;=5.1",$P$2:$P$999,"&lt;=6.2",$C$2:$C$999,"&gt;=9.5",$C$2:$C$999,"&lt;=10.9")</f>
        <v>#DIV/0!</v>
      </c>
      <c r="BC26" s="3"/>
      <c r="BD26" s="4" t="e">
        <f>AVERAGEIFS($R$2:$R$999,$P$2:$P$999,"&gt;=5.1",$P$2:$P$999,"&lt;=6.2",$I$2:$I$999,"YES")</f>
        <v>#DIV/0!</v>
      </c>
      <c r="BE26" s="4" t="e">
        <f>AVERAGEIFS($R$2:$R$999,$N$2:$N$999,"&lt;=-5",$P$2:$P$999,"&gt;=5.1",$P$2:$P$999,"&lt;=6.2",$I$2:$I$999,"YES")</f>
        <v>#DIV/0!</v>
      </c>
      <c r="BF26" s="4" t="e">
        <f>AVERAGEIFS($R$2:$R$999,$N$2:$N$999,"&gt;=-4.5",$N$2:$N$999,"&lt;=4.5",$P$2:$P$999,"&gt;=5.1",$P$2:$P$999,"&lt;=6.2",$I$2:$I$999,"YES")</f>
        <v>#DIV/0!</v>
      </c>
      <c r="BG26" s="4" t="e">
        <f>AVERAGEIFS($R$2:$R$999,$N$2:$N$999,"&gt;=5",$P$2:$P$999,"&gt;=5.1",$P$2:$P$999,"&lt;=6.2",$I$2:$I$999,"YES")</f>
        <v>#DIV/0!</v>
      </c>
      <c r="BI26" s="1"/>
      <c r="BJ26" s="1"/>
      <c r="BK26" s="1"/>
      <c r="BL26" s="1"/>
      <c r="BN26" s="1"/>
      <c r="BO26" s="1"/>
      <c r="BP26" s="1"/>
      <c r="BQ26" s="1"/>
      <c r="BS26" s="1"/>
      <c r="BT26" s="1"/>
      <c r="BU26" s="1"/>
      <c r="BV26" s="1"/>
    </row>
    <row r="27" spans="1:74" x14ac:dyDescent="0.2">
      <c r="U27" s="1"/>
      <c r="V27" s="1"/>
      <c r="W27" s="1"/>
      <c r="X27" s="1"/>
      <c r="Y27" s="8"/>
      <c r="Z27" s="9"/>
      <c r="AA27" s="9"/>
      <c r="AB27" s="9"/>
      <c r="AC27" s="9"/>
      <c r="AD27" s="8"/>
      <c r="AE27" s="9"/>
      <c r="AF27" s="9"/>
      <c r="AG27" s="9"/>
      <c r="AH27" s="9"/>
      <c r="AI27" s="5"/>
      <c r="AJ27" s="6"/>
      <c r="AK27" s="6"/>
      <c r="AL27" s="6"/>
      <c r="AM27" s="6"/>
      <c r="AN27" s="5"/>
      <c r="AO27" s="6"/>
      <c r="AP27" s="6"/>
      <c r="AQ27" s="6"/>
      <c r="AR27" s="6"/>
      <c r="AS27" s="5"/>
      <c r="AT27" s="6"/>
      <c r="AU27" s="6"/>
      <c r="AV27" s="6"/>
      <c r="AW27" s="6"/>
      <c r="AX27" s="5"/>
      <c r="AY27" s="6"/>
      <c r="AZ27" s="6"/>
      <c r="BA27" s="6"/>
      <c r="BB27" s="6"/>
      <c r="BC27" s="3"/>
      <c r="BD27" s="4"/>
      <c r="BE27" s="4"/>
      <c r="BF27" s="4"/>
      <c r="BG27" s="4"/>
      <c r="BI27" s="1"/>
      <c r="BJ27" s="1"/>
      <c r="BK27" s="1"/>
      <c r="BL27" s="1"/>
      <c r="BN27" s="1"/>
      <c r="BO27" s="1"/>
      <c r="BP27" s="1"/>
      <c r="BQ27" s="1"/>
      <c r="BS27" s="1"/>
      <c r="BT27" s="1"/>
      <c r="BU27" s="1"/>
      <c r="BV27" s="1"/>
    </row>
    <row r="28" spans="1:74" x14ac:dyDescent="0.2">
      <c r="U28" s="1" t="s">
        <v>35</v>
      </c>
      <c r="V28" s="1" t="s">
        <v>31</v>
      </c>
      <c r="W28" s="1" t="s">
        <v>43</v>
      </c>
      <c r="X28" s="1" t="s">
        <v>30</v>
      </c>
      <c r="Y28" s="8"/>
      <c r="Z28" s="8" t="s">
        <v>35</v>
      </c>
      <c r="AA28" s="9" t="s">
        <v>31</v>
      </c>
      <c r="AB28" s="9" t="s">
        <v>43</v>
      </c>
      <c r="AC28" s="9" t="s">
        <v>30</v>
      </c>
      <c r="AD28" s="8"/>
      <c r="AE28" s="8" t="s">
        <v>35</v>
      </c>
      <c r="AF28" s="9" t="s">
        <v>31</v>
      </c>
      <c r="AG28" s="9" t="s">
        <v>43</v>
      </c>
      <c r="AH28" s="9" t="s">
        <v>30</v>
      </c>
      <c r="AI28" s="5"/>
      <c r="AJ28" s="6" t="s">
        <v>35</v>
      </c>
      <c r="AK28" s="6" t="s">
        <v>31</v>
      </c>
      <c r="AL28" s="6" t="s">
        <v>43</v>
      </c>
      <c r="AM28" s="6" t="s">
        <v>30</v>
      </c>
      <c r="AN28" s="5"/>
      <c r="AO28" s="5" t="s">
        <v>35</v>
      </c>
      <c r="AP28" s="6" t="s">
        <v>31</v>
      </c>
      <c r="AQ28" s="6" t="s">
        <v>43</v>
      </c>
      <c r="AR28" s="6" t="s">
        <v>30</v>
      </c>
      <c r="AS28" s="5"/>
      <c r="AT28" s="5" t="s">
        <v>35</v>
      </c>
      <c r="AU28" s="6" t="s">
        <v>31</v>
      </c>
      <c r="AV28" s="6" t="s">
        <v>43</v>
      </c>
      <c r="AW28" s="6" t="s">
        <v>30</v>
      </c>
      <c r="AX28" s="5"/>
      <c r="AY28" s="5" t="s">
        <v>35</v>
      </c>
      <c r="AZ28" s="6" t="s">
        <v>31</v>
      </c>
      <c r="BA28" s="6" t="s">
        <v>43</v>
      </c>
      <c r="BB28" s="6" t="s">
        <v>30</v>
      </c>
      <c r="BC28" s="3"/>
      <c r="BD28" s="3" t="s">
        <v>35</v>
      </c>
      <c r="BE28" s="4" t="s">
        <v>31</v>
      </c>
      <c r="BF28" s="4" t="s">
        <v>43</v>
      </c>
      <c r="BG28" s="4" t="s">
        <v>30</v>
      </c>
      <c r="BI28" s="1"/>
      <c r="BJ28" s="1"/>
      <c r="BK28" s="1"/>
      <c r="BL28" s="1"/>
      <c r="BN28" s="1"/>
      <c r="BO28" s="1"/>
      <c r="BP28" s="1"/>
      <c r="BQ28" s="1"/>
      <c r="BS28" s="1"/>
      <c r="BT28" s="1"/>
      <c r="BU28" s="1"/>
      <c r="BV28" s="1"/>
    </row>
    <row r="29" spans="1:74" x14ac:dyDescent="0.2">
      <c r="U29" s="1">
        <f>AVERAGEIFS($Q$2:$Q$999,$P$2:$P$999,"&gt;=6.3")</f>
        <v>16.600000000000001</v>
      </c>
      <c r="V29" s="1" t="e">
        <f>AVERAGEIFS($Q$2:$Q$999,$N$2:$N$999,"&lt;=-5",$P$2:$P$999,"&gt;=6.3")</f>
        <v>#DIV/0!</v>
      </c>
      <c r="W29" s="1">
        <f>AVERAGEIFS($Q$2:$Q$999,$N$2:$N$999,"&gt;=-4.5",$N$2:$N$999,"&lt;=4.5",$P$2:$P$999,"&gt;=6.3")</f>
        <v>16.600000000000001</v>
      </c>
      <c r="X29" s="1" t="e">
        <f>AVERAGEIFS($Q$2:$Q$999,$N$2:$N$999,"&gt;=5",$P$2:$P$999,"&gt;=6.3")</f>
        <v>#DIV/0!</v>
      </c>
      <c r="Y29" s="8"/>
      <c r="Z29" s="9" t="e">
        <f>AVERAGEIFS($R$2:$R$999,$P$2:$P$999,"&gt;=6.3",$D$2:$D$999,"YES")</f>
        <v>#DIV/0!</v>
      </c>
      <c r="AA29" s="9" t="e">
        <f>AVERAGEIFS($R$2:$R$999,$N$2:$N$999,"&lt;=-5",$P$2:$P$999,"&gt;=6.3",$D$2:$D$999,"YES")</f>
        <v>#DIV/0!</v>
      </c>
      <c r="AB29" s="9" t="e">
        <f>AVERAGEIFS($R$2:$R$999,$N$2:$N$999,"&gt;=-4.5",$N$2:$N$999,"&lt;=4.5",$P$2:$P$999,"&gt;=6.3",$D$2:$D$999,"YES")</f>
        <v>#DIV/0!</v>
      </c>
      <c r="AC29" s="9" t="e">
        <f>AVERAGEIFS($R$2:$R$999,$N$2:$N$999,"&gt;=5",$P$2:$P$999,"&gt;=6.3",$D$2:$D$999,"YES")</f>
        <v>#DIV/0!</v>
      </c>
      <c r="AD29" s="8"/>
      <c r="AE29" s="9" t="e">
        <f>AVERAGEIFS($R$2:$R$999,$P$2:$P$999,"&gt;=6.3",$D$2:$D$999,"YES",$F$2:$F$999,"UP")</f>
        <v>#DIV/0!</v>
      </c>
      <c r="AF29" s="9" t="e">
        <f>AVERAGEIFS($R$2:$R$999,$N$2:$N$999,"&lt;=-5",$P$2:$P$999,"&gt;=6.3",$D$2:$D$999,"YES",$F$2:$F$999,"UP")</f>
        <v>#DIV/0!</v>
      </c>
      <c r="AG29" s="9" t="e">
        <f>AVERAGEIFS($R$2:$R$999,$N$2:$N$999,"&gt;=-4.5",$N$2:$N$999,"&lt;=4.5",$P$2:$P$999,"&gt;=6.3",$D$2:$D$999,"YES",$F$2:$F$999,"UP")</f>
        <v>#DIV/0!</v>
      </c>
      <c r="AH29" s="9" t="e">
        <f>AVERAGEIFS($R$2:$R$999,$N$2:$N$999,"&gt;=5",$P$2:$P$999,"&gt;=6.3",$D$2:$D$999,"YES",$F$2:$F$999,"UP")</f>
        <v>#DIV/0!</v>
      </c>
      <c r="AI29" s="5"/>
      <c r="AJ29" s="6">
        <f>AVERAGEIFS($Q$2:$Q$999,$P$2:$P$999,"&gt;=6.3",$C$2:$C$999,"&gt;=0.01")</f>
        <v>16.600000000000001</v>
      </c>
      <c r="AK29" s="6" t="e">
        <f>AVERAGEIFS($Q$2:$Q$999,$N$2:$N$999,"&lt;=-5",$P$2:$P$999,"&gt;=6.3",$C$2:$C$999,"&gt;=0.01")</f>
        <v>#DIV/0!</v>
      </c>
      <c r="AL29" s="6">
        <f>AVERAGEIFS($Q$2:$Q$999,$N$2:$N$999,"&gt;=-4.5",$N$2:$N$999,"&lt;=4.5",$P$2:$P$999,"&gt;=6.3",$C$2:$C$999,"&gt;=0.01")</f>
        <v>16.600000000000001</v>
      </c>
      <c r="AM29" s="6" t="e">
        <f>AVERAGEIFS($Q$2:$Q$999,$N$2:$N$999,"&gt;=5",$P$2:$P$999,"&gt;=6.3",$C$2:$C$999,"&gt;=0.01")</f>
        <v>#DIV/0!</v>
      </c>
      <c r="AN29" s="5"/>
      <c r="AO29" s="6" t="e">
        <f>AVERAGEIFS($R$2:$R$999,$P$2:$P$999,"&gt;=6.3",$D$2:$D$999,"YES",$C$2:$C$999,"&gt;=0.01")</f>
        <v>#DIV/0!</v>
      </c>
      <c r="AP29" s="6" t="e">
        <f>AVERAGEIFS($R$2:$R$999,$N$2:$N$999,"&lt;=-5",$P$2:$P$999,"&gt;=6.3",$D$2:$D$999,"YES",$C$2:$C$999,"&gt;=0.01")</f>
        <v>#DIV/0!</v>
      </c>
      <c r="AQ29" s="6" t="e">
        <f>AVERAGEIFS($R$2:$R$999,$N$2:$N$999,"&gt;=-4.5",$N$2:$N$999,"&lt;=4.5",$P$2:$P$999,"&gt;=6.3",$D$2:$D$999,"YES",$C$2:$C$999,"&gt;=0.01")</f>
        <v>#DIV/0!</v>
      </c>
      <c r="AR29" s="6" t="e">
        <f>AVERAGEIFS($R$2:$R$999,$N$2:$N$999,"&gt;=5",$P$2:$P$999,"&gt;=6.3",$D$2:$D$999,"YES",$C$2:$C$999,"&gt;=0.01")</f>
        <v>#DIV/0!</v>
      </c>
      <c r="AS29" s="5"/>
      <c r="AT29" s="6" t="e">
        <f>AVERAGEIFS($R$2:$R$999,$P$2:$P$999,"&gt;=6.3",$D$2:$D$999,"YES",$F$2:$F$999,"UP",$C$2:$C$999,"&gt;=0.01")</f>
        <v>#DIV/0!</v>
      </c>
      <c r="AU29" s="6" t="e">
        <f>AVERAGEIFS($R$2:$R$999,$N$2:$N$999,"&lt;=-5",$P$2:$P$999,"&gt;=6.3",$D$2:$D$999,"YES",$F$2:$F$999,"UP",$C$2:$C$999,"&gt;=0.01")</f>
        <v>#DIV/0!</v>
      </c>
      <c r="AV29" s="6" t="e">
        <f>AVERAGEIFS($R$2:$R$999,$N$2:$N$999,"&gt;=-4.5",$N$2:$N$999,"&lt;=4.5",$P$2:$P$999,"&gt;=6.3",$D$2:$D$999,"YES",$F$2:$F$999,"UP",$C$2:$C$999,"&gt;=0.01")</f>
        <v>#DIV/0!</v>
      </c>
      <c r="AW29" s="6" t="e">
        <f>AVERAGEIFS($R$2:$R$999,$N$2:$N$999,"&gt;=5",$P$2:$P$999,"&gt;=6.3",$D$2:$D$999,"YES",$F$2:$F$999,"UP",$C$2:$C$999,"&gt;=0.01")</f>
        <v>#DIV/0!</v>
      </c>
      <c r="AX29" s="5"/>
      <c r="AY29" s="6">
        <f>AVERAGEIFS($R$2:$R$999,$P$2:$P$999,"&gt;=6.3",$C$2:$C$999,"&gt;=9.5",$C$2:$C$999,"&lt;=10.9")</f>
        <v>2.6349206349206353</v>
      </c>
      <c r="AZ29" s="6" t="e">
        <f>AVERAGEIFS($R$2:$R$999,$N$2:$N$999,"&lt;=-5",$P$2:$P$999,"&gt;=6.3",$C$2:$C$999,"&gt;=9.5",$C$2:$C$999,"&lt;=10.9")</f>
        <v>#DIV/0!</v>
      </c>
      <c r="BA29" s="6">
        <f>AVERAGEIFS($R$2:$R$999,$N$2:$N$999,"&gt;=-4.5",$N$2:$N$999,"&lt;=4.5",$P$2:$P$999,"&gt;=6.3",$C$2:$C$999,"&gt;=9.5",$C$2:$C$999,"&lt;=10.9")</f>
        <v>2.6349206349206353</v>
      </c>
      <c r="BB29" s="6" t="e">
        <f>AVERAGEIFS($R$2:$R$999,$N$2:$N$999,"&gt;=5",$P$2:$P$999,"&gt;=6.3",$C$2:$C$999,"&gt;=9.5",$C$2:$C$999,"&lt;=10.9")</f>
        <v>#DIV/0!</v>
      </c>
      <c r="BC29" s="3"/>
      <c r="BD29" s="4" t="e">
        <f>AVERAGEIFS($R$2:$R$999,$P$2:$P$999,"&gt;=6.3",$I$2:$I$999,"YES")</f>
        <v>#DIV/0!</v>
      </c>
      <c r="BE29" s="4" t="e">
        <f>AVERAGEIFS($R$2:$R$999,$N$2:$N$999,"&lt;=-5",$I$2:$I$999,"YES")</f>
        <v>#DIV/0!</v>
      </c>
      <c r="BF29" s="4" t="e">
        <f>AVERAGEIFS($R$2:$R$999,$N$2:$N$999,"&gt;=-4.5",$N$2:$N$999,"&lt;=4.5",$P$2:$P$999,"&gt;=6.3",$I$2:$I$999,"YES")</f>
        <v>#DIV/0!</v>
      </c>
      <c r="BG29" s="4" t="e">
        <f>AVERAGEIFS($R$2:$R$999,$N$2:$N$999,"&gt;=5",$P$2:$P$999,"&gt;=6.3",$I$2:$I$999,"YES")</f>
        <v>#DIV/0!</v>
      </c>
      <c r="BI29" s="1"/>
      <c r="BJ29" s="1"/>
      <c r="BK29" s="1"/>
      <c r="BL29" s="1"/>
      <c r="BN29" s="1"/>
      <c r="BO29" s="1"/>
      <c r="BP29" s="1"/>
      <c r="BQ29" s="1"/>
      <c r="BS29" s="1"/>
      <c r="BT29" s="1"/>
      <c r="BU29" s="1"/>
      <c r="BV29" s="1"/>
    </row>
    <row r="30" spans="1:74" x14ac:dyDescent="0.2">
      <c r="U30" s="1"/>
      <c r="V30" s="1"/>
      <c r="W30" s="1"/>
      <c r="X30" s="1"/>
      <c r="Y30" s="8"/>
      <c r="Z30" s="8"/>
      <c r="AA30" s="8"/>
      <c r="AB30" s="8"/>
      <c r="AC30" s="8"/>
      <c r="AD30" s="9"/>
      <c r="AE30" s="8"/>
      <c r="AF30" s="9"/>
      <c r="AG30" s="9"/>
      <c r="AH30" s="9"/>
      <c r="AI30" s="5"/>
      <c r="AJ30" s="6"/>
      <c r="AK30" s="6"/>
      <c r="AL30" s="6"/>
      <c r="AM30" s="6"/>
      <c r="AN30" s="5"/>
      <c r="AO30" s="5"/>
      <c r="AP30" s="5"/>
      <c r="AQ30" s="5"/>
      <c r="AR30" s="5"/>
      <c r="AS30" s="6"/>
      <c r="AT30" s="5"/>
      <c r="AU30" s="6"/>
      <c r="AV30" s="6"/>
      <c r="AW30" s="6"/>
      <c r="AX30" s="5"/>
      <c r="AY30" s="6"/>
      <c r="AZ30" s="6"/>
      <c r="BA30" s="6"/>
      <c r="BB30" s="6"/>
      <c r="BC30" s="3"/>
      <c r="BD30" s="3"/>
      <c r="BE30" s="3"/>
      <c r="BF30" s="3"/>
      <c r="BG30" s="3"/>
    </row>
    <row r="31" spans="1:74" x14ac:dyDescent="0.2">
      <c r="T31" t="s">
        <v>40</v>
      </c>
      <c r="U31" s="1" t="s">
        <v>29</v>
      </c>
      <c r="V31" s="1" t="s">
        <v>31</v>
      </c>
      <c r="W31" s="1" t="s">
        <v>43</v>
      </c>
      <c r="X31" s="1" t="s">
        <v>30</v>
      </c>
      <c r="Y31" s="8" t="s">
        <v>66</v>
      </c>
      <c r="Z31" s="8" t="s">
        <v>66</v>
      </c>
      <c r="AA31" s="9" t="s">
        <v>31</v>
      </c>
      <c r="AB31" s="9" t="s">
        <v>43</v>
      </c>
      <c r="AC31" s="9" t="s">
        <v>30</v>
      </c>
      <c r="AD31" s="9" t="s">
        <v>113</v>
      </c>
      <c r="AE31" s="8"/>
      <c r="AF31" s="9" t="s">
        <v>31</v>
      </c>
      <c r="AG31" s="9" t="s">
        <v>43</v>
      </c>
      <c r="AH31" s="9" t="s">
        <v>30</v>
      </c>
      <c r="AI31" s="5" t="s">
        <v>40</v>
      </c>
      <c r="AJ31" s="6" t="s">
        <v>29</v>
      </c>
      <c r="AK31" s="6" t="s">
        <v>31</v>
      </c>
      <c r="AL31" s="6" t="s">
        <v>43</v>
      </c>
      <c r="AM31" s="6" t="s">
        <v>30</v>
      </c>
      <c r="AN31" s="5" t="s">
        <v>66</v>
      </c>
      <c r="AO31" s="5" t="s">
        <v>66</v>
      </c>
      <c r="AP31" s="6" t="s">
        <v>31</v>
      </c>
      <c r="AQ31" s="6" t="s">
        <v>43</v>
      </c>
      <c r="AR31" s="6" t="s">
        <v>30</v>
      </c>
      <c r="AS31" s="6" t="s">
        <v>113</v>
      </c>
      <c r="AT31" s="5"/>
      <c r="AU31" s="6" t="s">
        <v>31</v>
      </c>
      <c r="AV31" s="6" t="s">
        <v>43</v>
      </c>
      <c r="AW31" s="6" t="s">
        <v>30</v>
      </c>
      <c r="AX31" s="6" t="s">
        <v>90</v>
      </c>
      <c r="AY31" s="6" t="s">
        <v>90</v>
      </c>
      <c r="AZ31" s="6" t="s">
        <v>31</v>
      </c>
      <c r="BA31" s="6" t="s">
        <v>43</v>
      </c>
      <c r="BB31" s="6" t="s">
        <v>30</v>
      </c>
      <c r="BC31" s="3" t="s">
        <v>151</v>
      </c>
      <c r="BD31" s="4"/>
      <c r="BE31" s="4" t="s">
        <v>31</v>
      </c>
      <c r="BF31" s="4" t="s">
        <v>43</v>
      </c>
      <c r="BG31" s="4" t="s">
        <v>30</v>
      </c>
    </row>
    <row r="32" spans="1:74" x14ac:dyDescent="0.2">
      <c r="U32" s="1">
        <f>AVERAGEIF($O$2:$O$999,"&lt;=44",$R$2:$R$999)</f>
        <v>1.9710921103571937</v>
      </c>
      <c r="V32" s="1">
        <f>AVERAGEIFS($R$2:$R$999,$N$2:$N$999,"&lt;=-5",$O$2:$O$999,"&lt;=44")</f>
        <v>0.34444444444444444</v>
      </c>
      <c r="W32" s="1">
        <f>AVERAGEIFS($R$2:$R$999,$N$2:$N$999,"&gt;=-4.5",$N$2:$N$999,"&lt;=4.5",$O$2:$O$999,"&lt;=44")</f>
        <v>2.2246316317401038</v>
      </c>
      <c r="X32" s="1">
        <f>AVERAGEIFS($R$2:$R$999,$N$2:$N$999,"&gt;=5",$O$2:$O$999,"&lt;=44")</f>
        <v>2.8371212121212124</v>
      </c>
      <c r="Y32" s="8"/>
      <c r="Z32" s="9">
        <f>AVERAGEIFS($R$2:$R$999,$E$2:$E$999,"YES")</f>
        <v>1.4331537017596925</v>
      </c>
      <c r="AA32" s="9">
        <f>AVERAGEIFS($R$2:$R$999,$N$2:$N$999,"&lt;=-5",$E$2:$E$999,"YES")</f>
        <v>0</v>
      </c>
      <c r="AB32" s="9">
        <f>AVERAGEIFS($R$2:$R$999,$N$2:$N$999,"&gt;=-4.5",$N$2:$N$999,"&lt;=4.5",$E$2:$E$999,"YES")</f>
        <v>1.3863095238095238</v>
      </c>
      <c r="AC32" s="9">
        <f>AVERAGEIFS($R$2:$R$999,$N$2:$N$999,"&gt;=5",$E$2:$E$999,"YES")</f>
        <v>1.9577157802964253</v>
      </c>
      <c r="AD32" s="8"/>
      <c r="AE32" s="9">
        <f>AVERAGEIFS($R$2:$R$999,$E$2:$E$999,"YES",$F$2:$F$999,"UP")</f>
        <v>2.7338709677419355</v>
      </c>
      <c r="AF32" s="9" t="e">
        <f>AVERAGEIFS($R$2:$R$999,$N$2:$N$999,"&lt;=-5",$E$2:$E$999,"YES",$F$2:$F$999,"UP")</f>
        <v>#DIV/0!</v>
      </c>
      <c r="AG32" s="9" t="e">
        <f>AVERAGEIFS($R$2:$R$999,$N$2:$N$999,"&gt;=-4.5",$N$2:$N$999,"&lt;=4.5",$E$2:$E$999,"YES",$F$2:$F$999,"UP")</f>
        <v>#DIV/0!</v>
      </c>
      <c r="AH32" s="9">
        <f>AVERAGEIFS($R$2:$R$999,$N$2:$N$999,"&gt;=5",$E$2:$E$999,"YES",$F$2:$F$999,"UP")</f>
        <v>2.7338709677419355</v>
      </c>
      <c r="AI32" s="5"/>
      <c r="AJ32" s="6">
        <f>AVERAGEIFS($R$2:$R$999,$O$2:$O$999,"&lt;=44",$C$2:$C$999,"&gt;=0.01")</f>
        <v>1.9710921103571937</v>
      </c>
      <c r="AK32" s="6">
        <f>AVERAGEIFS($R$2:$R$999,$N$2:$N$999,"&lt;=-5",$O$2:$O$999,"&lt;=44",$C$2:$C$999,"&gt;=0.01")</f>
        <v>0.34444444444444444</v>
      </c>
      <c r="AL32" s="6">
        <f>AVERAGEIFS($R$2:$R$999,$N$2:$N$999,"&gt;=-4.5",$N$2:$N$999,"&lt;=4.5",$O$2:$O$999,"&lt;=44",$C$2:$C$999,"&gt;=0.01")</f>
        <v>2.2246316317401038</v>
      </c>
      <c r="AM32" s="6">
        <f>AVERAGEIFS($R$2:$R$999,$N$2:$N$999,"&gt;=5",$O$2:$O$999,"&lt;=44",$C$2:$C$999,"&gt;=0.01")</f>
        <v>2.8371212121212124</v>
      </c>
      <c r="AN32" s="5"/>
      <c r="AO32" s="6">
        <f>AVERAGEIFS($R$2:$R$999,$E$2:$E$999,"YES",$C$2:$C$999,"&gt;=0.01")</f>
        <v>1.4331537017596925</v>
      </c>
      <c r="AP32" s="6">
        <f>AVERAGEIFS($R$2:$R$999,$N$2:$N$999,"&lt;=-5",$E$2:$E$999,"YES",$C$2:$C$999,"&gt;=0.01")</f>
        <v>0</v>
      </c>
      <c r="AQ32" s="6">
        <f>AVERAGEIFS($R$2:$R$999,$N$2:$N$999,"&gt;=-4.5",$N$2:$N$999,"&lt;=4.5",$E$2:$E$999,"YES",$C$2:$C$999,"&gt;=0.01")</f>
        <v>1.3863095238095238</v>
      </c>
      <c r="AR32" s="6">
        <f>AVERAGEIFS($R$2:$R$999,$N$2:$N$999,"&gt;=5",$E$2:$E$999,"YES",$C$2:$C$999,"&gt;=0.01")</f>
        <v>1.9577157802964253</v>
      </c>
      <c r="AS32" s="5"/>
      <c r="AT32" s="6">
        <f>AVERAGEIFS($R$2:$R$999,$E$2:$E$999,"YES",$F$2:$F$999,"UP",$C$2:$C$999,"&gt;=0.01")</f>
        <v>2.7338709677419355</v>
      </c>
      <c r="AU32" s="6" t="e">
        <f>AVERAGEIFS($R$2:$R$999,$N$2:$N$999,"&lt;=-5",$E$2:$E$999,"YES",$F$2:$F$999,"UP",$C$2:$C$999,"&gt;=0.01")</f>
        <v>#DIV/0!</v>
      </c>
      <c r="AV32" s="6" t="e">
        <f>AVERAGEIFS($R$2:$R$999,$N$2:$N$999,"&gt;=-4.5",$N$2:$N$999,"&lt;=4.5",$E$2:$E$999,"YES",$F$2:$F$999,"UP",$C$2:$C$999,"&gt;=0.01")</f>
        <v>#DIV/0!</v>
      </c>
      <c r="AW32" s="6">
        <f>AVERAGEIFS($R$2:$R$999,$N$2:$N$999,"&gt;=5",$E$2:$E$999,"YES",$F$2:$F$999,"UP",$C$2:$C$999,"&gt;=0.01")</f>
        <v>2.7338709677419355</v>
      </c>
      <c r="AX32" s="5"/>
      <c r="AY32" s="6">
        <f>AVERAGEIFS($R$2:$R$999,$C$2:$C$999,"&lt;=9.4",$C$2:$C$999,"&gt;=0.01")</f>
        <v>1.8835743268741953</v>
      </c>
      <c r="AZ32" s="6">
        <f>AVERAGEIFS($R$2:$R$999,$N$2:$N$999,"&lt;=-5",$C$2:$C$999,"&lt;=9.4",$C$2:$C$999,"&gt;=0.01")</f>
        <v>0.34444444444444444</v>
      </c>
      <c r="BA32" s="6">
        <f>AVERAGEIFS($R$2:$R$999,$N$2:$N$999,"&gt;=-4.5",$N$2:$N$999,"&lt;=4.5",$C$2:$C$999,"&lt;=9.4",$C$2:$C$999,"&gt;=0.01")</f>
        <v>2.2516482159280051</v>
      </c>
      <c r="BB32" s="6">
        <f>AVERAGEIFS($R$2:$R$999,$N$2:$N$999,"&gt;=5",$C$2:$C$999,"&lt;=9.4",$C$2:$C$999,"&gt;=0.01")</f>
        <v>1.7329545454545454</v>
      </c>
      <c r="BC32" s="3"/>
      <c r="BD32" s="4" t="e">
        <f>AVERAGEIFS($R$2:$R$999,$J$2:$J$999,"YES")</f>
        <v>#DIV/0!</v>
      </c>
      <c r="BE32" s="4" t="e">
        <f>AVERAGEIFS($R$2:$R$999,$N$2:$N$999,"&lt;=-5",$J$2:$J$999,"YES")</f>
        <v>#DIV/0!</v>
      </c>
      <c r="BF32" s="4" t="e">
        <f>AVERAGEIFS($R$2:$R$999,$N$2:$N$999,"&gt;=-4.5",$N$2:$N$999,"&lt;=4.55",$J$2:$J$999,"YES")</f>
        <v>#DIV/0!</v>
      </c>
      <c r="BG32" s="4" t="e">
        <f>AVERAGEIFS($R$2:$R$999,$N$2:$N$999,"&gt;=5",$J$2:$J$999,"YES")</f>
        <v>#DIV/0!</v>
      </c>
    </row>
    <row r="33" spans="20:59" x14ac:dyDescent="0.2">
      <c r="U33" s="1"/>
      <c r="V33" s="1"/>
      <c r="W33" s="1"/>
      <c r="X33" s="1"/>
      <c r="Y33" s="8"/>
      <c r="Z33" s="9"/>
      <c r="AA33" s="9"/>
      <c r="AB33" s="9"/>
      <c r="AC33" s="9"/>
      <c r="AD33" s="8"/>
      <c r="AE33" s="9"/>
      <c r="AF33" s="9"/>
      <c r="AG33" s="9"/>
      <c r="AH33" s="9"/>
      <c r="AI33" s="5"/>
      <c r="AJ33" s="6"/>
      <c r="AK33" s="6"/>
      <c r="AL33" s="6"/>
      <c r="AM33" s="6"/>
      <c r="AN33" s="5"/>
      <c r="AO33" s="6"/>
      <c r="AP33" s="6"/>
      <c r="AQ33" s="6"/>
      <c r="AR33" s="6"/>
      <c r="AS33" s="5"/>
      <c r="AT33" s="6"/>
      <c r="AU33" s="6"/>
      <c r="AV33" s="6"/>
      <c r="AW33" s="6"/>
      <c r="AX33" s="5"/>
      <c r="AY33" s="6"/>
      <c r="AZ33" s="6"/>
      <c r="BA33" s="6"/>
      <c r="BB33" s="6"/>
      <c r="BC33" s="3"/>
      <c r="BD33" s="4"/>
      <c r="BE33" s="4"/>
      <c r="BF33" s="4"/>
      <c r="BG33" s="4"/>
    </row>
    <row r="34" spans="20:59" x14ac:dyDescent="0.2">
      <c r="T34" t="s">
        <v>40</v>
      </c>
      <c r="U34" s="1" t="s">
        <v>33</v>
      </c>
      <c r="V34" s="1" t="s">
        <v>31</v>
      </c>
      <c r="W34" s="1" t="s">
        <v>43</v>
      </c>
      <c r="X34" s="1" t="s">
        <v>30</v>
      </c>
      <c r="Y34" s="8"/>
      <c r="Z34" s="8" t="s">
        <v>33</v>
      </c>
      <c r="AA34" s="9" t="s">
        <v>31</v>
      </c>
      <c r="AB34" s="9" t="s">
        <v>43</v>
      </c>
      <c r="AC34" s="9" t="s">
        <v>30</v>
      </c>
      <c r="AD34" s="8"/>
      <c r="AE34" s="8" t="s">
        <v>33</v>
      </c>
      <c r="AF34" s="9" t="s">
        <v>31</v>
      </c>
      <c r="AG34" s="9" t="s">
        <v>43</v>
      </c>
      <c r="AH34" s="9" t="s">
        <v>30</v>
      </c>
      <c r="AI34" s="5" t="s">
        <v>40</v>
      </c>
      <c r="AJ34" s="6" t="s">
        <v>33</v>
      </c>
      <c r="AK34" s="6" t="s">
        <v>31</v>
      </c>
      <c r="AL34" s="6" t="s">
        <v>43</v>
      </c>
      <c r="AM34" s="6" t="s">
        <v>30</v>
      </c>
      <c r="AN34" s="5"/>
      <c r="AO34" s="5" t="s">
        <v>33</v>
      </c>
      <c r="AP34" s="6" t="s">
        <v>31</v>
      </c>
      <c r="AQ34" s="6" t="s">
        <v>43</v>
      </c>
      <c r="AR34" s="6" t="s">
        <v>30</v>
      </c>
      <c r="AS34" s="5"/>
      <c r="AT34" s="5" t="s">
        <v>33</v>
      </c>
      <c r="AU34" s="6" t="s">
        <v>31</v>
      </c>
      <c r="AV34" s="6" t="s">
        <v>43</v>
      </c>
      <c r="AW34" s="6" t="s">
        <v>30</v>
      </c>
      <c r="AX34" s="5"/>
      <c r="AY34" s="5" t="s">
        <v>33</v>
      </c>
      <c r="AZ34" s="6" t="s">
        <v>31</v>
      </c>
      <c r="BA34" s="6" t="s">
        <v>43</v>
      </c>
      <c r="BB34" s="6" t="s">
        <v>30</v>
      </c>
      <c r="BC34" s="3"/>
      <c r="BD34" s="3" t="s">
        <v>33</v>
      </c>
      <c r="BE34" s="4" t="s">
        <v>31</v>
      </c>
      <c r="BF34" s="4" t="s">
        <v>43</v>
      </c>
      <c r="BG34" s="4" t="s">
        <v>30</v>
      </c>
    </row>
    <row r="35" spans="20:59" x14ac:dyDescent="0.2">
      <c r="U35" s="1">
        <f>AVERAGEIFS($R$2:$R$999,$P$2:$P$999,"&lt;=4",$O$2:$O$999,"&lt;=44")</f>
        <v>2.3358208833772744</v>
      </c>
      <c r="V35" s="1">
        <f>AVERAGEIFS($R$2:$R$999,$N$2:$N$999,"&lt;=-5",$P$2:$P$999,"&lt;=4",$O$2:$O$999,"&lt;=44")</f>
        <v>0</v>
      </c>
      <c r="W35" s="1">
        <f>AVERAGEIFS($R$2:$R$999,$N$2:$N$999,"&gt;=-4.5",$N$2:$N$999,"&lt;=4.5",$P$2:$P$999,"&lt;=4",$O$2:$O$999,"&lt;=44")</f>
        <v>2.6691259398496241</v>
      </c>
      <c r="X35" s="1">
        <f>AVERAGEIFS($R$2:$R$999,$N$2:$N$999,"&gt;=5",$P$2:$P$999,"&lt;=4",$O$2:$O$999,"&lt;=44")</f>
        <v>2.8371212121212124</v>
      </c>
      <c r="Y35" s="8"/>
      <c r="Z35" s="9">
        <f>AVERAGEIFS($R$2:$R$999,$P$2:$P$999,"&lt;=4",$E$2:$E$999,"YES")</f>
        <v>1.4331537017596925</v>
      </c>
      <c r="AA35" s="9">
        <f>AVERAGEIFS($R$2:$R$999,$N$2:$N$999,"&lt;=-5",$P$2:$P$999,"&lt;=4",$E$2:$E$999,"YES")</f>
        <v>0</v>
      </c>
      <c r="AB35" s="9">
        <f>AVERAGEIFS($R$2:$R$999,$N$2:$N$999,"&gt;=-4.5",$N$2:$N$999,"&lt;=4.55",$P$2:$P$999,"&lt;=4",$E$2:$E$999,"YES")</f>
        <v>1.3863095238095238</v>
      </c>
      <c r="AC35" s="9">
        <f>AVERAGEIFS($R$2:$R$999,$N$2:$N$999,"&gt;=5",$P$2:$P$999,"&lt;=4",$E$2:$E$999,"YES")</f>
        <v>1.9577157802964253</v>
      </c>
      <c r="AD35" s="8"/>
      <c r="AE35" s="9">
        <f>AVERAGEIFS($R$2:$R$999,$P$2:$P$999,"&lt;=4",$E$2:$E$999,"YES",$F$2:$F$999,"UP")</f>
        <v>2.7338709677419355</v>
      </c>
      <c r="AF35" s="9" t="e">
        <f>AVERAGEIFS($R$2:$R$999,$N$2:$N$999,"&lt;=-5",$P$2:$P$999,"&lt;=4",$E$2:$E$999,"YES",$F$2:$F$999,"UP")</f>
        <v>#DIV/0!</v>
      </c>
      <c r="AG35" s="9" t="e">
        <f>AVERAGEIFS($R$2:$R$999,$N$2:$N$999,"&gt;=-4.5",$N$2:$N$999,"&lt;=4.55",$P$2:$P$999,"&lt;=4",$E$2:$E$999,"YES",$F$2:$F$999,"UP")</f>
        <v>#DIV/0!</v>
      </c>
      <c r="AH35" s="9">
        <f>AVERAGEIFS($R$2:$R$999,$N$2:$N$999,"&gt;=5",$P$2:$P$999,"&lt;=4",$E$2:$E$999,"YES",$F$2:$F$999,"UP")</f>
        <v>2.7338709677419355</v>
      </c>
      <c r="AI35" s="5"/>
      <c r="AJ35" s="6">
        <f>AVERAGEIFS($R$2:$R$999,$P$2:$P$999,"&lt;=4",$O$2:$O$999,"&lt;=44",$C$2:$C$999,"&gt;=0.01")</f>
        <v>2.3358208833772744</v>
      </c>
      <c r="AK35" s="6">
        <f>AVERAGEIFS($R$2:$R$999,$N$2:$N$999,"&lt;=-5",$P$2:$P$999,"&lt;=4",$O$2:$O$999,"&lt;=44",$C$2:$C$999,"&gt;=0.01")</f>
        <v>0</v>
      </c>
      <c r="AL35" s="6">
        <f>AVERAGEIFS($R$2:$R$999,$N$2:$N$999,"&gt;=-4.5",$N$2:$N$999,"&lt;=4.5",$P$2:$P$999,"&lt;=4",$O$2:$O$999,"&lt;=44",$C$2:$C$999,"&gt;=0.01")</f>
        <v>2.6691259398496241</v>
      </c>
      <c r="AM35" s="6">
        <f>AVERAGEIFS($R$2:$R$999,$N$2:$N$999,"&gt;=5",$P$2:$P$999,"&lt;=4",$O$2:$O$999,"&lt;=44",$C$2:$C$999,"&gt;=0.01")</f>
        <v>2.8371212121212124</v>
      </c>
      <c r="AN35" s="5"/>
      <c r="AO35" s="6">
        <f>AVERAGEIFS($R$2:$R$999,$P$2:$P$999,"&lt;=4",$E$2:$E$999,"YES",$C$2:$C$999,"&gt;=0.01")</f>
        <v>1.4331537017596925</v>
      </c>
      <c r="AP35" s="6">
        <f>AVERAGEIFS($R$2:$R$999,$N$2:$N$999,"&lt;=-5",$P$2:$P$999,"&lt;=4",$E$2:$E$999,"YES",$C$2:$C$999,"&gt;=0.01")</f>
        <v>0</v>
      </c>
      <c r="AQ35" s="6">
        <f>AVERAGEIFS($R$2:$R$999,$N$2:$N$999,"&gt;=-4.5",$N$2:$N$999,"&lt;=4.55",$P$2:$P$999,"&lt;=4",$E$2:$E$999,"YES",$C$2:$C$999,"&gt;=0.01")</f>
        <v>1.3863095238095238</v>
      </c>
      <c r="AR35" s="6">
        <f>AVERAGEIFS($R$2:$R$999,$N$2:$N$999,"&gt;=5",$P$2:$P$999,"&lt;=4",$E$2:$E$999,"YES",$C$2:$C$999,"&gt;=0.01")</f>
        <v>1.9577157802964253</v>
      </c>
      <c r="AS35" s="5"/>
      <c r="AT35" s="6">
        <f>AVERAGEIFS($R$2:$R$999,$P$2:$P$999,"&lt;=4",$E$2:$E$999,"YES",$F$2:$F$999,"UP",$C$2:$C$999,"&gt;=0.01")</f>
        <v>2.7338709677419355</v>
      </c>
      <c r="AU35" s="6" t="e">
        <f>AVERAGEIFS($R$2:$R$999,$N$2:$N$999,"&lt;=-5",$P$2:$P$999,"&lt;=4",$E$2:$E$999,"YES",$F$2:$F$999,"UP",$C$2:$C$999,"&gt;=0.01")</f>
        <v>#DIV/0!</v>
      </c>
      <c r="AV35" s="6" t="e">
        <f>AVERAGEIFS($R$2:$R$999,$N$2:$N$999,"&gt;=-4.5",$N$2:$N$999,"&lt;=4.55",$P$2:$P$999,"&lt;=4",$E$2:$E$999,"YES",$F$2:$F$999,"UP",$C$2:$C$999,"&gt;=0.01")</f>
        <v>#DIV/0!</v>
      </c>
      <c r="AW35" s="6">
        <f>AVERAGEIFS($R$2:$R$999,$N$2:$N$999,"&gt;=5",$P$2:$P$999,"&lt;=4",$E$2:$E$999,"YES",$F$2:$F$999,"UP",$C$2:$C$999,"&gt;=0.01")</f>
        <v>2.7338709677419355</v>
      </c>
      <c r="AX35" s="5"/>
      <c r="AY35" s="6">
        <f>AVERAGEIFS($R$2:$R$999,$P$2:$P$999,"&lt;=4",$C$2:$C$999,"&lt;=9.4",$C$2:$C$999,"&gt;=0.01")</f>
        <v>2.1497511925046755</v>
      </c>
      <c r="AZ35" s="6">
        <f>AVERAGEIFS($R$2:$R$999,$N$2:$N$999,"&lt;=-5",$P$2:$P$999,"&lt;=4",$C$2:$C$999,"&lt;=9.4",$C$2:$C$999,"&gt;=0.01")</f>
        <v>0</v>
      </c>
      <c r="BA35" s="6">
        <f>AVERAGEIFS($R$2:$R$999,$N$2:$N$999,"&gt;=-4.5",$N$2:$N$999,"&lt;=4.55",$P$2:$P$999,"&lt;=4",$C$2:$C$999,"&lt;=9.4",$C$2:$C$999,"&gt;=0.01")</f>
        <v>2.6950280183197033</v>
      </c>
      <c r="BB35" s="6">
        <f>AVERAGEIFS($R$2:$R$999,$N$2:$N$999,"&gt;=5",$P$2:$P$999,"&lt;=4",$C$2:$C$999,"&lt;=9.4",$C$2:$C$999,"&gt;=0.01")</f>
        <v>1.7329545454545454</v>
      </c>
      <c r="BC35" s="3"/>
      <c r="BD35" s="4" t="e">
        <f>AVERAGEIFS($R$2:$R$999,$P$2:$P$999,"&lt;=4",$J$2:$J$999,"YES")</f>
        <v>#DIV/0!</v>
      </c>
      <c r="BE35" s="4" t="e">
        <f>AVERAGEIFS($R$2:$R$999,$N$2:$N$999,"&lt;=-5",$P$2:$P$999,"&lt;=4",$J$2:$J$999,"YES")</f>
        <v>#DIV/0!</v>
      </c>
      <c r="BF35" s="4" t="e">
        <f>AVERAGEIFS($R$2:$R$999,$N$2:$N$999,"&gt;=-4.5",$N$2:$N$999,"&lt;=4.55",$P$2:$P$999,"&lt;=4",$J$2:$J$999,"YES")</f>
        <v>#DIV/0!</v>
      </c>
      <c r="BG35" s="4" t="e">
        <f>AVERAGEIFS($R$2:$R$999,$N$2:$N$999,"&gt;=5",$P$2:$P$999,"&lt;=4",$J$2:$J$999,"YES")</f>
        <v>#DIV/0!</v>
      </c>
    </row>
    <row r="36" spans="20:59" x14ac:dyDescent="0.2">
      <c r="U36" s="1"/>
      <c r="V36" s="1"/>
      <c r="W36" s="1"/>
      <c r="X36" s="1"/>
      <c r="Y36" s="8"/>
      <c r="Z36" s="9"/>
      <c r="AA36" s="9"/>
      <c r="AB36" s="9"/>
      <c r="AC36" s="9"/>
      <c r="AD36" s="8"/>
      <c r="AE36" s="9"/>
      <c r="AF36" s="9"/>
      <c r="AG36" s="9"/>
      <c r="AH36" s="9"/>
      <c r="AI36" s="5"/>
      <c r="AJ36" s="6"/>
      <c r="AK36" s="6"/>
      <c r="AL36" s="6"/>
      <c r="AM36" s="6"/>
      <c r="AN36" s="5"/>
      <c r="AO36" s="6"/>
      <c r="AP36" s="6"/>
      <c r="AQ36" s="6"/>
      <c r="AR36" s="6"/>
      <c r="AS36" s="5"/>
      <c r="AT36" s="6"/>
      <c r="AU36" s="6"/>
      <c r="AV36" s="6"/>
      <c r="AW36" s="6"/>
      <c r="AX36" s="5"/>
      <c r="AY36" s="6"/>
      <c r="AZ36" s="6"/>
      <c r="BA36" s="6"/>
      <c r="BB36" s="6"/>
      <c r="BC36" s="3"/>
      <c r="BD36" s="4"/>
      <c r="BE36" s="4"/>
      <c r="BF36" s="4"/>
      <c r="BG36" s="4"/>
    </row>
    <row r="37" spans="20:59" x14ac:dyDescent="0.2">
      <c r="T37" t="s">
        <v>40</v>
      </c>
      <c r="U37" s="1" t="s">
        <v>36</v>
      </c>
      <c r="V37" s="1" t="s">
        <v>31</v>
      </c>
      <c r="W37" s="1" t="s">
        <v>43</v>
      </c>
      <c r="X37" s="1" t="s">
        <v>30</v>
      </c>
      <c r="Y37" s="8"/>
      <c r="Z37" s="8" t="s">
        <v>36</v>
      </c>
      <c r="AA37" s="9" t="s">
        <v>31</v>
      </c>
      <c r="AB37" s="9" t="s">
        <v>43</v>
      </c>
      <c r="AC37" s="9" t="s">
        <v>30</v>
      </c>
      <c r="AD37" s="8"/>
      <c r="AE37" s="8" t="s">
        <v>36</v>
      </c>
      <c r="AF37" s="9" t="s">
        <v>31</v>
      </c>
      <c r="AG37" s="9" t="s">
        <v>43</v>
      </c>
      <c r="AH37" s="9" t="s">
        <v>30</v>
      </c>
      <c r="AI37" s="5" t="s">
        <v>40</v>
      </c>
      <c r="AJ37" s="6" t="s">
        <v>36</v>
      </c>
      <c r="AK37" s="6" t="s">
        <v>31</v>
      </c>
      <c r="AL37" s="6" t="s">
        <v>43</v>
      </c>
      <c r="AM37" s="6" t="s">
        <v>30</v>
      </c>
      <c r="AN37" s="5"/>
      <c r="AO37" s="5" t="s">
        <v>36</v>
      </c>
      <c r="AP37" s="6" t="s">
        <v>31</v>
      </c>
      <c r="AQ37" s="6" t="s">
        <v>43</v>
      </c>
      <c r="AR37" s="6" t="s">
        <v>30</v>
      </c>
      <c r="AS37" s="5"/>
      <c r="AT37" s="5" t="s">
        <v>36</v>
      </c>
      <c r="AU37" s="6" t="s">
        <v>31</v>
      </c>
      <c r="AV37" s="6" t="s">
        <v>43</v>
      </c>
      <c r="AW37" s="6" t="s">
        <v>30</v>
      </c>
      <c r="AX37" s="5"/>
      <c r="AY37" s="5" t="s">
        <v>36</v>
      </c>
      <c r="AZ37" s="6" t="s">
        <v>31</v>
      </c>
      <c r="BA37" s="6" t="s">
        <v>43</v>
      </c>
      <c r="BB37" s="6" t="s">
        <v>30</v>
      </c>
      <c r="BC37" s="3"/>
      <c r="BD37" s="3" t="s">
        <v>36</v>
      </c>
      <c r="BE37" s="4" t="s">
        <v>31</v>
      </c>
      <c r="BF37" s="4" t="s">
        <v>43</v>
      </c>
      <c r="BG37" s="4" t="s">
        <v>30</v>
      </c>
    </row>
    <row r="38" spans="20:59" x14ac:dyDescent="0.2">
      <c r="U38" s="1">
        <f>AVERAGEIFS($R$2:$R$999,$P$2:$P$999,"&gt;=4.1",$P$2:$P$999,"&lt;=5",$O$2:$O$999,"&lt;=44")</f>
        <v>1.1200583066436725</v>
      </c>
      <c r="V38" s="1">
        <f>AVERAGEIFS($R$2:$R$999,$N$2:$N$999,"&lt;=-5",$P$2:$P$999,"&gt;=4.1",$P$2:$P$999,"&lt;=5",$O$2:$O$999,"&lt;=44")</f>
        <v>0.68888888888888888</v>
      </c>
      <c r="W38" s="1">
        <f>AVERAGEIFS($R$2:$R$999,$N$2:$N$999,"&gt;=-4.5",$N$2:$N$999,"&lt;=4.5",$P$2:$P$999,"&gt;=4.1",$P$2:$P$999,"&lt;=5",$O$2:$O$999,"&lt;=44")</f>
        <v>1.3356430155210643</v>
      </c>
      <c r="X38" s="1" t="e">
        <f>AVERAGEIFS($R$2:$R$999,$N$2:$N$999,"&gt;=5",$P$2:$P$999,"&gt;=4.1",$P$2:$P$999,"&lt;=5",$O$2:$O$999,"&lt;=44")</f>
        <v>#DIV/0!</v>
      </c>
      <c r="Y38" s="8"/>
      <c r="Z38" s="9" t="e">
        <f>AVERAGEIFS($R$2:$R$999,$P$2:$P$999,"&gt;=4.1",$P$2:$P$999,"&lt;=5",$E$2:$E$999,"YES")</f>
        <v>#DIV/0!</v>
      </c>
      <c r="AA38" s="9" t="e">
        <f>AVERAGEIFS($R$2:$R$999,$N$2:$N$999,"&lt;=-5",$P$2:$P$999,"&gt;=4.1",$P$2:$P$999,"&lt;=5",$E$2:$E$999,"YES")</f>
        <v>#DIV/0!</v>
      </c>
      <c r="AB38" s="9" t="e">
        <f>AVERAGEIFS($R$2:$R$999,$N$2:$N$999,"&gt;=-4.5",$N$2:$N$999,"&lt;=4.5",$P$2:$P$999,"&gt;=4.1",$P$2:$P$999,"&lt;=5",$E$2:$E$999,"YES")</f>
        <v>#DIV/0!</v>
      </c>
      <c r="AC38" s="9" t="e">
        <f>AVERAGEIFS($R$2:$R$999,$N$2:$N$999,"&gt;=5",$P$2:$P$999,"&gt;=4.1",$P$2:$P$999,"&lt;=5",$E$2:$E$999,"YES")</f>
        <v>#DIV/0!</v>
      </c>
      <c r="AD38" s="8"/>
      <c r="AE38" s="9" t="e">
        <f>AVERAGEIFS($R$2:$R$999,$P$2:$P$999,"&gt;=4.1",$P$2:$P$999,"&lt;=5",$E$2:$E$999,"YES",$F$2:$F$999,"UP")</f>
        <v>#DIV/0!</v>
      </c>
      <c r="AF38" s="9" t="e">
        <f>AVERAGEIFS($R$2:$R$999,$N$2:$N$999,"&lt;=-5",$P$2:$P$999,"&gt;=4.1",$P$2:$P$999,"&lt;=5",$E$2:$E$999,"YES",$F$2:$F$999,"UP")</f>
        <v>#DIV/0!</v>
      </c>
      <c r="AG38" s="9" t="e">
        <f>AVERAGEIFS($R$2:$R$999,$N$2:$N$999,"&gt;=-4.5",$N$2:$N$999,"&lt;=4.5",$P$2:$P$999,"&gt;=4.1",$P$2:$P$999,"&lt;=5",$E$2:$E$999,"YES",$F$2:$F$999,"UP")</f>
        <v>#DIV/0!</v>
      </c>
      <c r="AH38" s="9" t="e">
        <f>AVERAGEIFS($R$2:$R$999,$N$2:$N$999,"&gt;=5",$P$2:$P$999,"&gt;=4.1",$P$2:$P$999,"&lt;=5",$E$2:$E$999,"YES",$F$2:$F$999,"UP")</f>
        <v>#DIV/0!</v>
      </c>
      <c r="AI38" s="5"/>
      <c r="AJ38" s="6">
        <f>AVERAGEIFS($R$2:$R$999,$P$2:$P$999,"&gt;=4.1",$P$2:$P$999,"&lt;=5",$O$2:$O$999,"&lt;=44",$C$2:$C$999,"&gt;=0.01")</f>
        <v>1.1200583066436725</v>
      </c>
      <c r="AK38" s="6">
        <f>AVERAGEIFS($R$2:$R$999,$N$2:$N$999,"&lt;=-5",$P$2:$P$999,"&gt;=4.1",$P$2:$P$999,"&lt;=5",$O$2:$O$999,"&lt;=44",$C$2:$C$999,"&gt;=0.01")</f>
        <v>0.68888888888888888</v>
      </c>
      <c r="AL38" s="6">
        <f>AVERAGEIFS($R$2:$R$999,$N$2:$N$999,"&gt;=-4.5",$N$2:$N$999,"&lt;=4.5",$P$2:$P$999,"&gt;=4.1",$P$2:$P$999,"&lt;=5",$O$2:$O$999,"&lt;=44",$C$2:$C$999,"&gt;=0.01")</f>
        <v>1.3356430155210643</v>
      </c>
      <c r="AM38" s="6" t="e">
        <f>AVERAGEIFS($R$2:$R$999,$N$2:$N$999,"&gt;=5",$P$2:$P$999,"&gt;=4.1",$P$2:$P$999,"&lt;=5",$O$2:$O$999,"&lt;=44",$C$2:$C$999,"&gt;=0.01")</f>
        <v>#DIV/0!</v>
      </c>
      <c r="AN38" s="5"/>
      <c r="AO38" s="6" t="e">
        <f>AVERAGEIFS($R$2:$R$999,$P$2:$P$999,"&gt;=4.1",$P$2:$P$999,"&lt;=5",$E$2:$E$999,"YES",$C$2:$C$999,"&gt;=0.01")</f>
        <v>#DIV/0!</v>
      </c>
      <c r="AP38" s="6" t="e">
        <f>AVERAGEIFS($R$2:$R$999,$N$2:$N$999,"&lt;=-5",$P$2:$P$999,"&gt;=4.1",$P$2:$P$999,"&lt;=5",$E$2:$E$999,"YES",$C$2:$C$999,"&gt;=0.01")</f>
        <v>#DIV/0!</v>
      </c>
      <c r="AQ38" s="6" t="e">
        <f>AVERAGEIFS($R$2:$R$999,$N$2:$N$999,"&gt;=-4.5",$N$2:$N$999,"&lt;=4.5",$P$2:$P$999,"&gt;=4.1",$P$2:$P$999,"&lt;=5",$E$2:$E$999,"YES",$C$2:$C$999,"&gt;=0.01")</f>
        <v>#DIV/0!</v>
      </c>
      <c r="AR38" s="6" t="e">
        <f>AVERAGEIFS($R$2:$R$999,$N$2:$N$999,"&gt;=5",$P$2:$P$999,"&gt;=4.1",$P$2:$P$999,"&lt;=5",$E$2:$E$999,"YES",$C$2:$C$999,"&gt;=0.01")</f>
        <v>#DIV/0!</v>
      </c>
      <c r="AS38" s="5"/>
      <c r="AT38" s="6" t="e">
        <f>AVERAGEIFS($R$2:$R$999,$P$2:$P$999,"&gt;=4.1",$P$2:$P$999,"&lt;=5",$E$2:$E$999,"YES",$F$2:$F$999,"UP",$C$2:$C$999,"&gt;=0.01")</f>
        <v>#DIV/0!</v>
      </c>
      <c r="AU38" s="6" t="e">
        <f>AVERAGEIFS($R$2:$R$999,$N$2:$N$999,"&lt;=-5",$P$2:$P$999,"&gt;=4.1",$P$2:$P$999,"&lt;=5",$E$2:$E$999,"YES",$F$2:$F$999,"UP",$C$2:$C$999,"&gt;=0.01")</f>
        <v>#DIV/0!</v>
      </c>
      <c r="AV38" s="6" t="e">
        <f>AVERAGEIFS($R$2:$R$999,$N$2:$N$999,"&gt;=-4.5",$N$2:$N$999,"&lt;=4.5",$P$2:$P$999,"&gt;=4.1",$P$2:$P$999,"&lt;=5",$E$2:$E$999,"YES",$F$2:$F$999,"UP",$C$2:$C$999,"&gt;=0.01")</f>
        <v>#DIV/0!</v>
      </c>
      <c r="AW38" s="6" t="e">
        <f>AVERAGEIFS($R$2:$R$999,$N$2:$N$999,"&gt;=5",$P$2:$P$999,"&gt;=4.1",$P$2:$P$999,"&lt;=5",$E$2:$E$999,"YES",$F$2:$F$999,"UP",$C$2:$C$999,"&gt;=0.01")</f>
        <v>#DIV/0!</v>
      </c>
      <c r="AX38" s="5"/>
      <c r="AY38" s="6">
        <f>AVERAGEIFS($R$2:$R$999,$P$2:$P$999,"&gt;=4.1",$P$2:$P$999,"&lt;=5",$C$2:$C$999,"&lt;=9.4",$C$2:$C$999,"&gt;=0.01")</f>
        <v>1.0850437299827544</v>
      </c>
      <c r="AZ38" s="6">
        <f>AVERAGEIFS($R$2:$R$999,$N$2:$N$999,"&lt;=-5",$P$2:$P$999,"&gt;=4.1",$P$2:$P$999,"&lt;=5",$C$2:$C$999,"&lt;=9.4",$C$2:$C$999,"&gt;=0.01")</f>
        <v>0.68888888888888888</v>
      </c>
      <c r="BA38" s="6">
        <f>AVERAGEIFS($R$2:$R$999,$N$2:$N$999,"&gt;=-4.5",$N$2:$N$999,"&lt;=4.5",$P$2:$P$999,"&gt;=4.1",$P$2:$P$999,"&lt;=5",$C$2:$C$999,"&lt;=9.4",$C$2:$C$999,"&gt;=0.01")</f>
        <v>1.2170953436807095</v>
      </c>
      <c r="BB38" s="6" t="e">
        <f>AVERAGEIFS($R$2:$R$999,$N$2:$N$999,"&gt;=5",$P$2:$P$999,"&gt;=4.1",$P$2:$P$999,"&lt;=5",$C$2:$C$999,"&lt;=9.4",$C$2:$C$999,"&gt;=0.01")</f>
        <v>#DIV/0!</v>
      </c>
      <c r="BC38" s="3"/>
      <c r="BD38" s="4" t="e">
        <f>AVERAGEIFS($R$2:$R$999,$P$2:$P$999,"&gt;=4.1",$P$2:$P$999,"&lt;=5",$J$2:$J$999,"YES")</f>
        <v>#DIV/0!</v>
      </c>
      <c r="BE38" s="4" t="e">
        <f>AVERAGEIFS($R$2:$R$999,$N$2:$N$999,"&lt;=-5",$P$2:$P$999,"&gt;=4.1",$P$2:$P$999,"&lt;=5",$J$2:$J$999,"YES")</f>
        <v>#DIV/0!</v>
      </c>
      <c r="BF38" s="4" t="e">
        <f>AVERAGEIFS($R$2:$R$999,$N$2:$N$999,"&gt;=-4.5",$N$2:$N$999,"&lt;=4.5",$P$2:$P$999,"&gt;=4.1",$P$2:$P$999,"&lt;=5",$J$2:$J$999,"YES")</f>
        <v>#DIV/0!</v>
      </c>
      <c r="BG38" s="4" t="e">
        <f>AVERAGEIFS($R$2:$R$999,$N$2:$N$999,"&gt;=5",$P$2:$P$999,"&gt;=4.1",$P$2:$P$999,"&lt;=5",$J$2:$J$999,"YES")</f>
        <v>#DIV/0!</v>
      </c>
    </row>
    <row r="39" spans="20:59" x14ac:dyDescent="0.2">
      <c r="U39" s="1"/>
      <c r="V39" s="1"/>
      <c r="W39" s="1"/>
      <c r="X39" s="1"/>
      <c r="Y39" s="8"/>
      <c r="Z39" s="9"/>
      <c r="AA39" s="9"/>
      <c r="AB39" s="9"/>
      <c r="AC39" s="9"/>
      <c r="AD39" s="8"/>
      <c r="AE39" s="9"/>
      <c r="AF39" s="9"/>
      <c r="AG39" s="9"/>
      <c r="AH39" s="9"/>
      <c r="AI39" s="5"/>
      <c r="AJ39" s="6"/>
      <c r="AK39" s="6"/>
      <c r="AL39" s="6"/>
      <c r="AM39" s="6"/>
      <c r="AN39" s="5"/>
      <c r="AO39" s="6"/>
      <c r="AP39" s="6"/>
      <c r="AQ39" s="6"/>
      <c r="AR39" s="6"/>
      <c r="AS39" s="5"/>
      <c r="AT39" s="6"/>
      <c r="AU39" s="6"/>
      <c r="AV39" s="6"/>
      <c r="AW39" s="6"/>
      <c r="AX39" s="5"/>
      <c r="AY39" s="6"/>
      <c r="AZ39" s="6"/>
      <c r="BA39" s="6"/>
      <c r="BB39" s="6"/>
      <c r="BC39" s="3"/>
      <c r="BD39" s="4"/>
      <c r="BE39" s="4"/>
      <c r="BF39" s="4"/>
      <c r="BG39" s="4"/>
    </row>
    <row r="40" spans="20:59" x14ac:dyDescent="0.2">
      <c r="T40" t="s">
        <v>40</v>
      </c>
      <c r="U40" s="1" t="s">
        <v>34</v>
      </c>
      <c r="V40" s="1" t="s">
        <v>31</v>
      </c>
      <c r="W40" s="1" t="s">
        <v>43</v>
      </c>
      <c r="X40" s="1" t="s">
        <v>30</v>
      </c>
      <c r="Y40" s="8"/>
      <c r="Z40" s="8" t="s">
        <v>37</v>
      </c>
      <c r="AA40" s="9" t="s">
        <v>31</v>
      </c>
      <c r="AB40" s="9" t="s">
        <v>43</v>
      </c>
      <c r="AC40" s="9" t="s">
        <v>30</v>
      </c>
      <c r="AD40" s="8"/>
      <c r="AE40" s="8" t="s">
        <v>37</v>
      </c>
      <c r="AF40" s="9" t="s">
        <v>31</v>
      </c>
      <c r="AG40" s="9" t="s">
        <v>43</v>
      </c>
      <c r="AH40" s="9" t="s">
        <v>30</v>
      </c>
      <c r="AI40" s="5" t="s">
        <v>40</v>
      </c>
      <c r="AJ40" s="6" t="s">
        <v>34</v>
      </c>
      <c r="AK40" s="6" t="s">
        <v>31</v>
      </c>
      <c r="AL40" s="6" t="s">
        <v>43</v>
      </c>
      <c r="AM40" s="6" t="s">
        <v>30</v>
      </c>
      <c r="AN40" s="5"/>
      <c r="AO40" s="5" t="s">
        <v>37</v>
      </c>
      <c r="AP40" s="6" t="s">
        <v>31</v>
      </c>
      <c r="AQ40" s="6" t="s">
        <v>43</v>
      </c>
      <c r="AR40" s="6" t="s">
        <v>30</v>
      </c>
      <c r="AS40" s="5"/>
      <c r="AT40" s="5" t="s">
        <v>37</v>
      </c>
      <c r="AU40" s="6" t="s">
        <v>31</v>
      </c>
      <c r="AV40" s="6" t="s">
        <v>43</v>
      </c>
      <c r="AW40" s="6" t="s">
        <v>30</v>
      </c>
      <c r="AX40" s="5"/>
      <c r="AY40" s="5" t="s">
        <v>37</v>
      </c>
      <c r="AZ40" s="6" t="s">
        <v>31</v>
      </c>
      <c r="BA40" s="6" t="s">
        <v>43</v>
      </c>
      <c r="BB40" s="6" t="s">
        <v>30</v>
      </c>
      <c r="BC40" s="3"/>
      <c r="BD40" s="3" t="s">
        <v>37</v>
      </c>
      <c r="BE40" s="4" t="s">
        <v>31</v>
      </c>
      <c r="BF40" s="4" t="s">
        <v>43</v>
      </c>
      <c r="BG40" s="4" t="s">
        <v>30</v>
      </c>
    </row>
    <row r="41" spans="20:59" x14ac:dyDescent="0.2">
      <c r="U41" s="1" t="e">
        <f>AVERAGEIFS($R$2:$R$999,$P$2:$P$999,"&gt;=5.1",$P$2:$P$999,"&lt;=6.2",$O$2:$O$999,"&lt;=44")</f>
        <v>#DIV/0!</v>
      </c>
      <c r="V41" s="1" t="e">
        <f>AVERAGEIFS($R$2:$R$999,$N$2:$N$999,"&lt;=-5",$P$2:$P$999,"&gt;=5.1",$P$2:$P$999,"&lt;=6.2",$O$2:$O$999,"&lt;=44")</f>
        <v>#DIV/0!</v>
      </c>
      <c r="W41" s="1" t="e">
        <f>AVERAGEIFS($R$2:$R$999,$N$2:$N$999,"&gt;=-4.5",$N$2:$N$999,"&lt;=4.5",$P$2:$P$999,"&gt;=5.1",$P$2:$P$999,"&lt;=6.2",$O$2:$O$999,"&lt;=44")</f>
        <v>#DIV/0!</v>
      </c>
      <c r="X41" s="1" t="e">
        <f>AVERAGEIFS($R$2:$R$999,$N$2:$N$999,"&gt;=5",$P$2:$P$999,"&gt;=5.1",$P$2:$P$999,"&lt;=6.2",$O$2:$O$999,"&lt;=44")</f>
        <v>#DIV/0!</v>
      </c>
      <c r="Y41" s="8"/>
      <c r="Z41" s="9" t="e">
        <f>AVERAGEIFS($R$2:$R$999,$P$2:$P$999,"&gt;=5.1",$P$2:$P$999,"&lt;=6.2",$E$2:$E$999,"YES")</f>
        <v>#DIV/0!</v>
      </c>
      <c r="AA41" s="9" t="e">
        <f>AVERAGEIFS($R$2:$R$999,$N$2:$N$999,"&lt;=-5",$P$2:$P$999,"&gt;=5.1",$P$2:$P$999,"&lt;=6.2",$E$2:$E$999,"YES")</f>
        <v>#DIV/0!</v>
      </c>
      <c r="AB41" s="9" t="e">
        <f>AVERAGEIFS($R$2:$R$999,$N$2:$N$999,"&gt;=-4.5",$N$2:$N$999,"&lt;=4.5",$P$2:$P$999,"&gt;=5.1",$P$2:$P$999,"&lt;=6.2",$E$2:$E$999,"YES")</f>
        <v>#DIV/0!</v>
      </c>
      <c r="AC41" s="9" t="e">
        <f>AVERAGEIFS($R$2:$R$999,$N$2:$N$999,"&gt;=5",$P$2:$P$999,"&gt;=5.1",$P$2:$P$999,"&lt;=6.2",$E$2:$E$999,"YES")</f>
        <v>#DIV/0!</v>
      </c>
      <c r="AD41" s="8"/>
      <c r="AE41" s="9" t="e">
        <f>AVERAGEIFS($R$2:$R$999,$P$2:$P$999,"&gt;=5.1",$P$2:$P$999,"&lt;=6.2",$E$2:$E$999,"YES",$F$2:$F$999,"UP")</f>
        <v>#DIV/0!</v>
      </c>
      <c r="AF41" s="9" t="e">
        <f>AVERAGEIFS($R$2:$R$999,$N$2:$N$999,"&lt;=-5",$P$2:$P$999,"&gt;=5.1",$P$2:$P$999,"&lt;=6.2",$E$2:$E$999,"YES",$F$2:$F$999,"UP")</f>
        <v>#DIV/0!</v>
      </c>
      <c r="AG41" s="9" t="e">
        <f>AVERAGEIFS($R$2:$R$999,$N$2:$N$999,"&gt;=-4.5",$N$2:$N$999,"&lt;=4.5",$P$2:$P$999,"&gt;=5.1",$P$2:$P$999,"&lt;=6.2",$E$2:$E$999,"YES",$F$2:$F$999,"UP")</f>
        <v>#DIV/0!</v>
      </c>
      <c r="AH41" s="9" t="e">
        <f>AVERAGEIFS($R$2:$R$999,$N$2:$N$999,"&gt;=5",$P$2:$P$999,"&gt;=5.1",$P$2:$P$999,"&lt;=6.2",$E$2:$E$999,"YES",$F$2:$F$999,"UP")</f>
        <v>#DIV/0!</v>
      </c>
      <c r="AI41" s="5"/>
      <c r="AJ41" s="6" t="e">
        <f>AVERAGEIFS($R$2:$R$999,$P$2:$P$999,"&gt;=5.1",$P$2:$P$999,"&lt;=6.2",$O$2:$O$999,"&lt;=44",$C$2:$C$999,"&gt;=0.01")</f>
        <v>#DIV/0!</v>
      </c>
      <c r="AK41" s="6" t="e">
        <f>AVERAGEIFS($R$2:$R$999,$N$2:$N$999,"&lt;=-5",$P$2:$P$999,"&gt;=5.1",$P$2:$P$999,"&lt;=6.2",$O$2:$O$999,"&lt;=44",$C$2:$C$999,"&gt;=0.01")</f>
        <v>#DIV/0!</v>
      </c>
      <c r="AL41" s="6" t="e">
        <f>AVERAGEIFS($R$2:$R$999,$N$2:$N$999,"&gt;=-4.5",$N$2:$N$999,"&lt;=4.5",$P$2:$P$999,"&gt;=5.1",$P$2:$P$999,"&lt;=6.2",$O$2:$O$999,"&lt;=44",$C$2:$C$999,"&gt;=0.01")</f>
        <v>#DIV/0!</v>
      </c>
      <c r="AM41" s="6" t="e">
        <f>AVERAGEIFS($R$2:$R$999,$N$2:$N$999,"&gt;=5",$P$2:$P$999,"&gt;=5.1",$P$2:$P$999,"&lt;=6.2",$O$2:$O$999,"&lt;=44",$C$2:$C$999,"&gt;=0.01")</f>
        <v>#DIV/0!</v>
      </c>
      <c r="AN41" s="5"/>
      <c r="AO41" s="6" t="e">
        <f>AVERAGEIFS($R$2:$R$999,$P$2:$P$999,"&gt;=5.1",$P$2:$P$999,"&lt;=6.2",$E$2:$E$999,"YES",$C$2:$C$999,"&gt;=0.01")</f>
        <v>#DIV/0!</v>
      </c>
      <c r="AP41" s="6" t="e">
        <f>AVERAGEIFS($R$2:$R$999,$N$2:$N$999,"&lt;=-5",$P$2:$P$999,"&gt;=5.1",$P$2:$P$999,"&lt;=6.2",$E$2:$E$999,"YES",$C$2:$C$999,"&gt;=0.01")</f>
        <v>#DIV/0!</v>
      </c>
      <c r="AQ41" s="6" t="e">
        <f>AVERAGEIFS($R$2:$R$999,$N$2:$N$999,"&gt;=-4.5",$N$2:$N$999,"&lt;=4.5",$P$2:$P$999,"&gt;=5.1",$P$2:$P$999,"&lt;=6.2",$E$2:$E$999,"YES",$C$2:$C$999,"&gt;=0.01")</f>
        <v>#DIV/0!</v>
      </c>
      <c r="AR41" s="6" t="e">
        <f>AVERAGEIFS($R$2:$R$999,$N$2:$N$999,"&gt;=5",$P$2:$P$999,"&gt;=5.1",$P$2:$P$999,"&lt;=6.2",$E$2:$E$999,"YES",$C$2:$C$999,"&gt;=0.01")</f>
        <v>#DIV/0!</v>
      </c>
      <c r="AS41" s="5"/>
      <c r="AT41" s="6" t="e">
        <f>AVERAGEIFS($R$2:$R$999,$P$2:$P$999,"&gt;=5.1",$P$2:$P$999,"&lt;=6.2",$E$2:$E$999,"YES",$F$2:$F$999,"UP",$C$2:$C$999,"&gt;=0.01")</f>
        <v>#DIV/0!</v>
      </c>
      <c r="AU41" s="6" t="e">
        <f>AVERAGEIFS($R$2:$R$999,$N$2:$N$999,"&lt;=-5",$P$2:$P$999,"&gt;=5.1",$P$2:$P$999,"&lt;=6.2",$E$2:$E$999,"YES",$F$2:$F$999,"UP",$C$2:$C$999,"&gt;=0.01")</f>
        <v>#DIV/0!</v>
      </c>
      <c r="AV41" s="6" t="e">
        <f>AVERAGEIFS($R$2:$R$999,$N$2:$N$999,"&gt;=-4.5",$N$2:$N$999,"&lt;=4.5",$P$2:$P$999,"&gt;=5.1",$P$2:$P$999,"&lt;=6.2",$E$2:$E$999,"YES",$F$2:$F$999,"UP",$C$2:$C$999,"&gt;=0.01")</f>
        <v>#DIV/0!</v>
      </c>
      <c r="AW41" s="6" t="e">
        <f>AVERAGEIFS($R$2:$R$999,$N$2:$N$999,"&gt;=5",$P$2:$P$999,"&gt;=5.1",$P$2:$P$999,"&lt;=6.2",$E$2:$E$999,"YES",$F$2:$F$999,"UP",$C$2:$C$999,"&gt;=0.01")</f>
        <v>#DIV/0!</v>
      </c>
      <c r="AX41" s="5"/>
      <c r="AY41" s="6" t="e">
        <f>AVERAGEIFS($R$2:$R$999,$P$2:$P$999,"&gt;=5.1",$P$2:$P$999,"&lt;=6.2",$C$2:$C$999,"&lt;=9.4",$C$2:$C$999,"&gt;=0.01")</f>
        <v>#DIV/0!</v>
      </c>
      <c r="AZ41" s="6" t="e">
        <f>AVERAGEIFS($R$2:$R$999,$N$2:$N$999,"&lt;=-5",$P$2:$P$999,"&gt;=5.1",$P$2:$P$999,"&lt;=6.2",$C$2:$C$999,"&lt;=9.4",$C$2:$C$999,"&gt;=0.01")</f>
        <v>#DIV/0!</v>
      </c>
      <c r="BA41" s="6" t="e">
        <f>AVERAGEIFS($R$2:$R$999,$N$2:$N$999,"&gt;=-4.5",$N$2:$N$999,"&lt;=4.5",$P$2:$P$999,"&gt;=5.1",$P$2:$P$999,"&lt;=6.2",$C$2:$C$999,"&lt;=9.4",$C$2:$C$999,"&gt;=0.01")</f>
        <v>#DIV/0!</v>
      </c>
      <c r="BB41" s="6" t="e">
        <f>AVERAGEIFS($R$2:$R$999,$N$2:$N$999,"&gt;=5",$P$2:$P$999,"&gt;=5.1",$P$2:$P$999,"&lt;=6.2",$C$2:$C$999,"&lt;=9.4",$C$2:$C$999,"&gt;=0.01")</f>
        <v>#DIV/0!</v>
      </c>
      <c r="BC41" s="3"/>
      <c r="BD41" s="4" t="e">
        <f>AVERAGEIFS($R$2:$R$999,$P$2:$P$999,"&gt;=5.1",$P$2:$P$999,"&lt;=6.2",$J$2:$J$999,"YES")</f>
        <v>#DIV/0!</v>
      </c>
      <c r="BE41" s="4" t="e">
        <f>AVERAGEIFS($R$2:$R$999,$N$2:$N$999,"&lt;=-5",$P$2:$P$999,"&gt;=5.1",$P$2:$P$999,"&lt;=6.2",$J$2:$J$999,"YES")</f>
        <v>#DIV/0!</v>
      </c>
      <c r="BF41" s="4" t="e">
        <f>AVERAGEIFS($R$2:$R$999,$N$2:$N$999,"&gt;=-4.5",$N$2:$N$999,"&lt;=4.5",$P$2:$P$999,"&gt;=5.1",$P$2:$P$999,"&lt;=6.2",$J$2:$J$999,"YES")</f>
        <v>#DIV/0!</v>
      </c>
      <c r="BG41" s="4" t="e">
        <f>AVERAGEIFS($R$2:$R$999,$N$2:$N$999,"&gt;=5",$P$2:$P$999,"&gt;=5.1",$P$2:$P$999,"&lt;=6.2",$J$2:$J$999,"YES")</f>
        <v>#DIV/0!</v>
      </c>
    </row>
    <row r="42" spans="20:59" x14ac:dyDescent="0.2">
      <c r="U42" s="1"/>
      <c r="V42" s="1"/>
      <c r="W42" s="1"/>
      <c r="X42" s="1"/>
      <c r="Y42" s="8"/>
      <c r="Z42" s="9"/>
      <c r="AA42" s="9"/>
      <c r="AB42" s="9"/>
      <c r="AC42" s="9"/>
      <c r="AD42" s="8"/>
      <c r="AE42" s="9"/>
      <c r="AF42" s="9"/>
      <c r="AG42" s="9"/>
      <c r="AH42" s="9"/>
      <c r="AI42" s="5"/>
      <c r="AJ42" s="6"/>
      <c r="AK42" s="6"/>
      <c r="AL42" s="6"/>
      <c r="AM42" s="6"/>
      <c r="AN42" s="5"/>
      <c r="AO42" s="6"/>
      <c r="AP42" s="6"/>
      <c r="AQ42" s="6"/>
      <c r="AR42" s="6"/>
      <c r="AS42" s="5"/>
      <c r="AT42" s="6"/>
      <c r="AU42" s="6"/>
      <c r="AV42" s="6"/>
      <c r="AW42" s="6"/>
      <c r="AX42" s="5"/>
      <c r="AY42" s="6"/>
      <c r="AZ42" s="6"/>
      <c r="BA42" s="6"/>
      <c r="BB42" s="6"/>
      <c r="BC42" s="3"/>
      <c r="BD42" s="4"/>
      <c r="BE42" s="4"/>
      <c r="BF42" s="4"/>
      <c r="BG42" s="4"/>
    </row>
    <row r="43" spans="20:59" x14ac:dyDescent="0.2">
      <c r="T43" t="s">
        <v>40</v>
      </c>
      <c r="U43" s="1" t="s">
        <v>35</v>
      </c>
      <c r="V43" s="1" t="s">
        <v>31</v>
      </c>
      <c r="W43" s="1" t="s">
        <v>43</v>
      </c>
      <c r="X43" s="1" t="s">
        <v>30</v>
      </c>
      <c r="Y43" s="8"/>
      <c r="Z43" s="8" t="s">
        <v>35</v>
      </c>
      <c r="AA43" s="9" t="s">
        <v>31</v>
      </c>
      <c r="AB43" s="9" t="s">
        <v>43</v>
      </c>
      <c r="AC43" s="9" t="s">
        <v>30</v>
      </c>
      <c r="AD43" s="8"/>
      <c r="AE43" s="8" t="s">
        <v>35</v>
      </c>
      <c r="AF43" s="9" t="s">
        <v>31</v>
      </c>
      <c r="AG43" s="9" t="s">
        <v>43</v>
      </c>
      <c r="AH43" s="9" t="s">
        <v>30</v>
      </c>
      <c r="AI43" s="5" t="s">
        <v>40</v>
      </c>
      <c r="AJ43" s="6" t="s">
        <v>35</v>
      </c>
      <c r="AK43" s="6" t="s">
        <v>31</v>
      </c>
      <c r="AL43" s="6" t="s">
        <v>43</v>
      </c>
      <c r="AM43" s="6" t="s">
        <v>30</v>
      </c>
      <c r="AN43" s="5"/>
      <c r="AO43" s="5" t="s">
        <v>35</v>
      </c>
      <c r="AP43" s="6" t="s">
        <v>31</v>
      </c>
      <c r="AQ43" s="6" t="s">
        <v>43</v>
      </c>
      <c r="AR43" s="6" t="s">
        <v>30</v>
      </c>
      <c r="AS43" s="5"/>
      <c r="AT43" s="5" t="s">
        <v>35</v>
      </c>
      <c r="AU43" s="6" t="s">
        <v>31</v>
      </c>
      <c r="AV43" s="6" t="s">
        <v>43</v>
      </c>
      <c r="AW43" s="6" t="s">
        <v>30</v>
      </c>
      <c r="AX43" s="5"/>
      <c r="AY43" s="5" t="s">
        <v>35</v>
      </c>
      <c r="AZ43" s="6" t="s">
        <v>31</v>
      </c>
      <c r="BA43" s="6" t="s">
        <v>43</v>
      </c>
      <c r="BB43" s="6" t="s">
        <v>30</v>
      </c>
      <c r="BC43" s="3"/>
      <c r="BD43" s="3" t="s">
        <v>35</v>
      </c>
      <c r="BE43" s="4" t="s">
        <v>31</v>
      </c>
      <c r="BF43" s="4" t="s">
        <v>43</v>
      </c>
      <c r="BG43" s="4" t="s">
        <v>30</v>
      </c>
    </row>
    <row r="44" spans="20:59" x14ac:dyDescent="0.2">
      <c r="U44" s="1" t="e">
        <f>AVERAGEIFS($R$2:$R$999,$P$2:$P$999,"&gt;=6.3",$O$2:$O$999,"&lt;=44")</f>
        <v>#DIV/0!</v>
      </c>
      <c r="V44" s="1" t="e">
        <f>AVERAGEIFS($R$2:$R$999,$N$2:$N$999,"&lt;=-5",$P$2:$P$999,"&gt;=6.3",$O$2:$O$999,"&lt;=44")</f>
        <v>#DIV/0!</v>
      </c>
      <c r="W44" s="1" t="e">
        <f>AVERAGEIFS($R$2:$R$999,$N$2:$N$999,"&gt;=-4.5",$N$2:$N$999,"&lt;=4.5",$P$2:$P$999,"&gt;=6.3",$O$2:$O$999,"&lt;=44")</f>
        <v>#DIV/0!</v>
      </c>
      <c r="X44" s="1" t="e">
        <f>AVERAGEIFS($R$2:$R$999,$N$2:$N$999,"&gt;=5",$P$2:$P$999,"&gt;=6.3",$O$2:$O$999,"&lt;=44")</f>
        <v>#DIV/0!</v>
      </c>
      <c r="Y44" s="8"/>
      <c r="Z44" s="9" t="e">
        <f>AVERAGEIFS($R$2:$R$999,$P$2:$P$999,"&gt;=6.3",$E$2:$E$999,"YES")</f>
        <v>#DIV/0!</v>
      </c>
      <c r="AA44" s="9" t="e">
        <f>AVERAGEIFS($R$2:$R$999,$N$2:$N$999,"&lt;=-5",$P$2:$P$999,"&gt;=6.3",$E$2:$E$999,"YES")</f>
        <v>#DIV/0!</v>
      </c>
      <c r="AB44" s="9" t="e">
        <f>AVERAGEIFS($R$2:$R$999,$N$2:$N$999,"&gt;=-4.5",$N$2:$N$999,"&lt;=4.5",$P$2:$P$999,"&gt;=6.3",$E$2:$E$999,"YES")</f>
        <v>#DIV/0!</v>
      </c>
      <c r="AC44" s="9" t="e">
        <f>AVERAGEIFS($R$2:$R$999,$N$2:$N$999,"&gt;=5",$P$2:$P$999,"&gt;=6.3",$E$2:$E$999,"YES")</f>
        <v>#DIV/0!</v>
      </c>
      <c r="AD44" s="8"/>
      <c r="AE44" s="9" t="e">
        <f>AVERAGEIFS($R$2:$R$999,$P$2:$P$999,"&gt;=6.3",$E$2:$E$999,"YES",$F$2:$F$999,"UP")</f>
        <v>#DIV/0!</v>
      </c>
      <c r="AF44" s="9" t="e">
        <f>AVERAGEIFS($R$2:$R$999,$N$2:$N$999,"&lt;=-5",$P$2:$P$999,"&gt;=6.3",$E$2:$E$999,"YES",$F$2:$F$999,"UP")</f>
        <v>#DIV/0!</v>
      </c>
      <c r="AG44" s="9" t="e">
        <f>AVERAGEIFS($R$2:$R$999,$N$2:$N$999,"&gt;=-4.5",$N$2:$N$999,"&lt;=4.5",$P$2:$P$999,"&gt;=6.3",$E$2:$E$999,"YES",$F$2:$F$999,"UP")</f>
        <v>#DIV/0!</v>
      </c>
      <c r="AH44" s="9" t="e">
        <f>AVERAGEIFS($R$2:$R$999,$N$2:$N$999,"&gt;=5",$P$2:$P$999,"&gt;=6.3",$E$2:$E$999,"YES",$F$2:$F$999,"UP")</f>
        <v>#DIV/0!</v>
      </c>
      <c r="AI44" s="5"/>
      <c r="AJ44" s="6" t="e">
        <f>AVERAGEIFS($R$2:$R$999,$P$2:$P$999,"&gt;=6.3",$O$2:$O$999,"&lt;=44",$C$2:$C$999,"&gt;=0.01")</f>
        <v>#DIV/0!</v>
      </c>
      <c r="AK44" s="6" t="e">
        <f>AVERAGEIFS($R$2:$R$999,$N$2:$N$999,"&lt;=-5",$P$2:$P$999,"&gt;=6.3",$O$2:$O$999,"&lt;=44",$C$2:$C$999,"&gt;=0.01")</f>
        <v>#DIV/0!</v>
      </c>
      <c r="AL44" s="6" t="e">
        <f>AVERAGEIFS($R$2:$R$999,$N$2:$N$999,"&gt;=-4.5",$N$2:$N$999,"&lt;=4.5",$P$2:$P$999,"&gt;=6.3",$O$2:$O$999,"&lt;=44",$C$2:$C$999,"&gt;=0.01")</f>
        <v>#DIV/0!</v>
      </c>
      <c r="AM44" s="6" t="e">
        <f>AVERAGEIFS($R$2:$R$999,$N$2:$N$999,"&gt;=5",$P$2:$P$999,"&gt;=6.3",$O$2:$O$999,"&lt;=44",$C$2:$C$999,"&gt;=0.01")</f>
        <v>#DIV/0!</v>
      </c>
      <c r="AN44" s="5"/>
      <c r="AO44" s="6" t="e">
        <f>AVERAGEIFS($R$2:$R$999,$P$2:$P$999,"&gt;=6.3",$E$2:$E$999,"YES",$C$2:$C$999,"&gt;=0.01")</f>
        <v>#DIV/0!</v>
      </c>
      <c r="AP44" s="6" t="e">
        <f>AVERAGEIFS($R$2:$R$999,$N$2:$N$999,"&lt;=-5",$P$2:$P$999,"&gt;=6.3",$E$2:$E$999,"YES",$C$2:$C$999,"&gt;=0.01")</f>
        <v>#DIV/0!</v>
      </c>
      <c r="AQ44" s="6" t="e">
        <f>AVERAGEIFS($R$2:$R$999,$N$2:$N$999,"&gt;=-4.5",$N$2:$N$999,"&lt;=4.5",$P$2:$P$999,"&gt;=6.3",$E$2:$E$999,"YES",$C$2:$C$999,"&gt;=0.01")</f>
        <v>#DIV/0!</v>
      </c>
      <c r="AR44" s="6" t="e">
        <f>AVERAGEIFS($R$2:$R$999,$N$2:$N$999,"&gt;=5",$P$2:$P$999,"&gt;=6.3",$E$2:$E$999,"YES",$C$2:$C$999,"&gt;=0.01")</f>
        <v>#DIV/0!</v>
      </c>
      <c r="AS44" s="5"/>
      <c r="AT44" s="6" t="e">
        <f>AVERAGEIFS($R$2:$R$999,$P$2:$P$999,"&gt;=6.3",$E$2:$E$999,"YES",$F$2:$F$999,"UP",$C$2:$C$999,"&gt;=0.01")</f>
        <v>#DIV/0!</v>
      </c>
      <c r="AU44" s="6" t="e">
        <f>AVERAGEIFS($R$2:$R$999,$N$2:$N$999,"&lt;=-5",$P$2:$P$999,"&gt;=6.3",$E$2:$E$999,"YES",$F$2:$F$999,"UP",$C$2:$C$999,"&gt;=0.01")</f>
        <v>#DIV/0!</v>
      </c>
      <c r="AV44" s="6" t="e">
        <f>AVERAGEIFS($R$2:$R$999,$N$2:$N$999,"&gt;=-4.5",$N$2:$N$999,"&lt;=4.5",$P$2:$P$999,"&gt;=6.3",$E$2:$E$999,"YES",$F$2:$F$999,"UP",$C$2:$C$999,"&gt;=0.01")</f>
        <v>#DIV/0!</v>
      </c>
      <c r="AW44" s="6" t="e">
        <f>AVERAGEIFS($R$2:$R$999,$N$2:$N$999,"&gt;=5",$P$2:$P$999,"&gt;=6.3",$E$2:$E$999,"YES",$F$2:$F$999,"UP",$C$2:$C$999,"&gt;=0.01")</f>
        <v>#DIV/0!</v>
      </c>
      <c r="AX44" s="5"/>
      <c r="AY44" s="6" t="e">
        <f>AVERAGEIFS($R$2:$R$999,$P$2:$P$999,"&gt;=6.3",$C$2:$C$999,"&lt;=9.4",$C$2:$C$999,"&gt;=0.01")</f>
        <v>#DIV/0!</v>
      </c>
      <c r="AZ44" s="6" t="e">
        <f>AVERAGEIFS($R$2:$R$999,$N$2:$N$999,"&lt;=-5",$P$2:$P$999,"&gt;=6.3",$C$2:$C$999,"&lt;=9.4",$C$2:$C$999,"&gt;=0.01")</f>
        <v>#DIV/0!</v>
      </c>
      <c r="BA44" s="6" t="e">
        <f>AVERAGEIFS($R$2:$R$999,$N$2:$N$999,"&gt;=-4.5",$N$2:$N$999,"&lt;=4.5",$P$2:$P$999,"&gt;=6.3",$C$2:$C$999,"&lt;=9.4",$C$2:$C$999,"&gt;=0.01")</f>
        <v>#DIV/0!</v>
      </c>
      <c r="BB44" s="6" t="e">
        <f>AVERAGEIFS($R$2:$R$999,$N$2:$N$999,"&gt;=5",$P$2:$P$999,"&gt;=6.3",$C$2:$C$999,"&lt;=9.4",$C$2:$C$999,"&gt;=0.01")</f>
        <v>#DIV/0!</v>
      </c>
      <c r="BC44" s="3"/>
      <c r="BD44" s="4" t="e">
        <f>AVERAGEIFS($R$2:$R$999,$P$2:$P$999,"&gt;=6.3",$J$2:$J$999,"YES")</f>
        <v>#DIV/0!</v>
      </c>
      <c r="BE44" s="4" t="e">
        <f>AVERAGEIFS($R$2:$R$999,$N$2:$N$999,"&lt;=-5",$J$2:$J$999,"YES")</f>
        <v>#DIV/0!</v>
      </c>
      <c r="BF44" s="4" t="e">
        <f>AVERAGEIFS($R$2:$R$999,$N$2:$N$999,"&gt;=-4.5",$N$2:$N$999,"&lt;=4.5",$P$2:$P$999,"&gt;=6.3",$J$2:$J$999,"YES")</f>
        <v>#DIV/0!</v>
      </c>
      <c r="BG44" s="4" t="e">
        <f>AVERAGEIFS($R$2:$R$999,$N$2:$N$999,"&gt;=5",$P$2:$P$999,"&gt;=6.3",$J$2:$J$999,"YES")</f>
        <v>#DIV/0!</v>
      </c>
    </row>
    <row r="45" spans="20:59" x14ac:dyDescent="0.2">
      <c r="U45" s="1"/>
      <c r="V45" s="1"/>
      <c r="W45" s="1"/>
      <c r="X45" s="1"/>
      <c r="Y45" s="8"/>
      <c r="Z45" s="9"/>
      <c r="AA45" s="9"/>
      <c r="AB45" s="9"/>
      <c r="AC45" s="9"/>
      <c r="AD45" s="9"/>
      <c r="AE45" s="8"/>
      <c r="AF45" s="9"/>
      <c r="AG45" s="9"/>
      <c r="AH45" s="9"/>
      <c r="AI45" s="5"/>
      <c r="AJ45" s="6"/>
      <c r="AK45" s="6"/>
      <c r="AL45" s="6"/>
      <c r="AM45" s="6"/>
      <c r="AN45" s="5"/>
      <c r="AO45" s="6"/>
      <c r="AP45" s="6"/>
      <c r="AQ45" s="6"/>
      <c r="AR45" s="6"/>
      <c r="AS45" s="6"/>
      <c r="AT45" s="5"/>
      <c r="AU45" s="6"/>
      <c r="AV45" s="6"/>
      <c r="AW45" s="6"/>
      <c r="AX45" s="5"/>
      <c r="AY45" s="6"/>
      <c r="AZ45" s="6"/>
      <c r="BA45" s="6"/>
      <c r="BB45" s="6"/>
      <c r="BC45" s="3"/>
      <c r="BD45" s="3"/>
      <c r="BE45" s="3"/>
      <c r="BF45" s="3"/>
      <c r="BG45" s="3"/>
    </row>
    <row r="46" spans="20:59" x14ac:dyDescent="0.2">
      <c r="T46" t="s">
        <v>41</v>
      </c>
      <c r="U46" s="1" t="s">
        <v>29</v>
      </c>
      <c r="V46" s="1" t="s">
        <v>31</v>
      </c>
      <c r="W46" s="1" t="s">
        <v>43</v>
      </c>
      <c r="X46" s="1" t="s">
        <v>30</v>
      </c>
      <c r="Y46" s="8"/>
      <c r="Z46" s="9"/>
      <c r="AA46" s="9"/>
      <c r="AB46" s="9"/>
      <c r="AC46" s="9"/>
      <c r="AD46" s="8" t="s">
        <v>111</v>
      </c>
      <c r="AE46" s="8" t="s">
        <v>111</v>
      </c>
      <c r="AF46" s="9" t="s">
        <v>31</v>
      </c>
      <c r="AG46" s="9" t="s">
        <v>43</v>
      </c>
      <c r="AH46" s="9" t="s">
        <v>30</v>
      </c>
      <c r="AI46" s="5" t="s">
        <v>41</v>
      </c>
      <c r="AJ46" s="6" t="s">
        <v>29</v>
      </c>
      <c r="AK46" s="6" t="s">
        <v>31</v>
      </c>
      <c r="AL46" s="6" t="s">
        <v>43</v>
      </c>
      <c r="AM46" s="6" t="s">
        <v>30</v>
      </c>
      <c r="AN46" s="5"/>
      <c r="AO46" s="6"/>
      <c r="AP46" s="6"/>
      <c r="AQ46" s="6"/>
      <c r="AR46" s="6"/>
      <c r="AS46" s="5" t="s">
        <v>111</v>
      </c>
      <c r="AT46" s="5" t="s">
        <v>111</v>
      </c>
      <c r="AU46" s="6" t="s">
        <v>31</v>
      </c>
      <c r="AV46" s="6" t="s">
        <v>43</v>
      </c>
      <c r="AW46" s="6" t="s">
        <v>30</v>
      </c>
      <c r="AX46" s="5"/>
      <c r="AY46" s="6"/>
      <c r="AZ46" s="6"/>
      <c r="BA46" s="6"/>
      <c r="BB46" s="6"/>
      <c r="BD46" s="1"/>
      <c r="BE46" s="1"/>
      <c r="BF46" s="1"/>
      <c r="BG46" s="1"/>
    </row>
    <row r="47" spans="20:59" x14ac:dyDescent="0.2">
      <c r="U47" s="1">
        <f>AVERAGEIFS($R$2:$R$999,$O$2:$O$999,"&gt;=44.5",$O$2:$O$999,"&lt;=48.5")</f>
        <v>1.4352769339486606</v>
      </c>
      <c r="V47" s="1" t="e">
        <f>AVERAGEIFS($R$2:$R$999,$N$2:$N$999,"&lt;=-5",$O$2:$O$999,"&gt;=44.5",$O$2:$O$999,"&lt;=48.5")</f>
        <v>#DIV/0!</v>
      </c>
      <c r="W47" s="1">
        <f>AVERAGEIFS($R$2:$R$999,$N$2:$N$999,"&gt;=-4.5",$N$2:$N$999,"&lt;=4.5",$O$2:$O$999,"&gt;=44.5",$O$2:$O$999,"&lt;=48.5")</f>
        <v>1.416414133220856</v>
      </c>
      <c r="X47" s="1">
        <f>AVERAGEIFS($R$2:$R$999,$N$2:$N$999,"&gt;=5",$O$2:$O$999,"&gt;=44.5",$O$2:$O$999,"&lt;=48.5")</f>
        <v>1.4682868352223191</v>
      </c>
      <c r="Y47" s="8"/>
      <c r="Z47" s="9"/>
      <c r="AA47" s="9"/>
      <c r="AB47" s="9"/>
      <c r="AC47" s="9"/>
      <c r="AD47" s="8"/>
      <c r="AE47" s="9">
        <f>AVERAGEIFS($R$2:$R$999,$F$2:$F$999,"UP")</f>
        <v>2.4439120581435572</v>
      </c>
      <c r="AF47" s="9" t="e">
        <f>AVERAGEIFS($R$2:$R$999,$N$2:$N$999,"&lt;=-5",$F$2:$F$999,"UP")</f>
        <v>#DIV/0!</v>
      </c>
      <c r="AG47" s="9">
        <f>AVERAGEIFS($R$2:$R$999,$N$2:$N$999,"&gt;=-4.5",$N$2:$N$999,"&lt;=4.5",$F$2:$F$999,"UP")</f>
        <v>2.6713040771864307</v>
      </c>
      <c r="AH47" s="9">
        <f>AVERAGEIFS($R$2:$R$999,$N$2:$N$999,"&gt;=5",$F$2:$F$999,"UP")</f>
        <v>2.2165200391006841</v>
      </c>
      <c r="AI47" s="5"/>
      <c r="AJ47" s="6">
        <f>AVERAGEIFS($R$2:$R$999,$O$2:$O$999,"&gt;=44.5",$O$2:$O$999,"&lt;=48.5",$C$2:$C$999,"&gt;=0.01")</f>
        <v>1.4352769339486606</v>
      </c>
      <c r="AK47" s="6" t="e">
        <f>AVERAGEIFS($R$2:$R$999,$N$2:$N$999,"&lt;=-5",$O$2:$O$999,"&gt;=44.5",$O$2:$O$999,"&lt;=48.5",$C$2:$C$999,"&gt;=0.01")</f>
        <v>#DIV/0!</v>
      </c>
      <c r="AL47" s="6">
        <f>AVERAGEIFS($R$2:$R$999,$N$2:$N$999,"&gt;=-4.5",$N$2:$N$999,"&lt;=4.5",$O$2:$O$999,"&gt;=44.5",$O$2:$O$999,"&lt;=48.5",$C$2:$C$999,"&gt;=0.01")</f>
        <v>1.416414133220856</v>
      </c>
      <c r="AM47" s="6">
        <f>AVERAGEIFS($R$2:$R$999,$N$2:$N$999,"&gt;=5",$O$2:$O$999,"&gt;=44.5",$O$2:$O$999,"&lt;=48.5",$C$2:$C$999,"&gt;=0.01")</f>
        <v>1.4682868352223191</v>
      </c>
      <c r="AN47" s="5"/>
      <c r="AO47" s="6"/>
      <c r="AP47" s="6"/>
      <c r="AQ47" s="6"/>
      <c r="AR47" s="6"/>
      <c r="AS47" s="5"/>
      <c r="AT47" s="6">
        <f>AVERAGEIFS($R$2:$R$999,$F$2:$F$999,"UP",$C$2:$C$999,"&gt;=0.01")</f>
        <v>2.4439120581435572</v>
      </c>
      <c r="AU47" s="6" t="e">
        <f>AVERAGEIFS($R$2:$R$999,$N$2:$N$999,"&lt;=-5",$F$2:$F$999,"UP",$C$2:$C$999,"&gt;=0.01")</f>
        <v>#DIV/0!</v>
      </c>
      <c r="AV47" s="6">
        <f>AVERAGEIFS($R$2:$R$999,$N$2:$N$999,"&gt;=-4.5",$N$2:$N$999,"&lt;=4.5",$F$2:$F$999,"UP",$C$2:$C$999,"&gt;=0.01")</f>
        <v>2.6713040771864307</v>
      </c>
      <c r="AW47" s="6">
        <f>AVERAGEIFS($R$2:$R$999,$N$2:$N$999,"&gt;=5",$F$2:$F$999,"UP",$C$2:$C$999,"&gt;=0.01")</f>
        <v>2.2165200391006841</v>
      </c>
      <c r="AX47" s="5"/>
      <c r="AY47" s="6"/>
      <c r="AZ47" s="6"/>
      <c r="BA47" s="6"/>
      <c r="BB47" s="6"/>
      <c r="BD47" s="1"/>
      <c r="BE47" s="1"/>
      <c r="BF47" s="1"/>
      <c r="BG47" s="1"/>
    </row>
    <row r="48" spans="20:59" x14ac:dyDescent="0.2">
      <c r="U48" s="1"/>
      <c r="V48" s="1"/>
      <c r="W48" s="1"/>
      <c r="X48" s="1"/>
      <c r="Y48" s="8"/>
      <c r="Z48" s="9"/>
      <c r="AA48" s="9"/>
      <c r="AB48" s="9"/>
      <c r="AC48" s="9"/>
      <c r="AD48" s="8"/>
      <c r="AE48" s="9"/>
      <c r="AF48" s="9"/>
      <c r="AG48" s="9"/>
      <c r="AH48" s="9"/>
      <c r="AI48" s="5"/>
      <c r="AJ48" s="6"/>
      <c r="AK48" s="6"/>
      <c r="AL48" s="6"/>
      <c r="AM48" s="6"/>
      <c r="AN48" s="5"/>
      <c r="AO48" s="6"/>
      <c r="AP48" s="6"/>
      <c r="AQ48" s="6"/>
      <c r="AR48" s="6"/>
      <c r="AS48" s="5"/>
      <c r="AT48" s="6"/>
      <c r="AU48" s="6"/>
      <c r="AV48" s="6"/>
      <c r="AW48" s="6"/>
      <c r="AX48" s="5"/>
      <c r="AY48" s="6"/>
      <c r="AZ48" s="6"/>
      <c r="BA48" s="6"/>
      <c r="BB48" s="6"/>
      <c r="BD48" s="1"/>
      <c r="BE48" s="1"/>
      <c r="BF48" s="1"/>
      <c r="BG48" s="1"/>
    </row>
    <row r="49" spans="2:59" x14ac:dyDescent="0.2">
      <c r="T49" t="s">
        <v>41</v>
      </c>
      <c r="U49" s="1" t="s">
        <v>33</v>
      </c>
      <c r="V49" s="1" t="s">
        <v>31</v>
      </c>
      <c r="W49" s="1" t="s">
        <v>43</v>
      </c>
      <c r="X49" s="1" t="s">
        <v>30</v>
      </c>
      <c r="Y49" s="8"/>
      <c r="Z49" s="9"/>
      <c r="AA49" s="9"/>
      <c r="AB49" s="9"/>
      <c r="AC49" s="9"/>
      <c r="AD49" s="8"/>
      <c r="AE49" s="8" t="s">
        <v>33</v>
      </c>
      <c r="AF49" s="9" t="s">
        <v>31</v>
      </c>
      <c r="AG49" s="9" t="s">
        <v>43</v>
      </c>
      <c r="AH49" s="9" t="s">
        <v>30</v>
      </c>
      <c r="AI49" s="5" t="s">
        <v>41</v>
      </c>
      <c r="AJ49" s="6" t="s">
        <v>33</v>
      </c>
      <c r="AK49" s="6" t="s">
        <v>31</v>
      </c>
      <c r="AL49" s="6" t="s">
        <v>43</v>
      </c>
      <c r="AM49" s="6" t="s">
        <v>30</v>
      </c>
      <c r="AN49" s="5"/>
      <c r="AO49" s="6"/>
      <c r="AP49" s="6"/>
      <c r="AQ49" s="6"/>
      <c r="AR49" s="6"/>
      <c r="AS49" s="5"/>
      <c r="AT49" s="5" t="s">
        <v>33</v>
      </c>
      <c r="AU49" s="6" t="s">
        <v>31</v>
      </c>
      <c r="AV49" s="6" t="s">
        <v>43</v>
      </c>
      <c r="AW49" s="6" t="s">
        <v>30</v>
      </c>
      <c r="AX49" s="5"/>
      <c r="AY49" s="6"/>
      <c r="AZ49" s="6"/>
      <c r="BA49" s="6"/>
      <c r="BB49" s="6"/>
      <c r="BD49" s="1"/>
      <c r="BE49" s="1"/>
      <c r="BF49" s="1"/>
      <c r="BG49" s="1"/>
    </row>
    <row r="50" spans="2:59" x14ac:dyDescent="0.2">
      <c r="U50" s="1">
        <f>AVERAGEIFS($R$2:$R$999,$P$2:$P$999,"&lt;=4",$O$2:$O$999,"&gt;=44.5",$O$2:$O$999,"&lt;=48.5")</f>
        <v>1.4352769339486606</v>
      </c>
      <c r="V50" s="1" t="e">
        <f>AVERAGEIFS($R$2:$R$999,$N$2:$N$999,"&lt;=-5",$P$2:$P$999,"&lt;=4",$O$2:$O$999,"&gt;=44.5",$O$2:$O$999,"&lt;=48.5")</f>
        <v>#DIV/0!</v>
      </c>
      <c r="W50" s="1">
        <f>AVERAGEIFS($R$2:$R$999,$N$2:$N$999,"&gt;=-4.5",$N$2:$N$999,"&lt;=4.5",$P$2:$P$999,"&lt;=4",$O$2:$O$999,"&gt;=44.5",$O$2:$O$999,"&lt;=48.5")</f>
        <v>1.416414133220856</v>
      </c>
      <c r="X50" s="1">
        <f>AVERAGEIFS($R$2:$R$999,$N$2:$N$999,"&gt;=5",$P$2:$P$999,"&lt;=4",$O$2:$O$999,"&gt;=44.5",$O$2:$O$999,"&lt;=48.5")</f>
        <v>1.4682868352223191</v>
      </c>
      <c r="Y50" s="8"/>
      <c r="Z50" s="9"/>
      <c r="AA50" s="9"/>
      <c r="AB50" s="9"/>
      <c r="AC50" s="9"/>
      <c r="AD50" s="8"/>
      <c r="AE50" s="9">
        <f>AVERAGEIFS($R$2:$R$999,$P$2:$P$999,"&lt;=4",$F$2:$F$999,"UP")</f>
        <v>2.4057103427881414</v>
      </c>
      <c r="AF50" s="9" t="e">
        <f>AVERAGEIFS($R$2:$R$999,$N$2:$N$999,"&lt;=-5",$P$2:$P$999,"&lt;=4",$F$2:$F$999,"UP")</f>
        <v>#DIV/0!</v>
      </c>
      <c r="AG50" s="9">
        <f>AVERAGEIFS($R$2:$R$999,$N$2:$N$999,"&gt;=-4.5",$N$2:$N$999,"&lt;=4.55",$P$2:$P$999,"&lt;=4",$F$2:$F$999,"UP")</f>
        <v>2.6894957983193279</v>
      </c>
      <c r="AH50" s="9">
        <f>AVERAGEIFS($R$2:$R$999,$N$2:$N$999,"&gt;=5",$P$2:$P$999,"&lt;=4",$F$2:$F$999,"UP")</f>
        <v>2.2165200391006841</v>
      </c>
      <c r="AI50" s="5"/>
      <c r="AJ50" s="6">
        <f>AVERAGEIFS($R$2:$R$999,$P$2:$P$999,"&lt;=4",$O$2:$O$999,"&gt;=44.5",$O$2:$O$999,"&lt;=48.5",$C$2:$C$999,"&gt;=0.01")</f>
        <v>1.4352769339486606</v>
      </c>
      <c r="AK50" s="6" t="e">
        <f>AVERAGEIFS($R$2:$R$999,$N$2:$N$999,"&lt;=-5",$P$2:$P$999,"&lt;=4",$O$2:$O$999,"&gt;=44.5",$O$2:$O$999,"&lt;=48.5",$C$2:$C$999,"&gt;=0.01")</f>
        <v>#DIV/0!</v>
      </c>
      <c r="AL50" s="6">
        <f>AVERAGEIFS($R$2:$R$999,$N$2:$N$999,"&gt;=-4.5",$N$2:$N$999,"&lt;=4.5",$P$2:$P$999,"&lt;=4",$O$2:$O$999,"&gt;=44.5",$O$2:$O$999,"&lt;=48.5",$C$2:$C$999,"&gt;=0.01")</f>
        <v>1.416414133220856</v>
      </c>
      <c r="AM50" s="6">
        <f>AVERAGEIFS($R$2:$R$999,$N$2:$N$999,"&gt;=5",$P$2:$P$999,"&lt;=4",$O$2:$O$999,"&gt;=44.5",$O$2:$O$999,"&lt;=48.5",$C$2:$C$999,"&gt;=0.01")</f>
        <v>1.4682868352223191</v>
      </c>
      <c r="AN50" s="5"/>
      <c r="AO50" s="6"/>
      <c r="AP50" s="6"/>
      <c r="AQ50" s="6"/>
      <c r="AR50" s="6"/>
      <c r="AS50" s="5"/>
      <c r="AT50" s="6">
        <f>AVERAGEIFS($R$2:$R$999,$P$2:$P$999,"&lt;=4",$F$2:$F$999,"UP",$C$2:$C$999,"&gt;=0.01")</f>
        <v>2.4057103427881414</v>
      </c>
      <c r="AU50" s="6" t="e">
        <f>AVERAGEIFS($R$2:$R$999,$N$2:$N$999,"&lt;=-5",$P$2:$P$999,"&lt;=4",$F$2:$F$999,"UP",$C$2:$C$999,"&gt;=0.01")</f>
        <v>#DIV/0!</v>
      </c>
      <c r="AV50" s="6">
        <f>AVERAGEIFS($R$2:$R$999,$N$2:$N$999,"&gt;=-4.5",$N$2:$N$999,"&lt;=4.55",$P$2:$P$999,"&lt;=4",$F$2:$F$999,"UP",$C$2:$C$999,"&gt;=0.01")</f>
        <v>2.6894957983193279</v>
      </c>
      <c r="AW50" s="6">
        <f>AVERAGEIFS($R$2:$R$999,$N$2:$N$999,"&gt;=5",$P$2:$P$999,"&lt;=4",$F$2:$F$999,"UP",$C$2:$C$999,"&gt;=0.01")</f>
        <v>2.2165200391006841</v>
      </c>
      <c r="AX50" s="5"/>
      <c r="AY50" s="6"/>
      <c r="AZ50" s="6"/>
      <c r="BA50" s="6"/>
      <c r="BB50" s="6"/>
      <c r="BD50" s="1"/>
      <c r="BE50" s="1"/>
      <c r="BF50" s="1"/>
      <c r="BG50" s="1"/>
    </row>
    <row r="51" spans="2:59" x14ac:dyDescent="0.2">
      <c r="U51" s="1"/>
      <c r="V51" s="1"/>
      <c r="W51" s="1"/>
      <c r="X51" s="1"/>
      <c r="Y51" s="8"/>
      <c r="Z51" s="9"/>
      <c r="AA51" s="9"/>
      <c r="AB51" s="9"/>
      <c r="AC51" s="9"/>
      <c r="AD51" s="8"/>
      <c r="AE51" s="9"/>
      <c r="AF51" s="9"/>
      <c r="AG51" s="9"/>
      <c r="AH51" s="9"/>
      <c r="AI51" s="5"/>
      <c r="AJ51" s="6"/>
      <c r="AK51" s="6"/>
      <c r="AL51" s="6"/>
      <c r="AM51" s="6"/>
      <c r="AN51" s="5"/>
      <c r="AO51" s="6"/>
      <c r="AP51" s="6"/>
      <c r="AQ51" s="6"/>
      <c r="AR51" s="6"/>
      <c r="AS51" s="5"/>
      <c r="AT51" s="6"/>
      <c r="AU51" s="6"/>
      <c r="AV51" s="6"/>
      <c r="AW51" s="6"/>
      <c r="AX51" s="5"/>
      <c r="AY51" s="6"/>
      <c r="AZ51" s="6"/>
      <c r="BA51" s="6"/>
      <c r="BB51" s="6"/>
      <c r="BD51" s="1"/>
      <c r="BE51" s="1"/>
      <c r="BF51" s="1"/>
      <c r="BG51" s="1"/>
    </row>
    <row r="52" spans="2:59" x14ac:dyDescent="0.2">
      <c r="T52" t="s">
        <v>41</v>
      </c>
      <c r="U52" s="1" t="s">
        <v>36</v>
      </c>
      <c r="V52" s="1" t="s">
        <v>31</v>
      </c>
      <c r="W52" s="1" t="s">
        <v>43</v>
      </c>
      <c r="X52" s="1" t="s">
        <v>30</v>
      </c>
      <c r="Y52" s="8"/>
      <c r="Z52" s="9"/>
      <c r="AA52" s="9"/>
      <c r="AB52" s="9"/>
      <c r="AC52" s="9"/>
      <c r="AD52" s="8"/>
      <c r="AE52" s="8" t="s">
        <v>36</v>
      </c>
      <c r="AF52" s="9" t="s">
        <v>31</v>
      </c>
      <c r="AG52" s="9" t="s">
        <v>43</v>
      </c>
      <c r="AH52" s="9" t="s">
        <v>30</v>
      </c>
      <c r="AI52" s="5" t="s">
        <v>41</v>
      </c>
      <c r="AJ52" s="6" t="s">
        <v>36</v>
      </c>
      <c r="AK52" s="6" t="s">
        <v>31</v>
      </c>
      <c r="AL52" s="6" t="s">
        <v>43</v>
      </c>
      <c r="AM52" s="6" t="s">
        <v>30</v>
      </c>
      <c r="AN52" s="5"/>
      <c r="AO52" s="6"/>
      <c r="AP52" s="6"/>
      <c r="AQ52" s="6"/>
      <c r="AR52" s="6"/>
      <c r="AS52" s="5"/>
      <c r="AT52" s="5" t="s">
        <v>36</v>
      </c>
      <c r="AU52" s="6" t="s">
        <v>31</v>
      </c>
      <c r="AV52" s="6" t="s">
        <v>43</v>
      </c>
      <c r="AW52" s="6" t="s">
        <v>30</v>
      </c>
      <c r="AX52" s="5"/>
      <c r="AY52" s="6"/>
      <c r="AZ52" s="6"/>
      <c r="BA52" s="6"/>
      <c r="BB52" s="6"/>
      <c r="BD52" s="1"/>
      <c r="BE52" s="1"/>
      <c r="BF52" s="1"/>
      <c r="BG52" s="1"/>
    </row>
    <row r="53" spans="2:59" x14ac:dyDescent="0.2">
      <c r="U53" s="1" t="e">
        <f>AVERAGEIFS($R$2:$R$999,$P$2:$P$999,"&gt;=4.1",$P$2:$P$999,"&lt;=5",$O$2:$O$999,"&gt;=44.5",$O$2:$O$999,"&lt;=48.5")</f>
        <v>#DIV/0!</v>
      </c>
      <c r="V53" s="1" t="e">
        <f>AVERAGEIFS($R$2:$R$999,$N$2:$N$999,"&lt;=-5",$P$2:$P$999,"&gt;=4.1",$P$2:$P$999,"&lt;=5",$O$2:$O$999,"&gt;=44.5",$O$2:$O$999,"&lt;=48.5")</f>
        <v>#DIV/0!</v>
      </c>
      <c r="W53" s="1" t="e">
        <f>AVERAGEIFS($R$2:$R$999,$N$2:$N$999,"&gt;=-4.5",$N$2:$N$999,"&lt;=4.5",$P$2:$P$999,"&gt;=4.1",$P$2:$P$999,"&lt;=5",$O$2:$O$999,"&gt;=44.5",$O$2:$O$999,"&lt;=48.5")</f>
        <v>#DIV/0!</v>
      </c>
      <c r="X53" s="1" t="e">
        <f>AVERAGEIFS($R$2:$R$999,$N$2:$N$999,"&gt;=5",$P$2:$P$999,"&gt;=4.1",$P$2:$P$999,"&lt;=5",$O$2:$O$999,"&gt;=44.5",$O$2:$O$999,"&lt;=48.5")</f>
        <v>#DIV/0!</v>
      </c>
      <c r="Y53" s="8"/>
      <c r="Z53" s="9"/>
      <c r="AA53" s="9"/>
      <c r="AB53" s="9"/>
      <c r="AC53" s="9"/>
      <c r="AD53" s="8"/>
      <c r="AE53" s="9" t="e">
        <f>AVERAGEIFS($R$2:$R$999,$P$2:$P$999,"&gt;=4.1",$P$2:$P$999,"&lt;=5",$F$2:$F$999,"UP")</f>
        <v>#DIV/0!</v>
      </c>
      <c r="AF53" s="9" t="e">
        <f>AVERAGEIFS($R$2:$R$999,$N$2:$N$999,"&lt;=-5",$P$2:$P$999,"&gt;=4.1",$P$2:$P$999,"&lt;=5",$F$2:$F$999,"UP")</f>
        <v>#DIV/0!</v>
      </c>
      <c r="AG53" s="9" t="e">
        <f>AVERAGEIFS($R$2:$R$999,$N$2:$N$999,"&gt;=-4.5",$N$2:$N$999,"&lt;=4.5",$P$2:$P$999,"&gt;=4.1",$P$2:$P$999,"&lt;=5",$F$2:$F$999,"UP")</f>
        <v>#DIV/0!</v>
      </c>
      <c r="AH53" s="9" t="e">
        <f>AVERAGEIFS($R$2:$R$999,$N$2:$N$999,"&gt;=5",$P$2:$P$999,"&gt;=4.1",$P$2:$P$999,"&lt;=5",$F$2:$F$999,"UP")</f>
        <v>#DIV/0!</v>
      </c>
      <c r="AI53" s="5"/>
      <c r="AJ53" s="6" t="e">
        <f>AVERAGEIFS($R$2:$R$999,$P$2:$P$999,"&gt;=4.1",$P$2:$P$999,"&lt;=5",$O$2:$O$999,"&gt;=44.5",$O$2:$O$999,"&lt;=48.5",$C$2:$C$999,"&gt;=0.01")</f>
        <v>#DIV/0!</v>
      </c>
      <c r="AK53" s="6" t="e">
        <f>AVERAGEIFS($R$2:$R$999,$N$2:$N$999,"&lt;=-5",$P$2:$P$999,"&gt;=4.1",$P$2:$P$999,"&lt;=5",$O$2:$O$999,"&gt;=44.5",$O$2:$O$999,"&lt;=48.5",$C$2:$C$999,"&gt;=0.01")</f>
        <v>#DIV/0!</v>
      </c>
      <c r="AL53" s="6" t="e">
        <f>AVERAGEIFS($R$2:$R$999,$N$2:$N$999,"&gt;=-4.5",$N$2:$N$999,"&lt;=4.5",$P$2:$P$999,"&gt;=4.1",$P$2:$P$999,"&lt;=5",$O$2:$O$999,"&gt;=44.5",$O$2:$O$999,"&lt;=48.5",$C$2:$C$999,"&gt;=0.01")</f>
        <v>#DIV/0!</v>
      </c>
      <c r="AM53" s="6" t="e">
        <f>AVERAGEIFS($R$2:$R$999,$N$2:$N$999,"&gt;=5",$P$2:$P$999,"&gt;=4.1",$P$2:$P$999,"&lt;=5",$O$2:$O$999,"&gt;=44.5",$O$2:$O$999,"&lt;=48.5",$C$2:$C$999,"&gt;=0.01")</f>
        <v>#DIV/0!</v>
      </c>
      <c r="AN53" s="5"/>
      <c r="AO53" s="6"/>
      <c r="AP53" s="6"/>
      <c r="AQ53" s="6"/>
      <c r="AR53" s="6"/>
      <c r="AS53" s="5"/>
      <c r="AT53" s="6" t="e">
        <f>AVERAGEIFS($R$2:$R$999,$P$2:$P$999,"&gt;=4.1",$P$2:$P$999,"&lt;=5",$F$2:$F$999,"UP",$C$2:$C$999,"&gt;=0.01")</f>
        <v>#DIV/0!</v>
      </c>
      <c r="AU53" s="6" t="e">
        <f>AVERAGEIFS($R$2:$R$999,$N$2:$N$999,"&lt;=-5",$P$2:$P$999,"&gt;=4.1",$P$2:$P$999,"&lt;=5",$F$2:$F$999,"UP",$C$2:$C$999,"&gt;=0.01")</f>
        <v>#DIV/0!</v>
      </c>
      <c r="AV53" s="6" t="e">
        <f>AVERAGEIFS($R$2:$R$999,$N$2:$N$999,"&gt;=-4.5",$N$2:$N$999,"&lt;=4.5",$P$2:$P$999,"&gt;=4.1",$P$2:$P$999,"&lt;=5",$F$2:$F$999,"UP",$C$2:$C$999,"&gt;=0.01")</f>
        <v>#DIV/0!</v>
      </c>
      <c r="AW53" s="6" t="e">
        <f>AVERAGEIFS($R$2:$R$999,$N$2:$N$999,"&gt;=5",$P$2:$P$999,"&gt;=4.1",$P$2:$P$999,"&lt;=5",$F$2:$F$999,"UP",$C$2:$C$999,"&gt;=0.01")</f>
        <v>#DIV/0!</v>
      </c>
      <c r="AX53" s="5"/>
      <c r="AY53" s="6"/>
      <c r="AZ53" s="6"/>
      <c r="BA53" s="6"/>
      <c r="BB53" s="6"/>
      <c r="BD53" s="1"/>
      <c r="BE53" s="1"/>
      <c r="BF53" s="1"/>
      <c r="BG53" s="1"/>
    </row>
    <row r="54" spans="2:59" x14ac:dyDescent="0.2">
      <c r="U54" s="1"/>
      <c r="V54" s="1"/>
      <c r="W54" s="1"/>
      <c r="X54" s="1"/>
      <c r="Y54" s="8"/>
      <c r="Z54" s="9"/>
      <c r="AA54" s="9"/>
      <c r="AB54" s="9"/>
      <c r="AC54" s="9"/>
      <c r="AD54" s="8"/>
      <c r="AE54" s="9"/>
      <c r="AF54" s="9"/>
      <c r="AG54" s="9"/>
      <c r="AH54" s="9"/>
      <c r="AI54" s="5"/>
      <c r="AJ54" s="6"/>
      <c r="AK54" s="6"/>
      <c r="AL54" s="6"/>
      <c r="AM54" s="6"/>
      <c r="AN54" s="5"/>
      <c r="AO54" s="6"/>
      <c r="AP54" s="6"/>
      <c r="AQ54" s="6"/>
      <c r="AR54" s="6"/>
      <c r="AS54" s="5"/>
      <c r="AT54" s="6"/>
      <c r="AU54" s="6"/>
      <c r="AV54" s="6"/>
      <c r="AW54" s="6"/>
      <c r="AX54" s="5"/>
      <c r="AY54" s="6"/>
      <c r="AZ54" s="6"/>
      <c r="BA54" s="6"/>
      <c r="BB54" s="6"/>
      <c r="BD54" s="1"/>
      <c r="BE54" s="1"/>
      <c r="BF54" s="1"/>
      <c r="BG54" s="1"/>
    </row>
    <row r="55" spans="2:59" x14ac:dyDescent="0.2">
      <c r="T55" t="s">
        <v>41</v>
      </c>
      <c r="U55" s="1" t="s">
        <v>34</v>
      </c>
      <c r="V55" s="1" t="s">
        <v>31</v>
      </c>
      <c r="W55" s="1" t="s">
        <v>43</v>
      </c>
      <c r="X55" s="1" t="s">
        <v>30</v>
      </c>
      <c r="Y55" s="8"/>
      <c r="Z55" s="9"/>
      <c r="AA55" s="9"/>
      <c r="AB55" s="9"/>
      <c r="AC55" s="9"/>
      <c r="AD55" s="8"/>
      <c r="AE55" s="8" t="s">
        <v>37</v>
      </c>
      <c r="AF55" s="9" t="s">
        <v>31</v>
      </c>
      <c r="AG55" s="9" t="s">
        <v>43</v>
      </c>
      <c r="AH55" s="9" t="s">
        <v>30</v>
      </c>
      <c r="AI55" s="5" t="s">
        <v>41</v>
      </c>
      <c r="AJ55" s="6" t="s">
        <v>34</v>
      </c>
      <c r="AK55" s="6" t="s">
        <v>31</v>
      </c>
      <c r="AL55" s="6" t="s">
        <v>43</v>
      </c>
      <c r="AM55" s="6" t="s">
        <v>30</v>
      </c>
      <c r="AN55" s="5"/>
      <c r="AO55" s="6"/>
      <c r="AP55" s="6"/>
      <c r="AQ55" s="6"/>
      <c r="AR55" s="6"/>
      <c r="AS55" s="5"/>
      <c r="AT55" s="5" t="s">
        <v>37</v>
      </c>
      <c r="AU55" s="6" t="s">
        <v>31</v>
      </c>
      <c r="AV55" s="6" t="s">
        <v>43</v>
      </c>
      <c r="AW55" s="6" t="s">
        <v>30</v>
      </c>
      <c r="AX55" s="5"/>
      <c r="AY55" s="6"/>
      <c r="AZ55" s="6"/>
      <c r="BA55" s="6"/>
      <c r="BB55" s="6"/>
      <c r="BD55" s="1"/>
      <c r="BE55" s="1"/>
      <c r="BF55" s="1"/>
      <c r="BG55" s="1"/>
    </row>
    <row r="56" spans="2:59" x14ac:dyDescent="0.2">
      <c r="U56" s="1" t="e">
        <f>AVERAGEIFS($R$2:$R$999,$P$2:$P$999,"&gt;=5.1",$P$2:$P$999,"&lt;=6.2",$O$2:$O$999,"&gt;=44.5",$O$2:$O$999,"&lt;=48.5")</f>
        <v>#DIV/0!</v>
      </c>
      <c r="V56" s="1" t="e">
        <f>AVERAGEIFS($R$2:$R$999,$N$2:$N$999,"&lt;=-5",$P$2:$P$999,"&gt;=5.1",$P$2:$P$999,"&lt;=6.2",$O$2:$O$999,"&gt;=44.5",$O$2:$O$999,"&lt;=48.5")</f>
        <v>#DIV/0!</v>
      </c>
      <c r="W56" s="1" t="e">
        <f>AVERAGEIFS($R$2:$R$999,$N$2:$N$999,"&gt;=-4.5",$N$2:$N$999,"&lt;=4.5",$P$2:$P$999,"&gt;=5.1",$P$2:$P$999,"&lt;=6.2",$O$2:$O$999,"&gt;=44.5",$O$2:$O$999,"&lt;=48.5")</f>
        <v>#DIV/0!</v>
      </c>
      <c r="X56" s="1" t="e">
        <f>AVERAGEIFS($R$2:$R$999,$N$2:$N$999,"&gt;=5",$P$2:$P$999,"&gt;=5.1",$P$2:$P$999,"&lt;=6.2",$O$2:$O$999,"&gt;=44.5",$O$2:$O$999,"&lt;=48.5")</f>
        <v>#DIV/0!</v>
      </c>
      <c r="Y56" s="8"/>
      <c r="Z56" s="9"/>
      <c r="AA56" s="9"/>
      <c r="AB56" s="9"/>
      <c r="AC56" s="9"/>
      <c r="AD56" s="8"/>
      <c r="AE56" s="9" t="e">
        <f>AVERAGEIFS($R$2:$R$999,$P$2:$P$999,"&gt;=5.1",$P$2:$P$999,"&lt;=6.2",$F$2:$F$999,"UP")</f>
        <v>#DIV/0!</v>
      </c>
      <c r="AF56" s="9" t="e">
        <f>AVERAGEIFS($R$2:$R$999,$N$2:$N$999,"&lt;=-5",$P$2:$P$999,"&gt;=5.1",$P$2:$P$999,"&lt;=6.2",$F$2:$F$999,"UP")</f>
        <v>#DIV/0!</v>
      </c>
      <c r="AG56" s="9" t="e">
        <f>AVERAGEIFS($R$2:$R$999,$N$2:$N$999,"&gt;=-4.5",$N$2:$N$999,"&lt;=4.5",$P$2:$P$999,"&gt;=5.1",$P$2:$P$999,"&lt;=6.2",$F$2:$F$999,"UP")</f>
        <v>#DIV/0!</v>
      </c>
      <c r="AH56" s="9" t="e">
        <f>AVERAGEIFS($R$2:$R$999,$N$2:$N$999,"&gt;=5",$P$2:$P$999,"&gt;=5.1",$P$2:$P$999,"&lt;=6.2",$F$2:$F$999,"UP")</f>
        <v>#DIV/0!</v>
      </c>
      <c r="AI56" s="5"/>
      <c r="AJ56" s="6" t="e">
        <f>AVERAGEIFS($R$2:$R$999,$P$2:$P$999,"&gt;=5.1",$P$2:$P$999,"&lt;=6.2",$O$2:$O$999,"&gt;=44.5",$O$2:$O$999,"&lt;=48.5",$C$2:$C$999,"&gt;=0.01")</f>
        <v>#DIV/0!</v>
      </c>
      <c r="AK56" s="6" t="e">
        <f>AVERAGEIFS($R$2:$R$999,$N$2:$N$999,"&lt;=-5",$P$2:$P$999,"&gt;=5.1",$P$2:$P$999,"&lt;=6.2",$O$2:$O$999,"&gt;=44.5",$O$2:$O$999,"&lt;=48.5",$C$2:$C$999,"&gt;=0.01")</f>
        <v>#DIV/0!</v>
      </c>
      <c r="AL56" s="6" t="e">
        <f>AVERAGEIFS($R$2:$R$999,$N$2:$N$999,"&gt;=-4.5",$N$2:$N$999,"&lt;=4.5",$P$2:$P$999,"&gt;=5.1",$P$2:$P$999,"&lt;=6.2",$O$2:$O$999,"&gt;=44.5",$O$2:$O$999,"&lt;=48.5",$C$2:$C$999,"&gt;=0.01")</f>
        <v>#DIV/0!</v>
      </c>
      <c r="AM56" s="6" t="e">
        <f>AVERAGEIFS($R$2:$R$999,$N$2:$N$999,"&gt;=5",$P$2:$P$999,"&gt;=5.1",$P$2:$P$999,"&lt;=6.2",$O$2:$O$999,"&gt;=44.5",$O$2:$O$999,"&lt;=48.5",$C$2:$C$999,"&gt;=0.01")</f>
        <v>#DIV/0!</v>
      </c>
      <c r="AN56" s="5"/>
      <c r="AO56" s="6"/>
      <c r="AP56" s="6"/>
      <c r="AQ56" s="6"/>
      <c r="AR56" s="6"/>
      <c r="AS56" s="5"/>
      <c r="AT56" s="6" t="e">
        <f>AVERAGEIFS($R$2:$R$999,$P$2:$P$999,"&gt;=5.1",$P$2:$P$999,"&lt;=6.2",$F$2:$F$999,"UP",$C$2:$C$999,"&gt;=0.01")</f>
        <v>#DIV/0!</v>
      </c>
      <c r="AU56" s="6" t="e">
        <f>AVERAGEIFS($R$2:$R$999,$N$2:$N$999,"&lt;=-5",$P$2:$P$999,"&gt;=5.1",$P$2:$P$999,"&lt;=6.2",$F$2:$F$999,"UP",$C$2:$C$999,"&gt;=0.01")</f>
        <v>#DIV/0!</v>
      </c>
      <c r="AV56" s="6" t="e">
        <f>AVERAGEIFS($R$2:$R$999,$N$2:$N$999,"&gt;=-4.5",$N$2:$N$999,"&lt;=4.5",$P$2:$P$999,"&gt;=5.1",$P$2:$P$999,"&lt;=6.2",$F$2:$F$999,"UP",$C$2:$C$999,"&gt;=0.01")</f>
        <v>#DIV/0!</v>
      </c>
      <c r="AW56" s="6" t="e">
        <f>AVERAGEIFS($R$2:$R$999,$N$2:$N$999,"&gt;=5",$P$2:$P$999,"&gt;=5.1",$P$2:$P$999,"&lt;=6.2",$F$2:$F$999,"UP",$C$2:$C$999,"&gt;=0.01")</f>
        <v>#DIV/0!</v>
      </c>
      <c r="AX56" s="5"/>
      <c r="AY56" s="6"/>
      <c r="AZ56" s="6"/>
      <c r="BA56" s="6"/>
      <c r="BB56" s="6"/>
      <c r="BD56" s="1"/>
      <c r="BE56" s="1"/>
      <c r="BF56" s="1"/>
      <c r="BG56" s="1"/>
    </row>
    <row r="57" spans="2:59" x14ac:dyDescent="0.2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U57" s="1"/>
      <c r="V57" s="1"/>
      <c r="W57" s="1"/>
      <c r="X57" s="1"/>
      <c r="Y57" s="8"/>
      <c r="Z57" s="9"/>
      <c r="AA57" s="9"/>
      <c r="AB57" s="9"/>
      <c r="AC57" s="9"/>
      <c r="AD57" s="8"/>
      <c r="AE57" s="9"/>
      <c r="AF57" s="9"/>
      <c r="AG57" s="9"/>
      <c r="AH57" s="9"/>
      <c r="AI57" s="5"/>
      <c r="AJ57" s="6"/>
      <c r="AK57" s="6"/>
      <c r="AL57" s="6"/>
      <c r="AM57" s="6"/>
      <c r="AN57" s="5"/>
      <c r="AO57" s="6"/>
      <c r="AP57" s="6"/>
      <c r="AQ57" s="6"/>
      <c r="AR57" s="6"/>
      <c r="AS57" s="5"/>
      <c r="AT57" s="6"/>
      <c r="AU57" s="6"/>
      <c r="AV57" s="6"/>
      <c r="AW57" s="6"/>
      <c r="AX57" s="5"/>
      <c r="AY57" s="6"/>
      <c r="AZ57" s="6"/>
      <c r="BA57" s="6"/>
      <c r="BB57" s="6"/>
      <c r="BD57" s="1"/>
      <c r="BE57" s="1"/>
      <c r="BF57" s="1"/>
      <c r="BG57" s="1"/>
    </row>
    <row r="58" spans="2:59" x14ac:dyDescent="0.2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T58" t="s">
        <v>41</v>
      </c>
      <c r="U58" s="1" t="s">
        <v>35</v>
      </c>
      <c r="V58" s="1" t="s">
        <v>31</v>
      </c>
      <c r="W58" s="1" t="s">
        <v>43</v>
      </c>
      <c r="X58" s="1" t="s">
        <v>30</v>
      </c>
      <c r="Y58" s="8"/>
      <c r="Z58" s="9"/>
      <c r="AA58" s="9"/>
      <c r="AB58" s="9"/>
      <c r="AC58" s="9"/>
      <c r="AD58" s="8"/>
      <c r="AE58" s="8" t="s">
        <v>35</v>
      </c>
      <c r="AF58" s="9" t="s">
        <v>31</v>
      </c>
      <c r="AG58" s="9" t="s">
        <v>43</v>
      </c>
      <c r="AH58" s="9" t="s">
        <v>30</v>
      </c>
      <c r="AI58" s="5" t="s">
        <v>41</v>
      </c>
      <c r="AJ58" s="6" t="s">
        <v>35</v>
      </c>
      <c r="AK58" s="6" t="s">
        <v>31</v>
      </c>
      <c r="AL58" s="6" t="s">
        <v>43</v>
      </c>
      <c r="AM58" s="6" t="s">
        <v>30</v>
      </c>
      <c r="AN58" s="5"/>
      <c r="AO58" s="6"/>
      <c r="AP58" s="6"/>
      <c r="AQ58" s="6"/>
      <c r="AR58" s="6"/>
      <c r="AS58" s="5"/>
      <c r="AT58" s="5" t="s">
        <v>35</v>
      </c>
      <c r="AU58" s="6" t="s">
        <v>31</v>
      </c>
      <c r="AV58" s="6" t="s">
        <v>43</v>
      </c>
      <c r="AW58" s="6" t="s">
        <v>30</v>
      </c>
      <c r="AX58" s="5"/>
      <c r="AY58" s="6"/>
      <c r="AZ58" s="6"/>
      <c r="BA58" s="6"/>
      <c r="BB58" s="6"/>
      <c r="BD58" s="1"/>
      <c r="BE58" s="1"/>
      <c r="BF58" s="1"/>
      <c r="BG58" s="1"/>
    </row>
    <row r="59" spans="2:59" x14ac:dyDescent="0.2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U59" s="1" t="e">
        <f>AVERAGEIFS($R$2:$R$999,$P$2:$P$999,"&gt;=6.3",$O$2:$O$999,"&gt;=44.5",$O$2:$O$999,"&lt;=48.5")</f>
        <v>#DIV/0!</v>
      </c>
      <c r="V59" s="1" t="e">
        <f>AVERAGEIFS($R$2:$R$999,$N$2:$N$999,"&lt;=-5",$P$2:$P$999,"&gt;=6.3",$O$2:$O$999,"&gt;=44.5",$O$2:$O$999,"&lt;=48.5")</f>
        <v>#DIV/0!</v>
      </c>
      <c r="W59" s="1" t="e">
        <f>AVERAGEIFS($R$2:$R$999,$N$2:$N$999,"&gt;=-4.5",$N$2:$N$999,"&lt;=4.5",$P$2:$P$999,"&gt;=6.3",$O$2:$O$999,"&gt;=44.5",$O$2:$O$999,"&lt;=48.5")</f>
        <v>#DIV/0!</v>
      </c>
      <c r="X59" s="1" t="e">
        <f>AVERAGEIFS($R$2:$R$999,$N$2:$N$999,"&gt;=5",$P$2:$P$999,"&gt;=6.3",$O$2:$O$999,"&gt;=44.5",$O$2:$O$999,"&lt;=48.5")</f>
        <v>#DIV/0!</v>
      </c>
      <c r="Y59" s="8"/>
      <c r="Z59" s="9"/>
      <c r="AA59" s="9"/>
      <c r="AB59" s="9"/>
      <c r="AC59" s="9"/>
      <c r="AD59" s="8"/>
      <c r="AE59" s="9">
        <f>AVERAGEIFS($R$2:$R$999,$P$2:$P$999,"&gt;=6.3",$F$2:$F$999,"UP")</f>
        <v>2.6349206349206353</v>
      </c>
      <c r="AF59" s="9" t="e">
        <f>AVERAGEIFS($R$2:$R$999,$N$2:$N$999,"&lt;=-5",$P$2:$P$999,"&gt;=6.3",$F$2:$F$999,"UP")</f>
        <v>#DIV/0!</v>
      </c>
      <c r="AG59" s="9">
        <f>AVERAGEIFS($R$2:$R$999,$N$2:$N$999,"&gt;=-4.5",$N$2:$N$999,"&lt;=4.5",$P$2:$P$999,"&gt;=6.3",$F$2:$F$999,"UP")</f>
        <v>2.6349206349206353</v>
      </c>
      <c r="AH59" s="9" t="e">
        <f>AVERAGEIFS($R$2:$R$999,$N$2:$N$999,"&gt;=5",$P$2:$P$999,"&gt;=6.3",$F$2:$F$999,"UP")</f>
        <v>#DIV/0!</v>
      </c>
      <c r="AI59" s="5"/>
      <c r="AJ59" s="6" t="e">
        <f>AVERAGEIFS($R$2:$R$999,$P$2:$P$999,"&gt;=6.3",$O$2:$O$999,"&gt;=44.5",$O$2:$O$999,"&lt;=48.5",$C$2:$C$999,"&gt;=0.01")</f>
        <v>#DIV/0!</v>
      </c>
      <c r="AK59" s="6" t="e">
        <f>AVERAGEIFS($R$2:$R$999,$N$2:$N$999,"&lt;=-5",$P$2:$P$999,"&gt;=6.3",$O$2:$O$999,"&gt;=44.5",$O$2:$O$999,"&lt;=48.5",$C$2:$C$999,"&gt;=0.01")</f>
        <v>#DIV/0!</v>
      </c>
      <c r="AL59" s="6" t="e">
        <f>AVERAGEIFS($R$2:$R$999,$N$2:$N$999,"&gt;=-4.5",$N$2:$N$999,"&lt;=4.5",$P$2:$P$999,"&gt;=6.3",$O$2:$O$999,"&gt;=44.5",$O$2:$O$999,"&lt;=48.5",$C$2:$C$999,"&gt;=0.01")</f>
        <v>#DIV/0!</v>
      </c>
      <c r="AM59" s="6" t="e">
        <f>AVERAGEIFS($R$2:$R$999,$N$2:$N$999,"&gt;=5",$P$2:$P$999,"&gt;=6.3",$O$2:$O$999,"&gt;=44.5",$O$2:$O$999,"&lt;=48.5",$C$2:$C$999,"&gt;=0.01")</f>
        <v>#DIV/0!</v>
      </c>
      <c r="AN59" s="5"/>
      <c r="AO59" s="6"/>
      <c r="AP59" s="6"/>
      <c r="AQ59" s="6"/>
      <c r="AR59" s="6"/>
      <c r="AS59" s="5"/>
      <c r="AT59" s="6">
        <f>AVERAGEIFS($R$2:$R$999,$P$2:$P$999,"&gt;=6.3",$F$2:$F$999,"UP",$C$2:$C$999,"&gt;=0.01")</f>
        <v>2.6349206349206353</v>
      </c>
      <c r="AU59" s="6" t="e">
        <f>AVERAGEIFS($R$2:$R$999,$N$2:$N$999,"&lt;=-5",$P$2:$P$999,"&gt;=6.3",$F$2:$F$999,"UP",$C$2:$C$999,"&gt;=0.01")</f>
        <v>#DIV/0!</v>
      </c>
      <c r="AV59" s="6">
        <f>AVERAGEIFS($R$2:$R$999,$N$2:$N$999,"&gt;=-4.5",$N$2:$N$999,"&lt;=4.5",$P$2:$P$999,"&gt;=6.3",$F$2:$F$999,"UP",$C$2:$C$999,"&gt;=0.01")</f>
        <v>2.6349206349206353</v>
      </c>
      <c r="AW59" s="6" t="e">
        <f>AVERAGEIFS($R$2:$R$999,$N$2:$N$999,"&gt;=5",$P$2:$P$999,"&gt;=6.3",$F$2:$F$999,"UP",$C$2:$C$999,"&gt;=0.01")</f>
        <v>#DIV/0!</v>
      </c>
      <c r="AX59" s="5"/>
      <c r="AY59" s="6"/>
      <c r="AZ59" s="6"/>
      <c r="BA59" s="6"/>
      <c r="BB59" s="6"/>
      <c r="BD59" s="1"/>
      <c r="BE59" s="1"/>
      <c r="BF59" s="1"/>
      <c r="BG59" s="1"/>
    </row>
    <row r="60" spans="2:59" x14ac:dyDescent="0.2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U60" s="1"/>
      <c r="V60" s="1"/>
      <c r="W60" s="1"/>
      <c r="X60" s="1"/>
      <c r="Y60" s="8"/>
      <c r="Z60" s="9"/>
      <c r="AA60" s="9"/>
      <c r="AB60" s="9"/>
      <c r="AC60" s="9"/>
      <c r="AD60" s="9"/>
      <c r="AE60" s="8"/>
      <c r="AF60" s="9"/>
      <c r="AG60" s="9"/>
      <c r="AH60" s="9"/>
      <c r="AI60" s="5"/>
      <c r="AJ60" s="6"/>
      <c r="AK60" s="6"/>
      <c r="AL60" s="6"/>
      <c r="AM60" s="6"/>
      <c r="AN60" s="5"/>
      <c r="AO60" s="6"/>
      <c r="AP60" s="6"/>
      <c r="AQ60" s="6"/>
      <c r="AR60" s="6"/>
      <c r="AS60" s="6"/>
      <c r="AT60" s="5"/>
      <c r="AU60" s="6"/>
      <c r="AV60" s="6"/>
      <c r="AW60" s="6"/>
      <c r="AX60" s="5"/>
      <c r="AY60" s="6"/>
      <c r="AZ60" s="6"/>
      <c r="BA60" s="6"/>
      <c r="BB60" s="6"/>
      <c r="BD60" s="1"/>
      <c r="BE60" s="1"/>
      <c r="BF60" s="1"/>
      <c r="BG60" s="1"/>
    </row>
    <row r="61" spans="2:59" x14ac:dyDescent="0.2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T61" t="s">
        <v>42</v>
      </c>
      <c r="U61" s="1" t="s">
        <v>29</v>
      </c>
      <c r="V61" s="1" t="s">
        <v>31</v>
      </c>
      <c r="W61" s="1" t="s">
        <v>43</v>
      </c>
      <c r="X61" s="1" t="s">
        <v>30</v>
      </c>
      <c r="Y61" s="8"/>
      <c r="Z61" s="9"/>
      <c r="AA61" s="9"/>
      <c r="AB61" s="9"/>
      <c r="AC61" s="9"/>
      <c r="AD61" s="9"/>
      <c r="AE61" s="8"/>
      <c r="AF61" s="9"/>
      <c r="AG61" s="9"/>
      <c r="AH61" s="9"/>
      <c r="AI61" s="5" t="s">
        <v>42</v>
      </c>
      <c r="AJ61" s="6" t="s">
        <v>29</v>
      </c>
      <c r="AK61" s="6" t="s">
        <v>31</v>
      </c>
      <c r="AL61" s="6" t="s">
        <v>43</v>
      </c>
      <c r="AM61" s="6" t="s">
        <v>30</v>
      </c>
      <c r="AN61" s="5"/>
      <c r="AO61" s="6"/>
      <c r="AP61" s="6"/>
      <c r="AQ61" s="6"/>
      <c r="AR61" s="6"/>
      <c r="AS61" s="6"/>
      <c r="AT61" s="5"/>
      <c r="AU61" s="6"/>
      <c r="AV61" s="6"/>
      <c r="AW61" s="6"/>
      <c r="AX61" s="5"/>
      <c r="AY61" s="6"/>
      <c r="AZ61" s="6"/>
      <c r="BA61" s="6"/>
      <c r="BB61" s="6"/>
      <c r="BD61" s="1"/>
      <c r="BE61" s="1"/>
      <c r="BF61" s="1"/>
      <c r="BG61" s="1"/>
    </row>
    <row r="62" spans="2:59" x14ac:dyDescent="0.2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U62" s="1">
        <f>AVERAGEIF($O$2:$O$999,"&gt;=49",$R$2:$R$999)</f>
        <v>3.0708063258063256</v>
      </c>
      <c r="V62" s="1" t="e">
        <f>AVERAGEIFS($R$2:$R$999,$N$2:$N$999,"&lt;=-5",$N$2:$N$999,"&lt;=5",$O$2:$O$999,"&gt;=49")</f>
        <v>#DIV/0!</v>
      </c>
      <c r="W62" s="1">
        <f>AVERAGEIFS($R$2:$R$999,$N$2:$N$999,"&gt;=-4.5",$N$2:$N$999,"&lt;=4.5",$O$2:$O$999,"&gt;=49")</f>
        <v>3.7004690404690401</v>
      </c>
      <c r="X62" s="1">
        <f>AVERAGEIFS($R$2:$R$999,$N$2:$N$999,"&gt;=5",$O$2:$O$999,"&gt;=49")</f>
        <v>1.1818181818181819</v>
      </c>
      <c r="Y62" s="8"/>
      <c r="Z62" s="9"/>
      <c r="AA62" s="9"/>
      <c r="AB62" s="9"/>
      <c r="AC62" s="9"/>
      <c r="AD62" s="9"/>
      <c r="AE62" s="8"/>
      <c r="AF62" s="9"/>
      <c r="AG62" s="9"/>
      <c r="AH62" s="9"/>
      <c r="AI62" s="5"/>
      <c r="AJ62" s="6">
        <f>AVERAGEIFS($R$2:$R$999,$O$2:$O$999,"&gt;=49",$C$2:$C$999,"&gt;=0.01")</f>
        <v>3.0708063258063256</v>
      </c>
      <c r="AK62" s="6" t="e">
        <f>AVERAGEIFS($R$2:$R$999,$N$2:$N$999,"&lt;=-5",$N$2:$N$999,"&lt;=5",$O$2:$O$999,"&gt;=49",$C$2:$C$999,"&gt;=0.01")</f>
        <v>#DIV/0!</v>
      </c>
      <c r="AL62" s="6">
        <f>AVERAGEIFS($R$2:$R$999,$N$2:$N$999,"&gt;=-4.5",$N$2:$N$999,"&lt;=4.5",$O$2:$O$999,"&gt;=49",$C$2:$C$999,"&gt;=0.01")</f>
        <v>3.7004690404690401</v>
      </c>
      <c r="AM62" s="6">
        <f>AVERAGEIFS($R$2:$R$999,$N$2:$N$999,"&gt;=5",$O$2:$O$999,"&gt;=49",$C$2:$C$999,"&gt;=0.01")</f>
        <v>1.1818181818181819</v>
      </c>
      <c r="AN62" s="5"/>
      <c r="AO62" s="6"/>
      <c r="AP62" s="6"/>
      <c r="AQ62" s="6"/>
      <c r="AR62" s="6"/>
      <c r="AS62" s="6"/>
      <c r="AT62" s="5"/>
      <c r="AU62" s="6"/>
      <c r="AV62" s="6"/>
      <c r="AW62" s="6"/>
      <c r="AX62" s="5"/>
      <c r="AY62" s="6"/>
      <c r="AZ62" s="6"/>
      <c r="BA62" s="6"/>
      <c r="BB62" s="6"/>
      <c r="BD62" s="1"/>
      <c r="BE62" s="1"/>
      <c r="BF62" s="1"/>
      <c r="BG62" s="1"/>
    </row>
    <row r="63" spans="2:59" x14ac:dyDescent="0.2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U63" s="1"/>
      <c r="V63" s="1"/>
      <c r="W63" s="1"/>
      <c r="X63" s="1"/>
      <c r="Y63" s="8"/>
      <c r="Z63" s="9"/>
      <c r="AA63" s="9"/>
      <c r="AB63" s="9"/>
      <c r="AC63" s="9"/>
      <c r="AD63" s="9"/>
      <c r="AE63" s="8"/>
      <c r="AF63" s="9"/>
      <c r="AG63" s="9"/>
      <c r="AH63" s="9"/>
      <c r="AI63" s="5"/>
      <c r="AJ63" s="6"/>
      <c r="AK63" s="6"/>
      <c r="AL63" s="6"/>
      <c r="AM63" s="6"/>
      <c r="AN63" s="5"/>
      <c r="AO63" s="6"/>
      <c r="AP63" s="6"/>
      <c r="AQ63" s="6"/>
      <c r="AR63" s="6"/>
      <c r="AS63" s="6"/>
      <c r="AT63" s="5"/>
      <c r="AU63" s="6"/>
      <c r="AV63" s="6"/>
      <c r="AW63" s="6"/>
      <c r="AX63" s="5"/>
      <c r="AY63" s="6"/>
      <c r="AZ63" s="6"/>
      <c r="BA63" s="6"/>
      <c r="BB63" s="6"/>
      <c r="BD63" s="1"/>
      <c r="BE63" s="1"/>
      <c r="BF63" s="1"/>
      <c r="BG63" s="1"/>
    </row>
    <row r="64" spans="2:59" x14ac:dyDescent="0.2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T64" t="s">
        <v>42</v>
      </c>
      <c r="U64" s="1" t="s">
        <v>33</v>
      </c>
      <c r="V64" s="1" t="s">
        <v>31</v>
      </c>
      <c r="W64" s="1" t="s">
        <v>43</v>
      </c>
      <c r="X64" s="1" t="s">
        <v>30</v>
      </c>
      <c r="Y64" s="8"/>
      <c r="Z64" s="9"/>
      <c r="AA64" s="9"/>
      <c r="AB64" s="9"/>
      <c r="AC64" s="9"/>
      <c r="AD64" s="9"/>
      <c r="AE64" s="8"/>
      <c r="AF64" s="9"/>
      <c r="AG64" s="9"/>
      <c r="AH64" s="9"/>
      <c r="AI64" s="5" t="s">
        <v>42</v>
      </c>
      <c r="AJ64" s="6" t="s">
        <v>33</v>
      </c>
      <c r="AK64" s="6" t="s">
        <v>31</v>
      </c>
      <c r="AL64" s="6" t="s">
        <v>43</v>
      </c>
      <c r="AM64" s="6" t="s">
        <v>30</v>
      </c>
      <c r="AN64" s="5"/>
      <c r="AO64" s="6"/>
      <c r="AP64" s="6"/>
      <c r="AQ64" s="6"/>
      <c r="AR64" s="6"/>
      <c r="AS64" s="6"/>
      <c r="AT64" s="5"/>
      <c r="AU64" s="6"/>
      <c r="AV64" s="6"/>
      <c r="AW64" s="6"/>
      <c r="AX64" s="5"/>
      <c r="AY64" s="6"/>
      <c r="AZ64" s="6"/>
      <c r="BA64" s="6"/>
      <c r="BB64" s="6"/>
      <c r="BD64" s="1"/>
      <c r="BE64" s="1"/>
      <c r="BF64" s="1"/>
      <c r="BG64" s="1"/>
    </row>
    <row r="65" spans="2:59" x14ac:dyDescent="0.2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U65" s="1">
        <f>AVERAGEIFS($R$2:$R$999,$P$2:$P$999,"&lt;=4",$O$2:$O$999,"&gt;=49")</f>
        <v>4.3341523341523338</v>
      </c>
      <c r="V65" s="1" t="e">
        <f>AVERAGEIFS($R$2:$R$999,$N$2:$N$999,"&lt;=-5",$P$2:$P$999,"&lt;=4",$O$2:$O$999,"&gt;=49")</f>
        <v>#DIV/0!</v>
      </c>
      <c r="W65" s="1">
        <f>AVERAGEIFS($R$2:$R$999,$N$2:$N$999,"&gt;=-4.5",$N$2:$N$999,"&lt;=4.5",$P$2:$P$999,"&lt;=4",$O$2:$O$999,"&gt;=49")</f>
        <v>7.486486486486486</v>
      </c>
      <c r="X65" s="1">
        <f>AVERAGEIFS($R$2:$R$999,$N$2:$N$999,"&gt;=5",$P$2:$P$999,"&lt;=4",$O$2:$O$999,"&gt;=49")</f>
        <v>1.1818181818181819</v>
      </c>
      <c r="Y65" s="8"/>
      <c r="Z65" s="9"/>
      <c r="AA65" s="9"/>
      <c r="AB65" s="9"/>
      <c r="AC65" s="9"/>
      <c r="AD65" s="9"/>
      <c r="AE65" s="8"/>
      <c r="AF65" s="9"/>
      <c r="AG65" s="9"/>
      <c r="AH65" s="9"/>
      <c r="AI65" s="5"/>
      <c r="AJ65" s="6">
        <f>AVERAGEIFS($R$2:$R$999,$P$2:$P$999,"&lt;=4",$O$2:$O$999,"&gt;=49",$C$2:$C$999,"&gt;=0.01")</f>
        <v>4.3341523341523338</v>
      </c>
      <c r="AK65" s="6" t="e">
        <f>AVERAGEIFS($R$2:$R$999,$N$2:$N$999,"&lt;=-5",$P$2:$P$999,"&lt;=4",$O$2:$O$999,"&gt;=49",$C$2:$C$999,"&gt;=0.01")</f>
        <v>#DIV/0!</v>
      </c>
      <c r="AL65" s="6">
        <f>AVERAGEIFS($R$2:$R$999,$N$2:$N$999,"&gt;=-4.5",$N$2:$N$999,"&lt;=4.5",$P$2:$P$999,"&lt;=4",$O$2:$O$999,"&gt;=49",$C$2:$C$999,"&gt;=0.01")</f>
        <v>7.486486486486486</v>
      </c>
      <c r="AM65" s="6">
        <f>AVERAGEIFS($R$2:$R$999,$N$2:$N$999,"&gt;=5",$P$2:$P$999,"&lt;=4",$O$2:$O$999,"&gt;=49",$C$2:$C$999,"&gt;=0.01")</f>
        <v>1.1818181818181819</v>
      </c>
      <c r="AN65" s="5"/>
      <c r="AO65" s="6"/>
      <c r="AP65" s="6"/>
      <c r="AQ65" s="6"/>
      <c r="AR65" s="6"/>
      <c r="AS65" s="6"/>
      <c r="AT65" s="5"/>
      <c r="AU65" s="6"/>
      <c r="AV65" s="6"/>
      <c r="AW65" s="6"/>
      <c r="AX65" s="5"/>
      <c r="AY65" s="6"/>
      <c r="AZ65" s="6"/>
      <c r="BA65" s="6"/>
      <c r="BB65" s="6"/>
      <c r="BD65" s="1"/>
      <c r="BE65" s="1"/>
      <c r="BF65" s="1"/>
      <c r="BG65" s="1"/>
    </row>
    <row r="66" spans="2:59" x14ac:dyDescent="0.2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U66" s="1"/>
      <c r="V66" s="1"/>
      <c r="W66" s="1"/>
      <c r="X66" s="1"/>
      <c r="Y66" s="8"/>
      <c r="Z66" s="9"/>
      <c r="AA66" s="9"/>
      <c r="AB66" s="9"/>
      <c r="AC66" s="9"/>
      <c r="AD66" s="9"/>
      <c r="AE66" s="8"/>
      <c r="AF66" s="9"/>
      <c r="AG66" s="9"/>
      <c r="AH66" s="9"/>
      <c r="AI66" s="5"/>
      <c r="AJ66" s="6"/>
      <c r="AK66" s="6"/>
      <c r="AL66" s="6"/>
      <c r="AM66" s="6"/>
      <c r="AN66" s="5"/>
      <c r="AO66" s="6"/>
      <c r="AP66" s="6"/>
      <c r="AQ66" s="6"/>
      <c r="AR66" s="6"/>
      <c r="AS66" s="6"/>
      <c r="AT66" s="5"/>
      <c r="AU66" s="6"/>
      <c r="AV66" s="6"/>
      <c r="AW66" s="6"/>
      <c r="AX66" s="5"/>
      <c r="AY66" s="6"/>
      <c r="AZ66" s="6"/>
      <c r="BA66" s="6"/>
      <c r="BB66" s="6"/>
      <c r="BD66" s="1"/>
      <c r="BE66" s="1"/>
      <c r="BF66" s="1"/>
      <c r="BG66" s="1"/>
    </row>
    <row r="67" spans="2:59" x14ac:dyDescent="0.2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T67" t="s">
        <v>42</v>
      </c>
      <c r="U67" s="1" t="s">
        <v>36</v>
      </c>
      <c r="V67" s="1" t="s">
        <v>31</v>
      </c>
      <c r="W67" s="1" t="s">
        <v>43</v>
      </c>
      <c r="X67" s="1" t="s">
        <v>30</v>
      </c>
      <c r="Y67" s="8"/>
      <c r="Z67" s="9"/>
      <c r="AA67" s="9"/>
      <c r="AB67" s="9"/>
      <c r="AC67" s="9"/>
      <c r="AD67" s="9"/>
      <c r="AE67" s="8"/>
      <c r="AF67" s="9"/>
      <c r="AG67" s="9"/>
      <c r="AH67" s="9"/>
      <c r="AI67" s="5" t="s">
        <v>42</v>
      </c>
      <c r="AJ67" s="6" t="s">
        <v>36</v>
      </c>
      <c r="AK67" s="6" t="s">
        <v>31</v>
      </c>
      <c r="AL67" s="6" t="s">
        <v>43</v>
      </c>
      <c r="AM67" s="6" t="s">
        <v>30</v>
      </c>
      <c r="AN67" s="5"/>
      <c r="AO67" s="6"/>
      <c r="AP67" s="6"/>
      <c r="AQ67" s="6"/>
      <c r="AR67" s="6"/>
      <c r="AS67" s="6"/>
      <c r="AT67" s="5"/>
      <c r="AU67" s="6"/>
      <c r="AV67" s="6"/>
      <c r="AW67" s="6"/>
      <c r="AX67" s="5"/>
      <c r="AY67" s="6"/>
      <c r="AZ67" s="6"/>
      <c r="BA67" s="6"/>
      <c r="BB67" s="6"/>
      <c r="BD67" s="1"/>
      <c r="BE67" s="1"/>
      <c r="BF67" s="1"/>
      <c r="BG67" s="1"/>
    </row>
    <row r="68" spans="2:59" x14ac:dyDescent="0.2">
      <c r="U68" s="1">
        <f>AVERAGEIFS($R$2:$R$999,$P$2:$P$999,"&gt;=4.1",$P$2:$P$999,"&lt;=5",$O$2:$O$999,"&gt;=49")</f>
        <v>0.98000000000000009</v>
      </c>
      <c r="V68" s="1" t="e">
        <f>AVERAGEIFS($R$2:$R$999,$N$2:$N$999,"&lt;=-5",$P$2:$P$999,"&gt;=4.1",$P$2:$P$999,"&lt;=5",$O$2:$O$999,"&gt;=49")</f>
        <v>#DIV/0!</v>
      </c>
      <c r="W68" s="1">
        <f>AVERAGEIFS($R$2:$R$999,$N$2:$N$999,"&gt;=-4.5",$N$2:$N$999,"&lt;=4.5",$P$2:$P$999,"&gt;=4.1",$P$2:$P$999,"&lt;=5",$O$2:$O$999,"&gt;=49")</f>
        <v>0.98000000000000009</v>
      </c>
      <c r="X68" s="1" t="e">
        <f>AVERAGEIFS($R$2:$R$999,$N$2:$N$999,"&gt;=5",$P$2:$P$999,"&gt;=4.1",$P$2:$P$999,"&lt;=5",$O$2:$O$999,"&gt;=49")</f>
        <v>#DIV/0!</v>
      </c>
      <c r="Y68" s="8"/>
      <c r="Z68" s="9"/>
      <c r="AA68" s="9"/>
      <c r="AB68" s="9"/>
      <c r="AC68" s="9"/>
      <c r="AD68" s="9"/>
      <c r="AE68" s="8"/>
      <c r="AF68" s="9"/>
      <c r="AG68" s="9"/>
      <c r="AH68" s="9"/>
      <c r="AI68" s="5"/>
      <c r="AJ68" s="6">
        <f>AVERAGEIFS($R$2:$R$999,$P$2:$P$999,"&gt;=4.1",$P$2:$P$999,"&lt;=5",$O$2:$O$999,"&gt;=49",$C$2:$C$999,"&gt;=0.01")</f>
        <v>0.98000000000000009</v>
      </c>
      <c r="AK68" s="6" t="e">
        <f>AVERAGEIFS($R$2:$R$999,$N$2:$N$999,"&lt;=-5",$P$2:$P$999,"&gt;=4.1",$P$2:$P$999,"&lt;=5",$O$2:$O$999,"&gt;=49",$C$2:$C$999,"&gt;=0.01")</f>
        <v>#DIV/0!</v>
      </c>
      <c r="AL68" s="6">
        <f>AVERAGEIFS($R$2:$R$999,$N$2:$N$999,"&gt;=-4.5",$N$2:$N$999,"&lt;=4.5",$P$2:$P$999,"&gt;=4.1",$P$2:$P$999,"&lt;=5",$O$2:$O$999,"&gt;=49",$C$2:$C$999,"&gt;=0.01")</f>
        <v>0.98000000000000009</v>
      </c>
      <c r="AM68" s="6" t="e">
        <f>AVERAGEIFS($R$2:$R$999,$N$2:$N$999,"&gt;=5",$P$2:$P$999,"&gt;=4.1",$P$2:$P$999,"&lt;=5",$O$2:$O$999,"&gt;=49",$C$2:$C$999,"&gt;=0.01")</f>
        <v>#DIV/0!</v>
      </c>
      <c r="AN68" s="5"/>
      <c r="AO68" s="6"/>
      <c r="AP68" s="6"/>
      <c r="AQ68" s="6"/>
      <c r="AR68" s="6"/>
      <c r="AS68" s="6"/>
      <c r="AT68" s="5"/>
      <c r="AU68" s="6"/>
      <c r="AV68" s="6"/>
      <c r="AW68" s="6"/>
      <c r="AX68" s="5"/>
      <c r="AY68" s="6"/>
      <c r="AZ68" s="6"/>
      <c r="BA68" s="6"/>
      <c r="BB68" s="6"/>
      <c r="BD68" s="1"/>
      <c r="BE68" s="1"/>
      <c r="BF68" s="1"/>
      <c r="BG68" s="1"/>
    </row>
    <row r="69" spans="2:59" x14ac:dyDescent="0.2">
      <c r="U69" s="1"/>
      <c r="V69" s="1"/>
      <c r="W69" s="1"/>
      <c r="X69" s="1"/>
      <c r="Y69" s="8"/>
      <c r="Z69" s="9"/>
      <c r="AA69" s="9"/>
      <c r="AB69" s="9"/>
      <c r="AC69" s="9"/>
      <c r="AD69" s="9"/>
      <c r="AE69" s="8"/>
      <c r="AF69" s="9"/>
      <c r="AG69" s="9"/>
      <c r="AH69" s="9"/>
      <c r="AI69" s="5"/>
      <c r="AJ69" s="6"/>
      <c r="AK69" s="6"/>
      <c r="AL69" s="6"/>
      <c r="AM69" s="6"/>
      <c r="AN69" s="5"/>
      <c r="AO69" s="6"/>
      <c r="AP69" s="6"/>
      <c r="AQ69" s="6"/>
      <c r="AR69" s="6"/>
      <c r="AS69" s="6"/>
      <c r="AT69" s="5"/>
      <c r="AU69" s="6"/>
      <c r="AV69" s="6"/>
      <c r="AW69" s="6"/>
      <c r="AX69" s="5"/>
      <c r="AY69" s="6"/>
      <c r="AZ69" s="6"/>
      <c r="BA69" s="6"/>
      <c r="BB69" s="6"/>
      <c r="BD69" s="1"/>
      <c r="BE69" s="1"/>
      <c r="BF69" s="1"/>
      <c r="BG69" s="1"/>
    </row>
    <row r="70" spans="2:59" x14ac:dyDescent="0.2">
      <c r="T70" t="s">
        <v>42</v>
      </c>
      <c r="U70" s="1" t="s">
        <v>34</v>
      </c>
      <c r="V70" s="1" t="s">
        <v>31</v>
      </c>
      <c r="W70" s="1" t="s">
        <v>43</v>
      </c>
      <c r="X70" s="1" t="s">
        <v>30</v>
      </c>
      <c r="Y70" s="8"/>
      <c r="Z70" s="9"/>
      <c r="AA70" s="9"/>
      <c r="AB70" s="9"/>
      <c r="AC70" s="9"/>
      <c r="AD70" s="9"/>
      <c r="AE70" s="8"/>
      <c r="AF70" s="9"/>
      <c r="AG70" s="9"/>
      <c r="AH70" s="9"/>
      <c r="AI70" s="5" t="s">
        <v>42</v>
      </c>
      <c r="AJ70" s="6" t="s">
        <v>34</v>
      </c>
      <c r="AK70" s="6" t="s">
        <v>31</v>
      </c>
      <c r="AL70" s="6" t="s">
        <v>43</v>
      </c>
      <c r="AM70" s="6" t="s">
        <v>30</v>
      </c>
      <c r="AN70" s="5"/>
      <c r="AO70" s="6"/>
      <c r="AP70" s="6"/>
      <c r="AQ70" s="6"/>
      <c r="AR70" s="6"/>
      <c r="AS70" s="6"/>
      <c r="AT70" s="5"/>
      <c r="AU70" s="6"/>
      <c r="AV70" s="6"/>
      <c r="AW70" s="6"/>
      <c r="AX70" s="5"/>
      <c r="AY70" s="6"/>
      <c r="AZ70" s="6"/>
      <c r="BA70" s="6"/>
      <c r="BB70" s="6"/>
      <c r="BD70" s="1"/>
      <c r="BE70" s="1"/>
      <c r="BF70" s="1"/>
      <c r="BG70" s="1"/>
    </row>
    <row r="71" spans="2:59" x14ac:dyDescent="0.2">
      <c r="U71" s="1" t="e">
        <f>AVERAGEIFS($R$2:$R$999,$P$2:$P$999,"&gt;=5.1",$P$2:$P$999,"&lt;=6.2",$O$2:$O$999,"&gt;=49")</f>
        <v>#DIV/0!</v>
      </c>
      <c r="V71" s="1" t="e">
        <f>AVERAGEIFS($R$2:$R$999,$N$2:$N$999,"&lt;=-5",$P$2:$P$999,"&gt;=5.1",$P$2:$P$999,"&lt;=6.2",$O$2:$O$999,"&gt;=49")</f>
        <v>#DIV/0!</v>
      </c>
      <c r="W71" s="1" t="e">
        <f>AVERAGEIFS($R$2:$R$999,$N$2:$N$999,"&gt;=-4.5",$N$2:$N$999,"&lt;=4.5",$P$2:$P$999,"&gt;=5.1",$P$2:$P$999,"&lt;=6.2",$O$2:$O$999,"&gt;=49")</f>
        <v>#DIV/0!</v>
      </c>
      <c r="X71" s="1" t="e">
        <f>AVERAGEIFS($R$2:$R$999,$N$2:$N$999,"&gt;=5",$P$2:$P$999,"&gt;=5.1",$P$2:$P$999,"&lt;=6.2",$O$2:$O$999,"&gt;=49")</f>
        <v>#DIV/0!</v>
      </c>
      <c r="Y71" s="8"/>
      <c r="Z71" s="9"/>
      <c r="AA71" s="9"/>
      <c r="AB71" s="9"/>
      <c r="AC71" s="9"/>
      <c r="AD71" s="9"/>
      <c r="AE71" s="8"/>
      <c r="AF71" s="9"/>
      <c r="AG71" s="9"/>
      <c r="AH71" s="9"/>
      <c r="AI71" s="5"/>
      <c r="AJ71" s="6" t="e">
        <f>AVERAGEIFS($R$2:$R$999,$P$2:$P$999,"&gt;=5.1",$P$2:$P$999,"&lt;=6.2",$O$2:$O$999,"&gt;=49",$C$2:$C$999,"&gt;=0.01")</f>
        <v>#DIV/0!</v>
      </c>
      <c r="AK71" s="6" t="e">
        <f>AVERAGEIFS($R$2:$R$999,$N$2:$N$999,"&lt;=-5",$P$2:$P$999,"&gt;=5.1",$P$2:$P$999,"&lt;=6.2",$O$2:$O$999,"&gt;=49",$C$2:$C$999,"&gt;=0.01")</f>
        <v>#DIV/0!</v>
      </c>
      <c r="AL71" s="6" t="e">
        <f>AVERAGEIFS($R$2:$R$999,$N$2:$N$999,"&gt;=-4.5",$N$2:$N$999,"&lt;=4.5",$P$2:$P$999,"&gt;=5.1",$P$2:$P$999,"&lt;=6.2",$O$2:$O$999,"&gt;=49",$C$2:$C$999,"&gt;=0.01")</f>
        <v>#DIV/0!</v>
      </c>
      <c r="AM71" s="6" t="e">
        <f>AVERAGEIFS($R$2:$R$999,$N$2:$N$999,"&gt;=5",$P$2:$P$999,"&gt;=5.1",$P$2:$P$999,"&lt;=6.2",$O$2:$O$999,"&gt;=49",$C$2:$C$999,"&gt;=0.01")</f>
        <v>#DIV/0!</v>
      </c>
      <c r="AN71" s="5"/>
      <c r="AO71" s="6"/>
      <c r="AP71" s="6"/>
      <c r="AQ71" s="6"/>
      <c r="AR71" s="6"/>
      <c r="AS71" s="6"/>
      <c r="AT71" s="5"/>
      <c r="AU71" s="6"/>
      <c r="AV71" s="6"/>
      <c r="AW71" s="6"/>
      <c r="AX71" s="5"/>
      <c r="AY71" s="6"/>
      <c r="AZ71" s="6"/>
      <c r="BA71" s="6"/>
      <c r="BB71" s="6"/>
      <c r="BD71" s="1"/>
      <c r="BE71" s="1"/>
      <c r="BF71" s="1"/>
      <c r="BG71" s="1"/>
    </row>
    <row r="72" spans="2:59" x14ac:dyDescent="0.2">
      <c r="U72" s="1"/>
      <c r="V72" s="1"/>
      <c r="W72" s="1"/>
      <c r="X72" s="1"/>
      <c r="Y72" s="8"/>
      <c r="Z72" s="9"/>
      <c r="AA72" s="9"/>
      <c r="AB72" s="9"/>
      <c r="AC72" s="9"/>
      <c r="AD72" s="9"/>
      <c r="AE72" s="8"/>
      <c r="AF72" s="9"/>
      <c r="AG72" s="9"/>
      <c r="AH72" s="9"/>
      <c r="AI72" s="5"/>
      <c r="AJ72" s="6"/>
      <c r="AK72" s="6"/>
      <c r="AL72" s="6"/>
      <c r="AM72" s="6"/>
      <c r="AN72" s="5"/>
      <c r="AO72" s="6"/>
      <c r="AP72" s="6"/>
      <c r="AQ72" s="6"/>
      <c r="AR72" s="6"/>
      <c r="AS72" s="6"/>
      <c r="AT72" s="5"/>
      <c r="AU72" s="6"/>
      <c r="AV72" s="6"/>
      <c r="AW72" s="6"/>
      <c r="AX72" s="5"/>
      <c r="AY72" s="6"/>
      <c r="AZ72" s="6"/>
      <c r="BA72" s="6"/>
      <c r="BB72" s="6"/>
      <c r="BD72" s="1"/>
      <c r="BE72" s="1"/>
      <c r="BF72" s="1"/>
      <c r="BG72" s="1"/>
    </row>
    <row r="73" spans="2:59" x14ac:dyDescent="0.2">
      <c r="T73" t="s">
        <v>42</v>
      </c>
      <c r="U73" s="1" t="s">
        <v>35</v>
      </c>
      <c r="V73" s="1" t="s">
        <v>31</v>
      </c>
      <c r="W73" s="1" t="s">
        <v>43</v>
      </c>
      <c r="X73" s="1" t="s">
        <v>30</v>
      </c>
      <c r="Y73" s="8"/>
      <c r="Z73" s="9"/>
      <c r="AA73" s="9"/>
      <c r="AB73" s="9"/>
      <c r="AC73" s="9"/>
      <c r="AD73" s="9"/>
      <c r="AE73" s="8"/>
      <c r="AF73" s="9"/>
      <c r="AG73" s="9"/>
      <c r="AH73" s="9"/>
      <c r="AI73" s="5" t="s">
        <v>42</v>
      </c>
      <c r="AJ73" s="6" t="s">
        <v>35</v>
      </c>
      <c r="AK73" s="6" t="s">
        <v>31</v>
      </c>
      <c r="AL73" s="6" t="s">
        <v>43</v>
      </c>
      <c r="AM73" s="6" t="s">
        <v>30</v>
      </c>
      <c r="AN73" s="5"/>
      <c r="AO73" s="6"/>
      <c r="AP73" s="6"/>
      <c r="AQ73" s="6"/>
      <c r="AR73" s="6"/>
      <c r="AS73" s="6"/>
      <c r="AT73" s="5"/>
      <c r="AU73" s="6"/>
      <c r="AV73" s="6"/>
      <c r="AW73" s="6"/>
      <c r="AX73" s="5"/>
      <c r="AY73" s="6"/>
      <c r="AZ73" s="6"/>
      <c r="BA73" s="6"/>
      <c r="BB73" s="6"/>
      <c r="BD73" s="1"/>
      <c r="BE73" s="1"/>
      <c r="BF73" s="1"/>
      <c r="BG73" s="1"/>
    </row>
    <row r="74" spans="2:59" x14ac:dyDescent="0.2">
      <c r="U74" s="1">
        <f>AVERAGEIFS($R$2:$R$999,$P$2:$P$999,"&gt;=6.3",$O$2:$O$999,"&gt;=49")</f>
        <v>2.6349206349206353</v>
      </c>
      <c r="V74" s="1" t="e">
        <f>AVERAGEIFS($R$2:$R$999,$N$2:$N$999,"&lt;=-5",$P$2:$P$999,"&gt;=6.3",$O$2:$O$999,"&gt;=49")</f>
        <v>#DIV/0!</v>
      </c>
      <c r="W74" s="1">
        <f>AVERAGEIFS($R$2:$R$999,$N$2:$N$999,"&gt;=-4.5",$N$2:$N$999,"&lt;=4.5",$P$2:$P$999,"&gt;=6.3",$O$2:$O$999,"&gt;=49")</f>
        <v>2.6349206349206353</v>
      </c>
      <c r="X74" s="1" t="e">
        <f>AVERAGEIFS($R$2:$R$999,$N$2:$N$999,"&gt;=5",$P$2:$P$999,"&gt;=6.3",$O$2:$O$999,"&gt;=49")</f>
        <v>#DIV/0!</v>
      </c>
      <c r="Y74" s="8"/>
      <c r="Z74" s="9"/>
      <c r="AA74" s="9"/>
      <c r="AB74" s="9"/>
      <c r="AC74" s="9"/>
      <c r="AD74" s="9"/>
      <c r="AE74" s="8"/>
      <c r="AF74" s="9"/>
      <c r="AG74" s="9"/>
      <c r="AH74" s="9"/>
      <c r="AI74" s="5"/>
      <c r="AJ74" s="6">
        <f>AVERAGEIFS($R$2:$R$999,$P$2:$P$999,"&gt;=6.3",$O$2:$O$999,"&gt;=49",$C$2:$C$999,"&gt;=0.01")</f>
        <v>2.6349206349206353</v>
      </c>
      <c r="AK74" s="6" t="e">
        <f>AVERAGEIFS($R$2:$R$999,$N$2:$N$999,"&lt;=-5",$P$2:$P$999,"&gt;=6.3",$O$2:$O$999,"&gt;=49",$C$2:$C$999,"&gt;=0.01")</f>
        <v>#DIV/0!</v>
      </c>
      <c r="AL74" s="6">
        <f>AVERAGEIFS($R$2:$R$999,$N$2:$N$999,"&gt;=-4.5",$N$2:$N$999,"&lt;=4.5",$P$2:$P$999,"&gt;=6.3",$O$2:$O$999,"&gt;=49",$C$2:$C$999,"&gt;=0.01")</f>
        <v>2.6349206349206353</v>
      </c>
      <c r="AM74" s="6" t="e">
        <f>AVERAGEIFS($R$2:$R$999,$N$2:$N$999,"&gt;=5",$P$2:$P$999,"&gt;=6.3",$O$2:$O$999,"&gt;=49",$C$2:$C$999,"&gt;=0.01")</f>
        <v>#DIV/0!</v>
      </c>
      <c r="AN74" s="5"/>
      <c r="AO74" s="6"/>
      <c r="AP74" s="6"/>
      <c r="AQ74" s="6"/>
      <c r="AR74" s="6"/>
      <c r="AS74" s="6"/>
      <c r="AT74" s="5"/>
      <c r="AU74" s="6"/>
      <c r="AV74" s="6"/>
      <c r="AW74" s="6"/>
      <c r="AX74" s="5"/>
      <c r="AY74" s="6"/>
      <c r="AZ74" s="6"/>
      <c r="BA74" s="6"/>
      <c r="BB74" s="6"/>
      <c r="BD74" s="1"/>
      <c r="BE74" s="1"/>
      <c r="BF74" s="1"/>
      <c r="BG74" s="1"/>
    </row>
    <row r="75" spans="2:59" x14ac:dyDescent="0.2"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</row>
    <row r="76" spans="2:59" x14ac:dyDescent="0.2"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</row>
    <row r="77" spans="2:59" x14ac:dyDescent="0.2"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</row>
    <row r="78" spans="2:59" x14ac:dyDescent="0.2"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</row>
    <row r="79" spans="2:59" x14ac:dyDescent="0.2"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</row>
    <row r="80" spans="2:59" x14ac:dyDescent="0.2"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WR1 Results</vt:lpstr>
      <vt:lpstr>Avgs</vt:lpstr>
      <vt:lpstr>Sheet1</vt:lpstr>
      <vt:lpstr>WR2 Results</vt:lpstr>
      <vt:lpstr>TE Results</vt:lpstr>
      <vt:lpstr>WR1</vt:lpstr>
      <vt:lpstr>WR2</vt:lpstr>
      <vt:lpstr>Sheet2</vt:lpstr>
      <vt:lpstr>TE</vt:lpstr>
      <vt:lpstr>2019-20 Combined</vt:lpstr>
      <vt:lpstr>Sheet6</vt:lpstr>
      <vt:lpstr>2020 cleaned</vt:lpstr>
      <vt:lpstr>2020 raw</vt:lpstr>
      <vt:lpstr>2019 cleaned</vt:lpstr>
      <vt:lpstr>Sheet5</vt:lpstr>
      <vt:lpstr>2019 clean clean</vt:lpstr>
      <vt:lpstr>Sheet7</vt:lpstr>
      <vt:lpstr>2018 Cleaned</vt:lpstr>
      <vt:lpstr>2019 raw</vt:lpstr>
      <vt:lpstr>2018 raw</vt:lpstr>
      <vt:lpstr>MAP</vt:lpstr>
      <vt:lpstr>Week16</vt:lpstr>
      <vt:lpstr>Week15</vt:lpstr>
      <vt:lpstr>WR3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Tarrant Carter</dc:creator>
  <cp:lastModifiedBy>Tarrant Carter</cp:lastModifiedBy>
  <dcterms:created xsi:type="dcterms:W3CDTF">2019-10-06T18:06:38Z</dcterms:created>
  <dcterms:modified xsi:type="dcterms:W3CDTF">2020-11-25T18:02:16Z</dcterms:modified>
</cp:coreProperties>
</file>